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erram\Downloads\"/>
    </mc:Choice>
  </mc:AlternateContent>
  <xr:revisionPtr revIDLastSave="0" documentId="13_ncr:1_{56A920C3-EABE-4352-8320-22CF495BDB00}" xr6:coauthVersionLast="47" xr6:coauthVersionMax="47" xr10:uidLastSave="{00000000-0000-0000-0000-000000000000}"/>
  <bookViews>
    <workbookView xWindow="735" yWindow="735" windowWidth="22508" windowHeight="13388" firstSheet="1" activeTab="1" xr2:uid="{00000000-000D-0000-FFFF-FFFF00000000}"/>
  </bookViews>
  <sheets>
    <sheet name="Steps Log" sheetId="8" state="hidden" r:id="rId1"/>
    <sheet name="Workshop List" sheetId="11" r:id="rId2"/>
    <sheet name="Damage Log" sheetId="17" state="hidden" r:id="rId3"/>
    <sheet name="Canvas Project" sheetId="18" state="hidden" r:id="rId4"/>
    <sheet name="Dibond Cutting" sheetId="19" state="hidden" r:id="rId5"/>
    <sheet name="Dibond Pieces Cutting" sheetId="20" state="hidden" r:id="rId6"/>
    <sheet name="ABS Paste" sheetId="21" state="hidden" r:id="rId7"/>
    <sheet name="La Quinta Itinerary" sheetId="22" state="hidden" r:id="rId8"/>
    <sheet name="Basing BP" sheetId="26" state="hidden" r:id="rId9"/>
    <sheet name="Value Printed" sheetId="27" state="hidden" r:id="rId10"/>
    <sheet name="Erin Approved Images" sheetId="28" state="hidden" r:id="rId11"/>
    <sheet name="Helper BPs" sheetId="32" state="hidden" r:id="rId12"/>
    <sheet name="Petites List" sheetId="35" state="hidden" r:id="rId13"/>
    <sheet name="3D Print Times" sheetId="37" state="hidden" r:id="rId14"/>
    <sheet name="Warehouse reports paste" sheetId="39" state="hidden" r:id="rId15"/>
    <sheet name="Monthly CoG" sheetId="40" state="hidden" r:id="rId16"/>
    <sheet name="Prints CoG snapshot 2022-04-07" sheetId="41" state="hidden" r:id="rId17"/>
    <sheet name="Usage Numbers" sheetId="43" state="hidden" r:id="rId18"/>
    <sheet name="WEs" sheetId="44" state="hidden" r:id="rId19"/>
    <sheet name="Shipping Options" sheetId="45" state="hidden" r:id="rId20"/>
  </sheets>
  <definedNames>
    <definedName name="_xlnm._FilterDatabase" localSheetId="10" hidden="1">'Erin Approved Images'!$A$1:$B$261</definedName>
    <definedName name="AVG" localSheetId="16">'Prints CoG snapshot 2022-04-07'!$O$2</definedName>
    <definedName name="AVG" localSheetId="17">'Usage Numbers'!$G$2</definedName>
    <definedName name="AVG">#REF!</definedName>
    <definedName name="canvas">#REF!</definedName>
    <definedName name="CB">'Workshop List'!$AN$1</definedName>
    <definedName name="CCP">'Workshop List'!$AT$1</definedName>
    <definedName name="CCS">'Workshop List'!$AU$1</definedName>
    <definedName name="CF">'Workshop List'!$AY$1</definedName>
    <definedName name="CFC">'Workshop List'!$BD$1</definedName>
    <definedName name="COA">'Workshop List'!$BE$1</definedName>
    <definedName name="CS">'Workshop List'!$AG$1</definedName>
    <definedName name="DF">'Workshop List'!$AR$1</definedName>
    <definedName name="DFC">'Workshop List'!$AZ$1</definedName>
    <definedName name="GSO">#REF!</definedName>
    <definedName name="GST">#REF!</definedName>
    <definedName name="ink">#REF!</definedName>
    <definedName name="JB">'Workshop List'!$AO$1</definedName>
    <definedName name="JCS">'Workshop List'!$AV$1</definedName>
    <definedName name="JF">'Workshop List'!$BA$1</definedName>
    <definedName name="JS">'Workshop List'!$AH$1</definedName>
    <definedName name="M3D">'Workshop List'!$AQ$1</definedName>
    <definedName name="PB">'Workshop List'!$AP$1</definedName>
    <definedName name="PBC">'Workshop List'!$AX$1</definedName>
    <definedName name="PCP">'Workshop List'!$AS$1</definedName>
    <definedName name="PP">'Workshop List'!$BG$1</definedName>
    <definedName name="PT">'Workshop List'!$AK$1</definedName>
    <definedName name="S3D">'Workshop List'!$BF$1</definedName>
    <definedName name="S3DP">'Workshop List'!$AM$1</definedName>
    <definedName name="SC">'Workshop List'!$AI$1</definedName>
    <definedName name="SCP">'Workshop List'!$AW$1</definedName>
    <definedName name="SIF">'Workshop List'!$BB$1</definedName>
    <definedName name="SP">'Workshop List'!$BH$1</definedName>
    <definedName name="stretch">#REF!</definedName>
    <definedName name="SZN">#REF!</definedName>
    <definedName name="TDF">'Workshop List'!$AL$1</definedName>
    <definedName name="varnish">#REF!</definedName>
    <definedName name="VRN">'Workshop List'!$AJ$1</definedName>
    <definedName name="WP">'Workshop List'!$BC$1</definedName>
    <definedName name="Z_54A0920C_32A2_46BD_A896_61CC7711F9C5_.wvu.FilterData" localSheetId="16" hidden="1">'Prints CoG snapshot 2022-04-07'!$A$1:$BE$5</definedName>
    <definedName name="Z_54A0920C_32A2_46BD_A896_61CC7711F9C5_.wvu.FilterData" localSheetId="17" hidden="1">'Usage Numbers'!$A$1:$P$191</definedName>
    <definedName name="Z_71E13C1F_9FB8_40E6_BBC6_A305E02BCF5C_.wvu.FilterData" localSheetId="16" hidden="1">'Prints CoG snapshot 2022-04-07'!$A$1:$BE$5</definedName>
    <definedName name="Z_71E13C1F_9FB8_40E6_BBC6_A305E02BCF5C_.wvu.FilterData" localSheetId="17" hidden="1">'Usage Numbers'!$A$1:$P$315</definedName>
    <definedName name="Z_A74CD2E6_B6A8_410A_A94A_8BDEB74E955F_.wvu.FilterData" localSheetId="16" hidden="1">'Prints CoG snapshot 2022-04-07'!$V$1:$V$143</definedName>
    <definedName name="Z_A74CD2E6_B6A8_410A_A94A_8BDEB74E955F_.wvu.FilterData" localSheetId="9" hidden="1">'Value Printed'!$A$1:$E$1569</definedName>
  </definedNames>
  <calcPr calcId="191029"/>
  <customWorkbookViews>
    <customWorkbookView name="Filter 3" guid="{54A0920C-32A2-46BD-A896-61CC7711F9C5}" maximized="1" windowWidth="0" windowHeight="0" activeSheetId="0"/>
    <customWorkbookView name="Filter 4" guid="{71E13C1F-9FB8-40E6-BBC6-A305E02BCF5C}" maximized="1" windowWidth="0" windowHeight="0" activeSheetId="0"/>
    <customWorkbookView name="Filter 1" guid="{A74CD2E6-B6A8-410A-A94A-8BDEB74E955F}" maximized="1" windowWidth="0" windowHeight="0" activeSheetId="0"/>
    <customWorkbookView name="Filter 2" guid="{00B6ED24-9469-482C-812A-2731F1866FCD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44" l="1"/>
  <c r="B15" i="44" s="1"/>
  <c r="B16" i="44" s="1"/>
  <c r="B17" i="44" s="1"/>
  <c r="B18" i="44" s="1"/>
  <c r="B19" i="44" s="1"/>
  <c r="B20" i="44" s="1"/>
  <c r="B21" i="44" s="1"/>
  <c r="B22" i="44" s="1"/>
  <c r="B23" i="44" s="1"/>
  <c r="B24" i="44" s="1"/>
  <c r="B25" i="44" s="1"/>
  <c r="B26" i="44" s="1"/>
  <c r="B27" i="44" s="1"/>
  <c r="B28" i="44" s="1"/>
  <c r="B29" i="44" s="1"/>
  <c r="B30" i="44" s="1"/>
  <c r="B31" i="44" s="1"/>
  <c r="B32" i="44" s="1"/>
  <c r="B33" i="44" s="1"/>
  <c r="B34" i="44" s="1"/>
  <c r="B35" i="44" s="1"/>
  <c r="B36" i="44" s="1"/>
  <c r="B37" i="44" s="1"/>
  <c r="B38" i="44" s="1"/>
  <c r="B39" i="44" s="1"/>
  <c r="B40" i="44" s="1"/>
  <c r="B41" i="44" s="1"/>
  <c r="B42" i="44" s="1"/>
  <c r="B43" i="44" s="1"/>
  <c r="B44" i="44" s="1"/>
  <c r="B45" i="44" s="1"/>
  <c r="B46" i="44" s="1"/>
  <c r="B47" i="44" s="1"/>
  <c r="B48" i="44" s="1"/>
  <c r="B49" i="44" s="1"/>
  <c r="B50" i="44" s="1"/>
  <c r="B51" i="44" s="1"/>
  <c r="B52" i="44" s="1"/>
  <c r="B53" i="44" s="1"/>
  <c r="B54" i="44" s="1"/>
  <c r="B55" i="44" s="1"/>
  <c r="B56" i="44" s="1"/>
  <c r="B57" i="44" s="1"/>
  <c r="B58" i="44" s="1"/>
  <c r="B59" i="44" s="1"/>
  <c r="B60" i="44" s="1"/>
  <c r="B61" i="44" s="1"/>
  <c r="B62" i="44" s="1"/>
  <c r="B63" i="44" s="1"/>
  <c r="B64" i="44" s="1"/>
  <c r="B65" i="44" s="1"/>
  <c r="B66" i="44" s="1"/>
  <c r="B67" i="44" s="1"/>
  <c r="B68" i="44" s="1"/>
  <c r="B69" i="44" s="1"/>
  <c r="B70" i="44" s="1"/>
  <c r="B71" i="44" s="1"/>
  <c r="B72" i="44" s="1"/>
  <c r="B73" i="44" s="1"/>
  <c r="B74" i="44" s="1"/>
  <c r="B75" i="44" s="1"/>
  <c r="B76" i="44" s="1"/>
  <c r="B77" i="44" s="1"/>
  <c r="B78" i="44" s="1"/>
  <c r="B79" i="44" s="1"/>
  <c r="B80" i="44" s="1"/>
  <c r="B81" i="44" s="1"/>
  <c r="B82" i="44" s="1"/>
  <c r="B83" i="44" s="1"/>
  <c r="B84" i="44" s="1"/>
  <c r="B85" i="44" s="1"/>
  <c r="B86" i="44" s="1"/>
  <c r="B87" i="44" s="1"/>
  <c r="B88" i="44" s="1"/>
  <c r="B89" i="44" s="1"/>
  <c r="B90" i="44" s="1"/>
  <c r="B91" i="44" s="1"/>
  <c r="B92" i="44" s="1"/>
  <c r="B93" i="44" s="1"/>
  <c r="B94" i="44" s="1"/>
  <c r="B95" i="44" s="1"/>
  <c r="B96" i="44" s="1"/>
  <c r="B97" i="44" s="1"/>
  <c r="B98" i="44" s="1"/>
  <c r="B99" i="44" s="1"/>
  <c r="B100" i="44" s="1"/>
  <c r="B101" i="44" s="1"/>
  <c r="B102" i="44" s="1"/>
  <c r="B103" i="44" s="1"/>
  <c r="B104" i="44" s="1"/>
  <c r="B105" i="44" s="1"/>
  <c r="B106" i="44" s="1"/>
  <c r="B107" i="44" s="1"/>
  <c r="B108" i="44" s="1"/>
  <c r="B109" i="44" s="1"/>
  <c r="B110" i="44" s="1"/>
  <c r="B111" i="44" s="1"/>
  <c r="B112" i="44" s="1"/>
  <c r="B113" i="44" s="1"/>
  <c r="B114" i="44" s="1"/>
  <c r="B115" i="44" s="1"/>
  <c r="B116" i="44" s="1"/>
  <c r="B117" i="44" s="1"/>
  <c r="B118" i="44" s="1"/>
  <c r="B119" i="44" s="1"/>
  <c r="B120" i="44" s="1"/>
  <c r="B121" i="44" s="1"/>
  <c r="B122" i="44" s="1"/>
  <c r="B123" i="44" s="1"/>
  <c r="B124" i="44" s="1"/>
  <c r="B125" i="44" s="1"/>
  <c r="B126" i="44" s="1"/>
  <c r="B127" i="44" s="1"/>
  <c r="B128" i="44" s="1"/>
  <c r="B129" i="44" s="1"/>
  <c r="B130" i="44" s="1"/>
  <c r="B131" i="44" s="1"/>
  <c r="B132" i="44" s="1"/>
  <c r="B133" i="44" s="1"/>
  <c r="B134" i="44" s="1"/>
  <c r="B135" i="44" s="1"/>
  <c r="B136" i="44" s="1"/>
  <c r="B137" i="44" s="1"/>
  <c r="B138" i="44" s="1"/>
  <c r="B139" i="44" s="1"/>
  <c r="B140" i="44" s="1"/>
  <c r="B141" i="44" s="1"/>
  <c r="B142" i="44" s="1"/>
  <c r="B143" i="44" s="1"/>
  <c r="B144" i="44" s="1"/>
  <c r="B145" i="44" s="1"/>
  <c r="B146" i="44" s="1"/>
  <c r="B147" i="44" s="1"/>
  <c r="B148" i="44" s="1"/>
  <c r="B149" i="44" s="1"/>
  <c r="B150" i="44" s="1"/>
  <c r="B151" i="44" s="1"/>
  <c r="B152" i="44" s="1"/>
  <c r="B153" i="44" s="1"/>
  <c r="B154" i="44" s="1"/>
  <c r="B155" i="44" s="1"/>
  <c r="B156" i="44" s="1"/>
  <c r="B157" i="44" s="1"/>
  <c r="B158" i="44" s="1"/>
  <c r="B159" i="44" s="1"/>
  <c r="B160" i="44" s="1"/>
  <c r="B161" i="44" s="1"/>
  <c r="B162" i="44" s="1"/>
  <c r="B163" i="44" s="1"/>
  <c r="B164" i="44" s="1"/>
  <c r="B165" i="44" s="1"/>
  <c r="B166" i="44" s="1"/>
  <c r="B167" i="44" s="1"/>
  <c r="B168" i="44" s="1"/>
  <c r="B169" i="44" s="1"/>
  <c r="B170" i="44" s="1"/>
  <c r="B171" i="44" s="1"/>
  <c r="B172" i="44" s="1"/>
  <c r="B173" i="44" s="1"/>
  <c r="B174" i="44" s="1"/>
  <c r="B175" i="44" s="1"/>
  <c r="B176" i="44" s="1"/>
  <c r="B177" i="44" s="1"/>
  <c r="B178" i="44" s="1"/>
  <c r="B179" i="44" s="1"/>
  <c r="B180" i="44" s="1"/>
  <c r="B181" i="44" s="1"/>
  <c r="B182" i="44" s="1"/>
  <c r="B183" i="44" s="1"/>
  <c r="B184" i="44" s="1"/>
  <c r="B185" i="44" s="1"/>
  <c r="B186" i="44" s="1"/>
  <c r="B187" i="44" s="1"/>
  <c r="B188" i="44" s="1"/>
  <c r="B189" i="44" s="1"/>
  <c r="B190" i="44" s="1"/>
  <c r="B191" i="44" s="1"/>
  <c r="B192" i="44" s="1"/>
  <c r="B193" i="44" s="1"/>
  <c r="B194" i="44" s="1"/>
  <c r="B195" i="44" s="1"/>
  <c r="B196" i="44" s="1"/>
  <c r="B197" i="44" s="1"/>
  <c r="B198" i="44" s="1"/>
  <c r="B199" i="44" s="1"/>
  <c r="B200" i="44" s="1"/>
  <c r="B201" i="44" s="1"/>
  <c r="B202" i="44" s="1"/>
  <c r="B203" i="44" s="1"/>
  <c r="B204" i="44" s="1"/>
  <c r="B205" i="44" s="1"/>
  <c r="B206" i="44" s="1"/>
  <c r="B207" i="44" s="1"/>
  <c r="B208" i="44" s="1"/>
  <c r="B209" i="44" s="1"/>
  <c r="B210" i="44" s="1"/>
  <c r="B211" i="44" s="1"/>
  <c r="B212" i="44" s="1"/>
  <c r="B213" i="44" s="1"/>
  <c r="B214" i="44" s="1"/>
  <c r="B215" i="44" s="1"/>
  <c r="B216" i="44" s="1"/>
  <c r="B217" i="44" s="1"/>
  <c r="B218" i="44" s="1"/>
  <c r="B219" i="44" s="1"/>
  <c r="B220" i="44" s="1"/>
  <c r="B221" i="44" s="1"/>
  <c r="B222" i="44" s="1"/>
  <c r="B223" i="44" s="1"/>
  <c r="B224" i="44" s="1"/>
  <c r="B225" i="44" s="1"/>
  <c r="B226" i="44" s="1"/>
  <c r="B227" i="44" s="1"/>
  <c r="B228" i="44" s="1"/>
  <c r="B229" i="44" s="1"/>
  <c r="B230" i="44" s="1"/>
  <c r="B231" i="44" s="1"/>
  <c r="B232" i="44" s="1"/>
  <c r="B233" i="44" s="1"/>
  <c r="B234" i="44" s="1"/>
  <c r="B235" i="44" s="1"/>
  <c r="B236" i="44" s="1"/>
  <c r="B237" i="44" s="1"/>
  <c r="B238" i="44" s="1"/>
  <c r="B239" i="44" s="1"/>
  <c r="B240" i="44" s="1"/>
  <c r="B241" i="44" s="1"/>
  <c r="B242" i="44" s="1"/>
  <c r="B243" i="44" s="1"/>
  <c r="B244" i="44" s="1"/>
  <c r="B245" i="44" s="1"/>
  <c r="B246" i="44" s="1"/>
  <c r="B247" i="44" s="1"/>
  <c r="B248" i="44" s="1"/>
  <c r="B249" i="44" s="1"/>
  <c r="B250" i="44" s="1"/>
  <c r="B251" i="44" s="1"/>
  <c r="B252" i="44" s="1"/>
  <c r="B253" i="44" s="1"/>
  <c r="B254" i="44" s="1"/>
  <c r="B255" i="44" s="1"/>
  <c r="B256" i="44" s="1"/>
  <c r="B257" i="44" s="1"/>
  <c r="B258" i="44" s="1"/>
  <c r="B259" i="44" s="1"/>
  <c r="B260" i="44" s="1"/>
  <c r="B261" i="44" s="1"/>
  <c r="B262" i="44" s="1"/>
  <c r="B263" i="44" s="1"/>
  <c r="B264" i="44" s="1"/>
  <c r="B265" i="44" s="1"/>
  <c r="B266" i="44" s="1"/>
  <c r="B267" i="44" s="1"/>
  <c r="B268" i="44" s="1"/>
  <c r="B269" i="44" s="1"/>
  <c r="B270" i="44" s="1"/>
  <c r="B271" i="44" s="1"/>
  <c r="B272" i="44" s="1"/>
  <c r="B273" i="44" s="1"/>
  <c r="B274" i="44" s="1"/>
  <c r="B275" i="44" s="1"/>
  <c r="B276" i="44" s="1"/>
  <c r="B277" i="44" s="1"/>
  <c r="B278" i="44" s="1"/>
  <c r="B279" i="44" s="1"/>
  <c r="B280" i="44" s="1"/>
  <c r="B281" i="44" s="1"/>
  <c r="B282" i="44" s="1"/>
  <c r="B283" i="44" s="1"/>
  <c r="B284" i="44" s="1"/>
  <c r="B285" i="44" s="1"/>
  <c r="B286" i="44" s="1"/>
  <c r="B287" i="44" s="1"/>
  <c r="B288" i="44" s="1"/>
  <c r="B289" i="44" s="1"/>
  <c r="B290" i="44" s="1"/>
  <c r="B291" i="44" s="1"/>
  <c r="B292" i="44" s="1"/>
  <c r="B293" i="44" s="1"/>
  <c r="B294" i="44" s="1"/>
  <c r="B295" i="44" s="1"/>
  <c r="B296" i="44" s="1"/>
  <c r="B297" i="44" s="1"/>
  <c r="B298" i="44" s="1"/>
  <c r="B299" i="44" s="1"/>
  <c r="B300" i="44" s="1"/>
  <c r="B301" i="44" s="1"/>
  <c r="B302" i="44" s="1"/>
  <c r="B303" i="44" s="1"/>
  <c r="B304" i="44" s="1"/>
  <c r="B305" i="44" s="1"/>
  <c r="B306" i="44" s="1"/>
  <c r="B307" i="44" s="1"/>
  <c r="B308" i="44" s="1"/>
  <c r="B309" i="44" s="1"/>
  <c r="B310" i="44" s="1"/>
  <c r="B311" i="44" s="1"/>
  <c r="B312" i="44" s="1"/>
  <c r="B313" i="44" s="1"/>
  <c r="B314" i="44" s="1"/>
  <c r="B315" i="44" s="1"/>
  <c r="B316" i="44" s="1"/>
  <c r="B317" i="44" s="1"/>
  <c r="B318" i="44" s="1"/>
  <c r="B319" i="44" s="1"/>
  <c r="B320" i="44" s="1"/>
  <c r="B321" i="44" s="1"/>
  <c r="B322" i="44" s="1"/>
  <c r="B323" i="44" s="1"/>
  <c r="B324" i="44" s="1"/>
  <c r="B325" i="44" s="1"/>
  <c r="B326" i="44" s="1"/>
  <c r="B327" i="44" s="1"/>
  <c r="B328" i="44" s="1"/>
  <c r="B329" i="44" s="1"/>
  <c r="B330" i="44" s="1"/>
  <c r="B331" i="44" s="1"/>
  <c r="B332" i="44" s="1"/>
  <c r="B333" i="44" s="1"/>
  <c r="B334" i="44" s="1"/>
  <c r="B335" i="44" s="1"/>
  <c r="B336" i="44" s="1"/>
  <c r="B337" i="44" s="1"/>
  <c r="B338" i="44" s="1"/>
  <c r="B339" i="44" s="1"/>
  <c r="B340" i="44" s="1"/>
  <c r="B341" i="44" s="1"/>
  <c r="B342" i="44" s="1"/>
  <c r="B343" i="44" s="1"/>
  <c r="B344" i="44" s="1"/>
  <c r="B345" i="44" s="1"/>
  <c r="B346" i="44" s="1"/>
  <c r="B347" i="44" s="1"/>
  <c r="B348" i="44" s="1"/>
  <c r="B349" i="44" s="1"/>
  <c r="B350" i="44" s="1"/>
  <c r="B351" i="44" s="1"/>
  <c r="B352" i="44" s="1"/>
  <c r="B353" i="44" s="1"/>
  <c r="B354" i="44" s="1"/>
  <c r="B355" i="44" s="1"/>
  <c r="B356" i="44" s="1"/>
  <c r="B357" i="44" s="1"/>
  <c r="B358" i="44" s="1"/>
  <c r="B359" i="44" s="1"/>
  <c r="B360" i="44" s="1"/>
  <c r="B361" i="44" s="1"/>
  <c r="B362" i="44" s="1"/>
  <c r="B363" i="44" s="1"/>
  <c r="B364" i="44" s="1"/>
  <c r="B365" i="44" s="1"/>
  <c r="B366" i="44" s="1"/>
  <c r="B367" i="44" s="1"/>
  <c r="B368" i="44" s="1"/>
  <c r="B369" i="44" s="1"/>
  <c r="B370" i="44" s="1"/>
  <c r="B371" i="44" s="1"/>
  <c r="B372" i="44" s="1"/>
  <c r="B373" i="44" s="1"/>
  <c r="B374" i="44" s="1"/>
  <c r="B375" i="44" s="1"/>
  <c r="B376" i="44" s="1"/>
  <c r="B377" i="44" s="1"/>
  <c r="B378" i="44" s="1"/>
  <c r="B379" i="44" s="1"/>
  <c r="B380" i="44" s="1"/>
  <c r="B381" i="44" s="1"/>
  <c r="B382" i="44" s="1"/>
  <c r="B383" i="44" s="1"/>
  <c r="B384" i="44" s="1"/>
  <c r="B385" i="44" s="1"/>
  <c r="B386" i="44" s="1"/>
  <c r="B387" i="44" s="1"/>
  <c r="B388" i="44" s="1"/>
  <c r="B389" i="44" s="1"/>
  <c r="B390" i="44" s="1"/>
  <c r="B391" i="44" s="1"/>
  <c r="B392" i="44" s="1"/>
  <c r="B393" i="44" s="1"/>
  <c r="B394" i="44" s="1"/>
  <c r="B395" i="44" s="1"/>
  <c r="B396" i="44" s="1"/>
  <c r="B397" i="44" s="1"/>
  <c r="B398" i="44" s="1"/>
  <c r="B399" i="44" s="1"/>
  <c r="B400" i="44" s="1"/>
  <c r="B401" i="44" s="1"/>
  <c r="B402" i="44" s="1"/>
  <c r="B403" i="44" s="1"/>
  <c r="B404" i="44" s="1"/>
  <c r="B405" i="44" s="1"/>
  <c r="B406" i="44" s="1"/>
  <c r="B407" i="44" s="1"/>
  <c r="B408" i="44" s="1"/>
  <c r="B409" i="44" s="1"/>
  <c r="B410" i="44" s="1"/>
  <c r="B411" i="44" s="1"/>
  <c r="B412" i="44" s="1"/>
  <c r="B413" i="44" s="1"/>
  <c r="B414" i="44" s="1"/>
  <c r="B415" i="44" s="1"/>
  <c r="B416" i="44" s="1"/>
  <c r="B417" i="44" s="1"/>
  <c r="B418" i="44" s="1"/>
  <c r="B419" i="44" s="1"/>
  <c r="B420" i="44" s="1"/>
  <c r="B421" i="44" s="1"/>
  <c r="B422" i="44" s="1"/>
  <c r="B423" i="44" s="1"/>
  <c r="B424" i="44" s="1"/>
  <c r="B425" i="44" s="1"/>
  <c r="B426" i="44" s="1"/>
  <c r="B427" i="44" s="1"/>
  <c r="B428" i="44" s="1"/>
  <c r="B429" i="44" s="1"/>
  <c r="B430" i="44" s="1"/>
  <c r="B431" i="44" s="1"/>
  <c r="B432" i="44" s="1"/>
  <c r="B433" i="44" s="1"/>
  <c r="B434" i="44" s="1"/>
  <c r="B435" i="44" s="1"/>
  <c r="B436" i="44" s="1"/>
  <c r="B437" i="44" s="1"/>
  <c r="B438" i="44" s="1"/>
  <c r="B439" i="44" s="1"/>
  <c r="B440" i="44" s="1"/>
  <c r="B441" i="44" s="1"/>
  <c r="B442" i="44" s="1"/>
  <c r="B443" i="44" s="1"/>
  <c r="B444" i="44" s="1"/>
  <c r="B445" i="44" s="1"/>
  <c r="B446" i="44" s="1"/>
  <c r="B447" i="44" s="1"/>
  <c r="B448" i="44" s="1"/>
  <c r="B449" i="44" s="1"/>
  <c r="B450" i="44" s="1"/>
  <c r="B451" i="44" s="1"/>
  <c r="B452" i="44" s="1"/>
  <c r="B453" i="44" s="1"/>
  <c r="B454" i="44" s="1"/>
  <c r="B455" i="44" s="1"/>
  <c r="B456" i="44" s="1"/>
  <c r="B457" i="44" s="1"/>
  <c r="B458" i="44" s="1"/>
  <c r="B459" i="44" s="1"/>
  <c r="B460" i="44" s="1"/>
  <c r="B461" i="44" s="1"/>
  <c r="B462" i="44" s="1"/>
  <c r="B463" i="44" s="1"/>
  <c r="B464" i="44" s="1"/>
  <c r="B465" i="44" s="1"/>
  <c r="B466" i="44" s="1"/>
  <c r="B467" i="44" s="1"/>
  <c r="B468" i="44" s="1"/>
  <c r="B469" i="44" s="1"/>
  <c r="B470" i="44" s="1"/>
  <c r="B471" i="44" s="1"/>
  <c r="B472" i="44" s="1"/>
  <c r="B473" i="44" s="1"/>
  <c r="B474" i="44" s="1"/>
  <c r="B475" i="44" s="1"/>
  <c r="B476" i="44" s="1"/>
  <c r="B477" i="44" s="1"/>
  <c r="B478" i="44" s="1"/>
  <c r="B479" i="44" s="1"/>
  <c r="B480" i="44" s="1"/>
  <c r="B481" i="44" s="1"/>
  <c r="B482" i="44" s="1"/>
  <c r="B483" i="44" s="1"/>
  <c r="B484" i="44" s="1"/>
  <c r="B485" i="44" s="1"/>
  <c r="B486" i="44" s="1"/>
  <c r="B487" i="44" s="1"/>
  <c r="B488" i="44" s="1"/>
  <c r="B489" i="44" s="1"/>
  <c r="B490" i="44" s="1"/>
  <c r="B491" i="44" s="1"/>
  <c r="B492" i="44" s="1"/>
  <c r="B493" i="44" s="1"/>
  <c r="B494" i="44" s="1"/>
  <c r="B495" i="44" s="1"/>
  <c r="B496" i="44" s="1"/>
  <c r="B497" i="44" s="1"/>
  <c r="B498" i="44" s="1"/>
  <c r="B499" i="44" s="1"/>
  <c r="B500" i="44" s="1"/>
  <c r="B501" i="44" s="1"/>
  <c r="B502" i="44" s="1"/>
  <c r="B503" i="44" s="1"/>
  <c r="B504" i="44" s="1"/>
  <c r="B505" i="44" s="1"/>
  <c r="B506" i="44" s="1"/>
  <c r="B507" i="44" s="1"/>
  <c r="B508" i="44" s="1"/>
  <c r="B509" i="44" s="1"/>
  <c r="B510" i="44" s="1"/>
  <c r="B511" i="44" s="1"/>
  <c r="B512" i="44" s="1"/>
  <c r="B513" i="44" s="1"/>
  <c r="B514" i="44" s="1"/>
  <c r="B515" i="44" s="1"/>
  <c r="B516" i="44" s="1"/>
  <c r="B517" i="44" s="1"/>
  <c r="B518" i="44" s="1"/>
  <c r="B519" i="44" s="1"/>
  <c r="B520" i="44" s="1"/>
  <c r="B521" i="44" s="1"/>
  <c r="B522" i="44" s="1"/>
  <c r="B523" i="44" s="1"/>
  <c r="B524" i="44" s="1"/>
  <c r="B525" i="44" s="1"/>
  <c r="B526" i="44" s="1"/>
  <c r="B527" i="44" s="1"/>
  <c r="B528" i="44" s="1"/>
  <c r="B529" i="44" s="1"/>
  <c r="B530" i="44" s="1"/>
  <c r="B531" i="44" s="1"/>
  <c r="B532" i="44" s="1"/>
  <c r="B533" i="44" s="1"/>
  <c r="B534" i="44" s="1"/>
  <c r="B535" i="44" s="1"/>
  <c r="B536" i="44" s="1"/>
  <c r="B537" i="44" s="1"/>
  <c r="B538" i="44" s="1"/>
  <c r="B539" i="44" s="1"/>
  <c r="B540" i="44" s="1"/>
  <c r="B541" i="44" s="1"/>
  <c r="B542" i="44" s="1"/>
  <c r="B543" i="44" s="1"/>
  <c r="B544" i="44" s="1"/>
  <c r="B545" i="44" s="1"/>
  <c r="B546" i="44" s="1"/>
  <c r="B547" i="44" s="1"/>
  <c r="B548" i="44" s="1"/>
  <c r="B549" i="44" s="1"/>
  <c r="B550" i="44" s="1"/>
  <c r="B551" i="44" s="1"/>
  <c r="B552" i="44" s="1"/>
  <c r="B553" i="44" s="1"/>
  <c r="B554" i="44" s="1"/>
  <c r="B555" i="44" s="1"/>
  <c r="B556" i="44" s="1"/>
  <c r="B557" i="44" s="1"/>
  <c r="B558" i="44" s="1"/>
  <c r="B559" i="44" s="1"/>
  <c r="B560" i="44" s="1"/>
  <c r="B561" i="44" s="1"/>
  <c r="B562" i="44" s="1"/>
  <c r="B563" i="44" s="1"/>
  <c r="B564" i="44" s="1"/>
  <c r="B565" i="44" s="1"/>
  <c r="B566" i="44" s="1"/>
  <c r="B567" i="44" s="1"/>
  <c r="B568" i="44" s="1"/>
  <c r="B569" i="44" s="1"/>
  <c r="B570" i="44" s="1"/>
  <c r="B571" i="44" s="1"/>
  <c r="B572" i="44" s="1"/>
  <c r="B573" i="44" s="1"/>
  <c r="B574" i="44" s="1"/>
  <c r="B575" i="44" s="1"/>
  <c r="B576" i="44" s="1"/>
  <c r="B577" i="44" s="1"/>
  <c r="B578" i="44" s="1"/>
  <c r="B579" i="44" s="1"/>
  <c r="B580" i="44" s="1"/>
  <c r="B581" i="44" s="1"/>
  <c r="B582" i="44" s="1"/>
  <c r="B583" i="44" s="1"/>
  <c r="B584" i="44" s="1"/>
  <c r="B585" i="44" s="1"/>
  <c r="B586" i="44" s="1"/>
  <c r="B587" i="44" s="1"/>
  <c r="B588" i="44" s="1"/>
  <c r="B589" i="44" s="1"/>
  <c r="B590" i="44" s="1"/>
  <c r="B591" i="44" s="1"/>
  <c r="B592" i="44" s="1"/>
  <c r="B593" i="44" s="1"/>
  <c r="B594" i="44" s="1"/>
  <c r="B595" i="44" s="1"/>
  <c r="B596" i="44" s="1"/>
  <c r="B597" i="44" s="1"/>
  <c r="B598" i="44" s="1"/>
  <c r="B599" i="44" s="1"/>
  <c r="B600" i="44" s="1"/>
  <c r="B601" i="44" s="1"/>
  <c r="B602" i="44" s="1"/>
  <c r="B603" i="44" s="1"/>
  <c r="B604" i="44" s="1"/>
  <c r="B605" i="44" s="1"/>
  <c r="B606" i="44" s="1"/>
  <c r="B607" i="44" s="1"/>
  <c r="B608" i="44" s="1"/>
  <c r="B609" i="44" s="1"/>
  <c r="B610" i="44" s="1"/>
  <c r="B611" i="44" s="1"/>
  <c r="B612" i="44" s="1"/>
  <c r="B613" i="44" s="1"/>
  <c r="B614" i="44" s="1"/>
  <c r="B615" i="44" s="1"/>
  <c r="B616" i="44" s="1"/>
  <c r="B617" i="44" s="1"/>
  <c r="B618" i="44" s="1"/>
  <c r="B619" i="44" s="1"/>
  <c r="B620" i="44" s="1"/>
  <c r="B621" i="44" s="1"/>
  <c r="B622" i="44" s="1"/>
  <c r="B623" i="44" s="1"/>
  <c r="B624" i="44" s="1"/>
  <c r="B625" i="44" s="1"/>
  <c r="B626" i="44" s="1"/>
  <c r="B627" i="44" s="1"/>
  <c r="B628" i="44" s="1"/>
  <c r="B629" i="44" s="1"/>
  <c r="B630" i="44" s="1"/>
  <c r="B631" i="44" s="1"/>
  <c r="B632" i="44" s="1"/>
  <c r="B633" i="44" s="1"/>
  <c r="B634" i="44" s="1"/>
  <c r="B635" i="44" s="1"/>
  <c r="B636" i="44" s="1"/>
  <c r="B637" i="44" s="1"/>
  <c r="B638" i="44" s="1"/>
  <c r="B639" i="44" s="1"/>
  <c r="B640" i="44" s="1"/>
  <c r="B641" i="44" s="1"/>
  <c r="B642" i="44" s="1"/>
  <c r="B643" i="44" s="1"/>
  <c r="B644" i="44" s="1"/>
  <c r="B645" i="44" s="1"/>
  <c r="B646" i="44" s="1"/>
  <c r="B647" i="44" s="1"/>
  <c r="B648" i="44" s="1"/>
  <c r="B649" i="44" s="1"/>
  <c r="B650" i="44" s="1"/>
  <c r="B651" i="44" s="1"/>
  <c r="B652" i="44" s="1"/>
  <c r="B653" i="44" s="1"/>
  <c r="B654" i="44" s="1"/>
  <c r="B655" i="44" s="1"/>
  <c r="B656" i="44" s="1"/>
  <c r="B657" i="44" s="1"/>
  <c r="B658" i="44" s="1"/>
  <c r="B659" i="44" s="1"/>
  <c r="B660" i="44" s="1"/>
  <c r="B661" i="44" s="1"/>
  <c r="B662" i="44" s="1"/>
  <c r="B663" i="44" s="1"/>
  <c r="B664" i="44" s="1"/>
  <c r="B665" i="44" s="1"/>
  <c r="B666" i="44" s="1"/>
  <c r="B667" i="44" s="1"/>
  <c r="B668" i="44" s="1"/>
  <c r="B669" i="44" s="1"/>
  <c r="B670" i="44" s="1"/>
  <c r="B671" i="44" s="1"/>
  <c r="B672" i="44" s="1"/>
  <c r="B673" i="44" s="1"/>
  <c r="B674" i="44" s="1"/>
  <c r="B675" i="44" s="1"/>
  <c r="B676" i="44" s="1"/>
  <c r="B677" i="44" s="1"/>
  <c r="B678" i="44" s="1"/>
  <c r="B679" i="44" s="1"/>
  <c r="B680" i="44" s="1"/>
  <c r="B681" i="44" s="1"/>
  <c r="B682" i="44" s="1"/>
  <c r="B683" i="44" s="1"/>
  <c r="B684" i="44" s="1"/>
  <c r="B685" i="44" s="1"/>
  <c r="B686" i="44" s="1"/>
  <c r="B687" i="44" s="1"/>
  <c r="B688" i="44" s="1"/>
  <c r="B689" i="44" s="1"/>
  <c r="B690" i="44" s="1"/>
  <c r="B691" i="44" s="1"/>
  <c r="B692" i="44" s="1"/>
  <c r="B693" i="44" s="1"/>
  <c r="B694" i="44" s="1"/>
  <c r="B695" i="44" s="1"/>
  <c r="B696" i="44" s="1"/>
  <c r="B697" i="44" s="1"/>
  <c r="B698" i="44" s="1"/>
  <c r="B699" i="44" s="1"/>
  <c r="B700" i="44" s="1"/>
  <c r="B701" i="44" s="1"/>
  <c r="B702" i="44" s="1"/>
  <c r="B703" i="44" s="1"/>
  <c r="B704" i="44" s="1"/>
  <c r="B705" i="44" s="1"/>
  <c r="B706" i="44" s="1"/>
  <c r="B707" i="44" s="1"/>
  <c r="B708" i="44" s="1"/>
  <c r="B709" i="44" s="1"/>
  <c r="B710" i="44" s="1"/>
  <c r="B711" i="44" s="1"/>
  <c r="B712" i="44" s="1"/>
  <c r="B713" i="44" s="1"/>
  <c r="B714" i="44" s="1"/>
  <c r="B715" i="44" s="1"/>
  <c r="B716" i="44" s="1"/>
  <c r="B717" i="44" s="1"/>
  <c r="B718" i="44" s="1"/>
  <c r="B719" i="44" s="1"/>
  <c r="B720" i="44" s="1"/>
  <c r="B721" i="44" s="1"/>
  <c r="B722" i="44" s="1"/>
  <c r="B723" i="44" s="1"/>
  <c r="B724" i="44" s="1"/>
  <c r="B725" i="44" s="1"/>
  <c r="B726" i="44" s="1"/>
  <c r="B727" i="44" s="1"/>
  <c r="B728" i="44" s="1"/>
  <c r="B729" i="44" s="1"/>
  <c r="B730" i="44" s="1"/>
  <c r="B731" i="44" s="1"/>
  <c r="B732" i="44" s="1"/>
  <c r="B733" i="44" s="1"/>
  <c r="B734" i="44" s="1"/>
  <c r="B735" i="44" s="1"/>
  <c r="B736" i="44" s="1"/>
  <c r="B737" i="44" s="1"/>
  <c r="B738" i="44" s="1"/>
  <c r="B739" i="44" s="1"/>
  <c r="B740" i="44" s="1"/>
  <c r="B741" i="44" s="1"/>
  <c r="B742" i="44" s="1"/>
  <c r="B743" i="44" s="1"/>
  <c r="B744" i="44" s="1"/>
  <c r="B745" i="44" s="1"/>
  <c r="B746" i="44" s="1"/>
  <c r="B747" i="44" s="1"/>
  <c r="B748" i="44" s="1"/>
  <c r="B749" i="44" s="1"/>
  <c r="B750" i="44" s="1"/>
  <c r="B751" i="44" s="1"/>
  <c r="B752" i="44" s="1"/>
  <c r="B753" i="44" s="1"/>
  <c r="B754" i="44" s="1"/>
  <c r="B755" i="44" s="1"/>
  <c r="B756" i="44" s="1"/>
  <c r="B757" i="44" s="1"/>
  <c r="B758" i="44" s="1"/>
  <c r="B759" i="44" s="1"/>
  <c r="B760" i="44" s="1"/>
  <c r="B761" i="44" s="1"/>
  <c r="B762" i="44" s="1"/>
  <c r="B763" i="44" s="1"/>
  <c r="B764" i="44" s="1"/>
  <c r="B765" i="44" s="1"/>
  <c r="B766" i="44" s="1"/>
  <c r="B767" i="44" s="1"/>
  <c r="B768" i="44" s="1"/>
  <c r="B769" i="44" s="1"/>
  <c r="B770" i="44" s="1"/>
  <c r="B771" i="44" s="1"/>
  <c r="B772" i="44" s="1"/>
  <c r="B773" i="44" s="1"/>
  <c r="B774" i="44" s="1"/>
  <c r="B775" i="44" s="1"/>
  <c r="B776" i="44" s="1"/>
  <c r="B777" i="44" s="1"/>
  <c r="B778" i="44" s="1"/>
  <c r="B779" i="44" s="1"/>
  <c r="B780" i="44" s="1"/>
  <c r="B781" i="44" s="1"/>
  <c r="B782" i="44" s="1"/>
  <c r="B783" i="44" s="1"/>
  <c r="B784" i="44" s="1"/>
  <c r="B785" i="44" s="1"/>
  <c r="B786" i="44" s="1"/>
  <c r="B787" i="44" s="1"/>
  <c r="B788" i="44" s="1"/>
  <c r="B789" i="44" s="1"/>
  <c r="B790" i="44" s="1"/>
  <c r="B791" i="44" s="1"/>
  <c r="B792" i="44" s="1"/>
  <c r="B793" i="44" s="1"/>
  <c r="B794" i="44" s="1"/>
  <c r="B795" i="44" s="1"/>
  <c r="B796" i="44" s="1"/>
  <c r="B797" i="44" s="1"/>
  <c r="B798" i="44" s="1"/>
  <c r="B799" i="44" s="1"/>
  <c r="B800" i="44" s="1"/>
  <c r="B801" i="44" s="1"/>
  <c r="B802" i="44" s="1"/>
  <c r="B803" i="44" s="1"/>
  <c r="B804" i="44" s="1"/>
  <c r="B805" i="44" s="1"/>
  <c r="B806" i="44" s="1"/>
  <c r="B807" i="44" s="1"/>
  <c r="B808" i="44" s="1"/>
  <c r="B809" i="44" s="1"/>
  <c r="B810" i="44" s="1"/>
  <c r="B811" i="44" s="1"/>
  <c r="B812" i="44" s="1"/>
  <c r="B813" i="44" s="1"/>
  <c r="B814" i="44" s="1"/>
  <c r="B815" i="44" s="1"/>
  <c r="B816" i="44" s="1"/>
  <c r="B817" i="44" s="1"/>
  <c r="B818" i="44" s="1"/>
  <c r="B819" i="44" s="1"/>
  <c r="B820" i="44" s="1"/>
  <c r="B821" i="44" s="1"/>
  <c r="B822" i="44" s="1"/>
  <c r="B823" i="44" s="1"/>
  <c r="B824" i="44" s="1"/>
  <c r="B825" i="44" s="1"/>
  <c r="B826" i="44" s="1"/>
  <c r="B827" i="44" s="1"/>
  <c r="B828" i="44" s="1"/>
  <c r="B829" i="44" s="1"/>
  <c r="B830" i="44" s="1"/>
  <c r="B831" i="44" s="1"/>
  <c r="B832" i="44" s="1"/>
  <c r="B833" i="44" s="1"/>
  <c r="B834" i="44" s="1"/>
  <c r="B835" i="44" s="1"/>
  <c r="B836" i="44" s="1"/>
  <c r="B837" i="44" s="1"/>
  <c r="B838" i="44" s="1"/>
  <c r="B839" i="44" s="1"/>
  <c r="B840" i="44" s="1"/>
  <c r="B841" i="44" s="1"/>
  <c r="B842" i="44" s="1"/>
  <c r="B843" i="44" s="1"/>
  <c r="B844" i="44" s="1"/>
  <c r="B845" i="44" s="1"/>
  <c r="B846" i="44" s="1"/>
  <c r="B847" i="44" s="1"/>
  <c r="B848" i="44" s="1"/>
  <c r="B849" i="44" s="1"/>
  <c r="B850" i="44" s="1"/>
  <c r="B851" i="44" s="1"/>
  <c r="B852" i="44" s="1"/>
  <c r="B853" i="44" s="1"/>
  <c r="B854" i="44" s="1"/>
  <c r="B855" i="44" s="1"/>
  <c r="B856" i="44" s="1"/>
  <c r="B857" i="44" s="1"/>
  <c r="B858" i="44" s="1"/>
  <c r="B859" i="44" s="1"/>
  <c r="B860" i="44" s="1"/>
  <c r="B861" i="44" s="1"/>
  <c r="B862" i="44" s="1"/>
  <c r="B863" i="44" s="1"/>
  <c r="B864" i="44" s="1"/>
  <c r="B865" i="44" s="1"/>
  <c r="B866" i="44" s="1"/>
  <c r="B867" i="44" s="1"/>
  <c r="B868" i="44" s="1"/>
  <c r="B869" i="44" s="1"/>
  <c r="B870" i="44" s="1"/>
  <c r="B871" i="44" s="1"/>
  <c r="B872" i="44" s="1"/>
  <c r="B873" i="44" s="1"/>
  <c r="B874" i="44" s="1"/>
  <c r="B875" i="44" s="1"/>
  <c r="B876" i="44" s="1"/>
  <c r="B877" i="44" s="1"/>
  <c r="B878" i="44" s="1"/>
  <c r="B879" i="44" s="1"/>
  <c r="B880" i="44" s="1"/>
  <c r="B881" i="44" s="1"/>
  <c r="B882" i="44" s="1"/>
  <c r="B883" i="44" s="1"/>
  <c r="B884" i="44" s="1"/>
  <c r="B885" i="44" s="1"/>
  <c r="B886" i="44" s="1"/>
  <c r="B887" i="44" s="1"/>
  <c r="B888" i="44" s="1"/>
  <c r="B889" i="44" s="1"/>
  <c r="B890" i="44" s="1"/>
  <c r="B891" i="44" s="1"/>
  <c r="B892" i="44" s="1"/>
  <c r="B893" i="44" s="1"/>
  <c r="B894" i="44" s="1"/>
  <c r="B895" i="44" s="1"/>
  <c r="B896" i="44" s="1"/>
  <c r="B897" i="44" s="1"/>
  <c r="B898" i="44" s="1"/>
  <c r="B899" i="44" s="1"/>
  <c r="B900" i="44" s="1"/>
  <c r="B901" i="44" s="1"/>
  <c r="B902" i="44" s="1"/>
  <c r="B903" i="44" s="1"/>
  <c r="B904" i="44" s="1"/>
  <c r="B905" i="44" s="1"/>
  <c r="B906" i="44" s="1"/>
  <c r="B907" i="44" s="1"/>
  <c r="B908" i="44" s="1"/>
  <c r="B909" i="44" s="1"/>
  <c r="B910" i="44" s="1"/>
  <c r="B911" i="44" s="1"/>
  <c r="B912" i="44" s="1"/>
  <c r="B913" i="44" s="1"/>
  <c r="B914" i="44" s="1"/>
  <c r="B915" i="44" s="1"/>
  <c r="B916" i="44" s="1"/>
  <c r="B917" i="44" s="1"/>
  <c r="B918" i="44" s="1"/>
  <c r="B919" i="44" s="1"/>
  <c r="B920" i="44" s="1"/>
  <c r="B921" i="44" s="1"/>
  <c r="B922" i="44" s="1"/>
  <c r="B923" i="44" s="1"/>
  <c r="B924" i="44" s="1"/>
  <c r="B925" i="44" s="1"/>
  <c r="B926" i="44" s="1"/>
  <c r="B927" i="44" s="1"/>
  <c r="B928" i="44" s="1"/>
  <c r="B929" i="44" s="1"/>
  <c r="B930" i="44" s="1"/>
  <c r="B931" i="44" s="1"/>
  <c r="B932" i="44" s="1"/>
  <c r="B933" i="44" s="1"/>
  <c r="B934" i="44" s="1"/>
  <c r="B935" i="44" s="1"/>
  <c r="B936" i="44" s="1"/>
  <c r="B937" i="44" s="1"/>
  <c r="B938" i="44" s="1"/>
  <c r="B939" i="44" s="1"/>
  <c r="B940" i="44" s="1"/>
  <c r="B941" i="44" s="1"/>
  <c r="B942" i="44" s="1"/>
  <c r="B943" i="44" s="1"/>
  <c r="B944" i="44" s="1"/>
  <c r="B945" i="44" s="1"/>
  <c r="B946" i="44" s="1"/>
  <c r="B947" i="44" s="1"/>
  <c r="B948" i="44" s="1"/>
  <c r="B949" i="44" s="1"/>
  <c r="B950" i="44" s="1"/>
  <c r="B951" i="44" s="1"/>
  <c r="B952" i="44" s="1"/>
  <c r="B953" i="44" s="1"/>
  <c r="B954" i="44" s="1"/>
  <c r="B955" i="44" s="1"/>
  <c r="B956" i="44" s="1"/>
  <c r="B957" i="44" s="1"/>
  <c r="B958" i="44" s="1"/>
  <c r="B959" i="44" s="1"/>
  <c r="B960" i="44" s="1"/>
  <c r="B961" i="44" s="1"/>
  <c r="B962" i="44" s="1"/>
  <c r="B963" i="44" s="1"/>
  <c r="B964" i="44" s="1"/>
  <c r="B965" i="44" s="1"/>
  <c r="B966" i="44" s="1"/>
  <c r="B967" i="44" s="1"/>
  <c r="B968" i="44" s="1"/>
  <c r="B969" i="44" s="1"/>
  <c r="B970" i="44" s="1"/>
  <c r="B971" i="44" s="1"/>
  <c r="B972" i="44" s="1"/>
  <c r="B973" i="44" s="1"/>
  <c r="B974" i="44" s="1"/>
  <c r="B975" i="44" s="1"/>
  <c r="B976" i="44" s="1"/>
  <c r="B977" i="44" s="1"/>
  <c r="B978" i="44" s="1"/>
  <c r="B979" i="44" s="1"/>
  <c r="B980" i="44" s="1"/>
  <c r="B981" i="44" s="1"/>
  <c r="B982" i="44" s="1"/>
  <c r="B983" i="44" s="1"/>
  <c r="B984" i="44" s="1"/>
  <c r="B985" i="44" s="1"/>
  <c r="B986" i="44" s="1"/>
  <c r="B987" i="44" s="1"/>
  <c r="B988" i="44" s="1"/>
  <c r="B989" i="44" s="1"/>
  <c r="B990" i="44" s="1"/>
  <c r="B991" i="44" s="1"/>
  <c r="B992" i="44" s="1"/>
  <c r="B993" i="44" s="1"/>
  <c r="B994" i="44" s="1"/>
  <c r="B995" i="44" s="1"/>
  <c r="B996" i="44" s="1"/>
  <c r="B997" i="44" s="1"/>
  <c r="B998" i="44" s="1"/>
  <c r="B999" i="44" s="1"/>
  <c r="B1000" i="44" s="1"/>
  <c r="B13" i="44"/>
  <c r="A3" i="44"/>
  <c r="A4" i="44" s="1"/>
  <c r="A5" i="44" s="1"/>
  <c r="A6" i="44" s="1"/>
  <c r="A7" i="44" s="1"/>
  <c r="A8" i="44" s="1"/>
  <c r="A9" i="44" s="1"/>
  <c r="A10" i="44" s="1"/>
  <c r="A11" i="44" s="1"/>
  <c r="A12" i="44" s="1"/>
  <c r="A13" i="44" s="1"/>
  <c r="A14" i="44" s="1"/>
  <c r="A15" i="44" s="1"/>
  <c r="A16" i="44" s="1"/>
  <c r="A17" i="44" s="1"/>
  <c r="A18" i="44" s="1"/>
  <c r="A19" i="44" s="1"/>
  <c r="A20" i="44" s="1"/>
  <c r="A21" i="44" s="1"/>
  <c r="A22" i="44" s="1"/>
  <c r="A23" i="44" s="1"/>
  <c r="A24" i="44" s="1"/>
  <c r="A25" i="44" s="1"/>
  <c r="A26" i="44" s="1"/>
  <c r="A27" i="44" s="1"/>
  <c r="A28" i="44" s="1"/>
  <c r="A29" i="44" s="1"/>
  <c r="A30" i="44" s="1"/>
  <c r="A31" i="44" s="1"/>
  <c r="A32" i="44" s="1"/>
  <c r="A33" i="44" s="1"/>
  <c r="A34" i="44" s="1"/>
  <c r="A35" i="44" s="1"/>
  <c r="A36" i="44" s="1"/>
  <c r="A37" i="44" s="1"/>
  <c r="A38" i="44" s="1"/>
  <c r="A39" i="44" s="1"/>
  <c r="A40" i="44" s="1"/>
  <c r="A41" i="44" s="1"/>
  <c r="A42" i="44" s="1"/>
  <c r="A43" i="44" s="1"/>
  <c r="A44" i="44" s="1"/>
  <c r="A45" i="44" s="1"/>
  <c r="A46" i="44" s="1"/>
  <c r="A47" i="44" s="1"/>
  <c r="A48" i="44" s="1"/>
  <c r="A49" i="44" s="1"/>
  <c r="A50" i="44" s="1"/>
  <c r="A51" i="44" s="1"/>
  <c r="A52" i="44" s="1"/>
  <c r="A53" i="44" s="1"/>
  <c r="A54" i="44" s="1"/>
  <c r="A55" i="44" s="1"/>
  <c r="A56" i="44" s="1"/>
  <c r="A57" i="44" s="1"/>
  <c r="A58" i="44" s="1"/>
  <c r="A59" i="44" s="1"/>
  <c r="A60" i="44" s="1"/>
  <c r="A61" i="44" s="1"/>
  <c r="A62" i="44" s="1"/>
  <c r="A63" i="44" s="1"/>
  <c r="A64" i="44" s="1"/>
  <c r="A65" i="44" s="1"/>
  <c r="A66" i="44" s="1"/>
  <c r="A67" i="44" s="1"/>
  <c r="A68" i="44" s="1"/>
  <c r="A69" i="44" s="1"/>
  <c r="A70" i="44" s="1"/>
  <c r="A71" i="44" s="1"/>
  <c r="A72" i="44" s="1"/>
  <c r="A73" i="44" s="1"/>
  <c r="A74" i="44" s="1"/>
  <c r="A75" i="44" s="1"/>
  <c r="A76" i="44" s="1"/>
  <c r="A77" i="44" s="1"/>
  <c r="A78" i="44" s="1"/>
  <c r="A79" i="44" s="1"/>
  <c r="A80" i="44" s="1"/>
  <c r="A81" i="44" s="1"/>
  <c r="A82" i="44" s="1"/>
  <c r="A83" i="44" s="1"/>
  <c r="A84" i="44" s="1"/>
  <c r="A85" i="44" s="1"/>
  <c r="A86" i="44" s="1"/>
  <c r="A87" i="44" s="1"/>
  <c r="A88" i="44" s="1"/>
  <c r="A89" i="44" s="1"/>
  <c r="A90" i="44" s="1"/>
  <c r="A91" i="44" s="1"/>
  <c r="A92" i="44" s="1"/>
  <c r="A93" i="44" s="1"/>
  <c r="A94" i="44" s="1"/>
  <c r="A95" i="44" s="1"/>
  <c r="A96" i="44" s="1"/>
  <c r="A97" i="44" s="1"/>
  <c r="A98" i="44" s="1"/>
  <c r="A99" i="44" s="1"/>
  <c r="A100" i="44" s="1"/>
  <c r="A101" i="44" s="1"/>
  <c r="A102" i="44" s="1"/>
  <c r="A103" i="44" s="1"/>
  <c r="A104" i="44" s="1"/>
  <c r="A105" i="44" s="1"/>
  <c r="A106" i="44" s="1"/>
  <c r="A107" i="44" s="1"/>
  <c r="A108" i="44" s="1"/>
  <c r="A109" i="44" s="1"/>
  <c r="A110" i="44" s="1"/>
  <c r="A111" i="44" s="1"/>
  <c r="A112" i="44" s="1"/>
  <c r="A113" i="44" s="1"/>
  <c r="A114" i="44" s="1"/>
  <c r="A115" i="44" s="1"/>
  <c r="A116" i="44" s="1"/>
  <c r="A117" i="44" s="1"/>
  <c r="A118" i="44" s="1"/>
  <c r="A119" i="44" s="1"/>
  <c r="A120" i="44" s="1"/>
  <c r="A121" i="44" s="1"/>
  <c r="A122" i="44" s="1"/>
  <c r="A123" i="44" s="1"/>
  <c r="A124" i="44" s="1"/>
  <c r="A125" i="44" s="1"/>
  <c r="A126" i="44" s="1"/>
  <c r="A127" i="44" s="1"/>
  <c r="A128" i="44" s="1"/>
  <c r="A129" i="44" s="1"/>
  <c r="A130" i="44" s="1"/>
  <c r="A131" i="44" s="1"/>
  <c r="A132" i="44" s="1"/>
  <c r="A133" i="44" s="1"/>
  <c r="A134" i="44" s="1"/>
  <c r="A135" i="44" s="1"/>
  <c r="A136" i="44" s="1"/>
  <c r="A137" i="44" s="1"/>
  <c r="A138" i="44" s="1"/>
  <c r="A139" i="44" s="1"/>
  <c r="A140" i="44" s="1"/>
  <c r="A141" i="44" s="1"/>
  <c r="A142" i="44" s="1"/>
  <c r="A143" i="44" s="1"/>
  <c r="A144" i="44" s="1"/>
  <c r="A145" i="44" s="1"/>
  <c r="A146" i="44" s="1"/>
  <c r="A147" i="44" s="1"/>
  <c r="A148" i="44" s="1"/>
  <c r="A149" i="44" s="1"/>
  <c r="A150" i="44" s="1"/>
  <c r="A151" i="44" s="1"/>
  <c r="A152" i="44" s="1"/>
  <c r="A153" i="44" s="1"/>
  <c r="A154" i="44" s="1"/>
  <c r="A155" i="44" s="1"/>
  <c r="A156" i="44" s="1"/>
  <c r="A157" i="44" s="1"/>
  <c r="A158" i="44" s="1"/>
  <c r="A159" i="44" s="1"/>
  <c r="A160" i="44" s="1"/>
  <c r="A161" i="44" s="1"/>
  <c r="A162" i="44" s="1"/>
  <c r="A163" i="44" s="1"/>
  <c r="A164" i="44" s="1"/>
  <c r="A165" i="44" s="1"/>
  <c r="A166" i="44" s="1"/>
  <c r="A167" i="44" s="1"/>
  <c r="A168" i="44" s="1"/>
  <c r="A169" i="44" s="1"/>
  <c r="A170" i="44" s="1"/>
  <c r="A171" i="44" s="1"/>
  <c r="A172" i="44" s="1"/>
  <c r="A173" i="44" s="1"/>
  <c r="A174" i="44" s="1"/>
  <c r="A175" i="44" s="1"/>
  <c r="A176" i="44" s="1"/>
  <c r="A177" i="44" s="1"/>
  <c r="A178" i="44" s="1"/>
  <c r="A179" i="44" s="1"/>
  <c r="A180" i="44" s="1"/>
  <c r="A181" i="44" s="1"/>
  <c r="A182" i="44" s="1"/>
  <c r="A183" i="44" s="1"/>
  <c r="A184" i="44" s="1"/>
  <c r="A185" i="44" s="1"/>
  <c r="A186" i="44" s="1"/>
  <c r="A187" i="44" s="1"/>
  <c r="A188" i="44" s="1"/>
  <c r="A189" i="44" s="1"/>
  <c r="A190" i="44" s="1"/>
  <c r="A191" i="44" s="1"/>
  <c r="A192" i="44" s="1"/>
  <c r="A193" i="44" s="1"/>
  <c r="A194" i="44" s="1"/>
  <c r="A195" i="44" s="1"/>
  <c r="A196" i="44" s="1"/>
  <c r="A197" i="44" s="1"/>
  <c r="A198" i="44" s="1"/>
  <c r="A199" i="44" s="1"/>
  <c r="A200" i="44" s="1"/>
  <c r="A201" i="44" s="1"/>
  <c r="A202" i="44" s="1"/>
  <c r="A203" i="44" s="1"/>
  <c r="A204" i="44" s="1"/>
  <c r="A205" i="44" s="1"/>
  <c r="A206" i="44" s="1"/>
  <c r="A207" i="44" s="1"/>
  <c r="A208" i="44" s="1"/>
  <c r="A209" i="44" s="1"/>
  <c r="A210" i="44" s="1"/>
  <c r="A211" i="44" s="1"/>
  <c r="A212" i="44" s="1"/>
  <c r="A213" i="44" s="1"/>
  <c r="A214" i="44" s="1"/>
  <c r="A215" i="44" s="1"/>
  <c r="A216" i="44" s="1"/>
  <c r="A217" i="44" s="1"/>
  <c r="A218" i="44" s="1"/>
  <c r="A219" i="44" s="1"/>
  <c r="A220" i="44" s="1"/>
  <c r="A221" i="44" s="1"/>
  <c r="A222" i="44" s="1"/>
  <c r="A223" i="44" s="1"/>
  <c r="A224" i="44" s="1"/>
  <c r="A225" i="44" s="1"/>
  <c r="A226" i="44" s="1"/>
  <c r="A227" i="44" s="1"/>
  <c r="A228" i="44" s="1"/>
  <c r="A229" i="44" s="1"/>
  <c r="A230" i="44" s="1"/>
  <c r="A231" i="44" s="1"/>
  <c r="A232" i="44" s="1"/>
  <c r="A233" i="44" s="1"/>
  <c r="A234" i="44" s="1"/>
  <c r="A235" i="44" s="1"/>
  <c r="A236" i="44" s="1"/>
  <c r="A237" i="44" s="1"/>
  <c r="A238" i="44" s="1"/>
  <c r="A239" i="44" s="1"/>
  <c r="A240" i="44" s="1"/>
  <c r="A241" i="44" s="1"/>
  <c r="A242" i="44" s="1"/>
  <c r="A243" i="44" s="1"/>
  <c r="A244" i="44" s="1"/>
  <c r="A245" i="44" s="1"/>
  <c r="A246" i="44" s="1"/>
  <c r="A247" i="44" s="1"/>
  <c r="A248" i="44" s="1"/>
  <c r="A249" i="44" s="1"/>
  <c r="A250" i="44" s="1"/>
  <c r="A251" i="44" s="1"/>
  <c r="A252" i="44" s="1"/>
  <c r="A253" i="44" s="1"/>
  <c r="A254" i="44" s="1"/>
  <c r="A255" i="44" s="1"/>
  <c r="A256" i="44" s="1"/>
  <c r="A257" i="44" s="1"/>
  <c r="A258" i="44" s="1"/>
  <c r="A259" i="44" s="1"/>
  <c r="A260" i="44" s="1"/>
  <c r="A261" i="44" s="1"/>
  <c r="A262" i="44" s="1"/>
  <c r="A263" i="44" s="1"/>
  <c r="A264" i="44" s="1"/>
  <c r="A265" i="44" s="1"/>
  <c r="A266" i="44" s="1"/>
  <c r="A267" i="44" s="1"/>
  <c r="A268" i="44" s="1"/>
  <c r="A269" i="44" s="1"/>
  <c r="A270" i="44" s="1"/>
  <c r="A271" i="44" s="1"/>
  <c r="A272" i="44" s="1"/>
  <c r="A273" i="44" s="1"/>
  <c r="A274" i="44" s="1"/>
  <c r="A275" i="44" s="1"/>
  <c r="A276" i="44" s="1"/>
  <c r="A277" i="44" s="1"/>
  <c r="A278" i="44" s="1"/>
  <c r="A279" i="44" s="1"/>
  <c r="A280" i="44" s="1"/>
  <c r="A281" i="44" s="1"/>
  <c r="A282" i="44" s="1"/>
  <c r="A283" i="44" s="1"/>
  <c r="A284" i="44" s="1"/>
  <c r="A285" i="44" s="1"/>
  <c r="A286" i="44" s="1"/>
  <c r="A287" i="44" s="1"/>
  <c r="A288" i="44" s="1"/>
  <c r="A289" i="44" s="1"/>
  <c r="A290" i="44" s="1"/>
  <c r="A291" i="44" s="1"/>
  <c r="A292" i="44" s="1"/>
  <c r="A293" i="44" s="1"/>
  <c r="A294" i="44" s="1"/>
  <c r="A295" i="44" s="1"/>
  <c r="A296" i="44" s="1"/>
  <c r="A297" i="44" s="1"/>
  <c r="A298" i="44" s="1"/>
  <c r="A299" i="44" s="1"/>
  <c r="A300" i="44" s="1"/>
  <c r="A301" i="44" s="1"/>
  <c r="A302" i="44" s="1"/>
  <c r="A303" i="44" s="1"/>
  <c r="A304" i="44" s="1"/>
  <c r="A305" i="44" s="1"/>
  <c r="A306" i="44" s="1"/>
  <c r="A307" i="44" s="1"/>
  <c r="A308" i="44" s="1"/>
  <c r="A309" i="44" s="1"/>
  <c r="A310" i="44" s="1"/>
  <c r="A311" i="44" s="1"/>
  <c r="A312" i="44" s="1"/>
  <c r="A313" i="44" s="1"/>
  <c r="A314" i="44" s="1"/>
  <c r="A315" i="44" s="1"/>
  <c r="A316" i="44" s="1"/>
  <c r="A317" i="44" s="1"/>
  <c r="A318" i="44" s="1"/>
  <c r="A319" i="44" s="1"/>
  <c r="A320" i="44" s="1"/>
  <c r="A321" i="44" s="1"/>
  <c r="A322" i="44" s="1"/>
  <c r="A323" i="44" s="1"/>
  <c r="A324" i="44" s="1"/>
  <c r="A325" i="44" s="1"/>
  <c r="A326" i="44" s="1"/>
  <c r="A327" i="44" s="1"/>
  <c r="A328" i="44" s="1"/>
  <c r="A329" i="44" s="1"/>
  <c r="A330" i="44" s="1"/>
  <c r="A331" i="44" s="1"/>
  <c r="A332" i="44" s="1"/>
  <c r="A333" i="44" s="1"/>
  <c r="A334" i="44" s="1"/>
  <c r="A335" i="44" s="1"/>
  <c r="A336" i="44" s="1"/>
  <c r="A337" i="44" s="1"/>
  <c r="A338" i="44" s="1"/>
  <c r="A339" i="44" s="1"/>
  <c r="A340" i="44" s="1"/>
  <c r="A341" i="44" s="1"/>
  <c r="A342" i="44" s="1"/>
  <c r="A343" i="44" s="1"/>
  <c r="A344" i="44" s="1"/>
  <c r="A345" i="44" s="1"/>
  <c r="A346" i="44" s="1"/>
  <c r="A347" i="44" s="1"/>
  <c r="A348" i="44" s="1"/>
  <c r="A349" i="44" s="1"/>
  <c r="A350" i="44" s="1"/>
  <c r="A351" i="44" s="1"/>
  <c r="A352" i="44" s="1"/>
  <c r="A353" i="44" s="1"/>
  <c r="A354" i="44" s="1"/>
  <c r="A355" i="44" s="1"/>
  <c r="A356" i="44" s="1"/>
  <c r="A357" i="44" s="1"/>
  <c r="A358" i="44" s="1"/>
  <c r="A359" i="44" s="1"/>
  <c r="A360" i="44" s="1"/>
  <c r="A361" i="44" s="1"/>
  <c r="A362" i="44" s="1"/>
  <c r="A363" i="44" s="1"/>
  <c r="A364" i="44" s="1"/>
  <c r="A365" i="44" s="1"/>
  <c r="A366" i="44" s="1"/>
  <c r="A367" i="44" s="1"/>
  <c r="A368" i="44" s="1"/>
  <c r="A369" i="44" s="1"/>
  <c r="A370" i="44" s="1"/>
  <c r="A371" i="44" s="1"/>
  <c r="A372" i="44" s="1"/>
  <c r="A373" i="44" s="1"/>
  <c r="A374" i="44" s="1"/>
  <c r="A375" i="44" s="1"/>
  <c r="A376" i="44" s="1"/>
  <c r="A377" i="44" s="1"/>
  <c r="A378" i="44" s="1"/>
  <c r="A379" i="44" s="1"/>
  <c r="A380" i="44" s="1"/>
  <c r="A381" i="44" s="1"/>
  <c r="A382" i="44" s="1"/>
  <c r="A383" i="44" s="1"/>
  <c r="A384" i="44" s="1"/>
  <c r="A385" i="44" s="1"/>
  <c r="A386" i="44" s="1"/>
  <c r="A387" i="44" s="1"/>
  <c r="A388" i="44" s="1"/>
  <c r="A389" i="44" s="1"/>
  <c r="A390" i="44" s="1"/>
  <c r="A391" i="44" s="1"/>
  <c r="A392" i="44" s="1"/>
  <c r="A393" i="44" s="1"/>
  <c r="A394" i="44" s="1"/>
  <c r="A395" i="44" s="1"/>
  <c r="A396" i="44" s="1"/>
  <c r="A397" i="44" s="1"/>
  <c r="A398" i="44" s="1"/>
  <c r="A399" i="44" s="1"/>
  <c r="A400" i="44" s="1"/>
  <c r="A401" i="44" s="1"/>
  <c r="A402" i="44" s="1"/>
  <c r="A403" i="44" s="1"/>
  <c r="A404" i="44" s="1"/>
  <c r="A405" i="44" s="1"/>
  <c r="A406" i="44" s="1"/>
  <c r="A407" i="44" s="1"/>
  <c r="A408" i="44" s="1"/>
  <c r="A409" i="44" s="1"/>
  <c r="A410" i="44" s="1"/>
  <c r="A411" i="44" s="1"/>
  <c r="A412" i="44" s="1"/>
  <c r="A413" i="44" s="1"/>
  <c r="A414" i="44" s="1"/>
  <c r="A415" i="44" s="1"/>
  <c r="A416" i="44" s="1"/>
  <c r="A417" i="44" s="1"/>
  <c r="A418" i="44" s="1"/>
  <c r="A419" i="44" s="1"/>
  <c r="A420" i="44" s="1"/>
  <c r="A421" i="44" s="1"/>
  <c r="A422" i="44" s="1"/>
  <c r="A423" i="44" s="1"/>
  <c r="A424" i="44" s="1"/>
  <c r="A425" i="44" s="1"/>
  <c r="A426" i="44" s="1"/>
  <c r="A427" i="44" s="1"/>
  <c r="A428" i="44" s="1"/>
  <c r="A429" i="44" s="1"/>
  <c r="A430" i="44" s="1"/>
  <c r="A431" i="44" s="1"/>
  <c r="A432" i="44" s="1"/>
  <c r="A433" i="44" s="1"/>
  <c r="A434" i="44" s="1"/>
  <c r="A435" i="44" s="1"/>
  <c r="A436" i="44" s="1"/>
  <c r="A437" i="44" s="1"/>
  <c r="A438" i="44" s="1"/>
  <c r="A439" i="44" s="1"/>
  <c r="A440" i="44" s="1"/>
  <c r="A441" i="44" s="1"/>
  <c r="A442" i="44" s="1"/>
  <c r="A443" i="44" s="1"/>
  <c r="A444" i="44" s="1"/>
  <c r="A445" i="44" s="1"/>
  <c r="A446" i="44" s="1"/>
  <c r="A447" i="44" s="1"/>
  <c r="A448" i="44" s="1"/>
  <c r="A449" i="44" s="1"/>
  <c r="A450" i="44" s="1"/>
  <c r="A451" i="44" s="1"/>
  <c r="A452" i="44" s="1"/>
  <c r="A453" i="44" s="1"/>
  <c r="A454" i="44" s="1"/>
  <c r="A455" i="44" s="1"/>
  <c r="A456" i="44" s="1"/>
  <c r="A457" i="44" s="1"/>
  <c r="A458" i="44" s="1"/>
  <c r="A459" i="44" s="1"/>
  <c r="A460" i="44" s="1"/>
  <c r="A461" i="44" s="1"/>
  <c r="A462" i="44" s="1"/>
  <c r="A463" i="44" s="1"/>
  <c r="A464" i="44" s="1"/>
  <c r="A465" i="44" s="1"/>
  <c r="A466" i="44" s="1"/>
  <c r="A467" i="44" s="1"/>
  <c r="A468" i="44" s="1"/>
  <c r="A469" i="44" s="1"/>
  <c r="A470" i="44" s="1"/>
  <c r="A471" i="44" s="1"/>
  <c r="A472" i="44" s="1"/>
  <c r="A473" i="44" s="1"/>
  <c r="A474" i="44" s="1"/>
  <c r="A475" i="44" s="1"/>
  <c r="A476" i="44" s="1"/>
  <c r="A477" i="44" s="1"/>
  <c r="A478" i="44" s="1"/>
  <c r="A479" i="44" s="1"/>
  <c r="A480" i="44" s="1"/>
  <c r="A481" i="44" s="1"/>
  <c r="A482" i="44" s="1"/>
  <c r="A483" i="44" s="1"/>
  <c r="A484" i="44" s="1"/>
  <c r="A485" i="44" s="1"/>
  <c r="A486" i="44" s="1"/>
  <c r="A487" i="44" s="1"/>
  <c r="A488" i="44" s="1"/>
  <c r="A489" i="44" s="1"/>
  <c r="A490" i="44" s="1"/>
  <c r="A491" i="44" s="1"/>
  <c r="A492" i="44" s="1"/>
  <c r="A493" i="44" s="1"/>
  <c r="A494" i="44" s="1"/>
  <c r="A495" i="44" s="1"/>
  <c r="A496" i="44" s="1"/>
  <c r="A497" i="44" s="1"/>
  <c r="A498" i="44" s="1"/>
  <c r="A499" i="44" s="1"/>
  <c r="A500" i="44" s="1"/>
  <c r="A501" i="44" s="1"/>
  <c r="A502" i="44" s="1"/>
  <c r="A503" i="44" s="1"/>
  <c r="A504" i="44" s="1"/>
  <c r="A505" i="44" s="1"/>
  <c r="A506" i="44" s="1"/>
  <c r="A507" i="44" s="1"/>
  <c r="A508" i="44" s="1"/>
  <c r="A509" i="44" s="1"/>
  <c r="A510" i="44" s="1"/>
  <c r="A511" i="44" s="1"/>
  <c r="A512" i="44" s="1"/>
  <c r="A513" i="44" s="1"/>
  <c r="A514" i="44" s="1"/>
  <c r="A515" i="44" s="1"/>
  <c r="A516" i="44" s="1"/>
  <c r="A517" i="44" s="1"/>
  <c r="A518" i="44" s="1"/>
  <c r="A519" i="44" s="1"/>
  <c r="A520" i="44" s="1"/>
  <c r="A521" i="44" s="1"/>
  <c r="A522" i="44" s="1"/>
  <c r="A523" i="44" s="1"/>
  <c r="A524" i="44" s="1"/>
  <c r="A525" i="44" s="1"/>
  <c r="A526" i="44" s="1"/>
  <c r="A527" i="44" s="1"/>
  <c r="A528" i="44" s="1"/>
  <c r="A529" i="44" s="1"/>
  <c r="A530" i="44" s="1"/>
  <c r="A531" i="44" s="1"/>
  <c r="A532" i="44" s="1"/>
  <c r="A533" i="44" s="1"/>
  <c r="A534" i="44" s="1"/>
  <c r="A535" i="44" s="1"/>
  <c r="A536" i="44" s="1"/>
  <c r="A537" i="44" s="1"/>
  <c r="A538" i="44" s="1"/>
  <c r="A539" i="44" s="1"/>
  <c r="A540" i="44" s="1"/>
  <c r="A541" i="44" s="1"/>
  <c r="A542" i="44" s="1"/>
  <c r="A543" i="44" s="1"/>
  <c r="A544" i="44" s="1"/>
  <c r="A545" i="44" s="1"/>
  <c r="A546" i="44" s="1"/>
  <c r="A547" i="44" s="1"/>
  <c r="A548" i="44" s="1"/>
  <c r="A549" i="44" s="1"/>
  <c r="A550" i="44" s="1"/>
  <c r="A551" i="44" s="1"/>
  <c r="A552" i="44" s="1"/>
  <c r="A553" i="44" s="1"/>
  <c r="A554" i="44" s="1"/>
  <c r="A555" i="44" s="1"/>
  <c r="A556" i="44" s="1"/>
  <c r="A557" i="44" s="1"/>
  <c r="A558" i="44" s="1"/>
  <c r="A559" i="44" s="1"/>
  <c r="A560" i="44" s="1"/>
  <c r="A561" i="44" s="1"/>
  <c r="A562" i="44" s="1"/>
  <c r="A563" i="44" s="1"/>
  <c r="A564" i="44" s="1"/>
  <c r="A565" i="44" s="1"/>
  <c r="A566" i="44" s="1"/>
  <c r="A567" i="44" s="1"/>
  <c r="A568" i="44" s="1"/>
  <c r="A569" i="44" s="1"/>
  <c r="A570" i="44" s="1"/>
  <c r="A571" i="44" s="1"/>
  <c r="A572" i="44" s="1"/>
  <c r="A573" i="44" s="1"/>
  <c r="A574" i="44" s="1"/>
  <c r="A575" i="44" s="1"/>
  <c r="A576" i="44" s="1"/>
  <c r="A577" i="44" s="1"/>
  <c r="A578" i="44" s="1"/>
  <c r="A579" i="44" s="1"/>
  <c r="A580" i="44" s="1"/>
  <c r="A581" i="44" s="1"/>
  <c r="A582" i="44" s="1"/>
  <c r="A583" i="44" s="1"/>
  <c r="A584" i="44" s="1"/>
  <c r="A585" i="44" s="1"/>
  <c r="A586" i="44" s="1"/>
  <c r="A587" i="44" s="1"/>
  <c r="A588" i="44" s="1"/>
  <c r="A589" i="44" s="1"/>
  <c r="A590" i="44" s="1"/>
  <c r="A591" i="44" s="1"/>
  <c r="A592" i="44" s="1"/>
  <c r="A593" i="44" s="1"/>
  <c r="A594" i="44" s="1"/>
  <c r="A595" i="44" s="1"/>
  <c r="A596" i="44" s="1"/>
  <c r="A597" i="44" s="1"/>
  <c r="A598" i="44" s="1"/>
  <c r="A599" i="44" s="1"/>
  <c r="A600" i="44" s="1"/>
  <c r="A601" i="44" s="1"/>
  <c r="A602" i="44" s="1"/>
  <c r="A603" i="44" s="1"/>
  <c r="A604" i="44" s="1"/>
  <c r="A605" i="44" s="1"/>
  <c r="A606" i="44" s="1"/>
  <c r="A607" i="44" s="1"/>
  <c r="A608" i="44" s="1"/>
  <c r="A609" i="44" s="1"/>
  <c r="A610" i="44" s="1"/>
  <c r="A611" i="44" s="1"/>
  <c r="A612" i="44" s="1"/>
  <c r="A613" i="44" s="1"/>
  <c r="A614" i="44" s="1"/>
  <c r="A615" i="44" s="1"/>
  <c r="A616" i="44" s="1"/>
  <c r="A617" i="44" s="1"/>
  <c r="A618" i="44" s="1"/>
  <c r="A619" i="44" s="1"/>
  <c r="A620" i="44" s="1"/>
  <c r="A621" i="44" s="1"/>
  <c r="A622" i="44" s="1"/>
  <c r="A623" i="44" s="1"/>
  <c r="A624" i="44" s="1"/>
  <c r="A625" i="44" s="1"/>
  <c r="A626" i="44" s="1"/>
  <c r="A627" i="44" s="1"/>
  <c r="A628" i="44" s="1"/>
  <c r="A629" i="44" s="1"/>
  <c r="A630" i="44" s="1"/>
  <c r="A631" i="44" s="1"/>
  <c r="A632" i="44" s="1"/>
  <c r="A633" i="44" s="1"/>
  <c r="A634" i="44" s="1"/>
  <c r="A635" i="44" s="1"/>
  <c r="A636" i="44" s="1"/>
  <c r="A637" i="44" s="1"/>
  <c r="A638" i="44" s="1"/>
  <c r="A639" i="44" s="1"/>
  <c r="A640" i="44" s="1"/>
  <c r="A641" i="44" s="1"/>
  <c r="A642" i="44" s="1"/>
  <c r="A643" i="44" s="1"/>
  <c r="A644" i="44" s="1"/>
  <c r="A645" i="44" s="1"/>
  <c r="A646" i="44" s="1"/>
  <c r="A647" i="44" s="1"/>
  <c r="A648" i="44" s="1"/>
  <c r="A649" i="44" s="1"/>
  <c r="A650" i="44" s="1"/>
  <c r="A651" i="44" s="1"/>
  <c r="A652" i="44" s="1"/>
  <c r="A653" i="44" s="1"/>
  <c r="A654" i="44" s="1"/>
  <c r="A655" i="44" s="1"/>
  <c r="A656" i="44" s="1"/>
  <c r="A657" i="44" s="1"/>
  <c r="A658" i="44" s="1"/>
  <c r="A659" i="44" s="1"/>
  <c r="A660" i="44" s="1"/>
  <c r="A661" i="44" s="1"/>
  <c r="A662" i="44" s="1"/>
  <c r="A663" i="44" s="1"/>
  <c r="A664" i="44" s="1"/>
  <c r="A665" i="44" s="1"/>
  <c r="A666" i="44" s="1"/>
  <c r="A667" i="44" s="1"/>
  <c r="A668" i="44" s="1"/>
  <c r="A669" i="44" s="1"/>
  <c r="A670" i="44" s="1"/>
  <c r="A671" i="44" s="1"/>
  <c r="A672" i="44" s="1"/>
  <c r="A673" i="44" s="1"/>
  <c r="A674" i="44" s="1"/>
  <c r="A675" i="44" s="1"/>
  <c r="A676" i="44" s="1"/>
  <c r="A677" i="44" s="1"/>
  <c r="A678" i="44" s="1"/>
  <c r="A679" i="44" s="1"/>
  <c r="A680" i="44" s="1"/>
  <c r="A681" i="44" s="1"/>
  <c r="A682" i="44" s="1"/>
  <c r="A683" i="44" s="1"/>
  <c r="A684" i="44" s="1"/>
  <c r="A685" i="44" s="1"/>
  <c r="A686" i="44" s="1"/>
  <c r="A687" i="44" s="1"/>
  <c r="A688" i="44" s="1"/>
  <c r="A689" i="44" s="1"/>
  <c r="A690" i="44" s="1"/>
  <c r="A691" i="44" s="1"/>
  <c r="A692" i="44" s="1"/>
  <c r="A693" i="44" s="1"/>
  <c r="A694" i="44" s="1"/>
  <c r="A695" i="44" s="1"/>
  <c r="A696" i="44" s="1"/>
  <c r="A697" i="44" s="1"/>
  <c r="A698" i="44" s="1"/>
  <c r="A699" i="44" s="1"/>
  <c r="A700" i="44" s="1"/>
  <c r="A701" i="44" s="1"/>
  <c r="A702" i="44" s="1"/>
  <c r="A703" i="44" s="1"/>
  <c r="A704" i="44" s="1"/>
  <c r="A705" i="44" s="1"/>
  <c r="A706" i="44" s="1"/>
  <c r="A707" i="44" s="1"/>
  <c r="A708" i="44" s="1"/>
  <c r="A709" i="44" s="1"/>
  <c r="A710" i="44" s="1"/>
  <c r="A711" i="44" s="1"/>
  <c r="A712" i="44" s="1"/>
  <c r="A713" i="44" s="1"/>
  <c r="A714" i="44" s="1"/>
  <c r="A715" i="44" s="1"/>
  <c r="A716" i="44" s="1"/>
  <c r="A717" i="44" s="1"/>
  <c r="A718" i="44" s="1"/>
  <c r="A719" i="44" s="1"/>
  <c r="A720" i="44" s="1"/>
  <c r="A721" i="44" s="1"/>
  <c r="A722" i="44" s="1"/>
  <c r="A723" i="44" s="1"/>
  <c r="A724" i="44" s="1"/>
  <c r="A725" i="44" s="1"/>
  <c r="A726" i="44" s="1"/>
  <c r="A727" i="44" s="1"/>
  <c r="A728" i="44" s="1"/>
  <c r="A729" i="44" s="1"/>
  <c r="A730" i="44" s="1"/>
  <c r="A731" i="44" s="1"/>
  <c r="A732" i="44" s="1"/>
  <c r="A733" i="44" s="1"/>
  <c r="A734" i="44" s="1"/>
  <c r="A735" i="44" s="1"/>
  <c r="A736" i="44" s="1"/>
  <c r="A737" i="44" s="1"/>
  <c r="A738" i="44" s="1"/>
  <c r="A739" i="44" s="1"/>
  <c r="A740" i="44" s="1"/>
  <c r="A741" i="44" s="1"/>
  <c r="A742" i="44" s="1"/>
  <c r="A743" i="44" s="1"/>
  <c r="A744" i="44" s="1"/>
  <c r="A745" i="44" s="1"/>
  <c r="A746" i="44" s="1"/>
  <c r="A747" i="44" s="1"/>
  <c r="A748" i="44" s="1"/>
  <c r="A749" i="44" s="1"/>
  <c r="A750" i="44" s="1"/>
  <c r="A751" i="44" s="1"/>
  <c r="A752" i="44" s="1"/>
  <c r="A753" i="44" s="1"/>
  <c r="A754" i="44" s="1"/>
  <c r="A755" i="44" s="1"/>
  <c r="A756" i="44" s="1"/>
  <c r="A757" i="44" s="1"/>
  <c r="A758" i="44" s="1"/>
  <c r="A759" i="44" s="1"/>
  <c r="A760" i="44" s="1"/>
  <c r="A761" i="44" s="1"/>
  <c r="A762" i="44" s="1"/>
  <c r="A763" i="44" s="1"/>
  <c r="A764" i="44" s="1"/>
  <c r="A765" i="44" s="1"/>
  <c r="A766" i="44" s="1"/>
  <c r="A767" i="44" s="1"/>
  <c r="A768" i="44" s="1"/>
  <c r="A769" i="44" s="1"/>
  <c r="A770" i="44" s="1"/>
  <c r="A771" i="44" s="1"/>
  <c r="A772" i="44" s="1"/>
  <c r="A773" i="44" s="1"/>
  <c r="A774" i="44" s="1"/>
  <c r="A775" i="44" s="1"/>
  <c r="A776" i="44" s="1"/>
  <c r="A777" i="44" s="1"/>
  <c r="A778" i="44" s="1"/>
  <c r="A779" i="44" s="1"/>
  <c r="A780" i="44" s="1"/>
  <c r="A781" i="44" s="1"/>
  <c r="A782" i="44" s="1"/>
  <c r="A783" i="44" s="1"/>
  <c r="A784" i="44" s="1"/>
  <c r="A785" i="44" s="1"/>
  <c r="A786" i="44" s="1"/>
  <c r="A787" i="44" s="1"/>
  <c r="A788" i="44" s="1"/>
  <c r="A789" i="44" s="1"/>
  <c r="A790" i="44" s="1"/>
  <c r="A791" i="44" s="1"/>
  <c r="A792" i="44" s="1"/>
  <c r="A793" i="44" s="1"/>
  <c r="A794" i="44" s="1"/>
  <c r="A795" i="44" s="1"/>
  <c r="A796" i="44" s="1"/>
  <c r="A797" i="44" s="1"/>
  <c r="A798" i="44" s="1"/>
  <c r="A799" i="44" s="1"/>
  <c r="A800" i="44" s="1"/>
  <c r="A801" i="44" s="1"/>
  <c r="A802" i="44" s="1"/>
  <c r="A803" i="44" s="1"/>
  <c r="A804" i="44" s="1"/>
  <c r="A805" i="44" s="1"/>
  <c r="A806" i="44" s="1"/>
  <c r="A807" i="44" s="1"/>
  <c r="A808" i="44" s="1"/>
  <c r="A809" i="44" s="1"/>
  <c r="A810" i="44" s="1"/>
  <c r="A811" i="44" s="1"/>
  <c r="A812" i="44" s="1"/>
  <c r="A813" i="44" s="1"/>
  <c r="A814" i="44" s="1"/>
  <c r="A815" i="44" s="1"/>
  <c r="A816" i="44" s="1"/>
  <c r="A817" i="44" s="1"/>
  <c r="A818" i="44" s="1"/>
  <c r="A819" i="44" s="1"/>
  <c r="A820" i="44" s="1"/>
  <c r="A821" i="44" s="1"/>
  <c r="A822" i="44" s="1"/>
  <c r="A823" i="44" s="1"/>
  <c r="A824" i="44" s="1"/>
  <c r="A825" i="44" s="1"/>
  <c r="A826" i="44" s="1"/>
  <c r="A827" i="44" s="1"/>
  <c r="A828" i="44" s="1"/>
  <c r="A829" i="44" s="1"/>
  <c r="A830" i="44" s="1"/>
  <c r="A831" i="44" s="1"/>
  <c r="A832" i="44" s="1"/>
  <c r="A833" i="44" s="1"/>
  <c r="A834" i="44" s="1"/>
  <c r="A835" i="44" s="1"/>
  <c r="A836" i="44" s="1"/>
  <c r="A837" i="44" s="1"/>
  <c r="A838" i="44" s="1"/>
  <c r="A839" i="44" s="1"/>
  <c r="A840" i="44" s="1"/>
  <c r="A841" i="44" s="1"/>
  <c r="A842" i="44" s="1"/>
  <c r="A843" i="44" s="1"/>
  <c r="A844" i="44" s="1"/>
  <c r="A845" i="44" s="1"/>
  <c r="A846" i="44" s="1"/>
  <c r="A847" i="44" s="1"/>
  <c r="A848" i="44" s="1"/>
  <c r="A849" i="44" s="1"/>
  <c r="A850" i="44" s="1"/>
  <c r="A851" i="44" s="1"/>
  <c r="A852" i="44" s="1"/>
  <c r="A853" i="44" s="1"/>
  <c r="A854" i="44" s="1"/>
  <c r="A855" i="44" s="1"/>
  <c r="A856" i="44" s="1"/>
  <c r="A857" i="44" s="1"/>
  <c r="A858" i="44" s="1"/>
  <c r="A859" i="44" s="1"/>
  <c r="A860" i="44" s="1"/>
  <c r="A861" i="44" s="1"/>
  <c r="A862" i="44" s="1"/>
  <c r="A863" i="44" s="1"/>
  <c r="A864" i="44" s="1"/>
  <c r="A865" i="44" s="1"/>
  <c r="A866" i="44" s="1"/>
  <c r="A867" i="44" s="1"/>
  <c r="A868" i="44" s="1"/>
  <c r="A869" i="44" s="1"/>
  <c r="A870" i="44" s="1"/>
  <c r="A871" i="44" s="1"/>
  <c r="A872" i="44" s="1"/>
  <c r="A873" i="44" s="1"/>
  <c r="A874" i="44" s="1"/>
  <c r="A875" i="44" s="1"/>
  <c r="A876" i="44" s="1"/>
  <c r="A877" i="44" s="1"/>
  <c r="A878" i="44" s="1"/>
  <c r="A879" i="44" s="1"/>
  <c r="A880" i="44" s="1"/>
  <c r="A881" i="44" s="1"/>
  <c r="A882" i="44" s="1"/>
  <c r="A883" i="44" s="1"/>
  <c r="A884" i="44" s="1"/>
  <c r="A885" i="44" s="1"/>
  <c r="A886" i="44" s="1"/>
  <c r="A887" i="44" s="1"/>
  <c r="A888" i="44" s="1"/>
  <c r="A889" i="44" s="1"/>
  <c r="A890" i="44" s="1"/>
  <c r="A891" i="44" s="1"/>
  <c r="A892" i="44" s="1"/>
  <c r="A893" i="44" s="1"/>
  <c r="A894" i="44" s="1"/>
  <c r="A895" i="44" s="1"/>
  <c r="A896" i="44" s="1"/>
  <c r="A897" i="44" s="1"/>
  <c r="A898" i="44" s="1"/>
  <c r="A899" i="44" s="1"/>
  <c r="A900" i="44" s="1"/>
  <c r="A901" i="44" s="1"/>
  <c r="A902" i="44" s="1"/>
  <c r="A903" i="44" s="1"/>
  <c r="A904" i="44" s="1"/>
  <c r="A905" i="44" s="1"/>
  <c r="A906" i="44" s="1"/>
  <c r="A907" i="44" s="1"/>
  <c r="A908" i="44" s="1"/>
  <c r="A909" i="44" s="1"/>
  <c r="A910" i="44" s="1"/>
  <c r="A911" i="44" s="1"/>
  <c r="A912" i="44" s="1"/>
  <c r="A913" i="44" s="1"/>
  <c r="A914" i="44" s="1"/>
  <c r="A915" i="44" s="1"/>
  <c r="A916" i="44" s="1"/>
  <c r="A917" i="44" s="1"/>
  <c r="A918" i="44" s="1"/>
  <c r="A919" i="44" s="1"/>
  <c r="A920" i="44" s="1"/>
  <c r="A921" i="44" s="1"/>
  <c r="A922" i="44" s="1"/>
  <c r="A923" i="44" s="1"/>
  <c r="A924" i="44" s="1"/>
  <c r="A925" i="44" s="1"/>
  <c r="A926" i="44" s="1"/>
  <c r="A927" i="44" s="1"/>
  <c r="A928" i="44" s="1"/>
  <c r="A929" i="44" s="1"/>
  <c r="A930" i="44" s="1"/>
  <c r="A931" i="44" s="1"/>
  <c r="A932" i="44" s="1"/>
  <c r="A933" i="44" s="1"/>
  <c r="A934" i="44" s="1"/>
  <c r="A935" i="44" s="1"/>
  <c r="A936" i="44" s="1"/>
  <c r="A937" i="44" s="1"/>
  <c r="A938" i="44" s="1"/>
  <c r="A939" i="44" s="1"/>
  <c r="A940" i="44" s="1"/>
  <c r="A941" i="44" s="1"/>
  <c r="A942" i="44" s="1"/>
  <c r="A943" i="44" s="1"/>
  <c r="A944" i="44" s="1"/>
  <c r="A945" i="44" s="1"/>
  <c r="A946" i="44" s="1"/>
  <c r="A947" i="44" s="1"/>
  <c r="A948" i="44" s="1"/>
  <c r="A949" i="44" s="1"/>
  <c r="A950" i="44" s="1"/>
  <c r="A951" i="44" s="1"/>
  <c r="A952" i="44" s="1"/>
  <c r="A953" i="44" s="1"/>
  <c r="A954" i="44" s="1"/>
  <c r="A955" i="44" s="1"/>
  <c r="A956" i="44" s="1"/>
  <c r="A957" i="44" s="1"/>
  <c r="A958" i="44" s="1"/>
  <c r="A959" i="44" s="1"/>
  <c r="A960" i="44" s="1"/>
  <c r="A961" i="44" s="1"/>
  <c r="A962" i="44" s="1"/>
  <c r="A963" i="44" s="1"/>
  <c r="A964" i="44" s="1"/>
  <c r="A965" i="44" s="1"/>
  <c r="A966" i="44" s="1"/>
  <c r="A967" i="44" s="1"/>
  <c r="A968" i="44" s="1"/>
  <c r="A969" i="44" s="1"/>
  <c r="A970" i="44" s="1"/>
  <c r="A971" i="44" s="1"/>
  <c r="A972" i="44" s="1"/>
  <c r="A973" i="44" s="1"/>
  <c r="A974" i="44" s="1"/>
  <c r="A975" i="44" s="1"/>
  <c r="A976" i="44" s="1"/>
  <c r="A977" i="44" s="1"/>
  <c r="A978" i="44" s="1"/>
  <c r="A979" i="44" s="1"/>
  <c r="A980" i="44" s="1"/>
  <c r="A981" i="44" s="1"/>
  <c r="A982" i="44" s="1"/>
  <c r="A983" i="44" s="1"/>
  <c r="A984" i="44" s="1"/>
  <c r="A985" i="44" s="1"/>
  <c r="A986" i="44" s="1"/>
  <c r="A987" i="44" s="1"/>
  <c r="A988" i="44" s="1"/>
  <c r="A989" i="44" s="1"/>
  <c r="A990" i="44" s="1"/>
  <c r="A991" i="44" s="1"/>
  <c r="A992" i="44" s="1"/>
  <c r="A993" i="44" s="1"/>
  <c r="A994" i="44" s="1"/>
  <c r="A995" i="44" s="1"/>
  <c r="A996" i="44" s="1"/>
  <c r="A997" i="44" s="1"/>
  <c r="A998" i="44" s="1"/>
  <c r="A999" i="44" s="1"/>
  <c r="A1000" i="44" s="1"/>
  <c r="W315" i="43"/>
  <c r="V315" i="43"/>
  <c r="U315" i="43"/>
  <c r="T315" i="43"/>
  <c r="S315" i="43"/>
  <c r="R315" i="43"/>
  <c r="Q315" i="43"/>
  <c r="P315" i="43"/>
  <c r="L315" i="43"/>
  <c r="G315" i="43"/>
  <c r="I315" i="43" s="1"/>
  <c r="W314" i="43"/>
  <c r="V314" i="43"/>
  <c r="U314" i="43"/>
  <c r="T314" i="43"/>
  <c r="S314" i="43"/>
  <c r="R314" i="43"/>
  <c r="Q314" i="43"/>
  <c r="P314" i="43"/>
  <c r="L314" i="43"/>
  <c r="G314" i="43"/>
  <c r="I314" i="43" s="1"/>
  <c r="W313" i="43"/>
  <c r="V313" i="43"/>
  <c r="U313" i="43"/>
  <c r="T313" i="43"/>
  <c r="S313" i="43"/>
  <c r="R313" i="43"/>
  <c r="Q313" i="43"/>
  <c r="P313" i="43"/>
  <c r="L313" i="43"/>
  <c r="G313" i="43"/>
  <c r="I313" i="43" s="1"/>
  <c r="W312" i="43"/>
  <c r="V312" i="43"/>
  <c r="U312" i="43"/>
  <c r="T312" i="43"/>
  <c r="S312" i="43"/>
  <c r="R312" i="43"/>
  <c r="Q312" i="43"/>
  <c r="P312" i="43"/>
  <c r="L312" i="43"/>
  <c r="I312" i="43"/>
  <c r="G312" i="43"/>
  <c r="W311" i="43"/>
  <c r="V311" i="43"/>
  <c r="U311" i="43"/>
  <c r="T311" i="43"/>
  <c r="S311" i="43"/>
  <c r="R311" i="43"/>
  <c r="Q311" i="43"/>
  <c r="P311" i="43"/>
  <c r="L311" i="43"/>
  <c r="I311" i="43"/>
  <c r="G311" i="43"/>
  <c r="W310" i="43"/>
  <c r="V310" i="43"/>
  <c r="U310" i="43"/>
  <c r="T310" i="43"/>
  <c r="S310" i="43"/>
  <c r="R310" i="43"/>
  <c r="Q310" i="43"/>
  <c r="P310" i="43"/>
  <c r="O310" i="43"/>
  <c r="N310" i="43"/>
  <c r="L310" i="43"/>
  <c r="I310" i="43"/>
  <c r="G310" i="43"/>
  <c r="W309" i="43"/>
  <c r="V309" i="43"/>
  <c r="U309" i="43"/>
  <c r="T309" i="43"/>
  <c r="S309" i="43"/>
  <c r="R309" i="43"/>
  <c r="Q309" i="43"/>
  <c r="P309" i="43"/>
  <c r="O309" i="43"/>
  <c r="N309" i="43"/>
  <c r="L309" i="43"/>
  <c r="I309" i="43"/>
  <c r="G309" i="43"/>
  <c r="W308" i="43"/>
  <c r="V308" i="43"/>
  <c r="U308" i="43"/>
  <c r="T308" i="43"/>
  <c r="S308" i="43"/>
  <c r="R308" i="43"/>
  <c r="Q308" i="43"/>
  <c r="P308" i="43"/>
  <c r="O308" i="43"/>
  <c r="N308" i="43"/>
  <c r="L308" i="43"/>
  <c r="I308" i="43"/>
  <c r="G308" i="43"/>
  <c r="W307" i="43"/>
  <c r="V307" i="43"/>
  <c r="U307" i="43"/>
  <c r="T307" i="43"/>
  <c r="S307" i="43"/>
  <c r="R307" i="43"/>
  <c r="Q307" i="43"/>
  <c r="P307" i="43"/>
  <c r="L307" i="43"/>
  <c r="I307" i="43"/>
  <c r="G307" i="43"/>
  <c r="W306" i="43"/>
  <c r="V306" i="43"/>
  <c r="U306" i="43"/>
  <c r="T306" i="43"/>
  <c r="S306" i="43"/>
  <c r="R306" i="43"/>
  <c r="Q306" i="43"/>
  <c r="P306" i="43"/>
  <c r="L306" i="43"/>
  <c r="I306" i="43"/>
  <c r="G306" i="43"/>
  <c r="W305" i="43"/>
  <c r="V305" i="43"/>
  <c r="U305" i="43"/>
  <c r="T305" i="43"/>
  <c r="S305" i="43"/>
  <c r="R305" i="43"/>
  <c r="Q305" i="43"/>
  <c r="P305" i="43"/>
  <c r="L305" i="43"/>
  <c r="I305" i="43"/>
  <c r="G305" i="43"/>
  <c r="W304" i="43"/>
  <c r="V304" i="43"/>
  <c r="U304" i="43"/>
  <c r="T304" i="43"/>
  <c r="S304" i="43"/>
  <c r="R304" i="43"/>
  <c r="Q304" i="43"/>
  <c r="P304" i="43"/>
  <c r="L304" i="43"/>
  <c r="I304" i="43"/>
  <c r="G304" i="43"/>
  <c r="W303" i="43"/>
  <c r="V303" i="43"/>
  <c r="U303" i="43"/>
  <c r="T303" i="43"/>
  <c r="S303" i="43"/>
  <c r="R303" i="43"/>
  <c r="Q303" i="43"/>
  <c r="P303" i="43"/>
  <c r="L303" i="43"/>
  <c r="I303" i="43"/>
  <c r="G303" i="43"/>
  <c r="W302" i="43"/>
  <c r="V302" i="43"/>
  <c r="U302" i="43"/>
  <c r="T302" i="43"/>
  <c r="S302" i="43"/>
  <c r="R302" i="43"/>
  <c r="Q302" i="43"/>
  <c r="P302" i="43"/>
  <c r="L302" i="43"/>
  <c r="G302" i="43"/>
  <c r="W301" i="43"/>
  <c r="V301" i="43"/>
  <c r="U301" i="43"/>
  <c r="T301" i="43"/>
  <c r="S301" i="43"/>
  <c r="R301" i="43"/>
  <c r="Q301" i="43"/>
  <c r="P301" i="43"/>
  <c r="L301" i="43"/>
  <c r="G301" i="43"/>
  <c r="W300" i="43"/>
  <c r="V300" i="43"/>
  <c r="U300" i="43"/>
  <c r="T300" i="43"/>
  <c r="S300" i="43"/>
  <c r="R300" i="43"/>
  <c r="Q300" i="43"/>
  <c r="P300" i="43"/>
  <c r="L300" i="43"/>
  <c r="G300" i="43"/>
  <c r="W299" i="43"/>
  <c r="V299" i="43"/>
  <c r="U299" i="43"/>
  <c r="T299" i="43"/>
  <c r="S299" i="43"/>
  <c r="R299" i="43"/>
  <c r="Q299" i="43"/>
  <c r="P299" i="43"/>
  <c r="L299" i="43"/>
  <c r="I299" i="43"/>
  <c r="G299" i="43"/>
  <c r="W298" i="43"/>
  <c r="V298" i="43"/>
  <c r="U298" i="43"/>
  <c r="T298" i="43"/>
  <c r="S298" i="43"/>
  <c r="R298" i="43"/>
  <c r="Q298" i="43"/>
  <c r="P298" i="43"/>
  <c r="L298" i="43"/>
  <c r="I298" i="43"/>
  <c r="G298" i="43"/>
  <c r="W297" i="43"/>
  <c r="V297" i="43"/>
  <c r="U297" i="43"/>
  <c r="T297" i="43"/>
  <c r="S297" i="43"/>
  <c r="R297" i="43"/>
  <c r="Q297" i="43"/>
  <c r="P297" i="43"/>
  <c r="L297" i="43"/>
  <c r="I297" i="43"/>
  <c r="G297" i="43"/>
  <c r="W296" i="43"/>
  <c r="V296" i="43"/>
  <c r="U296" i="43"/>
  <c r="T296" i="43"/>
  <c r="S296" i="43"/>
  <c r="R296" i="43"/>
  <c r="Q296" i="43"/>
  <c r="P296" i="43"/>
  <c r="L296" i="43"/>
  <c r="I296" i="43"/>
  <c r="G296" i="43"/>
  <c r="W295" i="43"/>
  <c r="V295" i="43"/>
  <c r="U295" i="43"/>
  <c r="T295" i="43"/>
  <c r="S295" i="43"/>
  <c r="R295" i="43"/>
  <c r="Q295" i="43"/>
  <c r="P295" i="43"/>
  <c r="L295" i="43"/>
  <c r="I295" i="43"/>
  <c r="G295" i="43"/>
  <c r="W294" i="43"/>
  <c r="V294" i="43"/>
  <c r="U294" i="43"/>
  <c r="T294" i="43"/>
  <c r="S294" i="43"/>
  <c r="R294" i="43"/>
  <c r="Q294" i="43"/>
  <c r="P294" i="43"/>
  <c r="L294" i="43"/>
  <c r="I294" i="43"/>
  <c r="G294" i="43"/>
  <c r="W293" i="43"/>
  <c r="V293" i="43"/>
  <c r="U293" i="43"/>
  <c r="T293" i="43"/>
  <c r="S293" i="43"/>
  <c r="R293" i="43"/>
  <c r="Q293" i="43"/>
  <c r="P293" i="43"/>
  <c r="L293" i="43"/>
  <c r="I293" i="43"/>
  <c r="G293" i="43"/>
  <c r="W292" i="43"/>
  <c r="V292" i="43"/>
  <c r="U292" i="43"/>
  <c r="T292" i="43"/>
  <c r="S292" i="43"/>
  <c r="R292" i="43"/>
  <c r="Q292" i="43"/>
  <c r="P292" i="43"/>
  <c r="L292" i="43"/>
  <c r="I292" i="43"/>
  <c r="G292" i="43"/>
  <c r="W291" i="43"/>
  <c r="V291" i="43"/>
  <c r="U291" i="43"/>
  <c r="T291" i="43"/>
  <c r="S291" i="43"/>
  <c r="R291" i="43"/>
  <c r="Q291" i="43"/>
  <c r="P291" i="43"/>
  <c r="L291" i="43"/>
  <c r="G291" i="43"/>
  <c r="W290" i="43"/>
  <c r="V290" i="43"/>
  <c r="U290" i="43"/>
  <c r="T290" i="43"/>
  <c r="S290" i="43"/>
  <c r="R290" i="43"/>
  <c r="Q290" i="43"/>
  <c r="P290" i="43"/>
  <c r="L290" i="43"/>
  <c r="G290" i="43"/>
  <c r="W289" i="43"/>
  <c r="V289" i="43"/>
  <c r="U289" i="43"/>
  <c r="T289" i="43"/>
  <c r="S289" i="43"/>
  <c r="R289" i="43"/>
  <c r="Q289" i="43"/>
  <c r="P289" i="43"/>
  <c r="L289" i="43"/>
  <c r="I289" i="43"/>
  <c r="G289" i="43"/>
  <c r="W288" i="43"/>
  <c r="V288" i="43"/>
  <c r="U288" i="43"/>
  <c r="T288" i="43"/>
  <c r="S288" i="43"/>
  <c r="R288" i="43"/>
  <c r="Q288" i="43"/>
  <c r="P288" i="43"/>
  <c r="L288" i="43"/>
  <c r="G288" i="43"/>
  <c r="W287" i="43"/>
  <c r="V287" i="43"/>
  <c r="U287" i="43"/>
  <c r="T287" i="43"/>
  <c r="S287" i="43"/>
  <c r="R287" i="43"/>
  <c r="Q287" i="43"/>
  <c r="P287" i="43"/>
  <c r="L287" i="43"/>
  <c r="G287" i="43"/>
  <c r="W286" i="43"/>
  <c r="V286" i="43"/>
  <c r="U286" i="43"/>
  <c r="T286" i="43"/>
  <c r="S286" i="43"/>
  <c r="R286" i="43"/>
  <c r="Q286" i="43"/>
  <c r="P286" i="43"/>
  <c r="L286" i="43"/>
  <c r="G286" i="43"/>
  <c r="W285" i="43"/>
  <c r="V285" i="43"/>
  <c r="U285" i="43"/>
  <c r="T285" i="43"/>
  <c r="S285" i="43"/>
  <c r="R285" i="43"/>
  <c r="Q285" i="43"/>
  <c r="P285" i="43"/>
  <c r="L285" i="43"/>
  <c r="G285" i="43"/>
  <c r="W284" i="43"/>
  <c r="V284" i="43"/>
  <c r="U284" i="43"/>
  <c r="T284" i="43"/>
  <c r="S284" i="43"/>
  <c r="R284" i="43"/>
  <c r="Q284" i="43"/>
  <c r="P284" i="43"/>
  <c r="L284" i="43"/>
  <c r="G284" i="43"/>
  <c r="W283" i="43"/>
  <c r="V283" i="43"/>
  <c r="U283" i="43"/>
  <c r="T283" i="43"/>
  <c r="S283" i="43"/>
  <c r="R283" i="43"/>
  <c r="Q283" i="43"/>
  <c r="P283" i="43"/>
  <c r="L283" i="43"/>
  <c r="G283" i="43"/>
  <c r="W282" i="43"/>
  <c r="V282" i="43"/>
  <c r="U282" i="43"/>
  <c r="T282" i="43"/>
  <c r="S282" i="43"/>
  <c r="R282" i="43"/>
  <c r="Q282" i="43"/>
  <c r="P282" i="43"/>
  <c r="L282" i="43"/>
  <c r="G282" i="43"/>
  <c r="W281" i="43"/>
  <c r="V281" i="43"/>
  <c r="U281" i="43"/>
  <c r="T281" i="43"/>
  <c r="S281" i="43"/>
  <c r="R281" i="43"/>
  <c r="Q281" i="43"/>
  <c r="P281" i="43"/>
  <c r="L281" i="43"/>
  <c r="G281" i="43"/>
  <c r="W280" i="43"/>
  <c r="V280" i="43"/>
  <c r="U280" i="43"/>
  <c r="T280" i="43"/>
  <c r="S280" i="43"/>
  <c r="R280" i="43"/>
  <c r="Q280" i="43"/>
  <c r="P280" i="43"/>
  <c r="L280" i="43"/>
  <c r="G280" i="43"/>
  <c r="W279" i="43"/>
  <c r="V279" i="43"/>
  <c r="U279" i="43"/>
  <c r="T279" i="43"/>
  <c r="S279" i="43"/>
  <c r="R279" i="43"/>
  <c r="Q279" i="43"/>
  <c r="P279" i="43"/>
  <c r="L279" i="43"/>
  <c r="G279" i="43"/>
  <c r="W278" i="43"/>
  <c r="V278" i="43"/>
  <c r="U278" i="43"/>
  <c r="T278" i="43"/>
  <c r="S278" i="43"/>
  <c r="R278" i="43"/>
  <c r="Q278" i="43"/>
  <c r="P278" i="43"/>
  <c r="L278" i="43"/>
  <c r="G278" i="43"/>
  <c r="W277" i="43"/>
  <c r="V277" i="43"/>
  <c r="U277" i="43"/>
  <c r="T277" i="43"/>
  <c r="S277" i="43"/>
  <c r="R277" i="43"/>
  <c r="Q277" i="43"/>
  <c r="P277" i="43"/>
  <c r="O277" i="43"/>
  <c r="N277" i="43"/>
  <c r="L277" i="43"/>
  <c r="I277" i="43"/>
  <c r="G277" i="43"/>
  <c r="W276" i="43"/>
  <c r="V276" i="43"/>
  <c r="U276" i="43"/>
  <c r="T276" i="43"/>
  <c r="S276" i="43"/>
  <c r="R276" i="43"/>
  <c r="Q276" i="43"/>
  <c r="P276" i="43"/>
  <c r="O276" i="43"/>
  <c r="N276" i="43"/>
  <c r="L276" i="43"/>
  <c r="I276" i="43"/>
  <c r="G276" i="43"/>
  <c r="W275" i="43"/>
  <c r="V275" i="43"/>
  <c r="U275" i="43"/>
  <c r="T275" i="43"/>
  <c r="S275" i="43"/>
  <c r="R275" i="43"/>
  <c r="Q275" i="43"/>
  <c r="P275" i="43"/>
  <c r="O275" i="43"/>
  <c r="N275" i="43"/>
  <c r="L275" i="43"/>
  <c r="I275" i="43"/>
  <c r="G275" i="43"/>
  <c r="W274" i="43"/>
  <c r="V274" i="43"/>
  <c r="U274" i="43"/>
  <c r="T274" i="43"/>
  <c r="S274" i="43"/>
  <c r="R274" i="43"/>
  <c r="Q274" i="43"/>
  <c r="P274" i="43"/>
  <c r="O274" i="43"/>
  <c r="N274" i="43"/>
  <c r="L274" i="43"/>
  <c r="I274" i="43"/>
  <c r="G274" i="43"/>
  <c r="W273" i="43"/>
  <c r="V273" i="43"/>
  <c r="U273" i="43"/>
  <c r="T273" i="43"/>
  <c r="S273" i="43"/>
  <c r="R273" i="43"/>
  <c r="Q273" i="43"/>
  <c r="P273" i="43"/>
  <c r="L273" i="43"/>
  <c r="G273" i="43"/>
  <c r="W272" i="43"/>
  <c r="V272" i="43"/>
  <c r="U272" i="43"/>
  <c r="T272" i="43"/>
  <c r="S272" i="43"/>
  <c r="R272" i="43"/>
  <c r="Q272" i="43"/>
  <c r="P272" i="43"/>
  <c r="L272" i="43"/>
  <c r="G272" i="43"/>
  <c r="W271" i="43"/>
  <c r="V271" i="43"/>
  <c r="U271" i="43"/>
  <c r="T271" i="43"/>
  <c r="S271" i="43"/>
  <c r="R271" i="43"/>
  <c r="Q271" i="43"/>
  <c r="P271" i="43"/>
  <c r="L271" i="43"/>
  <c r="G271" i="43"/>
  <c r="W270" i="43"/>
  <c r="V270" i="43"/>
  <c r="U270" i="43"/>
  <c r="T270" i="43"/>
  <c r="S270" i="43"/>
  <c r="R270" i="43"/>
  <c r="Q270" i="43"/>
  <c r="P270" i="43"/>
  <c r="L270" i="43"/>
  <c r="G270" i="43"/>
  <c r="W269" i="43"/>
  <c r="V269" i="43"/>
  <c r="U269" i="43"/>
  <c r="T269" i="43"/>
  <c r="S269" i="43"/>
  <c r="R269" i="43"/>
  <c r="Q269" i="43"/>
  <c r="P269" i="43"/>
  <c r="L269" i="43"/>
  <c r="G269" i="43"/>
  <c r="W268" i="43"/>
  <c r="V268" i="43"/>
  <c r="U268" i="43"/>
  <c r="T268" i="43"/>
  <c r="S268" i="43"/>
  <c r="R268" i="43"/>
  <c r="Q268" i="43"/>
  <c r="P268" i="43"/>
  <c r="O268" i="43"/>
  <c r="N268" i="43"/>
  <c r="L268" i="43"/>
  <c r="G268" i="43"/>
  <c r="W267" i="43"/>
  <c r="V267" i="43"/>
  <c r="U267" i="43"/>
  <c r="T267" i="43"/>
  <c r="S267" i="43"/>
  <c r="R267" i="43"/>
  <c r="Q267" i="43"/>
  <c r="P267" i="43"/>
  <c r="O267" i="43"/>
  <c r="N267" i="43"/>
  <c r="L267" i="43"/>
  <c r="G267" i="43"/>
  <c r="W266" i="43"/>
  <c r="V266" i="43"/>
  <c r="U266" i="43"/>
  <c r="T266" i="43"/>
  <c r="S266" i="43"/>
  <c r="R266" i="43"/>
  <c r="Q266" i="43"/>
  <c r="P266" i="43"/>
  <c r="O266" i="43"/>
  <c r="N266" i="43"/>
  <c r="L266" i="43"/>
  <c r="G266" i="43"/>
  <c r="W265" i="43"/>
  <c r="V265" i="43"/>
  <c r="U265" i="43"/>
  <c r="T265" i="43"/>
  <c r="S265" i="43"/>
  <c r="R265" i="43"/>
  <c r="Q265" i="43"/>
  <c r="P265" i="43"/>
  <c r="L265" i="43"/>
  <c r="G265" i="43"/>
  <c r="W264" i="43"/>
  <c r="V264" i="43"/>
  <c r="U264" i="43"/>
  <c r="T264" i="43"/>
  <c r="S264" i="43"/>
  <c r="R264" i="43"/>
  <c r="Q264" i="43"/>
  <c r="P264" i="43"/>
  <c r="L264" i="43"/>
  <c r="G264" i="43"/>
  <c r="W263" i="43"/>
  <c r="V263" i="43"/>
  <c r="U263" i="43"/>
  <c r="T263" i="43"/>
  <c r="S263" i="43"/>
  <c r="R263" i="43"/>
  <c r="Q263" i="43"/>
  <c r="P263" i="43"/>
  <c r="L263" i="43"/>
  <c r="G263" i="43"/>
  <c r="W262" i="43"/>
  <c r="V262" i="43"/>
  <c r="U262" i="43"/>
  <c r="T262" i="43"/>
  <c r="S262" i="43"/>
  <c r="R262" i="43"/>
  <c r="Q262" i="43"/>
  <c r="P262" i="43"/>
  <c r="L262" i="43"/>
  <c r="G262" i="43"/>
  <c r="W261" i="43"/>
  <c r="V261" i="43"/>
  <c r="U261" i="43"/>
  <c r="T261" i="43"/>
  <c r="S261" i="43"/>
  <c r="R261" i="43"/>
  <c r="Q261" i="43"/>
  <c r="P261" i="43"/>
  <c r="L261" i="43"/>
  <c r="G261" i="43"/>
  <c r="W260" i="43"/>
  <c r="V260" i="43"/>
  <c r="U260" i="43"/>
  <c r="T260" i="43"/>
  <c r="S260" i="43"/>
  <c r="R260" i="43"/>
  <c r="Q260" i="43"/>
  <c r="P260" i="43"/>
  <c r="L260" i="43"/>
  <c r="G260" i="43"/>
  <c r="W259" i="43"/>
  <c r="V259" i="43"/>
  <c r="U259" i="43"/>
  <c r="T259" i="43"/>
  <c r="S259" i="43"/>
  <c r="R259" i="43"/>
  <c r="Q259" i="43"/>
  <c r="P259" i="43"/>
  <c r="L259" i="43"/>
  <c r="G259" i="43"/>
  <c r="W258" i="43"/>
  <c r="V258" i="43"/>
  <c r="U258" i="43"/>
  <c r="T258" i="43"/>
  <c r="S258" i="43"/>
  <c r="R258" i="43"/>
  <c r="Q258" i="43"/>
  <c r="P258" i="43"/>
  <c r="L258" i="43"/>
  <c r="G258" i="43"/>
  <c r="W257" i="43"/>
  <c r="V257" i="43"/>
  <c r="U257" i="43"/>
  <c r="T257" i="43"/>
  <c r="S257" i="43"/>
  <c r="R257" i="43"/>
  <c r="Q257" i="43"/>
  <c r="P257" i="43"/>
  <c r="L257" i="43"/>
  <c r="G257" i="43"/>
  <c r="W256" i="43"/>
  <c r="V256" i="43"/>
  <c r="U256" i="43"/>
  <c r="T256" i="43"/>
  <c r="S256" i="43"/>
  <c r="R256" i="43"/>
  <c r="Q256" i="43"/>
  <c r="P256" i="43"/>
  <c r="L256" i="43"/>
  <c r="G256" i="43"/>
  <c r="W255" i="43"/>
  <c r="V255" i="43"/>
  <c r="U255" i="43"/>
  <c r="T255" i="43"/>
  <c r="S255" i="43"/>
  <c r="R255" i="43"/>
  <c r="Q255" i="43"/>
  <c r="P255" i="43"/>
  <c r="L255" i="43"/>
  <c r="I255" i="43"/>
  <c r="G255" i="43"/>
  <c r="W254" i="43"/>
  <c r="V254" i="43"/>
  <c r="U254" i="43"/>
  <c r="T254" i="43"/>
  <c r="S254" i="43"/>
  <c r="R254" i="43"/>
  <c r="Q254" i="43"/>
  <c r="P254" i="43"/>
  <c r="L254" i="43"/>
  <c r="G254" i="43"/>
  <c r="W253" i="43"/>
  <c r="V253" i="43"/>
  <c r="U253" i="43"/>
  <c r="T253" i="43"/>
  <c r="S253" i="43"/>
  <c r="R253" i="43"/>
  <c r="Q253" i="43"/>
  <c r="P253" i="43"/>
  <c r="O253" i="43"/>
  <c r="N253" i="43"/>
  <c r="L253" i="43"/>
  <c r="I253" i="43"/>
  <c r="G253" i="43"/>
  <c r="W252" i="43"/>
  <c r="V252" i="43"/>
  <c r="U252" i="43"/>
  <c r="T252" i="43"/>
  <c r="S252" i="43"/>
  <c r="R252" i="43"/>
  <c r="Q252" i="43"/>
  <c r="P252" i="43"/>
  <c r="O252" i="43"/>
  <c r="N252" i="43"/>
  <c r="L252" i="43"/>
  <c r="I252" i="43"/>
  <c r="G252" i="43"/>
  <c r="W251" i="43"/>
  <c r="V251" i="43"/>
  <c r="U251" i="43"/>
  <c r="T251" i="43"/>
  <c r="S251" i="43"/>
  <c r="R251" i="43"/>
  <c r="Q251" i="43"/>
  <c r="P251" i="43"/>
  <c r="O251" i="43"/>
  <c r="N251" i="43"/>
  <c r="L251" i="43"/>
  <c r="I251" i="43"/>
  <c r="G251" i="43"/>
  <c r="W250" i="43"/>
  <c r="V250" i="43"/>
  <c r="U250" i="43"/>
  <c r="T250" i="43"/>
  <c r="S250" i="43"/>
  <c r="R250" i="43"/>
  <c r="Q250" i="43"/>
  <c r="P250" i="43"/>
  <c r="L250" i="43"/>
  <c r="G250" i="43"/>
  <c r="W249" i="43"/>
  <c r="V249" i="43"/>
  <c r="U249" i="43"/>
  <c r="T249" i="43"/>
  <c r="S249" i="43"/>
  <c r="R249" i="43"/>
  <c r="Q249" i="43"/>
  <c r="P249" i="43"/>
  <c r="L249" i="43"/>
  <c r="I249" i="43"/>
  <c r="G249" i="43"/>
  <c r="W248" i="43"/>
  <c r="V248" i="43"/>
  <c r="U248" i="43"/>
  <c r="T248" i="43"/>
  <c r="S248" i="43"/>
  <c r="R248" i="43"/>
  <c r="Q248" i="43"/>
  <c r="P248" i="43"/>
  <c r="L248" i="43"/>
  <c r="I248" i="43"/>
  <c r="G248" i="43"/>
  <c r="W247" i="43"/>
  <c r="V247" i="43"/>
  <c r="U247" i="43"/>
  <c r="T247" i="43"/>
  <c r="S247" i="43"/>
  <c r="R247" i="43"/>
  <c r="Q247" i="43"/>
  <c r="P247" i="43"/>
  <c r="O247" i="43"/>
  <c r="N247" i="43"/>
  <c r="L247" i="43"/>
  <c r="G247" i="43"/>
  <c r="W246" i="43"/>
  <c r="V246" i="43"/>
  <c r="U246" i="43"/>
  <c r="T246" i="43"/>
  <c r="S246" i="43"/>
  <c r="R246" i="43"/>
  <c r="Q246" i="43"/>
  <c r="P246" i="43"/>
  <c r="O246" i="43"/>
  <c r="N246" i="43"/>
  <c r="L246" i="43"/>
  <c r="G246" i="43"/>
  <c r="W245" i="43"/>
  <c r="V245" i="43"/>
  <c r="U245" i="43"/>
  <c r="T245" i="43"/>
  <c r="S245" i="43"/>
  <c r="R245" i="43"/>
  <c r="Q245" i="43"/>
  <c r="P245" i="43"/>
  <c r="L245" i="43"/>
  <c r="I245" i="43"/>
  <c r="G245" i="43"/>
  <c r="W244" i="43"/>
  <c r="V244" i="43"/>
  <c r="U244" i="43"/>
  <c r="T244" i="43"/>
  <c r="S244" i="43"/>
  <c r="R244" i="43"/>
  <c r="Q244" i="43"/>
  <c r="P244" i="43"/>
  <c r="L244" i="43"/>
  <c r="I244" i="43"/>
  <c r="G244" i="43"/>
  <c r="W243" i="43"/>
  <c r="V243" i="43"/>
  <c r="U243" i="43"/>
  <c r="T243" i="43"/>
  <c r="S243" i="43"/>
  <c r="R243" i="43"/>
  <c r="Q243" i="43"/>
  <c r="P243" i="43"/>
  <c r="L243" i="43"/>
  <c r="I243" i="43"/>
  <c r="G243" i="43"/>
  <c r="W242" i="43"/>
  <c r="V242" i="43"/>
  <c r="U242" i="43"/>
  <c r="T242" i="43"/>
  <c r="S242" i="43"/>
  <c r="R242" i="43"/>
  <c r="Q242" i="43"/>
  <c r="P242" i="43"/>
  <c r="L242" i="43"/>
  <c r="I242" i="43"/>
  <c r="G242" i="43"/>
  <c r="W241" i="43"/>
  <c r="V241" i="43"/>
  <c r="U241" i="43"/>
  <c r="T241" i="43"/>
  <c r="S241" i="43"/>
  <c r="R241" i="43"/>
  <c r="Q241" i="43"/>
  <c r="P241" i="43"/>
  <c r="L241" i="43"/>
  <c r="I241" i="43"/>
  <c r="G241" i="43"/>
  <c r="W240" i="43"/>
  <c r="V240" i="43"/>
  <c r="U240" i="43"/>
  <c r="T240" i="43"/>
  <c r="S240" i="43"/>
  <c r="R240" i="43"/>
  <c r="Q240" i="43"/>
  <c r="P240" i="43"/>
  <c r="L240" i="43"/>
  <c r="G240" i="43"/>
  <c r="W239" i="43"/>
  <c r="V239" i="43"/>
  <c r="U239" i="43"/>
  <c r="T239" i="43"/>
  <c r="S239" i="43"/>
  <c r="R239" i="43"/>
  <c r="Q239" i="43"/>
  <c r="P239" i="43"/>
  <c r="L239" i="43"/>
  <c r="G239" i="43"/>
  <c r="W238" i="43"/>
  <c r="V238" i="43"/>
  <c r="U238" i="43"/>
  <c r="T238" i="43"/>
  <c r="S238" i="43"/>
  <c r="R238" i="43"/>
  <c r="Q238" i="43"/>
  <c r="P238" i="43"/>
  <c r="L238" i="43"/>
  <c r="G238" i="43"/>
  <c r="W237" i="43"/>
  <c r="V237" i="43"/>
  <c r="U237" i="43"/>
  <c r="T237" i="43"/>
  <c r="S237" i="43"/>
  <c r="R237" i="43"/>
  <c r="Q237" i="43"/>
  <c r="P237" i="43"/>
  <c r="L237" i="43"/>
  <c r="G237" i="43"/>
  <c r="W236" i="43"/>
  <c r="V236" i="43"/>
  <c r="U236" i="43"/>
  <c r="T236" i="43"/>
  <c r="S236" i="43"/>
  <c r="R236" i="43"/>
  <c r="Q236" i="43"/>
  <c r="P236" i="43"/>
  <c r="L236" i="43"/>
  <c r="G236" i="43"/>
  <c r="W235" i="43"/>
  <c r="V235" i="43"/>
  <c r="U235" i="43"/>
  <c r="T235" i="43"/>
  <c r="S235" i="43"/>
  <c r="R235" i="43"/>
  <c r="Q235" i="43"/>
  <c r="P235" i="43"/>
  <c r="L235" i="43"/>
  <c r="W234" i="43"/>
  <c r="V234" i="43"/>
  <c r="U234" i="43"/>
  <c r="T234" i="43"/>
  <c r="S234" i="43"/>
  <c r="R234" i="43"/>
  <c r="Q234" i="43"/>
  <c r="P234" i="43"/>
  <c r="L234" i="43"/>
  <c r="W233" i="43"/>
  <c r="V233" i="43"/>
  <c r="U233" i="43"/>
  <c r="T233" i="43"/>
  <c r="S233" i="43"/>
  <c r="R233" i="43"/>
  <c r="Q233" i="43"/>
  <c r="P233" i="43"/>
  <c r="L233" i="43"/>
  <c r="W232" i="43"/>
  <c r="V232" i="43"/>
  <c r="U232" i="43"/>
  <c r="T232" i="43"/>
  <c r="S232" i="43"/>
  <c r="R232" i="43"/>
  <c r="Q232" i="43"/>
  <c r="P232" i="43"/>
  <c r="L232" i="43"/>
  <c r="W231" i="43"/>
  <c r="V231" i="43"/>
  <c r="U231" i="43"/>
  <c r="T231" i="43"/>
  <c r="S231" i="43"/>
  <c r="R231" i="43"/>
  <c r="Q231" i="43"/>
  <c r="P231" i="43"/>
  <c r="L231" i="43"/>
  <c r="W230" i="43"/>
  <c r="V230" i="43"/>
  <c r="U230" i="43"/>
  <c r="T230" i="43"/>
  <c r="S230" i="43"/>
  <c r="R230" i="43"/>
  <c r="Q230" i="43"/>
  <c r="P230" i="43"/>
  <c r="O230" i="43"/>
  <c r="L230" i="43"/>
  <c r="W229" i="43"/>
  <c r="V229" i="43"/>
  <c r="U229" i="43"/>
  <c r="T229" i="43"/>
  <c r="S229" i="43"/>
  <c r="R229" i="43"/>
  <c r="Q229" i="43"/>
  <c r="P229" i="43"/>
  <c r="O229" i="43"/>
  <c r="L229" i="43"/>
  <c r="W228" i="43"/>
  <c r="V228" i="43"/>
  <c r="U228" i="43"/>
  <c r="T228" i="43"/>
  <c r="S228" i="43"/>
  <c r="R228" i="43"/>
  <c r="Q228" i="43"/>
  <c r="P228" i="43"/>
  <c r="O228" i="43"/>
  <c r="L228" i="43"/>
  <c r="W227" i="43"/>
  <c r="V227" i="43"/>
  <c r="U227" i="43"/>
  <c r="T227" i="43"/>
  <c r="S227" i="43"/>
  <c r="R227" i="43"/>
  <c r="Q227" i="43"/>
  <c r="P227" i="43"/>
  <c r="O227" i="43"/>
  <c r="L227" i="43"/>
  <c r="W226" i="43"/>
  <c r="V226" i="43"/>
  <c r="U226" i="43"/>
  <c r="T226" i="43"/>
  <c r="S226" i="43"/>
  <c r="R226" i="43"/>
  <c r="Q226" i="43"/>
  <c r="P226" i="43"/>
  <c r="O226" i="43"/>
  <c r="L226" i="43"/>
  <c r="W225" i="43"/>
  <c r="V225" i="43"/>
  <c r="U225" i="43"/>
  <c r="T225" i="43"/>
  <c r="S225" i="43"/>
  <c r="R225" i="43"/>
  <c r="Q225" i="43"/>
  <c r="P225" i="43"/>
  <c r="O225" i="43"/>
  <c r="L225" i="43"/>
  <c r="W224" i="43"/>
  <c r="V224" i="43"/>
  <c r="U224" i="43"/>
  <c r="T224" i="43"/>
  <c r="S224" i="43"/>
  <c r="R224" i="43"/>
  <c r="Q224" i="43"/>
  <c r="P224" i="43"/>
  <c r="L224" i="43"/>
  <c r="W223" i="43"/>
  <c r="V223" i="43"/>
  <c r="U223" i="43"/>
  <c r="T223" i="43"/>
  <c r="S223" i="43"/>
  <c r="R223" i="43"/>
  <c r="Q223" i="43"/>
  <c r="P223" i="43"/>
  <c r="L223" i="43"/>
  <c r="W222" i="43"/>
  <c r="V222" i="43"/>
  <c r="U222" i="43"/>
  <c r="T222" i="43"/>
  <c r="S222" i="43"/>
  <c r="R222" i="43"/>
  <c r="Q222" i="43"/>
  <c r="P222" i="43"/>
  <c r="O222" i="43"/>
  <c r="N222" i="43"/>
  <c r="L222" i="43"/>
  <c r="W221" i="43"/>
  <c r="V221" i="43"/>
  <c r="U221" i="43"/>
  <c r="T221" i="43"/>
  <c r="S221" i="43"/>
  <c r="R221" i="43"/>
  <c r="Q221" i="43"/>
  <c r="P221" i="43"/>
  <c r="O221" i="43"/>
  <c r="N221" i="43"/>
  <c r="L221" i="43"/>
  <c r="W220" i="43"/>
  <c r="V220" i="43"/>
  <c r="U220" i="43"/>
  <c r="T220" i="43"/>
  <c r="S220" i="43"/>
  <c r="R220" i="43"/>
  <c r="Q220" i="43"/>
  <c r="P220" i="43"/>
  <c r="L220" i="43"/>
  <c r="W219" i="43"/>
  <c r="V219" i="43"/>
  <c r="U219" i="43"/>
  <c r="T219" i="43"/>
  <c r="S219" i="43"/>
  <c r="R219" i="43"/>
  <c r="Q219" i="43"/>
  <c r="P219" i="43"/>
  <c r="L219" i="43"/>
  <c r="W218" i="43"/>
  <c r="V218" i="43"/>
  <c r="U218" i="43"/>
  <c r="T218" i="43"/>
  <c r="S218" i="43"/>
  <c r="R218" i="43"/>
  <c r="Q218" i="43"/>
  <c r="P218" i="43"/>
  <c r="L218" i="43"/>
  <c r="W217" i="43"/>
  <c r="V217" i="43"/>
  <c r="U217" i="43"/>
  <c r="T217" i="43"/>
  <c r="S217" i="43"/>
  <c r="R217" i="43"/>
  <c r="Q217" i="43"/>
  <c r="P217" i="43"/>
  <c r="L217" i="43"/>
  <c r="W216" i="43"/>
  <c r="V216" i="43"/>
  <c r="U216" i="43"/>
  <c r="T216" i="43"/>
  <c r="S216" i="43"/>
  <c r="R216" i="43"/>
  <c r="Q216" i="43"/>
  <c r="P216" i="43"/>
  <c r="L216" i="43"/>
  <c r="W215" i="43"/>
  <c r="V215" i="43"/>
  <c r="U215" i="43"/>
  <c r="T215" i="43"/>
  <c r="S215" i="43"/>
  <c r="R215" i="43"/>
  <c r="Q215" i="43"/>
  <c r="P215" i="43"/>
  <c r="O215" i="43"/>
  <c r="N215" i="43"/>
  <c r="L215" i="43"/>
  <c r="W214" i="43"/>
  <c r="V214" i="43"/>
  <c r="U214" i="43"/>
  <c r="T214" i="43"/>
  <c r="S214" i="43"/>
  <c r="R214" i="43"/>
  <c r="Q214" i="43"/>
  <c r="P214" i="43"/>
  <c r="O214" i="43"/>
  <c r="N214" i="43"/>
  <c r="L214" i="43"/>
  <c r="W213" i="43"/>
  <c r="V213" i="43"/>
  <c r="U213" i="43"/>
  <c r="T213" i="43"/>
  <c r="S213" i="43"/>
  <c r="R213" i="43"/>
  <c r="Q213" i="43"/>
  <c r="P213" i="43"/>
  <c r="O213" i="43"/>
  <c r="N213" i="43"/>
  <c r="L213" i="43"/>
  <c r="W212" i="43"/>
  <c r="V212" i="43"/>
  <c r="U212" i="43"/>
  <c r="T212" i="43"/>
  <c r="S212" i="43"/>
  <c r="R212" i="43"/>
  <c r="Q212" i="43"/>
  <c r="P212" i="43"/>
  <c r="O212" i="43"/>
  <c r="N212" i="43"/>
  <c r="L212" i="43"/>
  <c r="W211" i="43"/>
  <c r="V211" i="43"/>
  <c r="U211" i="43"/>
  <c r="T211" i="43"/>
  <c r="S211" i="43"/>
  <c r="R211" i="43"/>
  <c r="Q211" i="43"/>
  <c r="P211" i="43"/>
  <c r="O211" i="43"/>
  <c r="N211" i="43"/>
  <c r="L211" i="43"/>
  <c r="W210" i="43"/>
  <c r="V210" i="43"/>
  <c r="U210" i="43"/>
  <c r="T210" i="43"/>
  <c r="S210" i="43"/>
  <c r="R210" i="43"/>
  <c r="Q210" i="43"/>
  <c r="P210" i="43"/>
  <c r="O210" i="43"/>
  <c r="N210" i="43"/>
  <c r="L210" i="43"/>
  <c r="W209" i="43"/>
  <c r="V209" i="43"/>
  <c r="U209" i="43"/>
  <c r="T209" i="43"/>
  <c r="S209" i="43"/>
  <c r="R209" i="43"/>
  <c r="Q209" i="43"/>
  <c r="P209" i="43"/>
  <c r="L209" i="43"/>
  <c r="W208" i="43"/>
  <c r="V208" i="43"/>
  <c r="U208" i="43"/>
  <c r="T208" i="43"/>
  <c r="S208" i="43"/>
  <c r="R208" i="43"/>
  <c r="Q208" i="43"/>
  <c r="P208" i="43"/>
  <c r="L208" i="43"/>
  <c r="W207" i="43"/>
  <c r="V207" i="43"/>
  <c r="U207" i="43"/>
  <c r="T207" i="43"/>
  <c r="S207" i="43"/>
  <c r="R207" i="43"/>
  <c r="Q207" i="43"/>
  <c r="P207" i="43"/>
  <c r="L207" i="43"/>
  <c r="W206" i="43"/>
  <c r="V206" i="43"/>
  <c r="U206" i="43"/>
  <c r="T206" i="43"/>
  <c r="S206" i="43"/>
  <c r="R206" i="43"/>
  <c r="Q206" i="43"/>
  <c r="P206" i="43"/>
  <c r="L206" i="43"/>
  <c r="W205" i="43"/>
  <c r="V205" i="43"/>
  <c r="U205" i="43"/>
  <c r="T205" i="43"/>
  <c r="S205" i="43"/>
  <c r="R205" i="43"/>
  <c r="Q205" i="43"/>
  <c r="P205" i="43"/>
  <c r="L205" i="43"/>
  <c r="W204" i="43"/>
  <c r="V204" i="43"/>
  <c r="U204" i="43"/>
  <c r="T204" i="43"/>
  <c r="S204" i="43"/>
  <c r="R204" i="43"/>
  <c r="Q204" i="43"/>
  <c r="P204" i="43"/>
  <c r="L204" i="43"/>
  <c r="W203" i="43"/>
  <c r="V203" i="43"/>
  <c r="U203" i="43"/>
  <c r="T203" i="43"/>
  <c r="S203" i="43"/>
  <c r="R203" i="43"/>
  <c r="Q203" i="43"/>
  <c r="P203" i="43"/>
  <c r="L203" i="43"/>
  <c r="W202" i="43"/>
  <c r="V202" i="43"/>
  <c r="U202" i="43"/>
  <c r="T202" i="43"/>
  <c r="S202" i="43"/>
  <c r="R202" i="43"/>
  <c r="Q202" i="43"/>
  <c r="P202" i="43"/>
  <c r="L202" i="43"/>
  <c r="W201" i="43"/>
  <c r="V201" i="43"/>
  <c r="U201" i="43"/>
  <c r="T201" i="43"/>
  <c r="S201" i="43"/>
  <c r="R201" i="43"/>
  <c r="Q201" i="43"/>
  <c r="P201" i="43"/>
  <c r="L201" i="43"/>
  <c r="W200" i="43"/>
  <c r="V200" i="43"/>
  <c r="U200" i="43"/>
  <c r="T200" i="43"/>
  <c r="S200" i="43"/>
  <c r="R200" i="43"/>
  <c r="Q200" i="43"/>
  <c r="P200" i="43"/>
  <c r="L200" i="43"/>
  <c r="W199" i="43"/>
  <c r="V199" i="43"/>
  <c r="U199" i="43"/>
  <c r="T199" i="43"/>
  <c r="S199" i="43"/>
  <c r="R199" i="43"/>
  <c r="Q199" i="43"/>
  <c r="P199" i="43"/>
  <c r="N199" i="43"/>
  <c r="L199" i="43"/>
  <c r="W198" i="43"/>
  <c r="V198" i="43"/>
  <c r="U198" i="43"/>
  <c r="T198" i="43"/>
  <c r="S198" i="43"/>
  <c r="R198" i="43"/>
  <c r="Q198" i="43"/>
  <c r="P198" i="43"/>
  <c r="N198" i="43"/>
  <c r="L198" i="43"/>
  <c r="W197" i="43"/>
  <c r="V197" i="43"/>
  <c r="U197" i="43"/>
  <c r="T197" i="43"/>
  <c r="S197" i="43"/>
  <c r="R197" i="43"/>
  <c r="Q197" i="43"/>
  <c r="P197" i="43"/>
  <c r="N197" i="43"/>
  <c r="L197" i="43"/>
  <c r="W196" i="43"/>
  <c r="V196" i="43"/>
  <c r="U196" i="43"/>
  <c r="T196" i="43"/>
  <c r="S196" i="43"/>
  <c r="R196" i="43"/>
  <c r="Q196" i="43"/>
  <c r="P196" i="43"/>
  <c r="N196" i="43"/>
  <c r="L196" i="43"/>
  <c r="W195" i="43"/>
  <c r="V195" i="43"/>
  <c r="U195" i="43"/>
  <c r="T195" i="43"/>
  <c r="S195" i="43"/>
  <c r="R195" i="43"/>
  <c r="Q195" i="43"/>
  <c r="P195" i="43"/>
  <c r="N195" i="43"/>
  <c r="L195" i="43"/>
  <c r="W194" i="43"/>
  <c r="V194" i="43"/>
  <c r="U194" i="43"/>
  <c r="T194" i="43"/>
  <c r="S194" i="43"/>
  <c r="R194" i="43"/>
  <c r="Q194" i="43"/>
  <c r="P194" i="43"/>
  <c r="L194" i="43"/>
  <c r="W193" i="43"/>
  <c r="V193" i="43"/>
  <c r="U193" i="43"/>
  <c r="T193" i="43"/>
  <c r="S193" i="43"/>
  <c r="R193" i="43"/>
  <c r="Q193" i="43"/>
  <c r="P193" i="43"/>
  <c r="L193" i="43"/>
  <c r="W192" i="43"/>
  <c r="V192" i="43"/>
  <c r="U192" i="43"/>
  <c r="T192" i="43"/>
  <c r="S192" i="43"/>
  <c r="R192" i="43"/>
  <c r="Q192" i="43"/>
  <c r="P192" i="43"/>
  <c r="L192" i="43"/>
  <c r="W191" i="43"/>
  <c r="V191" i="43"/>
  <c r="U191" i="43"/>
  <c r="T191" i="43"/>
  <c r="S191" i="43"/>
  <c r="R191" i="43"/>
  <c r="Q191" i="43"/>
  <c r="P191" i="43"/>
  <c r="L191" i="43"/>
  <c r="W190" i="43"/>
  <c r="V190" i="43"/>
  <c r="U190" i="43"/>
  <c r="T190" i="43"/>
  <c r="S190" i="43"/>
  <c r="R190" i="43"/>
  <c r="Q190" i="43"/>
  <c r="P190" i="43"/>
  <c r="L190" i="43"/>
  <c r="W189" i="43"/>
  <c r="V189" i="43"/>
  <c r="U189" i="43"/>
  <c r="T189" i="43"/>
  <c r="S189" i="43"/>
  <c r="R189" i="43"/>
  <c r="Q189" i="43"/>
  <c r="P189" i="43"/>
  <c r="L189" i="43"/>
  <c r="W188" i="43"/>
  <c r="V188" i="43"/>
  <c r="U188" i="43"/>
  <c r="T188" i="43"/>
  <c r="S188" i="43"/>
  <c r="R188" i="43"/>
  <c r="Q188" i="43"/>
  <c r="P188" i="43"/>
  <c r="L188" i="43"/>
  <c r="W187" i="43"/>
  <c r="V187" i="43"/>
  <c r="U187" i="43"/>
  <c r="T187" i="43"/>
  <c r="S187" i="43"/>
  <c r="R187" i="43"/>
  <c r="Q187" i="43"/>
  <c r="P187" i="43"/>
  <c r="L187" i="43"/>
  <c r="W186" i="43"/>
  <c r="V186" i="43"/>
  <c r="U186" i="43"/>
  <c r="T186" i="43"/>
  <c r="S186" i="43"/>
  <c r="R186" i="43"/>
  <c r="Q186" i="43"/>
  <c r="P186" i="43"/>
  <c r="L186" i="43"/>
  <c r="W185" i="43"/>
  <c r="V185" i="43"/>
  <c r="U185" i="43"/>
  <c r="T185" i="43"/>
  <c r="S185" i="43"/>
  <c r="R185" i="43"/>
  <c r="Q185" i="43"/>
  <c r="P185" i="43"/>
  <c r="L185" i="43"/>
  <c r="W184" i="43"/>
  <c r="V184" i="43"/>
  <c r="U184" i="43"/>
  <c r="T184" i="43"/>
  <c r="S184" i="43"/>
  <c r="R184" i="43"/>
  <c r="Q184" i="43"/>
  <c r="P184" i="43"/>
  <c r="L184" i="43"/>
  <c r="W183" i="43"/>
  <c r="V183" i="43"/>
  <c r="U183" i="43"/>
  <c r="T183" i="43"/>
  <c r="S183" i="43"/>
  <c r="R183" i="43"/>
  <c r="Q183" i="43"/>
  <c r="P183" i="43"/>
  <c r="L183" i="43"/>
  <c r="W182" i="43"/>
  <c r="V182" i="43"/>
  <c r="U182" i="43"/>
  <c r="T182" i="43"/>
  <c r="S182" i="43"/>
  <c r="R182" i="43"/>
  <c r="Q182" i="43"/>
  <c r="P182" i="43"/>
  <c r="L182" i="43"/>
  <c r="W181" i="43"/>
  <c r="V181" i="43"/>
  <c r="U181" i="43"/>
  <c r="T181" i="43"/>
  <c r="S181" i="43"/>
  <c r="R181" i="43"/>
  <c r="Q181" i="43"/>
  <c r="P181" i="43"/>
  <c r="L181" i="43"/>
  <c r="W180" i="43"/>
  <c r="V180" i="43"/>
  <c r="U180" i="43"/>
  <c r="T180" i="43"/>
  <c r="S180" i="43"/>
  <c r="R180" i="43"/>
  <c r="Q180" i="43"/>
  <c r="P180" i="43"/>
  <c r="L180" i="43"/>
  <c r="W179" i="43"/>
  <c r="V179" i="43"/>
  <c r="U179" i="43"/>
  <c r="T179" i="43"/>
  <c r="S179" i="43"/>
  <c r="R179" i="43"/>
  <c r="Q179" i="43"/>
  <c r="P179" i="43"/>
  <c r="L179" i="43"/>
  <c r="W178" i="43"/>
  <c r="V178" i="43"/>
  <c r="U178" i="43"/>
  <c r="T178" i="43"/>
  <c r="S178" i="43"/>
  <c r="R178" i="43"/>
  <c r="Q178" i="43"/>
  <c r="P178" i="43"/>
  <c r="L178" i="43"/>
  <c r="W177" i="43"/>
  <c r="V177" i="43"/>
  <c r="U177" i="43"/>
  <c r="T177" i="43"/>
  <c r="S177" i="43"/>
  <c r="R177" i="43"/>
  <c r="Q177" i="43"/>
  <c r="P177" i="43"/>
  <c r="L177" i="43"/>
  <c r="W176" i="43"/>
  <c r="V176" i="43"/>
  <c r="U176" i="43"/>
  <c r="T176" i="43"/>
  <c r="S176" i="43"/>
  <c r="R176" i="43"/>
  <c r="Q176" i="43"/>
  <c r="P176" i="43"/>
  <c r="L176" i="43"/>
  <c r="W175" i="43"/>
  <c r="V175" i="43"/>
  <c r="U175" i="43"/>
  <c r="T175" i="43"/>
  <c r="S175" i="43"/>
  <c r="R175" i="43"/>
  <c r="Q175" i="43"/>
  <c r="P175" i="43"/>
  <c r="L175" i="43"/>
  <c r="W174" i="43"/>
  <c r="V174" i="43"/>
  <c r="U174" i="43"/>
  <c r="T174" i="43"/>
  <c r="S174" i="43"/>
  <c r="R174" i="43"/>
  <c r="Q174" i="43"/>
  <c r="P174" i="43"/>
  <c r="C174" i="43"/>
  <c r="L174" i="43" s="1"/>
  <c r="AY15" i="43" s="1"/>
  <c r="W173" i="43"/>
  <c r="V173" i="43"/>
  <c r="U173" i="43"/>
  <c r="T173" i="43"/>
  <c r="S173" i="43"/>
  <c r="R173" i="43"/>
  <c r="Q173" i="43"/>
  <c r="P173" i="43"/>
  <c r="L173" i="43"/>
  <c r="W172" i="43"/>
  <c r="V172" i="43"/>
  <c r="U172" i="43"/>
  <c r="T172" i="43"/>
  <c r="S172" i="43"/>
  <c r="R172" i="43"/>
  <c r="Q172" i="43"/>
  <c r="P172" i="43"/>
  <c r="L172" i="43"/>
  <c r="W171" i="43"/>
  <c r="V171" i="43"/>
  <c r="U171" i="43"/>
  <c r="T171" i="43"/>
  <c r="S171" i="43"/>
  <c r="R171" i="43"/>
  <c r="Q171" i="43"/>
  <c r="P171" i="43"/>
  <c r="L171" i="43"/>
  <c r="W170" i="43"/>
  <c r="V170" i="43"/>
  <c r="U170" i="43"/>
  <c r="T170" i="43"/>
  <c r="S170" i="43"/>
  <c r="R170" i="43"/>
  <c r="Q170" i="43"/>
  <c r="P170" i="43"/>
  <c r="L170" i="43"/>
  <c r="W169" i="43"/>
  <c r="V169" i="43"/>
  <c r="U169" i="43"/>
  <c r="T169" i="43"/>
  <c r="S169" i="43"/>
  <c r="R169" i="43"/>
  <c r="Q169" i="43"/>
  <c r="P169" i="43"/>
  <c r="L169" i="43"/>
  <c r="W168" i="43"/>
  <c r="V168" i="43"/>
  <c r="U168" i="43"/>
  <c r="T168" i="43"/>
  <c r="S168" i="43"/>
  <c r="R168" i="43"/>
  <c r="Q168" i="43"/>
  <c r="P168" i="43"/>
  <c r="L168" i="43"/>
  <c r="W167" i="43"/>
  <c r="V167" i="43"/>
  <c r="U167" i="43"/>
  <c r="T167" i="43"/>
  <c r="S167" i="43"/>
  <c r="R167" i="43"/>
  <c r="Q167" i="43"/>
  <c r="P167" i="43"/>
  <c r="O167" i="43"/>
  <c r="L167" i="43"/>
  <c r="W166" i="43"/>
  <c r="V166" i="43"/>
  <c r="U166" i="43"/>
  <c r="T166" i="43"/>
  <c r="S166" i="43"/>
  <c r="R166" i="43"/>
  <c r="Q166" i="43"/>
  <c r="P166" i="43"/>
  <c r="O166" i="43"/>
  <c r="L166" i="43"/>
  <c r="W165" i="43"/>
  <c r="V165" i="43"/>
  <c r="U165" i="43"/>
  <c r="T165" i="43"/>
  <c r="S165" i="43"/>
  <c r="R165" i="43"/>
  <c r="Q165" i="43"/>
  <c r="P165" i="43"/>
  <c r="O165" i="43"/>
  <c r="L165" i="43"/>
  <c r="W164" i="43"/>
  <c r="V164" i="43"/>
  <c r="U164" i="43"/>
  <c r="T164" i="43"/>
  <c r="S164" i="43"/>
  <c r="R164" i="43"/>
  <c r="Q164" i="43"/>
  <c r="P164" i="43"/>
  <c r="L164" i="43"/>
  <c r="W163" i="43"/>
  <c r="V163" i="43"/>
  <c r="U163" i="43"/>
  <c r="T163" i="43"/>
  <c r="S163" i="43"/>
  <c r="R163" i="43"/>
  <c r="Q163" i="43"/>
  <c r="P163" i="43"/>
  <c r="L163" i="43"/>
  <c r="W162" i="43"/>
  <c r="V162" i="43"/>
  <c r="U162" i="43"/>
  <c r="T162" i="43"/>
  <c r="S162" i="43"/>
  <c r="R162" i="43"/>
  <c r="Q162" i="43"/>
  <c r="P162" i="43"/>
  <c r="L162" i="43"/>
  <c r="W161" i="43"/>
  <c r="V161" i="43"/>
  <c r="U161" i="43"/>
  <c r="T161" i="43"/>
  <c r="S161" i="43"/>
  <c r="R161" i="43"/>
  <c r="Q161" i="43"/>
  <c r="P161" i="43"/>
  <c r="L161" i="43"/>
  <c r="W160" i="43"/>
  <c r="V160" i="43"/>
  <c r="U160" i="43"/>
  <c r="T160" i="43"/>
  <c r="S160" i="43"/>
  <c r="R160" i="43"/>
  <c r="Q160" i="43"/>
  <c r="P160" i="43"/>
  <c r="L160" i="43"/>
  <c r="W159" i="43"/>
  <c r="V159" i="43"/>
  <c r="U159" i="43"/>
  <c r="T159" i="43"/>
  <c r="S159" i="43"/>
  <c r="R159" i="43"/>
  <c r="Q159" i="43"/>
  <c r="P159" i="43"/>
  <c r="L159" i="43"/>
  <c r="W158" i="43"/>
  <c r="V158" i="43"/>
  <c r="U158" i="43"/>
  <c r="T158" i="43"/>
  <c r="S158" i="43"/>
  <c r="R158" i="43"/>
  <c r="Q158" i="43"/>
  <c r="P158" i="43"/>
  <c r="L158" i="43"/>
  <c r="W157" i="43"/>
  <c r="V157" i="43"/>
  <c r="U157" i="43"/>
  <c r="T157" i="43"/>
  <c r="S157" i="43"/>
  <c r="R157" i="43"/>
  <c r="Q157" i="43"/>
  <c r="P157" i="43"/>
  <c r="L157" i="43"/>
  <c r="W156" i="43"/>
  <c r="V156" i="43"/>
  <c r="U156" i="43"/>
  <c r="T156" i="43"/>
  <c r="S156" i="43"/>
  <c r="R156" i="43"/>
  <c r="Q156" i="43"/>
  <c r="P156" i="43"/>
  <c r="L156" i="43"/>
  <c r="W155" i="43"/>
  <c r="V155" i="43"/>
  <c r="U155" i="43"/>
  <c r="T155" i="43"/>
  <c r="S155" i="43"/>
  <c r="R155" i="43"/>
  <c r="Q155" i="43"/>
  <c r="P155" i="43"/>
  <c r="L155" i="43"/>
  <c r="W154" i="43"/>
  <c r="V154" i="43"/>
  <c r="U154" i="43"/>
  <c r="T154" i="43"/>
  <c r="S154" i="43"/>
  <c r="R154" i="43"/>
  <c r="Q154" i="43"/>
  <c r="P154" i="43"/>
  <c r="L154" i="43"/>
  <c r="W153" i="43"/>
  <c r="V153" i="43"/>
  <c r="U153" i="43"/>
  <c r="T153" i="43"/>
  <c r="S153" i="43"/>
  <c r="R153" i="43"/>
  <c r="Q153" i="43"/>
  <c r="P153" i="43"/>
  <c r="L153" i="43"/>
  <c r="W152" i="43"/>
  <c r="V152" i="43"/>
  <c r="U152" i="43"/>
  <c r="T152" i="43"/>
  <c r="S152" i="43"/>
  <c r="R152" i="43"/>
  <c r="Q152" i="43"/>
  <c r="P152" i="43"/>
  <c r="L152" i="43"/>
  <c r="W151" i="43"/>
  <c r="V151" i="43"/>
  <c r="U151" i="43"/>
  <c r="T151" i="43"/>
  <c r="S151" i="43"/>
  <c r="R151" i="43"/>
  <c r="Q151" i="43"/>
  <c r="P151" i="43"/>
  <c r="O151" i="43"/>
  <c r="L151" i="43"/>
  <c r="W150" i="43"/>
  <c r="V150" i="43"/>
  <c r="U150" i="43"/>
  <c r="T150" i="43"/>
  <c r="S150" i="43"/>
  <c r="R150" i="43"/>
  <c r="Q150" i="43"/>
  <c r="P150" i="43"/>
  <c r="O150" i="43"/>
  <c r="L150" i="43"/>
  <c r="W149" i="43"/>
  <c r="V149" i="43"/>
  <c r="U149" i="43"/>
  <c r="T149" i="43"/>
  <c r="S149" i="43"/>
  <c r="R149" i="43"/>
  <c r="Q149" i="43"/>
  <c r="P149" i="43"/>
  <c r="O149" i="43"/>
  <c r="L149" i="43"/>
  <c r="W148" i="43"/>
  <c r="V148" i="43"/>
  <c r="U148" i="43"/>
  <c r="T148" i="43"/>
  <c r="S148" i="43"/>
  <c r="R148" i="43"/>
  <c r="Q148" i="43"/>
  <c r="P148" i="43"/>
  <c r="L148" i="43"/>
  <c r="W147" i="43"/>
  <c r="V147" i="43"/>
  <c r="U147" i="43"/>
  <c r="T147" i="43"/>
  <c r="S147" i="43"/>
  <c r="R147" i="43"/>
  <c r="Q147" i="43"/>
  <c r="P147" i="43"/>
  <c r="L147" i="43"/>
  <c r="W146" i="43"/>
  <c r="V146" i="43"/>
  <c r="U146" i="43"/>
  <c r="T146" i="43"/>
  <c r="S146" i="43"/>
  <c r="R146" i="43"/>
  <c r="Q146" i="43"/>
  <c r="P146" i="43"/>
  <c r="L146" i="43"/>
  <c r="W145" i="43"/>
  <c r="V145" i="43"/>
  <c r="U145" i="43"/>
  <c r="T145" i="43"/>
  <c r="S145" i="43"/>
  <c r="R145" i="43"/>
  <c r="Q145" i="43"/>
  <c r="P145" i="43"/>
  <c r="L145" i="43"/>
  <c r="W144" i="43"/>
  <c r="V144" i="43"/>
  <c r="U144" i="43"/>
  <c r="T144" i="43"/>
  <c r="S144" i="43"/>
  <c r="R144" i="43"/>
  <c r="Q144" i="43"/>
  <c r="P144" i="43"/>
  <c r="L144" i="43"/>
  <c r="W143" i="43"/>
  <c r="V143" i="43"/>
  <c r="U143" i="43"/>
  <c r="T143" i="43"/>
  <c r="S143" i="43"/>
  <c r="R143" i="43"/>
  <c r="Q143" i="43"/>
  <c r="P143" i="43"/>
  <c r="L143" i="43"/>
  <c r="W142" i="43"/>
  <c r="V142" i="43"/>
  <c r="U142" i="43"/>
  <c r="T142" i="43"/>
  <c r="S142" i="43"/>
  <c r="R142" i="43"/>
  <c r="Q142" i="43"/>
  <c r="P142" i="43"/>
  <c r="O142" i="43"/>
  <c r="L142" i="43"/>
  <c r="W141" i="43"/>
  <c r="V141" i="43"/>
  <c r="U141" i="43"/>
  <c r="T141" i="43"/>
  <c r="S141" i="43"/>
  <c r="R141" i="43"/>
  <c r="Q141" i="43"/>
  <c r="P141" i="43"/>
  <c r="L141" i="43"/>
  <c r="W140" i="43"/>
  <c r="V140" i="43"/>
  <c r="U140" i="43"/>
  <c r="T140" i="43"/>
  <c r="S140" i="43"/>
  <c r="R140" i="43"/>
  <c r="Q140" i="43"/>
  <c r="P140" i="43"/>
  <c r="L140" i="43"/>
  <c r="W139" i="43"/>
  <c r="V139" i="43"/>
  <c r="U139" i="43"/>
  <c r="T139" i="43"/>
  <c r="S139" i="43"/>
  <c r="R139" i="43"/>
  <c r="Q139" i="43"/>
  <c r="P139" i="43"/>
  <c r="L139" i="43"/>
  <c r="W138" i="43"/>
  <c r="V138" i="43"/>
  <c r="U138" i="43"/>
  <c r="T138" i="43"/>
  <c r="S138" i="43"/>
  <c r="R138" i="43"/>
  <c r="Q138" i="43"/>
  <c r="P138" i="43"/>
  <c r="O138" i="43"/>
  <c r="L138" i="43"/>
  <c r="W137" i="43"/>
  <c r="V137" i="43"/>
  <c r="U137" i="43"/>
  <c r="T137" i="43"/>
  <c r="S137" i="43"/>
  <c r="R137" i="43"/>
  <c r="Q137" i="43"/>
  <c r="P137" i="43"/>
  <c r="O137" i="43"/>
  <c r="L137" i="43"/>
  <c r="W136" i="43"/>
  <c r="V136" i="43"/>
  <c r="U136" i="43"/>
  <c r="T136" i="43"/>
  <c r="S136" i="43"/>
  <c r="R136" i="43"/>
  <c r="Q136" i="43"/>
  <c r="P136" i="43"/>
  <c r="O136" i="43"/>
  <c r="L136" i="43"/>
  <c r="W135" i="43"/>
  <c r="V135" i="43"/>
  <c r="U135" i="43"/>
  <c r="T135" i="43"/>
  <c r="S135" i="43"/>
  <c r="R135" i="43"/>
  <c r="Q135" i="43"/>
  <c r="P135" i="43"/>
  <c r="L135" i="43"/>
  <c r="W134" i="43"/>
  <c r="V134" i="43"/>
  <c r="U134" i="43"/>
  <c r="T134" i="43"/>
  <c r="S134" i="43"/>
  <c r="R134" i="43"/>
  <c r="Q134" i="43"/>
  <c r="P134" i="43"/>
  <c r="L134" i="43"/>
  <c r="W133" i="43"/>
  <c r="V133" i="43"/>
  <c r="U133" i="43"/>
  <c r="T133" i="43"/>
  <c r="S133" i="43"/>
  <c r="R133" i="43"/>
  <c r="Q133" i="43"/>
  <c r="P133" i="43"/>
  <c r="L133" i="43"/>
  <c r="W132" i="43"/>
  <c r="V132" i="43"/>
  <c r="U132" i="43"/>
  <c r="T132" i="43"/>
  <c r="S132" i="43"/>
  <c r="R132" i="43"/>
  <c r="Q132" i="43"/>
  <c r="P132" i="43"/>
  <c r="L132" i="43"/>
  <c r="W131" i="43"/>
  <c r="V131" i="43"/>
  <c r="U131" i="43"/>
  <c r="T131" i="43"/>
  <c r="S131" i="43"/>
  <c r="R131" i="43"/>
  <c r="Q131" i="43"/>
  <c r="P131" i="43"/>
  <c r="L131" i="43"/>
  <c r="W130" i="43"/>
  <c r="V130" i="43"/>
  <c r="U130" i="43"/>
  <c r="T130" i="43"/>
  <c r="S130" i="43"/>
  <c r="R130" i="43"/>
  <c r="Q130" i="43"/>
  <c r="P130" i="43"/>
  <c r="L130" i="43"/>
  <c r="W129" i="43"/>
  <c r="V129" i="43"/>
  <c r="U129" i="43"/>
  <c r="T129" i="43"/>
  <c r="S129" i="43"/>
  <c r="R129" i="43"/>
  <c r="Q129" i="43"/>
  <c r="P129" i="43"/>
  <c r="L129" i="43"/>
  <c r="W128" i="43"/>
  <c r="V128" i="43"/>
  <c r="U128" i="43"/>
  <c r="T128" i="43"/>
  <c r="S128" i="43"/>
  <c r="R128" i="43"/>
  <c r="Q128" i="43"/>
  <c r="P128" i="43"/>
  <c r="L128" i="43"/>
  <c r="W127" i="43"/>
  <c r="V127" i="43"/>
  <c r="U127" i="43"/>
  <c r="T127" i="43"/>
  <c r="S127" i="43"/>
  <c r="R127" i="43"/>
  <c r="Q127" i="43"/>
  <c r="P127" i="43"/>
  <c r="L127" i="43"/>
  <c r="W126" i="43"/>
  <c r="V126" i="43"/>
  <c r="U126" i="43"/>
  <c r="T126" i="43"/>
  <c r="S126" i="43"/>
  <c r="R126" i="43"/>
  <c r="Q126" i="43"/>
  <c r="P126" i="43"/>
  <c r="L126" i="43"/>
  <c r="W125" i="43"/>
  <c r="V125" i="43"/>
  <c r="U125" i="43"/>
  <c r="T125" i="43"/>
  <c r="S125" i="43"/>
  <c r="R125" i="43"/>
  <c r="Q125" i="43"/>
  <c r="P125" i="43"/>
  <c r="L125" i="43"/>
  <c r="W124" i="43"/>
  <c r="V124" i="43"/>
  <c r="U124" i="43"/>
  <c r="T124" i="43"/>
  <c r="S124" i="43"/>
  <c r="R124" i="43"/>
  <c r="Q124" i="43"/>
  <c r="P124" i="43"/>
  <c r="L124" i="43"/>
  <c r="W123" i="43"/>
  <c r="V123" i="43"/>
  <c r="U123" i="43"/>
  <c r="T123" i="43"/>
  <c r="S123" i="43"/>
  <c r="R123" i="43"/>
  <c r="Q123" i="43"/>
  <c r="P123" i="43"/>
  <c r="L123" i="43"/>
  <c r="W122" i="43"/>
  <c r="V122" i="43"/>
  <c r="U122" i="43"/>
  <c r="T122" i="43"/>
  <c r="S122" i="43"/>
  <c r="R122" i="43"/>
  <c r="Q122" i="43"/>
  <c r="P122" i="43"/>
  <c r="L122" i="43"/>
  <c r="W121" i="43"/>
  <c r="V121" i="43"/>
  <c r="U121" i="43"/>
  <c r="T121" i="43"/>
  <c r="S121" i="43"/>
  <c r="R121" i="43"/>
  <c r="Q121" i="43"/>
  <c r="P121" i="43"/>
  <c r="L121" i="43"/>
  <c r="W120" i="43"/>
  <c r="V120" i="43"/>
  <c r="U120" i="43"/>
  <c r="T120" i="43"/>
  <c r="S120" i="43"/>
  <c r="R120" i="43"/>
  <c r="Q120" i="43"/>
  <c r="P120" i="43"/>
  <c r="L120" i="43"/>
  <c r="W119" i="43"/>
  <c r="V119" i="43"/>
  <c r="U119" i="43"/>
  <c r="T119" i="43"/>
  <c r="S119" i="43"/>
  <c r="R119" i="43"/>
  <c r="Q119" i="43"/>
  <c r="P119" i="43"/>
  <c r="L119" i="43"/>
  <c r="W118" i="43"/>
  <c r="V118" i="43"/>
  <c r="U118" i="43"/>
  <c r="T118" i="43"/>
  <c r="S118" i="43"/>
  <c r="R118" i="43"/>
  <c r="Q118" i="43"/>
  <c r="P118" i="43"/>
  <c r="L118" i="43"/>
  <c r="W117" i="43"/>
  <c r="V117" i="43"/>
  <c r="U117" i="43"/>
  <c r="T117" i="43"/>
  <c r="S117" i="43"/>
  <c r="R117" i="43"/>
  <c r="Q117" i="43"/>
  <c r="P117" i="43"/>
  <c r="L117" i="43"/>
  <c r="W116" i="43"/>
  <c r="V116" i="43"/>
  <c r="U116" i="43"/>
  <c r="T116" i="43"/>
  <c r="S116" i="43"/>
  <c r="R116" i="43"/>
  <c r="Q116" i="43"/>
  <c r="P116" i="43"/>
  <c r="L116" i="43"/>
  <c r="W115" i="43"/>
  <c r="V115" i="43"/>
  <c r="U115" i="43"/>
  <c r="T115" i="43"/>
  <c r="S115" i="43"/>
  <c r="R115" i="43"/>
  <c r="Q115" i="43"/>
  <c r="P115" i="43"/>
  <c r="L115" i="43"/>
  <c r="W114" i="43"/>
  <c r="V114" i="43"/>
  <c r="U114" i="43"/>
  <c r="T114" i="43"/>
  <c r="S114" i="43"/>
  <c r="R114" i="43"/>
  <c r="Q114" i="43"/>
  <c r="P114" i="43"/>
  <c r="L114" i="43"/>
  <c r="W113" i="43"/>
  <c r="V113" i="43"/>
  <c r="U113" i="43"/>
  <c r="T113" i="43"/>
  <c r="S113" i="43"/>
  <c r="R113" i="43"/>
  <c r="Q113" i="43"/>
  <c r="P113" i="43"/>
  <c r="L113" i="43"/>
  <c r="W112" i="43"/>
  <c r="V112" i="43"/>
  <c r="U112" i="43"/>
  <c r="T112" i="43"/>
  <c r="S112" i="43"/>
  <c r="R112" i="43"/>
  <c r="Q112" i="43"/>
  <c r="P112" i="43"/>
  <c r="L112" i="43"/>
  <c r="W111" i="43"/>
  <c r="V111" i="43"/>
  <c r="U111" i="43"/>
  <c r="T111" i="43"/>
  <c r="S111" i="43"/>
  <c r="R111" i="43"/>
  <c r="Q111" i="43"/>
  <c r="P111" i="43"/>
  <c r="L111" i="43"/>
  <c r="W110" i="43"/>
  <c r="V110" i="43"/>
  <c r="U110" i="43"/>
  <c r="T110" i="43"/>
  <c r="S110" i="43"/>
  <c r="R110" i="43"/>
  <c r="Q110" i="43"/>
  <c r="P110" i="43"/>
  <c r="L110" i="43"/>
  <c r="W109" i="43"/>
  <c r="V109" i="43"/>
  <c r="U109" i="43"/>
  <c r="T109" i="43"/>
  <c r="S109" i="43"/>
  <c r="R109" i="43"/>
  <c r="Q109" i="43"/>
  <c r="P109" i="43"/>
  <c r="L109" i="43"/>
  <c r="W108" i="43"/>
  <c r="V108" i="43"/>
  <c r="U108" i="43"/>
  <c r="T108" i="43"/>
  <c r="S108" i="43"/>
  <c r="R108" i="43"/>
  <c r="Q108" i="43"/>
  <c r="P108" i="43"/>
  <c r="L108" i="43"/>
  <c r="W107" i="43"/>
  <c r="V107" i="43"/>
  <c r="U107" i="43"/>
  <c r="T107" i="43"/>
  <c r="S107" i="43"/>
  <c r="R107" i="43"/>
  <c r="Q107" i="43"/>
  <c r="P107" i="43"/>
  <c r="O107" i="43"/>
  <c r="L107" i="43"/>
  <c r="W106" i="43"/>
  <c r="V106" i="43"/>
  <c r="U106" i="43"/>
  <c r="T106" i="43"/>
  <c r="S106" i="43"/>
  <c r="R106" i="43"/>
  <c r="Q106" i="43"/>
  <c r="P106" i="43"/>
  <c r="L106" i="43"/>
  <c r="C106" i="43"/>
  <c r="W105" i="43"/>
  <c r="V105" i="43"/>
  <c r="U105" i="43"/>
  <c r="T105" i="43"/>
  <c r="S105" i="43"/>
  <c r="R105" i="43"/>
  <c r="Q105" i="43"/>
  <c r="P105" i="43"/>
  <c r="L105" i="43"/>
  <c r="W104" i="43"/>
  <c r="V104" i="43"/>
  <c r="U104" i="43"/>
  <c r="T104" i="43"/>
  <c r="S104" i="43"/>
  <c r="R104" i="43"/>
  <c r="Q104" i="43"/>
  <c r="P104" i="43"/>
  <c r="L104" i="43"/>
  <c r="W103" i="43"/>
  <c r="V103" i="43"/>
  <c r="U103" i="43"/>
  <c r="T103" i="43"/>
  <c r="S103" i="43"/>
  <c r="R103" i="43"/>
  <c r="Q103" i="43"/>
  <c r="P103" i="43"/>
  <c r="L103" i="43"/>
  <c r="W102" i="43"/>
  <c r="V102" i="43"/>
  <c r="U102" i="43"/>
  <c r="T102" i="43"/>
  <c r="S102" i="43"/>
  <c r="R102" i="43"/>
  <c r="Q102" i="43"/>
  <c r="P102" i="43"/>
  <c r="O102" i="43"/>
  <c r="L102" i="43"/>
  <c r="W101" i="43"/>
  <c r="V101" i="43"/>
  <c r="U101" i="43"/>
  <c r="T101" i="43"/>
  <c r="S101" i="43"/>
  <c r="R101" i="43"/>
  <c r="Q101" i="43"/>
  <c r="P101" i="43"/>
  <c r="O101" i="43"/>
  <c r="L101" i="43"/>
  <c r="W100" i="43"/>
  <c r="V100" i="43"/>
  <c r="U100" i="43"/>
  <c r="T100" i="43"/>
  <c r="S100" i="43"/>
  <c r="R100" i="43"/>
  <c r="Q100" i="43"/>
  <c r="P100" i="43"/>
  <c r="O100" i="43"/>
  <c r="L100" i="43"/>
  <c r="W99" i="43"/>
  <c r="V99" i="43"/>
  <c r="U99" i="43"/>
  <c r="T99" i="43"/>
  <c r="S99" i="43"/>
  <c r="R99" i="43"/>
  <c r="Q99" i="43"/>
  <c r="P99" i="43"/>
  <c r="O99" i="43"/>
  <c r="L99" i="43"/>
  <c r="W98" i="43"/>
  <c r="V98" i="43"/>
  <c r="U98" i="43"/>
  <c r="T98" i="43"/>
  <c r="S98" i="43"/>
  <c r="R98" i="43"/>
  <c r="Q98" i="43"/>
  <c r="P98" i="43"/>
  <c r="L98" i="43"/>
  <c r="W97" i="43"/>
  <c r="V97" i="43"/>
  <c r="U97" i="43"/>
  <c r="T97" i="43"/>
  <c r="S97" i="43"/>
  <c r="R97" i="43"/>
  <c r="Q97" i="43"/>
  <c r="P97" i="43"/>
  <c r="L97" i="43"/>
  <c r="W96" i="43"/>
  <c r="V96" i="43"/>
  <c r="U96" i="43"/>
  <c r="T96" i="43"/>
  <c r="S96" i="43"/>
  <c r="R96" i="43"/>
  <c r="Q96" i="43"/>
  <c r="P96" i="43"/>
  <c r="L96" i="43"/>
  <c r="W95" i="43"/>
  <c r="V95" i="43"/>
  <c r="U95" i="43"/>
  <c r="T95" i="43"/>
  <c r="S95" i="43"/>
  <c r="R95" i="43"/>
  <c r="Q95" i="43"/>
  <c r="P95" i="43"/>
  <c r="L95" i="43"/>
  <c r="W94" i="43"/>
  <c r="V94" i="43"/>
  <c r="U94" i="43"/>
  <c r="T94" i="43"/>
  <c r="S94" i="43"/>
  <c r="R94" i="43"/>
  <c r="Q94" i="43"/>
  <c r="P94" i="43"/>
  <c r="L94" i="43"/>
  <c r="W93" i="43"/>
  <c r="V93" i="43"/>
  <c r="U93" i="43"/>
  <c r="T93" i="43"/>
  <c r="S93" i="43"/>
  <c r="R93" i="43"/>
  <c r="Q93" i="43"/>
  <c r="P93" i="43"/>
  <c r="L93" i="43"/>
  <c r="W92" i="43"/>
  <c r="V92" i="43"/>
  <c r="U92" i="43"/>
  <c r="T92" i="43"/>
  <c r="S92" i="43"/>
  <c r="R92" i="43"/>
  <c r="Q92" i="43"/>
  <c r="P92" i="43"/>
  <c r="L92" i="43"/>
  <c r="W91" i="43"/>
  <c r="V91" i="43"/>
  <c r="U91" i="43"/>
  <c r="T91" i="43"/>
  <c r="S91" i="43"/>
  <c r="R91" i="43"/>
  <c r="Q91" i="43"/>
  <c r="P91" i="43"/>
  <c r="L91" i="43"/>
  <c r="W90" i="43"/>
  <c r="V90" i="43"/>
  <c r="U90" i="43"/>
  <c r="T90" i="43"/>
  <c r="S90" i="43"/>
  <c r="R90" i="43"/>
  <c r="Q90" i="43"/>
  <c r="P90" i="43"/>
  <c r="L90" i="43"/>
  <c r="W89" i="43"/>
  <c r="V89" i="43"/>
  <c r="U89" i="43"/>
  <c r="T89" i="43"/>
  <c r="S89" i="43"/>
  <c r="R89" i="43"/>
  <c r="Q89" i="43"/>
  <c r="P89" i="43"/>
  <c r="L89" i="43"/>
  <c r="W88" i="43"/>
  <c r="V88" i="43"/>
  <c r="U88" i="43"/>
  <c r="T88" i="43"/>
  <c r="S88" i="43"/>
  <c r="R88" i="43"/>
  <c r="Q88" i="43"/>
  <c r="P88" i="43"/>
  <c r="L88" i="43"/>
  <c r="W87" i="43"/>
  <c r="V87" i="43"/>
  <c r="U87" i="43"/>
  <c r="T87" i="43"/>
  <c r="S87" i="43"/>
  <c r="R87" i="43"/>
  <c r="Q87" i="43"/>
  <c r="P87" i="43"/>
  <c r="L87" i="43"/>
  <c r="W86" i="43"/>
  <c r="V86" i="43"/>
  <c r="U86" i="43"/>
  <c r="T86" i="43"/>
  <c r="S86" i="43"/>
  <c r="R86" i="43"/>
  <c r="Q86" i="43"/>
  <c r="P86" i="43"/>
  <c r="L86" i="43"/>
  <c r="W85" i="43"/>
  <c r="V85" i="43"/>
  <c r="U85" i="43"/>
  <c r="T85" i="43"/>
  <c r="S85" i="43"/>
  <c r="R85" i="43"/>
  <c r="Q85" i="43"/>
  <c r="P85" i="43"/>
  <c r="L85" i="43"/>
  <c r="W84" i="43"/>
  <c r="V84" i="43"/>
  <c r="U84" i="43"/>
  <c r="T84" i="43"/>
  <c r="S84" i="43"/>
  <c r="R84" i="43"/>
  <c r="Q84" i="43"/>
  <c r="P84" i="43"/>
  <c r="L84" i="43"/>
  <c r="W83" i="43"/>
  <c r="V83" i="43"/>
  <c r="U83" i="43"/>
  <c r="T83" i="43"/>
  <c r="S83" i="43"/>
  <c r="R83" i="43"/>
  <c r="Q83" i="43"/>
  <c r="P83" i="43"/>
  <c r="L83" i="43"/>
  <c r="W82" i="43"/>
  <c r="V82" i="43"/>
  <c r="U82" i="43"/>
  <c r="T82" i="43"/>
  <c r="S82" i="43"/>
  <c r="R82" i="43"/>
  <c r="Q82" i="43"/>
  <c r="P82" i="43"/>
  <c r="L82" i="43"/>
  <c r="W81" i="43"/>
  <c r="V81" i="43"/>
  <c r="U81" i="43"/>
  <c r="T81" i="43"/>
  <c r="S81" i="43"/>
  <c r="R81" i="43"/>
  <c r="Q81" i="43"/>
  <c r="P81" i="43"/>
  <c r="L81" i="43"/>
  <c r="W80" i="43"/>
  <c r="V80" i="43"/>
  <c r="U80" i="43"/>
  <c r="T80" i="43"/>
  <c r="S80" i="43"/>
  <c r="R80" i="43"/>
  <c r="Q80" i="43"/>
  <c r="P80" i="43"/>
  <c r="L80" i="43"/>
  <c r="W79" i="43"/>
  <c r="V79" i="43"/>
  <c r="U79" i="43"/>
  <c r="T79" i="43"/>
  <c r="S79" i="43"/>
  <c r="R79" i="43"/>
  <c r="Q79" i="43"/>
  <c r="P79" i="43"/>
  <c r="L79" i="43"/>
  <c r="W78" i="43"/>
  <c r="V78" i="43"/>
  <c r="U78" i="43"/>
  <c r="T78" i="43"/>
  <c r="S78" i="43"/>
  <c r="R78" i="43"/>
  <c r="Q78" i="43"/>
  <c r="P78" i="43"/>
  <c r="L78" i="43"/>
  <c r="W77" i="43"/>
  <c r="V77" i="43"/>
  <c r="U77" i="43"/>
  <c r="T77" i="43"/>
  <c r="S77" i="43"/>
  <c r="R77" i="43"/>
  <c r="Q77" i="43"/>
  <c r="P77" i="43"/>
  <c r="L77" i="43"/>
  <c r="C77" i="43"/>
  <c r="W76" i="43"/>
  <c r="V76" i="43"/>
  <c r="U76" i="43"/>
  <c r="T76" i="43"/>
  <c r="S76" i="43"/>
  <c r="R76" i="43"/>
  <c r="Q76" i="43"/>
  <c r="P76" i="43"/>
  <c r="L76" i="43"/>
  <c r="W75" i="43"/>
  <c r="V75" i="43"/>
  <c r="U75" i="43"/>
  <c r="T75" i="43"/>
  <c r="S75" i="43"/>
  <c r="R75" i="43"/>
  <c r="Q75" i="43"/>
  <c r="P75" i="43"/>
  <c r="L75" i="43"/>
  <c r="W74" i="43"/>
  <c r="V74" i="43"/>
  <c r="U74" i="43"/>
  <c r="T74" i="43"/>
  <c r="S74" i="43"/>
  <c r="R74" i="43"/>
  <c r="Q74" i="43"/>
  <c r="P74" i="43"/>
  <c r="L74" i="43"/>
  <c r="W73" i="43"/>
  <c r="V73" i="43"/>
  <c r="U73" i="43"/>
  <c r="T73" i="43"/>
  <c r="S73" i="43"/>
  <c r="R73" i="43"/>
  <c r="Q73" i="43"/>
  <c r="P73" i="43"/>
  <c r="W72" i="43"/>
  <c r="V72" i="43"/>
  <c r="U72" i="43"/>
  <c r="T72" i="43"/>
  <c r="S72" i="43"/>
  <c r="R72" i="43"/>
  <c r="Q72" i="43"/>
  <c r="P72" i="43"/>
  <c r="W71" i="43"/>
  <c r="V71" i="43"/>
  <c r="U71" i="43"/>
  <c r="T71" i="43"/>
  <c r="S71" i="43"/>
  <c r="R71" i="43"/>
  <c r="Q71" i="43"/>
  <c r="P71" i="43"/>
  <c r="W70" i="43"/>
  <c r="V70" i="43"/>
  <c r="U70" i="43"/>
  <c r="T70" i="43"/>
  <c r="S70" i="43"/>
  <c r="R70" i="43"/>
  <c r="Q70" i="43"/>
  <c r="P70" i="43"/>
  <c r="W69" i="43"/>
  <c r="V69" i="43"/>
  <c r="U69" i="43"/>
  <c r="T69" i="43"/>
  <c r="S69" i="43"/>
  <c r="R69" i="43"/>
  <c r="Q69" i="43"/>
  <c r="P69" i="43"/>
  <c r="W68" i="43"/>
  <c r="V68" i="43"/>
  <c r="U68" i="43"/>
  <c r="T68" i="43"/>
  <c r="S68" i="43"/>
  <c r="R68" i="43"/>
  <c r="Q68" i="43"/>
  <c r="P68" i="43"/>
  <c r="W67" i="43"/>
  <c r="V67" i="43"/>
  <c r="U67" i="43"/>
  <c r="T67" i="43"/>
  <c r="S67" i="43"/>
  <c r="R67" i="43"/>
  <c r="Q67" i="43"/>
  <c r="P67" i="43"/>
  <c r="W66" i="43"/>
  <c r="V66" i="43"/>
  <c r="U66" i="43"/>
  <c r="T66" i="43"/>
  <c r="S66" i="43"/>
  <c r="R66" i="43"/>
  <c r="Q66" i="43"/>
  <c r="P66" i="43"/>
  <c r="W65" i="43"/>
  <c r="V65" i="43"/>
  <c r="U65" i="43"/>
  <c r="T65" i="43"/>
  <c r="S65" i="43"/>
  <c r="R65" i="43"/>
  <c r="Q65" i="43"/>
  <c r="P65" i="43"/>
  <c r="W64" i="43"/>
  <c r="V64" i="43"/>
  <c r="U64" i="43"/>
  <c r="T64" i="43"/>
  <c r="S64" i="43"/>
  <c r="R64" i="43"/>
  <c r="Q64" i="43"/>
  <c r="P64" i="43"/>
  <c r="W63" i="43"/>
  <c r="V63" i="43"/>
  <c r="U63" i="43"/>
  <c r="T63" i="43"/>
  <c r="S63" i="43"/>
  <c r="R63" i="43"/>
  <c r="Q63" i="43"/>
  <c r="P63" i="43"/>
  <c r="W62" i="43"/>
  <c r="V62" i="43"/>
  <c r="U62" i="43"/>
  <c r="T62" i="43"/>
  <c r="S62" i="43"/>
  <c r="R62" i="43"/>
  <c r="Q62" i="43"/>
  <c r="P62" i="43"/>
  <c r="W61" i="43"/>
  <c r="V61" i="43"/>
  <c r="U61" i="43"/>
  <c r="T61" i="43"/>
  <c r="S61" i="43"/>
  <c r="R61" i="43"/>
  <c r="Q61" i="43"/>
  <c r="P61" i="43"/>
  <c r="W60" i="43"/>
  <c r="V60" i="43"/>
  <c r="U60" i="43"/>
  <c r="T60" i="43"/>
  <c r="S60" i="43"/>
  <c r="R60" i="43"/>
  <c r="Q60" i="43"/>
  <c r="P60" i="43"/>
  <c r="O60" i="43"/>
  <c r="W59" i="43"/>
  <c r="V59" i="43"/>
  <c r="U59" i="43"/>
  <c r="T59" i="43"/>
  <c r="S59" i="43"/>
  <c r="R59" i="43"/>
  <c r="Q59" i="43"/>
  <c r="P59" i="43"/>
  <c r="W58" i="43"/>
  <c r="V58" i="43"/>
  <c r="U58" i="43"/>
  <c r="T58" i="43"/>
  <c r="S58" i="43"/>
  <c r="R58" i="43"/>
  <c r="Q58" i="43"/>
  <c r="P58" i="43"/>
  <c r="W57" i="43"/>
  <c r="V57" i="43"/>
  <c r="U57" i="43"/>
  <c r="T57" i="43"/>
  <c r="S57" i="43"/>
  <c r="R57" i="43"/>
  <c r="Q57" i="43"/>
  <c r="P57" i="43"/>
  <c r="W56" i="43"/>
  <c r="V56" i="43"/>
  <c r="U56" i="43"/>
  <c r="T56" i="43"/>
  <c r="S56" i="43"/>
  <c r="R56" i="43"/>
  <c r="Q56" i="43"/>
  <c r="P56" i="43"/>
  <c r="W55" i="43"/>
  <c r="V55" i="43"/>
  <c r="U55" i="43"/>
  <c r="T55" i="43"/>
  <c r="S55" i="43"/>
  <c r="R55" i="43"/>
  <c r="Q55" i="43"/>
  <c r="P55" i="43"/>
  <c r="W54" i="43"/>
  <c r="V54" i="43"/>
  <c r="U54" i="43"/>
  <c r="T54" i="43"/>
  <c r="S54" i="43"/>
  <c r="R54" i="43"/>
  <c r="Q54" i="43"/>
  <c r="P54" i="43"/>
  <c r="W53" i="43"/>
  <c r="V53" i="43"/>
  <c r="U53" i="43"/>
  <c r="T53" i="43"/>
  <c r="S53" i="43"/>
  <c r="R53" i="43"/>
  <c r="Q53" i="43"/>
  <c r="P53" i="43"/>
  <c r="W52" i="43"/>
  <c r="V52" i="43"/>
  <c r="U52" i="43"/>
  <c r="T52" i="43"/>
  <c r="S52" i="43"/>
  <c r="R52" i="43"/>
  <c r="Q52" i="43"/>
  <c r="P52" i="43"/>
  <c r="W51" i="43"/>
  <c r="V51" i="43"/>
  <c r="U51" i="43"/>
  <c r="T51" i="43"/>
  <c r="S51" i="43"/>
  <c r="R51" i="43"/>
  <c r="Q51" i="43"/>
  <c r="P51" i="43"/>
  <c r="W50" i="43"/>
  <c r="V50" i="43"/>
  <c r="U50" i="43"/>
  <c r="T50" i="43"/>
  <c r="S50" i="43"/>
  <c r="R50" i="43"/>
  <c r="Q50" i="43"/>
  <c r="P50" i="43"/>
  <c r="W49" i="43"/>
  <c r="V49" i="43"/>
  <c r="U49" i="43"/>
  <c r="T49" i="43"/>
  <c r="S49" i="43"/>
  <c r="R49" i="43"/>
  <c r="Q49" i="43"/>
  <c r="P49" i="43"/>
  <c r="W48" i="43"/>
  <c r="V48" i="43"/>
  <c r="U48" i="43"/>
  <c r="T48" i="43"/>
  <c r="S48" i="43"/>
  <c r="R48" i="43"/>
  <c r="Q48" i="43"/>
  <c r="P48" i="43"/>
  <c r="W47" i="43"/>
  <c r="V47" i="43"/>
  <c r="U47" i="43"/>
  <c r="T47" i="43"/>
  <c r="S47" i="43"/>
  <c r="R47" i="43"/>
  <c r="Q47" i="43"/>
  <c r="P47" i="43"/>
  <c r="W46" i="43"/>
  <c r="V46" i="43"/>
  <c r="U46" i="43"/>
  <c r="T46" i="43"/>
  <c r="S46" i="43"/>
  <c r="R46" i="43"/>
  <c r="Q46" i="43"/>
  <c r="P46" i="43"/>
  <c r="W45" i="43"/>
  <c r="V45" i="43"/>
  <c r="U45" i="43"/>
  <c r="T45" i="43"/>
  <c r="S45" i="43"/>
  <c r="R45" i="43"/>
  <c r="Q45" i="43"/>
  <c r="P45" i="43"/>
  <c r="W44" i="43"/>
  <c r="V44" i="43"/>
  <c r="U44" i="43"/>
  <c r="T44" i="43"/>
  <c r="S44" i="43"/>
  <c r="R44" i="43"/>
  <c r="Q44" i="43"/>
  <c r="P44" i="43"/>
  <c r="W43" i="43"/>
  <c r="V43" i="43"/>
  <c r="U43" i="43"/>
  <c r="T43" i="43"/>
  <c r="S43" i="43"/>
  <c r="R43" i="43"/>
  <c r="Q43" i="43"/>
  <c r="P43" i="43"/>
  <c r="W42" i="43"/>
  <c r="V42" i="43"/>
  <c r="U42" i="43"/>
  <c r="T42" i="43"/>
  <c r="S42" i="43"/>
  <c r="R42" i="43"/>
  <c r="Q42" i="43"/>
  <c r="P42" i="43"/>
  <c r="W41" i="43"/>
  <c r="V41" i="43"/>
  <c r="U41" i="43"/>
  <c r="T41" i="43"/>
  <c r="S41" i="43"/>
  <c r="R41" i="43"/>
  <c r="Q41" i="43"/>
  <c r="P41" i="43"/>
  <c r="W40" i="43"/>
  <c r="V40" i="43"/>
  <c r="U40" i="43"/>
  <c r="T40" i="43"/>
  <c r="S40" i="43"/>
  <c r="R40" i="43"/>
  <c r="Q40" i="43"/>
  <c r="P40" i="43"/>
  <c r="W39" i="43"/>
  <c r="V39" i="43"/>
  <c r="U39" i="43"/>
  <c r="T39" i="43"/>
  <c r="S39" i="43"/>
  <c r="R39" i="43"/>
  <c r="Q39" i="43"/>
  <c r="P39" i="43"/>
  <c r="W38" i="43"/>
  <c r="V38" i="43"/>
  <c r="U38" i="43"/>
  <c r="T38" i="43"/>
  <c r="S38" i="43"/>
  <c r="R38" i="43"/>
  <c r="Q38" i="43"/>
  <c r="P38" i="43"/>
  <c r="W37" i="43"/>
  <c r="V37" i="43"/>
  <c r="U37" i="43"/>
  <c r="T37" i="43"/>
  <c r="S37" i="43"/>
  <c r="R37" i="43"/>
  <c r="Q37" i="43"/>
  <c r="P37" i="43"/>
  <c r="W36" i="43"/>
  <c r="V36" i="43"/>
  <c r="U36" i="43"/>
  <c r="T36" i="43"/>
  <c r="S36" i="43"/>
  <c r="R36" i="43"/>
  <c r="Q36" i="43"/>
  <c r="P36" i="43"/>
  <c r="W35" i="43"/>
  <c r="V35" i="43"/>
  <c r="U35" i="43"/>
  <c r="T35" i="43"/>
  <c r="S35" i="43"/>
  <c r="R35" i="43"/>
  <c r="Q35" i="43"/>
  <c r="P35" i="43"/>
  <c r="O27" i="43"/>
  <c r="BN23" i="43"/>
  <c r="BM23" i="43"/>
  <c r="BL23" i="43"/>
  <c r="BK23" i="43"/>
  <c r="BI23" i="43"/>
  <c r="BN22" i="43"/>
  <c r="BL22" i="43"/>
  <c r="BI22" i="43"/>
  <c r="BH22" i="43"/>
  <c r="BF22" i="43"/>
  <c r="BD22" i="43"/>
  <c r="AZ22" i="43"/>
  <c r="AY22" i="43"/>
  <c r="AX22" i="43"/>
  <c r="AW22" i="43"/>
  <c r="BN21" i="43"/>
  <c r="BM21" i="43"/>
  <c r="BK21" i="43"/>
  <c r="BI21" i="43"/>
  <c r="BH21" i="43"/>
  <c r="BF21" i="43"/>
  <c r="BE21" i="43"/>
  <c r="BD21" i="43"/>
  <c r="BC21" i="43"/>
  <c r="BB21" i="43"/>
  <c r="BA21" i="43"/>
  <c r="AZ21" i="43"/>
  <c r="AY21" i="43"/>
  <c r="AX21" i="43"/>
  <c r="AW21" i="43"/>
  <c r="BN20" i="43"/>
  <c r="BM20" i="43"/>
  <c r="BL20" i="43"/>
  <c r="BK20" i="43"/>
  <c r="BJ20" i="43"/>
  <c r="BH20" i="43"/>
  <c r="BG20" i="43"/>
  <c r="BF20" i="43"/>
  <c r="BD20" i="43"/>
  <c r="BA20" i="43"/>
  <c r="AZ20" i="43"/>
  <c r="AX20" i="43"/>
  <c r="AW20" i="43"/>
  <c r="AU20" i="43"/>
  <c r="AV20" i="43" s="1"/>
  <c r="BM19" i="43"/>
  <c r="BJ19" i="43"/>
  <c r="BG19" i="43"/>
  <c r="BF19" i="43"/>
  <c r="BE19" i="43"/>
  <c r="BD19" i="43"/>
  <c r="BC19" i="43"/>
  <c r="BA19" i="43"/>
  <c r="AZ19" i="43"/>
  <c r="AY19" i="43"/>
  <c r="AX19" i="43"/>
  <c r="AW19" i="43"/>
  <c r="Z19" i="43"/>
  <c r="AA19" i="43" s="1"/>
  <c r="AB19" i="43" s="1"/>
  <c r="BN18" i="43"/>
  <c r="BM18" i="43"/>
  <c r="BL18" i="43"/>
  <c r="BI18" i="43"/>
  <c r="BH18" i="43"/>
  <c r="BG18" i="43"/>
  <c r="BF18" i="43"/>
  <c r="BE18" i="43"/>
  <c r="BD18" i="43"/>
  <c r="BC18" i="43"/>
  <c r="BB18" i="43"/>
  <c r="BA18" i="43"/>
  <c r="AZ18" i="43"/>
  <c r="AY18" i="43"/>
  <c r="AX18" i="43"/>
  <c r="AW18" i="43"/>
  <c r="Z18" i="43"/>
  <c r="AA18" i="43" s="1"/>
  <c r="AB18" i="43" s="1"/>
  <c r="BM17" i="43"/>
  <c r="BL17" i="43"/>
  <c r="BK17" i="43"/>
  <c r="BJ17" i="43"/>
  <c r="BI17" i="43"/>
  <c r="BH17" i="43"/>
  <c r="BG17" i="43"/>
  <c r="BF17" i="43"/>
  <c r="BE17" i="43"/>
  <c r="BD17" i="43"/>
  <c r="BC17" i="43"/>
  <c r="BB17" i="43"/>
  <c r="BA17" i="43"/>
  <c r="AX17" i="43"/>
  <c r="AF17" i="43"/>
  <c r="AG17" i="43" s="1"/>
  <c r="AH17" i="43" s="1"/>
  <c r="AC17" i="43"/>
  <c r="AD17" i="43" s="1"/>
  <c r="AE17" i="43" s="1"/>
  <c r="Z17" i="43"/>
  <c r="AA17" i="43" s="1"/>
  <c r="AB17" i="43" s="1"/>
  <c r="BN16" i="43"/>
  <c r="BM16" i="43"/>
  <c r="BL16" i="43"/>
  <c r="BK16" i="43"/>
  <c r="BJ16" i="43"/>
  <c r="BH16" i="43"/>
  <c r="BG16" i="43"/>
  <c r="BE16" i="43"/>
  <c r="BD16" i="43"/>
  <c r="BA16" i="43"/>
  <c r="AZ16" i="43"/>
  <c r="AY16" i="43"/>
  <c r="AX16" i="43"/>
  <c r="BN15" i="43"/>
  <c r="BL15" i="43"/>
  <c r="BK15" i="43"/>
  <c r="BI15" i="43"/>
  <c r="BH15" i="43"/>
  <c r="BG15" i="43"/>
  <c r="BF15" i="43"/>
  <c r="BC15" i="43"/>
  <c r="BB15" i="43"/>
  <c r="BA15" i="43"/>
  <c r="AZ15" i="43"/>
  <c r="AX15" i="43"/>
  <c r="AW15" i="43"/>
  <c r="AO15" i="43"/>
  <c r="AP15" i="43" s="1"/>
  <c r="AQ15" i="43" s="1"/>
  <c r="AI15" i="43"/>
  <c r="AJ15" i="43" s="1"/>
  <c r="AK15" i="43" s="1"/>
  <c r="BN14" i="43"/>
  <c r="BM14" i="43"/>
  <c r="BL14" i="43"/>
  <c r="BJ14" i="43"/>
  <c r="BI14" i="43"/>
  <c r="BH14" i="43"/>
  <c r="BF14" i="43"/>
  <c r="BE14" i="43"/>
  <c r="BD14" i="43"/>
  <c r="BC14" i="43"/>
  <c r="BA14" i="43"/>
  <c r="AZ14" i="43"/>
  <c r="AY14" i="43"/>
  <c r="AX14" i="43"/>
  <c r="AW14" i="43"/>
  <c r="Z14" i="43"/>
  <c r="AA14" i="43" s="1"/>
  <c r="AB14" i="43" s="1"/>
  <c r="BN13" i="43"/>
  <c r="BM13" i="43"/>
  <c r="BL13" i="43"/>
  <c r="BK13" i="43"/>
  <c r="BI13" i="43"/>
  <c r="BH13" i="43"/>
  <c r="BG13" i="43"/>
  <c r="BF13" i="43"/>
  <c r="BD13" i="43"/>
  <c r="BC13" i="43"/>
  <c r="BB13" i="43"/>
  <c r="BA13" i="43"/>
  <c r="AZ13" i="43"/>
  <c r="AY13" i="43"/>
  <c r="AW13" i="43"/>
  <c r="AO13" i="43"/>
  <c r="AP13" i="43" s="1"/>
  <c r="AQ13" i="43" s="1"/>
  <c r="AC13" i="43"/>
  <c r="AD13" i="43" s="1"/>
  <c r="AE13" i="43" s="1"/>
  <c r="Z13" i="43"/>
  <c r="AA13" i="43" s="1"/>
  <c r="AB13" i="43" s="1"/>
  <c r="BN12" i="43"/>
  <c r="BL12" i="43"/>
  <c r="BK12" i="43"/>
  <c r="BJ12" i="43"/>
  <c r="BI12" i="43"/>
  <c r="BG12" i="43"/>
  <c r="BF12" i="43"/>
  <c r="BD12" i="43"/>
  <c r="BC12" i="43"/>
  <c r="BA12" i="43"/>
  <c r="AZ12" i="43"/>
  <c r="AX12" i="43"/>
  <c r="AW12" i="43"/>
  <c r="AR12" i="43"/>
  <c r="AS12" i="43" s="1"/>
  <c r="AT12" i="43" s="1"/>
  <c r="AC12" i="43"/>
  <c r="AD12" i="43" s="1"/>
  <c r="AE12" i="43" s="1"/>
  <c r="Z12" i="43"/>
  <c r="AA12" i="43" s="1"/>
  <c r="AB12" i="43" s="1"/>
  <c r="BN11" i="43"/>
  <c r="BM11" i="43"/>
  <c r="BK11" i="43"/>
  <c r="BI11" i="43"/>
  <c r="BH11" i="43"/>
  <c r="BG11" i="43"/>
  <c r="BE11" i="43"/>
  <c r="BD11" i="43"/>
  <c r="BC11" i="43"/>
  <c r="BB11" i="43"/>
  <c r="BA11" i="43"/>
  <c r="AY11" i="43"/>
  <c r="AX11" i="43"/>
  <c r="AW11" i="43"/>
  <c r="AI11" i="43"/>
  <c r="AJ11" i="43" s="1"/>
  <c r="AK11" i="43" s="1"/>
  <c r="AF11" i="43"/>
  <c r="AG11" i="43" s="1"/>
  <c r="AH11" i="43" s="1"/>
  <c r="AC11" i="43"/>
  <c r="AD11" i="43" s="1"/>
  <c r="AE11" i="43" s="1"/>
  <c r="Z11" i="43"/>
  <c r="AA11" i="43" s="1"/>
  <c r="AB11" i="43" s="1"/>
  <c r="BL10" i="43"/>
  <c r="BK10" i="43"/>
  <c r="BJ10" i="43"/>
  <c r="BI10" i="43"/>
  <c r="BH10" i="43"/>
  <c r="BF10" i="43"/>
  <c r="BE10" i="43"/>
  <c r="BD10" i="43"/>
  <c r="BC10" i="43"/>
  <c r="BB10" i="43"/>
  <c r="BA10" i="43"/>
  <c r="AZ10" i="43"/>
  <c r="AX10" i="43"/>
  <c r="AW10" i="43"/>
  <c r="AO10" i="43"/>
  <c r="AP10" i="43" s="1"/>
  <c r="AQ10" i="43" s="1"/>
  <c r="AR9" i="43"/>
  <c r="AS9" i="43" s="1"/>
  <c r="AT9" i="43" s="1"/>
  <c r="O9" i="43"/>
  <c r="AR8" i="43"/>
  <c r="AS8" i="43" s="1"/>
  <c r="AT8" i="43" s="1"/>
  <c r="AC8" i="43"/>
  <c r="AD8" i="43" s="1"/>
  <c r="AE8" i="43" s="1"/>
  <c r="O8" i="43"/>
  <c r="AI17" i="43" s="1"/>
  <c r="AJ17" i="43" s="1"/>
  <c r="AK17" i="43" s="1"/>
  <c r="AI7" i="43"/>
  <c r="AJ7" i="43" s="1"/>
  <c r="AK7" i="43" s="1"/>
  <c r="AO6" i="43"/>
  <c r="AL6" i="43"/>
  <c r="AM6" i="43" s="1"/>
  <c r="AN6" i="43" s="1"/>
  <c r="AI6" i="43"/>
  <c r="AC6" i="43"/>
  <c r="AX224" i="41"/>
  <c r="AS224" i="41"/>
  <c r="AQ224" i="41"/>
  <c r="AR224" i="41" s="1"/>
  <c r="AI224" i="41"/>
  <c r="X224" i="41"/>
  <c r="W224" i="41"/>
  <c r="V224" i="41"/>
  <c r="R224" i="41"/>
  <c r="Q224" i="41"/>
  <c r="O224" i="41"/>
  <c r="P224" i="41" s="1"/>
  <c r="AX223" i="41"/>
  <c r="AU223" i="41"/>
  <c r="AQ223" i="41"/>
  <c r="AR223" i="41" s="1"/>
  <c r="AI223" i="41"/>
  <c r="AG223" i="41"/>
  <c r="X223" i="41"/>
  <c r="AS223" i="41" s="1"/>
  <c r="W223" i="41"/>
  <c r="V223" i="41"/>
  <c r="R223" i="41"/>
  <c r="Q223" i="41"/>
  <c r="P223" i="41"/>
  <c r="O223" i="41"/>
  <c r="AX222" i="41"/>
  <c r="AU222" i="41"/>
  <c r="AS222" i="41"/>
  <c r="AR222" i="41"/>
  <c r="AQ222" i="41"/>
  <c r="AI222" i="41"/>
  <c r="X222" i="41"/>
  <c r="W222" i="41"/>
  <c r="V222" i="41"/>
  <c r="R222" i="41"/>
  <c r="Q222" i="41"/>
  <c r="P222" i="41"/>
  <c r="O222" i="41"/>
  <c r="AW221" i="41"/>
  <c r="AV221" i="41"/>
  <c r="AT221" i="41"/>
  <c r="AS221" i="41"/>
  <c r="AQ221" i="41"/>
  <c r="AR221" i="41" s="1"/>
  <c r="AJ221" i="41"/>
  <c r="AK221" i="41" s="1"/>
  <c r="AL221" i="41" s="1"/>
  <c r="AI221" i="41"/>
  <c r="AG221" i="41"/>
  <c r="AD221" i="41"/>
  <c r="X221" i="41"/>
  <c r="W221" i="41"/>
  <c r="R221" i="41"/>
  <c r="Q221" i="41"/>
  <c r="V221" i="41" s="1"/>
  <c r="P221" i="41"/>
  <c r="O221" i="41"/>
  <c r="AW220" i="41"/>
  <c r="AT220" i="41"/>
  <c r="AS220" i="41"/>
  <c r="AR220" i="41"/>
  <c r="AQ220" i="41"/>
  <c r="AJ220" i="41"/>
  <c r="AK220" i="41" s="1"/>
  <c r="AL220" i="41" s="1"/>
  <c r="AI220" i="41"/>
  <c r="AG220" i="41"/>
  <c r="X220" i="41"/>
  <c r="AV220" i="41" s="1"/>
  <c r="W220" i="41"/>
  <c r="R220" i="41"/>
  <c r="Q220" i="41"/>
  <c r="V220" i="41" s="1"/>
  <c r="P220" i="41"/>
  <c r="O220" i="41"/>
  <c r="AX219" i="41"/>
  <c r="AU219" i="41"/>
  <c r="AS219" i="41"/>
  <c r="AQ219" i="41"/>
  <c r="AR219" i="41" s="1"/>
  <c r="AI219" i="41"/>
  <c r="AG219" i="41"/>
  <c r="X219" i="41"/>
  <c r="W219" i="41"/>
  <c r="V219" i="41"/>
  <c r="R219" i="41"/>
  <c r="Q219" i="41"/>
  <c r="P219" i="41"/>
  <c r="O219" i="41"/>
  <c r="AU218" i="41"/>
  <c r="AR218" i="41"/>
  <c r="AQ218" i="41"/>
  <c r="AI218" i="41"/>
  <c r="AG218" i="41"/>
  <c r="X218" i="41"/>
  <c r="W218" i="41"/>
  <c r="V218" i="41"/>
  <c r="R218" i="41"/>
  <c r="Q218" i="41"/>
  <c r="P218" i="41"/>
  <c r="O218" i="41"/>
  <c r="AU217" i="41"/>
  <c r="AS217" i="41"/>
  <c r="AQ217" i="41"/>
  <c r="AR217" i="41" s="1"/>
  <c r="AI217" i="41"/>
  <c r="AG217" i="41"/>
  <c r="X217" i="41"/>
  <c r="W217" i="41"/>
  <c r="V217" i="41"/>
  <c r="R217" i="41"/>
  <c r="Q217" i="41"/>
  <c r="P217" i="41"/>
  <c r="O217" i="41"/>
  <c r="AQ216" i="41"/>
  <c r="AR216" i="41" s="1"/>
  <c r="AI216" i="41"/>
  <c r="AG216" i="41"/>
  <c r="X216" i="41"/>
  <c r="W216" i="41"/>
  <c r="V216" i="41"/>
  <c r="R216" i="41"/>
  <c r="Q216" i="41"/>
  <c r="P216" i="41"/>
  <c r="O216" i="41"/>
  <c r="AQ215" i="41"/>
  <c r="AR215" i="41" s="1"/>
  <c r="AI215" i="41"/>
  <c r="AG215" i="41"/>
  <c r="X215" i="41"/>
  <c r="W215" i="41"/>
  <c r="V215" i="41"/>
  <c r="R215" i="41"/>
  <c r="Q215" i="41"/>
  <c r="P215" i="41"/>
  <c r="O215" i="41"/>
  <c r="AS214" i="41"/>
  <c r="AR214" i="41"/>
  <c r="AQ214" i="41"/>
  <c r="AI214" i="41"/>
  <c r="AG214" i="41"/>
  <c r="X214" i="41"/>
  <c r="W214" i="41"/>
  <c r="V214" i="41"/>
  <c r="R214" i="41"/>
  <c r="Q214" i="41"/>
  <c r="P214" i="41"/>
  <c r="O214" i="41"/>
  <c r="AU213" i="41"/>
  <c r="AR213" i="41"/>
  <c r="AQ213" i="41"/>
  <c r="AI213" i="41"/>
  <c r="X213" i="41"/>
  <c r="W213" i="41"/>
  <c r="V213" i="41"/>
  <c r="R213" i="41"/>
  <c r="Q213" i="41"/>
  <c r="P213" i="41"/>
  <c r="O213" i="41"/>
  <c r="AX212" i="41"/>
  <c r="AU212" i="41"/>
  <c r="AS212" i="41"/>
  <c r="AQ212" i="41"/>
  <c r="AR212" i="41" s="1"/>
  <c r="AI212" i="41"/>
  <c r="AG212" i="41"/>
  <c r="X212" i="41"/>
  <c r="W212" i="41"/>
  <c r="V212" i="41"/>
  <c r="R212" i="41"/>
  <c r="Q212" i="41"/>
  <c r="P212" i="41"/>
  <c r="O212" i="41"/>
  <c r="AU211" i="41"/>
  <c r="AS211" i="41"/>
  <c r="AR211" i="41"/>
  <c r="AQ211" i="41"/>
  <c r="AI211" i="41"/>
  <c r="X211" i="41"/>
  <c r="AX211" i="41" s="1"/>
  <c r="W211" i="41"/>
  <c r="V211" i="41"/>
  <c r="R211" i="41"/>
  <c r="Q211" i="41"/>
  <c r="P211" i="41"/>
  <c r="O211" i="41"/>
  <c r="AX210" i="41"/>
  <c r="AQ210" i="41"/>
  <c r="AR210" i="41" s="1"/>
  <c r="AI210" i="41"/>
  <c r="X210" i="41"/>
  <c r="AS210" i="41" s="1"/>
  <c r="W210" i="41"/>
  <c r="V210" i="41"/>
  <c r="R210" i="41"/>
  <c r="Q210" i="41"/>
  <c r="O210" i="41"/>
  <c r="P210" i="41" s="1"/>
  <c r="AS209" i="41"/>
  <c r="AR209" i="41"/>
  <c r="AQ209" i="41"/>
  <c r="AI209" i="41"/>
  <c r="X209" i="41"/>
  <c r="W209" i="41"/>
  <c r="V209" i="41"/>
  <c r="R209" i="41"/>
  <c r="Q209" i="41"/>
  <c r="P209" i="41"/>
  <c r="O209" i="41"/>
  <c r="AR208" i="41"/>
  <c r="AQ208" i="41"/>
  <c r="AI208" i="41"/>
  <c r="X208" i="41"/>
  <c r="W208" i="41"/>
  <c r="V208" i="41"/>
  <c r="R208" i="41"/>
  <c r="Q208" i="41"/>
  <c r="P208" i="41"/>
  <c r="O208" i="41"/>
  <c r="AX207" i="41"/>
  <c r="AU207" i="41"/>
  <c r="AS207" i="41"/>
  <c r="AR207" i="41"/>
  <c r="AQ207" i="41"/>
  <c r="AI207" i="41"/>
  <c r="X207" i="41"/>
  <c r="W207" i="41"/>
  <c r="V207" i="41"/>
  <c r="R207" i="41"/>
  <c r="Q207" i="41"/>
  <c r="O207" i="41"/>
  <c r="P207" i="41" s="1"/>
  <c r="AQ206" i="41"/>
  <c r="AR206" i="41" s="1"/>
  <c r="AI206" i="41"/>
  <c r="X206" i="41"/>
  <c r="W206" i="41"/>
  <c r="V206" i="41"/>
  <c r="R206" i="41"/>
  <c r="Q206" i="41"/>
  <c r="O206" i="41"/>
  <c r="P206" i="41" s="1"/>
  <c r="AX205" i="41"/>
  <c r="AU205" i="41"/>
  <c r="AQ205" i="41"/>
  <c r="AR205" i="41" s="1"/>
  <c r="AI205" i="41"/>
  <c r="AG205" i="41"/>
  <c r="X205" i="41"/>
  <c r="AS205" i="41" s="1"/>
  <c r="W205" i="41"/>
  <c r="V205" i="41"/>
  <c r="R205" i="41"/>
  <c r="Q205" i="41"/>
  <c r="P205" i="41"/>
  <c r="O205" i="41"/>
  <c r="AR204" i="41"/>
  <c r="AQ204" i="41"/>
  <c r="AI204" i="41"/>
  <c r="AG204" i="41"/>
  <c r="X204" i="41"/>
  <c r="W204" i="41"/>
  <c r="V204" i="41"/>
  <c r="R204" i="41"/>
  <c r="Q204" i="41"/>
  <c r="P204" i="41"/>
  <c r="O204" i="41"/>
  <c r="AW203" i="41"/>
  <c r="AV203" i="41"/>
  <c r="AQ203" i="41"/>
  <c r="AR203" i="41" s="1"/>
  <c r="AI203" i="41"/>
  <c r="AJ203" i="41" s="1"/>
  <c r="AK203" i="41" s="1"/>
  <c r="AL203" i="41" s="1"/>
  <c r="AG203" i="41"/>
  <c r="AD203" i="41"/>
  <c r="X203" i="41"/>
  <c r="W203" i="41"/>
  <c r="V203" i="41"/>
  <c r="R203" i="41"/>
  <c r="Q203" i="41"/>
  <c r="P203" i="41"/>
  <c r="O203" i="41"/>
  <c r="AR202" i="41"/>
  <c r="AQ202" i="41"/>
  <c r="AI202" i="41"/>
  <c r="X202" i="41"/>
  <c r="W202" i="41"/>
  <c r="V202" i="41"/>
  <c r="R202" i="41"/>
  <c r="Q202" i="41"/>
  <c r="P202" i="41"/>
  <c r="O202" i="41"/>
  <c r="AX201" i="41"/>
  <c r="AQ201" i="41"/>
  <c r="AR201" i="41" s="1"/>
  <c r="AI201" i="41"/>
  <c r="X201" i="41"/>
  <c r="W201" i="41"/>
  <c r="V201" i="41"/>
  <c r="R201" i="41"/>
  <c r="Q201" i="41"/>
  <c r="P201" i="41"/>
  <c r="O201" i="41"/>
  <c r="AR200" i="41"/>
  <c r="AQ200" i="41"/>
  <c r="AI200" i="41"/>
  <c r="X200" i="41"/>
  <c r="W200" i="41"/>
  <c r="V200" i="41"/>
  <c r="R200" i="41"/>
  <c r="Q200" i="41"/>
  <c r="P200" i="41"/>
  <c r="O200" i="41"/>
  <c r="AX199" i="41"/>
  <c r="AR199" i="41"/>
  <c r="AQ199" i="41"/>
  <c r="AI199" i="41"/>
  <c r="X199" i="41"/>
  <c r="W199" i="41"/>
  <c r="V199" i="41"/>
  <c r="R199" i="41"/>
  <c r="Q199" i="41"/>
  <c r="P199" i="41"/>
  <c r="O199" i="41"/>
  <c r="AR198" i="41"/>
  <c r="AQ198" i="41"/>
  <c r="AI198" i="41"/>
  <c r="X198" i="41"/>
  <c r="W198" i="41"/>
  <c r="V198" i="41"/>
  <c r="R198" i="41"/>
  <c r="Q198" i="41"/>
  <c r="P198" i="41"/>
  <c r="O198" i="41"/>
  <c r="AS197" i="41"/>
  <c r="AQ197" i="41"/>
  <c r="AR197" i="41" s="1"/>
  <c r="AI197" i="41"/>
  <c r="AG197" i="41"/>
  <c r="X197" i="41"/>
  <c r="W197" i="41"/>
  <c r="V197" i="41"/>
  <c r="R197" i="41"/>
  <c r="Q197" i="41"/>
  <c r="P197" i="41"/>
  <c r="O197" i="41"/>
  <c r="AX196" i="41"/>
  <c r="AQ196" i="41"/>
  <c r="AR196" i="41" s="1"/>
  <c r="AI196" i="41"/>
  <c r="X196" i="41"/>
  <c r="W196" i="41"/>
  <c r="V196" i="41"/>
  <c r="R196" i="41"/>
  <c r="Q196" i="41"/>
  <c r="P196" i="41"/>
  <c r="O196" i="41"/>
  <c r="AU195" i="41"/>
  <c r="AS195" i="41"/>
  <c r="AQ195" i="41"/>
  <c r="AR195" i="41" s="1"/>
  <c r="AI195" i="41"/>
  <c r="X195" i="41"/>
  <c r="W195" i="41"/>
  <c r="V195" i="41"/>
  <c r="R195" i="41"/>
  <c r="Q195" i="41"/>
  <c r="P195" i="41"/>
  <c r="O195" i="41"/>
  <c r="AW194" i="41"/>
  <c r="AV194" i="41"/>
  <c r="AT194" i="41"/>
  <c r="AS194" i="41"/>
  <c r="AR194" i="41"/>
  <c r="AQ194" i="41"/>
  <c r="AJ194" i="41"/>
  <c r="AK194" i="41" s="1"/>
  <c r="AL194" i="41" s="1"/>
  <c r="AI194" i="41"/>
  <c r="AG194" i="41"/>
  <c r="AD194" i="41"/>
  <c r="X194" i="41"/>
  <c r="W194" i="41"/>
  <c r="R194" i="41"/>
  <c r="Q194" i="41"/>
  <c r="V194" i="41" s="1"/>
  <c r="P194" i="41"/>
  <c r="O194" i="41"/>
  <c r="AR193" i="41"/>
  <c r="AQ193" i="41"/>
  <c r="AI193" i="41"/>
  <c r="AJ193" i="41" s="1"/>
  <c r="AK193" i="41" s="1"/>
  <c r="AL193" i="41" s="1"/>
  <c r="AG193" i="41"/>
  <c r="AD193" i="41"/>
  <c r="X193" i="41"/>
  <c r="W193" i="41"/>
  <c r="V193" i="41"/>
  <c r="R193" i="41"/>
  <c r="Q193" i="41"/>
  <c r="P193" i="41"/>
  <c r="O193" i="41"/>
  <c r="AQ192" i="41"/>
  <c r="AR192" i="41" s="1"/>
  <c r="AJ192" i="41"/>
  <c r="AK192" i="41" s="1"/>
  <c r="AL192" i="41" s="1"/>
  <c r="AI192" i="41"/>
  <c r="AG192" i="41"/>
  <c r="X192" i="41"/>
  <c r="W192" i="41"/>
  <c r="R192" i="41"/>
  <c r="Q192" i="41"/>
  <c r="V192" i="41" s="1"/>
  <c r="P192" i="41"/>
  <c r="O192" i="41"/>
  <c r="AW191" i="41"/>
  <c r="AV191" i="41"/>
  <c r="AT191" i="41"/>
  <c r="AS191" i="41"/>
  <c r="AQ191" i="41"/>
  <c r="AR191" i="41" s="1"/>
  <c r="AJ191" i="41"/>
  <c r="AK191" i="41" s="1"/>
  <c r="AL191" i="41" s="1"/>
  <c r="AI191" i="41"/>
  <c r="AG191" i="41"/>
  <c r="AD191" i="41"/>
  <c r="X191" i="41"/>
  <c r="W191" i="41"/>
  <c r="R191" i="41"/>
  <c r="Q191" i="41"/>
  <c r="V191" i="41" s="1"/>
  <c r="P191" i="41"/>
  <c r="O191" i="41"/>
  <c r="AX190" i="41"/>
  <c r="AU190" i="41"/>
  <c r="AS190" i="41"/>
  <c r="AQ190" i="41"/>
  <c r="AR190" i="41" s="1"/>
  <c r="AI190" i="41"/>
  <c r="X190" i="41"/>
  <c r="W190" i="41"/>
  <c r="V190" i="41"/>
  <c r="R190" i="41"/>
  <c r="Q190" i="41"/>
  <c r="P190" i="41"/>
  <c r="O190" i="41"/>
  <c r="AW189" i="41"/>
  <c r="AV189" i="41"/>
  <c r="AU189" i="41"/>
  <c r="AS189" i="41"/>
  <c r="AQ189" i="41"/>
  <c r="AR189" i="41" s="1"/>
  <c r="AI189" i="41"/>
  <c r="X189" i="41"/>
  <c r="W189" i="41"/>
  <c r="V189" i="41"/>
  <c r="R189" i="41"/>
  <c r="Q189" i="41"/>
  <c r="O189" i="41"/>
  <c r="P189" i="41" s="1"/>
  <c r="AR188" i="41"/>
  <c r="AQ188" i="41"/>
  <c r="AI188" i="41"/>
  <c r="X188" i="41"/>
  <c r="W188" i="41"/>
  <c r="V188" i="41"/>
  <c r="R188" i="41"/>
  <c r="Q188" i="41"/>
  <c r="P188" i="41"/>
  <c r="O188" i="41"/>
  <c r="AU187" i="41"/>
  <c r="AQ187" i="41"/>
  <c r="AR187" i="41" s="1"/>
  <c r="AI187" i="41"/>
  <c r="X187" i="41"/>
  <c r="W187" i="41"/>
  <c r="V187" i="41"/>
  <c r="R187" i="41"/>
  <c r="Q187" i="41"/>
  <c r="O187" i="41"/>
  <c r="P187" i="41" s="1"/>
  <c r="AQ186" i="41"/>
  <c r="AR186" i="41" s="1"/>
  <c r="AI186" i="41"/>
  <c r="X186" i="41"/>
  <c r="W186" i="41"/>
  <c r="V186" i="41"/>
  <c r="R186" i="41"/>
  <c r="Q186" i="41"/>
  <c r="P186" i="41"/>
  <c r="O186" i="41"/>
  <c r="AR185" i="41"/>
  <c r="AQ185" i="41"/>
  <c r="AI185" i="41"/>
  <c r="X185" i="41"/>
  <c r="W185" i="41"/>
  <c r="V185" i="41"/>
  <c r="R185" i="41"/>
  <c r="Q185" i="41"/>
  <c r="P185" i="41"/>
  <c r="O185" i="41"/>
  <c r="AS184" i="41"/>
  <c r="AQ184" i="41"/>
  <c r="AR184" i="41" s="1"/>
  <c r="AI184" i="41"/>
  <c r="AG184" i="41"/>
  <c r="X184" i="41"/>
  <c r="W184" i="41"/>
  <c r="V184" i="41"/>
  <c r="R184" i="41"/>
  <c r="Q184" i="41"/>
  <c r="P184" i="41"/>
  <c r="O184" i="41"/>
  <c r="AX183" i="41"/>
  <c r="AS183" i="41"/>
  <c r="AR183" i="41"/>
  <c r="AQ183" i="41"/>
  <c r="AI183" i="41"/>
  <c r="AG183" i="41"/>
  <c r="X183" i="41"/>
  <c r="W183" i="41"/>
  <c r="V183" i="41"/>
  <c r="R183" i="41"/>
  <c r="Q183" i="41"/>
  <c r="P183" i="41"/>
  <c r="O183" i="41"/>
  <c r="AX182" i="41"/>
  <c r="AQ182" i="41"/>
  <c r="AR182" i="41" s="1"/>
  <c r="AI182" i="41"/>
  <c r="AG182" i="41"/>
  <c r="X182" i="41"/>
  <c r="W182" i="41"/>
  <c r="V182" i="41"/>
  <c r="R182" i="41"/>
  <c r="Q182" i="41"/>
  <c r="P182" i="41"/>
  <c r="O182" i="41"/>
  <c r="AV181" i="41"/>
  <c r="AU181" i="41"/>
  <c r="AS181" i="41"/>
  <c r="AR181" i="41"/>
  <c r="AQ181" i="41"/>
  <c r="AI181" i="41"/>
  <c r="X181" i="41"/>
  <c r="W181" i="41"/>
  <c r="R181" i="41"/>
  <c r="Q181" i="41"/>
  <c r="V181" i="41" s="1"/>
  <c r="P181" i="41"/>
  <c r="O181" i="41"/>
  <c r="AQ180" i="41"/>
  <c r="AR180" i="41" s="1"/>
  <c r="AI180" i="41"/>
  <c r="X180" i="41"/>
  <c r="W180" i="41"/>
  <c r="V180" i="41"/>
  <c r="R180" i="41"/>
  <c r="Q180" i="41"/>
  <c r="P180" i="41"/>
  <c r="O180" i="41"/>
  <c r="AX179" i="41"/>
  <c r="AR179" i="41"/>
  <c r="AQ179" i="41"/>
  <c r="AI179" i="41"/>
  <c r="X179" i="41"/>
  <c r="W179" i="41"/>
  <c r="V179" i="41"/>
  <c r="R179" i="41"/>
  <c r="Q179" i="41"/>
  <c r="P179" i="41"/>
  <c r="O179" i="41"/>
  <c r="AR178" i="41"/>
  <c r="AQ178" i="41"/>
  <c r="AJ178" i="41"/>
  <c r="AK178" i="41" s="1"/>
  <c r="AL178" i="41" s="1"/>
  <c r="AI178" i="41"/>
  <c r="AG178" i="41"/>
  <c r="X178" i="41"/>
  <c r="W178" i="41"/>
  <c r="V178" i="41"/>
  <c r="R178" i="41"/>
  <c r="Q178" i="41"/>
  <c r="P178" i="41"/>
  <c r="O178" i="41"/>
  <c r="AQ177" i="41"/>
  <c r="AR177" i="41" s="1"/>
  <c r="AI177" i="41"/>
  <c r="AJ177" i="41" s="1"/>
  <c r="AK177" i="41" s="1"/>
  <c r="AL177" i="41" s="1"/>
  <c r="AG177" i="41"/>
  <c r="X177" i="41"/>
  <c r="W177" i="41"/>
  <c r="V177" i="41"/>
  <c r="R177" i="41"/>
  <c r="Q177" i="41"/>
  <c r="P177" i="41"/>
  <c r="O177" i="41"/>
  <c r="AW176" i="41"/>
  <c r="AV176" i="41"/>
  <c r="AS176" i="41"/>
  <c r="AT176" i="41" s="1"/>
  <c r="AQ176" i="41"/>
  <c r="AR176" i="41" s="1"/>
  <c r="AJ176" i="41"/>
  <c r="AK176" i="41" s="1"/>
  <c r="AL176" i="41" s="1"/>
  <c r="AI176" i="41"/>
  <c r="AG176" i="41"/>
  <c r="X176" i="41"/>
  <c r="AD176" i="41" s="1"/>
  <c r="W176" i="41"/>
  <c r="V176" i="41"/>
  <c r="R176" i="41"/>
  <c r="Q176" i="41"/>
  <c r="P176" i="41"/>
  <c r="O176" i="41"/>
  <c r="AS175" i="41"/>
  <c r="AR175" i="41"/>
  <c r="AQ175" i="41"/>
  <c r="AI175" i="41"/>
  <c r="AG175" i="41"/>
  <c r="X175" i="41"/>
  <c r="W175" i="41"/>
  <c r="V175" i="41"/>
  <c r="R175" i="41"/>
  <c r="Q175" i="41"/>
  <c r="P175" i="41"/>
  <c r="O175" i="41"/>
  <c r="AQ174" i="41"/>
  <c r="AR174" i="41" s="1"/>
  <c r="AI174" i="41"/>
  <c r="AG174" i="41"/>
  <c r="X174" i="41"/>
  <c r="W174" i="41"/>
  <c r="V174" i="41"/>
  <c r="R174" i="41"/>
  <c r="Q174" i="41"/>
  <c r="P174" i="41"/>
  <c r="O174" i="41"/>
  <c r="AX173" i="41"/>
  <c r="AU173" i="41"/>
  <c r="AQ173" i="41"/>
  <c r="AR173" i="41" s="1"/>
  <c r="AI173" i="41"/>
  <c r="AG173" i="41"/>
  <c r="X173" i="41"/>
  <c r="W173" i="41"/>
  <c r="V173" i="41"/>
  <c r="R173" i="41"/>
  <c r="Q173" i="41"/>
  <c r="P173" i="41"/>
  <c r="O173" i="41"/>
  <c r="AV172" i="41"/>
  <c r="AS172" i="41"/>
  <c r="AT172" i="41" s="1"/>
  <c r="AQ172" i="41"/>
  <c r="AR172" i="41" s="1"/>
  <c r="AI172" i="41"/>
  <c r="AJ172" i="41" s="1"/>
  <c r="AK172" i="41" s="1"/>
  <c r="AL172" i="41" s="1"/>
  <c r="AG172" i="41"/>
  <c r="AD172" i="41"/>
  <c r="X172" i="41"/>
  <c r="AW172" i="41" s="1"/>
  <c r="W172" i="41"/>
  <c r="V172" i="41"/>
  <c r="R172" i="41"/>
  <c r="Q172" i="41"/>
  <c r="P172" i="41"/>
  <c r="O172" i="41"/>
  <c r="AW171" i="41"/>
  <c r="AV171" i="41"/>
  <c r="AS171" i="41"/>
  <c r="AQ171" i="41"/>
  <c r="AR171" i="41" s="1"/>
  <c r="AI171" i="41"/>
  <c r="AG171" i="41"/>
  <c r="X171" i="41"/>
  <c r="AU171" i="41" s="1"/>
  <c r="W171" i="41"/>
  <c r="R171" i="41"/>
  <c r="Q171" i="41"/>
  <c r="V171" i="41" s="1"/>
  <c r="P171" i="41"/>
  <c r="O171" i="41"/>
  <c r="AW170" i="41"/>
  <c r="AT170" i="41"/>
  <c r="AS170" i="41"/>
  <c r="AR170" i="41"/>
  <c r="AQ170" i="41"/>
  <c r="AI170" i="41"/>
  <c r="AJ170" i="41" s="1"/>
  <c r="AK170" i="41" s="1"/>
  <c r="AL170" i="41" s="1"/>
  <c r="AG170" i="41"/>
  <c r="AD170" i="41"/>
  <c r="X170" i="41"/>
  <c r="AV170" i="41" s="1"/>
  <c r="W170" i="41"/>
  <c r="R170" i="41"/>
  <c r="Q170" i="41"/>
  <c r="V170" i="41" s="1"/>
  <c r="P170" i="41"/>
  <c r="O170" i="41"/>
  <c r="AQ169" i="41"/>
  <c r="AR169" i="41" s="1"/>
  <c r="AI169" i="41"/>
  <c r="AJ169" i="41" s="1"/>
  <c r="AK169" i="41" s="1"/>
  <c r="AL169" i="41" s="1"/>
  <c r="AG169" i="41"/>
  <c r="X169" i="41"/>
  <c r="W169" i="41"/>
  <c r="R169" i="41"/>
  <c r="Q169" i="41"/>
  <c r="V169" i="41" s="1"/>
  <c r="P169" i="41"/>
  <c r="O169" i="41"/>
  <c r="AW168" i="41"/>
  <c r="AV168" i="41"/>
  <c r="AR168" i="41"/>
  <c r="AQ168" i="41"/>
  <c r="AJ168" i="41"/>
  <c r="AK168" i="41" s="1"/>
  <c r="AL168" i="41" s="1"/>
  <c r="AI168" i="41"/>
  <c r="AG168" i="41"/>
  <c r="AD168" i="41"/>
  <c r="X168" i="41"/>
  <c r="W168" i="41"/>
  <c r="R168" i="41"/>
  <c r="Q168" i="41"/>
  <c r="V168" i="41" s="1"/>
  <c r="P168" i="41"/>
  <c r="O168" i="41"/>
  <c r="AX167" i="41"/>
  <c r="AU167" i="41"/>
  <c r="AS167" i="41"/>
  <c r="AQ167" i="41"/>
  <c r="AR167" i="41" s="1"/>
  <c r="AI167" i="41"/>
  <c r="X167" i="41"/>
  <c r="W167" i="41"/>
  <c r="V167" i="41"/>
  <c r="R167" i="41"/>
  <c r="Q167" i="41"/>
  <c r="P167" i="41"/>
  <c r="O167" i="41"/>
  <c r="AX166" i="41"/>
  <c r="AS166" i="41"/>
  <c r="AQ166" i="41"/>
  <c r="AR166" i="41" s="1"/>
  <c r="AI166" i="41"/>
  <c r="X166" i="41"/>
  <c r="AU166" i="41" s="1"/>
  <c r="W166" i="41"/>
  <c r="V166" i="41"/>
  <c r="R166" i="41"/>
  <c r="Q166" i="41"/>
  <c r="O166" i="41"/>
  <c r="P166" i="41" s="1"/>
  <c r="AR165" i="41"/>
  <c r="AQ165" i="41"/>
  <c r="AI165" i="41"/>
  <c r="X165" i="41"/>
  <c r="W165" i="41"/>
  <c r="V165" i="41"/>
  <c r="R165" i="41"/>
  <c r="Q165" i="41"/>
  <c r="O165" i="41"/>
  <c r="P165" i="41" s="1"/>
  <c r="AX164" i="41"/>
  <c r="AU164" i="41"/>
  <c r="AS164" i="41"/>
  <c r="AQ164" i="41"/>
  <c r="AR164" i="41" s="1"/>
  <c r="AI164" i="41"/>
  <c r="X164" i="41"/>
  <c r="W164" i="41"/>
  <c r="V164" i="41"/>
  <c r="R164" i="41"/>
  <c r="Q164" i="41"/>
  <c r="O164" i="41"/>
  <c r="P164" i="41" s="1"/>
  <c r="AU163" i="41"/>
  <c r="AS163" i="41"/>
  <c r="AQ163" i="41"/>
  <c r="AR163" i="41" s="1"/>
  <c r="AI163" i="41"/>
  <c r="X163" i="41"/>
  <c r="W163" i="41"/>
  <c r="V163" i="41"/>
  <c r="R163" i="41"/>
  <c r="Q163" i="41"/>
  <c r="P163" i="41"/>
  <c r="O163" i="41"/>
  <c r="AX162" i="41"/>
  <c r="AU162" i="41"/>
  <c r="AS162" i="41"/>
  <c r="AR162" i="41"/>
  <c r="AQ162" i="41"/>
  <c r="AI162" i="41"/>
  <c r="AG162" i="41"/>
  <c r="X162" i="41"/>
  <c r="W162" i="41"/>
  <c r="V162" i="41"/>
  <c r="R162" i="41"/>
  <c r="Q162" i="41"/>
  <c r="P162" i="41"/>
  <c r="O162" i="41"/>
  <c r="AU161" i="41"/>
  <c r="AS161" i="41"/>
  <c r="AQ161" i="41"/>
  <c r="AR161" i="41" s="1"/>
  <c r="AI161" i="41"/>
  <c r="AG161" i="41"/>
  <c r="X161" i="41"/>
  <c r="V161" i="41"/>
  <c r="R161" i="41"/>
  <c r="Q161" i="41"/>
  <c r="P161" i="41"/>
  <c r="O161" i="41"/>
  <c r="M161" i="41"/>
  <c r="W161" i="41" s="1"/>
  <c r="L161" i="41"/>
  <c r="AX160" i="41"/>
  <c r="AU160" i="41"/>
  <c r="AQ160" i="41"/>
  <c r="AR160" i="41" s="1"/>
  <c r="AI160" i="41"/>
  <c r="AG160" i="41"/>
  <c r="X160" i="41"/>
  <c r="V160" i="41"/>
  <c r="R160" i="41"/>
  <c r="Q160" i="41"/>
  <c r="P160" i="41"/>
  <c r="O160" i="41"/>
  <c r="M160" i="41"/>
  <c r="W160" i="41" s="1"/>
  <c r="L160" i="41"/>
  <c r="AX159" i="41"/>
  <c r="AU159" i="41"/>
  <c r="AR159" i="41"/>
  <c r="AQ159" i="41"/>
  <c r="AI159" i="41"/>
  <c r="X159" i="41"/>
  <c r="W159" i="41"/>
  <c r="V159" i="41"/>
  <c r="R159" i="41"/>
  <c r="Q159" i="41"/>
  <c r="P159" i="41"/>
  <c r="O159" i="41"/>
  <c r="AX158" i="41"/>
  <c r="AU158" i="41"/>
  <c r="AS158" i="41"/>
  <c r="AR158" i="41"/>
  <c r="AQ158" i="41"/>
  <c r="AI158" i="41"/>
  <c r="X158" i="41"/>
  <c r="W158" i="41"/>
  <c r="V158" i="41"/>
  <c r="R158" i="41"/>
  <c r="Q158" i="41"/>
  <c r="P158" i="41"/>
  <c r="O158" i="41"/>
  <c r="AQ157" i="41"/>
  <c r="AR157" i="41" s="1"/>
  <c r="AI157" i="41"/>
  <c r="X157" i="41"/>
  <c r="W157" i="41"/>
  <c r="R157" i="41"/>
  <c r="Q157" i="41"/>
  <c r="V157" i="41" s="1"/>
  <c r="P157" i="41"/>
  <c r="O157" i="41"/>
  <c r="AU156" i="41"/>
  <c r="AR156" i="41"/>
  <c r="AQ156" i="41"/>
  <c r="AI156" i="41"/>
  <c r="AG156" i="41"/>
  <c r="X156" i="41"/>
  <c r="W156" i="41"/>
  <c r="V156" i="41"/>
  <c r="R156" i="41"/>
  <c r="Q156" i="41"/>
  <c r="P156" i="41"/>
  <c r="O156" i="41"/>
  <c r="AX155" i="41"/>
  <c r="AU155" i="41"/>
  <c r="AS155" i="41"/>
  <c r="AR155" i="41"/>
  <c r="AQ155" i="41"/>
  <c r="AI155" i="41"/>
  <c r="X155" i="41"/>
  <c r="W155" i="41"/>
  <c r="V155" i="41"/>
  <c r="R155" i="41"/>
  <c r="Q155" i="41"/>
  <c r="P155" i="41"/>
  <c r="O155" i="41"/>
  <c r="AR154" i="41"/>
  <c r="AQ154" i="41"/>
  <c r="AI154" i="41"/>
  <c r="X154" i="41"/>
  <c r="W154" i="41"/>
  <c r="V154" i="41"/>
  <c r="R154" i="41"/>
  <c r="Q154" i="41"/>
  <c r="P154" i="41"/>
  <c r="O154" i="41"/>
  <c r="AX153" i="41"/>
  <c r="AU153" i="41"/>
  <c r="AS153" i="41"/>
  <c r="AR153" i="41"/>
  <c r="AQ153" i="41"/>
  <c r="AI153" i="41"/>
  <c r="X153" i="41"/>
  <c r="W153" i="41"/>
  <c r="V153" i="41"/>
  <c r="R153" i="41"/>
  <c r="Q153" i="41"/>
  <c r="P153" i="41"/>
  <c r="O153" i="41"/>
  <c r="AX152" i="41"/>
  <c r="AS152" i="41"/>
  <c r="AQ152" i="41"/>
  <c r="AR152" i="41" s="1"/>
  <c r="AI152" i="41"/>
  <c r="X152" i="41"/>
  <c r="W152" i="41"/>
  <c r="V152" i="41"/>
  <c r="R152" i="41"/>
  <c r="Q152" i="41"/>
  <c r="P152" i="41"/>
  <c r="O152" i="41"/>
  <c r="AX151" i="41"/>
  <c r="AU151" i="41"/>
  <c r="AS151" i="41"/>
  <c r="AR151" i="41"/>
  <c r="AQ151" i="41"/>
  <c r="AI151" i="41"/>
  <c r="X151" i="41"/>
  <c r="W151" i="41"/>
  <c r="V151" i="41"/>
  <c r="R151" i="41"/>
  <c r="Q151" i="41"/>
  <c r="P151" i="41"/>
  <c r="O151" i="41"/>
  <c r="AQ150" i="41"/>
  <c r="AR150" i="41" s="1"/>
  <c r="AI150" i="41"/>
  <c r="X150" i="41"/>
  <c r="W150" i="41"/>
  <c r="V150" i="41"/>
  <c r="R150" i="41"/>
  <c r="Q150" i="41"/>
  <c r="P150" i="41"/>
  <c r="O150" i="41"/>
  <c r="AX149" i="41"/>
  <c r="AU149" i="41"/>
  <c r="AQ149" i="41"/>
  <c r="AR149" i="41" s="1"/>
  <c r="AI149" i="41"/>
  <c r="X149" i="41"/>
  <c r="AS149" i="41" s="1"/>
  <c r="W149" i="41"/>
  <c r="V149" i="41"/>
  <c r="R149" i="41"/>
  <c r="Q149" i="41"/>
  <c r="P149" i="41"/>
  <c r="O149" i="41"/>
  <c r="AU148" i="41"/>
  <c r="AS148" i="41"/>
  <c r="AR148" i="41"/>
  <c r="AQ148" i="41"/>
  <c r="AI148" i="41"/>
  <c r="X148" i="41"/>
  <c r="AX148" i="41" s="1"/>
  <c r="W148" i="41"/>
  <c r="V148" i="41"/>
  <c r="R148" i="41"/>
  <c r="Q148" i="41"/>
  <c r="O148" i="41"/>
  <c r="P148" i="41" s="1"/>
  <c r="AU147" i="41"/>
  <c r="AR147" i="41"/>
  <c r="AQ147" i="41"/>
  <c r="AI147" i="41"/>
  <c r="AG147" i="41"/>
  <c r="X147" i="41"/>
  <c r="W147" i="41"/>
  <c r="V147" i="41"/>
  <c r="R147" i="41"/>
  <c r="Q147" i="41"/>
  <c r="P147" i="41"/>
  <c r="O147" i="41"/>
  <c r="AR146" i="41"/>
  <c r="AQ146" i="41"/>
  <c r="AI146" i="41"/>
  <c r="X146" i="41"/>
  <c r="W146" i="41"/>
  <c r="V146" i="41"/>
  <c r="R146" i="41"/>
  <c r="Q146" i="41"/>
  <c r="P146" i="41"/>
  <c r="O146" i="41"/>
  <c r="AX145" i="41"/>
  <c r="AU145" i="41"/>
  <c r="AR145" i="41"/>
  <c r="AQ145" i="41"/>
  <c r="AI145" i="41"/>
  <c r="X145" i="41"/>
  <c r="W145" i="41"/>
  <c r="V145" i="41"/>
  <c r="R145" i="41"/>
  <c r="Q145" i="41"/>
  <c r="P145" i="41"/>
  <c r="O145" i="41"/>
  <c r="AU144" i="41"/>
  <c r="AS144" i="41"/>
  <c r="AQ144" i="41"/>
  <c r="AR144" i="41" s="1"/>
  <c r="AI144" i="41"/>
  <c r="X144" i="41"/>
  <c r="AX144" i="41" s="1"/>
  <c r="W144" i="41"/>
  <c r="V144" i="41"/>
  <c r="R144" i="41"/>
  <c r="Q144" i="41"/>
  <c r="P144" i="41"/>
  <c r="O144" i="41"/>
  <c r="AU143" i="41"/>
  <c r="AS143" i="41"/>
  <c r="AR143" i="41"/>
  <c r="AQ143" i="41"/>
  <c r="AI143" i="41"/>
  <c r="X143" i="41"/>
  <c r="W143" i="41"/>
  <c r="V143" i="41"/>
  <c r="R143" i="41"/>
  <c r="Q143" i="41"/>
  <c r="P143" i="41"/>
  <c r="O143" i="41"/>
  <c r="AX142" i="41"/>
  <c r="AS142" i="41"/>
  <c r="AQ142" i="41"/>
  <c r="AR142" i="41" s="1"/>
  <c r="AI142" i="41"/>
  <c r="AG142" i="41"/>
  <c r="X142" i="41"/>
  <c r="W142" i="41"/>
  <c r="V142" i="41"/>
  <c r="R142" i="41"/>
  <c r="Q142" i="41"/>
  <c r="P142" i="41"/>
  <c r="O142" i="41"/>
  <c r="AX141" i="41"/>
  <c r="AR141" i="41"/>
  <c r="AQ141" i="41"/>
  <c r="AI141" i="41"/>
  <c r="AG141" i="41"/>
  <c r="X141" i="41"/>
  <c r="W141" i="41"/>
  <c r="V141" i="41"/>
  <c r="R141" i="41"/>
  <c r="Q141" i="41"/>
  <c r="P141" i="41"/>
  <c r="O141" i="41"/>
  <c r="AX140" i="41"/>
  <c r="AU140" i="41"/>
  <c r="AS140" i="41"/>
  <c r="AR140" i="41"/>
  <c r="AQ140" i="41"/>
  <c r="AI140" i="41"/>
  <c r="AG140" i="41"/>
  <c r="X140" i="41"/>
  <c r="W140" i="41"/>
  <c r="V140" i="41"/>
  <c r="R140" i="41"/>
  <c r="Q140" i="41"/>
  <c r="P140" i="41"/>
  <c r="O140" i="41"/>
  <c r="AX139" i="41"/>
  <c r="AS139" i="41"/>
  <c r="AQ139" i="41"/>
  <c r="AR139" i="41" s="1"/>
  <c r="AI139" i="41"/>
  <c r="AG139" i="41"/>
  <c r="X139" i="41"/>
  <c r="W139" i="41"/>
  <c r="V139" i="41"/>
  <c r="R139" i="41"/>
  <c r="Q139" i="41"/>
  <c r="P139" i="41"/>
  <c r="O139" i="41"/>
  <c r="AX138" i="41"/>
  <c r="AU138" i="41"/>
  <c r="AR138" i="41"/>
  <c r="AQ138" i="41"/>
  <c r="AI138" i="41"/>
  <c r="X138" i="41"/>
  <c r="W138" i="41"/>
  <c r="V138" i="41"/>
  <c r="R138" i="41"/>
  <c r="Q138" i="41"/>
  <c r="P138" i="41"/>
  <c r="O138" i="41"/>
  <c r="AX137" i="41"/>
  <c r="AU137" i="41"/>
  <c r="AS137" i="41"/>
  <c r="AQ137" i="41"/>
  <c r="AR137" i="41" s="1"/>
  <c r="AI137" i="41"/>
  <c r="X137" i="41"/>
  <c r="W137" i="41"/>
  <c r="V137" i="41"/>
  <c r="R137" i="41"/>
  <c r="Q137" i="41"/>
  <c r="P137" i="41"/>
  <c r="O137" i="41"/>
  <c r="AU136" i="41"/>
  <c r="AQ136" i="41"/>
  <c r="AR136" i="41" s="1"/>
  <c r="AI136" i="41"/>
  <c r="AG136" i="41"/>
  <c r="X136" i="41"/>
  <c r="W136" i="41"/>
  <c r="V136" i="41"/>
  <c r="R136" i="41"/>
  <c r="Q136" i="41"/>
  <c r="P136" i="41"/>
  <c r="O136" i="41"/>
  <c r="AW135" i="41"/>
  <c r="AV135" i="41"/>
  <c r="AR135" i="41"/>
  <c r="AQ135" i="41"/>
  <c r="AI135" i="41"/>
  <c r="AG135" i="41"/>
  <c r="X135" i="41"/>
  <c r="W135" i="41"/>
  <c r="R135" i="41"/>
  <c r="Q135" i="41"/>
  <c r="V135" i="41" s="1"/>
  <c r="P135" i="41"/>
  <c r="O135" i="41"/>
  <c r="AX134" i="41"/>
  <c r="AU134" i="41"/>
  <c r="AR134" i="41"/>
  <c r="AQ134" i="41"/>
  <c r="AI134" i="41"/>
  <c r="X134" i="41"/>
  <c r="AS134" i="41" s="1"/>
  <c r="W134" i="41"/>
  <c r="V134" i="41"/>
  <c r="R134" i="41"/>
  <c r="Q134" i="41"/>
  <c r="P134" i="41"/>
  <c r="O134" i="41"/>
  <c r="AR133" i="41"/>
  <c r="AQ133" i="41"/>
  <c r="AI133" i="41"/>
  <c r="X133" i="41"/>
  <c r="W133" i="41"/>
  <c r="V133" i="41"/>
  <c r="R133" i="41"/>
  <c r="Q133" i="41"/>
  <c r="P133" i="41"/>
  <c r="O133" i="41"/>
  <c r="AR132" i="41"/>
  <c r="AQ132" i="41"/>
  <c r="AI132" i="41"/>
  <c r="X132" i="41"/>
  <c r="W132" i="41"/>
  <c r="V132" i="41"/>
  <c r="R132" i="41"/>
  <c r="Q132" i="41"/>
  <c r="P132" i="41"/>
  <c r="O132" i="41"/>
  <c r="AR131" i="41"/>
  <c r="AQ131" i="41"/>
  <c r="AI131" i="41"/>
  <c r="X131" i="41"/>
  <c r="W131" i="41"/>
  <c r="V131" i="41"/>
  <c r="R131" i="41"/>
  <c r="Q131" i="41"/>
  <c r="O131" i="41"/>
  <c r="P131" i="41" s="1"/>
  <c r="AQ130" i="41"/>
  <c r="AR130" i="41" s="1"/>
  <c r="AI130" i="41"/>
  <c r="AJ130" i="41" s="1"/>
  <c r="AK130" i="41" s="1"/>
  <c r="AL130" i="41" s="1"/>
  <c r="AG130" i="41"/>
  <c r="X130" i="41"/>
  <c r="W130" i="41"/>
  <c r="V130" i="41"/>
  <c r="R130" i="41"/>
  <c r="Q130" i="41"/>
  <c r="P130" i="41"/>
  <c r="O130" i="41"/>
  <c r="AW129" i="41"/>
  <c r="AR129" i="41"/>
  <c r="AQ129" i="41"/>
  <c r="AI129" i="41"/>
  <c r="AJ129" i="41" s="1"/>
  <c r="AK129" i="41" s="1"/>
  <c r="AL129" i="41" s="1"/>
  <c r="AG129" i="41"/>
  <c r="X129" i="41"/>
  <c r="W129" i="41"/>
  <c r="V129" i="41"/>
  <c r="R129" i="41"/>
  <c r="Q129" i="41"/>
  <c r="P129" i="41"/>
  <c r="O129" i="41"/>
  <c r="AW128" i="41"/>
  <c r="AV128" i="41"/>
  <c r="AQ128" i="41"/>
  <c r="AR128" i="41" s="1"/>
  <c r="AI128" i="41"/>
  <c r="AJ128" i="41" s="1"/>
  <c r="AK128" i="41" s="1"/>
  <c r="AL128" i="41" s="1"/>
  <c r="AG128" i="41"/>
  <c r="X128" i="41"/>
  <c r="W128" i="41"/>
  <c r="V128" i="41"/>
  <c r="R128" i="41"/>
  <c r="Q128" i="41"/>
  <c r="P128" i="41"/>
  <c r="O128" i="41"/>
  <c r="AV127" i="41"/>
  <c r="AS127" i="41"/>
  <c r="AT127" i="41" s="1"/>
  <c r="AQ127" i="41"/>
  <c r="AR127" i="41" s="1"/>
  <c r="AI127" i="41"/>
  <c r="AJ127" i="41" s="1"/>
  <c r="AK127" i="41" s="1"/>
  <c r="AL127" i="41" s="1"/>
  <c r="AG127" i="41"/>
  <c r="AD127" i="41"/>
  <c r="X127" i="41"/>
  <c r="AW127" i="41" s="1"/>
  <c r="W127" i="41"/>
  <c r="R127" i="41"/>
  <c r="Q127" i="41"/>
  <c r="V127" i="41" s="1"/>
  <c r="P127" i="41"/>
  <c r="O127" i="41"/>
  <c r="AQ126" i="41"/>
  <c r="AR126" i="41" s="1"/>
  <c r="AJ126" i="41"/>
  <c r="AK126" i="41" s="1"/>
  <c r="AL126" i="41" s="1"/>
  <c r="AI126" i="41"/>
  <c r="AG126" i="41"/>
  <c r="X126" i="41"/>
  <c r="W126" i="41"/>
  <c r="R126" i="41"/>
  <c r="Q126" i="41"/>
  <c r="V126" i="41" s="1"/>
  <c r="P126" i="41"/>
  <c r="O126" i="41"/>
  <c r="AW125" i="41"/>
  <c r="AV125" i="41"/>
  <c r="AQ125" i="41"/>
  <c r="AR125" i="41" s="1"/>
  <c r="AI125" i="41"/>
  <c r="AJ125" i="41" s="1"/>
  <c r="AK125" i="41" s="1"/>
  <c r="AL125" i="41" s="1"/>
  <c r="AG125" i="41"/>
  <c r="AD125" i="41"/>
  <c r="X125" i="41"/>
  <c r="W125" i="41"/>
  <c r="R125" i="41"/>
  <c r="Q125" i="41"/>
  <c r="V125" i="41" s="1"/>
  <c r="P125" i="41"/>
  <c r="O125" i="41"/>
  <c r="AT124" i="41"/>
  <c r="AS124" i="41"/>
  <c r="AR124" i="41"/>
  <c r="AQ124" i="41"/>
  <c r="AI124" i="41"/>
  <c r="AJ124" i="41" s="1"/>
  <c r="AK124" i="41" s="1"/>
  <c r="AL124" i="41" s="1"/>
  <c r="AG124" i="41"/>
  <c r="X124" i="41"/>
  <c r="W124" i="41"/>
  <c r="V124" i="41"/>
  <c r="R124" i="41"/>
  <c r="Q124" i="41"/>
  <c r="P124" i="41"/>
  <c r="O124" i="41"/>
  <c r="AW123" i="41"/>
  <c r="AV123" i="41"/>
  <c r="AT123" i="41"/>
  <c r="AS123" i="41"/>
  <c r="AQ123" i="41"/>
  <c r="AR123" i="41" s="1"/>
  <c r="AJ123" i="41"/>
  <c r="AK123" i="41" s="1"/>
  <c r="AL123" i="41" s="1"/>
  <c r="AI123" i="41"/>
  <c r="AG123" i="41"/>
  <c r="X123" i="41"/>
  <c r="W123" i="41"/>
  <c r="R123" i="41"/>
  <c r="Q123" i="41"/>
  <c r="V123" i="41" s="1"/>
  <c r="P123" i="41"/>
  <c r="O123" i="41"/>
  <c r="AW122" i="41"/>
  <c r="AV122" i="41"/>
  <c r="AS122" i="41"/>
  <c r="AT122" i="41" s="1"/>
  <c r="AQ122" i="41"/>
  <c r="AR122" i="41" s="1"/>
  <c r="AI122" i="41"/>
  <c r="AJ122" i="41" s="1"/>
  <c r="AK122" i="41" s="1"/>
  <c r="AL122" i="41" s="1"/>
  <c r="AG122" i="41"/>
  <c r="AD122" i="41"/>
  <c r="X122" i="41"/>
  <c r="W122" i="41"/>
  <c r="V122" i="41"/>
  <c r="R122" i="41"/>
  <c r="Q122" i="41"/>
  <c r="P122" i="41"/>
  <c r="O122" i="41"/>
  <c r="AR121" i="41"/>
  <c r="AQ121" i="41"/>
  <c r="AJ121" i="41"/>
  <c r="AK121" i="41" s="1"/>
  <c r="AL121" i="41" s="1"/>
  <c r="AI121" i="41"/>
  <c r="AG121" i="41"/>
  <c r="X121" i="41"/>
  <c r="W121" i="41"/>
  <c r="R121" i="41"/>
  <c r="Q121" i="41"/>
  <c r="V121" i="41" s="1"/>
  <c r="P121" i="41"/>
  <c r="O121" i="41"/>
  <c r="AQ120" i="41"/>
  <c r="AR120" i="41" s="1"/>
  <c r="AI120" i="41"/>
  <c r="AJ120" i="41" s="1"/>
  <c r="AK120" i="41" s="1"/>
  <c r="AL120" i="41" s="1"/>
  <c r="AG120" i="41"/>
  <c r="AD120" i="41"/>
  <c r="X120" i="41"/>
  <c r="W120" i="41"/>
  <c r="V120" i="41"/>
  <c r="R120" i="41"/>
  <c r="Q120" i="41"/>
  <c r="P120" i="41"/>
  <c r="O120" i="41"/>
  <c r="AW119" i="41"/>
  <c r="AV119" i="41"/>
  <c r="AR119" i="41"/>
  <c r="AQ119" i="41"/>
  <c r="AJ119" i="41"/>
  <c r="AK119" i="41" s="1"/>
  <c r="AL119" i="41" s="1"/>
  <c r="AI119" i="41"/>
  <c r="AG119" i="41"/>
  <c r="X119" i="41"/>
  <c r="W119" i="41"/>
  <c r="V119" i="41"/>
  <c r="R119" i="41"/>
  <c r="Q119" i="41"/>
  <c r="P119" i="41"/>
  <c r="O119" i="41"/>
  <c r="AX118" i="41"/>
  <c r="AS118" i="41"/>
  <c r="AR118" i="41"/>
  <c r="AQ118" i="41"/>
  <c r="AI118" i="41"/>
  <c r="X118" i="41"/>
  <c r="W118" i="41"/>
  <c r="V118" i="41"/>
  <c r="R118" i="41"/>
  <c r="Q118" i="41"/>
  <c r="P118" i="41"/>
  <c r="O118" i="41"/>
  <c r="AU117" i="41"/>
  <c r="AS117" i="41"/>
  <c r="AQ117" i="41"/>
  <c r="AR117" i="41" s="1"/>
  <c r="AI117" i="41"/>
  <c r="X117" i="41"/>
  <c r="W117" i="41"/>
  <c r="V117" i="41"/>
  <c r="R117" i="41"/>
  <c r="Q117" i="41"/>
  <c r="P117" i="41"/>
  <c r="O117" i="41"/>
  <c r="AQ116" i="41"/>
  <c r="AR116" i="41" s="1"/>
  <c r="AI116" i="41"/>
  <c r="X116" i="41"/>
  <c r="W116" i="41"/>
  <c r="V116" i="41"/>
  <c r="R116" i="41"/>
  <c r="Q116" i="41"/>
  <c r="O116" i="41"/>
  <c r="P116" i="41" s="1"/>
  <c r="AV115" i="41"/>
  <c r="AR115" i="41"/>
  <c r="AQ115" i="41"/>
  <c r="AI115" i="41"/>
  <c r="X115" i="41"/>
  <c r="W115" i="41"/>
  <c r="R115" i="41"/>
  <c r="Q115" i="41"/>
  <c r="V115" i="41" s="1"/>
  <c r="P115" i="41"/>
  <c r="O115" i="41"/>
  <c r="AS114" i="41"/>
  <c r="AQ114" i="41"/>
  <c r="AR114" i="41" s="1"/>
  <c r="AI114" i="41"/>
  <c r="X114" i="41"/>
  <c r="W114" i="41"/>
  <c r="V114" i="41"/>
  <c r="R114" i="41"/>
  <c r="Q114" i="41"/>
  <c r="P114" i="41"/>
  <c r="O114" i="41"/>
  <c r="AR113" i="41"/>
  <c r="AQ113" i="41"/>
  <c r="AI113" i="41"/>
  <c r="X113" i="41"/>
  <c r="W113" i="41"/>
  <c r="V113" i="41"/>
  <c r="R113" i="41"/>
  <c r="Q113" i="41"/>
  <c r="O113" i="41"/>
  <c r="P113" i="41" s="1"/>
  <c r="AR112" i="41"/>
  <c r="AQ112" i="41"/>
  <c r="AI112" i="41"/>
  <c r="AG112" i="41"/>
  <c r="X112" i="41"/>
  <c r="W112" i="41"/>
  <c r="V112" i="41"/>
  <c r="R112" i="41"/>
  <c r="Q112" i="41"/>
  <c r="P112" i="41"/>
  <c r="O112" i="41"/>
  <c r="M112" i="41"/>
  <c r="AR111" i="41"/>
  <c r="AQ111" i="41"/>
  <c r="AI111" i="41"/>
  <c r="X111" i="41"/>
  <c r="W111" i="41"/>
  <c r="V111" i="41"/>
  <c r="R111" i="41"/>
  <c r="Q111" i="41"/>
  <c r="O111" i="41"/>
  <c r="P111" i="41" s="1"/>
  <c r="AX110" i="41"/>
  <c r="AU110" i="41"/>
  <c r="AQ110" i="41"/>
  <c r="AR110" i="41" s="1"/>
  <c r="AI110" i="41"/>
  <c r="AG110" i="41"/>
  <c r="X110" i="41"/>
  <c r="W110" i="41"/>
  <c r="V110" i="41"/>
  <c r="R110" i="41"/>
  <c r="Q110" i="41"/>
  <c r="P110" i="41"/>
  <c r="O110" i="41"/>
  <c r="AX109" i="41"/>
  <c r="AU109" i="41"/>
  <c r="AR109" i="41"/>
  <c r="AQ109" i="41"/>
  <c r="AI109" i="41"/>
  <c r="AG109" i="41"/>
  <c r="X109" i="41"/>
  <c r="AS109" i="41" s="1"/>
  <c r="W109" i="41"/>
  <c r="V109" i="41"/>
  <c r="R109" i="41"/>
  <c r="Q109" i="41"/>
  <c r="P109" i="41"/>
  <c r="O109" i="41"/>
  <c r="AQ108" i="41"/>
  <c r="AR108" i="41" s="1"/>
  <c r="AI108" i="41"/>
  <c r="AG108" i="41"/>
  <c r="X108" i="41"/>
  <c r="W108" i="41"/>
  <c r="V108" i="41"/>
  <c r="R108" i="41"/>
  <c r="Q108" i="41"/>
  <c r="P108" i="41"/>
  <c r="O108" i="41"/>
  <c r="AX107" i="41"/>
  <c r="AU107" i="41"/>
  <c r="AS107" i="41"/>
  <c r="AQ107" i="41"/>
  <c r="AR107" i="41" s="1"/>
  <c r="AI107" i="41"/>
  <c r="AG107" i="41"/>
  <c r="X107" i="41"/>
  <c r="W107" i="41"/>
  <c r="V107" i="41"/>
  <c r="R107" i="41"/>
  <c r="Q107" i="41"/>
  <c r="P107" i="41"/>
  <c r="O107" i="41"/>
  <c r="AW106" i="41"/>
  <c r="AV106" i="41"/>
  <c r="AS106" i="41"/>
  <c r="AQ106" i="41"/>
  <c r="AR106" i="41" s="1"/>
  <c r="AI106" i="41"/>
  <c r="X106" i="41"/>
  <c r="W106" i="41"/>
  <c r="R106" i="41"/>
  <c r="Q106" i="41"/>
  <c r="V106" i="41" s="1"/>
  <c r="P106" i="41"/>
  <c r="O106" i="41"/>
  <c r="V105" i="41"/>
  <c r="R105" i="41"/>
  <c r="Q105" i="41"/>
  <c r="P105" i="41"/>
  <c r="O105" i="41"/>
  <c r="K105" i="41"/>
  <c r="V104" i="41"/>
  <c r="R104" i="41"/>
  <c r="Q104" i="41"/>
  <c r="P104" i="41"/>
  <c r="O104" i="41"/>
  <c r="K104" i="41"/>
  <c r="V103" i="41"/>
  <c r="R103" i="41"/>
  <c r="Q103" i="41"/>
  <c r="P103" i="41"/>
  <c r="O103" i="41"/>
  <c r="K103" i="41"/>
  <c r="AV102" i="41"/>
  <c r="AU102" i="41"/>
  <c r="AS102" i="41"/>
  <c r="AR102" i="41"/>
  <c r="AQ102" i="41"/>
  <c r="AI102" i="41"/>
  <c r="X102" i="41"/>
  <c r="AW102" i="41" s="1"/>
  <c r="W102" i="41"/>
  <c r="R102" i="41"/>
  <c r="Q102" i="41"/>
  <c r="V102" i="41" s="1"/>
  <c r="P102" i="41"/>
  <c r="O102" i="41"/>
  <c r="AX101" i="41"/>
  <c r="AU101" i="41"/>
  <c r="AS101" i="41"/>
  <c r="AQ101" i="41"/>
  <c r="AR101" i="41" s="1"/>
  <c r="AI101" i="41"/>
  <c r="X101" i="41"/>
  <c r="W101" i="41"/>
  <c r="V101" i="41"/>
  <c r="R101" i="41"/>
  <c r="Q101" i="41"/>
  <c r="O101" i="41"/>
  <c r="P101" i="41" s="1"/>
  <c r="AQ100" i="41"/>
  <c r="AR100" i="41" s="1"/>
  <c r="AI100" i="41"/>
  <c r="X100" i="41"/>
  <c r="W100" i="41"/>
  <c r="V100" i="41"/>
  <c r="R100" i="41"/>
  <c r="Q100" i="41"/>
  <c r="P100" i="41"/>
  <c r="O100" i="41"/>
  <c r="AX99" i="41"/>
  <c r="AU99" i="41"/>
  <c r="AQ99" i="41"/>
  <c r="AR99" i="41" s="1"/>
  <c r="AI99" i="41"/>
  <c r="X99" i="41"/>
  <c r="AS99" i="41" s="1"/>
  <c r="W99" i="41"/>
  <c r="V99" i="41"/>
  <c r="R99" i="41"/>
  <c r="Q99" i="41"/>
  <c r="P99" i="41"/>
  <c r="O99" i="41"/>
  <c r="AR98" i="41"/>
  <c r="AQ98" i="41"/>
  <c r="AI98" i="41"/>
  <c r="AJ98" i="41" s="1"/>
  <c r="AK98" i="41" s="1"/>
  <c r="AL98" i="41" s="1"/>
  <c r="AG98" i="41"/>
  <c r="X98" i="41"/>
  <c r="W98" i="41"/>
  <c r="R98" i="41"/>
  <c r="Q98" i="41"/>
  <c r="V98" i="41" s="1"/>
  <c r="P98" i="41"/>
  <c r="O98" i="41"/>
  <c r="AS97" i="41"/>
  <c r="AQ97" i="41"/>
  <c r="AR97" i="41" s="1"/>
  <c r="AI97" i="41"/>
  <c r="X97" i="41"/>
  <c r="W97" i="41"/>
  <c r="V97" i="41"/>
  <c r="R97" i="41"/>
  <c r="Q97" i="41"/>
  <c r="O97" i="41"/>
  <c r="P97" i="41" s="1"/>
  <c r="AX96" i="41"/>
  <c r="AU96" i="41"/>
  <c r="AR96" i="41"/>
  <c r="AQ96" i="41"/>
  <c r="AI96" i="41"/>
  <c r="X96" i="41"/>
  <c r="W96" i="41"/>
  <c r="V96" i="41"/>
  <c r="R96" i="41"/>
  <c r="Q96" i="41"/>
  <c r="O96" i="41"/>
  <c r="P96" i="41" s="1"/>
  <c r="AU95" i="41"/>
  <c r="AR95" i="41"/>
  <c r="AQ95" i="41"/>
  <c r="AI95" i="41"/>
  <c r="X95" i="41"/>
  <c r="V95" i="41"/>
  <c r="R95" i="41"/>
  <c r="Q95" i="41"/>
  <c r="O95" i="41"/>
  <c r="P95" i="41" s="1"/>
  <c r="L95" i="41"/>
  <c r="W95" i="41" s="1"/>
  <c r="AR94" i="41"/>
  <c r="AQ94" i="41"/>
  <c r="AI94" i="41"/>
  <c r="X94" i="41"/>
  <c r="W94" i="41"/>
  <c r="V94" i="41"/>
  <c r="R94" i="41"/>
  <c r="Q94" i="41"/>
  <c r="P94" i="41"/>
  <c r="O94" i="41"/>
  <c r="AQ93" i="41"/>
  <c r="AR93" i="41" s="1"/>
  <c r="AI93" i="41"/>
  <c r="X93" i="41"/>
  <c r="W93" i="41"/>
  <c r="R93" i="41"/>
  <c r="Q93" i="41"/>
  <c r="V93" i="41" s="1"/>
  <c r="O93" i="41"/>
  <c r="P93" i="41" s="1"/>
  <c r="AR92" i="41"/>
  <c r="AQ92" i="41"/>
  <c r="AI92" i="41"/>
  <c r="X92" i="41"/>
  <c r="W92" i="41"/>
  <c r="V92" i="41"/>
  <c r="R92" i="41"/>
  <c r="Q92" i="41"/>
  <c r="O92" i="41"/>
  <c r="P92" i="41" s="1"/>
  <c r="L92" i="41"/>
  <c r="AQ91" i="41"/>
  <c r="AR91" i="41" s="1"/>
  <c r="AI91" i="41"/>
  <c r="X91" i="41"/>
  <c r="W91" i="41"/>
  <c r="R91" i="41"/>
  <c r="Q91" i="41"/>
  <c r="V91" i="41" s="1"/>
  <c r="O91" i="41"/>
  <c r="P91" i="41" s="1"/>
  <c r="AW90" i="41"/>
  <c r="AQ90" i="41"/>
  <c r="AR90" i="41" s="1"/>
  <c r="AI90" i="41"/>
  <c r="X90" i="41"/>
  <c r="W90" i="41"/>
  <c r="R90" i="41"/>
  <c r="Q90" i="41"/>
  <c r="P90" i="41"/>
  <c r="O90" i="41"/>
  <c r="AW89" i="41"/>
  <c r="AV89" i="41"/>
  <c r="AS89" i="41"/>
  <c r="AQ89" i="41"/>
  <c r="AR89" i="41" s="1"/>
  <c r="AI89" i="41"/>
  <c r="X89" i="41"/>
  <c r="W89" i="41"/>
  <c r="V89" i="41"/>
  <c r="R89" i="41"/>
  <c r="Q89" i="41"/>
  <c r="P89" i="41"/>
  <c r="O89" i="41"/>
  <c r="AW88" i="41"/>
  <c r="AV88" i="41"/>
  <c r="AS88" i="41"/>
  <c r="AR88" i="41"/>
  <c r="AQ88" i="41"/>
  <c r="AI88" i="41"/>
  <c r="X88" i="41"/>
  <c r="R88" i="41"/>
  <c r="Q88" i="41"/>
  <c r="O88" i="41"/>
  <c r="P88" i="41" s="1"/>
  <c r="L88" i="41"/>
  <c r="W88" i="41" s="1"/>
  <c r="AW87" i="41"/>
  <c r="AV87" i="41"/>
  <c r="AS87" i="41"/>
  <c r="AQ87" i="41"/>
  <c r="AR87" i="41" s="1"/>
  <c r="AI87" i="41"/>
  <c r="X87" i="41"/>
  <c r="W87" i="41"/>
  <c r="V87" i="41"/>
  <c r="R87" i="41"/>
  <c r="Q87" i="41"/>
  <c r="O87" i="41"/>
  <c r="P87" i="41" s="1"/>
  <c r="AR86" i="41"/>
  <c r="AQ86" i="41"/>
  <c r="AI86" i="41"/>
  <c r="AG86" i="41"/>
  <c r="X86" i="41"/>
  <c r="W86" i="41"/>
  <c r="R86" i="41"/>
  <c r="Q86" i="41"/>
  <c r="V86" i="41" s="1"/>
  <c r="P86" i="41"/>
  <c r="O86" i="41"/>
  <c r="AW85" i="41"/>
  <c r="AV85" i="41"/>
  <c r="AS85" i="41"/>
  <c r="AQ85" i="41"/>
  <c r="AR85" i="41" s="1"/>
  <c r="AI85" i="41"/>
  <c r="AG85" i="41"/>
  <c r="X85" i="41"/>
  <c r="W85" i="41"/>
  <c r="R85" i="41"/>
  <c r="Q85" i="41"/>
  <c r="V85" i="41" s="1"/>
  <c r="P85" i="41"/>
  <c r="O85" i="41"/>
  <c r="AW84" i="41"/>
  <c r="AV84" i="41"/>
  <c r="AS84" i="41"/>
  <c r="AQ84" i="41"/>
  <c r="AR84" i="41" s="1"/>
  <c r="AI84" i="41"/>
  <c r="X84" i="41"/>
  <c r="W84" i="41"/>
  <c r="V84" i="41"/>
  <c r="R84" i="41"/>
  <c r="Q84" i="41"/>
  <c r="O84" i="41"/>
  <c r="P84" i="41" s="1"/>
  <c r="AR83" i="41"/>
  <c r="AQ83" i="41"/>
  <c r="AI83" i="41"/>
  <c r="X83" i="41"/>
  <c r="AS83" i="41" s="1"/>
  <c r="V83" i="41"/>
  <c r="R83" i="41"/>
  <c r="Q83" i="41"/>
  <c r="P83" i="41"/>
  <c r="O83" i="41"/>
  <c r="L83" i="41"/>
  <c r="W83" i="41" s="1"/>
  <c r="AR82" i="41"/>
  <c r="AQ82" i="41"/>
  <c r="AI82" i="41"/>
  <c r="X82" i="41"/>
  <c r="R82" i="41"/>
  <c r="Q82" i="41"/>
  <c r="V82" i="41" s="1"/>
  <c r="O82" i="41"/>
  <c r="P82" i="41" s="1"/>
  <c r="M82" i="41"/>
  <c r="L82" i="41"/>
  <c r="W82" i="41" s="1"/>
  <c r="AR81" i="41"/>
  <c r="AQ81" i="41"/>
  <c r="AI81" i="41"/>
  <c r="X81" i="41"/>
  <c r="W81" i="41"/>
  <c r="R81" i="41"/>
  <c r="Q81" i="41"/>
  <c r="V81" i="41" s="1"/>
  <c r="O81" i="41"/>
  <c r="P81" i="41" s="1"/>
  <c r="M81" i="41"/>
  <c r="L81" i="41"/>
  <c r="AQ80" i="41"/>
  <c r="AR80" i="41" s="1"/>
  <c r="AI80" i="41"/>
  <c r="AJ80" i="41" s="1"/>
  <c r="AK80" i="41" s="1"/>
  <c r="AL80" i="41" s="1"/>
  <c r="AG80" i="41"/>
  <c r="X80" i="41"/>
  <c r="W80" i="41"/>
  <c r="R80" i="41"/>
  <c r="Q80" i="41"/>
  <c r="V80" i="41" s="1"/>
  <c r="P80" i="41"/>
  <c r="O80" i="41"/>
  <c r="AS79" i="41"/>
  <c r="AQ79" i="41"/>
  <c r="AR79" i="41" s="1"/>
  <c r="AI79" i="41"/>
  <c r="X79" i="41"/>
  <c r="W79" i="41"/>
  <c r="R79" i="41"/>
  <c r="Q79" i="41"/>
  <c r="V79" i="41" s="1"/>
  <c r="P79" i="41"/>
  <c r="O79" i="41"/>
  <c r="AR78" i="41"/>
  <c r="AQ78" i="41"/>
  <c r="AI78" i="41"/>
  <c r="X78" i="41"/>
  <c r="W78" i="41"/>
  <c r="R78" i="41"/>
  <c r="Q78" i="41"/>
  <c r="O78" i="41"/>
  <c r="P78" i="41" s="1"/>
  <c r="AW77" i="41"/>
  <c r="AV77" i="41"/>
  <c r="AS77" i="41"/>
  <c r="AR77" i="41"/>
  <c r="AQ77" i="41"/>
  <c r="AI77" i="41"/>
  <c r="X77" i="41"/>
  <c r="W77" i="41"/>
  <c r="V77" i="41"/>
  <c r="R77" i="41"/>
  <c r="Q77" i="41"/>
  <c r="O77" i="41"/>
  <c r="P77" i="41" s="1"/>
  <c r="AW76" i="41"/>
  <c r="AV76" i="41"/>
  <c r="AS76" i="41"/>
  <c r="AQ76" i="41"/>
  <c r="AR76" i="41" s="1"/>
  <c r="AI76" i="41"/>
  <c r="X76" i="41"/>
  <c r="V76" i="41"/>
  <c r="R76" i="41"/>
  <c r="Q76" i="41"/>
  <c r="O76" i="41"/>
  <c r="P76" i="41" s="1"/>
  <c r="L76" i="41"/>
  <c r="W76" i="41" s="1"/>
  <c r="AW75" i="41"/>
  <c r="AV75" i="41"/>
  <c r="AS75" i="41"/>
  <c r="AR75" i="41"/>
  <c r="AQ75" i="41"/>
  <c r="AI75" i="41"/>
  <c r="X75" i="41"/>
  <c r="W75" i="41"/>
  <c r="V75" i="41"/>
  <c r="R75" i="41"/>
  <c r="Q75" i="41"/>
  <c r="P75" i="41"/>
  <c r="O75" i="41"/>
  <c r="AW74" i="41"/>
  <c r="AV74" i="41"/>
  <c r="AS74" i="41"/>
  <c r="AR74" i="41"/>
  <c r="AQ74" i="41"/>
  <c r="AI74" i="41"/>
  <c r="X74" i="41"/>
  <c r="W74" i="41"/>
  <c r="V74" i="41"/>
  <c r="R74" i="41"/>
  <c r="Q74" i="41"/>
  <c r="P74" i="41"/>
  <c r="O74" i="41"/>
  <c r="AW73" i="41"/>
  <c r="AS73" i="41"/>
  <c r="AR73" i="41"/>
  <c r="AQ73" i="41"/>
  <c r="AI73" i="41"/>
  <c r="X73" i="41"/>
  <c r="AV73" i="41" s="1"/>
  <c r="W73" i="41"/>
  <c r="V73" i="41"/>
  <c r="R73" i="41"/>
  <c r="Q73" i="41"/>
  <c r="O73" i="41"/>
  <c r="P73" i="41" s="1"/>
  <c r="AV72" i="41"/>
  <c r="AS72" i="41"/>
  <c r="AR72" i="41"/>
  <c r="AQ72" i="41"/>
  <c r="AI72" i="41"/>
  <c r="X72" i="41"/>
  <c r="AW72" i="41" s="1"/>
  <c r="W72" i="41"/>
  <c r="V72" i="41"/>
  <c r="R72" i="41"/>
  <c r="Q72" i="41"/>
  <c r="P72" i="41"/>
  <c r="O72" i="41"/>
  <c r="AW71" i="41"/>
  <c r="AV71" i="41"/>
  <c r="AS71" i="41"/>
  <c r="AQ71" i="41"/>
  <c r="AR71" i="41" s="1"/>
  <c r="AI71" i="41"/>
  <c r="X71" i="41"/>
  <c r="W71" i="41"/>
  <c r="V71" i="41"/>
  <c r="R71" i="41"/>
  <c r="Q71" i="41"/>
  <c r="P71" i="41"/>
  <c r="O71" i="41"/>
  <c r="L71" i="41"/>
  <c r="AQ70" i="41"/>
  <c r="AR70" i="41" s="1"/>
  <c r="AI70" i="41"/>
  <c r="X70" i="41"/>
  <c r="W70" i="41"/>
  <c r="V70" i="41"/>
  <c r="R70" i="41"/>
  <c r="Q70" i="41"/>
  <c r="P70" i="41"/>
  <c r="O70" i="41"/>
  <c r="AS69" i="41"/>
  <c r="AR69" i="41"/>
  <c r="AQ69" i="41"/>
  <c r="AI69" i="41"/>
  <c r="X69" i="41"/>
  <c r="W69" i="41"/>
  <c r="V69" i="41"/>
  <c r="R69" i="41"/>
  <c r="Q69" i="41"/>
  <c r="O69" i="41"/>
  <c r="P69" i="41" s="1"/>
  <c r="AQ68" i="41"/>
  <c r="AR68" i="41" s="1"/>
  <c r="AI68" i="41"/>
  <c r="X68" i="41"/>
  <c r="W68" i="41"/>
  <c r="R68" i="41"/>
  <c r="Q68" i="41"/>
  <c r="V68" i="41" s="1"/>
  <c r="P68" i="41"/>
  <c r="O68" i="41"/>
  <c r="AQ67" i="41"/>
  <c r="AR67" i="41" s="1"/>
  <c r="AI67" i="41"/>
  <c r="X67" i="41"/>
  <c r="W67" i="41"/>
  <c r="V67" i="41"/>
  <c r="R67" i="41"/>
  <c r="Q67" i="41"/>
  <c r="O67" i="41"/>
  <c r="P67" i="41" s="1"/>
  <c r="AW66" i="41"/>
  <c r="AV66" i="41"/>
  <c r="AS66" i="41"/>
  <c r="AR66" i="41"/>
  <c r="AQ66" i="41"/>
  <c r="AI66" i="41"/>
  <c r="X66" i="41"/>
  <c r="W66" i="41"/>
  <c r="R66" i="41"/>
  <c r="Q66" i="41"/>
  <c r="V66" i="41" s="1"/>
  <c r="P66" i="41"/>
  <c r="O66" i="41"/>
  <c r="AW65" i="41"/>
  <c r="AV65" i="41"/>
  <c r="AS65" i="41"/>
  <c r="AQ65" i="41"/>
  <c r="AR65" i="41" s="1"/>
  <c r="AI65" i="41"/>
  <c r="AG65" i="41"/>
  <c r="X65" i="41"/>
  <c r="W65" i="41"/>
  <c r="R65" i="41"/>
  <c r="Q65" i="41"/>
  <c r="V65" i="41" s="1"/>
  <c r="P65" i="41"/>
  <c r="O65" i="41"/>
  <c r="AS64" i="41"/>
  <c r="AQ64" i="41"/>
  <c r="AR64" i="41" s="1"/>
  <c r="AI64" i="41"/>
  <c r="X64" i="41"/>
  <c r="V64" i="41"/>
  <c r="R64" i="41"/>
  <c r="Q64" i="41"/>
  <c r="P64" i="41"/>
  <c r="O64" i="41"/>
  <c r="L64" i="41"/>
  <c r="W64" i="41" s="1"/>
  <c r="AR63" i="41"/>
  <c r="AQ63" i="41"/>
  <c r="AI63" i="41"/>
  <c r="X63" i="41"/>
  <c r="W63" i="41"/>
  <c r="V63" i="41"/>
  <c r="R63" i="41"/>
  <c r="Q63" i="41"/>
  <c r="P63" i="41"/>
  <c r="O63" i="41"/>
  <c r="AR62" i="41"/>
  <c r="AQ62" i="41"/>
  <c r="AI62" i="41"/>
  <c r="X62" i="41"/>
  <c r="W62" i="41"/>
  <c r="R62" i="41"/>
  <c r="Q62" i="41"/>
  <c r="V62" i="41" s="1"/>
  <c r="P62" i="41"/>
  <c r="O62" i="41"/>
  <c r="L62" i="41"/>
  <c r="AV61" i="41"/>
  <c r="AS61" i="41"/>
  <c r="AR61" i="41"/>
  <c r="AQ61" i="41"/>
  <c r="AI61" i="41"/>
  <c r="X61" i="41"/>
  <c r="W61" i="41"/>
  <c r="V61" i="41"/>
  <c r="R61" i="41"/>
  <c r="Q61" i="41"/>
  <c r="P61" i="41"/>
  <c r="O61" i="41"/>
  <c r="AW60" i="41"/>
  <c r="AV60" i="41"/>
  <c r="AS60" i="41"/>
  <c r="AQ60" i="41"/>
  <c r="AR60" i="41" s="1"/>
  <c r="AI60" i="41"/>
  <c r="X60" i="41"/>
  <c r="W60" i="41"/>
  <c r="R60" i="41"/>
  <c r="Q60" i="41"/>
  <c r="V60" i="41" s="1"/>
  <c r="O60" i="41"/>
  <c r="P60" i="41" s="1"/>
  <c r="AQ59" i="41"/>
  <c r="AR59" i="41" s="1"/>
  <c r="AJ59" i="41"/>
  <c r="AK59" i="41" s="1"/>
  <c r="AL59" i="41" s="1"/>
  <c r="AI59" i="41"/>
  <c r="AG59" i="41"/>
  <c r="X59" i="41"/>
  <c r="W59" i="41"/>
  <c r="V59" i="41"/>
  <c r="R59" i="41"/>
  <c r="Q59" i="41"/>
  <c r="P59" i="41"/>
  <c r="O59" i="41"/>
  <c r="AW58" i="41"/>
  <c r="AV58" i="41"/>
  <c r="AT58" i="41"/>
  <c r="AS58" i="41"/>
  <c r="AR58" i="41"/>
  <c r="AQ58" i="41"/>
  <c r="AJ58" i="41"/>
  <c r="AK58" i="41" s="1"/>
  <c r="AL58" i="41" s="1"/>
  <c r="AI58" i="41"/>
  <c r="AG58" i="41"/>
  <c r="AD58" i="41"/>
  <c r="X58" i="41"/>
  <c r="W58" i="41"/>
  <c r="R58" i="41"/>
  <c r="Q58" i="41"/>
  <c r="V58" i="41" s="1"/>
  <c r="P58" i="41"/>
  <c r="O58" i="41"/>
  <c r="AW57" i="41"/>
  <c r="AV57" i="41"/>
  <c r="AT57" i="41"/>
  <c r="AS57" i="41"/>
  <c r="AR57" i="41"/>
  <c r="AQ57" i="41"/>
  <c r="AJ57" i="41"/>
  <c r="AK57" i="41" s="1"/>
  <c r="AL57" i="41" s="1"/>
  <c r="AI57" i="41"/>
  <c r="AG57" i="41"/>
  <c r="X57" i="41"/>
  <c r="W57" i="41"/>
  <c r="R57" i="41"/>
  <c r="Q57" i="41"/>
  <c r="V57" i="41" s="1"/>
  <c r="P57" i="41"/>
  <c r="O57" i="41"/>
  <c r="AS56" i="41"/>
  <c r="AR56" i="41"/>
  <c r="AQ56" i="41"/>
  <c r="AI56" i="41"/>
  <c r="X56" i="41"/>
  <c r="W56" i="41"/>
  <c r="R56" i="41"/>
  <c r="Q56" i="41"/>
  <c r="V56" i="41" s="1"/>
  <c r="O56" i="41"/>
  <c r="P56" i="41" s="1"/>
  <c r="AW55" i="41"/>
  <c r="AS55" i="41"/>
  <c r="AQ55" i="41"/>
  <c r="AR55" i="41" s="1"/>
  <c r="AI55" i="41"/>
  <c r="X55" i="41"/>
  <c r="AV55" i="41" s="1"/>
  <c r="W55" i="41"/>
  <c r="V55" i="41"/>
  <c r="R55" i="41"/>
  <c r="Q55" i="41"/>
  <c r="O55" i="41"/>
  <c r="P55" i="41" s="1"/>
  <c r="AW54" i="41"/>
  <c r="AS54" i="41"/>
  <c r="AR54" i="41"/>
  <c r="AQ54" i="41"/>
  <c r="AI54" i="41"/>
  <c r="AG54" i="41"/>
  <c r="X54" i="41"/>
  <c r="AV54" i="41" s="1"/>
  <c r="W54" i="41"/>
  <c r="R54" i="41"/>
  <c r="Q54" i="41"/>
  <c r="V54" i="41" s="1"/>
  <c r="P54" i="41"/>
  <c r="O54" i="41"/>
  <c r="AS53" i="41"/>
  <c r="AQ53" i="41"/>
  <c r="AR53" i="41" s="1"/>
  <c r="AI53" i="41"/>
  <c r="X53" i="41"/>
  <c r="W53" i="41"/>
  <c r="R53" i="41"/>
  <c r="Q53" i="41"/>
  <c r="V53" i="41" s="1"/>
  <c r="P53" i="41"/>
  <c r="O53" i="41"/>
  <c r="AW52" i="41"/>
  <c r="AQ52" i="41"/>
  <c r="AR52" i="41" s="1"/>
  <c r="AI52" i="41"/>
  <c r="AG52" i="41"/>
  <c r="X52" i="41"/>
  <c r="W52" i="41"/>
  <c r="R52" i="41"/>
  <c r="Q52" i="41"/>
  <c r="V52" i="41" s="1"/>
  <c r="P52" i="41"/>
  <c r="O52" i="41"/>
  <c r="AR51" i="41"/>
  <c r="AQ51" i="41"/>
  <c r="AI51" i="41"/>
  <c r="AG51" i="41"/>
  <c r="X51" i="41"/>
  <c r="W51" i="41"/>
  <c r="V51" i="41"/>
  <c r="R51" i="41"/>
  <c r="Q51" i="41"/>
  <c r="P51" i="41"/>
  <c r="O51" i="41"/>
  <c r="AS50" i="41"/>
  <c r="AQ50" i="41"/>
  <c r="AR50" i="41" s="1"/>
  <c r="AI50" i="41"/>
  <c r="AG50" i="41"/>
  <c r="X50" i="41"/>
  <c r="W50" i="41"/>
  <c r="V50" i="41"/>
  <c r="R50" i="41"/>
  <c r="Q50" i="41"/>
  <c r="P50" i="41"/>
  <c r="O50" i="41"/>
  <c r="BB49" i="41"/>
  <c r="BC49" i="41" s="1"/>
  <c r="BA49" i="41"/>
  <c r="AW49" i="41"/>
  <c r="AR49" i="41"/>
  <c r="AQ49" i="41"/>
  <c r="AI49" i="41"/>
  <c r="AG49" i="41"/>
  <c r="X49" i="41"/>
  <c r="AV49" i="41" s="1"/>
  <c r="W49" i="41"/>
  <c r="R49" i="41"/>
  <c r="Q49" i="41"/>
  <c r="V49" i="41" s="1"/>
  <c r="P49" i="41"/>
  <c r="O49" i="41"/>
  <c r="K49" i="41"/>
  <c r="BB48" i="41"/>
  <c r="BC48" i="41" s="1"/>
  <c r="BA48" i="41"/>
  <c r="AW48" i="41"/>
  <c r="AV48" i="41"/>
  <c r="AS48" i="41"/>
  <c r="AR48" i="41"/>
  <c r="AQ48" i="41"/>
  <c r="AI48" i="41"/>
  <c r="AG48" i="41"/>
  <c r="X48" i="41"/>
  <c r="W48" i="41"/>
  <c r="V48" i="41"/>
  <c r="R48" i="41"/>
  <c r="Q48" i="41"/>
  <c r="P48" i="41"/>
  <c r="O48" i="41"/>
  <c r="BB47" i="41"/>
  <c r="BA47" i="41"/>
  <c r="AQ47" i="41"/>
  <c r="AR47" i="41" s="1"/>
  <c r="AI47" i="41"/>
  <c r="AG47" i="41"/>
  <c r="X47" i="41"/>
  <c r="W47" i="41"/>
  <c r="R47" i="41"/>
  <c r="Q47" i="41"/>
  <c r="P47" i="41"/>
  <c r="O47" i="41"/>
  <c r="BB46" i="41"/>
  <c r="BC46" i="41" s="1"/>
  <c r="BA46" i="41"/>
  <c r="AV46" i="41"/>
  <c r="AS46" i="41"/>
  <c r="AQ46" i="41"/>
  <c r="AR46" i="41" s="1"/>
  <c r="AI46" i="41"/>
  <c r="AG46" i="41"/>
  <c r="X46" i="41"/>
  <c r="AW46" i="41" s="1"/>
  <c r="W46" i="41"/>
  <c r="V46" i="41"/>
  <c r="R46" i="41"/>
  <c r="Q46" i="41"/>
  <c r="P46" i="41"/>
  <c r="O46" i="41"/>
  <c r="BC45" i="41"/>
  <c r="BB45" i="41"/>
  <c r="BA45" i="41"/>
  <c r="AW45" i="41"/>
  <c r="AS45" i="41"/>
  <c r="AQ45" i="41"/>
  <c r="AR45" i="41" s="1"/>
  <c r="AI45" i="41"/>
  <c r="AG45" i="41"/>
  <c r="X45" i="41"/>
  <c r="W45" i="41"/>
  <c r="R45" i="41"/>
  <c r="Q45" i="41"/>
  <c r="V45" i="41" s="1"/>
  <c r="P45" i="41"/>
  <c r="O45" i="41"/>
  <c r="AW44" i="41"/>
  <c r="AV44" i="41"/>
  <c r="AR44" i="41"/>
  <c r="AQ44" i="41"/>
  <c r="AI44" i="41"/>
  <c r="X44" i="41"/>
  <c r="W44" i="41"/>
  <c r="V44" i="41"/>
  <c r="R44" i="41"/>
  <c r="Q44" i="41"/>
  <c r="O44" i="41"/>
  <c r="P44" i="41" s="1"/>
  <c r="AS43" i="41"/>
  <c r="AR43" i="41"/>
  <c r="AQ43" i="41"/>
  <c r="AI43" i="41"/>
  <c r="X43" i="41"/>
  <c r="W43" i="41"/>
  <c r="R43" i="41"/>
  <c r="Q43" i="41"/>
  <c r="V43" i="41" s="1"/>
  <c r="O43" i="41"/>
  <c r="P43" i="41" s="1"/>
  <c r="AW42" i="41"/>
  <c r="AV42" i="41"/>
  <c r="AS42" i="41"/>
  <c r="AQ42" i="41"/>
  <c r="AR42" i="41" s="1"/>
  <c r="AI42" i="41"/>
  <c r="AG42" i="41"/>
  <c r="X42" i="41"/>
  <c r="W42" i="41"/>
  <c r="R42" i="41"/>
  <c r="Q42" i="41"/>
  <c r="V42" i="41" s="1"/>
  <c r="P42" i="41"/>
  <c r="O42" i="41"/>
  <c r="K42" i="41"/>
  <c r="BA41" i="41"/>
  <c r="AR41" i="41"/>
  <c r="AQ41" i="41"/>
  <c r="AI41" i="41"/>
  <c r="AG41" i="41"/>
  <c r="X41" i="41"/>
  <c r="W41" i="41"/>
  <c r="V41" i="41"/>
  <c r="R41" i="41"/>
  <c r="Q41" i="41"/>
  <c r="P41" i="41"/>
  <c r="O41" i="41"/>
  <c r="K41" i="41"/>
  <c r="AW40" i="41"/>
  <c r="AV40" i="41"/>
  <c r="AS40" i="41"/>
  <c r="AQ40" i="41"/>
  <c r="AR40" i="41" s="1"/>
  <c r="AI40" i="41"/>
  <c r="X40" i="41"/>
  <c r="W40" i="41"/>
  <c r="V40" i="41"/>
  <c r="R40" i="41"/>
  <c r="Q40" i="41"/>
  <c r="P40" i="41"/>
  <c r="O40" i="41"/>
  <c r="BA39" i="41"/>
  <c r="AQ39" i="41"/>
  <c r="AR39" i="41" s="1"/>
  <c r="AI39" i="41"/>
  <c r="X39" i="41"/>
  <c r="W39" i="41"/>
  <c r="V39" i="41"/>
  <c r="R39" i="41"/>
  <c r="Q39" i="41"/>
  <c r="P39" i="41"/>
  <c r="O39" i="41"/>
  <c r="BA38" i="41"/>
  <c r="AS38" i="41"/>
  <c r="AR38" i="41"/>
  <c r="AQ38" i="41"/>
  <c r="AI38" i="41"/>
  <c r="X38" i="41"/>
  <c r="W38" i="41"/>
  <c r="V38" i="41"/>
  <c r="R38" i="41"/>
  <c r="Q38" i="41"/>
  <c r="P38" i="41"/>
  <c r="O38" i="41"/>
  <c r="L38" i="41"/>
  <c r="BB37" i="41"/>
  <c r="BA37" i="41"/>
  <c r="AR37" i="41"/>
  <c r="AQ37" i="41"/>
  <c r="AI37" i="41"/>
  <c r="X37" i="41"/>
  <c r="W37" i="41"/>
  <c r="V37" i="41"/>
  <c r="R37" i="41"/>
  <c r="Q37" i="41"/>
  <c r="P37" i="41"/>
  <c r="O37" i="41"/>
  <c r="L37" i="41"/>
  <c r="BA36" i="41"/>
  <c r="AW36" i="41"/>
  <c r="AV36" i="41"/>
  <c r="AS36" i="41"/>
  <c r="AQ36" i="41"/>
  <c r="AR36" i="41" s="1"/>
  <c r="AI36" i="41"/>
  <c r="X36" i="41"/>
  <c r="W36" i="41"/>
  <c r="V36" i="41"/>
  <c r="R36" i="41"/>
  <c r="Q36" i="41"/>
  <c r="O36" i="41"/>
  <c r="P36" i="41" s="1"/>
  <c r="AW35" i="41"/>
  <c r="AV35" i="41"/>
  <c r="AS35" i="41"/>
  <c r="AQ35" i="41"/>
  <c r="AR35" i="41" s="1"/>
  <c r="AI35" i="41"/>
  <c r="AG35" i="41"/>
  <c r="X35" i="41"/>
  <c r="W35" i="41"/>
  <c r="V35" i="41"/>
  <c r="R35" i="41"/>
  <c r="Q35" i="41"/>
  <c r="P35" i="41"/>
  <c r="O35" i="41"/>
  <c r="M35" i="41"/>
  <c r="AS34" i="41"/>
  <c r="AQ34" i="41"/>
  <c r="AR34" i="41" s="1"/>
  <c r="AI34" i="41"/>
  <c r="X34" i="41"/>
  <c r="V34" i="41"/>
  <c r="R34" i="41"/>
  <c r="Q34" i="41"/>
  <c r="O34" i="41"/>
  <c r="P34" i="41" s="1"/>
  <c r="L34" i="41"/>
  <c r="W34" i="41" s="1"/>
  <c r="AW33" i="41"/>
  <c r="AQ33" i="41"/>
  <c r="AR33" i="41" s="1"/>
  <c r="AI33" i="41"/>
  <c r="X33" i="41"/>
  <c r="W33" i="41"/>
  <c r="V33" i="41"/>
  <c r="R33" i="41"/>
  <c r="Q33" i="41"/>
  <c r="P33" i="41"/>
  <c r="O33" i="41"/>
  <c r="L33" i="41"/>
  <c r="AW32" i="41"/>
  <c r="AR32" i="41"/>
  <c r="AQ32" i="41"/>
  <c r="AJ32" i="41"/>
  <c r="AK32" i="41" s="1"/>
  <c r="AL32" i="41" s="1"/>
  <c r="AI32" i="41"/>
  <c r="AG32" i="41"/>
  <c r="X32" i="41"/>
  <c r="W32" i="41"/>
  <c r="R32" i="41"/>
  <c r="Q32" i="41"/>
  <c r="V32" i="41" s="1"/>
  <c r="P32" i="41"/>
  <c r="O32" i="41"/>
  <c r="L32" i="41"/>
  <c r="BC31" i="41"/>
  <c r="AW31" i="41"/>
  <c r="AV31" i="41"/>
  <c r="AS31" i="41"/>
  <c r="AT31" i="41" s="1"/>
  <c r="AR31" i="41"/>
  <c r="AQ31" i="41"/>
  <c r="AJ31" i="41"/>
  <c r="AK31" i="41" s="1"/>
  <c r="AL31" i="41" s="1"/>
  <c r="AI31" i="41"/>
  <c r="AG31" i="41"/>
  <c r="X31" i="41"/>
  <c r="AD31" i="41" s="1"/>
  <c r="W31" i="41"/>
  <c r="R31" i="41"/>
  <c r="Q31" i="41"/>
  <c r="V31" i="41" s="1"/>
  <c r="P31" i="41"/>
  <c r="O31" i="41"/>
  <c r="BC30" i="41"/>
  <c r="AW30" i="41"/>
  <c r="AV30" i="41"/>
  <c r="AU30" i="41"/>
  <c r="AT30" i="41"/>
  <c r="AS30" i="41"/>
  <c r="AR30" i="41"/>
  <c r="AQ30" i="41"/>
  <c r="AI30" i="41"/>
  <c r="AJ30" i="41" s="1"/>
  <c r="AK30" i="41" s="1"/>
  <c r="AL30" i="41" s="1"/>
  <c r="AG30" i="41"/>
  <c r="X30" i="41"/>
  <c r="AD30" i="41" s="1"/>
  <c r="R30" i="41"/>
  <c r="Q30" i="41"/>
  <c r="V30" i="41" s="1"/>
  <c r="P30" i="41"/>
  <c r="O30" i="41"/>
  <c r="M30" i="41"/>
  <c r="W30" i="41" s="1"/>
  <c r="AW29" i="41"/>
  <c r="AV29" i="41"/>
  <c r="AS29" i="41"/>
  <c r="AT29" i="41" s="1"/>
  <c r="AQ29" i="41"/>
  <c r="AR29" i="41" s="1"/>
  <c r="AI29" i="41"/>
  <c r="AJ29" i="41" s="1"/>
  <c r="AK29" i="41" s="1"/>
  <c r="AL29" i="41" s="1"/>
  <c r="AG29" i="41"/>
  <c r="AD29" i="41"/>
  <c r="X29" i="41"/>
  <c r="W29" i="41"/>
  <c r="V29" i="41"/>
  <c r="R29" i="41"/>
  <c r="Q29" i="41"/>
  <c r="P29" i="41"/>
  <c r="O29" i="41"/>
  <c r="M29" i="41"/>
  <c r="AR28" i="41"/>
  <c r="AQ28" i="41"/>
  <c r="AI28" i="41"/>
  <c r="X28" i="41"/>
  <c r="W28" i="41"/>
  <c r="R28" i="41"/>
  <c r="Q28" i="41"/>
  <c r="V28" i="41" s="1"/>
  <c r="O28" i="41"/>
  <c r="P28" i="41" s="1"/>
  <c r="AR27" i="41"/>
  <c r="AQ27" i="41"/>
  <c r="AI27" i="41"/>
  <c r="X27" i="41"/>
  <c r="W27" i="41"/>
  <c r="V27" i="41"/>
  <c r="R27" i="41"/>
  <c r="Q27" i="41"/>
  <c r="P27" i="41"/>
  <c r="O27" i="41"/>
  <c r="BC26" i="41"/>
  <c r="V90" i="41" s="1"/>
  <c r="AR26" i="41"/>
  <c r="AQ26" i="41"/>
  <c r="AI26" i="41"/>
  <c r="X26" i="41"/>
  <c r="W26" i="41"/>
  <c r="V26" i="41"/>
  <c r="R26" i="41"/>
  <c r="Q26" i="41"/>
  <c r="O26" i="41"/>
  <c r="P26" i="41" s="1"/>
  <c r="AW25" i="41"/>
  <c r="AV25" i="41"/>
  <c r="AQ25" i="41"/>
  <c r="AR25" i="41" s="1"/>
  <c r="AI25" i="41"/>
  <c r="X25" i="41"/>
  <c r="W25" i="41"/>
  <c r="V25" i="41"/>
  <c r="R25" i="41"/>
  <c r="Q25" i="41"/>
  <c r="O25" i="41"/>
  <c r="P25" i="41" s="1"/>
  <c r="AQ24" i="41"/>
  <c r="AR24" i="41" s="1"/>
  <c r="AI24" i="41"/>
  <c r="X24" i="41"/>
  <c r="W24" i="41"/>
  <c r="V24" i="41"/>
  <c r="R24" i="41"/>
  <c r="Q24" i="41"/>
  <c r="P24" i="41"/>
  <c r="O24" i="41"/>
  <c r="AW23" i="41"/>
  <c r="AV23" i="41"/>
  <c r="AQ23" i="41"/>
  <c r="AR23" i="41" s="1"/>
  <c r="AI23" i="41"/>
  <c r="X23" i="41"/>
  <c r="W23" i="41"/>
  <c r="V23" i="41"/>
  <c r="R23" i="41"/>
  <c r="Q23" i="41"/>
  <c r="O23" i="41"/>
  <c r="P23" i="41" s="1"/>
  <c r="V22" i="41"/>
  <c r="R22" i="41"/>
  <c r="Q22" i="41"/>
  <c r="P22" i="41"/>
  <c r="O22" i="41"/>
  <c r="AW21" i="41"/>
  <c r="AV21" i="41"/>
  <c r="AR21" i="41"/>
  <c r="AQ21" i="41"/>
  <c r="AJ21" i="41"/>
  <c r="AK21" i="41" s="1"/>
  <c r="AL21" i="41" s="1"/>
  <c r="AI21" i="41"/>
  <c r="AG21" i="41"/>
  <c r="X21" i="41"/>
  <c r="W21" i="41"/>
  <c r="V21" i="41"/>
  <c r="R21" i="41"/>
  <c r="Q21" i="41"/>
  <c r="P21" i="41"/>
  <c r="O21" i="41"/>
  <c r="AR20" i="41"/>
  <c r="AQ20" i="41"/>
  <c r="AI20" i="41"/>
  <c r="X20" i="41"/>
  <c r="W20" i="41"/>
  <c r="V20" i="41"/>
  <c r="R20" i="41"/>
  <c r="Q20" i="41"/>
  <c r="P20" i="41"/>
  <c r="O20" i="41"/>
  <c r="AV19" i="41"/>
  <c r="AS19" i="41"/>
  <c r="AQ19" i="41"/>
  <c r="AR19" i="41" s="1"/>
  <c r="AI19" i="41"/>
  <c r="X19" i="41"/>
  <c r="W19" i="41"/>
  <c r="R19" i="41"/>
  <c r="Q19" i="41"/>
  <c r="V19" i="41" s="1"/>
  <c r="O19" i="41"/>
  <c r="P19" i="41" s="1"/>
  <c r="AW18" i="41"/>
  <c r="AV18" i="41"/>
  <c r="AS18" i="41"/>
  <c r="AQ18" i="41"/>
  <c r="AR18" i="41" s="1"/>
  <c r="AI18" i="41"/>
  <c r="X18" i="41"/>
  <c r="W18" i="41"/>
  <c r="R18" i="41"/>
  <c r="Q18" i="41"/>
  <c r="V18" i="41" s="1"/>
  <c r="O18" i="41"/>
  <c r="P18" i="41" s="1"/>
  <c r="AW17" i="41"/>
  <c r="AV17" i="41"/>
  <c r="AS17" i="41"/>
  <c r="AQ17" i="41"/>
  <c r="AR17" i="41" s="1"/>
  <c r="AI17" i="41"/>
  <c r="X17" i="41"/>
  <c r="W17" i="41"/>
  <c r="V17" i="41"/>
  <c r="R17" i="41"/>
  <c r="Q17" i="41"/>
  <c r="O17" i="41"/>
  <c r="P17" i="41" s="1"/>
  <c r="AV16" i="41"/>
  <c r="AR16" i="41"/>
  <c r="AQ16" i="41"/>
  <c r="AI16" i="41"/>
  <c r="X16" i="41"/>
  <c r="W16" i="41"/>
  <c r="V16" i="41"/>
  <c r="R16" i="41"/>
  <c r="Q16" i="41"/>
  <c r="P16" i="41"/>
  <c r="O16" i="41"/>
  <c r="AV15" i="41"/>
  <c r="AS15" i="41"/>
  <c r="AR15" i="41"/>
  <c r="AQ15" i="41"/>
  <c r="AI15" i="41"/>
  <c r="X15" i="41"/>
  <c r="W15" i="41"/>
  <c r="V15" i="41"/>
  <c r="R15" i="41"/>
  <c r="Q15" i="41"/>
  <c r="P15" i="41"/>
  <c r="O15" i="41"/>
  <c r="BC14" i="41"/>
  <c r="AW14" i="41"/>
  <c r="AV14" i="41"/>
  <c r="AU14" i="41"/>
  <c r="AT14" i="41"/>
  <c r="AS14" i="41"/>
  <c r="AQ14" i="41"/>
  <c r="AR14" i="41" s="1"/>
  <c r="AI14" i="41"/>
  <c r="AJ14" i="41" s="1"/>
  <c r="AK14" i="41" s="1"/>
  <c r="AL14" i="41" s="1"/>
  <c r="AG14" i="41"/>
  <c r="AD14" i="41"/>
  <c r="X14" i="41"/>
  <c r="R14" i="41"/>
  <c r="Q14" i="41"/>
  <c r="V14" i="41" s="1"/>
  <c r="P14" i="41"/>
  <c r="O14" i="41"/>
  <c r="M14" i="41"/>
  <c r="L14" i="41"/>
  <c r="K14" i="41"/>
  <c r="AV13" i="41"/>
  <c r="AU13" i="41"/>
  <c r="AR13" i="41"/>
  <c r="AQ13" i="41"/>
  <c r="AI13" i="41"/>
  <c r="AJ13" i="41" s="1"/>
  <c r="AK13" i="41" s="1"/>
  <c r="AL13" i="41" s="1"/>
  <c r="AG13" i="41"/>
  <c r="AD13" i="41"/>
  <c r="X13" i="41"/>
  <c r="R13" i="41"/>
  <c r="Q13" i="41"/>
  <c r="V13" i="41" s="1"/>
  <c r="P13" i="41"/>
  <c r="O13" i="41"/>
  <c r="M13" i="41"/>
  <c r="W13" i="41" s="1"/>
  <c r="L13" i="41"/>
  <c r="K13" i="41"/>
  <c r="AW12" i="41"/>
  <c r="AV12" i="41"/>
  <c r="AQ12" i="41"/>
  <c r="AR12" i="41" s="1"/>
  <c r="AI12" i="41"/>
  <c r="AJ12" i="41" s="1"/>
  <c r="AK12" i="41" s="1"/>
  <c r="AL12" i="41" s="1"/>
  <c r="AG12" i="41"/>
  <c r="X12" i="41"/>
  <c r="R12" i="41"/>
  <c r="Q12" i="41"/>
  <c r="V12" i="41" s="1"/>
  <c r="P12" i="41"/>
  <c r="O12" i="41"/>
  <c r="M12" i="41"/>
  <c r="W12" i="41" s="1"/>
  <c r="L12" i="41"/>
  <c r="K12" i="41"/>
  <c r="AT11" i="41"/>
  <c r="AS11" i="41"/>
  <c r="AR11" i="41"/>
  <c r="AQ11" i="41"/>
  <c r="AI11" i="41"/>
  <c r="AJ11" i="41" s="1"/>
  <c r="AK11" i="41" s="1"/>
  <c r="AL11" i="41" s="1"/>
  <c r="AG11" i="41"/>
  <c r="X11" i="41"/>
  <c r="V11" i="41"/>
  <c r="R11" i="41"/>
  <c r="Q11" i="41"/>
  <c r="P11" i="41"/>
  <c r="O11" i="41"/>
  <c r="M11" i="41"/>
  <c r="W11" i="41" s="1"/>
  <c r="L11" i="41"/>
  <c r="K11" i="41"/>
  <c r="AV10" i="41"/>
  <c r="AQ10" i="41"/>
  <c r="AR10" i="41" s="1"/>
  <c r="AI10" i="41"/>
  <c r="AJ10" i="41" s="1"/>
  <c r="AK10" i="41" s="1"/>
  <c r="AL10" i="41" s="1"/>
  <c r="AG10" i="41"/>
  <c r="X10" i="41"/>
  <c r="W10" i="41"/>
  <c r="R10" i="41"/>
  <c r="Q10" i="41"/>
  <c r="V10" i="41" s="1"/>
  <c r="P10" i="41"/>
  <c r="O10" i="41"/>
  <c r="AW9" i="41"/>
  <c r="AV9" i="41"/>
  <c r="AQ9" i="41"/>
  <c r="AR9" i="41" s="1"/>
  <c r="AI9" i="41"/>
  <c r="AJ9" i="41" s="1"/>
  <c r="AK9" i="41" s="1"/>
  <c r="AL9" i="41" s="1"/>
  <c r="AG9" i="41"/>
  <c r="AD9" i="41"/>
  <c r="X9" i="41"/>
  <c r="W9" i="41"/>
  <c r="R9" i="41"/>
  <c r="Q9" i="41"/>
  <c r="V9" i="41" s="1"/>
  <c r="P9" i="41"/>
  <c r="O9" i="41"/>
  <c r="AS8" i="41"/>
  <c r="AQ8" i="41"/>
  <c r="AR8" i="41" s="1"/>
  <c r="AI8" i="41"/>
  <c r="X8" i="41"/>
  <c r="W8" i="41"/>
  <c r="V8" i="41"/>
  <c r="R8" i="41"/>
  <c r="Q8" i="41"/>
  <c r="P8" i="41"/>
  <c r="O8" i="41"/>
  <c r="AV7" i="41"/>
  <c r="AR7" i="41"/>
  <c r="AQ7" i="41"/>
  <c r="AI7" i="41"/>
  <c r="AJ7" i="41" s="1"/>
  <c r="AK7" i="41" s="1"/>
  <c r="AL7" i="41" s="1"/>
  <c r="AG7" i="41"/>
  <c r="X7" i="41"/>
  <c r="W7" i="41"/>
  <c r="V7" i="41"/>
  <c r="R7" i="41"/>
  <c r="Q7" i="41"/>
  <c r="P7" i="41"/>
  <c r="O7" i="41"/>
  <c r="AW6" i="41"/>
  <c r="AT6" i="41"/>
  <c r="AS6" i="41"/>
  <c r="AQ6" i="41"/>
  <c r="AR6" i="41" s="1"/>
  <c r="AI6" i="41"/>
  <c r="AJ6" i="41" s="1"/>
  <c r="AK6" i="41" s="1"/>
  <c r="AL6" i="41" s="1"/>
  <c r="AG6" i="41"/>
  <c r="X6" i="41"/>
  <c r="W6" i="41"/>
  <c r="V6" i="41"/>
  <c r="R6" i="41"/>
  <c r="Q6" i="41"/>
  <c r="P6" i="41"/>
  <c r="O6" i="41"/>
  <c r="F2" i="40"/>
  <c r="E2" i="40"/>
  <c r="C2" i="40" s="1"/>
  <c r="B2" i="40"/>
  <c r="M29" i="39"/>
  <c r="L29" i="39"/>
  <c r="K29" i="39"/>
  <c r="J29" i="39"/>
  <c r="I29" i="39"/>
  <c r="H29" i="39"/>
  <c r="E29" i="39"/>
  <c r="D29" i="39"/>
  <c r="A29" i="39"/>
  <c r="M28" i="39"/>
  <c r="L28" i="39"/>
  <c r="K28" i="39"/>
  <c r="J28" i="39"/>
  <c r="I28" i="39"/>
  <c r="H28" i="39"/>
  <c r="E28" i="39"/>
  <c r="D28" i="39"/>
  <c r="C28" i="39"/>
  <c r="A28" i="39"/>
  <c r="B28" i="39" s="1"/>
  <c r="M27" i="39"/>
  <c r="L27" i="39"/>
  <c r="K27" i="39"/>
  <c r="J27" i="39"/>
  <c r="I27" i="39"/>
  <c r="H27" i="39"/>
  <c r="E27" i="39"/>
  <c r="D27" i="39"/>
  <c r="C27" i="39"/>
  <c r="B27" i="39"/>
  <c r="A27" i="39"/>
  <c r="M26" i="39"/>
  <c r="L26" i="39"/>
  <c r="K26" i="39"/>
  <c r="J26" i="39"/>
  <c r="I26" i="39"/>
  <c r="H26" i="39"/>
  <c r="E26" i="39"/>
  <c r="D26" i="39"/>
  <c r="A26" i="39"/>
  <c r="M25" i="39"/>
  <c r="L25" i="39"/>
  <c r="K25" i="39"/>
  <c r="J25" i="39"/>
  <c r="I25" i="39"/>
  <c r="H25" i="39"/>
  <c r="E25" i="39"/>
  <c r="D25" i="39"/>
  <c r="B25" i="39"/>
  <c r="A25" i="39"/>
  <c r="C25" i="39" s="1"/>
  <c r="M24" i="39"/>
  <c r="L24" i="39"/>
  <c r="K24" i="39"/>
  <c r="J24" i="39"/>
  <c r="I24" i="39"/>
  <c r="H24" i="39"/>
  <c r="E24" i="39"/>
  <c r="D24" i="39"/>
  <c r="C24" i="39"/>
  <c r="A24" i="39"/>
  <c r="B24" i="39" s="1"/>
  <c r="M23" i="39"/>
  <c r="L23" i="39"/>
  <c r="K23" i="39"/>
  <c r="J23" i="39"/>
  <c r="I23" i="39"/>
  <c r="H23" i="39"/>
  <c r="E23" i="39"/>
  <c r="D23" i="39"/>
  <c r="C23" i="39"/>
  <c r="B23" i="39"/>
  <c r="A23" i="39"/>
  <c r="M22" i="39"/>
  <c r="L22" i="39"/>
  <c r="K22" i="39"/>
  <c r="J22" i="39"/>
  <c r="I22" i="39"/>
  <c r="H22" i="39"/>
  <c r="E22" i="39"/>
  <c r="D22" i="39"/>
  <c r="C22" i="39"/>
  <c r="B22" i="39"/>
  <c r="A22" i="39"/>
  <c r="M21" i="39"/>
  <c r="L21" i="39"/>
  <c r="K21" i="39"/>
  <c r="J21" i="39"/>
  <c r="I21" i="39"/>
  <c r="H21" i="39"/>
  <c r="E21" i="39"/>
  <c r="D21" i="39"/>
  <c r="B21" i="39"/>
  <c r="A21" i="39"/>
  <c r="C21" i="39" s="1"/>
  <c r="M20" i="39"/>
  <c r="L20" i="39"/>
  <c r="K20" i="39"/>
  <c r="J20" i="39"/>
  <c r="I20" i="39"/>
  <c r="H20" i="39"/>
  <c r="E20" i="39"/>
  <c r="D20" i="39"/>
  <c r="C20" i="39"/>
  <c r="B20" i="39"/>
  <c r="A20" i="39"/>
  <c r="M19" i="39"/>
  <c r="L19" i="39"/>
  <c r="K19" i="39"/>
  <c r="J19" i="39"/>
  <c r="I19" i="39"/>
  <c r="H19" i="39"/>
  <c r="E19" i="39"/>
  <c r="D19" i="39"/>
  <c r="C19" i="39"/>
  <c r="B19" i="39"/>
  <c r="A19" i="39"/>
  <c r="M18" i="39"/>
  <c r="L18" i="39"/>
  <c r="K18" i="39"/>
  <c r="J18" i="39"/>
  <c r="I18" i="39"/>
  <c r="H18" i="39"/>
  <c r="E18" i="39"/>
  <c r="D18" i="39"/>
  <c r="C18" i="39"/>
  <c r="A18" i="39"/>
  <c r="B18" i="39" s="1"/>
  <c r="M17" i="39"/>
  <c r="L17" i="39"/>
  <c r="K17" i="39"/>
  <c r="J17" i="39"/>
  <c r="I17" i="39"/>
  <c r="H17" i="39"/>
  <c r="E17" i="39"/>
  <c r="D17" i="39"/>
  <c r="C17" i="39"/>
  <c r="A17" i="39"/>
  <c r="B17" i="39" s="1"/>
  <c r="M16" i="39"/>
  <c r="L16" i="39"/>
  <c r="K16" i="39"/>
  <c r="J16" i="39"/>
  <c r="I16" i="39"/>
  <c r="H16" i="39"/>
  <c r="E16" i="39"/>
  <c r="D16" i="39"/>
  <c r="C16" i="39"/>
  <c r="B16" i="39"/>
  <c r="A16" i="39"/>
  <c r="M15" i="39"/>
  <c r="L15" i="39"/>
  <c r="K15" i="39"/>
  <c r="J15" i="39"/>
  <c r="I15" i="39"/>
  <c r="H15" i="39"/>
  <c r="E15" i="39"/>
  <c r="D15" i="39"/>
  <c r="A15" i="39"/>
  <c r="M14" i="39"/>
  <c r="L14" i="39"/>
  <c r="K14" i="39"/>
  <c r="J14" i="39"/>
  <c r="I14" i="39"/>
  <c r="H14" i="39"/>
  <c r="E14" i="39"/>
  <c r="D14" i="39"/>
  <c r="B14" i="39"/>
  <c r="A14" i="39"/>
  <c r="C14" i="39" s="1"/>
  <c r="M13" i="39"/>
  <c r="L13" i="39"/>
  <c r="K13" i="39"/>
  <c r="J13" i="39"/>
  <c r="I13" i="39"/>
  <c r="H13" i="39"/>
  <c r="E13" i="39"/>
  <c r="D13" i="39"/>
  <c r="A13" i="39"/>
  <c r="B13" i="39" s="1"/>
  <c r="M12" i="39"/>
  <c r="L12" i="39"/>
  <c r="K12" i="39"/>
  <c r="J12" i="39"/>
  <c r="I12" i="39"/>
  <c r="H12" i="39"/>
  <c r="E12" i="39"/>
  <c r="D12" i="39"/>
  <c r="A12" i="39"/>
  <c r="M11" i="39"/>
  <c r="L11" i="39"/>
  <c r="K11" i="39"/>
  <c r="J11" i="39"/>
  <c r="I11" i="39"/>
  <c r="H11" i="39"/>
  <c r="E11" i="39"/>
  <c r="D11" i="39"/>
  <c r="C11" i="39"/>
  <c r="A11" i="39"/>
  <c r="B11" i="39" s="1"/>
  <c r="M10" i="39"/>
  <c r="L10" i="39"/>
  <c r="K10" i="39"/>
  <c r="J10" i="39"/>
  <c r="I10" i="39"/>
  <c r="H10" i="39"/>
  <c r="E10" i="39"/>
  <c r="D10" i="39"/>
  <c r="A10" i="39"/>
  <c r="C10" i="39" s="1"/>
  <c r="M9" i="39"/>
  <c r="L9" i="39"/>
  <c r="K9" i="39"/>
  <c r="J9" i="39"/>
  <c r="I9" i="39"/>
  <c r="H9" i="39"/>
  <c r="E9" i="39"/>
  <c r="D9" i="39"/>
  <c r="B9" i="39"/>
  <c r="A9" i="39"/>
  <c r="C9" i="39" s="1"/>
  <c r="M8" i="39"/>
  <c r="L8" i="39"/>
  <c r="K8" i="39"/>
  <c r="J8" i="39"/>
  <c r="I8" i="39"/>
  <c r="H8" i="39"/>
  <c r="E8" i="39"/>
  <c r="D8" i="39"/>
  <c r="C8" i="39"/>
  <c r="B8" i="39"/>
  <c r="A8" i="39"/>
  <c r="M7" i="39"/>
  <c r="L7" i="39"/>
  <c r="K7" i="39"/>
  <c r="J7" i="39"/>
  <c r="I7" i="39"/>
  <c r="H7" i="39"/>
  <c r="E7" i="39"/>
  <c r="D7" i="39"/>
  <c r="A7" i="39"/>
  <c r="M6" i="39"/>
  <c r="L6" i="39"/>
  <c r="K6" i="39"/>
  <c r="J6" i="39"/>
  <c r="I6" i="39"/>
  <c r="H6" i="39"/>
  <c r="E6" i="39"/>
  <c r="D6" i="39"/>
  <c r="A6" i="39"/>
  <c r="C6" i="39" s="1"/>
  <c r="M5" i="39"/>
  <c r="L5" i="39"/>
  <c r="K5" i="39"/>
  <c r="J5" i="39"/>
  <c r="I5" i="39"/>
  <c r="H5" i="39"/>
  <c r="E5" i="39"/>
  <c r="D5" i="39"/>
  <c r="C5" i="39"/>
  <c r="B5" i="39"/>
  <c r="A5" i="39"/>
  <c r="M4" i="39"/>
  <c r="L4" i="39"/>
  <c r="K4" i="39"/>
  <c r="J4" i="39"/>
  <c r="I4" i="39"/>
  <c r="H4" i="39"/>
  <c r="E4" i="39"/>
  <c r="D4" i="39"/>
  <c r="A4" i="39"/>
  <c r="B4" i="39" s="1"/>
  <c r="M3" i="39"/>
  <c r="L3" i="39"/>
  <c r="K3" i="39"/>
  <c r="J3" i="39"/>
  <c r="I3" i="39"/>
  <c r="H3" i="39"/>
  <c r="E3" i="39"/>
  <c r="D3" i="39"/>
  <c r="C3" i="39"/>
  <c r="B3" i="39"/>
  <c r="A3" i="39"/>
  <c r="M2" i="39"/>
  <c r="L2" i="39"/>
  <c r="K2" i="39"/>
  <c r="J2" i="39"/>
  <c r="I2" i="39"/>
  <c r="H2" i="39"/>
  <c r="E2" i="39"/>
  <c r="D2" i="39"/>
  <c r="C2" i="39"/>
  <c r="A2" i="39"/>
  <c r="B2" i="39" s="1"/>
  <c r="T58" i="37"/>
  <c r="S58" i="37"/>
  <c r="O57" i="37"/>
  <c r="O58" i="37" s="1"/>
  <c r="S56" i="37"/>
  <c r="O56" i="37"/>
  <c r="O55" i="37"/>
  <c r="O54" i="37"/>
  <c r="Q53" i="37"/>
  <c r="P53" i="37"/>
  <c r="V52" i="37"/>
  <c r="T52" i="37"/>
  <c r="O48" i="37"/>
  <c r="P47" i="37"/>
  <c r="P48" i="37" s="1"/>
  <c r="V48" i="37" s="1"/>
  <c r="O47" i="37"/>
  <c r="V46" i="37"/>
  <c r="Q46" i="37"/>
  <c r="P46" i="37"/>
  <c r="Q45" i="37"/>
  <c r="P45" i="37"/>
  <c r="V45" i="37" s="1"/>
  <c r="V44" i="37"/>
  <c r="T44" i="37"/>
  <c r="T54" i="37" s="1"/>
  <c r="O44" i="37"/>
  <c r="O45" i="37" s="1"/>
  <c r="O46" i="37" s="1"/>
  <c r="V43" i="37"/>
  <c r="T43" i="37"/>
  <c r="T53" i="37" s="1"/>
  <c r="S43" i="37"/>
  <c r="Q43" i="37"/>
  <c r="Q44" i="37" s="1"/>
  <c r="P43" i="37"/>
  <c r="P44" i="37" s="1"/>
  <c r="V42" i="37"/>
  <c r="T38" i="37"/>
  <c r="T48" i="37" s="1"/>
  <c r="S38" i="37"/>
  <c r="S48" i="37" s="1"/>
  <c r="T37" i="37"/>
  <c r="T47" i="37" s="1"/>
  <c r="T57" i="37" s="1"/>
  <c r="S36" i="37"/>
  <c r="S46" i="37" s="1"/>
  <c r="H36" i="37"/>
  <c r="I36" i="37" s="1"/>
  <c r="J36" i="37" s="1"/>
  <c r="V35" i="37"/>
  <c r="P35" i="37"/>
  <c r="P36" i="37" s="1"/>
  <c r="H35" i="37"/>
  <c r="I35" i="37" s="1"/>
  <c r="J35" i="37" s="1"/>
  <c r="T34" i="37"/>
  <c r="P34" i="37"/>
  <c r="V34" i="37" s="1"/>
  <c r="O34" i="37"/>
  <c r="O35" i="37" s="1"/>
  <c r="O36" i="37" s="1"/>
  <c r="O37" i="37" s="1"/>
  <c r="O38" i="37" s="1"/>
  <c r="I34" i="37"/>
  <c r="J34" i="37" s="1"/>
  <c r="H34" i="37"/>
  <c r="V33" i="37"/>
  <c r="T33" i="37"/>
  <c r="S33" i="37"/>
  <c r="Q33" i="37"/>
  <c r="P33" i="37"/>
  <c r="O33" i="37"/>
  <c r="H33" i="37"/>
  <c r="I33" i="37" s="1"/>
  <c r="J33" i="37" s="1"/>
  <c r="V32" i="37"/>
  <c r="H32" i="37"/>
  <c r="I32" i="37" s="1"/>
  <c r="J32" i="37" s="1"/>
  <c r="H31" i="37"/>
  <c r="I31" i="37" s="1"/>
  <c r="J31" i="37" s="1"/>
  <c r="J30" i="37"/>
  <c r="H30" i="37"/>
  <c r="I30" i="37" s="1"/>
  <c r="H29" i="37"/>
  <c r="I29" i="37" s="1"/>
  <c r="J29" i="37" s="1"/>
  <c r="S28" i="37"/>
  <c r="O28" i="37"/>
  <c r="I28" i="37"/>
  <c r="J28" i="37" s="1"/>
  <c r="H28" i="37"/>
  <c r="T27" i="37"/>
  <c r="J27" i="37"/>
  <c r="H27" i="37"/>
  <c r="I27" i="37" s="1"/>
  <c r="T26" i="37"/>
  <c r="T36" i="37" s="1"/>
  <c r="T46" i="37" s="1"/>
  <c r="T56" i="37" s="1"/>
  <c r="S26" i="37"/>
  <c r="H26" i="37"/>
  <c r="I26" i="37" s="1"/>
  <c r="J26" i="37" s="1"/>
  <c r="H25" i="37"/>
  <c r="I25" i="37" s="1"/>
  <c r="J25" i="37" s="1"/>
  <c r="H24" i="37"/>
  <c r="I24" i="37" s="1"/>
  <c r="J24" i="37" s="1"/>
  <c r="V23" i="37"/>
  <c r="T23" i="37"/>
  <c r="S23" i="37"/>
  <c r="Q23" i="37"/>
  <c r="Q24" i="37" s="1"/>
  <c r="P23" i="37"/>
  <c r="P24" i="37" s="1"/>
  <c r="O23" i="37"/>
  <c r="O24" i="37" s="1"/>
  <c r="O25" i="37" s="1"/>
  <c r="O26" i="37" s="1"/>
  <c r="O27" i="37" s="1"/>
  <c r="J23" i="37"/>
  <c r="I23" i="37"/>
  <c r="H23" i="37"/>
  <c r="V22" i="37"/>
  <c r="I22" i="37"/>
  <c r="J22" i="37" s="1"/>
  <c r="H22" i="37"/>
  <c r="J21" i="37"/>
  <c r="H21" i="37"/>
  <c r="I21" i="37" s="1"/>
  <c r="J20" i="37"/>
  <c r="I20" i="37"/>
  <c r="H20" i="37"/>
  <c r="H19" i="37"/>
  <c r="I19" i="37" s="1"/>
  <c r="J19" i="37" s="1"/>
  <c r="T18" i="37"/>
  <c r="T28" i="37" s="1"/>
  <c r="S18" i="37"/>
  <c r="O18" i="37"/>
  <c r="I18" i="37"/>
  <c r="J18" i="37" s="1"/>
  <c r="H18" i="37"/>
  <c r="T17" i="37"/>
  <c r="S17" i="37"/>
  <c r="S27" i="37" s="1"/>
  <c r="S37" i="37" s="1"/>
  <c r="S47" i="37" s="1"/>
  <c r="S57" i="37" s="1"/>
  <c r="I17" i="37"/>
  <c r="J17" i="37" s="1"/>
  <c r="H17" i="37"/>
  <c r="T16" i="37"/>
  <c r="S16" i="37"/>
  <c r="I16" i="37"/>
  <c r="J16" i="37" s="1"/>
  <c r="H16" i="37"/>
  <c r="T15" i="37"/>
  <c r="T25" i="37" s="1"/>
  <c r="T35" i="37" s="1"/>
  <c r="T45" i="37" s="1"/>
  <c r="T55" i="37" s="1"/>
  <c r="S15" i="37"/>
  <c r="S25" i="37" s="1"/>
  <c r="S35" i="37" s="1"/>
  <c r="S45" i="37" s="1"/>
  <c r="S55" i="37" s="1"/>
  <c r="Q15" i="37"/>
  <c r="P15" i="37"/>
  <c r="I15" i="37"/>
  <c r="J15" i="37" s="1"/>
  <c r="H15" i="37"/>
  <c r="V14" i="37"/>
  <c r="T14" i="37"/>
  <c r="T24" i="37" s="1"/>
  <c r="S14" i="37"/>
  <c r="S24" i="37" s="1"/>
  <c r="S34" i="37" s="1"/>
  <c r="S44" i="37" s="1"/>
  <c r="S54" i="37" s="1"/>
  <c r="Q14" i="37"/>
  <c r="P14" i="37"/>
  <c r="O14" i="37"/>
  <c r="O15" i="37" s="1"/>
  <c r="O16" i="37" s="1"/>
  <c r="O17" i="37" s="1"/>
  <c r="I14" i="37"/>
  <c r="J14" i="37" s="1"/>
  <c r="H14" i="37"/>
  <c r="W13" i="37"/>
  <c r="V13" i="37"/>
  <c r="U13" i="37"/>
  <c r="T13" i="37"/>
  <c r="S13" i="37"/>
  <c r="Q13" i="37"/>
  <c r="P13" i="37"/>
  <c r="O13" i="37"/>
  <c r="I13" i="37"/>
  <c r="J13" i="37" s="1"/>
  <c r="H13" i="37"/>
  <c r="V12" i="37"/>
  <c r="U12" i="37"/>
  <c r="W12" i="37" s="1"/>
  <c r="T12" i="37"/>
  <c r="T22" i="37" s="1"/>
  <c r="T32" i="37" s="1"/>
  <c r="T42" i="37" s="1"/>
  <c r="S12" i="37"/>
  <c r="S22" i="37" s="1"/>
  <c r="J12" i="37"/>
  <c r="I12" i="37"/>
  <c r="H12" i="37"/>
  <c r="J11" i="37"/>
  <c r="I11" i="37"/>
  <c r="H11" i="37"/>
  <c r="I10" i="37"/>
  <c r="J10" i="37" s="1"/>
  <c r="H10" i="37"/>
  <c r="H9" i="37"/>
  <c r="I9" i="37" s="1"/>
  <c r="J9" i="37" s="1"/>
  <c r="H8" i="37"/>
  <c r="I8" i="37" s="1"/>
  <c r="J8" i="37" s="1"/>
  <c r="H7" i="37"/>
  <c r="I7" i="37" s="1"/>
  <c r="J7" i="37" s="1"/>
  <c r="O6" i="37"/>
  <c r="O7" i="37" s="1"/>
  <c r="O8" i="37" s="1"/>
  <c r="J6" i="37"/>
  <c r="H6" i="37"/>
  <c r="I6" i="37" s="1"/>
  <c r="O5" i="37"/>
  <c r="I5" i="37"/>
  <c r="J5" i="37" s="1"/>
  <c r="H5" i="37"/>
  <c r="O4" i="37"/>
  <c r="I4" i="37"/>
  <c r="J4" i="37" s="1"/>
  <c r="H4" i="37"/>
  <c r="W3" i="37"/>
  <c r="U3" i="37"/>
  <c r="Q3" i="37"/>
  <c r="Q4" i="37" s="1"/>
  <c r="P3" i="37"/>
  <c r="O3" i="37"/>
  <c r="H3" i="37"/>
  <c r="I3" i="37" s="1"/>
  <c r="J3" i="37" s="1"/>
  <c r="U2" i="37"/>
  <c r="H2" i="37"/>
  <c r="K33" i="35"/>
  <c r="J33" i="35"/>
  <c r="I33" i="35"/>
  <c r="H33" i="35"/>
  <c r="G33" i="35"/>
  <c r="F33" i="35"/>
  <c r="C33" i="35"/>
  <c r="K32" i="35"/>
  <c r="J32" i="35"/>
  <c r="I32" i="35"/>
  <c r="H32" i="35"/>
  <c r="G32" i="35"/>
  <c r="F32" i="35"/>
  <c r="C32" i="35"/>
  <c r="K31" i="35"/>
  <c r="J31" i="35"/>
  <c r="I31" i="35"/>
  <c r="H31" i="35"/>
  <c r="G31" i="35"/>
  <c r="F31" i="35"/>
  <c r="C31" i="35"/>
  <c r="K30" i="35"/>
  <c r="J30" i="35"/>
  <c r="I30" i="35"/>
  <c r="H30" i="35"/>
  <c r="G30" i="35"/>
  <c r="F30" i="35"/>
  <c r="C30" i="35"/>
  <c r="K29" i="35"/>
  <c r="J29" i="35"/>
  <c r="I29" i="35"/>
  <c r="H29" i="35"/>
  <c r="G29" i="35"/>
  <c r="F29" i="35"/>
  <c r="C29" i="35"/>
  <c r="K28" i="35"/>
  <c r="J28" i="35"/>
  <c r="I28" i="35"/>
  <c r="H28" i="35"/>
  <c r="G28" i="35"/>
  <c r="F28" i="35"/>
  <c r="C28" i="35"/>
  <c r="K27" i="35"/>
  <c r="J27" i="35"/>
  <c r="I27" i="35"/>
  <c r="H27" i="35"/>
  <c r="G27" i="35"/>
  <c r="F27" i="35"/>
  <c r="C27" i="35"/>
  <c r="K26" i="35"/>
  <c r="J26" i="35"/>
  <c r="I26" i="35"/>
  <c r="H26" i="35"/>
  <c r="G26" i="35"/>
  <c r="F26" i="35"/>
  <c r="C26" i="35"/>
  <c r="K25" i="35"/>
  <c r="J25" i="35"/>
  <c r="I25" i="35"/>
  <c r="H25" i="35"/>
  <c r="G25" i="35"/>
  <c r="F25" i="35"/>
  <c r="C25" i="35"/>
  <c r="K24" i="35"/>
  <c r="J24" i="35"/>
  <c r="I24" i="35"/>
  <c r="H24" i="35"/>
  <c r="G24" i="35"/>
  <c r="F24" i="35"/>
  <c r="C24" i="35"/>
  <c r="K23" i="35"/>
  <c r="J23" i="35"/>
  <c r="I23" i="35"/>
  <c r="H23" i="35"/>
  <c r="G23" i="35"/>
  <c r="F23" i="35"/>
  <c r="C23" i="35"/>
  <c r="K22" i="35"/>
  <c r="J22" i="35"/>
  <c r="I22" i="35"/>
  <c r="H22" i="35"/>
  <c r="G22" i="35"/>
  <c r="F22" i="35"/>
  <c r="C22" i="35"/>
  <c r="K21" i="35"/>
  <c r="J21" i="35"/>
  <c r="I21" i="35"/>
  <c r="H21" i="35"/>
  <c r="G21" i="35"/>
  <c r="F21" i="35"/>
  <c r="C21" i="35"/>
  <c r="K20" i="35"/>
  <c r="J20" i="35"/>
  <c r="I20" i="35"/>
  <c r="H20" i="35"/>
  <c r="G20" i="35"/>
  <c r="F20" i="35"/>
  <c r="C20" i="35"/>
  <c r="K19" i="35"/>
  <c r="J19" i="35"/>
  <c r="I19" i="35"/>
  <c r="H19" i="35"/>
  <c r="G19" i="35"/>
  <c r="F19" i="35"/>
  <c r="C19" i="35"/>
  <c r="K18" i="35"/>
  <c r="J18" i="35"/>
  <c r="I18" i="35"/>
  <c r="H18" i="35"/>
  <c r="G18" i="35"/>
  <c r="F18" i="35"/>
  <c r="C18" i="35"/>
  <c r="K17" i="35"/>
  <c r="J17" i="35"/>
  <c r="I17" i="35"/>
  <c r="H17" i="35"/>
  <c r="G17" i="35"/>
  <c r="F17" i="35"/>
  <c r="C17" i="35"/>
  <c r="K16" i="35"/>
  <c r="J16" i="35"/>
  <c r="I16" i="35"/>
  <c r="H16" i="35"/>
  <c r="G16" i="35"/>
  <c r="F16" i="35"/>
  <c r="C16" i="35"/>
  <c r="K15" i="35"/>
  <c r="J15" i="35"/>
  <c r="I15" i="35"/>
  <c r="H15" i="35"/>
  <c r="G15" i="35"/>
  <c r="F15" i="35"/>
  <c r="C15" i="35"/>
  <c r="K14" i="35"/>
  <c r="J14" i="35"/>
  <c r="I14" i="35"/>
  <c r="H14" i="35"/>
  <c r="G14" i="35"/>
  <c r="F14" i="35"/>
  <c r="C14" i="35"/>
  <c r="K13" i="35"/>
  <c r="J13" i="35"/>
  <c r="I13" i="35"/>
  <c r="H13" i="35"/>
  <c r="G13" i="35"/>
  <c r="F13" i="35"/>
  <c r="C13" i="35"/>
  <c r="K12" i="35"/>
  <c r="J12" i="35"/>
  <c r="I12" i="35"/>
  <c r="H12" i="35"/>
  <c r="G12" i="35"/>
  <c r="F12" i="35"/>
  <c r="C12" i="35"/>
  <c r="K11" i="35"/>
  <c r="J11" i="35"/>
  <c r="I11" i="35"/>
  <c r="H11" i="35"/>
  <c r="G11" i="35"/>
  <c r="F11" i="35"/>
  <c r="C11" i="35"/>
  <c r="K10" i="35"/>
  <c r="J10" i="35"/>
  <c r="I10" i="35"/>
  <c r="H10" i="35"/>
  <c r="G10" i="35"/>
  <c r="F10" i="35"/>
  <c r="C10" i="35"/>
  <c r="K9" i="35"/>
  <c r="J9" i="35"/>
  <c r="I9" i="35"/>
  <c r="H9" i="35"/>
  <c r="G9" i="35"/>
  <c r="F9" i="35"/>
  <c r="C9" i="35"/>
  <c r="K8" i="35"/>
  <c r="J8" i="35"/>
  <c r="I8" i="35"/>
  <c r="H8" i="35"/>
  <c r="G8" i="35"/>
  <c r="F8" i="35"/>
  <c r="C8" i="35"/>
  <c r="K7" i="35"/>
  <c r="J7" i="35"/>
  <c r="I7" i="35"/>
  <c r="H7" i="35"/>
  <c r="G7" i="35"/>
  <c r="F7" i="35"/>
  <c r="C7" i="35"/>
  <c r="K6" i="35"/>
  <c r="J6" i="35"/>
  <c r="I6" i="35"/>
  <c r="H6" i="35"/>
  <c r="G6" i="35"/>
  <c r="F6" i="35"/>
  <c r="C6" i="35"/>
  <c r="K5" i="35"/>
  <c r="J5" i="35"/>
  <c r="I5" i="35"/>
  <c r="H5" i="35"/>
  <c r="G5" i="35"/>
  <c r="F5" i="35"/>
  <c r="C5" i="35"/>
  <c r="O4" i="35"/>
  <c r="K4" i="35"/>
  <c r="J4" i="35"/>
  <c r="I4" i="35"/>
  <c r="H4" i="35"/>
  <c r="G4" i="35"/>
  <c r="F4" i="35"/>
  <c r="C4" i="35"/>
  <c r="O3" i="35"/>
  <c r="K3" i="35"/>
  <c r="J3" i="35"/>
  <c r="I3" i="35"/>
  <c r="H3" i="35"/>
  <c r="C3" i="35"/>
  <c r="O2" i="35"/>
  <c r="AU48" i="41"/>
  <c r="AU52" i="41"/>
  <c r="AU64" i="41"/>
  <c r="AU18" i="41"/>
  <c r="AU176" i="41"/>
  <c r="AU42" i="41"/>
  <c r="G32" i="32"/>
  <c r="F32" i="32"/>
  <c r="E32" i="32"/>
  <c r="D32" i="32"/>
  <c r="C32" i="32"/>
  <c r="B32" i="32"/>
  <c r="A32" i="32"/>
  <c r="G31" i="32"/>
  <c r="F31" i="32"/>
  <c r="E31" i="32"/>
  <c r="D31" i="32"/>
  <c r="C31" i="32"/>
  <c r="B31" i="32"/>
  <c r="A31" i="32"/>
  <c r="G30" i="32"/>
  <c r="F30" i="32"/>
  <c r="E30" i="32"/>
  <c r="D30" i="32"/>
  <c r="C30" i="32"/>
  <c r="B30" i="32"/>
  <c r="A30" i="32"/>
  <c r="G29" i="32"/>
  <c r="F29" i="32"/>
  <c r="E29" i="32"/>
  <c r="D29" i="32"/>
  <c r="C29" i="32"/>
  <c r="B29" i="32"/>
  <c r="A29" i="32"/>
  <c r="G28" i="32"/>
  <c r="F28" i="32"/>
  <c r="E28" i="32"/>
  <c r="D28" i="32"/>
  <c r="C28" i="32"/>
  <c r="B28" i="32"/>
  <c r="A28" i="32"/>
  <c r="G27" i="32"/>
  <c r="F27" i="32"/>
  <c r="E27" i="32"/>
  <c r="D27" i="32"/>
  <c r="C27" i="32"/>
  <c r="B27" i="32"/>
  <c r="A27" i="32"/>
  <c r="G26" i="32"/>
  <c r="F26" i="32"/>
  <c r="E26" i="32"/>
  <c r="D26" i="32"/>
  <c r="C26" i="32"/>
  <c r="B26" i="32"/>
  <c r="A26" i="32"/>
  <c r="G25" i="32"/>
  <c r="F25" i="32"/>
  <c r="E25" i="32"/>
  <c r="D25" i="32"/>
  <c r="C25" i="32"/>
  <c r="B25" i="32"/>
  <c r="A25" i="32"/>
  <c r="G24" i="32"/>
  <c r="F24" i="32"/>
  <c r="E24" i="32"/>
  <c r="D24" i="32"/>
  <c r="C24" i="32"/>
  <c r="B24" i="32"/>
  <c r="A24" i="32"/>
  <c r="G23" i="32"/>
  <c r="F23" i="32"/>
  <c r="E23" i="32"/>
  <c r="D23" i="32"/>
  <c r="C23" i="32"/>
  <c r="B23" i="32"/>
  <c r="A23" i="32"/>
  <c r="G22" i="32"/>
  <c r="F22" i="32"/>
  <c r="E22" i="32"/>
  <c r="D22" i="32"/>
  <c r="C22" i="32"/>
  <c r="B22" i="32"/>
  <c r="A22" i="32"/>
  <c r="G21" i="32"/>
  <c r="F21" i="32"/>
  <c r="E21" i="32"/>
  <c r="D21" i="32"/>
  <c r="C21" i="32"/>
  <c r="B21" i="32"/>
  <c r="A21" i="32"/>
  <c r="G20" i="32"/>
  <c r="F20" i="32"/>
  <c r="E20" i="32"/>
  <c r="D20" i="32"/>
  <c r="C20" i="32"/>
  <c r="B20" i="32"/>
  <c r="A20" i="32"/>
  <c r="G19" i="32"/>
  <c r="F19" i="32"/>
  <c r="E19" i="32"/>
  <c r="D19" i="32"/>
  <c r="C19" i="32"/>
  <c r="B19" i="32"/>
  <c r="A19" i="32"/>
  <c r="G18" i="32"/>
  <c r="F18" i="32"/>
  <c r="E18" i="32"/>
  <c r="D18" i="32"/>
  <c r="C18" i="32"/>
  <c r="B18" i="32"/>
  <c r="A18" i="32"/>
  <c r="G17" i="32"/>
  <c r="F17" i="32"/>
  <c r="E17" i="32"/>
  <c r="D17" i="32"/>
  <c r="C17" i="32"/>
  <c r="B17" i="32"/>
  <c r="A17" i="32"/>
  <c r="G16" i="32"/>
  <c r="F16" i="32"/>
  <c r="E16" i="32"/>
  <c r="D16" i="32"/>
  <c r="C16" i="32"/>
  <c r="B16" i="32"/>
  <c r="A16" i="32"/>
  <c r="G15" i="32"/>
  <c r="F15" i="32"/>
  <c r="E15" i="32"/>
  <c r="D15" i="32"/>
  <c r="C15" i="32"/>
  <c r="B15" i="32"/>
  <c r="A15" i="32"/>
  <c r="G14" i="32"/>
  <c r="F14" i="32"/>
  <c r="E14" i="32"/>
  <c r="D14" i="32"/>
  <c r="C14" i="32"/>
  <c r="B14" i="32"/>
  <c r="A14" i="32"/>
  <c r="G13" i="32"/>
  <c r="F13" i="32"/>
  <c r="E13" i="32"/>
  <c r="D13" i="32"/>
  <c r="C13" i="32"/>
  <c r="B13" i="32"/>
  <c r="A13" i="32"/>
  <c r="G12" i="32"/>
  <c r="F12" i="32"/>
  <c r="E12" i="32"/>
  <c r="D12" i="32"/>
  <c r="C12" i="32"/>
  <c r="B12" i="32"/>
  <c r="A12" i="32"/>
  <c r="G11" i="32"/>
  <c r="F11" i="32"/>
  <c r="E11" i="32"/>
  <c r="D11" i="32"/>
  <c r="C11" i="32"/>
  <c r="B11" i="32"/>
  <c r="A11" i="32"/>
  <c r="G10" i="32"/>
  <c r="F10" i="32"/>
  <c r="E10" i="32"/>
  <c r="D10" i="32"/>
  <c r="C10" i="32"/>
  <c r="B10" i="32"/>
  <c r="A10" i="32"/>
  <c r="G9" i="32"/>
  <c r="F9" i="32"/>
  <c r="E9" i="32"/>
  <c r="D9" i="32"/>
  <c r="C9" i="32"/>
  <c r="B9" i="32"/>
  <c r="A9" i="32"/>
  <c r="G8" i="32"/>
  <c r="F8" i="32"/>
  <c r="E8" i="32"/>
  <c r="D8" i="32"/>
  <c r="C8" i="32"/>
  <c r="B8" i="32"/>
  <c r="A8" i="32"/>
  <c r="G7" i="32"/>
  <c r="F7" i="32"/>
  <c r="E7" i="32"/>
  <c r="D7" i="32"/>
  <c r="C7" i="32"/>
  <c r="B7" i="32"/>
  <c r="A7" i="32"/>
  <c r="G6" i="32"/>
  <c r="F6" i="32"/>
  <c r="E6" i="32"/>
  <c r="D6" i="32"/>
  <c r="C6" i="32"/>
  <c r="B6" i="32"/>
  <c r="A6" i="32"/>
  <c r="D22" i="26"/>
  <c r="C22" i="26"/>
  <c r="B22" i="26"/>
  <c r="A22" i="26"/>
  <c r="D21" i="26"/>
  <c r="C21" i="26"/>
  <c r="B21" i="26"/>
  <c r="A21" i="26"/>
  <c r="D20" i="26"/>
  <c r="C20" i="26"/>
  <c r="B20" i="26"/>
  <c r="A20" i="26"/>
  <c r="D19" i="26"/>
  <c r="C19" i="26"/>
  <c r="B19" i="26"/>
  <c r="A19" i="26"/>
  <c r="D18" i="26"/>
  <c r="C18" i="26"/>
  <c r="B18" i="26"/>
  <c r="A18" i="26"/>
  <c r="D17" i="26"/>
  <c r="C17" i="26"/>
  <c r="B17" i="26"/>
  <c r="A17" i="26"/>
  <c r="D16" i="26"/>
  <c r="C16" i="26"/>
  <c r="B16" i="26"/>
  <c r="A16" i="26"/>
  <c r="D15" i="26"/>
  <c r="C15" i="26"/>
  <c r="B15" i="26"/>
  <c r="A15" i="26"/>
  <c r="D14" i="26"/>
  <c r="C14" i="26"/>
  <c r="B14" i="26"/>
  <c r="A14" i="26"/>
  <c r="D13" i="26"/>
  <c r="C13" i="26"/>
  <c r="B13" i="26"/>
  <c r="A13" i="26"/>
  <c r="D12" i="26"/>
  <c r="C12" i="26"/>
  <c r="B12" i="26"/>
  <c r="A12" i="26"/>
  <c r="D11" i="26"/>
  <c r="C11" i="26"/>
  <c r="B11" i="26"/>
  <c r="A11" i="26"/>
  <c r="D10" i="26"/>
  <c r="C10" i="26"/>
  <c r="B10" i="26"/>
  <c r="A10" i="26"/>
  <c r="D9" i="26"/>
  <c r="C9" i="26"/>
  <c r="B9" i="26"/>
  <c r="A9" i="26"/>
  <c r="D8" i="26"/>
  <c r="C8" i="26"/>
  <c r="B8" i="26"/>
  <c r="A8" i="26"/>
  <c r="D7" i="26"/>
  <c r="C7" i="26"/>
  <c r="B7" i="26"/>
  <c r="A7" i="26"/>
  <c r="D6" i="26"/>
  <c r="C6" i="26"/>
  <c r="B6" i="26"/>
  <c r="A6" i="26"/>
  <c r="D5" i="26"/>
  <c r="C5" i="26"/>
  <c r="B5" i="26"/>
  <c r="A5" i="26"/>
  <c r="D4" i="26"/>
  <c r="C4" i="26"/>
  <c r="B4" i="26"/>
  <c r="A4" i="26"/>
  <c r="D3" i="26"/>
  <c r="C3" i="26"/>
  <c r="B3" i="26"/>
  <c r="A3" i="26"/>
  <c r="D2" i="26"/>
  <c r="C2" i="26"/>
  <c r="B2" i="26"/>
  <c r="A2" i="26"/>
  <c r="AM18" i="21"/>
  <c r="AK18" i="21"/>
  <c r="AM17" i="21"/>
  <c r="AH17" i="21" s="1"/>
  <c r="AJ17" i="21"/>
  <c r="AK17" i="21" s="1"/>
  <c r="AG17" i="21"/>
  <c r="AE17" i="21"/>
  <c r="AG18" i="21" s="1"/>
  <c r="AH18" i="21" s="1"/>
  <c r="AD17" i="21"/>
  <c r="AB17" i="21"/>
  <c r="AA17" i="21"/>
  <c r="AM15" i="21"/>
  <c r="AM14" i="21"/>
  <c r="AJ14" i="21"/>
  <c r="AK14" i="21" s="1"/>
  <c r="AH14" i="21"/>
  <c r="AG14" i="21"/>
  <c r="AE14" i="21"/>
  <c r="AD14" i="21"/>
  <c r="AB14" i="21"/>
  <c r="AA14" i="21"/>
  <c r="AM12" i="21"/>
  <c r="AN11" i="21"/>
  <c r="AM11" i="21"/>
  <c r="AD11" i="21"/>
  <c r="AA11" i="21" s="1"/>
  <c r="AM9" i="21"/>
  <c r="AN8" i="21"/>
  <c r="AM8" i="21"/>
  <c r="AG8" i="21"/>
  <c r="AM6" i="21"/>
  <c r="AM5" i="21"/>
  <c r="R5" i="21"/>
  <c r="S5" i="21" s="1"/>
  <c r="Q5" i="21"/>
  <c r="I5" i="21"/>
  <c r="D5" i="21"/>
  <c r="B5" i="21"/>
  <c r="X4" i="21"/>
  <c r="R4" i="21"/>
  <c r="AD8" i="21" s="1"/>
  <c r="AA8" i="21" s="1"/>
  <c r="Q4" i="21"/>
  <c r="I4" i="21"/>
  <c r="D4" i="21"/>
  <c r="B4" i="21"/>
  <c r="AN3" i="21"/>
  <c r="AM3" i="21" s="1"/>
  <c r="AJ3" i="21" s="1"/>
  <c r="R3" i="21"/>
  <c r="S3" i="21" s="1"/>
  <c r="Q3" i="21"/>
  <c r="I3" i="21"/>
  <c r="D3" i="21"/>
  <c r="B3" i="21"/>
  <c r="AM2" i="21"/>
  <c r="AG2" i="21" s="1"/>
  <c r="R2" i="21"/>
  <c r="Q2" i="21"/>
  <c r="I2" i="21"/>
  <c r="D2" i="21"/>
  <c r="B2" i="21"/>
  <c r="AI104" i="20"/>
  <c r="AI102" i="20"/>
  <c r="AI101" i="20"/>
  <c r="AI99" i="20"/>
  <c r="AG98" i="20"/>
  <c r="AI93" i="20"/>
  <c r="AG92" i="20"/>
  <c r="AI91" i="20"/>
  <c r="AG91" i="20"/>
  <c r="W91" i="20"/>
  <c r="AI103" i="20" s="1"/>
  <c r="U91" i="20"/>
  <c r="O91" i="20"/>
  <c r="AI83" i="20" s="1"/>
  <c r="M91" i="20"/>
  <c r="E91" i="20"/>
  <c r="W90" i="20"/>
  <c r="W92" i="20" s="1"/>
  <c r="U90" i="20"/>
  <c r="O90" i="20"/>
  <c r="M90" i="20"/>
  <c r="E90" i="20"/>
  <c r="AI89" i="20"/>
  <c r="U89" i="20"/>
  <c r="W89" i="20" s="1"/>
  <c r="S89" i="20"/>
  <c r="M89" i="20"/>
  <c r="K89" i="20"/>
  <c r="E89" i="20"/>
  <c r="AI88" i="20"/>
  <c r="K88" i="20"/>
  <c r="AI87" i="20"/>
  <c r="W87" i="20"/>
  <c r="U87" i="20"/>
  <c r="S87" i="20"/>
  <c r="O87" i="20"/>
  <c r="M87" i="20"/>
  <c r="AG94" i="20" s="1"/>
  <c r="K87" i="20"/>
  <c r="G87" i="20"/>
  <c r="AG89" i="20" s="1"/>
  <c r="E87" i="20"/>
  <c r="C87" i="20"/>
  <c r="AI86" i="20"/>
  <c r="M86" i="20"/>
  <c r="AG93" i="20" s="1"/>
  <c r="E86" i="20"/>
  <c r="AG78" i="20" s="1"/>
  <c r="W85" i="20"/>
  <c r="AI97" i="20" s="1"/>
  <c r="U85" i="20"/>
  <c r="O85" i="20"/>
  <c r="AI77" i="20" s="1"/>
  <c r="M85" i="20"/>
  <c r="G85" i="20"/>
  <c r="AG87" i="20" s="1"/>
  <c r="E85" i="20"/>
  <c r="D85" i="20"/>
  <c r="W84" i="20"/>
  <c r="AI96" i="20" s="1"/>
  <c r="U84" i="20"/>
  <c r="U86" i="20" s="1"/>
  <c r="O84" i="20"/>
  <c r="M84" i="20"/>
  <c r="G84" i="20"/>
  <c r="E84" i="20"/>
  <c r="D84" i="20"/>
  <c r="AG83" i="20"/>
  <c r="AG81" i="20"/>
  <c r="K81" i="20"/>
  <c r="C81" i="20"/>
  <c r="K80" i="20"/>
  <c r="C80" i="20"/>
  <c r="AI79" i="20"/>
  <c r="AG79" i="20"/>
  <c r="K79" i="20"/>
  <c r="G79" i="20"/>
  <c r="E79" i="20"/>
  <c r="C79" i="20"/>
  <c r="E78" i="20"/>
  <c r="AG77" i="20"/>
  <c r="K77" i="20"/>
  <c r="G77" i="20"/>
  <c r="E77" i="20"/>
  <c r="AG76" i="20"/>
  <c r="K76" i="20"/>
  <c r="G76" i="20"/>
  <c r="G78" i="20" s="1"/>
  <c r="E76" i="20"/>
  <c r="AI72" i="20"/>
  <c r="AI71" i="20"/>
  <c r="AI67" i="20"/>
  <c r="AG67" i="20"/>
  <c r="AI66" i="20"/>
  <c r="AI62" i="20"/>
  <c r="AG61" i="20"/>
  <c r="C60" i="20"/>
  <c r="E57" i="20" s="1"/>
  <c r="AG46" i="20" s="1"/>
  <c r="B60" i="20"/>
  <c r="AI59" i="20"/>
  <c r="AG59" i="20"/>
  <c r="C59" i="20"/>
  <c r="G58" i="20"/>
  <c r="AG52" i="20" s="1"/>
  <c r="E58" i="20"/>
  <c r="AG47" i="20" s="1"/>
  <c r="C58" i="20"/>
  <c r="AI57" i="20"/>
  <c r="AA57" i="20"/>
  <c r="S57" i="20"/>
  <c r="K57" i="20"/>
  <c r="M54" i="20" s="1"/>
  <c r="J57" i="20"/>
  <c r="AI56" i="20"/>
  <c r="AG56" i="20"/>
  <c r="AA56" i="20"/>
  <c r="S56" i="20"/>
  <c r="K56" i="20"/>
  <c r="J56" i="20"/>
  <c r="G56" i="20"/>
  <c r="AG50" i="20" s="1"/>
  <c r="E56" i="20"/>
  <c r="D56" i="20"/>
  <c r="AI55" i="20"/>
  <c r="AE55" i="20"/>
  <c r="AC55" i="20"/>
  <c r="AA55" i="20"/>
  <c r="W55" i="20"/>
  <c r="AI52" i="20" s="1"/>
  <c r="U55" i="20"/>
  <c r="S55" i="20"/>
  <c r="M55" i="20"/>
  <c r="K55" i="20"/>
  <c r="O53" i="20" s="1"/>
  <c r="AG60" i="20" s="1"/>
  <c r="G55" i="20"/>
  <c r="E55" i="20"/>
  <c r="AG44" i="20" s="1"/>
  <c r="D55" i="20"/>
  <c r="AG54" i="20"/>
  <c r="AE54" i="20"/>
  <c r="AI61" i="20" s="1"/>
  <c r="AC54" i="20"/>
  <c r="U54" i="20"/>
  <c r="O54" i="20"/>
  <c r="AE53" i="20"/>
  <c r="AI60" i="20" s="1"/>
  <c r="AC53" i="20"/>
  <c r="AB53" i="20"/>
  <c r="W53" i="20"/>
  <c r="U53" i="20"/>
  <c r="AI45" i="20" s="1"/>
  <c r="T53" i="20"/>
  <c r="M53" i="20"/>
  <c r="AG55" i="20" s="1"/>
  <c r="L53" i="20"/>
  <c r="AE52" i="20"/>
  <c r="AC52" i="20"/>
  <c r="AI54" i="20" s="1"/>
  <c r="AB52" i="20"/>
  <c r="W52" i="20"/>
  <c r="U52" i="20"/>
  <c r="AI44" i="20" s="1"/>
  <c r="T52" i="20"/>
  <c r="O52" i="20"/>
  <c r="M52" i="20"/>
  <c r="L52" i="20"/>
  <c r="E52" i="20"/>
  <c r="AE62" i="20" s="1"/>
  <c r="C52" i="20"/>
  <c r="C51" i="20"/>
  <c r="AI50" i="20"/>
  <c r="C50" i="20"/>
  <c r="K49" i="20"/>
  <c r="E49" i="20"/>
  <c r="AE59" i="20" s="1"/>
  <c r="K48" i="20"/>
  <c r="AI47" i="20"/>
  <c r="M47" i="20"/>
  <c r="K47" i="20"/>
  <c r="G47" i="20"/>
  <c r="E47" i="20"/>
  <c r="AI46" i="20"/>
  <c r="O46" i="20"/>
  <c r="AG71" i="20" s="1"/>
  <c r="M46" i="20"/>
  <c r="G46" i="20"/>
  <c r="AG66" i="20" s="1"/>
  <c r="E46" i="20"/>
  <c r="E51" i="20" s="1"/>
  <c r="AE61" i="20" s="1"/>
  <c r="AG45" i="20"/>
  <c r="O45" i="20"/>
  <c r="AG70" i="20" s="1"/>
  <c r="M45" i="20"/>
  <c r="AI70" i="20" s="1"/>
  <c r="L45" i="20"/>
  <c r="G45" i="20"/>
  <c r="AG65" i="20" s="1"/>
  <c r="E45" i="20"/>
  <c r="D45" i="20"/>
  <c r="O44" i="20"/>
  <c r="AG69" i="20" s="1"/>
  <c r="M44" i="20"/>
  <c r="L44" i="20"/>
  <c r="G44" i="20"/>
  <c r="AG64" i="20" s="1"/>
  <c r="E44" i="20"/>
  <c r="AI64" i="20" s="1"/>
  <c r="D44" i="20"/>
  <c r="AA30" i="20"/>
  <c r="AE27" i="20" s="1"/>
  <c r="AI40" i="20" s="1"/>
  <c r="Z30" i="20"/>
  <c r="R30" i="20"/>
  <c r="S30" i="20" s="1"/>
  <c r="W27" i="20" s="1"/>
  <c r="AI35" i="20" s="1"/>
  <c r="K30" i="20"/>
  <c r="C30" i="20"/>
  <c r="AA29" i="20"/>
  <c r="Z29" i="20"/>
  <c r="S29" i="20"/>
  <c r="R29" i="20"/>
  <c r="K29" i="20"/>
  <c r="B29" i="20"/>
  <c r="C29" i="20" s="1"/>
  <c r="E25" i="20" s="1"/>
  <c r="E27" i="20" s="1"/>
  <c r="AG5" i="20" s="1"/>
  <c r="AI28" i="20"/>
  <c r="AG28" i="20"/>
  <c r="AE28" i="20"/>
  <c r="AI41" i="20" s="1"/>
  <c r="AC28" i="20"/>
  <c r="AA28" i="20"/>
  <c r="W28" i="20"/>
  <c r="AI36" i="20" s="1"/>
  <c r="U28" i="20"/>
  <c r="S28" i="20"/>
  <c r="K28" i="20"/>
  <c r="C28" i="20"/>
  <c r="U27" i="20"/>
  <c r="M27" i="20"/>
  <c r="O25" i="20" s="1"/>
  <c r="AA26" i="20"/>
  <c r="U26" i="20"/>
  <c r="S26" i="20"/>
  <c r="M26" i="20"/>
  <c r="AG19" i="20" s="1"/>
  <c r="K26" i="20"/>
  <c r="M28" i="20" s="1"/>
  <c r="E26" i="20"/>
  <c r="AG4" i="20" s="1"/>
  <c r="C26" i="20"/>
  <c r="E28" i="20" s="1"/>
  <c r="AG25" i="20"/>
  <c r="AC25" i="20"/>
  <c r="AC27" i="20" s="1"/>
  <c r="AA25" i="20"/>
  <c r="W25" i="20"/>
  <c r="AI33" i="20" s="1"/>
  <c r="U25" i="20"/>
  <c r="S25" i="20"/>
  <c r="M25" i="20"/>
  <c r="K25" i="20"/>
  <c r="G25" i="20"/>
  <c r="AI3" i="20" s="1"/>
  <c r="C25" i="20"/>
  <c r="AG24" i="20"/>
  <c r="AG23" i="20"/>
  <c r="K22" i="20"/>
  <c r="C22" i="20"/>
  <c r="K21" i="20"/>
  <c r="C21" i="20"/>
  <c r="AG20" i="20"/>
  <c r="K20" i="20"/>
  <c r="C20" i="20"/>
  <c r="AG18" i="20"/>
  <c r="O17" i="20"/>
  <c r="M17" i="20"/>
  <c r="G17" i="20"/>
  <c r="M16" i="20"/>
  <c r="E16" i="20"/>
  <c r="O15" i="20"/>
  <c r="M15" i="20"/>
  <c r="K15" i="20"/>
  <c r="G15" i="20"/>
  <c r="E15" i="20"/>
  <c r="G20" i="20" s="1"/>
  <c r="AI14" i="20" s="1"/>
  <c r="C15" i="20"/>
  <c r="AG14" i="20"/>
  <c r="O14" i="20"/>
  <c r="M14" i="20"/>
  <c r="O16" i="20" s="1"/>
  <c r="K14" i="20"/>
  <c r="E14" i="20"/>
  <c r="C14" i="20"/>
  <c r="C11" i="20"/>
  <c r="G5" i="20" s="1"/>
  <c r="AI20" i="20" s="1"/>
  <c r="G10" i="20"/>
  <c r="AI25" i="20" s="1"/>
  <c r="C10" i="20"/>
  <c r="C9" i="20"/>
  <c r="G6" i="20"/>
  <c r="AI21" i="20" s="1"/>
  <c r="E6" i="20"/>
  <c r="E5" i="20"/>
  <c r="G3" i="20" s="1"/>
  <c r="AI18" i="20" s="1"/>
  <c r="E4" i="20"/>
  <c r="G9" i="20" s="1"/>
  <c r="AI24" i="20" s="1"/>
  <c r="C4" i="20"/>
  <c r="AG3" i="20"/>
  <c r="E3" i="20"/>
  <c r="AG13" i="20" s="1"/>
  <c r="C3" i="20"/>
  <c r="AA37" i="19"/>
  <c r="AA36" i="19"/>
  <c r="Z36" i="19"/>
  <c r="Y36" i="19"/>
  <c r="Z35" i="19"/>
  <c r="Y35" i="19"/>
  <c r="Z34" i="19"/>
  <c r="Y34" i="19"/>
  <c r="Z33" i="19"/>
  <c r="Y33" i="19"/>
  <c r="Z32" i="19"/>
  <c r="Y32" i="19"/>
  <c r="AA31" i="19"/>
  <c r="Z31" i="19"/>
  <c r="Y31" i="19"/>
  <c r="Z30" i="19"/>
  <c r="AA29" i="19"/>
  <c r="Z29" i="19"/>
  <c r="AA28" i="19"/>
  <c r="Z28" i="19"/>
  <c r="Y28" i="19"/>
  <c r="AA27" i="19"/>
  <c r="Z27" i="19"/>
  <c r="Y27" i="19"/>
  <c r="AA26" i="19"/>
  <c r="Z26" i="19"/>
  <c r="Y26" i="19"/>
  <c r="AA25" i="19"/>
  <c r="Z25" i="19"/>
  <c r="Y25" i="19"/>
  <c r="Z24" i="19"/>
  <c r="Y24" i="19"/>
  <c r="Z23" i="19"/>
  <c r="Z22" i="19"/>
  <c r="Y22" i="19"/>
  <c r="O22" i="19"/>
  <c r="AA21" i="19"/>
  <c r="Z21" i="19"/>
  <c r="Y21" i="19"/>
  <c r="AA20" i="19"/>
  <c r="Z20" i="19"/>
  <c r="Z19" i="19"/>
  <c r="Y19" i="19"/>
  <c r="Z18" i="19"/>
  <c r="Y18" i="19"/>
  <c r="Z17" i="19"/>
  <c r="AA16" i="19"/>
  <c r="Z16" i="19"/>
  <c r="Y16" i="19"/>
  <c r="AA15" i="19"/>
  <c r="Z15" i="19"/>
  <c r="Z14" i="19"/>
  <c r="Z13" i="19"/>
  <c r="Z12" i="19"/>
  <c r="AA10" i="19"/>
  <c r="Z10" i="19"/>
  <c r="W10" i="19"/>
  <c r="AA30" i="19" s="1"/>
  <c r="M10" i="19"/>
  <c r="Z9" i="19"/>
  <c r="U9" i="19"/>
  <c r="Y29" i="19" s="1"/>
  <c r="E9" i="19"/>
  <c r="Z8" i="19"/>
  <c r="Y8" i="19"/>
  <c r="W8" i="19"/>
  <c r="S8" i="19"/>
  <c r="U10" i="19" s="1"/>
  <c r="K8" i="19"/>
  <c r="C8" i="19"/>
  <c r="E10" i="19" s="1"/>
  <c r="Z7" i="19"/>
  <c r="Y7" i="19"/>
  <c r="W7" i="19"/>
  <c r="W9" i="19" s="1"/>
  <c r="U7" i="19"/>
  <c r="S7" i="19"/>
  <c r="M7" i="19"/>
  <c r="Y17" i="19" s="1"/>
  <c r="K7" i="19"/>
  <c r="M9" i="19" s="1"/>
  <c r="O2" i="19" s="1"/>
  <c r="AA12" i="19" s="1"/>
  <c r="C7" i="19"/>
  <c r="AA6" i="19"/>
  <c r="Z6" i="19"/>
  <c r="Y6" i="19"/>
  <c r="AA5" i="19"/>
  <c r="Z5" i="19"/>
  <c r="Z4" i="19"/>
  <c r="Y4" i="19"/>
  <c r="W4" i="19"/>
  <c r="AA24" i="19" s="1"/>
  <c r="U4" i="19"/>
  <c r="O4" i="19"/>
  <c r="AA14" i="19" s="1"/>
  <c r="E4" i="19"/>
  <c r="Z3" i="19"/>
  <c r="U3" i="19"/>
  <c r="Y23" i="19" s="1"/>
  <c r="K3" i="19"/>
  <c r="C3" i="19"/>
  <c r="Z2" i="19"/>
  <c r="Y2" i="19"/>
  <c r="W2" i="19"/>
  <c r="AA22" i="19" s="1"/>
  <c r="U2" i="19"/>
  <c r="U5" i="19" s="1"/>
  <c r="K2" i="19"/>
  <c r="C2" i="19"/>
  <c r="AA1" i="19"/>
  <c r="Z1" i="19"/>
  <c r="Y1" i="19"/>
  <c r="BF1" i="11"/>
  <c r="AN1" i="11"/>
  <c r="AG1" i="11"/>
  <c r="BE1" i="11"/>
  <c r="AX1" i="11"/>
  <c r="AQ1" i="11"/>
  <c r="AQ29" i="11" s="1"/>
  <c r="AO1" i="11"/>
  <c r="AO21" i="11" s="1"/>
  <c r="X52" i="11"/>
  <c r="R52" i="11"/>
  <c r="Q52" i="11"/>
  <c r="I52" i="11"/>
  <c r="D52" i="11"/>
  <c r="B52" i="11"/>
  <c r="S51" i="11"/>
  <c r="R51" i="11"/>
  <c r="T51" i="11" s="1"/>
  <c r="Q51" i="11"/>
  <c r="I51" i="11"/>
  <c r="D51" i="11"/>
  <c r="B51" i="11"/>
  <c r="S50" i="11"/>
  <c r="R50" i="11"/>
  <c r="U50" i="11" s="1"/>
  <c r="Q50" i="11"/>
  <c r="I50" i="11"/>
  <c r="D50" i="11"/>
  <c r="B50" i="11"/>
  <c r="S49" i="11"/>
  <c r="R49" i="11"/>
  <c r="Q49" i="11"/>
  <c r="I49" i="11"/>
  <c r="D49" i="11"/>
  <c r="B49" i="11"/>
  <c r="S48" i="11"/>
  <c r="R48" i="11"/>
  <c r="U48" i="11" s="1"/>
  <c r="Q48" i="11"/>
  <c r="I48" i="11"/>
  <c r="D48" i="11"/>
  <c r="B48" i="11"/>
  <c r="S47" i="11"/>
  <c r="R47" i="11"/>
  <c r="T47" i="11" s="1"/>
  <c r="Q47" i="11"/>
  <c r="I47" i="11"/>
  <c r="D47" i="11"/>
  <c r="B47" i="11"/>
  <c r="S46" i="11"/>
  <c r="R46" i="11"/>
  <c r="U46" i="11" s="1"/>
  <c r="Q46" i="11"/>
  <c r="I46" i="11"/>
  <c r="D46" i="11"/>
  <c r="B46" i="11"/>
  <c r="S45" i="11"/>
  <c r="R45" i="11"/>
  <c r="T45" i="11" s="1"/>
  <c r="Q45" i="11"/>
  <c r="I45" i="11"/>
  <c r="D45" i="11"/>
  <c r="B45" i="11"/>
  <c r="S44" i="11"/>
  <c r="R44" i="11"/>
  <c r="Q44" i="11"/>
  <c r="I44" i="11"/>
  <c r="D44" i="11"/>
  <c r="B44" i="11"/>
  <c r="T43" i="11"/>
  <c r="S43" i="11"/>
  <c r="R43" i="11"/>
  <c r="Q43" i="11"/>
  <c r="I43" i="11"/>
  <c r="D43" i="11"/>
  <c r="B43" i="11"/>
  <c r="S42" i="11"/>
  <c r="R42" i="11"/>
  <c r="Q42" i="11"/>
  <c r="I42" i="11"/>
  <c r="D42" i="11"/>
  <c r="B42" i="11"/>
  <c r="S41" i="11"/>
  <c r="R41" i="11"/>
  <c r="Q41" i="11"/>
  <c r="I41" i="11"/>
  <c r="D41" i="11"/>
  <c r="B41" i="11"/>
  <c r="X40" i="11"/>
  <c r="R40" i="11"/>
  <c r="S40" i="11" s="1"/>
  <c r="Q40" i="11"/>
  <c r="I40" i="11"/>
  <c r="D40" i="11"/>
  <c r="B40" i="11"/>
  <c r="S39" i="11"/>
  <c r="R39" i="11"/>
  <c r="Q39" i="11"/>
  <c r="I39" i="11"/>
  <c r="D39" i="11"/>
  <c r="B39" i="11"/>
  <c r="S38" i="11"/>
  <c r="R38" i="11"/>
  <c r="Q38" i="11"/>
  <c r="I38" i="11"/>
  <c r="D38" i="11"/>
  <c r="B38" i="11"/>
  <c r="S37" i="11"/>
  <c r="R37" i="11"/>
  <c r="U37" i="11" s="1"/>
  <c r="Q37" i="11"/>
  <c r="I37" i="11"/>
  <c r="D37" i="11"/>
  <c r="B37" i="11"/>
  <c r="S36" i="11"/>
  <c r="R36" i="11"/>
  <c r="Q36" i="11"/>
  <c r="I36" i="11"/>
  <c r="D36" i="11"/>
  <c r="B36" i="11"/>
  <c r="S35" i="11"/>
  <c r="R35" i="11"/>
  <c r="T35" i="11" s="1"/>
  <c r="Q35" i="11"/>
  <c r="I35" i="11"/>
  <c r="D35" i="11"/>
  <c r="B35" i="11"/>
  <c r="S34" i="11"/>
  <c r="R34" i="11"/>
  <c r="T34" i="11" s="1"/>
  <c r="Q34" i="11"/>
  <c r="I34" i="11"/>
  <c r="D34" i="11"/>
  <c r="B34" i="11"/>
  <c r="U33" i="11"/>
  <c r="S33" i="11"/>
  <c r="R33" i="11"/>
  <c r="T33" i="11" s="1"/>
  <c r="Q33" i="11"/>
  <c r="I33" i="11"/>
  <c r="D33" i="11"/>
  <c r="B33" i="11"/>
  <c r="S32" i="11"/>
  <c r="R32" i="11"/>
  <c r="Q32" i="11"/>
  <c r="I32" i="11"/>
  <c r="D32" i="11"/>
  <c r="B32" i="11"/>
  <c r="S31" i="11"/>
  <c r="R31" i="11"/>
  <c r="Q31" i="11"/>
  <c r="I31" i="11"/>
  <c r="D31" i="11"/>
  <c r="B31" i="11"/>
  <c r="AX30" i="11"/>
  <c r="AT30" i="11"/>
  <c r="AS30" i="11"/>
  <c r="AR30" i="11"/>
  <c r="AI30" i="11"/>
  <c r="AH30" i="11"/>
  <c r="AG30" i="11"/>
  <c r="S30" i="11"/>
  <c r="R30" i="11"/>
  <c r="Q30" i="11"/>
  <c r="I30" i="11"/>
  <c r="D30" i="11"/>
  <c r="B30" i="11"/>
  <c r="AX29" i="11"/>
  <c r="AT29" i="11"/>
  <c r="AS29" i="11"/>
  <c r="AR29" i="11"/>
  <c r="AI29" i="11"/>
  <c r="AH29" i="11"/>
  <c r="AG29" i="11"/>
  <c r="S29" i="11"/>
  <c r="R29" i="11"/>
  <c r="T29" i="11" s="1"/>
  <c r="Q29" i="11"/>
  <c r="I29" i="11"/>
  <c r="D29" i="11"/>
  <c r="B29" i="11"/>
  <c r="AX28" i="11"/>
  <c r="AT28" i="11"/>
  <c r="AS28" i="11"/>
  <c r="AR28" i="11"/>
  <c r="AI28" i="11"/>
  <c r="AH28" i="11"/>
  <c r="AG28" i="11"/>
  <c r="S28" i="11"/>
  <c r="R28" i="11"/>
  <c r="U28" i="11" s="1"/>
  <c r="Y28" i="11" s="1"/>
  <c r="Q28" i="11"/>
  <c r="I28" i="11"/>
  <c r="D28" i="11"/>
  <c r="B28" i="11"/>
  <c r="X27" i="11"/>
  <c r="T27" i="11"/>
  <c r="S27" i="11"/>
  <c r="R27" i="11"/>
  <c r="Q27" i="11"/>
  <c r="D27" i="11"/>
  <c r="B27" i="11"/>
  <c r="AX26" i="11"/>
  <c r="AS26" i="11"/>
  <c r="AR26" i="11"/>
  <c r="AI26" i="11"/>
  <c r="AH26" i="11"/>
  <c r="AG26" i="11"/>
  <c r="S26" i="11"/>
  <c r="R26" i="11"/>
  <c r="Q26" i="11"/>
  <c r="AT26" i="11" s="1"/>
  <c r="D26" i="11"/>
  <c r="B26" i="11"/>
  <c r="AX25" i="11"/>
  <c r="AT25" i="11"/>
  <c r="AS25" i="11"/>
  <c r="AR25" i="11"/>
  <c r="AI25" i="11"/>
  <c r="AH25" i="11"/>
  <c r="AG25" i="11"/>
  <c r="S25" i="11"/>
  <c r="R25" i="11"/>
  <c r="Q25" i="11"/>
  <c r="D25" i="11"/>
  <c r="B25" i="11"/>
  <c r="AX24" i="11"/>
  <c r="AT24" i="11"/>
  <c r="AS24" i="11"/>
  <c r="AR24" i="11"/>
  <c r="AI24" i="11"/>
  <c r="AH24" i="11"/>
  <c r="AG24" i="11"/>
  <c r="S24" i="11"/>
  <c r="R24" i="11"/>
  <c r="Q24" i="11"/>
  <c r="D24" i="11"/>
  <c r="B24" i="11"/>
  <c r="AX23" i="11"/>
  <c r="AT23" i="11"/>
  <c r="AS23" i="11"/>
  <c r="AR23" i="11"/>
  <c r="AI23" i="11"/>
  <c r="AH23" i="11"/>
  <c r="AG23" i="11"/>
  <c r="S23" i="11"/>
  <c r="R23" i="11"/>
  <c r="U23" i="11" s="1"/>
  <c r="Y23" i="11" s="1"/>
  <c r="Q23" i="11"/>
  <c r="D23" i="11"/>
  <c r="B23" i="11"/>
  <c r="AX22" i="11"/>
  <c r="AS22" i="11"/>
  <c r="AR22" i="11"/>
  <c r="AI22" i="11"/>
  <c r="AH22" i="11"/>
  <c r="AG22" i="11"/>
  <c r="S22" i="11"/>
  <c r="R22" i="11"/>
  <c r="Q22" i="11"/>
  <c r="AT22" i="11" s="1"/>
  <c r="D22" i="11"/>
  <c r="B22" i="11"/>
  <c r="AX21" i="11"/>
  <c r="AT21" i="11"/>
  <c r="AS21" i="11"/>
  <c r="AR21" i="11"/>
  <c r="AI21" i="11"/>
  <c r="AH21" i="11"/>
  <c r="AG21" i="11"/>
  <c r="S21" i="11"/>
  <c r="R21" i="11"/>
  <c r="T21" i="11" s="1"/>
  <c r="Q21" i="11"/>
  <c r="D21" i="11"/>
  <c r="B21" i="11"/>
  <c r="X20" i="11"/>
  <c r="T20" i="11"/>
  <c r="S20" i="11"/>
  <c r="R20" i="11"/>
  <c r="U20" i="11" s="1"/>
  <c r="Y20" i="11" s="1"/>
  <c r="Q20" i="11"/>
  <c r="D20" i="11"/>
  <c r="B20" i="11"/>
  <c r="X19" i="11"/>
  <c r="T19" i="11"/>
  <c r="S19" i="11"/>
  <c r="R19" i="11"/>
  <c r="Q19" i="11"/>
  <c r="D19" i="11"/>
  <c r="B19" i="11"/>
  <c r="X18" i="11"/>
  <c r="T18" i="11"/>
  <c r="S18" i="11"/>
  <c r="R18" i="11"/>
  <c r="U18" i="11" s="1"/>
  <c r="Y18" i="11" s="1"/>
  <c r="Q18" i="11"/>
  <c r="D18" i="11"/>
  <c r="B18" i="11"/>
  <c r="X17" i="11"/>
  <c r="T17" i="11"/>
  <c r="S17" i="11"/>
  <c r="R17" i="11"/>
  <c r="U17" i="11" s="1"/>
  <c r="Y17" i="11" s="1"/>
  <c r="Q17" i="11"/>
  <c r="D17" i="11"/>
  <c r="B17" i="11"/>
  <c r="BH16" i="11"/>
  <c r="BG16" i="11"/>
  <c r="BF16" i="11"/>
  <c r="BE16" i="11"/>
  <c r="BD16" i="11"/>
  <c r="BB16" i="11"/>
  <c r="BA16" i="11"/>
  <c r="AZ16" i="11"/>
  <c r="AY16" i="11"/>
  <c r="AQ16" i="11"/>
  <c r="AP16" i="11"/>
  <c r="AO16" i="11"/>
  <c r="AN16" i="11"/>
  <c r="AM16" i="11"/>
  <c r="AL16" i="11"/>
  <c r="AI16" i="11"/>
  <c r="AH16" i="11"/>
  <c r="AG16" i="11"/>
  <c r="R16" i="11"/>
  <c r="S16" i="11" s="1"/>
  <c r="Q16" i="11"/>
  <c r="AT16" i="11" s="1"/>
  <c r="I16" i="11"/>
  <c r="D16" i="11"/>
  <c r="B16" i="11"/>
  <c r="X15" i="11"/>
  <c r="T15" i="11"/>
  <c r="R15" i="11"/>
  <c r="Q15" i="11"/>
  <c r="I15" i="11"/>
  <c r="D15" i="11"/>
  <c r="B15" i="11"/>
  <c r="X14" i="11"/>
  <c r="T14" i="11"/>
  <c r="R14" i="11"/>
  <c r="Q14" i="11"/>
  <c r="I14" i="11"/>
  <c r="D14" i="11"/>
  <c r="B14" i="11"/>
  <c r="BH13" i="11"/>
  <c r="BG13" i="11"/>
  <c r="BF13" i="11"/>
  <c r="BE13" i="11"/>
  <c r="BD13" i="11"/>
  <c r="BB13" i="11"/>
  <c r="BA13" i="11"/>
  <c r="AZ13" i="11"/>
  <c r="AY13" i="11"/>
  <c r="AT13" i="11"/>
  <c r="AQ13" i="11"/>
  <c r="AP13" i="11"/>
  <c r="AO13" i="11"/>
  <c r="AN13" i="11"/>
  <c r="AM13" i="11"/>
  <c r="AL13" i="11"/>
  <c r="AI13" i="11"/>
  <c r="AH13" i="11"/>
  <c r="AG13" i="11"/>
  <c r="R13" i="11"/>
  <c r="S13" i="11" s="1"/>
  <c r="Q13" i="11"/>
  <c r="I13" i="11"/>
  <c r="D13" i="11"/>
  <c r="B13" i="11"/>
  <c r="BH12" i="11"/>
  <c r="BG12" i="11"/>
  <c r="BF12" i="11"/>
  <c r="BE12" i="11"/>
  <c r="AX12" i="11"/>
  <c r="AW12" i="11"/>
  <c r="AV12" i="11"/>
  <c r="AU12" i="11"/>
  <c r="AT12" i="11"/>
  <c r="AS12" i="11"/>
  <c r="AR12" i="11"/>
  <c r="AQ12" i="11"/>
  <c r="AP12" i="11"/>
  <c r="AO12" i="11"/>
  <c r="AN12" i="11"/>
  <c r="AM12" i="11"/>
  <c r="AL12" i="11"/>
  <c r="AK12" i="11"/>
  <c r="AI12" i="11"/>
  <c r="AH12" i="11"/>
  <c r="AG12" i="11"/>
  <c r="S12" i="11"/>
  <c r="R12" i="11"/>
  <c r="U12" i="11" s="1"/>
  <c r="Q12" i="11"/>
  <c r="I12" i="11"/>
  <c r="D12" i="11"/>
  <c r="B12" i="11"/>
  <c r="BH11" i="11"/>
  <c r="BG11" i="11"/>
  <c r="BF11" i="11"/>
  <c r="BE11" i="11"/>
  <c r="AX11" i="11"/>
  <c r="AW11" i="11"/>
  <c r="AV11" i="11"/>
  <c r="AU11" i="11"/>
  <c r="AT11" i="11"/>
  <c r="AS11" i="11"/>
  <c r="AR11" i="11"/>
  <c r="AQ11" i="11"/>
  <c r="AP11" i="11"/>
  <c r="AO11" i="11"/>
  <c r="AN11" i="11"/>
  <c r="AM11" i="11"/>
  <c r="AL11" i="11"/>
  <c r="AK11" i="11"/>
  <c r="AI11" i="11"/>
  <c r="AH11" i="11"/>
  <c r="AG11" i="11"/>
  <c r="S11" i="11"/>
  <c r="R11" i="11"/>
  <c r="Q11" i="11"/>
  <c r="I11" i="11"/>
  <c r="D11" i="11"/>
  <c r="B11" i="11"/>
  <c r="BH10" i="11"/>
  <c r="BG10" i="11"/>
  <c r="BF10" i="11"/>
  <c r="BE10" i="11"/>
  <c r="AX10" i="11"/>
  <c r="AW10" i="11"/>
  <c r="AV10" i="11"/>
  <c r="AU10" i="11"/>
  <c r="AT10" i="11"/>
  <c r="AS10" i="11"/>
  <c r="AR10" i="11"/>
  <c r="AQ10" i="11"/>
  <c r="AP10" i="11"/>
  <c r="AO10" i="11"/>
  <c r="AN10" i="11"/>
  <c r="AM10" i="11"/>
  <c r="AL10" i="11"/>
  <c r="AK10" i="11"/>
  <c r="AI10" i="11"/>
  <c r="AH10" i="11"/>
  <c r="AG10" i="11"/>
  <c r="S10" i="11"/>
  <c r="R10" i="11"/>
  <c r="U10" i="11" s="1"/>
  <c r="Q10" i="11"/>
  <c r="I10" i="11"/>
  <c r="D10" i="11"/>
  <c r="B10" i="11"/>
  <c r="BF9" i="11"/>
  <c r="BE9" i="11"/>
  <c r="AX9" i="11"/>
  <c r="AW9" i="11"/>
  <c r="AV9" i="11"/>
  <c r="AU9" i="11"/>
  <c r="AT9" i="11"/>
  <c r="AS9" i="11"/>
  <c r="AR9" i="11"/>
  <c r="AQ9" i="11"/>
  <c r="AP9" i="11"/>
  <c r="AO9" i="11"/>
  <c r="AN9" i="11"/>
  <c r="AM9" i="11"/>
  <c r="AL9" i="11"/>
  <c r="AK9" i="11"/>
  <c r="AI9" i="11"/>
  <c r="AH9" i="11"/>
  <c r="AG9" i="11"/>
  <c r="S9" i="11"/>
  <c r="R9" i="11"/>
  <c r="Q9" i="11"/>
  <c r="I9" i="11"/>
  <c r="D9" i="11"/>
  <c r="B9" i="11"/>
  <c r="S8" i="11"/>
  <c r="R8" i="11"/>
  <c r="Q8" i="11"/>
  <c r="D8" i="11"/>
  <c r="B8" i="11"/>
  <c r="AX7" i="11"/>
  <c r="AT7" i="11"/>
  <c r="AS7" i="11"/>
  <c r="AR7" i="11"/>
  <c r="AI7" i="11"/>
  <c r="AH7" i="11"/>
  <c r="AG7" i="11"/>
  <c r="S7" i="11"/>
  <c r="R7" i="11"/>
  <c r="Q7" i="11"/>
  <c r="I7" i="11"/>
  <c r="D7" i="11"/>
  <c r="B7" i="11"/>
  <c r="I4" i="11"/>
  <c r="G3" i="11"/>
  <c r="G2" i="11"/>
  <c r="AS1" i="11"/>
  <c r="AR1" i="11"/>
  <c r="AM1" i="11"/>
  <c r="AM26" i="11" s="1"/>
  <c r="AL1" i="11"/>
  <c r="AL24" i="11" s="1"/>
  <c r="AJ1" i="11"/>
  <c r="AI1" i="11"/>
  <c r="AH1" i="11"/>
  <c r="Y1" i="11"/>
  <c r="I1" i="11"/>
  <c r="G1" i="11"/>
  <c r="B35" i="8"/>
  <c r="G3" i="8" s="1"/>
  <c r="G19" i="8" s="1"/>
  <c r="G35" i="8" s="1"/>
  <c r="B19" i="8"/>
  <c r="U5" i="21" l="1"/>
  <c r="Y5" i="21" s="1"/>
  <c r="AE11" i="21"/>
  <c r="AK12" i="21" s="1"/>
  <c r="U35" i="11"/>
  <c r="AD5" i="21"/>
  <c r="AA5" i="21" s="1"/>
  <c r="U11" i="11"/>
  <c r="U29" i="11"/>
  <c r="Y29" i="11" s="1"/>
  <c r="U51" i="11"/>
  <c r="T16" i="11"/>
  <c r="U34" i="11"/>
  <c r="U21" i="11"/>
  <c r="Y21" i="11" s="1"/>
  <c r="T37" i="11"/>
  <c r="T23" i="11"/>
  <c r="T50" i="11"/>
  <c r="S14" i="11"/>
  <c r="U14" i="11" s="1"/>
  <c r="T46" i="11"/>
  <c r="U47" i="11"/>
  <c r="U27" i="11"/>
  <c r="Y27" i="11" s="1"/>
  <c r="T48" i="11"/>
  <c r="T10" i="11"/>
  <c r="U19" i="11"/>
  <c r="Y19" i="11" s="1"/>
  <c r="D2" i="40"/>
  <c r="AO7" i="11"/>
  <c r="AO22" i="11"/>
  <c r="AO26" i="11"/>
  <c r="AO28" i="11"/>
  <c r="AO30" i="11"/>
  <c r="AM24" i="11"/>
  <c r="AO29" i="11"/>
  <c r="AO24" i="11"/>
  <c r="AM25" i="11"/>
  <c r="AM23" i="11"/>
  <c r="AM7" i="11"/>
  <c r="BE23" i="11"/>
  <c r="BE28" i="11"/>
  <c r="BE7" i="11"/>
  <c r="BE21" i="11"/>
  <c r="BE24" i="11"/>
  <c r="BE25" i="11"/>
  <c r="BE30" i="11"/>
  <c r="BE26" i="11"/>
  <c r="BE22" i="11"/>
  <c r="BE29" i="11"/>
  <c r="AN21" i="11"/>
  <c r="AN7" i="11"/>
  <c r="AN29" i="11"/>
  <c r="AN23" i="11"/>
  <c r="AN28" i="11"/>
  <c r="AN26" i="11"/>
  <c r="AN25" i="11"/>
  <c r="AN30" i="11"/>
  <c r="AN22" i="11"/>
  <c r="AN24" i="11"/>
  <c r="AX13" i="11"/>
  <c r="AX16" i="11"/>
  <c r="U32" i="11"/>
  <c r="T32" i="11"/>
  <c r="AR16" i="11"/>
  <c r="AR13" i="11"/>
  <c r="U41" i="11"/>
  <c r="T41" i="11"/>
  <c r="BF23" i="11"/>
  <c r="BF29" i="11"/>
  <c r="BF28" i="11"/>
  <c r="BF7" i="11"/>
  <c r="BF26" i="11"/>
  <c r="BF24" i="11"/>
  <c r="BF25" i="11"/>
  <c r="BF21" i="11"/>
  <c r="BF30" i="11"/>
  <c r="BF22" i="11"/>
  <c r="S15" i="11"/>
  <c r="U15" i="11" s="1"/>
  <c r="T12" i="11"/>
  <c r="U52" i="11"/>
  <c r="S52" i="11"/>
  <c r="T52" i="11"/>
  <c r="T30" i="11"/>
  <c r="U30" i="11"/>
  <c r="Y30" i="11" s="1"/>
  <c r="U8" i="11"/>
  <c r="T8" i="11"/>
  <c r="AQ28" i="11"/>
  <c r="AQ26" i="11"/>
  <c r="AQ21" i="11"/>
  <c r="AQ22" i="11"/>
  <c r="AQ30" i="11"/>
  <c r="AQ24" i="11"/>
  <c r="AQ7" i="11"/>
  <c r="AQ25" i="11"/>
  <c r="AQ23" i="11"/>
  <c r="AL22" i="11"/>
  <c r="AL21" i="11"/>
  <c r="AL29" i="11"/>
  <c r="AL30" i="11"/>
  <c r="AL23" i="11"/>
  <c r="AL28" i="11"/>
  <c r="AL7" i="11"/>
  <c r="AL25" i="11"/>
  <c r="AL26" i="11"/>
  <c r="U24" i="11"/>
  <c r="Y24" i="11" s="1"/>
  <c r="T24" i="11"/>
  <c r="AS16" i="11"/>
  <c r="AS13" i="11"/>
  <c r="T11" i="11"/>
  <c r="U42" i="11"/>
  <c r="T42" i="11"/>
  <c r="U9" i="11"/>
  <c r="Y9" i="11" s="1"/>
  <c r="T9" i="11"/>
  <c r="U38" i="11"/>
  <c r="T38" i="11"/>
  <c r="U25" i="11"/>
  <c r="Y25" i="11" s="1"/>
  <c r="T25" i="11"/>
  <c r="U7" i="11"/>
  <c r="Y7" i="11" s="1"/>
  <c r="T7" i="11"/>
  <c r="U39" i="11"/>
  <c r="T39" i="11"/>
  <c r="U44" i="11"/>
  <c r="T31" i="11"/>
  <c r="U31" i="11"/>
  <c r="AM21" i="11"/>
  <c r="AM29" i="11"/>
  <c r="AM28" i="11"/>
  <c r="AO25" i="11"/>
  <c r="U40" i="11"/>
  <c r="T40" i="11"/>
  <c r="T44" i="11"/>
  <c r="AO23" i="11"/>
  <c r="U16" i="11"/>
  <c r="AM22" i="11"/>
  <c r="AM30" i="11"/>
  <c r="U26" i="11"/>
  <c r="Y26" i="11" s="1"/>
  <c r="T26" i="11"/>
  <c r="T28" i="11"/>
  <c r="U45" i="11"/>
  <c r="AP1" i="11"/>
  <c r="AG57" i="20"/>
  <c r="O55" i="20"/>
  <c r="AG62" i="20" s="1"/>
  <c r="AI82" i="20"/>
  <c r="O92" i="20"/>
  <c r="AI84" i="20" s="1"/>
  <c r="U3" i="21"/>
  <c r="Y3" i="21" s="1"/>
  <c r="T3" i="21"/>
  <c r="AE5" i="21"/>
  <c r="AH5" i="21" s="1"/>
  <c r="AJ5" i="21" s="1"/>
  <c r="AK5" i="21" s="1"/>
  <c r="AF199" i="41"/>
  <c r="AH199" i="41" s="1"/>
  <c r="AF186" i="41"/>
  <c r="AH186" i="41" s="1"/>
  <c r="AF158" i="41"/>
  <c r="AH158" i="41" s="1"/>
  <c r="AF213" i="41"/>
  <c r="AH213" i="41" s="1"/>
  <c r="AF181" i="41"/>
  <c r="AH181" i="41" s="1"/>
  <c r="AF153" i="41"/>
  <c r="AH153" i="41" s="1"/>
  <c r="AF211" i="41"/>
  <c r="AH211" i="41" s="1"/>
  <c r="AF129" i="41"/>
  <c r="AH129" i="41" s="1"/>
  <c r="AF176" i="41"/>
  <c r="AH176" i="41" s="1"/>
  <c r="AF148" i="41"/>
  <c r="AH148" i="41" s="1"/>
  <c r="AF210" i="41"/>
  <c r="AH210" i="41" s="1"/>
  <c r="AF196" i="41"/>
  <c r="AH196" i="41" s="1"/>
  <c r="AF190" i="41"/>
  <c r="AH190" i="41" s="1"/>
  <c r="AF155" i="41"/>
  <c r="AH155" i="41" s="1"/>
  <c r="AF130" i="41"/>
  <c r="AH130" i="41" s="1"/>
  <c r="AF116" i="41"/>
  <c r="AH116" i="41" s="1"/>
  <c r="AF164" i="41"/>
  <c r="AH164" i="41" s="1"/>
  <c r="AF152" i="41"/>
  <c r="AH152" i="41" s="1"/>
  <c r="AF177" i="41"/>
  <c r="AH177" i="41" s="1"/>
  <c r="AF137" i="41"/>
  <c r="AH137" i="41" s="1"/>
  <c r="AF166" i="41"/>
  <c r="AH166" i="41" s="1"/>
  <c r="AF96" i="41"/>
  <c r="AH96" i="41" s="1"/>
  <c r="AF89" i="41"/>
  <c r="AH89" i="41" s="1"/>
  <c r="AF178" i="41"/>
  <c r="AH178" i="41" s="1"/>
  <c r="AF149" i="41"/>
  <c r="AH149" i="41" s="1"/>
  <c r="AF143" i="41"/>
  <c r="AH143" i="41" s="1"/>
  <c r="AF60" i="41"/>
  <c r="AH60" i="41" s="1"/>
  <c r="AF44" i="41"/>
  <c r="AH44" i="41" s="1"/>
  <c r="AF13" i="41"/>
  <c r="AH13" i="41" s="1"/>
  <c r="AF195" i="41"/>
  <c r="AH195" i="41" s="1"/>
  <c r="AF191" i="41"/>
  <c r="AH191" i="41" s="1"/>
  <c r="AF169" i="41"/>
  <c r="AH169" i="41" s="1"/>
  <c r="AF144" i="41"/>
  <c r="AH144" i="41" s="1"/>
  <c r="AF117" i="41"/>
  <c r="AH117" i="41" s="1"/>
  <c r="AF206" i="41"/>
  <c r="AH206" i="41" s="1"/>
  <c r="AF159" i="41"/>
  <c r="AH159" i="41" s="1"/>
  <c r="AF123" i="41"/>
  <c r="AH123" i="41" s="1"/>
  <c r="AF189" i="41"/>
  <c r="AH189" i="41" s="1"/>
  <c r="AF92" i="41"/>
  <c r="AH92" i="41" s="1"/>
  <c r="AF91" i="41"/>
  <c r="AH91" i="41" s="1"/>
  <c r="AF61" i="41"/>
  <c r="AH61" i="41" s="1"/>
  <c r="AF59" i="41"/>
  <c r="AH59" i="41" s="1"/>
  <c r="AF58" i="41"/>
  <c r="AH58" i="41" s="1"/>
  <c r="AF220" i="41"/>
  <c r="AH220" i="41" s="1"/>
  <c r="AF167" i="41"/>
  <c r="AH167" i="41" s="1"/>
  <c r="AF192" i="41"/>
  <c r="AH192" i="41" s="1"/>
  <c r="AF170" i="41"/>
  <c r="AH170" i="41" s="1"/>
  <c r="AF119" i="41"/>
  <c r="AH119" i="41" s="1"/>
  <c r="AF78" i="41"/>
  <c r="AH78" i="41" s="1"/>
  <c r="AF224" i="41"/>
  <c r="AH224" i="41" s="1"/>
  <c r="AF200" i="41"/>
  <c r="AH200" i="41" s="1"/>
  <c r="AF179" i="41"/>
  <c r="AH179" i="41" s="1"/>
  <c r="AF222" i="41"/>
  <c r="AH222" i="41" s="1"/>
  <c r="AF115" i="41"/>
  <c r="AH115" i="41" s="1"/>
  <c r="AF97" i="41"/>
  <c r="AH97" i="41" s="1"/>
  <c r="AF79" i="41"/>
  <c r="AH79" i="41" s="1"/>
  <c r="AF90" i="41"/>
  <c r="AH90" i="41" s="1"/>
  <c r="AF132" i="41"/>
  <c r="AH132" i="41" s="1"/>
  <c r="AF124" i="41"/>
  <c r="AH124" i="41" s="1"/>
  <c r="AF80" i="41"/>
  <c r="AH80" i="41" s="1"/>
  <c r="AF128" i="41"/>
  <c r="AH128" i="41" s="1"/>
  <c r="AF209" i="41"/>
  <c r="AH209" i="41" s="1"/>
  <c r="AF187" i="41"/>
  <c r="AH187" i="41" s="1"/>
  <c r="AF145" i="41"/>
  <c r="AH145" i="41" s="1"/>
  <c r="AF81" i="41"/>
  <c r="AH81" i="41" s="1"/>
  <c r="AF62" i="41"/>
  <c r="AH62" i="41" s="1"/>
  <c r="AF40" i="41"/>
  <c r="AH40" i="41" s="1"/>
  <c r="AF207" i="41"/>
  <c r="AH207" i="41" s="1"/>
  <c r="AF203" i="41"/>
  <c r="AH203" i="41" s="1"/>
  <c r="AF111" i="41"/>
  <c r="AH111" i="41" s="1"/>
  <c r="AF64" i="41"/>
  <c r="AH64" i="41" s="1"/>
  <c r="AF198" i="41"/>
  <c r="AH198" i="41" s="1"/>
  <c r="AF126" i="41"/>
  <c r="AH126" i="41" s="1"/>
  <c r="AF94" i="41"/>
  <c r="AH94" i="41" s="1"/>
  <c r="AF69" i="41"/>
  <c r="AH69" i="41" s="1"/>
  <c r="AF208" i="41"/>
  <c r="AH208" i="41" s="1"/>
  <c r="AF134" i="41"/>
  <c r="AH134" i="41" s="1"/>
  <c r="AF113" i="41"/>
  <c r="AH113" i="41" s="1"/>
  <c r="AF71" i="41"/>
  <c r="AH71" i="41" s="1"/>
  <c r="AF70" i="41"/>
  <c r="AH70" i="41" s="1"/>
  <c r="AF118" i="41"/>
  <c r="AH118" i="41" s="1"/>
  <c r="AF151" i="41"/>
  <c r="AH151" i="41" s="1"/>
  <c r="AF131" i="41"/>
  <c r="AH131" i="41" s="1"/>
  <c r="AF72" i="41"/>
  <c r="AH72" i="41" s="1"/>
  <c r="AF56" i="41"/>
  <c r="AH56" i="41" s="1"/>
  <c r="AF87" i="41"/>
  <c r="AH87" i="41" s="1"/>
  <c r="AF185" i="41"/>
  <c r="AH185" i="41" s="1"/>
  <c r="AF11" i="41"/>
  <c r="AH11" i="41" s="1"/>
  <c r="AF68" i="41"/>
  <c r="AH68" i="41" s="1"/>
  <c r="AF168" i="41"/>
  <c r="AH168" i="41" s="1"/>
  <c r="AF102" i="41"/>
  <c r="AH102" i="41" s="1"/>
  <c r="AF29" i="41"/>
  <c r="AH29" i="41" s="1"/>
  <c r="AF114" i="41"/>
  <c r="AH114" i="41" s="1"/>
  <c r="AF100" i="41"/>
  <c r="AH100" i="41" s="1"/>
  <c r="AF74" i="41"/>
  <c r="AH74" i="41" s="1"/>
  <c r="AF28" i="41"/>
  <c r="AH28" i="41" s="1"/>
  <c r="AF82" i="41"/>
  <c r="AH82" i="41" s="1"/>
  <c r="AF122" i="41"/>
  <c r="AH122" i="41" s="1"/>
  <c r="AF38" i="41"/>
  <c r="AH38" i="41" s="1"/>
  <c r="AF180" i="41"/>
  <c r="AH180" i="41" s="1"/>
  <c r="AF150" i="41"/>
  <c r="AH150" i="41" s="1"/>
  <c r="AF202" i="41"/>
  <c r="AH202" i="41" s="1"/>
  <c r="AF138" i="41"/>
  <c r="AH138" i="41" s="1"/>
  <c r="AF172" i="41"/>
  <c r="AH172" i="41" s="1"/>
  <c r="AF67" i="41"/>
  <c r="AH67" i="41" s="1"/>
  <c r="AF188" i="41"/>
  <c r="AH188" i="41" s="1"/>
  <c r="AF101" i="41"/>
  <c r="AH101" i="41" s="1"/>
  <c r="AF75" i="41"/>
  <c r="AH75" i="41" s="1"/>
  <c r="AF17" i="41"/>
  <c r="AH17" i="41" s="1"/>
  <c r="AF121" i="41"/>
  <c r="AH121" i="41" s="1"/>
  <c r="AF24" i="41"/>
  <c r="AH24" i="41" s="1"/>
  <c r="AF7" i="41"/>
  <c r="AH7" i="41" s="1"/>
  <c r="AF133" i="41"/>
  <c r="AH133" i="41" s="1"/>
  <c r="AF25" i="41"/>
  <c r="AH25" i="41" s="1"/>
  <c r="AF16" i="41"/>
  <c r="AH16" i="41" s="1"/>
  <c r="AF6" i="41"/>
  <c r="AH6" i="41" s="1"/>
  <c r="AF99" i="41"/>
  <c r="AH99" i="41" s="1"/>
  <c r="AF95" i="41"/>
  <c r="AH95" i="41" s="1"/>
  <c r="AF157" i="41"/>
  <c r="AH157" i="41" s="1"/>
  <c r="AF201" i="41"/>
  <c r="AH201" i="41" s="1"/>
  <c r="AF221" i="41"/>
  <c r="AH221" i="41" s="1"/>
  <c r="AF125" i="41"/>
  <c r="AH125" i="41" s="1"/>
  <c r="AF163" i="41"/>
  <c r="AH163" i="41" s="1"/>
  <c r="AF88" i="41"/>
  <c r="AH88" i="41" s="1"/>
  <c r="AF193" i="41"/>
  <c r="AH193" i="41" s="1"/>
  <c r="AF165" i="41"/>
  <c r="AH165" i="41" s="1"/>
  <c r="AF37" i="41"/>
  <c r="AH37" i="41" s="1"/>
  <c r="AF14" i="41"/>
  <c r="AH14" i="41" s="1"/>
  <c r="AF98" i="41"/>
  <c r="AH98" i="41" s="1"/>
  <c r="AF73" i="41"/>
  <c r="AH73" i="41" s="1"/>
  <c r="AF63" i="41"/>
  <c r="AH63" i="41" s="1"/>
  <c r="AF27" i="41"/>
  <c r="AH27" i="41" s="1"/>
  <c r="AF8" i="41"/>
  <c r="AH8" i="41" s="1"/>
  <c r="AF154" i="41"/>
  <c r="AH154" i="41" s="1"/>
  <c r="AF84" i="41"/>
  <c r="AH84" i="41" s="1"/>
  <c r="AF30" i="41"/>
  <c r="AH30" i="41" s="1"/>
  <c r="AF15" i="41"/>
  <c r="AH15" i="41" s="1"/>
  <c r="AF34" i="41"/>
  <c r="AH34" i="41" s="1"/>
  <c r="AF127" i="41"/>
  <c r="AH127" i="41" s="1"/>
  <c r="AF66" i="41"/>
  <c r="AH66" i="41" s="1"/>
  <c r="AF31" i="41"/>
  <c r="AH31" i="41" s="1"/>
  <c r="AF83" i="41"/>
  <c r="AH83" i="41" s="1"/>
  <c r="AF19" i="41"/>
  <c r="AH19" i="41" s="1"/>
  <c r="AF26" i="41"/>
  <c r="AH26" i="41" s="1"/>
  <c r="AF93" i="41"/>
  <c r="AH93" i="41" s="1"/>
  <c r="AF32" i="41"/>
  <c r="AH32" i="41" s="1"/>
  <c r="AF146" i="41"/>
  <c r="AH146" i="41" s="1"/>
  <c r="AF36" i="41"/>
  <c r="AH36" i="41" s="1"/>
  <c r="AF21" i="41"/>
  <c r="AH21" i="41" s="1"/>
  <c r="AF18" i="41"/>
  <c r="AH18" i="41" s="1"/>
  <c r="AF106" i="41"/>
  <c r="AH106" i="41" s="1"/>
  <c r="AF53" i="41"/>
  <c r="AH53" i="41" s="1"/>
  <c r="AF55" i="41"/>
  <c r="AH55" i="41" s="1"/>
  <c r="AF77" i="41"/>
  <c r="AH77" i="41" s="1"/>
  <c r="AF12" i="41"/>
  <c r="AH12" i="41" s="1"/>
  <c r="AF9" i="41"/>
  <c r="AH9" i="41" s="1"/>
  <c r="AF33" i="41"/>
  <c r="AH33" i="41" s="1"/>
  <c r="AF194" i="41"/>
  <c r="AH194" i="41" s="1"/>
  <c r="AF120" i="41"/>
  <c r="AH120" i="41" s="1"/>
  <c r="AF76" i="41"/>
  <c r="AH76" i="41" s="1"/>
  <c r="AF39" i="41"/>
  <c r="AH39" i="41" s="1"/>
  <c r="AF43" i="41"/>
  <c r="AH43" i="41" s="1"/>
  <c r="AF10" i="41"/>
  <c r="AH10" i="41" s="1"/>
  <c r="AF57" i="41"/>
  <c r="AH57" i="41" s="1"/>
  <c r="AF20" i="41"/>
  <c r="AH20" i="41" s="1"/>
  <c r="AF23" i="41"/>
  <c r="AH23" i="41" s="1"/>
  <c r="E3" i="19"/>
  <c r="G15" i="19"/>
  <c r="AA35" i="19" s="1"/>
  <c r="G3" i="19"/>
  <c r="AA3" i="19" s="1"/>
  <c r="AV223" i="41"/>
  <c r="AV219" i="41"/>
  <c r="AV162" i="41"/>
  <c r="AV214" i="41"/>
  <c r="AV205" i="41"/>
  <c r="AV212" i="41"/>
  <c r="AV207" i="41"/>
  <c r="AV161" i="41"/>
  <c r="AV151" i="41"/>
  <c r="AV166" i="41"/>
  <c r="AV142" i="41"/>
  <c r="AV190" i="41"/>
  <c r="AV137" i="41"/>
  <c r="AV107" i="41"/>
  <c r="AV218" i="41"/>
  <c r="AV143" i="41"/>
  <c r="AV138" i="41"/>
  <c r="AV201" i="41"/>
  <c r="AV158" i="41"/>
  <c r="AV134" i="41"/>
  <c r="AV101" i="41"/>
  <c r="AV155" i="41"/>
  <c r="AV140" i="41"/>
  <c r="AV195" i="41"/>
  <c r="AV179" i="41"/>
  <c r="AV210" i="41"/>
  <c r="AV222" i="41"/>
  <c r="AV173" i="41"/>
  <c r="AV187" i="41"/>
  <c r="AV211" i="41"/>
  <c r="AV144" i="41"/>
  <c r="AV208" i="41"/>
  <c r="AV164" i="41"/>
  <c r="AV136" i="41"/>
  <c r="AV110" i="41"/>
  <c r="AV198" i="41"/>
  <c r="AV167" i="41"/>
  <c r="AV109" i="41"/>
  <c r="AV184" i="41"/>
  <c r="AV145" i="41"/>
  <c r="AV147" i="41"/>
  <c r="AV99" i="41"/>
  <c r="AV213" i="41"/>
  <c r="AV200" i="41"/>
  <c r="AV118" i="41"/>
  <c r="AV156" i="41"/>
  <c r="AV217" i="41"/>
  <c r="U49" i="11"/>
  <c r="T49" i="11"/>
  <c r="AG5" i="21"/>
  <c r="Y30" i="19"/>
  <c r="W3" i="19"/>
  <c r="AA23" i="19" s="1"/>
  <c r="AU60" i="41"/>
  <c r="AU55" i="41"/>
  <c r="AU53" i="41"/>
  <c r="AU36" i="41"/>
  <c r="AU34" i="41"/>
  <c r="AU61" i="41"/>
  <c r="U22" i="11"/>
  <c r="Y22" i="11" s="1"/>
  <c r="T22" i="11"/>
  <c r="U43" i="11"/>
  <c r="U36" i="11"/>
  <c r="T36" i="11"/>
  <c r="Y10" i="19"/>
  <c r="AG86" i="20"/>
  <c r="G86" i="20"/>
  <c r="AG88" i="20" s="1"/>
  <c r="U13" i="11"/>
  <c r="T13" i="11"/>
  <c r="AG97" i="20"/>
  <c r="M92" i="20"/>
  <c r="AG99" i="20" s="1"/>
  <c r="W86" i="20"/>
  <c r="AI98" i="20" s="1"/>
  <c r="AF204" i="41"/>
  <c r="AH204" i="41" s="1"/>
  <c r="AF218" i="41"/>
  <c r="AH218" i="41" s="1"/>
  <c r="AF215" i="41"/>
  <c r="AH215" i="41" s="1"/>
  <c r="AF212" i="41"/>
  <c r="AH212" i="41" s="1"/>
  <c r="AF174" i="41"/>
  <c r="AH174" i="41" s="1"/>
  <c r="AF219" i="41"/>
  <c r="AH219" i="41" s="1"/>
  <c r="AF140" i="41"/>
  <c r="AH140" i="41" s="1"/>
  <c r="AF223" i="41"/>
  <c r="AH223" i="41" s="1"/>
  <c r="AF214" i="41"/>
  <c r="AH214" i="41" s="1"/>
  <c r="AF136" i="41"/>
  <c r="AH136" i="41" s="1"/>
  <c r="AF109" i="41"/>
  <c r="AH109" i="41" s="1"/>
  <c r="AF182" i="41"/>
  <c r="AH182" i="41" s="1"/>
  <c r="AF147" i="41"/>
  <c r="AH147" i="41" s="1"/>
  <c r="AF217" i="41"/>
  <c r="AH217" i="41" s="1"/>
  <c r="AF205" i="41"/>
  <c r="AH205" i="41" s="1"/>
  <c r="AF183" i="41"/>
  <c r="AH183" i="41" s="1"/>
  <c r="AF162" i="41"/>
  <c r="AH162" i="41" s="1"/>
  <c r="AF110" i="41"/>
  <c r="AH110" i="41" s="1"/>
  <c r="AF173" i="41"/>
  <c r="AH173" i="41" s="1"/>
  <c r="AF45" i="41"/>
  <c r="AH45" i="41" s="1"/>
  <c r="AF184" i="41"/>
  <c r="AH184" i="41" s="1"/>
  <c r="AF160" i="41"/>
  <c r="AH160" i="41" s="1"/>
  <c r="AF41" i="41"/>
  <c r="AH41" i="41" s="1"/>
  <c r="AF156" i="41"/>
  <c r="AH156" i="41" s="1"/>
  <c r="AF141" i="41"/>
  <c r="AH141" i="41" s="1"/>
  <c r="AF171" i="41"/>
  <c r="AH171" i="41" s="1"/>
  <c r="AF175" i="41"/>
  <c r="AH175" i="41" s="1"/>
  <c r="AF51" i="41"/>
  <c r="AH51" i="41" s="1"/>
  <c r="AF139" i="41"/>
  <c r="AH139" i="41" s="1"/>
  <c r="AF142" i="41"/>
  <c r="AH142" i="41" s="1"/>
  <c r="AF107" i="41"/>
  <c r="AH107" i="41" s="1"/>
  <c r="AF197" i="41"/>
  <c r="AH197" i="41" s="1"/>
  <c r="AF135" i="41"/>
  <c r="AH135" i="41" s="1"/>
  <c r="AF42" i="41"/>
  <c r="AH42" i="41" s="1"/>
  <c r="AF112" i="41"/>
  <c r="AH112" i="41" s="1"/>
  <c r="AF161" i="41"/>
  <c r="AH161" i="41" s="1"/>
  <c r="AF48" i="41"/>
  <c r="AH48" i="41" s="1"/>
  <c r="AF216" i="41"/>
  <c r="AH216" i="41" s="1"/>
  <c r="AF46" i="41"/>
  <c r="AH46" i="41" s="1"/>
  <c r="AF86" i="41"/>
  <c r="AH86" i="41" s="1"/>
  <c r="AF49" i="41"/>
  <c r="AH49" i="41" s="1"/>
  <c r="AF65" i="41"/>
  <c r="AH65" i="41" s="1"/>
  <c r="AF47" i="41"/>
  <c r="AH47" i="41" s="1"/>
  <c r="AF108" i="41"/>
  <c r="AH108" i="41" s="1"/>
  <c r="AF85" i="41"/>
  <c r="AH85" i="41" s="1"/>
  <c r="AF50" i="41"/>
  <c r="AH50" i="41" s="1"/>
  <c r="AF52" i="41"/>
  <c r="AH52" i="41" s="1"/>
  <c r="AF35" i="41"/>
  <c r="AF54" i="41"/>
  <c r="AH54" i="41" s="1"/>
  <c r="AH11" i="21"/>
  <c r="AJ11" i="21" s="1"/>
  <c r="AK11" i="21" s="1"/>
  <c r="AG11" i="21"/>
  <c r="AG49" i="20"/>
  <c r="G57" i="20"/>
  <c r="AG51" i="20" s="1"/>
  <c r="AG82" i="20"/>
  <c r="E92" i="20"/>
  <c r="AG84" i="20" s="1"/>
  <c r="AG6" i="20"/>
  <c r="G26" i="20"/>
  <c r="AI4" i="20" s="1"/>
  <c r="M78" i="20"/>
  <c r="O76" i="20" s="1"/>
  <c r="O78" i="20" s="1"/>
  <c r="O79" i="20"/>
  <c r="M79" i="20"/>
  <c r="O77" i="20" s="1"/>
  <c r="M77" i="20"/>
  <c r="M76" i="20"/>
  <c r="AG21" i="20"/>
  <c r="O26" i="20"/>
  <c r="AI29" i="20" s="1"/>
  <c r="AI49" i="20"/>
  <c r="W54" i="20"/>
  <c r="AI51" i="20" s="1"/>
  <c r="Y9" i="19"/>
  <c r="G2" i="19"/>
  <c r="G19" i="20"/>
  <c r="AI13" i="20" s="1"/>
  <c r="G21" i="20"/>
  <c r="AI15" i="20" s="1"/>
  <c r="AI65" i="20"/>
  <c r="E50" i="20"/>
  <c r="AE60" i="20" s="1"/>
  <c r="G7" i="19"/>
  <c r="G12" i="19"/>
  <c r="Y20" i="19"/>
  <c r="M3" i="19"/>
  <c r="O23" i="19"/>
  <c r="AA38" i="19" s="1"/>
  <c r="O3" i="19"/>
  <c r="AA13" i="19" s="1"/>
  <c r="O15" i="19"/>
  <c r="AE200" i="41"/>
  <c r="AE187" i="41"/>
  <c r="AE159" i="41"/>
  <c r="AE154" i="41"/>
  <c r="AE213" i="41"/>
  <c r="AE209" i="41"/>
  <c r="AE198" i="41"/>
  <c r="AE180" i="41"/>
  <c r="AE130" i="41"/>
  <c r="AE220" i="41"/>
  <c r="AE206" i="41"/>
  <c r="AE176" i="41"/>
  <c r="AE191" i="41"/>
  <c r="AE201" i="41"/>
  <c r="AE178" i="41"/>
  <c r="AE170" i="41"/>
  <c r="AE119" i="41"/>
  <c r="AE111" i="41"/>
  <c r="AE169" i="41"/>
  <c r="AE145" i="41"/>
  <c r="AE115" i="41"/>
  <c r="AE125" i="41"/>
  <c r="AE211" i="41"/>
  <c r="AE120" i="41"/>
  <c r="AE81" i="41"/>
  <c r="AE221" i="41"/>
  <c r="AE224" i="41"/>
  <c r="AE157" i="41"/>
  <c r="AE95" i="41"/>
  <c r="AE94" i="41"/>
  <c r="AE91" i="41"/>
  <c r="AE90" i="41"/>
  <c r="AE210" i="41"/>
  <c r="AE194" i="41"/>
  <c r="AE168" i="41"/>
  <c r="AE61" i="41"/>
  <c r="AE32" i="41"/>
  <c r="AE199" i="41"/>
  <c r="AE195" i="41"/>
  <c r="AE208" i="41"/>
  <c r="AE163" i="41"/>
  <c r="AE128" i="41"/>
  <c r="AE101" i="41"/>
  <c r="AE186" i="41"/>
  <c r="AE123" i="41"/>
  <c r="AE63" i="41"/>
  <c r="AE62" i="41"/>
  <c r="AE60" i="41"/>
  <c r="AE189" i="41"/>
  <c r="AE152" i="41"/>
  <c r="AE77" i="41"/>
  <c r="AE192" i="41"/>
  <c r="AE148" i="41"/>
  <c r="AE78" i="41"/>
  <c r="AE59" i="41"/>
  <c r="AE179" i="41"/>
  <c r="AE167" i="41"/>
  <c r="AE222" i="41"/>
  <c r="AE97" i="41"/>
  <c r="AE79" i="41"/>
  <c r="AE132" i="41"/>
  <c r="AE124" i="41"/>
  <c r="AE80" i="41"/>
  <c r="AE164" i="41"/>
  <c r="AE190" i="41"/>
  <c r="AE149" i="41"/>
  <c r="AE116" i="41"/>
  <c r="AE98" i="41"/>
  <c r="AE82" i="41"/>
  <c r="AE207" i="41"/>
  <c r="AE203" i="41"/>
  <c r="AE92" i="41"/>
  <c r="AE150" i="41"/>
  <c r="AE138" i="41"/>
  <c r="AE122" i="41"/>
  <c r="AE99" i="41"/>
  <c r="AE96" i="41"/>
  <c r="AE93" i="41"/>
  <c r="AE118" i="41"/>
  <c r="AE151" i="41"/>
  <c r="AE131" i="41"/>
  <c r="AE72" i="41"/>
  <c r="AE56" i="41"/>
  <c r="AE158" i="41"/>
  <c r="AE87" i="41"/>
  <c r="AE185" i="41"/>
  <c r="AE44" i="41"/>
  <c r="AE129" i="41"/>
  <c r="AE126" i="41"/>
  <c r="AE113" i="41"/>
  <c r="AE177" i="41"/>
  <c r="AE84" i="41"/>
  <c r="AE127" i="41"/>
  <c r="AE30" i="41"/>
  <c r="AE40" i="41"/>
  <c r="AE29" i="41"/>
  <c r="AE196" i="41"/>
  <c r="AE89" i="41"/>
  <c r="AE38" i="41"/>
  <c r="AE165" i="41"/>
  <c r="AE117" i="41"/>
  <c r="AE76" i="41"/>
  <c r="AE73" i="41"/>
  <c r="AE37" i="41"/>
  <c r="AE36" i="41"/>
  <c r="AE133" i="41"/>
  <c r="AE26" i="41"/>
  <c r="AE18" i="41"/>
  <c r="AE8" i="41"/>
  <c r="AE202" i="41"/>
  <c r="AE172" i="41"/>
  <c r="AE121" i="41"/>
  <c r="AE181" i="41"/>
  <c r="AE57" i="41"/>
  <c r="AE55" i="41"/>
  <c r="AE74" i="41"/>
  <c r="AE19" i="41"/>
  <c r="AE70" i="41"/>
  <c r="AE88" i="41"/>
  <c r="AE17" i="41"/>
  <c r="AE114" i="41"/>
  <c r="AE83" i="41"/>
  <c r="AE25" i="41"/>
  <c r="AE137" i="41"/>
  <c r="AE75" i="41"/>
  <c r="AE10" i="41"/>
  <c r="AE15" i="41"/>
  <c r="AE143" i="41"/>
  <c r="AE64" i="41"/>
  <c r="AE11" i="41"/>
  <c r="AE155" i="41"/>
  <c r="AE193" i="41"/>
  <c r="AE13" i="41"/>
  <c r="AE188" i="41"/>
  <c r="AE146" i="41"/>
  <c r="AE106" i="41"/>
  <c r="AE39" i="41"/>
  <c r="AE34" i="41"/>
  <c r="AE21" i="41"/>
  <c r="AE68" i="41"/>
  <c r="AE53" i="41"/>
  <c r="AE144" i="41"/>
  <c r="AE102" i="41"/>
  <c r="AE69" i="41"/>
  <c r="AE12" i="41"/>
  <c r="AE9" i="41"/>
  <c r="AE66" i="41"/>
  <c r="AE16" i="41"/>
  <c r="AE58" i="41"/>
  <c r="AE28" i="41"/>
  <c r="AE7" i="41"/>
  <c r="AE71" i="41"/>
  <c r="AE20" i="41"/>
  <c r="AE153" i="41"/>
  <c r="AE24" i="41"/>
  <c r="AE6" i="41"/>
  <c r="AE43" i="41"/>
  <c r="AE23" i="41"/>
  <c r="AE134" i="41"/>
  <c r="AE166" i="41"/>
  <c r="AE14" i="41"/>
  <c r="AE27" i="41"/>
  <c r="AE33" i="41"/>
  <c r="AE31" i="41"/>
  <c r="AE67" i="41"/>
  <c r="AE100" i="41"/>
  <c r="AE25" i="20"/>
  <c r="AI38" i="20" s="1"/>
  <c r="AG30" i="20"/>
  <c r="O86" i="20"/>
  <c r="AI76" i="20"/>
  <c r="AG26" i="20"/>
  <c r="W26" i="20"/>
  <c r="AI34" i="20" s="1"/>
  <c r="S4" i="21"/>
  <c r="AE8" i="21" s="1"/>
  <c r="U4" i="21"/>
  <c r="Y4" i="21" s="1"/>
  <c r="AG31" i="20"/>
  <c r="AE26" i="20"/>
  <c r="AI39" i="20" s="1"/>
  <c r="AG12" i="21"/>
  <c r="AH12" i="21" s="1"/>
  <c r="AB11" i="21"/>
  <c r="G28" i="20"/>
  <c r="AI6" i="20" s="1"/>
  <c r="G27" i="20"/>
  <c r="AI5" i="20" s="1"/>
  <c r="O27" i="20"/>
  <c r="AI30" i="20" s="1"/>
  <c r="O28" i="20"/>
  <c r="AI31" i="20" s="1"/>
  <c r="AU220" i="41"/>
  <c r="AU168" i="41"/>
  <c r="AU29" i="41"/>
  <c r="G8" i="20"/>
  <c r="AI23" i="20" s="1"/>
  <c r="AG15" i="20"/>
  <c r="AC26" i="20"/>
  <c r="AG29" i="20" s="1"/>
  <c r="U92" i="20"/>
  <c r="AI94" i="20" s="1"/>
  <c r="AI92" i="20"/>
  <c r="AC189" i="41"/>
  <c r="AC222" i="41"/>
  <c r="AC137" i="41"/>
  <c r="AC172" i="41"/>
  <c r="AC194" i="41"/>
  <c r="AC168" i="41"/>
  <c r="AC164" i="41"/>
  <c r="AC66" i="41"/>
  <c r="AC176" i="41"/>
  <c r="AC191" i="41"/>
  <c r="AC75" i="41"/>
  <c r="AC76" i="41"/>
  <c r="AC58" i="41"/>
  <c r="AC57" i="41"/>
  <c r="AC211" i="41"/>
  <c r="AC170" i="41"/>
  <c r="AC77" i="41"/>
  <c r="AC200" i="41"/>
  <c r="AC167" i="41"/>
  <c r="AC190" i="41"/>
  <c r="AC210" i="41"/>
  <c r="AC123" i="41"/>
  <c r="AC71" i="41"/>
  <c r="AC93" i="41"/>
  <c r="AC118" i="41"/>
  <c r="AC99" i="41"/>
  <c r="AC96" i="41"/>
  <c r="AC131" i="41"/>
  <c r="AC151" i="41"/>
  <c r="AC149" i="41"/>
  <c r="AC72" i="41"/>
  <c r="AC158" i="41"/>
  <c r="AC87" i="41"/>
  <c r="AC203" i="41"/>
  <c r="AC88" i="41"/>
  <c r="AC166" i="41"/>
  <c r="AC53" i="41"/>
  <c r="AC84" i="41"/>
  <c r="AC201" i="41"/>
  <c r="AC181" i="41"/>
  <c r="AC125" i="41"/>
  <c r="AC220" i="41"/>
  <c r="AC213" i="41"/>
  <c r="AC127" i="41"/>
  <c r="AC73" i="41"/>
  <c r="AC101" i="41"/>
  <c r="AC64" i="41"/>
  <c r="AC30" i="41"/>
  <c r="AC60" i="41"/>
  <c r="AC102" i="41"/>
  <c r="AC29" i="41"/>
  <c r="AC74" i="41"/>
  <c r="AC138" i="41"/>
  <c r="AC106" i="41"/>
  <c r="AC83" i="41"/>
  <c r="AC69" i="41"/>
  <c r="AC40" i="41"/>
  <c r="AC155" i="41"/>
  <c r="AC193" i="41"/>
  <c r="AC146" i="41"/>
  <c r="AC16" i="41"/>
  <c r="AC134" i="41"/>
  <c r="AC95" i="41"/>
  <c r="AC17" i="41"/>
  <c r="AC28" i="41"/>
  <c r="AC7" i="41"/>
  <c r="AC208" i="41"/>
  <c r="AC9" i="41"/>
  <c r="AC6" i="41"/>
  <c r="AC153" i="41"/>
  <c r="AC13" i="41"/>
  <c r="AM13" i="41" s="1"/>
  <c r="AN13" i="41" s="1"/>
  <c r="AO13" i="41" s="1"/>
  <c r="AP13" i="41" s="1"/>
  <c r="AC14" i="41"/>
  <c r="AC81" i="41"/>
  <c r="AC36" i="41"/>
  <c r="AC37" i="41"/>
  <c r="AC55" i="41"/>
  <c r="G3" i="35"/>
  <c r="F3" i="35"/>
  <c r="AX221" i="41"/>
  <c r="AX194" i="41"/>
  <c r="AX220" i="41"/>
  <c r="AX171" i="41"/>
  <c r="AX189" i="41"/>
  <c r="AX172" i="41"/>
  <c r="AX127" i="41"/>
  <c r="AX191" i="41"/>
  <c r="AX176" i="41"/>
  <c r="AX125" i="41"/>
  <c r="AX85" i="41"/>
  <c r="AX73" i="41"/>
  <c r="AX54" i="41"/>
  <c r="AX48" i="41"/>
  <c r="AX119" i="41"/>
  <c r="AX74" i="41"/>
  <c r="AX46" i="41"/>
  <c r="AX124" i="41"/>
  <c r="AX66" i="41"/>
  <c r="AX89" i="41"/>
  <c r="AX87" i="41"/>
  <c r="AX72" i="41"/>
  <c r="AX44" i="41"/>
  <c r="AX170" i="41"/>
  <c r="AX58" i="41"/>
  <c r="AX31" i="41"/>
  <c r="AX88" i="41"/>
  <c r="AX83" i="41"/>
  <c r="AX29" i="41"/>
  <c r="AX135" i="41"/>
  <c r="AX84" i="41"/>
  <c r="AX82" i="41"/>
  <c r="AX106" i="41"/>
  <c r="AX53" i="41"/>
  <c r="AX65" i="41"/>
  <c r="AX102" i="41"/>
  <c r="AX77" i="41"/>
  <c r="AX55" i="41"/>
  <c r="AX33" i="41"/>
  <c r="AX14" i="41"/>
  <c r="AX57" i="41"/>
  <c r="AX30" i="41"/>
  <c r="AX50" i="41"/>
  <c r="AX16" i="41"/>
  <c r="AX60" i="41"/>
  <c r="AX45" i="41"/>
  <c r="AX25" i="41"/>
  <c r="AX76" i="41"/>
  <c r="AX129" i="41"/>
  <c r="AX122" i="41"/>
  <c r="AX11" i="41"/>
  <c r="AX32" i="41"/>
  <c r="AX18" i="41"/>
  <c r="AX13" i="41"/>
  <c r="AX36" i="41"/>
  <c r="AX17" i="41"/>
  <c r="AX35" i="41"/>
  <c r="AX75" i="41"/>
  <c r="O89" i="20"/>
  <c r="AI81" i="20" s="1"/>
  <c r="AG96" i="20"/>
  <c r="S2" i="21"/>
  <c r="AD2" i="21"/>
  <c r="AA2" i="21" s="1"/>
  <c r="AK15" i="21"/>
  <c r="AG15" i="21"/>
  <c r="AH15" i="21" s="1"/>
  <c r="AD223" i="41"/>
  <c r="AD218" i="41"/>
  <c r="AD205" i="41"/>
  <c r="AD212" i="41"/>
  <c r="AD171" i="41"/>
  <c r="AD219" i="41"/>
  <c r="AD160" i="41"/>
  <c r="AD107" i="41"/>
  <c r="AD54" i="41"/>
  <c r="AD162" i="41"/>
  <c r="AD147" i="41"/>
  <c r="AD161" i="41"/>
  <c r="AD50" i="41"/>
  <c r="AD197" i="41"/>
  <c r="AD204" i="41"/>
  <c r="AD141" i="41"/>
  <c r="AD136" i="41"/>
  <c r="AD35" i="41"/>
  <c r="AD112" i="41"/>
  <c r="AD85" i="41"/>
  <c r="AD49" i="41"/>
  <c r="AD109" i="41"/>
  <c r="AD48" i="41"/>
  <c r="AU84" i="41"/>
  <c r="AU72" i="41"/>
  <c r="AU83" i="41"/>
  <c r="AU89" i="41"/>
  <c r="AU77" i="41"/>
  <c r="AU76" i="41"/>
  <c r="AU17" i="41"/>
  <c r="AU71" i="41"/>
  <c r="AU75" i="41"/>
  <c r="AU73" i="41"/>
  <c r="AU38" i="41"/>
  <c r="AU15" i="41"/>
  <c r="E17" i="20"/>
  <c r="G16" i="20"/>
  <c r="G22" i="20"/>
  <c r="AI16" i="20" s="1"/>
  <c r="G14" i="20"/>
  <c r="AI69" i="20"/>
  <c r="O47" i="20"/>
  <c r="AG72" i="20" s="1"/>
  <c r="AU19" i="41"/>
  <c r="AU28" i="41"/>
  <c r="AD211" i="41"/>
  <c r="AD224" i="41"/>
  <c r="AD207" i="41"/>
  <c r="AD190" i="41"/>
  <c r="AD164" i="41"/>
  <c r="AD66" i="41"/>
  <c r="AD101" i="41"/>
  <c r="AD186" i="41"/>
  <c r="AD106" i="41"/>
  <c r="AD76" i="41"/>
  <c r="AD77" i="41"/>
  <c r="AD200" i="41"/>
  <c r="AD167" i="41"/>
  <c r="AD222" i="41"/>
  <c r="AD195" i="41"/>
  <c r="AD149" i="41"/>
  <c r="AD143" i="41"/>
  <c r="AD99" i="41"/>
  <c r="AD96" i="41"/>
  <c r="AD151" i="41"/>
  <c r="AD72" i="41"/>
  <c r="AD158" i="41"/>
  <c r="AD87" i="41"/>
  <c r="AD189" i="41"/>
  <c r="AD166" i="41"/>
  <c r="AD53" i="41"/>
  <c r="AD196" i="41"/>
  <c r="AD73" i="41"/>
  <c r="AD102" i="41"/>
  <c r="AD88" i="41"/>
  <c r="AD75" i="41"/>
  <c r="AD137" i="41"/>
  <c r="AD71" i="41"/>
  <c r="AD165" i="41"/>
  <c r="AD95" i="41"/>
  <c r="AD40" i="41"/>
  <c r="AD17" i="41"/>
  <c r="AD55" i="41"/>
  <c r="AD38" i="41"/>
  <c r="AD84" i="41"/>
  <c r="AD83" i="41"/>
  <c r="AD19" i="41"/>
  <c r="AD114" i="41"/>
  <c r="AD134" i="41"/>
  <c r="AD81" i="41"/>
  <c r="AD33" i="41"/>
  <c r="AD154" i="41"/>
  <c r="AD74" i="41"/>
  <c r="AD28" i="41"/>
  <c r="AD37" i="41"/>
  <c r="AD25" i="41"/>
  <c r="AD23" i="41"/>
  <c r="AW212" i="41"/>
  <c r="AW158" i="41"/>
  <c r="AW205" i="41"/>
  <c r="AW211" i="41"/>
  <c r="AW200" i="41"/>
  <c r="AW151" i="41"/>
  <c r="AW207" i="41"/>
  <c r="AW213" i="41"/>
  <c r="AW137" i="41"/>
  <c r="AW142" i="41"/>
  <c r="AW153" i="41"/>
  <c r="AW107" i="41"/>
  <c r="AW218" i="41"/>
  <c r="AW143" i="41"/>
  <c r="AW138" i="41"/>
  <c r="AW223" i="41"/>
  <c r="AW101" i="41"/>
  <c r="AW162" i="41"/>
  <c r="AW197" i="41"/>
  <c r="AW217" i="41"/>
  <c r="AW173" i="41"/>
  <c r="AW149" i="41"/>
  <c r="AW210" i="41"/>
  <c r="AW183" i="41"/>
  <c r="AW166" i="41"/>
  <c r="AW224" i="41"/>
  <c r="AW187" i="41"/>
  <c r="AW148" i="41"/>
  <c r="AW163" i="41"/>
  <c r="AW190" i="41"/>
  <c r="AW136" i="41"/>
  <c r="AW131" i="41"/>
  <c r="AW184" i="41"/>
  <c r="AW134" i="41"/>
  <c r="AW152" i="41"/>
  <c r="AW139" i="41"/>
  <c r="AW186" i="41"/>
  <c r="AW141" i="41"/>
  <c r="AW99" i="41"/>
  <c r="AW195" i="41"/>
  <c r="AW109" i="41"/>
  <c r="AW167" i="41"/>
  <c r="AW202" i="41"/>
  <c r="AE205" i="41"/>
  <c r="AE219" i="41"/>
  <c r="AE216" i="41"/>
  <c r="AE184" i="41"/>
  <c r="AE214" i="41"/>
  <c r="AE182" i="41"/>
  <c r="AE212" i="41"/>
  <c r="AE217" i="41"/>
  <c r="AE175" i="41"/>
  <c r="AE147" i="41"/>
  <c r="AE141" i="41"/>
  <c r="AE110" i="41"/>
  <c r="AE140" i="41"/>
  <c r="AE139" i="41"/>
  <c r="AE204" i="41"/>
  <c r="AE218" i="41"/>
  <c r="AE173" i="41"/>
  <c r="AE45" i="41"/>
  <c r="AE161" i="41"/>
  <c r="AE174" i="41"/>
  <c r="AE183" i="41"/>
  <c r="AE156" i="41"/>
  <c r="AE171" i="41"/>
  <c r="AE162" i="41"/>
  <c r="AE46" i="41"/>
  <c r="AE136" i="41"/>
  <c r="AE160" i="41"/>
  <c r="AE108" i="41"/>
  <c r="AE86" i="41"/>
  <c r="AE50" i="41"/>
  <c r="AE51" i="41"/>
  <c r="AE142" i="41"/>
  <c r="AE107" i="41"/>
  <c r="AE197" i="41"/>
  <c r="AE41" i="41"/>
  <c r="AE135" i="41"/>
  <c r="AE42" i="41"/>
  <c r="AE47" i="41"/>
  <c r="AE35" i="41"/>
  <c r="AE48" i="41"/>
  <c r="AE52" i="41"/>
  <c r="AE223" i="41"/>
  <c r="AE112" i="41"/>
  <c r="AE65" i="41"/>
  <c r="AE215" i="41"/>
  <c r="AE109" i="41"/>
  <c r="AE85" i="41"/>
  <c r="AE54" i="41"/>
  <c r="AE49" i="41"/>
  <c r="AU65" i="41"/>
  <c r="AU35" i="41"/>
  <c r="AU41" i="41"/>
  <c r="S53" i="37"/>
  <c r="U53" i="37" s="1"/>
  <c r="W53" i="37" s="1"/>
  <c r="U43" i="37"/>
  <c r="W43" i="37" s="1"/>
  <c r="Q34" i="37"/>
  <c r="U33" i="37"/>
  <c r="W33" i="37" s="1"/>
  <c r="P25" i="37"/>
  <c r="V24" i="37"/>
  <c r="Q16" i="37"/>
  <c r="U15" i="37"/>
  <c r="W15" i="37" s="1"/>
  <c r="M3" i="37"/>
  <c r="V3" i="37" s="1"/>
  <c r="M6" i="37"/>
  <c r="M8" i="37"/>
  <c r="M4" i="37"/>
  <c r="M7" i="37"/>
  <c r="M5" i="37"/>
  <c r="I2" i="37"/>
  <c r="J2" i="37" s="1"/>
  <c r="V53" i="37"/>
  <c r="P54" i="37"/>
  <c r="M2" i="37"/>
  <c r="V2" i="37" s="1"/>
  <c r="P16" i="37"/>
  <c r="V15" i="37"/>
  <c r="AU87" i="41"/>
  <c r="AU44" i="41"/>
  <c r="AU33" i="41"/>
  <c r="AU88" i="41"/>
  <c r="AG198" i="41"/>
  <c r="AG185" i="41"/>
  <c r="AG157" i="41"/>
  <c r="AG180" i="41"/>
  <c r="AG152" i="41"/>
  <c r="AJ218" i="41"/>
  <c r="AK218" i="41" s="1"/>
  <c r="AL218" i="41" s="1"/>
  <c r="AJ200" i="41"/>
  <c r="AK200" i="41" s="1"/>
  <c r="AL200" i="41" s="1"/>
  <c r="AG210" i="41"/>
  <c r="AG199" i="41"/>
  <c r="AG181" i="41"/>
  <c r="AG224" i="41"/>
  <c r="AG187" i="41"/>
  <c r="AJ189" i="41"/>
  <c r="AK189" i="41" s="1"/>
  <c r="AL189" i="41" s="1"/>
  <c r="AG188" i="41"/>
  <c r="AJ183" i="41"/>
  <c r="AK183" i="41" s="1"/>
  <c r="AL183" i="41" s="1"/>
  <c r="AG138" i="41"/>
  <c r="AG137" i="41"/>
  <c r="AG117" i="41"/>
  <c r="AJ215" i="41"/>
  <c r="AK215" i="41" s="1"/>
  <c r="AL215" i="41" s="1"/>
  <c r="AG209" i="41"/>
  <c r="AG196" i="41"/>
  <c r="AG211" i="41"/>
  <c r="AJ204" i="41"/>
  <c r="AK204" i="41" s="1"/>
  <c r="AL204" i="41" s="1"/>
  <c r="AG206" i="41"/>
  <c r="AG151" i="41"/>
  <c r="AG111" i="41"/>
  <c r="AG88" i="41"/>
  <c r="AG213" i="41"/>
  <c r="AG43" i="41"/>
  <c r="AG202" i="41"/>
  <c r="AJ174" i="41"/>
  <c r="AK174" i="41" s="1"/>
  <c r="AL174" i="41" s="1"/>
  <c r="AG150" i="41"/>
  <c r="AG208" i="41"/>
  <c r="AJ196" i="41"/>
  <c r="AK196" i="41" s="1"/>
  <c r="AL196" i="41" s="1"/>
  <c r="AJ137" i="41"/>
  <c r="AK137" i="41" s="1"/>
  <c r="AL137" i="41" s="1"/>
  <c r="AJ118" i="41"/>
  <c r="AK118" i="41" s="1"/>
  <c r="AL118" i="41" s="1"/>
  <c r="AG106" i="41"/>
  <c r="AG94" i="41"/>
  <c r="AJ206" i="41"/>
  <c r="AK206" i="41" s="1"/>
  <c r="AL206" i="41" s="1"/>
  <c r="AG189" i="41"/>
  <c r="AG186" i="41"/>
  <c r="AJ180" i="41"/>
  <c r="AK180" i="41" s="1"/>
  <c r="AL180" i="41" s="1"/>
  <c r="AJ93" i="41"/>
  <c r="AK93" i="41" s="1"/>
  <c r="AL93" i="41" s="1"/>
  <c r="AG92" i="41"/>
  <c r="AG91" i="41"/>
  <c r="AJ150" i="41"/>
  <c r="AK150" i="41" s="1"/>
  <c r="AL150" i="41" s="1"/>
  <c r="AJ140" i="41"/>
  <c r="AK140" i="41" s="1"/>
  <c r="AL140" i="41" s="1"/>
  <c r="AG56" i="41"/>
  <c r="AG55" i="41"/>
  <c r="AG53" i="41"/>
  <c r="AG154" i="41"/>
  <c r="AG167" i="41"/>
  <c r="AG115" i="41"/>
  <c r="AJ222" i="41"/>
  <c r="AK222" i="41" s="1"/>
  <c r="AL222" i="41" s="1"/>
  <c r="AG200" i="41"/>
  <c r="AG179" i="41"/>
  <c r="AG148" i="41"/>
  <c r="AJ115" i="41"/>
  <c r="AK115" i="41" s="1"/>
  <c r="AL115" i="41" s="1"/>
  <c r="AG222" i="41"/>
  <c r="AG97" i="41"/>
  <c r="AG79" i="41"/>
  <c r="AJ152" i="41"/>
  <c r="AK152" i="41" s="1"/>
  <c r="AL152" i="41" s="1"/>
  <c r="AG90" i="41"/>
  <c r="AG60" i="41"/>
  <c r="AJ145" i="41"/>
  <c r="AK145" i="41" s="1"/>
  <c r="AL145" i="41" s="1"/>
  <c r="AG132" i="41"/>
  <c r="AG195" i="41"/>
  <c r="AJ187" i="41"/>
  <c r="AK187" i="41" s="1"/>
  <c r="AL187" i="41" s="1"/>
  <c r="AJ171" i="41"/>
  <c r="AK171" i="41" s="1"/>
  <c r="AL171" i="41" s="1"/>
  <c r="AJ141" i="41"/>
  <c r="AK141" i="41" s="1"/>
  <c r="AL141" i="41" s="1"/>
  <c r="AJ91" i="41"/>
  <c r="AK91" i="41" s="1"/>
  <c r="AL91" i="41" s="1"/>
  <c r="AG61" i="41"/>
  <c r="AG145" i="41"/>
  <c r="AJ116" i="41"/>
  <c r="AK116" i="41" s="1"/>
  <c r="AL116" i="41" s="1"/>
  <c r="AG81" i="41"/>
  <c r="AJ64" i="41"/>
  <c r="AK64" i="41" s="1"/>
  <c r="AL64" i="41" s="1"/>
  <c r="AG62" i="41"/>
  <c r="AG40" i="41"/>
  <c r="AJ207" i="41"/>
  <c r="AK207" i="41" s="1"/>
  <c r="AL207" i="41" s="1"/>
  <c r="AJ198" i="41"/>
  <c r="AK198" i="41" s="1"/>
  <c r="AL198" i="41" s="1"/>
  <c r="AG164" i="41"/>
  <c r="AG207" i="41"/>
  <c r="AG190" i="41"/>
  <c r="AJ185" i="41"/>
  <c r="AK185" i="41" s="1"/>
  <c r="AL185" i="41" s="1"/>
  <c r="AG149" i="41"/>
  <c r="AJ106" i="41"/>
  <c r="AK106" i="41" s="1"/>
  <c r="AL106" i="41" s="1"/>
  <c r="AG99" i="41"/>
  <c r="AJ210" i="41"/>
  <c r="AK210" i="41" s="1"/>
  <c r="AL210" i="41" s="1"/>
  <c r="AG143" i="41"/>
  <c r="AG131" i="41"/>
  <c r="AJ107" i="41"/>
  <c r="AK107" i="41" s="1"/>
  <c r="AL107" i="41" s="1"/>
  <c r="AG72" i="41"/>
  <c r="AG87" i="41"/>
  <c r="AJ197" i="41"/>
  <c r="AK197" i="41" s="1"/>
  <c r="AL197" i="41" s="1"/>
  <c r="AG158" i="41"/>
  <c r="AJ113" i="41"/>
  <c r="AK113" i="41" s="1"/>
  <c r="AL113" i="41" s="1"/>
  <c r="AJ102" i="41"/>
  <c r="AK102" i="41" s="1"/>
  <c r="AL102" i="41" s="1"/>
  <c r="AJ77" i="41"/>
  <c r="AK77" i="41" s="1"/>
  <c r="AL77" i="41" s="1"/>
  <c r="AG68" i="41"/>
  <c r="AJ52" i="41"/>
  <c r="AK52" i="41" s="1"/>
  <c r="AL52" i="41" s="1"/>
  <c r="AG44" i="41"/>
  <c r="AG113" i="41"/>
  <c r="AG84" i="41"/>
  <c r="AJ179" i="41"/>
  <c r="AK179" i="41" s="1"/>
  <c r="AL179" i="41" s="1"/>
  <c r="AG102" i="41"/>
  <c r="AG201" i="41"/>
  <c r="AG77" i="41"/>
  <c r="AG73" i="41"/>
  <c r="AG114" i="41"/>
  <c r="AG100" i="41"/>
  <c r="AG74" i="41"/>
  <c r="AG159" i="41"/>
  <c r="AG78" i="41"/>
  <c r="AG39" i="41"/>
  <c r="AG89" i="41"/>
  <c r="AG38" i="41"/>
  <c r="AJ155" i="41"/>
  <c r="AK155" i="41" s="1"/>
  <c r="AL155" i="41" s="1"/>
  <c r="AG95" i="41"/>
  <c r="AG75" i="41"/>
  <c r="AG63" i="41"/>
  <c r="AG166" i="41"/>
  <c r="AG69" i="41"/>
  <c r="AJ60" i="41"/>
  <c r="AK60" i="41" s="1"/>
  <c r="AL60" i="41" s="1"/>
  <c r="AG28" i="41"/>
  <c r="AG146" i="41"/>
  <c r="AJ175" i="41"/>
  <c r="AK175" i="41" s="1"/>
  <c r="AL175" i="41" s="1"/>
  <c r="AG66" i="41"/>
  <c r="AG101" i="41"/>
  <c r="AJ97" i="41"/>
  <c r="AK97" i="41" s="1"/>
  <c r="AL97" i="41" s="1"/>
  <c r="AJ163" i="41"/>
  <c r="AK163" i="41" s="1"/>
  <c r="AL163" i="41" s="1"/>
  <c r="AJ88" i="41"/>
  <c r="AK88" i="41" s="1"/>
  <c r="AL88" i="41" s="1"/>
  <c r="AJ90" i="41"/>
  <c r="AK90" i="41" s="1"/>
  <c r="AL90" i="41" s="1"/>
  <c r="AG163" i="41"/>
  <c r="AJ71" i="41"/>
  <c r="AK71" i="41" s="1"/>
  <c r="AL71" i="41" s="1"/>
  <c r="AJ38" i="41"/>
  <c r="AK38" i="41" s="1"/>
  <c r="AL38" i="41" s="1"/>
  <c r="AG67" i="41"/>
  <c r="AJ53" i="41"/>
  <c r="AK53" i="41" s="1"/>
  <c r="AL53" i="41" s="1"/>
  <c r="AJ27" i="41"/>
  <c r="AK27" i="41" s="1"/>
  <c r="AL27" i="41" s="1"/>
  <c r="AG20" i="41"/>
  <c r="AG118" i="41"/>
  <c r="AJ51" i="41"/>
  <c r="AK51" i="41" s="1"/>
  <c r="AL51" i="41" s="1"/>
  <c r="AJ144" i="41"/>
  <c r="AK144" i="41" s="1"/>
  <c r="AL144" i="41" s="1"/>
  <c r="AG25" i="41"/>
  <c r="AG27" i="41"/>
  <c r="AJ224" i="41"/>
  <c r="AK224" i="41" s="1"/>
  <c r="AL224" i="41" s="1"/>
  <c r="AJ212" i="41"/>
  <c r="AK212" i="41" s="1"/>
  <c r="AL212" i="41" s="1"/>
  <c r="AG93" i="41"/>
  <c r="AG71" i="41"/>
  <c r="AJ217" i="41"/>
  <c r="AK217" i="41" s="1"/>
  <c r="AL217" i="41" s="1"/>
  <c r="AJ85" i="41"/>
  <c r="AK85" i="41" s="1"/>
  <c r="AL85" i="41" s="1"/>
  <c r="AG17" i="41"/>
  <c r="AG15" i="41"/>
  <c r="AG34" i="41"/>
  <c r="AG165" i="41"/>
  <c r="AG153" i="41"/>
  <c r="AG24" i="41"/>
  <c r="AG16" i="41"/>
  <c r="AG155" i="41"/>
  <c r="AG26" i="41"/>
  <c r="AJ188" i="41"/>
  <c r="AK188" i="41" s="1"/>
  <c r="AL188" i="41" s="1"/>
  <c r="AJ69" i="41"/>
  <c r="AK69" i="41" s="1"/>
  <c r="AL69" i="41" s="1"/>
  <c r="AJ100" i="41"/>
  <c r="AK100" i="41" s="1"/>
  <c r="AL100" i="41" s="1"/>
  <c r="AG64" i="41"/>
  <c r="AG70" i="41"/>
  <c r="AJ50" i="41"/>
  <c r="AK50" i="41" s="1"/>
  <c r="AL50" i="41" s="1"/>
  <c r="AG36" i="41"/>
  <c r="AJ25" i="41"/>
  <c r="AK25" i="41" s="1"/>
  <c r="AL25" i="41" s="1"/>
  <c r="AG18" i="41"/>
  <c r="AJ15" i="41"/>
  <c r="AK15" i="41" s="1"/>
  <c r="AL15" i="41" s="1"/>
  <c r="AG8" i="41"/>
  <c r="AJ43" i="41"/>
  <c r="AK43" i="41" s="1"/>
  <c r="AL43" i="41" s="1"/>
  <c r="AG82" i="41"/>
  <c r="AJ75" i="41"/>
  <c r="AK75" i="41" s="1"/>
  <c r="AL75" i="41" s="1"/>
  <c r="AJ87" i="41"/>
  <c r="AK87" i="41" s="1"/>
  <c r="AL87" i="41" s="1"/>
  <c r="AG134" i="41"/>
  <c r="AJ157" i="41"/>
  <c r="AK157" i="41" s="1"/>
  <c r="AL157" i="41" s="1"/>
  <c r="AJ146" i="41"/>
  <c r="AK146" i="41" s="1"/>
  <c r="AL146" i="41" s="1"/>
  <c r="AG133" i="41"/>
  <c r="AJ114" i="41"/>
  <c r="AK114" i="41" s="1"/>
  <c r="AL114" i="41" s="1"/>
  <c r="AJ99" i="41"/>
  <c r="AK99" i="41" s="1"/>
  <c r="AL99" i="41" s="1"/>
  <c r="AG76" i="41"/>
  <c r="AG19" i="41"/>
  <c r="AJ89" i="41"/>
  <c r="AK89" i="41" s="1"/>
  <c r="AL89" i="41" s="1"/>
  <c r="AJ92" i="41"/>
  <c r="AK92" i="41" s="1"/>
  <c r="AL92" i="41" s="1"/>
  <c r="AG116" i="41"/>
  <c r="AG33" i="41"/>
  <c r="AG83" i="41"/>
  <c r="AG23" i="41"/>
  <c r="AG144" i="41"/>
  <c r="AG37" i="41"/>
  <c r="AJ16" i="41"/>
  <c r="AK16" i="41" s="1"/>
  <c r="AL16" i="41" s="1"/>
  <c r="AG96" i="41"/>
  <c r="AJ24" i="41"/>
  <c r="AK24" i="41" s="1"/>
  <c r="AL24" i="41" s="1"/>
  <c r="AJ45" i="41"/>
  <c r="AK45" i="41" s="1"/>
  <c r="AL45" i="41" s="1"/>
  <c r="AJ28" i="41"/>
  <c r="AK28" i="41" s="1"/>
  <c r="AL28" i="41" s="1"/>
  <c r="AG16" i="20"/>
  <c r="G4" i="20"/>
  <c r="AI19" i="20" s="1"/>
  <c r="V47" i="37"/>
  <c r="T5" i="21"/>
  <c r="AC205" i="41"/>
  <c r="AC223" i="41"/>
  <c r="AC162" i="41"/>
  <c r="AC171" i="41"/>
  <c r="AC107" i="41"/>
  <c r="AC85" i="41"/>
  <c r="AC183" i="41"/>
  <c r="AC142" i="41"/>
  <c r="AC173" i="41"/>
  <c r="AC54" i="41"/>
  <c r="AC212" i="41"/>
  <c r="AC109" i="41"/>
  <c r="AC219" i="41"/>
  <c r="AC35" i="41"/>
  <c r="AC161" i="41"/>
  <c r="AC48" i="41"/>
  <c r="AC50" i="41"/>
  <c r="AC147" i="41"/>
  <c r="AC49" i="41"/>
  <c r="AC42" i="41"/>
  <c r="AM42" i="41" s="1"/>
  <c r="AN42" i="41" s="1"/>
  <c r="AO42" i="41" s="1"/>
  <c r="AP42" i="41" s="1"/>
  <c r="AC86" i="41"/>
  <c r="AC65" i="41"/>
  <c r="AA3" i="37"/>
  <c r="V36" i="37"/>
  <c r="P37" i="37"/>
  <c r="U46" i="37"/>
  <c r="W46" i="37" s="1"/>
  <c r="Q47" i="37"/>
  <c r="Q25" i="37"/>
  <c r="U24" i="37"/>
  <c r="W24" i="37" s="1"/>
  <c r="U23" i="37"/>
  <c r="W23" i="37" s="1"/>
  <c r="W2" i="37"/>
  <c r="P4" i="37"/>
  <c r="U22" i="37"/>
  <c r="W22" i="37" s="1"/>
  <c r="S32" i="37"/>
  <c r="U45" i="37"/>
  <c r="W45" i="37" s="1"/>
  <c r="Q5" i="37"/>
  <c r="U4" i="37"/>
  <c r="U14" i="37"/>
  <c r="W14" i="37" s="1"/>
  <c r="Q54" i="37"/>
  <c r="AU106" i="41"/>
  <c r="AU66" i="41"/>
  <c r="AU54" i="41"/>
  <c r="U44" i="37"/>
  <c r="W44" i="37" s="1"/>
  <c r="AT205" i="41"/>
  <c r="AT214" i="41"/>
  <c r="AT211" i="41"/>
  <c r="AT190" i="41"/>
  <c r="AT149" i="41"/>
  <c r="AT84" i="41"/>
  <c r="AT161" i="41"/>
  <c r="AT85" i="41"/>
  <c r="AT212" i="41"/>
  <c r="AT109" i="41"/>
  <c r="AT189" i="41"/>
  <c r="AT134" i="41"/>
  <c r="AT195" i="41"/>
  <c r="AT74" i="41"/>
  <c r="AT224" i="41"/>
  <c r="AT223" i="41"/>
  <c r="AT76" i="41"/>
  <c r="AT163" i="41"/>
  <c r="AT158" i="41"/>
  <c r="AT219" i="41"/>
  <c r="AT139" i="41"/>
  <c r="AT162" i="41"/>
  <c r="AT50" i="41"/>
  <c r="AT66" i="41"/>
  <c r="AT64" i="41"/>
  <c r="AT77" i="41"/>
  <c r="AT71" i="41"/>
  <c r="AT54" i="41"/>
  <c r="AT148" i="41"/>
  <c r="AT87" i="41"/>
  <c r="AT79" i="41"/>
  <c r="AT40" i="41"/>
  <c r="AT102" i="41"/>
  <c r="AT83" i="41"/>
  <c r="AT46" i="41"/>
  <c r="AT152" i="41"/>
  <c r="AU85" i="41"/>
  <c r="AU46" i="41"/>
  <c r="AU170" i="41"/>
  <c r="AU172" i="41"/>
  <c r="AU191" i="41"/>
  <c r="AU127" i="41"/>
  <c r="AU169" i="41"/>
  <c r="AU31" i="41"/>
  <c r="AU9" i="41"/>
  <c r="AU194" i="41"/>
  <c r="AU6" i="41"/>
  <c r="AS100" i="41"/>
  <c r="AT100" i="41" s="1"/>
  <c r="AV100" i="41"/>
  <c r="AX100" i="41"/>
  <c r="AW100" i="41"/>
  <c r="AU100" i="41"/>
  <c r="AD100" i="41"/>
  <c r="AC100" i="41"/>
  <c r="AJ173" i="41"/>
  <c r="AK173" i="41" s="1"/>
  <c r="AL173" i="41" s="1"/>
  <c r="AT15" i="41"/>
  <c r="B15" i="39"/>
  <c r="C15" i="39"/>
  <c r="AC67" i="41"/>
  <c r="AU67" i="41"/>
  <c r="AS67" i="41"/>
  <c r="AT67" i="41" s="1"/>
  <c r="AX67" i="41"/>
  <c r="AV67" i="41"/>
  <c r="AW67" i="41"/>
  <c r="AD67" i="41"/>
  <c r="AT17" i="41"/>
  <c r="AJ8" i="41"/>
  <c r="AK8" i="41" s="1"/>
  <c r="AL8" i="41" s="1"/>
  <c r="AJ26" i="41"/>
  <c r="AK26" i="41" s="1"/>
  <c r="AL26" i="41" s="1"/>
  <c r="AT18" i="41"/>
  <c r="AD59" i="41"/>
  <c r="AC59" i="41"/>
  <c r="AU59" i="41"/>
  <c r="AV59" i="41"/>
  <c r="AS59" i="41"/>
  <c r="AT59" i="41" s="1"/>
  <c r="AX59" i="41"/>
  <c r="AW59" i="41"/>
  <c r="AT34" i="41"/>
  <c r="AJ65" i="41"/>
  <c r="AK65" i="41" s="1"/>
  <c r="AL65" i="41" s="1"/>
  <c r="C7" i="39"/>
  <c r="B7" i="39"/>
  <c r="AJ39" i="41"/>
  <c r="AK39" i="41" s="1"/>
  <c r="AL39" i="41" s="1"/>
  <c r="C4" i="39"/>
  <c r="AS47" i="41"/>
  <c r="AT47" i="41" s="1"/>
  <c r="AC47" i="41"/>
  <c r="AW47" i="41"/>
  <c r="AV47" i="41"/>
  <c r="AU47" i="41"/>
  <c r="AD47" i="41"/>
  <c r="AX47" i="41"/>
  <c r="B12" i="39"/>
  <c r="C12" i="39"/>
  <c r="AT101" i="41"/>
  <c r="AS27" i="41"/>
  <c r="AT27" i="41" s="1"/>
  <c r="AW27" i="41"/>
  <c r="AX27" i="41"/>
  <c r="AV27" i="41"/>
  <c r="AU27" i="41"/>
  <c r="AC27" i="41"/>
  <c r="AV111" i="41"/>
  <c r="AS111" i="41"/>
  <c r="AT111" i="41" s="1"/>
  <c r="AD111" i="41"/>
  <c r="AX111" i="41"/>
  <c r="AW111" i="41"/>
  <c r="AU111" i="41"/>
  <c r="AC111" i="41"/>
  <c r="AD27" i="41"/>
  <c r="AX34" i="41"/>
  <c r="AW34" i="41"/>
  <c r="AV34" i="41"/>
  <c r="AD34" i="41"/>
  <c r="AC34" i="41"/>
  <c r="AX12" i="41"/>
  <c r="AT36" i="41"/>
  <c r="AJ166" i="41"/>
  <c r="AK166" i="41" s="1"/>
  <c r="AL166" i="41" s="1"/>
  <c r="AT8" i="41"/>
  <c r="AJ139" i="41"/>
  <c r="AK139" i="41" s="1"/>
  <c r="AL139" i="41" s="1"/>
  <c r="AS24" i="41"/>
  <c r="AT24" i="41" s="1"/>
  <c r="AU24" i="41"/>
  <c r="AC24" i="41"/>
  <c r="AW24" i="41"/>
  <c r="AD24" i="41"/>
  <c r="AX24" i="41"/>
  <c r="AV24" i="41"/>
  <c r="AJ96" i="41"/>
  <c r="AK96" i="41" s="1"/>
  <c r="AL96" i="41" s="1"/>
  <c r="AT38" i="41"/>
  <c r="AT19" i="41"/>
  <c r="C26" i="39"/>
  <c r="B26" i="39"/>
  <c r="AJ37" i="41"/>
  <c r="AK37" i="41" s="1"/>
  <c r="AL37" i="41" s="1"/>
  <c r="AT48" i="41"/>
  <c r="AP6" i="43"/>
  <c r="AJ83" i="41"/>
  <c r="AK83" i="41" s="1"/>
  <c r="AL83" i="41" s="1"/>
  <c r="AW92" i="41"/>
  <c r="AC92" i="41"/>
  <c r="AU92" i="41"/>
  <c r="AS92" i="41"/>
  <c r="AT92" i="41" s="1"/>
  <c r="AD92" i="41"/>
  <c r="AX92" i="41"/>
  <c r="AV92" i="41"/>
  <c r="AV113" i="41"/>
  <c r="AC113" i="41"/>
  <c r="AS113" i="41"/>
  <c r="AT113" i="41" s="1"/>
  <c r="AU113" i="41"/>
  <c r="AD113" i="41"/>
  <c r="AX113" i="41"/>
  <c r="AW113" i="41"/>
  <c r="AT56" i="41"/>
  <c r="AJ135" i="41"/>
  <c r="AK135" i="41" s="1"/>
  <c r="AL135" i="41" s="1"/>
  <c r="AS26" i="41"/>
  <c r="AT26" i="41" s="1"/>
  <c r="AC26" i="41"/>
  <c r="AD26" i="41"/>
  <c r="AW26" i="41"/>
  <c r="AU26" i="41"/>
  <c r="AV26" i="41"/>
  <c r="AX26" i="41"/>
  <c r="AW15" i="41"/>
  <c r="AX15" i="41"/>
  <c r="AD15" i="41"/>
  <c r="AC15" i="41"/>
  <c r="AV108" i="41"/>
  <c r="AU108" i="41"/>
  <c r="AX108" i="41"/>
  <c r="AW108" i="41"/>
  <c r="AS108" i="41"/>
  <c r="AT108" i="41" s="1"/>
  <c r="AD108" i="41"/>
  <c r="AC108" i="41"/>
  <c r="AX10" i="41"/>
  <c r="AW10" i="41"/>
  <c r="AD10" i="41"/>
  <c r="AC10" i="41"/>
  <c r="AS10" i="41"/>
  <c r="AT10" i="41" s="1"/>
  <c r="AU10" i="41"/>
  <c r="AJ23" i="41"/>
  <c r="AK23" i="41" s="1"/>
  <c r="AL23" i="41" s="1"/>
  <c r="AJ35" i="41"/>
  <c r="AK35" i="41" s="1"/>
  <c r="AL35" i="41" s="1"/>
  <c r="AS41" i="41"/>
  <c r="AT41" i="41" s="1"/>
  <c r="AX41" i="41"/>
  <c r="AD41" i="41"/>
  <c r="AC41" i="41"/>
  <c r="AW41" i="41"/>
  <c r="AV41" i="41"/>
  <c r="AT43" i="41"/>
  <c r="AU98" i="41"/>
  <c r="AD98" i="41"/>
  <c r="AX98" i="41"/>
  <c r="AW98" i="41"/>
  <c r="AC98" i="41"/>
  <c r="AV98" i="41"/>
  <c r="AS98" i="41"/>
  <c r="AT98" i="41" s="1"/>
  <c r="AT60" i="41"/>
  <c r="AS63" i="41"/>
  <c r="AT63" i="41" s="1"/>
  <c r="AD63" i="41"/>
  <c r="AV63" i="41"/>
  <c r="AU63" i="41"/>
  <c r="AX63" i="41"/>
  <c r="AW63" i="41"/>
  <c r="AC63" i="41"/>
  <c r="AV56" i="41"/>
  <c r="AD56" i="41"/>
  <c r="AC56" i="41"/>
  <c r="AX56" i="41"/>
  <c r="AW56" i="41"/>
  <c r="AU56" i="41"/>
  <c r="AJ56" i="41"/>
  <c r="AK56" i="41" s="1"/>
  <c r="AL56" i="41" s="1"/>
  <c r="AW20" i="41"/>
  <c r="AX20" i="41"/>
  <c r="AV20" i="41"/>
  <c r="AU20" i="41"/>
  <c r="AS20" i="41"/>
  <c r="AT20" i="41" s="1"/>
  <c r="AJ42" i="41"/>
  <c r="AK42" i="41" s="1"/>
  <c r="AL42" i="41" s="1"/>
  <c r="AJ74" i="41"/>
  <c r="AK74" i="41" s="1"/>
  <c r="AL74" i="41" s="1"/>
  <c r="AJ79" i="41"/>
  <c r="AK79" i="41" s="1"/>
  <c r="AL79" i="41" s="1"/>
  <c r="AC20" i="41"/>
  <c r="AU7" i="41"/>
  <c r="AX7" i="41"/>
  <c r="AW7" i="41"/>
  <c r="AD7" i="41"/>
  <c r="AS7" i="41"/>
  <c r="AT7" i="41" s="1"/>
  <c r="AD20" i="41"/>
  <c r="AX21" i="41"/>
  <c r="AU21" i="41"/>
  <c r="AS21" i="41"/>
  <c r="AT21" i="41" s="1"/>
  <c r="AD21" i="41"/>
  <c r="AC21" i="41"/>
  <c r="AW43" i="41"/>
  <c r="AV43" i="41"/>
  <c r="AX43" i="41"/>
  <c r="AU43" i="41"/>
  <c r="AD43" i="41"/>
  <c r="AW94" i="41"/>
  <c r="AX94" i="41"/>
  <c r="AS94" i="41"/>
  <c r="AT94" i="41" s="1"/>
  <c r="AC94" i="41"/>
  <c r="AV94" i="41"/>
  <c r="AU94" i="41"/>
  <c r="AD94" i="41"/>
  <c r="AT210" i="41"/>
  <c r="AC43" i="41"/>
  <c r="AS28" i="41"/>
  <c r="AT28" i="41" s="1"/>
  <c r="AX28" i="41"/>
  <c r="AW28" i="41"/>
  <c r="AV28" i="41"/>
  <c r="AJ33" i="41"/>
  <c r="AK33" i="41" s="1"/>
  <c r="AL33" i="41" s="1"/>
  <c r="AX37" i="41"/>
  <c r="AW37" i="41"/>
  <c r="AV37" i="41"/>
  <c r="AU37" i="41"/>
  <c r="AS37" i="41"/>
  <c r="AT37" i="41" s="1"/>
  <c r="AD80" i="41"/>
  <c r="AX80" i="41"/>
  <c r="AC80" i="41"/>
  <c r="AV80" i="41"/>
  <c r="AS80" i="41"/>
  <c r="AT80" i="41" s="1"/>
  <c r="AW80" i="41"/>
  <c r="AU80" i="41"/>
  <c r="AT73" i="41"/>
  <c r="AJ20" i="41"/>
  <c r="AK20" i="41" s="1"/>
  <c r="AL20" i="41" s="1"/>
  <c r="AD32" i="41"/>
  <c r="AS32" i="41"/>
  <c r="AT32" i="41" s="1"/>
  <c r="AC32" i="41"/>
  <c r="AV32" i="41"/>
  <c r="AU32" i="41"/>
  <c r="AD61" i="41"/>
  <c r="AC61" i="41"/>
  <c r="AW61" i="41"/>
  <c r="AX61" i="41"/>
  <c r="C29" i="39"/>
  <c r="B29" i="39"/>
  <c r="W14" i="41"/>
  <c r="W1" i="41" s="1"/>
  <c r="AT61" i="41"/>
  <c r="AJ159" i="41"/>
  <c r="AK159" i="41" s="1"/>
  <c r="AL159" i="41" s="1"/>
  <c r="AT88" i="41"/>
  <c r="AU91" i="41"/>
  <c r="AW91" i="41"/>
  <c r="AV91" i="41"/>
  <c r="AS91" i="41"/>
  <c r="AT91" i="41" s="1"/>
  <c r="AX91" i="41"/>
  <c r="AJ94" i="41"/>
  <c r="AK94" i="41" s="1"/>
  <c r="AL94" i="41" s="1"/>
  <c r="AC91" i="41"/>
  <c r="AJ111" i="41"/>
  <c r="AK111" i="41" s="1"/>
  <c r="AL111" i="41" s="1"/>
  <c r="AD91" i="41"/>
  <c r="AX86" i="41"/>
  <c r="AW86" i="41"/>
  <c r="AV86" i="41"/>
  <c r="AS86" i="41"/>
  <c r="AT86" i="41" s="1"/>
  <c r="AU86" i="41"/>
  <c r="AD86" i="41"/>
  <c r="AT144" i="41"/>
  <c r="AX8" i="41"/>
  <c r="AW8" i="41"/>
  <c r="AV8" i="41"/>
  <c r="AC8" i="41"/>
  <c r="AU8" i="41"/>
  <c r="AD8" i="41"/>
  <c r="AS39" i="41"/>
  <c r="AT39" i="41" s="1"/>
  <c r="AX39" i="41"/>
  <c r="AW39" i="41"/>
  <c r="AV39" i="41"/>
  <c r="AU39" i="41"/>
  <c r="AD39" i="41"/>
  <c r="AC39" i="41"/>
  <c r="AJ41" i="41"/>
  <c r="AK41" i="41" s="1"/>
  <c r="AL41" i="41" s="1"/>
  <c r="AV51" i="41"/>
  <c r="AX51" i="41"/>
  <c r="AW51" i="41"/>
  <c r="AS51" i="41"/>
  <c r="AT51" i="41" s="1"/>
  <c r="AD51" i="41"/>
  <c r="AC51" i="41"/>
  <c r="AU51" i="41"/>
  <c r="AJ67" i="41"/>
  <c r="AK67" i="41" s="1"/>
  <c r="AL67" i="41" s="1"/>
  <c r="AC132" i="41"/>
  <c r="AS132" i="41"/>
  <c r="AT132" i="41" s="1"/>
  <c r="AX132" i="41"/>
  <c r="AU132" i="41"/>
  <c r="AD132" i="41"/>
  <c r="AW132" i="41"/>
  <c r="AV132" i="41"/>
  <c r="AJ34" i="41"/>
  <c r="AK34" i="41" s="1"/>
  <c r="AL34" i="41" s="1"/>
  <c r="AD36" i="41"/>
  <c r="AT55" i="41"/>
  <c r="AX70" i="41"/>
  <c r="AW70" i="41"/>
  <c r="AV70" i="41"/>
  <c r="AS70" i="41"/>
  <c r="AT70" i="41" s="1"/>
  <c r="AU70" i="41"/>
  <c r="AD70" i="41"/>
  <c r="AC70" i="41"/>
  <c r="AT175" i="41"/>
  <c r="AD178" i="41"/>
  <c r="AU178" i="41"/>
  <c r="AX178" i="41"/>
  <c r="AW178" i="41"/>
  <c r="AC178" i="41"/>
  <c r="AV178" i="41"/>
  <c r="AS178" i="41"/>
  <c r="AT178" i="41" s="1"/>
  <c r="AT118" i="41"/>
  <c r="AJ48" i="41"/>
  <c r="AK48" i="41" s="1"/>
  <c r="AL48" i="41" s="1"/>
  <c r="AX81" i="41"/>
  <c r="AW81" i="41"/>
  <c r="AV81" i="41"/>
  <c r="AS81" i="41"/>
  <c r="AT81" i="41" s="1"/>
  <c r="AJ184" i="41"/>
  <c r="AK184" i="41" s="1"/>
  <c r="AL184" i="41" s="1"/>
  <c r="AT143" i="41"/>
  <c r="AT65" i="41"/>
  <c r="AJ76" i="41"/>
  <c r="AK76" i="41" s="1"/>
  <c r="AL76" i="41" s="1"/>
  <c r="AW11" i="41"/>
  <c r="AV11" i="41"/>
  <c r="AU11" i="41"/>
  <c r="AD11" i="41"/>
  <c r="AC11" i="41"/>
  <c r="BC37" i="41"/>
  <c r="AJ147" i="41"/>
  <c r="AK147" i="41" s="1"/>
  <c r="AL147" i="41" s="1"/>
  <c r="AD16" i="41"/>
  <c r="AW16" i="41"/>
  <c r="AU16" i="41"/>
  <c r="AS16" i="41"/>
  <c r="AT16" i="41" s="1"/>
  <c r="AC19" i="41"/>
  <c r="AX19" i="41"/>
  <c r="AW19" i="41"/>
  <c r="AD185" i="41"/>
  <c r="AX185" i="41"/>
  <c r="AV185" i="41"/>
  <c r="AW185" i="41"/>
  <c r="AU185" i="41"/>
  <c r="AS185" i="41"/>
  <c r="AT185" i="41" s="1"/>
  <c r="AC185" i="41"/>
  <c r="AT209" i="41"/>
  <c r="AJ44" i="41"/>
  <c r="AK44" i="41" s="1"/>
  <c r="AL44" i="41" s="1"/>
  <c r="AD90" i="41"/>
  <c r="AC90" i="41"/>
  <c r="AS90" i="41"/>
  <c r="AT90" i="41" s="1"/>
  <c r="AX90" i="41"/>
  <c r="AV90" i="41"/>
  <c r="AU90" i="41"/>
  <c r="AT140" i="41"/>
  <c r="B6" i="39"/>
  <c r="AU126" i="41"/>
  <c r="AD126" i="41"/>
  <c r="AX126" i="41"/>
  <c r="AS126" i="41"/>
  <c r="AT126" i="41" s="1"/>
  <c r="AC126" i="41"/>
  <c r="AV126" i="41"/>
  <c r="AW126" i="41"/>
  <c r="AJ165" i="41"/>
  <c r="AK165" i="41" s="1"/>
  <c r="AL165" i="41" s="1"/>
  <c r="AT35" i="41"/>
  <c r="AT72" i="41"/>
  <c r="AC177" i="41"/>
  <c r="AS177" i="41"/>
  <c r="AT177" i="41" s="1"/>
  <c r="AX177" i="41"/>
  <c r="AW177" i="41"/>
  <c r="AV177" i="41"/>
  <c r="AU177" i="41"/>
  <c r="AV6" i="41"/>
  <c r="AX6" i="41"/>
  <c r="AD6" i="41"/>
  <c r="AJ47" i="41"/>
  <c r="AK47" i="41" s="1"/>
  <c r="AL47" i="41" s="1"/>
  <c r="AJ86" i="41"/>
  <c r="AK86" i="41" s="1"/>
  <c r="AL86" i="41" s="1"/>
  <c r="AD18" i="41"/>
  <c r="AC18" i="41"/>
  <c r="AJ109" i="41"/>
  <c r="AK109" i="41" s="1"/>
  <c r="AL109" i="41" s="1"/>
  <c r="AD177" i="41"/>
  <c r="AJ219" i="41"/>
  <c r="AK219" i="41" s="1"/>
  <c r="AL219" i="41" s="1"/>
  <c r="AD12" i="41"/>
  <c r="AC12" i="41"/>
  <c r="AM12" i="41" s="1"/>
  <c r="AN12" i="41" s="1"/>
  <c r="AO12" i="41" s="1"/>
  <c r="AP12" i="41" s="1"/>
  <c r="AS12" i="41"/>
  <c r="AT12" i="41" s="1"/>
  <c r="AU12" i="41"/>
  <c r="AU25" i="41"/>
  <c r="AS25" i="41"/>
  <c r="AT25" i="41" s="1"/>
  <c r="AC25" i="41"/>
  <c r="AJ36" i="41"/>
  <c r="AK36" i="41" s="1"/>
  <c r="AL36" i="41" s="1"/>
  <c r="AT42" i="41"/>
  <c r="AJ46" i="41"/>
  <c r="AK46" i="41" s="1"/>
  <c r="AL46" i="41" s="1"/>
  <c r="AT117" i="41"/>
  <c r="AT166" i="41"/>
  <c r="AJ17" i="41"/>
  <c r="AK17" i="41" s="1"/>
  <c r="AL17" i="41" s="1"/>
  <c r="AJ186" i="41"/>
  <c r="AK186" i="41" s="1"/>
  <c r="AL186" i="41" s="1"/>
  <c r="AD79" i="41"/>
  <c r="AC79" i="41"/>
  <c r="AW79" i="41"/>
  <c r="AU79" i="41"/>
  <c r="AX79" i="41"/>
  <c r="AV79" i="41"/>
  <c r="AU121" i="41"/>
  <c r="AD121" i="41"/>
  <c r="AX121" i="41"/>
  <c r="AW121" i="41"/>
  <c r="AV121" i="41"/>
  <c r="AS121" i="41"/>
  <c r="AT121" i="41" s="1"/>
  <c r="AC121" i="41"/>
  <c r="AJ143" i="41"/>
  <c r="AK143" i="41" s="1"/>
  <c r="AL143" i="41" s="1"/>
  <c r="AS150" i="41"/>
  <c r="AT150" i="41" s="1"/>
  <c r="AW150" i="41"/>
  <c r="AC150" i="41"/>
  <c r="AD150" i="41"/>
  <c r="AX150" i="41"/>
  <c r="AV150" i="41"/>
  <c r="AU150" i="41"/>
  <c r="AW169" i="41"/>
  <c r="AS169" i="41"/>
  <c r="AT169" i="41" s="1"/>
  <c r="AX169" i="41"/>
  <c r="AD169" i="41"/>
  <c r="AC169" i="41"/>
  <c r="AV169" i="41"/>
  <c r="AU23" i="41"/>
  <c r="AS23" i="41"/>
  <c r="AT23" i="41" s="1"/>
  <c r="AC23" i="41"/>
  <c r="AX23" i="41"/>
  <c r="AJ40" i="41"/>
  <c r="AK40" i="41" s="1"/>
  <c r="AL40" i="41" s="1"/>
  <c r="AT97" i="41"/>
  <c r="AX204" i="41"/>
  <c r="AW204" i="41"/>
  <c r="AS204" i="41"/>
  <c r="AT204" i="41" s="1"/>
  <c r="AV204" i="41"/>
  <c r="AC204" i="41"/>
  <c r="AU204" i="41"/>
  <c r="BC47" i="41"/>
  <c r="AJ108" i="41"/>
  <c r="AK108" i="41" s="1"/>
  <c r="AL108" i="41" s="1"/>
  <c r="AJ153" i="41"/>
  <c r="AK153" i="41" s="1"/>
  <c r="AL153" i="41" s="1"/>
  <c r="AC33" i="41"/>
  <c r="AS33" i="41"/>
  <c r="AT33" i="41" s="1"/>
  <c r="AV33" i="41"/>
  <c r="AX38" i="41"/>
  <c r="AW38" i="41"/>
  <c r="AV38" i="41"/>
  <c r="AC38" i="41"/>
  <c r="AJ72" i="41"/>
  <c r="AK72" i="41" s="1"/>
  <c r="AL72" i="41" s="1"/>
  <c r="AS13" i="41"/>
  <c r="AT13" i="41" s="1"/>
  <c r="AW13" i="41"/>
  <c r="AJ70" i="41"/>
  <c r="AK70" i="41" s="1"/>
  <c r="AL70" i="41" s="1"/>
  <c r="AD175" i="41"/>
  <c r="AV175" i="41"/>
  <c r="AX175" i="41"/>
  <c r="AW175" i="41"/>
  <c r="AU175" i="41"/>
  <c r="AC175" i="41"/>
  <c r="AT75" i="41"/>
  <c r="AU120" i="41"/>
  <c r="AW120" i="41"/>
  <c r="AX120" i="41"/>
  <c r="AC120" i="41"/>
  <c r="AV120" i="41"/>
  <c r="AS120" i="41"/>
  <c r="AT120" i="41" s="1"/>
  <c r="AS180" i="41"/>
  <c r="AT180" i="41" s="1"/>
  <c r="AC180" i="41"/>
  <c r="AX180" i="41"/>
  <c r="AW180" i="41"/>
  <c r="AV180" i="41"/>
  <c r="AU180" i="41"/>
  <c r="AD180" i="41"/>
  <c r="AC82" i="41"/>
  <c r="AS82" i="41"/>
  <c r="AT82" i="41" s="1"/>
  <c r="AD82" i="41"/>
  <c r="AW82" i="41"/>
  <c r="AS133" i="41"/>
  <c r="AT133" i="41" s="1"/>
  <c r="AX133" i="41"/>
  <c r="AD133" i="41"/>
  <c r="AC133" i="41"/>
  <c r="AW133" i="41"/>
  <c r="AV133" i="41"/>
  <c r="AU133" i="41"/>
  <c r="AC141" i="41"/>
  <c r="AU141" i="41"/>
  <c r="AS141" i="41"/>
  <c r="AT141" i="41" s="1"/>
  <c r="AV141" i="41"/>
  <c r="AJ208" i="41"/>
  <c r="AK208" i="41" s="1"/>
  <c r="AL208" i="41" s="1"/>
  <c r="AU216" i="41"/>
  <c r="AC216" i="41"/>
  <c r="AS216" i="41"/>
  <c r="AT216" i="41" s="1"/>
  <c r="AX216" i="41"/>
  <c r="AV216" i="41"/>
  <c r="AD216" i="41"/>
  <c r="AW216" i="41"/>
  <c r="AV52" i="41"/>
  <c r="AX52" i="41"/>
  <c r="AS52" i="41"/>
  <c r="AT52" i="41" s="1"/>
  <c r="AT53" i="41"/>
  <c r="AT114" i="41"/>
  <c r="AJ133" i="41"/>
  <c r="AK133" i="41" s="1"/>
  <c r="AL133" i="41" s="1"/>
  <c r="AC174" i="41"/>
  <c r="AX174" i="41"/>
  <c r="AS174" i="41"/>
  <c r="AT174" i="41" s="1"/>
  <c r="AW174" i="41"/>
  <c r="AV174" i="41"/>
  <c r="AU174" i="41"/>
  <c r="AD174" i="41"/>
  <c r="AJ181" i="41"/>
  <c r="AK181" i="41" s="1"/>
  <c r="AL181" i="41" s="1"/>
  <c r="AD206" i="41"/>
  <c r="AC206" i="41"/>
  <c r="AV206" i="41"/>
  <c r="AW206" i="41"/>
  <c r="AX206" i="41"/>
  <c r="AU206" i="41"/>
  <c r="AS206" i="41"/>
  <c r="AT206" i="41" s="1"/>
  <c r="AC52" i="41"/>
  <c r="AJ78" i="41"/>
  <c r="AK78" i="41" s="1"/>
  <c r="AL78" i="41" s="1"/>
  <c r="AV82" i="41"/>
  <c r="AS129" i="41"/>
  <c r="AT129" i="41" s="1"/>
  <c r="AC129" i="41"/>
  <c r="AV129" i="41"/>
  <c r="AU129" i="41"/>
  <c r="AD129" i="41"/>
  <c r="AS9" i="41"/>
  <c r="AT9" i="41" s="1"/>
  <c r="AX9" i="41"/>
  <c r="AD52" i="41"/>
  <c r="AJ55" i="41"/>
  <c r="AK55" i="41" s="1"/>
  <c r="AL55" i="41" s="1"/>
  <c r="AJ161" i="41"/>
  <c r="AK161" i="41" s="1"/>
  <c r="AL161" i="41" s="1"/>
  <c r="AV157" i="41"/>
  <c r="AX157" i="41"/>
  <c r="AW157" i="41"/>
  <c r="AU157" i="41"/>
  <c r="AS157" i="41"/>
  <c r="AT157" i="41" s="1"/>
  <c r="AD157" i="41"/>
  <c r="AC157" i="41"/>
  <c r="AV95" i="41"/>
  <c r="AX95" i="41"/>
  <c r="AW95" i="41"/>
  <c r="AS95" i="41"/>
  <c r="AT95" i="41" s="1"/>
  <c r="AJ101" i="41"/>
  <c r="AK101" i="41" s="1"/>
  <c r="AL101" i="41" s="1"/>
  <c r="AJ117" i="41"/>
  <c r="AK117" i="41" s="1"/>
  <c r="AL117" i="41" s="1"/>
  <c r="AW146" i="41"/>
  <c r="AD146" i="41"/>
  <c r="AX146" i="41"/>
  <c r="AS146" i="41"/>
  <c r="AT146" i="41" s="1"/>
  <c r="AV146" i="41"/>
  <c r="AU146" i="41"/>
  <c r="AJ201" i="41"/>
  <c r="AK201" i="41" s="1"/>
  <c r="AL201" i="41" s="1"/>
  <c r="AT171" i="41"/>
  <c r="AD188" i="41"/>
  <c r="AW188" i="41"/>
  <c r="AS188" i="41"/>
  <c r="AT188" i="41" s="1"/>
  <c r="AX188" i="41"/>
  <c r="AV188" i="41"/>
  <c r="AU188" i="41"/>
  <c r="AC188" i="41"/>
  <c r="AJ19" i="41"/>
  <c r="AK19" i="41" s="1"/>
  <c r="AL19" i="41" s="1"/>
  <c r="AJ62" i="41"/>
  <c r="AK62" i="41" s="1"/>
  <c r="AL62" i="41" s="1"/>
  <c r="AX64" i="41"/>
  <c r="AC68" i="41"/>
  <c r="AX68" i="41"/>
  <c r="AW68" i="41"/>
  <c r="AV68" i="41"/>
  <c r="AU68" i="41"/>
  <c r="AS68" i="41"/>
  <c r="AT68" i="41" s="1"/>
  <c r="AD68" i="41"/>
  <c r="AX42" i="41"/>
  <c r="AD42" i="41"/>
  <c r="V47" i="41"/>
  <c r="AD78" i="41"/>
  <c r="AC78" i="41"/>
  <c r="AU78" i="41"/>
  <c r="AS78" i="41"/>
  <c r="AT78" i="41" s="1"/>
  <c r="AX78" i="41"/>
  <c r="AW78" i="41"/>
  <c r="AV78" i="41"/>
  <c r="AT89" i="41"/>
  <c r="AJ131" i="41"/>
  <c r="AK131" i="41" s="1"/>
  <c r="AL131" i="41" s="1"/>
  <c r="AW154" i="41"/>
  <c r="AC154" i="41"/>
  <c r="AX154" i="41"/>
  <c r="AV154" i="41"/>
  <c r="AU154" i="41"/>
  <c r="AS154" i="41"/>
  <c r="AT154" i="41" s="1"/>
  <c r="AV199" i="41"/>
  <c r="AD199" i="41"/>
  <c r="AC199" i="41"/>
  <c r="AW199" i="41"/>
  <c r="AU199" i="41"/>
  <c r="AS199" i="41"/>
  <c r="AT199" i="41" s="1"/>
  <c r="AW219" i="41"/>
  <c r="AJ68" i="41"/>
  <c r="AK68" i="41" s="1"/>
  <c r="AL68" i="41" s="1"/>
  <c r="AC115" i="41"/>
  <c r="AX115" i="41"/>
  <c r="AD115" i="41"/>
  <c r="AW115" i="41"/>
  <c r="AU115" i="41"/>
  <c r="AS115" i="41"/>
  <c r="AT115" i="41" s="1"/>
  <c r="AJ18" i="41"/>
  <c r="AK18" i="41" s="1"/>
  <c r="AL18" i="41" s="1"/>
  <c r="AD44" i="41"/>
  <c r="AC62" i="41"/>
  <c r="AS62" i="41"/>
  <c r="AT62" i="41" s="1"/>
  <c r="AX62" i="41"/>
  <c r="AW62" i="41"/>
  <c r="AV62" i="41"/>
  <c r="AU62" i="41"/>
  <c r="AD62" i="41"/>
  <c r="AS116" i="41"/>
  <c r="AT116" i="41" s="1"/>
  <c r="AC116" i="41"/>
  <c r="AU116" i="41"/>
  <c r="AD116" i="41"/>
  <c r="AX116" i="41"/>
  <c r="AW116" i="41"/>
  <c r="AV116" i="41"/>
  <c r="AS130" i="41"/>
  <c r="AT130" i="41" s="1"/>
  <c r="AV130" i="41"/>
  <c r="AU130" i="41"/>
  <c r="AX130" i="41"/>
  <c r="AW130" i="41"/>
  <c r="AC130" i="41"/>
  <c r="AJ148" i="41"/>
  <c r="AK148" i="41" s="1"/>
  <c r="AL148" i="41" s="1"/>
  <c r="AW198" i="41"/>
  <c r="AU198" i="41"/>
  <c r="AD198" i="41"/>
  <c r="AC198" i="41"/>
  <c r="AS198" i="41"/>
  <c r="AT198" i="41" s="1"/>
  <c r="AX198" i="41"/>
  <c r="AU40" i="41"/>
  <c r="AV64" i="41"/>
  <c r="AJ138" i="41"/>
  <c r="AK138" i="41" s="1"/>
  <c r="AL138" i="41" s="1"/>
  <c r="AJ202" i="41"/>
  <c r="AK202" i="41" s="1"/>
  <c r="AL202" i="41" s="1"/>
  <c r="B10" i="39"/>
  <c r="C13" i="39"/>
  <c r="BC39" i="41"/>
  <c r="BB41" i="41"/>
  <c r="BB36" i="41"/>
  <c r="BC38" i="41" s="1"/>
  <c r="AJ63" i="41"/>
  <c r="AK63" i="41" s="1"/>
  <c r="AL63" i="41" s="1"/>
  <c r="AW64" i="41"/>
  <c r="AX69" i="41"/>
  <c r="AW69" i="41"/>
  <c r="AV69" i="41"/>
  <c r="AU69" i="41"/>
  <c r="AD69" i="41"/>
  <c r="AV83" i="41"/>
  <c r="AJ95" i="41"/>
  <c r="AK95" i="41" s="1"/>
  <c r="AL95" i="41" s="1"/>
  <c r="BC36" i="41"/>
  <c r="AV53" i="41"/>
  <c r="AW53" i="41"/>
  <c r="V78" i="41"/>
  <c r="AW83" i="41"/>
  <c r="AT106" i="41"/>
  <c r="AJ112" i="41"/>
  <c r="AK112" i="41" s="1"/>
  <c r="AL112" i="41" s="1"/>
  <c r="AD130" i="41"/>
  <c r="AT167" i="41"/>
  <c r="AC31" i="41"/>
  <c r="AD45" i="41"/>
  <c r="AC45" i="41"/>
  <c r="AS49" i="41"/>
  <c r="AT49" i="41" s="1"/>
  <c r="AJ54" i="41"/>
  <c r="AK54" i="41" s="1"/>
  <c r="AL54" i="41" s="1"/>
  <c r="AJ66" i="41"/>
  <c r="AK66" i="41" s="1"/>
  <c r="AL66" i="41" s="1"/>
  <c r="AV97" i="41"/>
  <c r="AX97" i="41"/>
  <c r="AW97" i="41"/>
  <c r="AD97" i="41"/>
  <c r="AC97" i="41"/>
  <c r="AU97" i="41"/>
  <c r="AU124" i="41"/>
  <c r="AC124" i="41"/>
  <c r="AW124" i="41"/>
  <c r="AV124" i="41"/>
  <c r="AD124" i="41"/>
  <c r="AW147" i="41"/>
  <c r="AX147" i="41"/>
  <c r="AD65" i="41"/>
  <c r="AC156" i="41"/>
  <c r="AX156" i="41"/>
  <c r="AW156" i="41"/>
  <c r="AD156" i="41"/>
  <c r="AJ216" i="41"/>
  <c r="AK216" i="41" s="1"/>
  <c r="AL216" i="41" s="1"/>
  <c r="AU139" i="41"/>
  <c r="AD139" i="41"/>
  <c r="AC139" i="41"/>
  <c r="AV139" i="41"/>
  <c r="BC41" i="41"/>
  <c r="AJ61" i="41"/>
  <c r="AK61" i="41" s="1"/>
  <c r="AL61" i="41" s="1"/>
  <c r="AT69" i="41"/>
  <c r="AJ73" i="41"/>
  <c r="AK73" i="41" s="1"/>
  <c r="AL73" i="41" s="1"/>
  <c r="AV50" i="41"/>
  <c r="AW50" i="41"/>
  <c r="AU50" i="41"/>
  <c r="AD64" i="41"/>
  <c r="AC110" i="41"/>
  <c r="AS110" i="41"/>
  <c r="AT110" i="41" s="1"/>
  <c r="AD110" i="41"/>
  <c r="AW110" i="41"/>
  <c r="AT137" i="41"/>
  <c r="AX40" i="41"/>
  <c r="AT45" i="41"/>
  <c r="AX49" i="41"/>
  <c r="AU49" i="41"/>
  <c r="AJ84" i="41"/>
  <c r="AK84" i="41" s="1"/>
  <c r="AL84" i="41" s="1"/>
  <c r="AT183" i="41"/>
  <c r="AU45" i="41"/>
  <c r="AW144" i="41"/>
  <c r="AC144" i="41"/>
  <c r="AD144" i="41"/>
  <c r="AS147" i="41"/>
  <c r="AT147" i="41" s="1"/>
  <c r="AS156" i="41"/>
  <c r="AT156" i="41" s="1"/>
  <c r="AJ158" i="41"/>
  <c r="AK158" i="41" s="1"/>
  <c r="AL158" i="41" s="1"/>
  <c r="AV165" i="41"/>
  <c r="AX165" i="41"/>
  <c r="AS165" i="41"/>
  <c r="AT165" i="41" s="1"/>
  <c r="AW165" i="41"/>
  <c r="AU165" i="41"/>
  <c r="AC165" i="41"/>
  <c r="AW208" i="41"/>
  <c r="AD208" i="41"/>
  <c r="AS208" i="41"/>
  <c r="AT208" i="41" s="1"/>
  <c r="AX208" i="41"/>
  <c r="AU208" i="41"/>
  <c r="BB39" i="41"/>
  <c r="AV45" i="41"/>
  <c r="AD60" i="41"/>
  <c r="AJ110" i="41"/>
  <c r="AK110" i="41" s="1"/>
  <c r="AL110" i="41" s="1"/>
  <c r="AJ151" i="41"/>
  <c r="AK151" i="41" s="1"/>
  <c r="AL151" i="41" s="1"/>
  <c r="AW93" i="41"/>
  <c r="AD93" i="41"/>
  <c r="AW112" i="41"/>
  <c r="AC112" i="41"/>
  <c r="AV112" i="41"/>
  <c r="AV117" i="41"/>
  <c r="AC117" i="41"/>
  <c r="AD117" i="41"/>
  <c r="AW117" i="41"/>
  <c r="AV148" i="41"/>
  <c r="AT155" i="41"/>
  <c r="AJ162" i="41"/>
  <c r="AK162" i="41" s="1"/>
  <c r="AL162" i="41" s="1"/>
  <c r="AS44" i="41"/>
  <c r="AT44" i="41" s="1"/>
  <c r="AJ49" i="41"/>
  <c r="AK49" i="41" s="1"/>
  <c r="AL49" i="41" s="1"/>
  <c r="AT151" i="41"/>
  <c r="AT181" i="41"/>
  <c r="AV193" i="41"/>
  <c r="AU193" i="41"/>
  <c r="AW196" i="41"/>
  <c r="AC196" i="41"/>
  <c r="AU196" i="41"/>
  <c r="AS196" i="41"/>
  <c r="AT196" i="41" s="1"/>
  <c r="AU152" i="41"/>
  <c r="AV152" i="41"/>
  <c r="AS160" i="41"/>
  <c r="AT160" i="41" s="1"/>
  <c r="AW160" i="41"/>
  <c r="AV160" i="41"/>
  <c r="AC160" i="41"/>
  <c r="AW182" i="41"/>
  <c r="AV182" i="41"/>
  <c r="AS182" i="41"/>
  <c r="AT182" i="41" s="1"/>
  <c r="AC182" i="41"/>
  <c r="AD182" i="41"/>
  <c r="AD209" i="41"/>
  <c r="AW209" i="41"/>
  <c r="AV209" i="41"/>
  <c r="AX209" i="41"/>
  <c r="AU209" i="41"/>
  <c r="AW145" i="41"/>
  <c r="AC145" i="41"/>
  <c r="AS145" i="41"/>
  <c r="AT145" i="41" s="1"/>
  <c r="AD145" i="41"/>
  <c r="AV196" i="41"/>
  <c r="BD1" i="43"/>
  <c r="BD2" i="43"/>
  <c r="BD3" i="43" s="1"/>
  <c r="AJ149" i="41"/>
  <c r="AK149" i="41" s="1"/>
  <c r="AL149" i="41" s="1"/>
  <c r="AX187" i="41"/>
  <c r="AC187" i="41"/>
  <c r="AD187" i="41"/>
  <c r="AS187" i="41"/>
  <c r="AT187" i="41" s="1"/>
  <c r="AS193" i="41"/>
  <c r="AT193" i="41" s="1"/>
  <c r="AC209" i="41"/>
  <c r="AU57" i="41"/>
  <c r="AU58" i="41"/>
  <c r="AT107" i="41"/>
  <c r="AX117" i="41"/>
  <c r="AU119" i="41"/>
  <c r="AS119" i="41"/>
  <c r="AT119" i="41" s="1"/>
  <c r="AS128" i="41"/>
  <c r="AT128" i="41" s="1"/>
  <c r="AX128" i="41"/>
  <c r="AC128" i="41"/>
  <c r="AD128" i="41"/>
  <c r="AU128" i="41"/>
  <c r="AW140" i="41"/>
  <c r="AC152" i="41"/>
  <c r="AJ164" i="41"/>
  <c r="AK164" i="41" s="1"/>
  <c r="AL164" i="41" s="1"/>
  <c r="AJ190" i="41"/>
  <c r="AK190" i="41" s="1"/>
  <c r="AL190" i="41" s="1"/>
  <c r="AJ205" i="41"/>
  <c r="AK205" i="41" s="1"/>
  <c r="AL205" i="41" s="1"/>
  <c r="AJ82" i="41"/>
  <c r="AK82" i="41" s="1"/>
  <c r="AL82" i="41" s="1"/>
  <c r="AS112" i="41"/>
  <c r="AT112" i="41" s="1"/>
  <c r="AD152" i="41"/>
  <c r="AD179" i="41"/>
  <c r="AW179" i="41"/>
  <c r="AU179" i="41"/>
  <c r="AS179" i="41"/>
  <c r="AT179" i="41" s="1"/>
  <c r="AC179" i="41"/>
  <c r="AW193" i="41"/>
  <c r="V88" i="41"/>
  <c r="AC89" i="41"/>
  <c r="AS93" i="41"/>
  <c r="AT93" i="41" s="1"/>
  <c r="AT153" i="41"/>
  <c r="AV192" i="41"/>
  <c r="AS192" i="41"/>
  <c r="AT192" i="41" s="1"/>
  <c r="AW192" i="41"/>
  <c r="AC192" i="41"/>
  <c r="AX192" i="41"/>
  <c r="AU192" i="41"/>
  <c r="AX193" i="41"/>
  <c r="AJ81" i="41"/>
  <c r="AK81" i="41" s="1"/>
  <c r="AL81" i="41" s="1"/>
  <c r="AU112" i="41"/>
  <c r="AJ136" i="41"/>
  <c r="AK136" i="41" s="1"/>
  <c r="AL136" i="41" s="1"/>
  <c r="AC148" i="41"/>
  <c r="AJ160" i="41"/>
  <c r="AK160" i="41" s="1"/>
  <c r="AL160" i="41" s="1"/>
  <c r="AJ195" i="41"/>
  <c r="AK195" i="41" s="1"/>
  <c r="AL195" i="41" s="1"/>
  <c r="AU93" i="41"/>
  <c r="AX112" i="41"/>
  <c r="AC119" i="41"/>
  <c r="AD131" i="41"/>
  <c r="AS131" i="41"/>
  <c r="AT131" i="41" s="1"/>
  <c r="AV131" i="41"/>
  <c r="AU131" i="41"/>
  <c r="AX131" i="41"/>
  <c r="AT142" i="41"/>
  <c r="AD148" i="41"/>
  <c r="AX163" i="41"/>
  <c r="AV163" i="41"/>
  <c r="AC163" i="41"/>
  <c r="AD163" i="41"/>
  <c r="AD192" i="41"/>
  <c r="AC44" i="41"/>
  <c r="AC46" i="41"/>
  <c r="AV93" i="41"/>
  <c r="AD119" i="41"/>
  <c r="AJ132" i="41"/>
  <c r="AK132" i="41" s="1"/>
  <c r="AL132" i="41" s="1"/>
  <c r="AS135" i="41"/>
  <c r="AT135" i="41" s="1"/>
  <c r="AD135" i="41"/>
  <c r="AU135" i="41"/>
  <c r="AC135" i="41"/>
  <c r="AC140" i="41"/>
  <c r="AS159" i="41"/>
  <c r="AT159" i="41" s="1"/>
  <c r="AV159" i="41"/>
  <c r="AD159" i="41"/>
  <c r="AC159" i="41"/>
  <c r="AW159" i="41"/>
  <c r="AD46" i="41"/>
  <c r="AD57" i="41"/>
  <c r="AD89" i="41"/>
  <c r="AX93" i="41"/>
  <c r="AU114" i="41"/>
  <c r="AC114" i="41"/>
  <c r="AV114" i="41"/>
  <c r="AX114" i="41"/>
  <c r="AW114" i="41"/>
  <c r="AU123" i="41"/>
  <c r="AX123" i="41"/>
  <c r="AD123" i="41"/>
  <c r="AD140" i="41"/>
  <c r="AT164" i="41"/>
  <c r="AJ167" i="41"/>
  <c r="AK167" i="41" s="1"/>
  <c r="AL167" i="41" s="1"/>
  <c r="AU182" i="41"/>
  <c r="AV215" i="41"/>
  <c r="AD215" i="41"/>
  <c r="AC215" i="41"/>
  <c r="AX215" i="41"/>
  <c r="AS215" i="41"/>
  <c r="AT215" i="41" s="1"/>
  <c r="AU215" i="41"/>
  <c r="AW215" i="41"/>
  <c r="AX181" i="41"/>
  <c r="AD181" i="41"/>
  <c r="AW96" i="41"/>
  <c r="AV96" i="41"/>
  <c r="AS96" i="41"/>
  <c r="AT96" i="41" s="1"/>
  <c r="AU125" i="41"/>
  <c r="AS125" i="41"/>
  <c r="AT125" i="41" s="1"/>
  <c r="AS136" i="41"/>
  <c r="AT136" i="41" s="1"/>
  <c r="AX136" i="41"/>
  <c r="AC136" i="41"/>
  <c r="AD142" i="41"/>
  <c r="AU184" i="41"/>
  <c r="AC184" i="41"/>
  <c r="AD184" i="41"/>
  <c r="AX184" i="41"/>
  <c r="AX197" i="41"/>
  <c r="AV197" i="41"/>
  <c r="AC197" i="41"/>
  <c r="AU197" i="41"/>
  <c r="AT184" i="41"/>
  <c r="AT197" i="41"/>
  <c r="AD6" i="43"/>
  <c r="AJ6" i="43"/>
  <c r="AW181" i="41"/>
  <c r="AX71" i="41"/>
  <c r="AU74" i="41"/>
  <c r="AJ134" i="41"/>
  <c r="AK134" i="41" s="1"/>
  <c r="AL134" i="41" s="1"/>
  <c r="AD138" i="41"/>
  <c r="AS138" i="41"/>
  <c r="AT138" i="41" s="1"/>
  <c r="AU142" i="41"/>
  <c r="AV153" i="41"/>
  <c r="AD153" i="41"/>
  <c r="AJ154" i="41"/>
  <c r="AK154" i="41" s="1"/>
  <c r="AL154" i="41" s="1"/>
  <c r="AT99" i="41"/>
  <c r="AU122" i="41"/>
  <c r="AC122" i="41"/>
  <c r="AD201" i="41"/>
  <c r="AW201" i="41"/>
  <c r="AS201" i="41"/>
  <c r="AT201" i="41" s="1"/>
  <c r="AU201" i="41"/>
  <c r="AJ209" i="41"/>
  <c r="AK209" i="41" s="1"/>
  <c r="AL209" i="41" s="1"/>
  <c r="AJ223" i="41"/>
  <c r="AK223" i="41" s="1"/>
  <c r="AL223" i="41" s="1"/>
  <c r="AD155" i="41"/>
  <c r="AW155" i="41"/>
  <c r="AX195" i="41"/>
  <c r="AC195" i="41"/>
  <c r="AC202" i="41"/>
  <c r="AV202" i="41"/>
  <c r="AS202" i="41"/>
  <c r="AT202" i="41" s="1"/>
  <c r="AU202" i="41"/>
  <c r="AD202" i="41"/>
  <c r="AX202" i="41"/>
  <c r="AJ211" i="41"/>
  <c r="AK211" i="41" s="1"/>
  <c r="AL211" i="41" s="1"/>
  <c r="AJ156" i="41"/>
  <c r="AK156" i="41" s="1"/>
  <c r="AL156" i="41" s="1"/>
  <c r="AJ199" i="41"/>
  <c r="AK199" i="41" s="1"/>
  <c r="AL199" i="41" s="1"/>
  <c r="AU221" i="41"/>
  <c r="AX213" i="41"/>
  <c r="AD213" i="41"/>
  <c r="AS213" i="41"/>
  <c r="AT213" i="41" s="1"/>
  <c r="AS173" i="41"/>
  <c r="AT173" i="41" s="1"/>
  <c r="AD173" i="41"/>
  <c r="AW164" i="41"/>
  <c r="AD210" i="41"/>
  <c r="AU210" i="41"/>
  <c r="AT217" i="41"/>
  <c r="AU118" i="41"/>
  <c r="AD118" i="41"/>
  <c r="AW118" i="41"/>
  <c r="AW161" i="41"/>
  <c r="AX161" i="41"/>
  <c r="AS186" i="41"/>
  <c r="AT186" i="41" s="1"/>
  <c r="AC186" i="41"/>
  <c r="AV186" i="41"/>
  <c r="AU186" i="41"/>
  <c r="AX186" i="41"/>
  <c r="AU203" i="41"/>
  <c r="AS203" i="41"/>
  <c r="AT203" i="41" s="1"/>
  <c r="AX203" i="41"/>
  <c r="AT222" i="41"/>
  <c r="AJ142" i="41"/>
  <c r="AK142" i="41" s="1"/>
  <c r="AL142" i="41" s="1"/>
  <c r="AJ213" i="41"/>
  <c r="AK213" i="41" s="1"/>
  <c r="AL213" i="41" s="1"/>
  <c r="AW214" i="41"/>
  <c r="AD214" i="41"/>
  <c r="AC214" i="41"/>
  <c r="AX214" i="41"/>
  <c r="AU214" i="41"/>
  <c r="AX143" i="41"/>
  <c r="AC143" i="41"/>
  <c r="AV149" i="41"/>
  <c r="AL15" i="43"/>
  <c r="AM15" i="43" s="1"/>
  <c r="AN15" i="43" s="1"/>
  <c r="Z20" i="43"/>
  <c r="AA20" i="43" s="1"/>
  <c r="AB20" i="43" s="1"/>
  <c r="AC18" i="43"/>
  <c r="AD18" i="43" s="1"/>
  <c r="AE18" i="43" s="1"/>
  <c r="AI10" i="43"/>
  <c r="AJ10" i="43" s="1"/>
  <c r="AK10" i="43" s="1"/>
  <c r="AF10" i="43"/>
  <c r="AG10" i="43" s="1"/>
  <c r="AH10" i="43" s="1"/>
  <c r="AC10" i="43"/>
  <c r="AD10" i="43" s="1"/>
  <c r="AE10" i="43" s="1"/>
  <c r="Z8" i="43"/>
  <c r="AA8" i="43" s="1"/>
  <c r="AB8" i="43" s="1"/>
  <c r="AR14" i="43"/>
  <c r="AS14" i="43" s="1"/>
  <c r="AT14" i="43" s="1"/>
  <c r="AF8" i="43"/>
  <c r="AG8" i="43" s="1"/>
  <c r="AH8" i="43" s="1"/>
  <c r="AL16" i="43"/>
  <c r="AM16" i="43" s="1"/>
  <c r="AN16" i="43" s="1"/>
  <c r="AR13" i="43"/>
  <c r="AS13" i="43" s="1"/>
  <c r="AT13" i="43" s="1"/>
  <c r="AL8" i="43"/>
  <c r="AM8" i="43" s="1"/>
  <c r="AN8" i="43" s="1"/>
  <c r="AF6" i="43"/>
  <c r="AI16" i="43"/>
  <c r="AJ16" i="43" s="1"/>
  <c r="AK16" i="43" s="1"/>
  <c r="AF16" i="43"/>
  <c r="AG16" i="43" s="1"/>
  <c r="AH16" i="43" s="1"/>
  <c r="AL13" i="43"/>
  <c r="AM13" i="43" s="1"/>
  <c r="AN13" i="43" s="1"/>
  <c r="Z10" i="43"/>
  <c r="AA10" i="43" s="1"/>
  <c r="AB10" i="43" s="1"/>
  <c r="AO11" i="43"/>
  <c r="AP11" i="43" s="1"/>
  <c r="AQ11" i="43" s="1"/>
  <c r="AC16" i="43"/>
  <c r="AD16" i="43" s="1"/>
  <c r="AE16" i="43" s="1"/>
  <c r="AR11" i="43"/>
  <c r="AS11" i="43" s="1"/>
  <c r="AT11" i="43" s="1"/>
  <c r="AF14" i="43"/>
  <c r="AG14" i="43" s="1"/>
  <c r="AH14" i="43" s="1"/>
  <c r="AL9" i="43"/>
  <c r="AM9" i="43" s="1"/>
  <c r="AN9" i="43" s="1"/>
  <c r="AF12" i="43"/>
  <c r="AG12" i="43" s="1"/>
  <c r="AH12" i="43" s="1"/>
  <c r="AX168" i="41"/>
  <c r="AS168" i="41"/>
  <c r="AT168" i="41" s="1"/>
  <c r="AV183" i="41"/>
  <c r="AD183" i="41"/>
  <c r="AU183" i="41"/>
  <c r="AT207" i="41"/>
  <c r="AX218" i="41"/>
  <c r="AS218" i="41"/>
  <c r="AT218" i="41" s="1"/>
  <c r="AC218" i="41"/>
  <c r="AX200" i="41"/>
  <c r="AU200" i="41"/>
  <c r="AS200" i="41"/>
  <c r="AT200" i="41" s="1"/>
  <c r="AU224" i="41"/>
  <c r="AC224" i="41"/>
  <c r="AV224" i="41"/>
  <c r="AD217" i="41"/>
  <c r="AC217" i="41"/>
  <c r="AX217" i="41"/>
  <c r="AW222" i="41"/>
  <c r="AJ214" i="41"/>
  <c r="AK214" i="41" s="1"/>
  <c r="AL214" i="41" s="1"/>
  <c r="AJ182" i="41"/>
  <c r="AK182" i="41" s="1"/>
  <c r="AL182" i="41" s="1"/>
  <c r="AC207" i="41"/>
  <c r="AU24" i="43"/>
  <c r="AV24" i="43" s="1"/>
  <c r="AI14" i="43"/>
  <c r="AJ14" i="43" s="1"/>
  <c r="AK14" i="43" s="1"/>
  <c r="AF7" i="43"/>
  <c r="AG7" i="43" s="1"/>
  <c r="AH7" i="43" s="1"/>
  <c r="AR24" i="43"/>
  <c r="AS24" i="43" s="1"/>
  <c r="AT24" i="43" s="1"/>
  <c r="AO24" i="43"/>
  <c r="AP24" i="43" s="1"/>
  <c r="AQ24" i="43" s="1"/>
  <c r="AC14" i="43"/>
  <c r="AD14" i="43" s="1"/>
  <c r="AE14" i="43" s="1"/>
  <c r="Z7" i="43"/>
  <c r="AA7" i="43" s="1"/>
  <c r="AB7" i="43" s="1"/>
  <c r="AL24" i="43"/>
  <c r="AM24" i="43" s="1"/>
  <c r="AN24" i="43" s="1"/>
  <c r="AU23" i="43"/>
  <c r="AV23" i="43" s="1"/>
  <c r="AF21" i="43"/>
  <c r="AG21" i="43" s="1"/>
  <c r="AH21" i="43" s="1"/>
  <c r="AI24" i="43"/>
  <c r="AJ24" i="43" s="1"/>
  <c r="AK24" i="43" s="1"/>
  <c r="AR23" i="43"/>
  <c r="AS23" i="43" s="1"/>
  <c r="AT23" i="43" s="1"/>
  <c r="AO14" i="43"/>
  <c r="AP14" i="43" s="1"/>
  <c r="AQ14" i="43" s="1"/>
  <c r="Z9" i="43"/>
  <c r="AA9" i="43" s="1"/>
  <c r="AB9" i="43" s="1"/>
  <c r="AF19" i="43"/>
  <c r="AG19" i="43" s="1"/>
  <c r="AH19" i="43" s="1"/>
  <c r="AO18" i="43"/>
  <c r="AP18" i="43" s="1"/>
  <c r="AQ18" i="43" s="1"/>
  <c r="AL14" i="43"/>
  <c r="AM14" i="43" s="1"/>
  <c r="AN14" i="43" s="1"/>
  <c r="AR22" i="43"/>
  <c r="AS22" i="43" s="1"/>
  <c r="AT22" i="43" s="1"/>
  <c r="AO21" i="43"/>
  <c r="AP21" i="43" s="1"/>
  <c r="AQ21" i="43" s="1"/>
  <c r="AR19" i="43"/>
  <c r="AS19" i="43" s="1"/>
  <c r="AT19" i="43" s="1"/>
  <c r="AO8" i="43"/>
  <c r="AP8" i="43" s="1"/>
  <c r="AQ8" i="43" s="1"/>
  <c r="AC7" i="43"/>
  <c r="AO20" i="43"/>
  <c r="AP20" i="43" s="1"/>
  <c r="AQ20" i="43" s="1"/>
  <c r="AU18" i="43"/>
  <c r="AV18" i="43" s="1"/>
  <c r="AO22" i="43"/>
  <c r="AP22" i="43" s="1"/>
  <c r="AQ22" i="43" s="1"/>
  <c r="AO23" i="43"/>
  <c r="AP23" i="43" s="1"/>
  <c r="AQ23" i="43" s="1"/>
  <c r="AL21" i="43"/>
  <c r="AM21" i="43" s="1"/>
  <c r="AN21" i="43" s="1"/>
  <c r="AL20" i="43"/>
  <c r="AM20" i="43" s="1"/>
  <c r="AN20" i="43" s="1"/>
  <c r="AO19" i="43"/>
  <c r="AP19" i="43" s="1"/>
  <c r="AQ19" i="43" s="1"/>
  <c r="AU17" i="43"/>
  <c r="AL22" i="43"/>
  <c r="AM22" i="43" s="1"/>
  <c r="AN22" i="43" s="1"/>
  <c r="AR18" i="43"/>
  <c r="AS18" i="43" s="1"/>
  <c r="AT18" i="43" s="1"/>
  <c r="AI22" i="43"/>
  <c r="AJ22" i="43" s="1"/>
  <c r="AK22" i="43" s="1"/>
  <c r="AI21" i="43"/>
  <c r="AJ21" i="43" s="1"/>
  <c r="AK21" i="43" s="1"/>
  <c r="AR17" i="43"/>
  <c r="AS17" i="43" s="1"/>
  <c r="AT17" i="43" s="1"/>
  <c r="AI8" i="43"/>
  <c r="AJ8" i="43" s="1"/>
  <c r="AK8" i="43" s="1"/>
  <c r="AR6" i="43"/>
  <c r="AL23" i="43"/>
  <c r="AM23" i="43" s="1"/>
  <c r="AN23" i="43" s="1"/>
  <c r="AI20" i="43"/>
  <c r="AJ20" i="43" s="1"/>
  <c r="AK20" i="43" s="1"/>
  <c r="AL19" i="43"/>
  <c r="AM19" i="43" s="1"/>
  <c r="AN19" i="43" s="1"/>
  <c r="AF22" i="43"/>
  <c r="AG22" i="43" s="1"/>
  <c r="AH22" i="43" s="1"/>
  <c r="AL18" i="43"/>
  <c r="AM18" i="43" s="1"/>
  <c r="AN18" i="43" s="1"/>
  <c r="AR16" i="43"/>
  <c r="AS16" i="43" s="1"/>
  <c r="AT16" i="43" s="1"/>
  <c r="AO17" i="43"/>
  <c r="AP17" i="43" s="1"/>
  <c r="AQ17" i="43" s="1"/>
  <c r="AI23" i="43"/>
  <c r="AJ23" i="43" s="1"/>
  <c r="AK23" i="43" s="1"/>
  <c r="AC21" i="43"/>
  <c r="AD21" i="43" s="1"/>
  <c r="AE21" i="43" s="1"/>
  <c r="AF20" i="43"/>
  <c r="AG20" i="43" s="1"/>
  <c r="AH20" i="43" s="1"/>
  <c r="AI19" i="43"/>
  <c r="AJ19" i="43" s="1"/>
  <c r="AK19" i="43" s="1"/>
  <c r="AI18" i="43"/>
  <c r="AJ18" i="43" s="1"/>
  <c r="AK18" i="43" s="1"/>
  <c r="AC22" i="43"/>
  <c r="AD22" i="43" s="1"/>
  <c r="AE22" i="43" s="1"/>
  <c r="AL17" i="43"/>
  <c r="AM17" i="43" s="1"/>
  <c r="AN17" i="43" s="1"/>
  <c r="AO16" i="43"/>
  <c r="AP16" i="43" s="1"/>
  <c r="AQ16" i="43" s="1"/>
  <c r="AR15" i="43"/>
  <c r="AS15" i="43" s="1"/>
  <c r="AT15" i="43" s="1"/>
  <c r="AF23" i="43"/>
  <c r="AG23" i="43" s="1"/>
  <c r="AH23" i="43" s="1"/>
  <c r="Z22" i="43"/>
  <c r="AA22" i="43" s="1"/>
  <c r="AB22" i="43" s="1"/>
  <c r="Z21" i="43"/>
  <c r="AA21" i="43" s="1"/>
  <c r="AB21" i="43" s="1"/>
  <c r="AC20" i="43"/>
  <c r="AD20" i="43" s="1"/>
  <c r="AE20" i="43" s="1"/>
  <c r="AC19" i="43"/>
  <c r="AD19" i="43" s="1"/>
  <c r="AE19" i="43" s="1"/>
  <c r="AF18" i="43"/>
  <c r="AG18" i="43" s="1"/>
  <c r="AH18" i="43" s="1"/>
  <c r="AO9" i="43"/>
  <c r="AP9" i="43" s="1"/>
  <c r="AQ9" i="43" s="1"/>
  <c r="AC23" i="43"/>
  <c r="AD23" i="43" s="1"/>
  <c r="AE23" i="43" s="1"/>
  <c r="Z23" i="43"/>
  <c r="AA23" i="43" s="1"/>
  <c r="AB23" i="43" s="1"/>
  <c r="AO12" i="43"/>
  <c r="AP12" i="43" s="1"/>
  <c r="AQ12" i="43" s="1"/>
  <c r="AI9" i="43"/>
  <c r="AJ9" i="43" s="1"/>
  <c r="AK9" i="43" s="1"/>
  <c r="AR7" i="43"/>
  <c r="AS7" i="43" s="1"/>
  <c r="AT7" i="43" s="1"/>
  <c r="AF24" i="43"/>
  <c r="AG24" i="43" s="1"/>
  <c r="AH24" i="43" s="1"/>
  <c r="AF15" i="43"/>
  <c r="AG15" i="43" s="1"/>
  <c r="AH15" i="43" s="1"/>
  <c r="AI13" i="43"/>
  <c r="AJ13" i="43" s="1"/>
  <c r="AK13" i="43" s="1"/>
  <c r="AL12" i="43"/>
  <c r="AM12" i="43" s="1"/>
  <c r="AN12" i="43" s="1"/>
  <c r="AF9" i="43"/>
  <c r="AG9" i="43" s="1"/>
  <c r="AH9" i="43" s="1"/>
  <c r="AO7" i="43"/>
  <c r="AP7" i="43" s="1"/>
  <c r="AQ7" i="43" s="1"/>
  <c r="AC24" i="43"/>
  <c r="AD24" i="43" s="1"/>
  <c r="AE24" i="43" s="1"/>
  <c r="AC15" i="43"/>
  <c r="AD15" i="43" s="1"/>
  <c r="AE15" i="43" s="1"/>
  <c r="AR10" i="43"/>
  <c r="AS10" i="43" s="1"/>
  <c r="AT10" i="43" s="1"/>
  <c r="Z6" i="43"/>
  <c r="Z16" i="43"/>
  <c r="AA16" i="43" s="1"/>
  <c r="AB16" i="43" s="1"/>
  <c r="AF13" i="43"/>
  <c r="AG13" i="43" s="1"/>
  <c r="AH13" i="43" s="1"/>
  <c r="AI12" i="43"/>
  <c r="AJ12" i="43" s="1"/>
  <c r="AK12" i="43" s="1"/>
  <c r="AC9" i="43"/>
  <c r="AD9" i="43" s="1"/>
  <c r="AE9" i="43" s="1"/>
  <c r="AL7" i="43"/>
  <c r="AM7" i="43" s="1"/>
  <c r="Z24" i="43"/>
  <c r="AA24" i="43" s="1"/>
  <c r="AB24" i="43" s="1"/>
  <c r="Z15" i="43"/>
  <c r="AA15" i="43" s="1"/>
  <c r="AB15" i="43" s="1"/>
  <c r="AL11" i="43"/>
  <c r="AM11" i="43" s="1"/>
  <c r="AN11" i="43" s="1"/>
  <c r="AU22" i="43"/>
  <c r="AV22" i="43" s="1"/>
  <c r="AU21" i="43"/>
  <c r="AV21" i="43" s="1"/>
  <c r="AU19" i="43"/>
  <c r="AV19" i="43" s="1"/>
  <c r="AL10" i="43"/>
  <c r="AM10" i="43" s="1"/>
  <c r="AN10" i="43" s="1"/>
  <c r="AR21" i="43"/>
  <c r="AS21" i="43" s="1"/>
  <c r="AT21" i="43" s="1"/>
  <c r="AR20" i="43"/>
  <c r="AS20" i="43" s="1"/>
  <c r="AT20" i="43" s="1"/>
  <c r="AD220" i="41"/>
  <c r="AC221" i="41"/>
  <c r="AY10" i="43"/>
  <c r="BN17" i="43"/>
  <c r="BJ18" i="43"/>
  <c r="BI19" i="43"/>
  <c r="BI20" i="43"/>
  <c r="BG21" i="43"/>
  <c r="BJ22" i="43"/>
  <c r="BN10" i="43"/>
  <c r="BJ11" i="43"/>
  <c r="BH12" i="43"/>
  <c r="BH2" i="43" s="1"/>
  <c r="BH3" i="43" s="1"/>
  <c r="BE13" i="43"/>
  <c r="BB14" i="43"/>
  <c r="BB1" i="43" s="1"/>
  <c r="AW24" i="43"/>
  <c r="BE23" i="43"/>
  <c r="BD23" i="43"/>
  <c r="BM22" i="43"/>
  <c r="AY20" i="43"/>
  <c r="BH19" i="43"/>
  <c r="BC16" i="43"/>
  <c r="BJ15" i="43"/>
  <c r="AY12" i="43"/>
  <c r="BF11" i="43"/>
  <c r="BM10" i="43"/>
  <c r="BC23" i="43"/>
  <c r="BB23" i="43"/>
  <c r="BK22" i="43"/>
  <c r="AZ23" i="43"/>
  <c r="AY23" i="43"/>
  <c r="AX23" i="43"/>
  <c r="BG22" i="43"/>
  <c r="BB19" i="43"/>
  <c r="BK18" i="43"/>
  <c r="AW16" i="43"/>
  <c r="BD15" i="43"/>
  <c r="BK14" i="43"/>
  <c r="BK1" i="43" s="1"/>
  <c r="AZ11" i="43"/>
  <c r="AZ2" i="43" s="1"/>
  <c r="AZ3" i="43" s="1"/>
  <c r="BG10" i="43"/>
  <c r="AW23" i="43"/>
  <c r="BE22" i="43"/>
  <c r="BC22" i="43"/>
  <c r="BL21" i="43"/>
  <c r="BB22" i="43"/>
  <c r="BA22" i="43"/>
  <c r="BA2" i="43" s="1"/>
  <c r="BA3" i="43" s="1"/>
  <c r="BJ21" i="43"/>
  <c r="BN24" i="43"/>
  <c r="BM24" i="43"/>
  <c r="BL24" i="43"/>
  <c r="BK24" i="43"/>
  <c r="BJ24" i="43"/>
  <c r="BI24" i="43"/>
  <c r="BH24" i="43"/>
  <c r="BG24" i="43"/>
  <c r="BF24" i="43"/>
  <c r="BE24" i="43"/>
  <c r="BD24" i="43"/>
  <c r="BC24" i="43"/>
  <c r="BB24" i="43"/>
  <c r="BA24" i="43"/>
  <c r="BJ23" i="43"/>
  <c r="BE20" i="43"/>
  <c r="BN19" i="43"/>
  <c r="AZ17" i="43"/>
  <c r="BI16" i="43"/>
  <c r="BI2" i="43" s="1"/>
  <c r="BI3" i="43" s="1"/>
  <c r="AX13" i="43"/>
  <c r="AX2" i="43" s="1"/>
  <c r="AX3" i="43" s="1"/>
  <c r="BE12" i="43"/>
  <c r="BE2" i="43" s="1"/>
  <c r="BE3" i="43" s="1"/>
  <c r="BL11" i="43"/>
  <c r="AZ24" i="43"/>
  <c r="AY24" i="43"/>
  <c r="BH23" i="43"/>
  <c r="BC20" i="43"/>
  <c r="BC1" i="43" s="1"/>
  <c r="BL19" i="43"/>
  <c r="AX24" i="43"/>
  <c r="BG23" i="43"/>
  <c r="BB20" i="43"/>
  <c r="BK19" i="43"/>
  <c r="AW17" i="43"/>
  <c r="BF16" i="43"/>
  <c r="BM15" i="43"/>
  <c r="BB12" i="43"/>
  <c r="BB2" i="43" s="1"/>
  <c r="BB3" i="43" s="1"/>
  <c r="BM12" i="43"/>
  <c r="BJ13" i="43"/>
  <c r="BG14" i="43"/>
  <c r="BE15" i="43"/>
  <c r="BB16" i="43"/>
  <c r="AY17" i="43"/>
  <c r="BA23" i="43"/>
  <c r="BF23" i="43"/>
  <c r="X5" i="21" l="1"/>
  <c r="AA13" i="41"/>
  <c r="Y13" i="41" s="1"/>
  <c r="Z13" i="41" s="1"/>
  <c r="AA12" i="41"/>
  <c r="Y12" i="41" s="1"/>
  <c r="AC2" i="43"/>
  <c r="BB38" i="41"/>
  <c r="BJ2" i="43"/>
  <c r="BJ3" i="43" s="1"/>
  <c r="BJ1" i="43"/>
  <c r="AM192" i="41"/>
  <c r="AN192" i="41" s="1"/>
  <c r="AO192" i="41" s="1"/>
  <c r="AP192" i="41" s="1"/>
  <c r="AA192" i="41"/>
  <c r="AA139" i="41"/>
  <c r="AM139" i="41"/>
  <c r="AN139" i="41" s="1"/>
  <c r="AO139" i="41" s="1"/>
  <c r="AP139" i="41" s="1"/>
  <c r="AM19" i="41"/>
  <c r="AN19" i="41" s="1"/>
  <c r="AO19" i="41" s="1"/>
  <c r="AP19" i="41" s="1"/>
  <c r="AA19" i="41"/>
  <c r="AM61" i="41"/>
  <c r="AN61" i="41" s="1"/>
  <c r="AO61" i="41" s="1"/>
  <c r="AP61" i="41" s="1"/>
  <c r="AA61" i="41"/>
  <c r="BA1" i="43"/>
  <c r="AG9" i="20"/>
  <c r="AG8" i="20"/>
  <c r="AG11" i="20"/>
  <c r="AG10" i="20"/>
  <c r="G11" i="20"/>
  <c r="AI26" i="20" s="1"/>
  <c r="AA102" i="41"/>
  <c r="AM102" i="41"/>
  <c r="AN102" i="41" s="1"/>
  <c r="AO102" i="41" s="1"/>
  <c r="AP102" i="41" s="1"/>
  <c r="AM200" i="41"/>
  <c r="AN200" i="41" s="1"/>
  <c r="AO200" i="41" s="1"/>
  <c r="AP200" i="41" s="1"/>
  <c r="AA200" i="41"/>
  <c r="AJ2" i="43"/>
  <c r="AK6" i="43"/>
  <c r="AJ1" i="43"/>
  <c r="AA186" i="41"/>
  <c r="AM186" i="41"/>
  <c r="AN186" i="41" s="1"/>
  <c r="AO186" i="41" s="1"/>
  <c r="AP186" i="41" s="1"/>
  <c r="BN2" i="43"/>
  <c r="BN3" i="43" s="1"/>
  <c r="BN1" i="43"/>
  <c r="AM196" i="41"/>
  <c r="AN196" i="41" s="1"/>
  <c r="AO196" i="41" s="1"/>
  <c r="AP196" i="41" s="1"/>
  <c r="AA196" i="41"/>
  <c r="AA60" i="41"/>
  <c r="AM60" i="41"/>
  <c r="AN60" i="41" s="1"/>
  <c r="AO60" i="41" s="1"/>
  <c r="AP60" i="41" s="1"/>
  <c r="AA8" i="41"/>
  <c r="AM8" i="41"/>
  <c r="AN8" i="41" s="1"/>
  <c r="AO8" i="41" s="1"/>
  <c r="AP8" i="41" s="1"/>
  <c r="AM111" i="41"/>
  <c r="AN111" i="41" s="1"/>
  <c r="AO111" i="41" s="1"/>
  <c r="AP111" i="41" s="1"/>
  <c r="AA111" i="41"/>
  <c r="AM30" i="41"/>
  <c r="AN30" i="41" s="1"/>
  <c r="AO30" i="41" s="1"/>
  <c r="AP30" i="41" s="1"/>
  <c r="AM170" i="41"/>
  <c r="AN170" i="41" s="1"/>
  <c r="AO170" i="41" s="1"/>
  <c r="AP170" i="41" s="1"/>
  <c r="AA170" i="41"/>
  <c r="O25" i="19"/>
  <c r="AA40" i="19" s="1"/>
  <c r="O13" i="19"/>
  <c r="Y13" i="19"/>
  <c r="M5" i="19"/>
  <c r="AM130" i="41"/>
  <c r="AN130" i="41" s="1"/>
  <c r="AO130" i="41" s="1"/>
  <c r="AP130" i="41" s="1"/>
  <c r="BI1" i="43"/>
  <c r="AA120" i="41"/>
  <c r="AM120" i="41"/>
  <c r="AN120" i="41" s="1"/>
  <c r="AO120" i="41" s="1"/>
  <c r="AP120" i="41" s="1"/>
  <c r="AM108" i="41"/>
  <c r="AN108" i="41" s="1"/>
  <c r="AO108" i="41" s="1"/>
  <c r="AP108" i="41" s="1"/>
  <c r="AM92" i="41"/>
  <c r="AN92" i="41" s="1"/>
  <c r="AO92" i="41" s="1"/>
  <c r="AP92" i="41" s="1"/>
  <c r="AA92" i="41"/>
  <c r="Q55" i="37"/>
  <c r="U54" i="37"/>
  <c r="W54" i="37" s="1"/>
  <c r="AM64" i="41"/>
  <c r="AN64" i="41" s="1"/>
  <c r="AO64" i="41" s="1"/>
  <c r="AP64" i="41" s="1"/>
  <c r="AA64" i="41"/>
  <c r="AM211" i="41"/>
  <c r="AN211" i="41" s="1"/>
  <c r="AO211" i="41" s="1"/>
  <c r="AP211" i="41" s="1"/>
  <c r="AA211" i="41"/>
  <c r="AA187" i="41"/>
  <c r="AM187" i="41"/>
  <c r="AN187" i="41" s="1"/>
  <c r="AO187" i="41" s="1"/>
  <c r="AP187" i="41" s="1"/>
  <c r="AA209" i="41"/>
  <c r="AM209" i="41"/>
  <c r="AN209" i="41" s="1"/>
  <c r="AO209" i="41" s="1"/>
  <c r="AP209" i="41" s="1"/>
  <c r="AM79" i="41"/>
  <c r="AN79" i="41" s="1"/>
  <c r="AO79" i="41" s="1"/>
  <c r="AP79" i="41" s="1"/>
  <c r="AA79" i="41"/>
  <c r="AA177" i="41"/>
  <c r="AM177" i="41"/>
  <c r="AN177" i="41" s="1"/>
  <c r="AO177" i="41" s="1"/>
  <c r="AP177" i="41" s="1"/>
  <c r="AA56" i="41"/>
  <c r="AM56" i="41"/>
  <c r="AN56" i="41" s="1"/>
  <c r="AO56" i="41" s="1"/>
  <c r="AP56" i="41" s="1"/>
  <c r="BE1" i="43"/>
  <c r="U34" i="37"/>
  <c r="W34" i="37" s="1"/>
  <c r="Q35" i="37"/>
  <c r="AA77" i="41"/>
  <c r="AM77" i="41"/>
  <c r="AN77" i="41" s="1"/>
  <c r="AO77" i="41" s="1"/>
  <c r="AP77" i="41" s="1"/>
  <c r="BG2" i="43"/>
  <c r="BG3" i="43" s="1"/>
  <c r="BG1" i="43"/>
  <c r="AR2" i="43"/>
  <c r="AR1" i="43"/>
  <c r="AS6" i="43"/>
  <c r="AA199" i="41"/>
  <c r="AM199" i="41"/>
  <c r="AN199" i="41" s="1"/>
  <c r="AO199" i="41" s="1"/>
  <c r="AP199" i="41" s="1"/>
  <c r="AM32" i="41"/>
  <c r="AN32" i="41" s="1"/>
  <c r="AO32" i="41" s="1"/>
  <c r="AP32" i="41" s="1"/>
  <c r="AM63" i="41"/>
  <c r="AN63" i="41" s="1"/>
  <c r="AO63" i="41" s="1"/>
  <c r="AP63" i="41" s="1"/>
  <c r="AA63" i="41"/>
  <c r="AA59" i="41"/>
  <c r="AM59" i="41"/>
  <c r="AN59" i="41" s="1"/>
  <c r="AO59" i="41" s="1"/>
  <c r="AP59" i="41" s="1"/>
  <c r="AA101" i="41"/>
  <c r="AM101" i="41"/>
  <c r="AN101" i="41" s="1"/>
  <c r="AO101" i="41" s="1"/>
  <c r="AP101" i="41" s="1"/>
  <c r="AM57" i="41"/>
  <c r="AN57" i="41" s="1"/>
  <c r="AO57" i="41" s="1"/>
  <c r="AP57" i="41" s="1"/>
  <c r="AA32" i="19"/>
  <c r="G14" i="19"/>
  <c r="AA34" i="19" s="1"/>
  <c r="AA4" i="37"/>
  <c r="W4" i="37"/>
  <c r="Y4" i="37"/>
  <c r="AM73" i="41"/>
  <c r="AN73" i="41" s="1"/>
  <c r="AO73" i="41" s="1"/>
  <c r="AP73" i="41" s="1"/>
  <c r="AA73" i="41"/>
  <c r="AA58" i="41"/>
  <c r="AM58" i="41"/>
  <c r="AN58" i="41" s="1"/>
  <c r="AO58" i="41" s="1"/>
  <c r="AP58" i="41" s="1"/>
  <c r="G9" i="19"/>
  <c r="AA9" i="19" s="1"/>
  <c r="AA7" i="19"/>
  <c r="AM46" i="41"/>
  <c r="AN46" i="41" s="1"/>
  <c r="AO46" i="41" s="1"/>
  <c r="AP46" i="41" s="1"/>
  <c r="BL2" i="43"/>
  <c r="BL3" i="43" s="1"/>
  <c r="BL1" i="43"/>
  <c r="AA44" i="41"/>
  <c r="AM44" i="41"/>
  <c r="AN44" i="41" s="1"/>
  <c r="AO44" i="41" s="1"/>
  <c r="AP44" i="41" s="1"/>
  <c r="AO1" i="43"/>
  <c r="AA37" i="41"/>
  <c r="AM37" i="41"/>
  <c r="AN37" i="41" s="1"/>
  <c r="AO37" i="41" s="1"/>
  <c r="AP37" i="41" s="1"/>
  <c r="AA213" i="41"/>
  <c r="AM213" i="41"/>
  <c r="AN213" i="41" s="1"/>
  <c r="AO213" i="41" s="1"/>
  <c r="AP213" i="41" s="1"/>
  <c r="AA75" i="41"/>
  <c r="AM75" i="41"/>
  <c r="AN75" i="41" s="1"/>
  <c r="AO75" i="41" s="1"/>
  <c r="AP75" i="41" s="1"/>
  <c r="AA216" i="41"/>
  <c r="AM216" i="41"/>
  <c r="AN216" i="41" s="1"/>
  <c r="AO216" i="41" s="1"/>
  <c r="AP216" i="41" s="1"/>
  <c r="AM175" i="41"/>
  <c r="AN175" i="41" s="1"/>
  <c r="AO175" i="41" s="1"/>
  <c r="AP175" i="41" s="1"/>
  <c r="AA175" i="41"/>
  <c r="AM126" i="41"/>
  <c r="AN126" i="41" s="1"/>
  <c r="AO126" i="41" s="1"/>
  <c r="AP126" i="41" s="1"/>
  <c r="AA11" i="41"/>
  <c r="AM11" i="41"/>
  <c r="AN11" i="41" s="1"/>
  <c r="AO11" i="41" s="1"/>
  <c r="AP11" i="41" s="1"/>
  <c r="AA21" i="41"/>
  <c r="AM21" i="41"/>
  <c r="AN21" i="41" s="1"/>
  <c r="AO21" i="41" s="1"/>
  <c r="AP21" i="41" s="1"/>
  <c r="AO2" i="43"/>
  <c r="S42" i="37"/>
  <c r="U32" i="37"/>
  <c r="W32" i="37" s="1"/>
  <c r="AM65" i="41"/>
  <c r="AN65" i="41" s="1"/>
  <c r="AO65" i="41" s="1"/>
  <c r="AP65" i="41" s="1"/>
  <c r="AA36" i="41"/>
  <c r="AM36" i="41"/>
  <c r="AN36" i="41" s="1"/>
  <c r="AO36" i="41" s="1"/>
  <c r="AP36" i="41" s="1"/>
  <c r="AA220" i="41"/>
  <c r="AM220" i="41"/>
  <c r="AN220" i="41" s="1"/>
  <c r="AO220" i="41" s="1"/>
  <c r="AP220" i="41" s="1"/>
  <c r="AA191" i="41"/>
  <c r="AM191" i="41"/>
  <c r="AN191" i="41" s="1"/>
  <c r="AO191" i="41" s="1"/>
  <c r="AP191" i="41" s="1"/>
  <c r="AM14" i="41"/>
  <c r="AN14" i="41" s="1"/>
  <c r="AO14" i="41" s="1"/>
  <c r="AP14" i="41" s="1"/>
  <c r="AA14" i="41"/>
  <c r="AA221" i="41"/>
  <c r="AM221" i="41"/>
  <c r="AN221" i="41" s="1"/>
  <c r="AO221" i="41" s="1"/>
  <c r="AP221" i="41" s="1"/>
  <c r="AA154" i="41"/>
  <c r="AM154" i="41"/>
  <c r="AN154" i="41" s="1"/>
  <c r="AO154" i="41" s="1"/>
  <c r="AP154" i="41" s="1"/>
  <c r="AV17" i="43"/>
  <c r="AU2" i="43"/>
  <c r="AU1" i="43"/>
  <c r="AE6" i="43"/>
  <c r="AM49" i="41"/>
  <c r="AN49" i="41" s="1"/>
  <c r="AO49" i="41" s="1"/>
  <c r="AP49" i="41" s="1"/>
  <c r="V4" i="37"/>
  <c r="P5" i="37"/>
  <c r="AM147" i="41"/>
  <c r="AN147" i="41" s="1"/>
  <c r="AO147" i="41" s="1"/>
  <c r="AP147" i="41" s="1"/>
  <c r="AM153" i="41"/>
  <c r="AN153" i="41" s="1"/>
  <c r="AO153" i="41" s="1"/>
  <c r="AP153" i="41" s="1"/>
  <c r="AA153" i="41"/>
  <c r="AA84" i="41"/>
  <c r="AM84" i="41"/>
  <c r="AN84" i="41" s="1"/>
  <c r="AO84" i="41" s="1"/>
  <c r="AP84" i="41" s="1"/>
  <c r="AA168" i="41"/>
  <c r="AM168" i="41"/>
  <c r="AN168" i="41" s="1"/>
  <c r="AO168" i="41" s="1"/>
  <c r="AP168" i="41" s="1"/>
  <c r="M2" i="19"/>
  <c r="AA2" i="19"/>
  <c r="G4" i="19"/>
  <c r="AA4" i="19" s="1"/>
  <c r="G13" i="19"/>
  <c r="AA33" i="19" s="1"/>
  <c r="Y3" i="19"/>
  <c r="E5" i="19"/>
  <c r="AA80" i="41"/>
  <c r="AM80" i="41"/>
  <c r="AN80" i="41" s="1"/>
  <c r="AO80" i="41" s="1"/>
  <c r="AP80" i="41" s="1"/>
  <c r="AM50" i="41"/>
  <c r="AN50" i="41" s="1"/>
  <c r="AO50" i="41" s="1"/>
  <c r="AP50" i="41" s="1"/>
  <c r="AM6" i="41"/>
  <c r="AN6" i="41" s="1"/>
  <c r="AO6" i="41" s="1"/>
  <c r="AP6" i="41" s="1"/>
  <c r="AM53" i="41"/>
  <c r="AN53" i="41" s="1"/>
  <c r="AO53" i="41" s="1"/>
  <c r="AP53" i="41" s="1"/>
  <c r="AA53" i="41"/>
  <c r="AA194" i="41"/>
  <c r="AM194" i="41"/>
  <c r="AN194" i="41" s="1"/>
  <c r="AO194" i="41" s="1"/>
  <c r="AP194" i="41" s="1"/>
  <c r="AA217" i="41"/>
  <c r="AM217" i="41"/>
  <c r="AN217" i="41" s="1"/>
  <c r="AO217" i="41" s="1"/>
  <c r="AP217" i="41" s="1"/>
  <c r="AA195" i="41"/>
  <c r="AM195" i="41"/>
  <c r="AN195" i="41" s="1"/>
  <c r="AO195" i="41" s="1"/>
  <c r="AP195" i="41" s="1"/>
  <c r="AA117" i="41"/>
  <c r="AM117" i="41"/>
  <c r="AN117" i="41" s="1"/>
  <c r="AO117" i="41" s="1"/>
  <c r="AP117" i="41" s="1"/>
  <c r="AA116" i="41"/>
  <c r="AM116" i="41"/>
  <c r="AN116" i="41" s="1"/>
  <c r="AO116" i="41" s="1"/>
  <c r="AP116" i="41" s="1"/>
  <c r="AM141" i="41"/>
  <c r="AN141" i="41" s="1"/>
  <c r="AO141" i="41" s="1"/>
  <c r="AP141" i="41" s="1"/>
  <c r="AA141" i="41"/>
  <c r="AM98" i="41"/>
  <c r="AN98" i="41" s="1"/>
  <c r="AO98" i="41" s="1"/>
  <c r="AP98" i="41" s="1"/>
  <c r="AM48" i="41"/>
  <c r="AN48" i="41" s="1"/>
  <c r="AO48" i="41" s="1"/>
  <c r="AP48" i="41" s="1"/>
  <c r="AA48" i="41"/>
  <c r="AM124" i="41"/>
  <c r="AN124" i="41" s="1"/>
  <c r="AO124" i="41" s="1"/>
  <c r="AP124" i="41" s="1"/>
  <c r="AM132" i="41"/>
  <c r="AN132" i="41" s="1"/>
  <c r="AO132" i="41" s="1"/>
  <c r="AP132" i="41" s="1"/>
  <c r="AA132" i="41"/>
  <c r="AM91" i="41"/>
  <c r="AN91" i="41" s="1"/>
  <c r="AO91" i="41" s="1"/>
  <c r="AP91" i="41" s="1"/>
  <c r="AA91" i="41"/>
  <c r="AM161" i="41"/>
  <c r="AN161" i="41" s="1"/>
  <c r="AO161" i="41" s="1"/>
  <c r="AP161" i="41" s="1"/>
  <c r="AA161" i="41"/>
  <c r="AM208" i="41"/>
  <c r="AN208" i="41" s="1"/>
  <c r="AO208" i="41" s="1"/>
  <c r="AP208" i="41" s="1"/>
  <c r="AA208" i="41"/>
  <c r="AA88" i="41"/>
  <c r="AM88" i="41"/>
  <c r="AN88" i="41" s="1"/>
  <c r="AO88" i="41" s="1"/>
  <c r="AP88" i="41" s="1"/>
  <c r="AM137" i="41"/>
  <c r="AN137" i="41" s="1"/>
  <c r="AO137" i="41" s="1"/>
  <c r="AP137" i="41" s="1"/>
  <c r="AA137" i="41"/>
  <c r="AA23" i="41"/>
  <c r="AM23" i="41"/>
  <c r="AN23" i="41" s="1"/>
  <c r="AO23" i="41" s="1"/>
  <c r="AP23" i="41" s="1"/>
  <c r="AM179" i="41"/>
  <c r="AN179" i="41" s="1"/>
  <c r="AO179" i="41" s="1"/>
  <c r="AP179" i="41" s="1"/>
  <c r="AA179" i="41"/>
  <c r="T2" i="21"/>
  <c r="AE2" i="21"/>
  <c r="U2" i="21"/>
  <c r="Y2" i="21" s="1"/>
  <c r="AA145" i="41"/>
  <c r="AM145" i="41"/>
  <c r="AN145" i="41" s="1"/>
  <c r="AO145" i="41" s="1"/>
  <c r="AP145" i="41" s="1"/>
  <c r="AZ1" i="43"/>
  <c r="AL2" i="43"/>
  <c r="AM197" i="41"/>
  <c r="AN197" i="41" s="1"/>
  <c r="AO197" i="41" s="1"/>
  <c r="AP197" i="41" s="1"/>
  <c r="AA67" i="41"/>
  <c r="AM67" i="41"/>
  <c r="AN67" i="41" s="1"/>
  <c r="AO67" i="41" s="1"/>
  <c r="AP67" i="41" s="1"/>
  <c r="AM35" i="41"/>
  <c r="AN35" i="41" s="1"/>
  <c r="AO35" i="41" s="1"/>
  <c r="AP35" i="41" s="1"/>
  <c r="AA35" i="41"/>
  <c r="AA7" i="41"/>
  <c r="AM7" i="41"/>
  <c r="AN7" i="41" s="1"/>
  <c r="AO7" i="41" s="1"/>
  <c r="AP7" i="41" s="1"/>
  <c r="AM203" i="41"/>
  <c r="AN203" i="41" s="1"/>
  <c r="AO203" i="41" s="1"/>
  <c r="AP203" i="41" s="1"/>
  <c r="AA222" i="41"/>
  <c r="AM222" i="41"/>
  <c r="AN222" i="41" s="1"/>
  <c r="AO222" i="41" s="1"/>
  <c r="AP222" i="41" s="1"/>
  <c r="AM189" i="41"/>
  <c r="AN189" i="41" s="1"/>
  <c r="AO189" i="41" s="1"/>
  <c r="AP189" i="41" s="1"/>
  <c r="AA189" i="41"/>
  <c r="AG6" i="43"/>
  <c r="AF1" i="43"/>
  <c r="AF2" i="43"/>
  <c r="AM112" i="41"/>
  <c r="AN112" i="41" s="1"/>
  <c r="AO112" i="41" s="1"/>
  <c r="AP112" i="41" s="1"/>
  <c r="AA112" i="41"/>
  <c r="AA133" i="41"/>
  <c r="AM133" i="41"/>
  <c r="AN133" i="41" s="1"/>
  <c r="AO133" i="41" s="1"/>
  <c r="AP133" i="41" s="1"/>
  <c r="AM38" i="41"/>
  <c r="AN38" i="41" s="1"/>
  <c r="AO38" i="41" s="1"/>
  <c r="AP38" i="41" s="1"/>
  <c r="AA38" i="41"/>
  <c r="AA150" i="41"/>
  <c r="AM150" i="41"/>
  <c r="AN150" i="41" s="1"/>
  <c r="AO150" i="41" s="1"/>
  <c r="AP150" i="41" s="1"/>
  <c r="AM51" i="41"/>
  <c r="AN51" i="41" s="1"/>
  <c r="AO51" i="41" s="1"/>
  <c r="AP51" i="41" s="1"/>
  <c r="AA51" i="41"/>
  <c r="AM109" i="41"/>
  <c r="AN109" i="41" s="1"/>
  <c r="AO109" i="41" s="1"/>
  <c r="AP109" i="41" s="1"/>
  <c r="AM17" i="41"/>
  <c r="AN17" i="41" s="1"/>
  <c r="AO17" i="41" s="1"/>
  <c r="AP17" i="41" s="1"/>
  <c r="AA17" i="41"/>
  <c r="AA158" i="41"/>
  <c r="AM158" i="41"/>
  <c r="AN158" i="41" s="1"/>
  <c r="AO158" i="41" s="1"/>
  <c r="AP158" i="41" s="1"/>
  <c r="AD7" i="43"/>
  <c r="AE7" i="43" s="1"/>
  <c r="AC1" i="43"/>
  <c r="BK2" i="43"/>
  <c r="BK3" i="43" s="1"/>
  <c r="AM114" i="41"/>
  <c r="AN114" i="41" s="1"/>
  <c r="AO114" i="41" s="1"/>
  <c r="AP114" i="41" s="1"/>
  <c r="AA114" i="41"/>
  <c r="AM206" i="41"/>
  <c r="AN206" i="41" s="1"/>
  <c r="AO206" i="41" s="1"/>
  <c r="AP206" i="41" s="1"/>
  <c r="AA206" i="41"/>
  <c r="AA90" i="41"/>
  <c r="AM90" i="41"/>
  <c r="AN90" i="41" s="1"/>
  <c r="AO90" i="41" s="1"/>
  <c r="AP90" i="41" s="1"/>
  <c r="AM20" i="41"/>
  <c r="AN20" i="41" s="1"/>
  <c r="AO20" i="41" s="1"/>
  <c r="AP20" i="41" s="1"/>
  <c r="AA20" i="41"/>
  <c r="AA26" i="41"/>
  <c r="AM26" i="41"/>
  <c r="AN26" i="41" s="1"/>
  <c r="AO26" i="41" s="1"/>
  <c r="AP26" i="41" s="1"/>
  <c r="U25" i="37"/>
  <c r="W25" i="37" s="1"/>
  <c r="Q26" i="37"/>
  <c r="AM212" i="41"/>
  <c r="AN212" i="41" s="1"/>
  <c r="AO212" i="41" s="1"/>
  <c r="AP212" i="41" s="1"/>
  <c r="P55" i="37"/>
  <c r="V54" i="37"/>
  <c r="AA18" i="41"/>
  <c r="AM18" i="41"/>
  <c r="AN18" i="41" s="1"/>
  <c r="AO18" i="41" s="1"/>
  <c r="AP18" i="41" s="1"/>
  <c r="AA24" i="41"/>
  <c r="AM24" i="41"/>
  <c r="AN24" i="41" s="1"/>
  <c r="AO24" i="41" s="1"/>
  <c r="AP24" i="41" s="1"/>
  <c r="AM54" i="41"/>
  <c r="AN54" i="41" s="1"/>
  <c r="AO54" i="41" s="1"/>
  <c r="AP54" i="41" s="1"/>
  <c r="AA54" i="41"/>
  <c r="AA86" i="41"/>
  <c r="AM86" i="41"/>
  <c r="AN86" i="41" s="1"/>
  <c r="AO86" i="41" s="1"/>
  <c r="AP86" i="41" s="1"/>
  <c r="AL1" i="43"/>
  <c r="BM1" i="43"/>
  <c r="BM2" i="43"/>
  <c r="BM3" i="43" s="1"/>
  <c r="AM1" i="43"/>
  <c r="AM119" i="41"/>
  <c r="AN119" i="41" s="1"/>
  <c r="AO119" i="41" s="1"/>
  <c r="AP119" i="41" s="1"/>
  <c r="AM184" i="41"/>
  <c r="AN184" i="41" s="1"/>
  <c r="AO184" i="41" s="1"/>
  <c r="AP184" i="41" s="1"/>
  <c r="AA184" i="41"/>
  <c r="AA100" i="41"/>
  <c r="AM100" i="41"/>
  <c r="AN100" i="41" s="1"/>
  <c r="AO100" i="41" s="1"/>
  <c r="AP100" i="41" s="1"/>
  <c r="Q48" i="37"/>
  <c r="U48" i="37" s="1"/>
  <c r="W48" i="37" s="1"/>
  <c r="U47" i="37"/>
  <c r="W47" i="37" s="1"/>
  <c r="Y3" i="37"/>
  <c r="AP30" i="11"/>
  <c r="AP21" i="11"/>
  <c r="AP22" i="11"/>
  <c r="AP23" i="11"/>
  <c r="AP24" i="11"/>
  <c r="AP25" i="11"/>
  <c r="AP7" i="11"/>
  <c r="AP26" i="11"/>
  <c r="AP28" i="11"/>
  <c r="AP29" i="11"/>
  <c r="AM169" i="41"/>
  <c r="AN169" i="41" s="1"/>
  <c r="AO169" i="41" s="1"/>
  <c r="AP169" i="41" s="1"/>
  <c r="AA173" i="41"/>
  <c r="AM173" i="41"/>
  <c r="AN173" i="41" s="1"/>
  <c r="AO173" i="41" s="1"/>
  <c r="AP173" i="41" s="1"/>
  <c r="BC2" i="43"/>
  <c r="BC3" i="43" s="1"/>
  <c r="AA110" i="41"/>
  <c r="AM110" i="41"/>
  <c r="AN110" i="41" s="1"/>
  <c r="AO110" i="41" s="1"/>
  <c r="AP110" i="41" s="1"/>
  <c r="AA62" i="41"/>
  <c r="AM62" i="41"/>
  <c r="AN62" i="41" s="1"/>
  <c r="AO62" i="41" s="1"/>
  <c r="AP62" i="41" s="1"/>
  <c r="AM121" i="41"/>
  <c r="AN121" i="41" s="1"/>
  <c r="AO121" i="41" s="1"/>
  <c r="AP121" i="41" s="1"/>
  <c r="AA41" i="41"/>
  <c r="AM41" i="41"/>
  <c r="AN41" i="41" s="1"/>
  <c r="AO41" i="41" s="1"/>
  <c r="AP41" i="41" s="1"/>
  <c r="AM142" i="41"/>
  <c r="AN142" i="41" s="1"/>
  <c r="AO142" i="41" s="1"/>
  <c r="AP142" i="41" s="1"/>
  <c r="AM146" i="41"/>
  <c r="AN146" i="41" s="1"/>
  <c r="AO146" i="41" s="1"/>
  <c r="AP146" i="41" s="1"/>
  <c r="AA146" i="41"/>
  <c r="BH1" i="43"/>
  <c r="AA152" i="41"/>
  <c r="AM152" i="41"/>
  <c r="AN152" i="41" s="1"/>
  <c r="AO152" i="41" s="1"/>
  <c r="AP152" i="41" s="1"/>
  <c r="AA78" i="41"/>
  <c r="AM78" i="41"/>
  <c r="AN78" i="41" s="1"/>
  <c r="AO78" i="41" s="1"/>
  <c r="AP78" i="41" s="1"/>
  <c r="AA182" i="41"/>
  <c r="AM182" i="41"/>
  <c r="AN182" i="41" s="1"/>
  <c r="AO182" i="41" s="1"/>
  <c r="AP182" i="41" s="1"/>
  <c r="AM218" i="41"/>
  <c r="AN218" i="41" s="1"/>
  <c r="AO218" i="41" s="1"/>
  <c r="AP218" i="41" s="1"/>
  <c r="AM185" i="41"/>
  <c r="AN185" i="41" s="1"/>
  <c r="AO185" i="41" s="1"/>
  <c r="AP185" i="41" s="1"/>
  <c r="AA185" i="41"/>
  <c r="AA47" i="41"/>
  <c r="AM47" i="41"/>
  <c r="AN47" i="41" s="1"/>
  <c r="AO47" i="41" s="1"/>
  <c r="AP47" i="41" s="1"/>
  <c r="P38" i="37"/>
  <c r="V38" i="37" s="1"/>
  <c r="V37" i="37"/>
  <c r="AM183" i="41"/>
  <c r="AN183" i="41" s="1"/>
  <c r="AO183" i="41" s="1"/>
  <c r="AP183" i="41" s="1"/>
  <c r="P17" i="37"/>
  <c r="V16" i="37"/>
  <c r="AA193" i="41"/>
  <c r="AM193" i="41"/>
  <c r="AN193" i="41" s="1"/>
  <c r="AO193" i="41" s="1"/>
  <c r="AP193" i="41" s="1"/>
  <c r="AA96" i="41"/>
  <c r="AM96" i="41"/>
  <c r="AN96" i="41" s="1"/>
  <c r="AO96" i="41" s="1"/>
  <c r="AP96" i="41" s="1"/>
  <c r="AM215" i="41"/>
  <c r="AN215" i="41" s="1"/>
  <c r="AO215" i="41" s="1"/>
  <c r="AP215" i="41" s="1"/>
  <c r="AA155" i="41"/>
  <c r="AM155" i="41"/>
  <c r="AN155" i="41" s="1"/>
  <c r="AO155" i="41" s="1"/>
  <c r="AP155" i="41" s="1"/>
  <c r="AA99" i="41"/>
  <c r="AM99" i="41"/>
  <c r="AN99" i="41" s="1"/>
  <c r="AO99" i="41" s="1"/>
  <c r="AP99" i="41" s="1"/>
  <c r="AP2" i="43"/>
  <c r="AP1" i="43"/>
  <c r="AQ6" i="43"/>
  <c r="AI1" i="43"/>
  <c r="AA144" i="41"/>
  <c r="AM144" i="41"/>
  <c r="AN144" i="41" s="1"/>
  <c r="AO144" i="41" s="1"/>
  <c r="AP144" i="41" s="1"/>
  <c r="AA27" i="41"/>
  <c r="AM27" i="41"/>
  <c r="AN27" i="41" s="1"/>
  <c r="AO27" i="41" s="1"/>
  <c r="AP27" i="41" s="1"/>
  <c r="AM15" i="41"/>
  <c r="AN15" i="41" s="1"/>
  <c r="AO15" i="41" s="1"/>
  <c r="AP15" i="41" s="1"/>
  <c r="AA15" i="41"/>
  <c r="AM97" i="41"/>
  <c r="AN97" i="41" s="1"/>
  <c r="AO97" i="41" s="1"/>
  <c r="AP97" i="41" s="1"/>
  <c r="AA97" i="41"/>
  <c r="BF1" i="43"/>
  <c r="BF2" i="43"/>
  <c r="BF3" i="43" s="1"/>
  <c r="AM33" i="41"/>
  <c r="AN33" i="41" s="1"/>
  <c r="AO33" i="41" s="1"/>
  <c r="AP33" i="41" s="1"/>
  <c r="AA33" i="41"/>
  <c r="AN7" i="43"/>
  <c r="AM2" i="43"/>
  <c r="AM122" i="41"/>
  <c r="AN122" i="41" s="1"/>
  <c r="AO122" i="41" s="1"/>
  <c r="AP122" i="41" s="1"/>
  <c r="AA148" i="41"/>
  <c r="AM148" i="41"/>
  <c r="AN148" i="41" s="1"/>
  <c r="AO148" i="41" s="1"/>
  <c r="AP148" i="41" s="1"/>
  <c r="AM160" i="41"/>
  <c r="AN160" i="41" s="1"/>
  <c r="AO160" i="41" s="1"/>
  <c r="AP160" i="41" s="1"/>
  <c r="AA160" i="41"/>
  <c r="AM82" i="41"/>
  <c r="AN82" i="41" s="1"/>
  <c r="AO82" i="41" s="1"/>
  <c r="AP82" i="41" s="1"/>
  <c r="AA82" i="41"/>
  <c r="AM178" i="41"/>
  <c r="AN178" i="41" s="1"/>
  <c r="AO178" i="41" s="1"/>
  <c r="AP178" i="41" s="1"/>
  <c r="AA39" i="41"/>
  <c r="AM39" i="41"/>
  <c r="AN39" i="41" s="1"/>
  <c r="AO39" i="41" s="1"/>
  <c r="AP39" i="41" s="1"/>
  <c r="AM107" i="41"/>
  <c r="AN107" i="41" s="1"/>
  <c r="AO107" i="41" s="1"/>
  <c r="AP107" i="41" s="1"/>
  <c r="AM40" i="41"/>
  <c r="AN40" i="41" s="1"/>
  <c r="AO40" i="41" s="1"/>
  <c r="AP40" i="41" s="1"/>
  <c r="AA40" i="41"/>
  <c r="AM118" i="41"/>
  <c r="AN118" i="41" s="1"/>
  <c r="AO118" i="41" s="1"/>
  <c r="AP118" i="41" s="1"/>
  <c r="AA118" i="41"/>
  <c r="AM156" i="41"/>
  <c r="AN156" i="41" s="1"/>
  <c r="AO156" i="41" s="1"/>
  <c r="AP156" i="41" s="1"/>
  <c r="AM207" i="41"/>
  <c r="AN207" i="41" s="1"/>
  <c r="AO207" i="41" s="1"/>
  <c r="AP207" i="41" s="1"/>
  <c r="AA207" i="41"/>
  <c r="AM129" i="41"/>
  <c r="AN129" i="41" s="1"/>
  <c r="AO129" i="41" s="1"/>
  <c r="AP129" i="41" s="1"/>
  <c r="AM181" i="41"/>
  <c r="AN181" i="41" s="1"/>
  <c r="AO181" i="41" s="1"/>
  <c r="AP181" i="41" s="1"/>
  <c r="AA181" i="41"/>
  <c r="AA202" i="41"/>
  <c r="AM202" i="41"/>
  <c r="AN202" i="41" s="1"/>
  <c r="AO202" i="41" s="1"/>
  <c r="AP202" i="41" s="1"/>
  <c r="AM52" i="41"/>
  <c r="AN52" i="41" s="1"/>
  <c r="AO52" i="41" s="1"/>
  <c r="AP52" i="41" s="1"/>
  <c r="AA52" i="41"/>
  <c r="AA87" i="41"/>
  <c r="AM87" i="41"/>
  <c r="AN87" i="41" s="1"/>
  <c r="AO87" i="41" s="1"/>
  <c r="AP87" i="41" s="1"/>
  <c r="AM143" i="41"/>
  <c r="AN143" i="41" s="1"/>
  <c r="AO143" i="41" s="1"/>
  <c r="AP143" i="41" s="1"/>
  <c r="AA143" i="41"/>
  <c r="AA136" i="41"/>
  <c r="AM136" i="41"/>
  <c r="AN136" i="41" s="1"/>
  <c r="AO136" i="41" s="1"/>
  <c r="AP136" i="41" s="1"/>
  <c r="AM128" i="41"/>
  <c r="AN128" i="41" s="1"/>
  <c r="AO128" i="41" s="1"/>
  <c r="AP128" i="41" s="1"/>
  <c r="AA85" i="41"/>
  <c r="AM85" i="41"/>
  <c r="AN85" i="41" s="1"/>
  <c r="AO85" i="41" s="1"/>
  <c r="AP85" i="41" s="1"/>
  <c r="AA159" i="41"/>
  <c r="AM159" i="41"/>
  <c r="AN159" i="41" s="1"/>
  <c r="AO159" i="41" s="1"/>
  <c r="AP159" i="41" s="1"/>
  <c r="AM45" i="41"/>
  <c r="AN45" i="41" s="1"/>
  <c r="AO45" i="41" s="1"/>
  <c r="AP45" i="41" s="1"/>
  <c r="AM157" i="41"/>
  <c r="AN157" i="41" s="1"/>
  <c r="AO157" i="41" s="1"/>
  <c r="AP157" i="41" s="1"/>
  <c r="AA157" i="41"/>
  <c r="AA42" i="41"/>
  <c r="AM171" i="41"/>
  <c r="AN171" i="41" s="1"/>
  <c r="AO171" i="41" s="1"/>
  <c r="AP171" i="41" s="1"/>
  <c r="AA69" i="41"/>
  <c r="AM69" i="41"/>
  <c r="AN69" i="41" s="1"/>
  <c r="AO69" i="41" s="1"/>
  <c r="AP69" i="41" s="1"/>
  <c r="AM93" i="41"/>
  <c r="AN93" i="41" s="1"/>
  <c r="AO93" i="41" s="1"/>
  <c r="AP93" i="41" s="1"/>
  <c r="AA93" i="41"/>
  <c r="AA219" i="41"/>
  <c r="AM219" i="41"/>
  <c r="AN219" i="41" s="1"/>
  <c r="AO219" i="41" s="1"/>
  <c r="AP219" i="41" s="1"/>
  <c r="AA28" i="41"/>
  <c r="AM28" i="41"/>
  <c r="AN28" i="41" s="1"/>
  <c r="AO28" i="41" s="1"/>
  <c r="AP28" i="41" s="1"/>
  <c r="AM224" i="41"/>
  <c r="AN224" i="41" s="1"/>
  <c r="AO224" i="41" s="1"/>
  <c r="AP224" i="41" s="1"/>
  <c r="AA224" i="41"/>
  <c r="AA43" i="41"/>
  <c r="AM43" i="41"/>
  <c r="AN43" i="41" s="1"/>
  <c r="AO43" i="41" s="1"/>
  <c r="AP43" i="41" s="1"/>
  <c r="AM162" i="41"/>
  <c r="AN162" i="41" s="1"/>
  <c r="AO162" i="41" s="1"/>
  <c r="AP162" i="41" s="1"/>
  <c r="AM83" i="41"/>
  <c r="AN83" i="41" s="1"/>
  <c r="AO83" i="41" s="1"/>
  <c r="AP83" i="41" s="1"/>
  <c r="AA83" i="41"/>
  <c r="AA71" i="41"/>
  <c r="AM71" i="41"/>
  <c r="AN71" i="41" s="1"/>
  <c r="AO71" i="41" s="1"/>
  <c r="AP71" i="41" s="1"/>
  <c r="Q6" i="37"/>
  <c r="U5" i="37"/>
  <c r="AW2" i="43"/>
  <c r="AW3" i="43" s="1"/>
  <c r="AW1" i="43"/>
  <c r="AY1" i="43"/>
  <c r="AY2" i="43"/>
  <c r="AY3" i="43" s="1"/>
  <c r="AM163" i="41"/>
  <c r="AN163" i="41" s="1"/>
  <c r="AO163" i="41" s="1"/>
  <c r="AP163" i="41" s="1"/>
  <c r="AA163" i="41"/>
  <c r="AA25" i="41"/>
  <c r="AM25" i="41"/>
  <c r="AN25" i="41" s="1"/>
  <c r="AO25" i="41" s="1"/>
  <c r="AP25" i="41" s="1"/>
  <c r="AA214" i="41"/>
  <c r="AM214" i="41"/>
  <c r="AN214" i="41" s="1"/>
  <c r="AO214" i="41" s="1"/>
  <c r="AP214" i="41" s="1"/>
  <c r="AA31" i="41"/>
  <c r="AM31" i="41"/>
  <c r="AN31" i="41" s="1"/>
  <c r="AO31" i="41" s="1"/>
  <c r="AP31" i="41" s="1"/>
  <c r="AM174" i="41"/>
  <c r="AN174" i="41" s="1"/>
  <c r="AO174" i="41" s="1"/>
  <c r="AP174" i="41" s="1"/>
  <c r="AA174" i="41"/>
  <c r="AA113" i="41"/>
  <c r="AM113" i="41"/>
  <c r="AN113" i="41" s="1"/>
  <c r="AO113" i="41" s="1"/>
  <c r="AP113" i="41" s="1"/>
  <c r="AA34" i="41"/>
  <c r="AM34" i="41"/>
  <c r="AN34" i="41" s="1"/>
  <c r="AO34" i="41" s="1"/>
  <c r="AP34" i="41" s="1"/>
  <c r="AM223" i="41"/>
  <c r="AN223" i="41" s="1"/>
  <c r="AO223" i="41" s="1"/>
  <c r="AP223" i="41" s="1"/>
  <c r="AM106" i="41"/>
  <c r="AN106" i="41" s="1"/>
  <c r="AO106" i="41" s="1"/>
  <c r="AP106" i="41" s="1"/>
  <c r="AA106" i="41"/>
  <c r="AA123" i="41"/>
  <c r="AM123" i="41"/>
  <c r="AN123" i="41" s="1"/>
  <c r="AO123" i="41" s="1"/>
  <c r="AP123" i="41" s="1"/>
  <c r="S88" i="20"/>
  <c r="AI78" i="20"/>
  <c r="AI2" i="43"/>
  <c r="AM204" i="41"/>
  <c r="AN204" i="41" s="1"/>
  <c r="AO204" i="41" s="1"/>
  <c r="AP204" i="41" s="1"/>
  <c r="AA205" i="41"/>
  <c r="AM205" i="41"/>
  <c r="AN205" i="41" s="1"/>
  <c r="AO205" i="41" s="1"/>
  <c r="AP205" i="41" s="1"/>
  <c r="U16" i="37"/>
  <c r="W16" i="37" s="1"/>
  <c r="Q17" i="37"/>
  <c r="AM138" i="41"/>
  <c r="AN138" i="41" s="1"/>
  <c r="AO138" i="41" s="1"/>
  <c r="AP138" i="41" s="1"/>
  <c r="AA138" i="41"/>
  <c r="AA210" i="41"/>
  <c r="AM210" i="41"/>
  <c r="AN210" i="41" s="1"/>
  <c r="AO210" i="41" s="1"/>
  <c r="AP210" i="41" s="1"/>
  <c r="AA188" i="41"/>
  <c r="AM188" i="41"/>
  <c r="AN188" i="41" s="1"/>
  <c r="AO188" i="41" s="1"/>
  <c r="AP188" i="41" s="1"/>
  <c r="AA89" i="41"/>
  <c r="AM89" i="41"/>
  <c r="AN89" i="41" s="1"/>
  <c r="AO89" i="41" s="1"/>
  <c r="AP89" i="41" s="1"/>
  <c r="AM66" i="41"/>
  <c r="AN66" i="41" s="1"/>
  <c r="AO66" i="41" s="1"/>
  <c r="AP66" i="41" s="1"/>
  <c r="AA66" i="41"/>
  <c r="AA6" i="43"/>
  <c r="Z2" i="43"/>
  <c r="Z1" i="43"/>
  <c r="AA198" i="41"/>
  <c r="AM198" i="41"/>
  <c r="AN198" i="41" s="1"/>
  <c r="AO198" i="41" s="1"/>
  <c r="AP198" i="41" s="1"/>
  <c r="AA115" i="41"/>
  <c r="AM115" i="41"/>
  <c r="AN115" i="41" s="1"/>
  <c r="AO115" i="41" s="1"/>
  <c r="AP115" i="41" s="1"/>
  <c r="AA74" i="41"/>
  <c r="AM74" i="41"/>
  <c r="AN74" i="41" s="1"/>
  <c r="AO74" i="41" s="1"/>
  <c r="AP74" i="41" s="1"/>
  <c r="AA190" i="41"/>
  <c r="AM190" i="41"/>
  <c r="AN190" i="41" s="1"/>
  <c r="AO190" i="41" s="1"/>
  <c r="AP190" i="41" s="1"/>
  <c r="AM140" i="41"/>
  <c r="AN140" i="41" s="1"/>
  <c r="AO140" i="41" s="1"/>
  <c r="AP140" i="41" s="1"/>
  <c r="AA140" i="41"/>
  <c r="AX1" i="43"/>
  <c r="AM135" i="41"/>
  <c r="AN135" i="41" s="1"/>
  <c r="AO135" i="41" s="1"/>
  <c r="AP135" i="41" s="1"/>
  <c r="AA135" i="41"/>
  <c r="AM165" i="41"/>
  <c r="AN165" i="41" s="1"/>
  <c r="AO165" i="41" s="1"/>
  <c r="AP165" i="41" s="1"/>
  <c r="AA165" i="41"/>
  <c r="AA68" i="41"/>
  <c r="AM68" i="41"/>
  <c r="AN68" i="41" s="1"/>
  <c r="AO68" i="41" s="1"/>
  <c r="AP68" i="41" s="1"/>
  <c r="AM180" i="41"/>
  <c r="AN180" i="41" s="1"/>
  <c r="AO180" i="41" s="1"/>
  <c r="AP180" i="41" s="1"/>
  <c r="AA180" i="41"/>
  <c r="AA70" i="41"/>
  <c r="AM70" i="41"/>
  <c r="AN70" i="41" s="1"/>
  <c r="AO70" i="41" s="1"/>
  <c r="AP70" i="41" s="1"/>
  <c r="AM94" i="41"/>
  <c r="AN94" i="41" s="1"/>
  <c r="AO94" i="41" s="1"/>
  <c r="AP94" i="41" s="1"/>
  <c r="AA94" i="41"/>
  <c r="AM10" i="41"/>
  <c r="AN10" i="41" s="1"/>
  <c r="AO10" i="41" s="1"/>
  <c r="AP10" i="41" s="1"/>
  <c r="AA10" i="41"/>
  <c r="V25" i="37"/>
  <c r="P26" i="37"/>
  <c r="AM29" i="41"/>
  <c r="AN29" i="41" s="1"/>
  <c r="AO29" i="41" s="1"/>
  <c r="AP29" i="41" s="1"/>
  <c r="AA167" i="41"/>
  <c r="AM167" i="41"/>
  <c r="AN167" i="41" s="1"/>
  <c r="AO167" i="41" s="1"/>
  <c r="AP167" i="41" s="1"/>
  <c r="AM55" i="41"/>
  <c r="AN55" i="41" s="1"/>
  <c r="AO55" i="41" s="1"/>
  <c r="AP55" i="41" s="1"/>
  <c r="AA55" i="41"/>
  <c r="AM127" i="41"/>
  <c r="AN127" i="41" s="1"/>
  <c r="AO127" i="41" s="1"/>
  <c r="AP127" i="41" s="1"/>
  <c r="AA76" i="41"/>
  <c r="AM76" i="41"/>
  <c r="AN76" i="41" s="1"/>
  <c r="AO76" i="41" s="1"/>
  <c r="AP76" i="41" s="1"/>
  <c r="AM81" i="41"/>
  <c r="AN81" i="41" s="1"/>
  <c r="AO81" i="41" s="1"/>
  <c r="AP81" i="41" s="1"/>
  <c r="AA81" i="41"/>
  <c r="AM125" i="41"/>
  <c r="AN125" i="41" s="1"/>
  <c r="AO125" i="41" s="1"/>
  <c r="AP125" i="41" s="1"/>
  <c r="AM176" i="41"/>
  <c r="AN176" i="41" s="1"/>
  <c r="AO176" i="41" s="1"/>
  <c r="AP176" i="41" s="1"/>
  <c r="AM201" i="41"/>
  <c r="AN201" i="41" s="1"/>
  <c r="AO201" i="41" s="1"/>
  <c r="AP201" i="41" s="1"/>
  <c r="AA201" i="41"/>
  <c r="AM164" i="41"/>
  <c r="AN164" i="41" s="1"/>
  <c r="AO164" i="41" s="1"/>
  <c r="AP164" i="41" s="1"/>
  <c r="AA164" i="41"/>
  <c r="AB5" i="21"/>
  <c r="AG6" i="21"/>
  <c r="AH6" i="21" s="1"/>
  <c r="AM9" i="41"/>
  <c r="AN9" i="41" s="1"/>
  <c r="AO9" i="41" s="1"/>
  <c r="AP9" i="41" s="1"/>
  <c r="AA166" i="41"/>
  <c r="AM166" i="41"/>
  <c r="AN166" i="41" s="1"/>
  <c r="AO166" i="41" s="1"/>
  <c r="AP166" i="41" s="1"/>
  <c r="AA172" i="41"/>
  <c r="AM172" i="41"/>
  <c r="AN172" i="41" s="1"/>
  <c r="AO172" i="41" s="1"/>
  <c r="AP172" i="41" s="1"/>
  <c r="AM95" i="41"/>
  <c r="AN95" i="41" s="1"/>
  <c r="AO95" i="41" s="1"/>
  <c r="AP95" i="41" s="1"/>
  <c r="AA95" i="41"/>
  <c r="AA72" i="41"/>
  <c r="AM72" i="41"/>
  <c r="AN72" i="41" s="1"/>
  <c r="AO72" i="41" s="1"/>
  <c r="AP72" i="41" s="1"/>
  <c r="AA134" i="41"/>
  <c r="AM134" i="41"/>
  <c r="AN134" i="41" s="1"/>
  <c r="AO134" i="41" s="1"/>
  <c r="AP134" i="41" s="1"/>
  <c r="AA149" i="41"/>
  <c r="AM149" i="41"/>
  <c r="AN149" i="41" s="1"/>
  <c r="AO149" i="41" s="1"/>
  <c r="AP149" i="41" s="1"/>
  <c r="T4" i="21"/>
  <c r="AM16" i="41"/>
  <c r="AN16" i="41" s="1"/>
  <c r="AO16" i="41" s="1"/>
  <c r="AP16" i="41" s="1"/>
  <c r="AA16" i="41"/>
  <c r="AM151" i="41"/>
  <c r="AN151" i="41" s="1"/>
  <c r="AO151" i="41" s="1"/>
  <c r="AP151" i="41" s="1"/>
  <c r="AA151" i="41"/>
  <c r="AA131" i="41"/>
  <c r="AM131" i="41"/>
  <c r="AN131" i="41" s="1"/>
  <c r="AO131" i="41" s="1"/>
  <c r="AP131" i="41" s="1"/>
  <c r="AB8" i="21"/>
  <c r="AG9" i="21"/>
  <c r="AH9" i="21" s="1"/>
  <c r="AH8" i="21"/>
  <c r="AJ8" i="21" s="1"/>
  <c r="AK8" i="21" s="1"/>
  <c r="AK9" i="21"/>
  <c r="AB13" i="41" l="1"/>
  <c r="AB12" i="41"/>
  <c r="Z12" i="41"/>
  <c r="AC3" i="43"/>
  <c r="AO3" i="43"/>
  <c r="AJ3" i="43"/>
  <c r="AU3" i="43"/>
  <c r="AF3" i="43"/>
  <c r="AM3" i="43"/>
  <c r="AD2" i="43"/>
  <c r="AI3" i="43"/>
  <c r="P27" i="37"/>
  <c r="V26" i="37"/>
  <c r="AB78" i="41"/>
  <c r="Z78" i="41"/>
  <c r="Y78" i="41"/>
  <c r="AA126" i="41"/>
  <c r="AB44" i="41"/>
  <c r="Y44" i="41"/>
  <c r="Z44" i="41"/>
  <c r="AA46" i="41"/>
  <c r="AB60" i="41"/>
  <c r="Z60" i="41"/>
  <c r="Y60" i="41"/>
  <c r="Y84" i="41"/>
  <c r="Z84" i="41"/>
  <c r="AB84" i="41"/>
  <c r="Y220" i="41"/>
  <c r="Z220" i="41" s="1"/>
  <c r="AB220" i="41"/>
  <c r="AI11" i="20"/>
  <c r="AI8" i="20"/>
  <c r="AI9" i="20"/>
  <c r="AI10" i="20"/>
  <c r="Z166" i="41"/>
  <c r="Y166" i="41"/>
  <c r="AB166" i="41"/>
  <c r="Z198" i="41"/>
  <c r="Y198" i="41"/>
  <c r="AB198" i="41"/>
  <c r="AB25" i="41"/>
  <c r="Z25" i="41"/>
  <c r="Y25" i="41"/>
  <c r="Z28" i="41"/>
  <c r="Y28" i="41"/>
  <c r="AB28" i="41"/>
  <c r="Z93" i="41"/>
  <c r="AB93" i="41"/>
  <c r="Y93" i="41"/>
  <c r="Z97" i="41"/>
  <c r="AB97" i="41"/>
  <c r="Y97" i="41"/>
  <c r="AB152" i="41"/>
  <c r="Z152" i="41"/>
  <c r="Y152" i="41"/>
  <c r="AG2" i="43"/>
  <c r="AG1" i="43"/>
  <c r="AH6" i="43"/>
  <c r="AB23" i="41"/>
  <c r="Y23" i="41"/>
  <c r="Z23" i="41"/>
  <c r="AB88" i="41"/>
  <c r="Y88" i="41"/>
  <c r="Z88" i="41"/>
  <c r="Z48" i="41"/>
  <c r="Y48" i="41"/>
  <c r="AB48" i="41"/>
  <c r="Y153" i="41"/>
  <c r="AB153" i="41"/>
  <c r="Z153" i="41"/>
  <c r="AB175" i="41"/>
  <c r="Y175" i="41"/>
  <c r="Z175" i="41"/>
  <c r="Z205" i="41"/>
  <c r="Y205" i="41"/>
  <c r="AB205" i="41"/>
  <c r="Z3" i="43"/>
  <c r="AA204" i="41"/>
  <c r="Z163" i="41"/>
  <c r="Y163" i="41"/>
  <c r="AB163" i="41"/>
  <c r="AA128" i="41"/>
  <c r="AA129" i="41"/>
  <c r="AA142" i="41"/>
  <c r="AB67" i="41"/>
  <c r="Y67" i="41"/>
  <c r="Z67" i="41"/>
  <c r="AB208" i="41"/>
  <c r="Z208" i="41"/>
  <c r="Y208" i="41"/>
  <c r="Y36" i="41"/>
  <c r="Z36" i="41"/>
  <c r="AB36" i="41"/>
  <c r="AB6" i="43"/>
  <c r="AA1" i="43"/>
  <c r="AA2" i="43"/>
  <c r="AB219" i="41"/>
  <c r="Z219" i="41"/>
  <c r="Y219" i="41"/>
  <c r="Z27" i="41"/>
  <c r="Y27" i="41"/>
  <c r="AB27" i="41"/>
  <c r="Z96" i="41"/>
  <c r="Y96" i="41"/>
  <c r="AB96" i="41"/>
  <c r="AA197" i="41"/>
  <c r="AB77" i="41"/>
  <c r="Z77" i="41"/>
  <c r="Y77" i="41"/>
  <c r="Y15" i="19"/>
  <c r="O8" i="19"/>
  <c r="AA18" i="19" s="1"/>
  <c r="O18" i="19"/>
  <c r="AB69" i="41"/>
  <c r="Y69" i="41"/>
  <c r="Z69" i="41"/>
  <c r="Y136" i="41"/>
  <c r="AB136" i="41"/>
  <c r="Z136" i="41"/>
  <c r="Y207" i="41"/>
  <c r="AB207" i="41"/>
  <c r="Z207" i="41"/>
  <c r="AB118" i="41"/>
  <c r="Z118" i="41"/>
  <c r="Y118" i="41"/>
  <c r="AB100" i="41"/>
  <c r="Z100" i="41"/>
  <c r="Y100" i="41"/>
  <c r="AB194" i="41"/>
  <c r="Y194" i="41"/>
  <c r="Z194" i="41" s="1"/>
  <c r="AB216" i="41"/>
  <c r="Z216" i="41"/>
  <c r="Y216" i="41"/>
  <c r="AB95" i="41"/>
  <c r="Z95" i="41"/>
  <c r="Y95" i="41"/>
  <c r="AB143" i="41"/>
  <c r="Z143" i="41"/>
  <c r="Y143" i="41"/>
  <c r="Z144" i="41"/>
  <c r="Y144" i="41"/>
  <c r="AB144" i="41"/>
  <c r="Y193" i="41"/>
  <c r="AB193" i="41"/>
  <c r="Z193" i="41"/>
  <c r="AB41" i="41"/>
  <c r="Y41" i="41"/>
  <c r="Z41" i="41"/>
  <c r="AB184" i="41"/>
  <c r="Z184" i="41"/>
  <c r="Y184" i="41"/>
  <c r="AL3" i="43"/>
  <c r="Y53" i="41"/>
  <c r="Z53" i="41"/>
  <c r="AB53" i="41"/>
  <c r="AB76" i="41"/>
  <c r="Z76" i="41"/>
  <c r="Y76" i="41"/>
  <c r="AA5" i="37"/>
  <c r="Y5" i="37"/>
  <c r="W5" i="37"/>
  <c r="Y71" i="41"/>
  <c r="AB71" i="41"/>
  <c r="Z71" i="41"/>
  <c r="AA156" i="41"/>
  <c r="Z40" i="41"/>
  <c r="Y40" i="41"/>
  <c r="AB40" i="41"/>
  <c r="AA121" i="41"/>
  <c r="AA98" i="41"/>
  <c r="Y72" i="41"/>
  <c r="Z72" i="41"/>
  <c r="AB72" i="41"/>
  <c r="AA127" i="41"/>
  <c r="Q7" i="37"/>
  <c r="AB83" i="41"/>
  <c r="Z83" i="41"/>
  <c r="Y83" i="41"/>
  <c r="AQ1" i="43"/>
  <c r="AQ2" i="43"/>
  <c r="Y141" i="41"/>
  <c r="AB141" i="41"/>
  <c r="Z141" i="41"/>
  <c r="Z59" i="41"/>
  <c r="AB59" i="41"/>
  <c r="Y59" i="41"/>
  <c r="Z111" i="41"/>
  <c r="Y111" i="41"/>
  <c r="AB111" i="41"/>
  <c r="AB66" i="41"/>
  <c r="Z66" i="41"/>
  <c r="Y66" i="41"/>
  <c r="Z210" i="41"/>
  <c r="AB210" i="41"/>
  <c r="Y210" i="41"/>
  <c r="Z87" i="41"/>
  <c r="AB87" i="41"/>
  <c r="Y87" i="41"/>
  <c r="AA119" i="41"/>
  <c r="AB145" i="41"/>
  <c r="Z145" i="41"/>
  <c r="Y145" i="41"/>
  <c r="AA6" i="41"/>
  <c r="AB63" i="41"/>
  <c r="Y63" i="41"/>
  <c r="Z63" i="41"/>
  <c r="AB196" i="41"/>
  <c r="Z196" i="41"/>
  <c r="Y196" i="41"/>
  <c r="AB200" i="41"/>
  <c r="Z200" i="41"/>
  <c r="Y200" i="41"/>
  <c r="Z149" i="41"/>
  <c r="Y149" i="41"/>
  <c r="AB149" i="41"/>
  <c r="AB164" i="41"/>
  <c r="Z164" i="41"/>
  <c r="Y164" i="41"/>
  <c r="Z55" i="41"/>
  <c r="Y55" i="41"/>
  <c r="AB55" i="41"/>
  <c r="AB10" i="41"/>
  <c r="Y10" i="41"/>
  <c r="Z10" i="41" s="1"/>
  <c r="Y138" i="41"/>
  <c r="AB138" i="41"/>
  <c r="Z138" i="41"/>
  <c r="Z15" i="41"/>
  <c r="Y15" i="41"/>
  <c r="AB15" i="41"/>
  <c r="AP3" i="43"/>
  <c r="AB62" i="41"/>
  <c r="Z62" i="41"/>
  <c r="Y62" i="41"/>
  <c r="AB154" i="41"/>
  <c r="Z154" i="41"/>
  <c r="Y154" i="41"/>
  <c r="U35" i="37"/>
  <c r="W35" i="37" s="1"/>
  <c r="Q36" i="37"/>
  <c r="Z61" i="41"/>
  <c r="AB61" i="41"/>
  <c r="Y61" i="41"/>
  <c r="AA223" i="41"/>
  <c r="AB116" i="41"/>
  <c r="Z116" i="41"/>
  <c r="Y116" i="41"/>
  <c r="AB58" i="41"/>
  <c r="Y58" i="41"/>
  <c r="Z58" i="41"/>
  <c r="AA32" i="41"/>
  <c r="AB8" i="41"/>
  <c r="Z8" i="41"/>
  <c r="Y8" i="41"/>
  <c r="Y172" i="41"/>
  <c r="Z172" i="41" s="1"/>
  <c r="AB172" i="41"/>
  <c r="AB134" i="41"/>
  <c r="Z134" i="41"/>
  <c r="Y134" i="41"/>
  <c r="AB201" i="41"/>
  <c r="Z201" i="41"/>
  <c r="Y201" i="41"/>
  <c r="Y94" i="41"/>
  <c r="AB94" i="41"/>
  <c r="Z94" i="41"/>
  <c r="AB89" i="41"/>
  <c r="Z89" i="41"/>
  <c r="Y89" i="41"/>
  <c r="AB99" i="41"/>
  <c r="Z99" i="41"/>
  <c r="Y99" i="41"/>
  <c r="AB110" i="41"/>
  <c r="Z110" i="41"/>
  <c r="Y110" i="41"/>
  <c r="V55" i="37"/>
  <c r="P56" i="37"/>
  <c r="AB221" i="41"/>
  <c r="Y221" i="41"/>
  <c r="Z221" i="41" s="1"/>
  <c r="Y73" i="41"/>
  <c r="Z73" i="41"/>
  <c r="AB73" i="41"/>
  <c r="AB102" i="41"/>
  <c r="Z102" i="41"/>
  <c r="Y102" i="41"/>
  <c r="Y19" i="41"/>
  <c r="AB19" i="41"/>
  <c r="Z19" i="41"/>
  <c r="Y161" i="41"/>
  <c r="AB161" i="41"/>
  <c r="Z161" i="41"/>
  <c r="AB117" i="41"/>
  <c r="Z117" i="41"/>
  <c r="Y117" i="41"/>
  <c r="Y75" i="41"/>
  <c r="AB75" i="41"/>
  <c r="Z75" i="41"/>
  <c r="U55" i="37"/>
  <c r="W55" i="37" s="1"/>
  <c r="Q56" i="37"/>
  <c r="AA176" i="41"/>
  <c r="Y188" i="41"/>
  <c r="Z188" i="41"/>
  <c r="AB188" i="41"/>
  <c r="AB155" i="41"/>
  <c r="Z155" i="41"/>
  <c r="Y155" i="41"/>
  <c r="AA169" i="41"/>
  <c r="AA212" i="41"/>
  <c r="Z158" i="41"/>
  <c r="Y158" i="41"/>
  <c r="AB158" i="41"/>
  <c r="Z189" i="41"/>
  <c r="Y189" i="41"/>
  <c r="AB189" i="41"/>
  <c r="Z199" i="41"/>
  <c r="Y199" i="41"/>
  <c r="AB199" i="41"/>
  <c r="AB92" i="41"/>
  <c r="Z92" i="41"/>
  <c r="Y92" i="41"/>
  <c r="Y186" i="41"/>
  <c r="Z186" i="41"/>
  <c r="AB186" i="41"/>
  <c r="AA9" i="41"/>
  <c r="AA125" i="41"/>
  <c r="Z70" i="41"/>
  <c r="Y70" i="41"/>
  <c r="AB70" i="41"/>
  <c r="AA107" i="41"/>
  <c r="P18" i="37"/>
  <c r="V18" i="37" s="1"/>
  <c r="V17" i="37"/>
  <c r="Z173" i="41"/>
  <c r="Y173" i="41"/>
  <c r="AB173" i="41"/>
  <c r="Q27" i="37"/>
  <c r="U26" i="37"/>
  <c r="W26" i="37" s="1"/>
  <c r="Y17" i="41"/>
  <c r="AB17" i="41"/>
  <c r="Z17" i="41"/>
  <c r="AB195" i="41"/>
  <c r="Z195" i="41"/>
  <c r="Y195" i="41"/>
  <c r="AB14" i="41"/>
  <c r="Z14" i="41"/>
  <c r="Y14" i="41"/>
  <c r="AB213" i="41"/>
  <c r="Y213" i="41"/>
  <c r="Z213" i="41"/>
  <c r="AS2" i="43"/>
  <c r="AT6" i="43"/>
  <c r="AS1" i="43"/>
  <c r="AB139" i="41"/>
  <c r="Z139" i="41"/>
  <c r="Y139" i="41"/>
  <c r="AB131" i="41"/>
  <c r="Z131" i="41"/>
  <c r="Y131" i="41"/>
  <c r="AB180" i="41"/>
  <c r="Z180" i="41"/>
  <c r="Y180" i="41"/>
  <c r="AB190" i="41"/>
  <c r="Y190" i="41"/>
  <c r="Z190" i="41"/>
  <c r="Z202" i="41"/>
  <c r="AB202" i="41"/>
  <c r="Y202" i="41"/>
  <c r="AB91" i="41"/>
  <c r="Z91" i="41"/>
  <c r="Y91" i="41"/>
  <c r="AA108" i="41"/>
  <c r="AK2" i="43"/>
  <c r="AK1" i="43"/>
  <c r="Y192" i="41"/>
  <c r="Z192" i="41" s="1"/>
  <c r="AB192" i="41"/>
  <c r="Y181" i="41"/>
  <c r="Z181" i="41"/>
  <c r="AB181" i="41"/>
  <c r="Y39" i="41"/>
  <c r="AB39" i="41"/>
  <c r="Z39" i="41"/>
  <c r="AB222" i="41"/>
  <c r="Y222" i="41"/>
  <c r="Z222" i="41"/>
  <c r="AB217" i="41"/>
  <c r="Z217" i="41"/>
  <c r="Y217" i="41"/>
  <c r="AB37" i="41"/>
  <c r="Z37" i="41"/>
  <c r="Y37" i="41"/>
  <c r="AR3" i="43"/>
  <c r="AB170" i="41"/>
  <c r="Y170" i="41"/>
  <c r="Z170" i="41" s="1"/>
  <c r="Y74" i="41"/>
  <c r="Z74" i="41"/>
  <c r="AB74" i="41"/>
  <c r="AA178" i="41"/>
  <c r="AB26" i="41"/>
  <c r="Z26" i="41"/>
  <c r="Y26" i="41"/>
  <c r="AA203" i="41"/>
  <c r="Z132" i="41"/>
  <c r="Y132" i="41"/>
  <c r="AB132" i="41"/>
  <c r="AB151" i="41"/>
  <c r="Y151" i="41"/>
  <c r="Z151" i="41"/>
  <c r="AB68" i="41"/>
  <c r="Z68" i="41"/>
  <c r="Y68" i="41"/>
  <c r="Z34" i="41"/>
  <c r="Y34" i="41"/>
  <c r="AB34" i="41"/>
  <c r="AA171" i="41"/>
  <c r="AA183" i="41"/>
  <c r="Z20" i="41"/>
  <c r="AB20" i="41"/>
  <c r="Y20" i="41"/>
  <c r="AB56" i="41"/>
  <c r="Z56" i="41"/>
  <c r="Y56" i="41"/>
  <c r="Z120" i="41"/>
  <c r="AB120" i="41"/>
  <c r="Y120" i="41"/>
  <c r="AB165" i="41"/>
  <c r="Z165" i="41"/>
  <c r="Y165" i="41"/>
  <c r="AB82" i="41"/>
  <c r="Z82" i="41"/>
  <c r="Y82" i="41"/>
  <c r="Y86" i="41"/>
  <c r="Z86" i="41"/>
  <c r="AB86" i="41"/>
  <c r="AA109" i="41"/>
  <c r="AA124" i="41"/>
  <c r="AA147" i="41"/>
  <c r="AA30" i="41"/>
  <c r="AB81" i="41"/>
  <c r="Z81" i="41"/>
  <c r="Y81" i="41"/>
  <c r="Y167" i="41"/>
  <c r="AB167" i="41"/>
  <c r="Z167" i="41"/>
  <c r="Y113" i="41"/>
  <c r="AB113" i="41"/>
  <c r="Z113" i="41"/>
  <c r="AB7" i="41"/>
  <c r="Z7" i="41"/>
  <c r="Y7" i="41"/>
  <c r="Y177" i="41"/>
  <c r="Z177" i="41" s="1"/>
  <c r="AB177" i="41"/>
  <c r="AA130" i="41"/>
  <c r="Z135" i="41"/>
  <c r="Y135" i="41"/>
  <c r="AB135" i="41"/>
  <c r="AB174" i="41"/>
  <c r="Y174" i="41"/>
  <c r="Z174" i="41"/>
  <c r="AA162" i="41"/>
  <c r="AB42" i="41"/>
  <c r="Z42" i="41"/>
  <c r="Y42" i="41"/>
  <c r="AB160" i="41"/>
  <c r="Y160" i="41"/>
  <c r="Z160" i="41"/>
  <c r="Y54" i="41"/>
  <c r="AB54" i="41"/>
  <c r="Z54" i="41"/>
  <c r="AB90" i="41"/>
  <c r="Z90" i="41"/>
  <c r="Y90" i="41"/>
  <c r="AB51" i="41"/>
  <c r="Z51" i="41"/>
  <c r="Y51" i="41"/>
  <c r="P6" i="37"/>
  <c r="V5" i="37"/>
  <c r="AA57" i="41"/>
  <c r="AB79" i="41"/>
  <c r="Y79" i="41"/>
  <c r="Z79" i="41"/>
  <c r="Z52" i="41"/>
  <c r="Y52" i="41"/>
  <c r="AB52" i="41"/>
  <c r="Y16" i="41"/>
  <c r="AB16" i="41"/>
  <c r="Z16" i="41"/>
  <c r="AA29" i="41"/>
  <c r="AB157" i="41"/>
  <c r="Y157" i="41"/>
  <c r="Z157" i="41"/>
  <c r="Y206" i="41"/>
  <c r="AB206" i="41"/>
  <c r="Z206" i="41"/>
  <c r="Y12" i="19"/>
  <c r="O17" i="19"/>
  <c r="O24" i="19"/>
  <c r="AA39" i="19" s="1"/>
  <c r="M4" i="19"/>
  <c r="AA65" i="41"/>
  <c r="Y211" i="41"/>
  <c r="Z211" i="41"/>
  <c r="AB211" i="41"/>
  <c r="AB47" i="41"/>
  <c r="Z47" i="41"/>
  <c r="Y47" i="41"/>
  <c r="AA49" i="41"/>
  <c r="AB101" i="41"/>
  <c r="Z101" i="41"/>
  <c r="Y101" i="41"/>
  <c r="AB140" i="41"/>
  <c r="Z140" i="41"/>
  <c r="Y140" i="41"/>
  <c r="Q18" i="37"/>
  <c r="U17" i="37"/>
  <c r="W17" i="37" s="1"/>
  <c r="Y31" i="41"/>
  <c r="Z31" i="41" s="1"/>
  <c r="AB31" i="41"/>
  <c r="AB43" i="41"/>
  <c r="Z43" i="41"/>
  <c r="Y43" i="41"/>
  <c r="AB148" i="41"/>
  <c r="Z148" i="41"/>
  <c r="Y148" i="41"/>
  <c r="AB185" i="41"/>
  <c r="Z185" i="41"/>
  <c r="Y185" i="41"/>
  <c r="AB114" i="41"/>
  <c r="Z114" i="41"/>
  <c r="Y114" i="41"/>
  <c r="Z150" i="41"/>
  <c r="AB150" i="41"/>
  <c r="Y150" i="41"/>
  <c r="Z209" i="41"/>
  <c r="AB209" i="41"/>
  <c r="Y209" i="41"/>
  <c r="Z64" i="41"/>
  <c r="AB64" i="41"/>
  <c r="Y64" i="41"/>
  <c r="AA45" i="41"/>
  <c r="AA122" i="41"/>
  <c r="AA215" i="41"/>
  <c r="Y146" i="41"/>
  <c r="Z146" i="41"/>
  <c r="AB146" i="41"/>
  <c r="Z38" i="41"/>
  <c r="AB38" i="41"/>
  <c r="Y38" i="41"/>
  <c r="AB2" i="21"/>
  <c r="AG3" i="21"/>
  <c r="AH2" i="21"/>
  <c r="Y5" i="19"/>
  <c r="G8" i="19"/>
  <c r="AA8" i="19" s="1"/>
  <c r="AD1" i="43"/>
  <c r="U42" i="37"/>
  <c r="S52" i="37"/>
  <c r="U52" i="37" s="1"/>
  <c r="W52" i="37" s="1"/>
  <c r="Z123" i="41"/>
  <c r="Y123" i="41"/>
  <c r="AB123" i="41"/>
  <c r="Z214" i="41"/>
  <c r="AB214" i="41"/>
  <c r="Y214" i="41"/>
  <c r="AB24" i="41"/>
  <c r="Z24" i="41"/>
  <c r="Y24" i="41"/>
  <c r="AB187" i="41"/>
  <c r="Z187" i="41"/>
  <c r="Y187" i="41"/>
  <c r="Y106" i="41"/>
  <c r="Z106" i="41"/>
  <c r="AB106" i="41"/>
  <c r="Z224" i="41"/>
  <c r="Y224" i="41"/>
  <c r="AB224" i="41"/>
  <c r="Z159" i="41"/>
  <c r="Y159" i="41"/>
  <c r="AB159" i="41"/>
  <c r="AA218" i="41"/>
  <c r="Z179" i="41"/>
  <c r="Y179" i="41"/>
  <c r="AB179" i="41"/>
  <c r="AA50" i="41"/>
  <c r="AE1" i="43"/>
  <c r="AE2" i="43"/>
  <c r="AN2" i="43"/>
  <c r="AN1" i="43"/>
  <c r="Z18" i="41"/>
  <c r="Y18" i="41"/>
  <c r="AB18" i="41"/>
  <c r="AB133" i="41"/>
  <c r="Y133" i="41"/>
  <c r="Z133" i="41"/>
  <c r="Y21" i="41"/>
  <c r="Z21" i="41" s="1"/>
  <c r="AB21" i="41"/>
  <c r="Z85" i="41"/>
  <c r="Y85" i="41"/>
  <c r="AB85" i="41"/>
  <c r="Z33" i="41"/>
  <c r="AB33" i="41"/>
  <c r="Y33" i="41"/>
  <c r="Y182" i="41"/>
  <c r="AB182" i="41"/>
  <c r="Z182" i="41"/>
  <c r="Z112" i="41"/>
  <c r="AB112" i="41"/>
  <c r="Y112" i="41"/>
  <c r="AB80" i="41"/>
  <c r="Y80" i="41"/>
  <c r="Z80" i="41" s="1"/>
  <c r="AB115" i="41"/>
  <c r="Z115" i="41"/>
  <c r="Y115" i="41"/>
  <c r="Y35" i="41"/>
  <c r="Z35" i="41"/>
  <c r="AB35" i="41"/>
  <c r="Z137" i="41"/>
  <c r="Y137" i="41"/>
  <c r="AB137" i="41"/>
  <c r="Y168" i="41"/>
  <c r="Z168" i="41"/>
  <c r="AB168" i="41"/>
  <c r="AV2" i="43"/>
  <c r="AV1" i="43"/>
  <c r="Y191" i="41"/>
  <c r="Z191" i="41" s="1"/>
  <c r="AB191" i="41"/>
  <c r="Y11" i="41"/>
  <c r="Z11" i="41" s="1"/>
  <c r="AB11" i="41"/>
  <c r="AE3" i="43" l="1"/>
  <c r="AV3" i="43"/>
  <c r="AQ3" i="43"/>
  <c r="AD3" i="43"/>
  <c r="AS3" i="43"/>
  <c r="AJ2" i="21"/>
  <c r="AK2" i="21" s="1"/>
  <c r="AB109" i="41"/>
  <c r="Z109" i="41"/>
  <c r="Y109" i="41"/>
  <c r="Y29" i="41"/>
  <c r="Z29" i="41" s="1"/>
  <c r="AB29" i="41"/>
  <c r="AB122" i="41"/>
  <c r="Y122" i="41"/>
  <c r="Z122" i="41"/>
  <c r="Y125" i="41"/>
  <c r="AB125" i="41"/>
  <c r="Z125" i="41"/>
  <c r="AB126" i="41"/>
  <c r="Y126" i="41"/>
  <c r="Z126" i="41" s="1"/>
  <c r="AB45" i="41"/>
  <c r="Z45" i="41"/>
  <c r="Y45" i="41"/>
  <c r="AB98" i="41"/>
  <c r="Y98" i="41"/>
  <c r="Z98" i="41" s="1"/>
  <c r="Z218" i="41"/>
  <c r="Y218" i="41"/>
  <c r="AB218" i="41"/>
  <c r="AB162" i="41"/>
  <c r="Y162" i="41"/>
  <c r="Z162" i="41"/>
  <c r="Z129" i="41"/>
  <c r="Y129" i="41"/>
  <c r="AB129" i="41"/>
  <c r="AB119" i="41"/>
  <c r="Z119" i="41"/>
  <c r="Y119" i="41"/>
  <c r="Y9" i="41"/>
  <c r="Z9" i="41" s="1"/>
  <c r="AB9" i="41"/>
  <c r="Y127" i="41"/>
  <c r="Z127" i="41" s="1"/>
  <c r="AB127" i="41"/>
  <c r="Z128" i="41"/>
  <c r="AB128" i="41"/>
  <c r="Y128" i="41"/>
  <c r="P7" i="37"/>
  <c r="V6" i="37"/>
  <c r="Q28" i="37"/>
  <c r="U27" i="37"/>
  <c r="W27" i="37" s="1"/>
  <c r="AA1" i="41"/>
  <c r="Y6" i="41"/>
  <c r="AB6" i="41"/>
  <c r="AB1" i="41" s="1"/>
  <c r="AB197" i="41"/>
  <c r="Y197" i="41"/>
  <c r="Z197" i="41"/>
  <c r="W42" i="37"/>
  <c r="W49" i="37" s="1"/>
  <c r="Y2" i="37"/>
  <c r="AA2" i="37" s="1"/>
  <c r="Q37" i="37"/>
  <c r="U36" i="37"/>
  <c r="W36" i="37" s="1"/>
  <c r="AB32" i="41"/>
  <c r="Y32" i="41"/>
  <c r="Z32" i="41" s="1"/>
  <c r="AB176" i="41"/>
  <c r="Z176" i="41"/>
  <c r="Y176" i="41"/>
  <c r="AT1" i="43"/>
  <c r="AT2" i="43"/>
  <c r="Y121" i="41"/>
  <c r="Z121" i="41"/>
  <c r="AB121" i="41"/>
  <c r="Y204" i="41"/>
  <c r="AB204" i="41"/>
  <c r="Z204" i="41"/>
  <c r="AH2" i="43"/>
  <c r="AH1" i="43"/>
  <c r="Z108" i="41"/>
  <c r="AB108" i="41"/>
  <c r="Y108" i="41"/>
  <c r="AB107" i="41"/>
  <c r="Z107" i="41"/>
  <c r="Y107" i="41"/>
  <c r="AG3" i="43"/>
  <c r="Y30" i="41"/>
  <c r="Z30" i="41"/>
  <c r="AB30" i="41"/>
  <c r="AN3" i="43"/>
  <c r="O12" i="19"/>
  <c r="O14" i="19" s="1"/>
  <c r="Y14" i="19"/>
  <c r="O7" i="19"/>
  <c r="Y65" i="41"/>
  <c r="AB65" i="41"/>
  <c r="Z65" i="41"/>
  <c r="AH3" i="21"/>
  <c r="X3" i="21" s="1"/>
  <c r="AB203" i="41"/>
  <c r="Y203" i="41"/>
  <c r="Z203" i="41" s="1"/>
  <c r="Q57" i="37"/>
  <c r="U56" i="37"/>
  <c r="W56" i="37" s="1"/>
  <c r="AB130" i="41"/>
  <c r="Y130" i="41"/>
  <c r="Z130" i="41" s="1"/>
  <c r="Z171" i="41"/>
  <c r="AB171" i="41"/>
  <c r="Y171" i="41"/>
  <c r="Y212" i="41"/>
  <c r="AB212" i="41"/>
  <c r="Z212" i="41"/>
  <c r="O20" i="19"/>
  <c r="O19" i="19"/>
  <c r="AB57" i="41"/>
  <c r="Y57" i="41"/>
  <c r="Z57" i="41"/>
  <c r="U18" i="37"/>
  <c r="W18" i="37" s="1"/>
  <c r="W19" i="37" s="1"/>
  <c r="Z124" i="41"/>
  <c r="Y124" i="41"/>
  <c r="AB124" i="41"/>
  <c r="Y178" i="41"/>
  <c r="Z178" i="41" s="1"/>
  <c r="AB178" i="41"/>
  <c r="AB223" i="41"/>
  <c r="Y223" i="41"/>
  <c r="Z223" i="41"/>
  <c r="Y156" i="41"/>
  <c r="Z156" i="41"/>
  <c r="AB156" i="41"/>
  <c r="AA3" i="43"/>
  <c r="AK3" i="43"/>
  <c r="Z49" i="41"/>
  <c r="Y49" i="41"/>
  <c r="AB49" i="41"/>
  <c r="AB183" i="41"/>
  <c r="Y183" i="41"/>
  <c r="Z183" i="41"/>
  <c r="AB46" i="41"/>
  <c r="Z46" i="41"/>
  <c r="Y46" i="41"/>
  <c r="Y147" i="41"/>
  <c r="AB147" i="41"/>
  <c r="Z147" i="41"/>
  <c r="Z50" i="41"/>
  <c r="Y50" i="41"/>
  <c r="AB50" i="41"/>
  <c r="Y169" i="41"/>
  <c r="AB169" i="41"/>
  <c r="Z169" i="41"/>
  <c r="AB1" i="43"/>
  <c r="AB2" i="43"/>
  <c r="P28" i="37"/>
  <c r="V28" i="37" s="1"/>
  <c r="V27" i="37"/>
  <c r="U6" i="37"/>
  <c r="P57" i="37"/>
  <c r="V56" i="37"/>
  <c r="AB215" i="41"/>
  <c r="Y215" i="41"/>
  <c r="Z215" i="41"/>
  <c r="Q8" i="37"/>
  <c r="AB142" i="41"/>
  <c r="Y142" i="41"/>
  <c r="Z142" i="41"/>
  <c r="AB3" i="43" l="1"/>
  <c r="AT3" i="43"/>
  <c r="AA6" i="37"/>
  <c r="W6" i="37"/>
  <c r="Y6" i="37"/>
  <c r="P8" i="37"/>
  <c r="V8" i="37" s="1"/>
  <c r="V7" i="37"/>
  <c r="U7" i="37"/>
  <c r="BF41" i="41"/>
  <c r="BF39" i="41"/>
  <c r="BF36" i="41"/>
  <c r="BF37" i="41"/>
  <c r="Z6" i="41"/>
  <c r="BH41" i="41"/>
  <c r="BI41" i="41" s="1"/>
  <c r="BH39" i="41"/>
  <c r="BI39" i="41" s="1"/>
  <c r="BH36" i="41"/>
  <c r="BI36" i="41" s="1"/>
  <c r="BH37" i="41"/>
  <c r="BI37" i="41" s="1"/>
  <c r="X2" i="21"/>
  <c r="Q38" i="37"/>
  <c r="U38" i="37" s="1"/>
  <c r="W38" i="37" s="1"/>
  <c r="U37" i="37"/>
  <c r="W37" i="37" s="1"/>
  <c r="W39" i="37" s="1"/>
  <c r="U57" i="37"/>
  <c r="W57" i="37" s="1"/>
  <c r="W59" i="37" s="1"/>
  <c r="Q58" i="37"/>
  <c r="U58" i="37" s="1"/>
  <c r="W58" i="37" s="1"/>
  <c r="V57" i="37"/>
  <c r="P58" i="37"/>
  <c r="V58" i="37" s="1"/>
  <c r="AA13" i="37"/>
  <c r="AA12" i="37"/>
  <c r="AA17" i="19"/>
  <c r="O9" i="19"/>
  <c r="AA19" i="19" s="1"/>
  <c r="AH3" i="43"/>
  <c r="U28" i="37"/>
  <c r="W28" i="37" s="1"/>
  <c r="W29" i="37" s="1"/>
  <c r="BG36" i="41" l="1"/>
  <c r="BE36" i="41"/>
  <c r="BD36" i="41" s="1"/>
  <c r="U8" i="37"/>
  <c r="BG37" i="41"/>
  <c r="BE37" i="41"/>
  <c r="BD37" i="41" s="1"/>
  <c r="BG39" i="41"/>
  <c r="BE39" i="41"/>
  <c r="BD39" i="41" s="1"/>
  <c r="BH38" i="41"/>
  <c r="BI38" i="41" s="1"/>
  <c r="BG41" i="41"/>
  <c r="BE41" i="41"/>
  <c r="BD41" i="41" s="1"/>
  <c r="BF38" i="41"/>
  <c r="AA7" i="37"/>
  <c r="W7" i="37"/>
  <c r="Y7" i="37"/>
  <c r="W8" i="37" l="1"/>
  <c r="W9" i="37" s="1"/>
  <c r="AD4" i="37" s="1"/>
  <c r="AD6" i="37" s="1"/>
  <c r="AA8" i="37"/>
  <c r="Y8" i="37"/>
  <c r="BE38" i="41"/>
  <c r="BD38" i="41" s="1"/>
  <c r="BG38" i="41"/>
  <c r="AT1" i="11" l="1"/>
  <c r="AU1" i="11"/>
  <c r="AU21" i="11" s="1"/>
  <c r="AU26" i="11"/>
  <c r="BC1" i="11"/>
  <c r="BC13" i="11" s="1"/>
  <c r="BA1" i="11"/>
  <c r="BA10" i="11" s="1"/>
  <c r="AV1" i="11"/>
  <c r="AV26" i="11" s="1"/>
  <c r="BG24" i="11"/>
  <c r="BG26" i="11"/>
  <c r="BG7" i="11"/>
  <c r="BG23" i="11"/>
  <c r="BG28" i="11"/>
  <c r="BG22" i="11"/>
  <c r="BG29" i="11"/>
  <c r="BG9" i="11"/>
  <c r="BG25" i="11"/>
  <c r="BG21" i="11"/>
  <c r="BG30" i="11"/>
  <c r="BH1" i="11"/>
  <c r="BH28" i="11" s="1"/>
  <c r="BD1" i="11"/>
  <c r="BD7" i="11" s="1"/>
  <c r="BB12" i="11"/>
  <c r="BB1" i="11"/>
  <c r="BB24" i="11" s="1"/>
  <c r="AZ1" i="11"/>
  <c r="AZ11" i="11" s="1"/>
  <c r="AW1" i="11"/>
  <c r="AW33" i="11" s="1"/>
  <c r="X33" i="11" s="1"/>
  <c r="BG1" i="11"/>
  <c r="AK1" i="11"/>
  <c r="AK16" i="11" s="1"/>
  <c r="X16" i="11" s="1"/>
  <c r="AK7" i="11"/>
  <c r="X7" i="11" s="1"/>
  <c r="I2" i="11" s="1"/>
  <c r="I3" i="11" s="1"/>
  <c r="AY1" i="11"/>
  <c r="AY21" i="11" s="1"/>
  <c r="AV28" i="11" l="1"/>
  <c r="AW48" i="11"/>
  <c r="X48" i="11" s="1"/>
  <c r="BB10" i="11"/>
  <c r="BB21" i="11"/>
  <c r="BB29" i="11"/>
  <c r="BB9" i="11"/>
  <c r="BB28" i="11"/>
  <c r="BB30" i="11"/>
  <c r="AZ25" i="11"/>
  <c r="BH22" i="11"/>
  <c r="BH25" i="11"/>
  <c r="AY26" i="11"/>
  <c r="AK13" i="11"/>
  <c r="X13" i="11" s="1"/>
  <c r="BB23" i="11"/>
  <c r="AK23" i="11"/>
  <c r="X23" i="11" s="1"/>
  <c r="BB25" i="11"/>
  <c r="BB7" i="11"/>
  <c r="BB11" i="11"/>
  <c r="BA28" i="11"/>
  <c r="BA26" i="11"/>
  <c r="BH24" i="11"/>
  <c r="BA23" i="11"/>
  <c r="BA25" i="11"/>
  <c r="BH7" i="11"/>
  <c r="BH21" i="11"/>
  <c r="AW8" i="11"/>
  <c r="X8" i="11" s="1"/>
  <c r="BA22" i="11"/>
  <c r="BA12" i="11"/>
  <c r="BA11" i="11"/>
  <c r="AY28" i="11"/>
  <c r="BH26" i="11"/>
  <c r="AW34" i="11"/>
  <c r="X34" i="11" s="1"/>
  <c r="BH9" i="11"/>
  <c r="BH23" i="11"/>
  <c r="BH29" i="11"/>
  <c r="AW32" i="11"/>
  <c r="X32" i="11" s="1"/>
  <c r="BA24" i="11"/>
  <c r="BA9" i="11"/>
  <c r="BH30" i="11"/>
  <c r="AY11" i="11"/>
  <c r="X11" i="11" s="1"/>
  <c r="AY24" i="11"/>
  <c r="AW43" i="11"/>
  <c r="X43" i="11" s="1"/>
  <c r="AW35" i="11"/>
  <c r="X35" i="11" s="1"/>
  <c r="BA29" i="11"/>
  <c r="AY30" i="11"/>
  <c r="BB22" i="11"/>
  <c r="BA30" i="11"/>
  <c r="BA21" i="11"/>
  <c r="BA7" i="11"/>
  <c r="AW39" i="11"/>
  <c r="X39" i="11" s="1"/>
  <c r="BB26" i="11"/>
  <c r="AW50" i="11"/>
  <c r="X50" i="11" s="1"/>
  <c r="AV22" i="11"/>
  <c r="AU16" i="11"/>
  <c r="AV16" i="11"/>
  <c r="AU30" i="11"/>
  <c r="AW36" i="11"/>
  <c r="X36" i="11" s="1"/>
  <c r="AW41" i="11"/>
  <c r="X41" i="11" s="1"/>
  <c r="BD12" i="11"/>
  <c r="AV7" i="11"/>
  <c r="BC28" i="11"/>
  <c r="AU13" i="11"/>
  <c r="AK26" i="11"/>
  <c r="X26" i="11" s="1"/>
  <c r="AW47" i="11"/>
  <c r="X47" i="11" s="1"/>
  <c r="AW26" i="11"/>
  <c r="AK24" i="11"/>
  <c r="X24" i="11" s="1"/>
  <c r="AV13" i="11"/>
  <c r="AK30" i="11"/>
  <c r="X30" i="11" s="1"/>
  <c r="AV21" i="11"/>
  <c r="AK28" i="11"/>
  <c r="X28" i="11" s="1"/>
  <c r="AV23" i="11"/>
  <c r="BC16" i="11"/>
  <c r="AW46" i="11"/>
  <c r="X46" i="11" s="1"/>
  <c r="AZ10" i="11"/>
  <c r="AW29" i="11"/>
  <c r="BD30" i="11"/>
  <c r="AW25" i="11"/>
  <c r="BC7" i="11"/>
  <c r="AY10" i="11"/>
  <c r="X10" i="11" s="1"/>
  <c r="AW38" i="11"/>
  <c r="X38" i="11" s="1"/>
  <c r="AW21" i="11"/>
  <c r="BC10" i="11"/>
  <c r="AW45" i="11"/>
  <c r="X45" i="11" s="1"/>
  <c r="AU24" i="11"/>
  <c r="AV24" i="11"/>
  <c r="BC9" i="11"/>
  <c r="AW51" i="11"/>
  <c r="X51" i="11" s="1"/>
  <c r="AV30" i="11"/>
  <c r="AZ28" i="11"/>
  <c r="AU23" i="11"/>
  <c r="AW16" i="11"/>
  <c r="BC26" i="11"/>
  <c r="AZ30" i="11"/>
  <c r="AW7" i="11"/>
  <c r="AU28" i="11"/>
  <c r="AK25" i="11"/>
  <c r="X25" i="11" s="1"/>
  <c r="AZ12" i="11"/>
  <c r="AW23" i="11"/>
  <c r="AK21" i="11"/>
  <c r="X21" i="11" s="1"/>
  <c r="AZ26" i="11"/>
  <c r="BC22" i="11"/>
  <c r="AZ23" i="11"/>
  <c r="BD29" i="11"/>
  <c r="BC30" i="11"/>
  <c r="BD28" i="11"/>
  <c r="AY22" i="11"/>
  <c r="AZ29" i="11"/>
  <c r="AW22" i="11"/>
  <c r="BC21" i="11"/>
  <c r="AW49" i="11"/>
  <c r="X49" i="11" s="1"/>
  <c r="AY9" i="11"/>
  <c r="X9" i="11" s="1"/>
  <c r="B2" i="11" s="1"/>
  <c r="AV25" i="11"/>
  <c r="AV29" i="11"/>
  <c r="BC24" i="11"/>
  <c r="AZ9" i="11"/>
  <c r="AK29" i="11"/>
  <c r="X29" i="11" s="1"/>
  <c r="AW42" i="11"/>
  <c r="X42" i="11" s="1"/>
  <c r="AZ22" i="11"/>
  <c r="AY23" i="11"/>
  <c r="AZ24" i="11"/>
  <c r="AW28" i="11"/>
  <c r="BC12" i="11"/>
  <c r="AW31" i="11"/>
  <c r="X31" i="11" s="1"/>
  <c r="AU22" i="11"/>
  <c r="BD9" i="11"/>
  <c r="AU25" i="11"/>
  <c r="BD23" i="11"/>
  <c r="AU29" i="11"/>
  <c r="BD10" i="11"/>
  <c r="BC25" i="11"/>
  <c r="BD24" i="11"/>
  <c r="BD11" i="11"/>
  <c r="AK22" i="11"/>
  <c r="X22" i="11" s="1"/>
  <c r="AW24" i="11"/>
  <c r="AW30" i="11"/>
  <c r="AZ21" i="11"/>
  <c r="AY7" i="11"/>
  <c r="AW13" i="11"/>
  <c r="AW44" i="11"/>
  <c r="X44" i="11" s="1"/>
  <c r="AY12" i="11"/>
  <c r="X12" i="11" s="1"/>
  <c r="AW37" i="11"/>
  <c r="X37" i="11" s="1"/>
  <c r="AU7" i="11"/>
  <c r="BD21" i="11"/>
  <c r="BC29" i="11"/>
  <c r="AZ7" i="11"/>
  <c r="BD22" i="11"/>
  <c r="BC23" i="11"/>
  <c r="BD25" i="11"/>
  <c r="BC11" i="11"/>
  <c r="BD26" i="11"/>
  <c r="AY29" i="11"/>
  <c r="AY25" i="11"/>
  <c r="B3" i="11" l="1"/>
  <c r="B1" i="11"/>
</calcChain>
</file>

<file path=xl/sharedStrings.xml><?xml version="1.0" encoding="utf-8"?>
<sst xmlns="http://schemas.openxmlformats.org/spreadsheetml/2006/main" count="8866" uniqueCount="2891">
  <si>
    <t>Name</t>
  </si>
  <si>
    <t>Black</t>
  </si>
  <si>
    <t>CUSTOMER</t>
  </si>
  <si>
    <t>PRODUCT</t>
  </si>
  <si>
    <t>VALUE</t>
  </si>
  <si>
    <t>White</t>
  </si>
  <si>
    <t>COST</t>
  </si>
  <si>
    <t>TYPE</t>
  </si>
  <si>
    <t>W</t>
  </si>
  <si>
    <t>QTY</t>
  </si>
  <si>
    <t>L</t>
  </si>
  <si>
    <t>FRAME</t>
  </si>
  <si>
    <t>DATE</t>
  </si>
  <si>
    <t>SENT</t>
  </si>
  <si>
    <t>BOX</t>
  </si>
  <si>
    <t>WT</t>
  </si>
  <si>
    <t>SHIP  COST</t>
  </si>
  <si>
    <t>DEST.</t>
  </si>
  <si>
    <t>SHIP PAID</t>
  </si>
  <si>
    <t>GIRTH</t>
  </si>
  <si>
    <t>SIZE</t>
  </si>
  <si>
    <t>FRAME W</t>
  </si>
  <si>
    <t>FRAME L</t>
  </si>
  <si>
    <t>BOX COST</t>
  </si>
  <si>
    <t>DIM</t>
  </si>
  <si>
    <t>DAYS</t>
  </si>
  <si>
    <t>SHIPPED</t>
  </si>
  <si>
    <t>% SHIP</t>
  </si>
  <si>
    <t>CoG?</t>
  </si>
  <si>
    <t>3D PRINTS</t>
  </si>
  <si>
    <t>BOX GLUE $</t>
  </si>
  <si>
    <t>BOX STAPLES $</t>
  </si>
  <si>
    <t>CANVAS PRINTS</t>
  </si>
  <si>
    <t>STRAINER?</t>
  </si>
  <si>
    <t>CORNERS?</t>
  </si>
  <si>
    <t>Erin Hanson</t>
  </si>
  <si>
    <t>Original Canvas</t>
  </si>
  <si>
    <t>None</t>
  </si>
  <si>
    <t>-</t>
  </si>
  <si>
    <t>0 Orig</t>
  </si>
  <si>
    <t>Silver EH</t>
  </si>
  <si>
    <t>CNC</t>
  </si>
  <si>
    <t>1 Orig</t>
  </si>
  <si>
    <t>Ship</t>
  </si>
  <si>
    <t>20 x 30</t>
  </si>
  <si>
    <t>N/A</t>
  </si>
  <si>
    <t>FedEx</t>
  </si>
  <si>
    <t>Original</t>
  </si>
  <si>
    <t>GALLERY</t>
  </si>
  <si>
    <t>Lone Cypress Light</t>
  </si>
  <si>
    <t>Stretched</t>
  </si>
  <si>
    <t>Gold</t>
  </si>
  <si>
    <t>Sunset Lace</t>
  </si>
  <si>
    <t>Gold EH</t>
  </si>
  <si>
    <t>2 3D</t>
  </si>
  <si>
    <t>Pickup</t>
  </si>
  <si>
    <t>36 x 45</t>
  </si>
  <si>
    <t>12 x 12</t>
  </si>
  <si>
    <t>Silver</t>
  </si>
  <si>
    <t>Gold Plein</t>
  </si>
  <si>
    <t>9 x 12</t>
  </si>
  <si>
    <t>30 x 48</t>
  </si>
  <si>
    <t>12 x 16</t>
  </si>
  <si>
    <t>Flowing Spring</t>
  </si>
  <si>
    <t>Rolled</t>
  </si>
  <si>
    <t>S-5574</t>
  </si>
  <si>
    <t>3 Canv</t>
  </si>
  <si>
    <t>61 x 3 x 3</t>
  </si>
  <si>
    <t>Monterey Coast</t>
  </si>
  <si>
    <t>Iris Garden</t>
  </si>
  <si>
    <t>Autumn Wash</t>
  </si>
  <si>
    <t>32 x 40</t>
  </si>
  <si>
    <t>B&amp;G Plein Faux</t>
  </si>
  <si>
    <t>Layers of Vines</t>
  </si>
  <si>
    <t>Ocean Blooms</t>
  </si>
  <si>
    <t>Silver REH</t>
  </si>
  <si>
    <t>Montana Sunset</t>
  </si>
  <si>
    <t>S-14048</t>
  </si>
  <si>
    <t>Gold REH NEW</t>
  </si>
  <si>
    <t>15 x 19</t>
  </si>
  <si>
    <t>25 x 3 x 3</t>
  </si>
  <si>
    <t>15 x 18</t>
  </si>
  <si>
    <t>Gold EH A</t>
  </si>
  <si>
    <t>Paso Clouds</t>
  </si>
  <si>
    <t>S-14049</t>
  </si>
  <si>
    <t>37 x 3 x 3</t>
  </si>
  <si>
    <t>Margaret K Heath</t>
  </si>
  <si>
    <t>Coins of Gold</t>
  </si>
  <si>
    <t>30 x 30</t>
  </si>
  <si>
    <t>Crystal Arbor</t>
  </si>
  <si>
    <t>19 x 24</t>
  </si>
  <si>
    <t>Reflections in Color</t>
  </si>
  <si>
    <t>27 x 40</t>
  </si>
  <si>
    <t>Rolf Woolner</t>
  </si>
  <si>
    <t>Monet's Lilies</t>
  </si>
  <si>
    <t>36 x 42</t>
  </si>
  <si>
    <t>17 x 23</t>
  </si>
  <si>
    <t>Mary Coromelas</t>
  </si>
  <si>
    <t>Carmel Light</t>
  </si>
  <si>
    <t>33 x 44</t>
  </si>
  <si>
    <t>Poppies III</t>
  </si>
  <si>
    <t>11 x 14</t>
  </si>
  <si>
    <t>SQ IN</t>
  </si>
  <si>
    <t>18 x 27</t>
  </si>
  <si>
    <t>30 x 46</t>
  </si>
  <si>
    <t>X</t>
  </si>
  <si>
    <t>24 x 48</t>
  </si>
  <si>
    <t>TODAY:</t>
  </si>
  <si>
    <t>Colors of Wine II</t>
  </si>
  <si>
    <t>20 x 24</t>
  </si>
  <si>
    <t>15 x 23</t>
  </si>
  <si>
    <t>24 x 30</t>
  </si>
  <si>
    <t>16 x 20</t>
  </si>
  <si>
    <t>22 x 36</t>
  </si>
  <si>
    <t>30 x 40</t>
  </si>
  <si>
    <t>3D:</t>
  </si>
  <si>
    <t>24 x 32</t>
  </si>
  <si>
    <t>TIME IN SHOP:</t>
  </si>
  <si>
    <t>26 x 40</t>
  </si>
  <si>
    <t>24 x 36</t>
  </si>
  <si>
    <t>CANVAS:</t>
  </si>
  <si>
    <t>28 x 36</t>
  </si>
  <si>
    <t>WEEKS IN SHOP:</t>
  </si>
  <si>
    <t>28 x 48</t>
  </si>
  <si>
    <t>36 x 48</t>
  </si>
  <si>
    <t>PIECES IN SHOP:</t>
  </si>
  <si>
    <t>36 x 44</t>
  </si>
  <si>
    <t>40 x 60</t>
  </si>
  <si>
    <t>20 x 28</t>
  </si>
  <si>
    <t>DUE BY</t>
  </si>
  <si>
    <t>SHIP BY</t>
  </si>
  <si>
    <t>48 x 60</t>
  </si>
  <si>
    <t>STATE</t>
  </si>
  <si>
    <t>ZONE</t>
  </si>
  <si>
    <t>ITEM</t>
  </si>
  <si>
    <t>RUN</t>
  </si>
  <si>
    <t>SHIP $</t>
  </si>
  <si>
    <t>28 x 42</t>
  </si>
  <si>
    <t>FRAME H</t>
  </si>
  <si>
    <t>DIM.</t>
  </si>
  <si>
    <t>14 x 17</t>
  </si>
  <si>
    <t>SPECIAL</t>
  </si>
  <si>
    <t>CANVAS</t>
  </si>
  <si>
    <t>TM</t>
  </si>
  <si>
    <t>14 x 18</t>
  </si>
  <si>
    <t>19 x 26</t>
  </si>
  <si>
    <t>45 x 50</t>
  </si>
  <si>
    <t>35 x 50</t>
  </si>
  <si>
    <t>17 x 26</t>
  </si>
  <si>
    <t>George &amp; Liz  Hammond Goodrich</t>
  </si>
  <si>
    <t>La Quinta Light</t>
  </si>
  <si>
    <t>38 x 60</t>
  </si>
  <si>
    <t>29 x 40</t>
  </si>
  <si>
    <t>15 x 15</t>
  </si>
  <si>
    <t>15 x 20</t>
  </si>
  <si>
    <t>30 x 39</t>
  </si>
  <si>
    <t>32 x 43</t>
  </si>
  <si>
    <t>18 x 24</t>
  </si>
  <si>
    <t>38 x 48</t>
  </si>
  <si>
    <t>29 x 48</t>
  </si>
  <si>
    <t>15 x 21</t>
  </si>
  <si>
    <t>18 x 29</t>
  </si>
  <si>
    <t>26 x 30</t>
  </si>
  <si>
    <t>15 x 22</t>
  </si>
  <si>
    <t>35 x 35</t>
  </si>
  <si>
    <t>15 x 24</t>
  </si>
  <si>
    <t>15 x 25</t>
  </si>
  <si>
    <t>Apple Blossoms</t>
  </si>
  <si>
    <t>15 x 26</t>
  </si>
  <si>
    <t>26 x 44</t>
  </si>
  <si>
    <t>15 x 27</t>
  </si>
  <si>
    <t>46 x 47</t>
  </si>
  <si>
    <t>30 x 45</t>
  </si>
  <si>
    <t>20 x 37</t>
  </si>
  <si>
    <t>36 x 47</t>
  </si>
  <si>
    <t>Joshua Hues</t>
  </si>
  <si>
    <t>30 x 36</t>
  </si>
  <si>
    <t>34 x 46</t>
  </si>
  <si>
    <t>16 x 16</t>
  </si>
  <si>
    <t>16 x 19</t>
  </si>
  <si>
    <t>34 x 34</t>
  </si>
  <si>
    <t>27 x 43</t>
  </si>
  <si>
    <t>16 x 21</t>
  </si>
  <si>
    <t>16 x 22</t>
  </si>
  <si>
    <t>Adelaida Vista</t>
  </si>
  <si>
    <t>36 x 60</t>
  </si>
  <si>
    <t>16 x 24</t>
  </si>
  <si>
    <t>33 x 50</t>
  </si>
  <si>
    <t>31 x 40</t>
  </si>
  <si>
    <t>16.5 x 22.5</t>
  </si>
  <si>
    <t>17 x 17</t>
  </si>
  <si>
    <t>17 x 20</t>
  </si>
  <si>
    <t>23 x 35</t>
  </si>
  <si>
    <t>17 x 21</t>
  </si>
  <si>
    <t>27 x 36</t>
  </si>
  <si>
    <t>20 x 26</t>
  </si>
  <si>
    <t>17 x 24</t>
  </si>
  <si>
    <t>22 x 29</t>
  </si>
  <si>
    <t>24 x 27</t>
  </si>
  <si>
    <t>Emerald Oasis</t>
  </si>
  <si>
    <t>46 x 30</t>
  </si>
  <si>
    <t>24 x 24</t>
  </si>
  <si>
    <t>Winter Light</t>
  </si>
  <si>
    <t>30 x 50</t>
  </si>
  <si>
    <t>19 x 29</t>
  </si>
  <si>
    <t>32 x 38</t>
  </si>
  <si>
    <t>26 x 43</t>
  </si>
  <si>
    <t>26 x 35</t>
  </si>
  <si>
    <t>18 x 18</t>
  </si>
  <si>
    <t>39 x 53</t>
  </si>
  <si>
    <t>32 x 32</t>
  </si>
  <si>
    <t>18 x 22</t>
  </si>
  <si>
    <t>41 x 60</t>
  </si>
  <si>
    <t>18 x 23</t>
  </si>
  <si>
    <t>40 x 40</t>
  </si>
  <si>
    <t>32 x 42</t>
  </si>
  <si>
    <t>25 x 33</t>
  </si>
  <si>
    <t>22 x 34</t>
  </si>
  <si>
    <t>22 x 30</t>
  </si>
  <si>
    <t>28 x 38</t>
  </si>
  <si>
    <t>31 x 41</t>
  </si>
  <si>
    <t>18 x 34</t>
  </si>
  <si>
    <t>Lighted Brook</t>
  </si>
  <si>
    <t>31 x 47</t>
  </si>
  <si>
    <t>27 x 48</t>
  </si>
  <si>
    <t>32 x 48</t>
  </si>
  <si>
    <t>Sam Hawkins</t>
  </si>
  <si>
    <t>Billows of Light</t>
  </si>
  <si>
    <t>26 x 48</t>
  </si>
  <si>
    <t>19 x 22</t>
  </si>
  <si>
    <t>28 x 40</t>
  </si>
  <si>
    <t>19 x 25</t>
  </si>
  <si>
    <t>36 x 56</t>
  </si>
  <si>
    <t>19 x 28</t>
  </si>
  <si>
    <t>22 x 32</t>
  </si>
  <si>
    <t>Bluebonnets Spring</t>
  </si>
  <si>
    <t>20 x 36</t>
  </si>
  <si>
    <t>29 x 43</t>
  </si>
  <si>
    <t>48 x 84</t>
  </si>
  <si>
    <t>31 x 46</t>
  </si>
  <si>
    <t>Oaken Walk</t>
  </si>
  <si>
    <t>2 3D Lim</t>
  </si>
  <si>
    <t>Coastal Poppies</t>
  </si>
  <si>
    <t>20 x 20</t>
  </si>
  <si>
    <t>23 x 30</t>
  </si>
  <si>
    <t>20 x 25</t>
  </si>
  <si>
    <t>25 x 36</t>
  </si>
  <si>
    <t>24 x 45</t>
  </si>
  <si>
    <t>20 x 29</t>
  </si>
  <si>
    <t>The Path</t>
  </si>
  <si>
    <t>20 x 34</t>
  </si>
  <si>
    <t>47 x 72</t>
  </si>
  <si>
    <t>20 x 40</t>
  </si>
  <si>
    <t>21 x 29</t>
  </si>
  <si>
    <t>20 x 90</t>
  </si>
  <si>
    <t>24 x 33</t>
  </si>
  <si>
    <t>24 x 43</t>
  </si>
  <si>
    <t>25 x 50</t>
  </si>
  <si>
    <t>27 x 38</t>
  </si>
  <si>
    <t>21 x 26</t>
  </si>
  <si>
    <t>21 x 27</t>
  </si>
  <si>
    <t>21 x 28</t>
  </si>
  <si>
    <t>Willamette Vines</t>
  </si>
  <si>
    <t>28 x 37</t>
  </si>
  <si>
    <t>26 x 36</t>
  </si>
  <si>
    <t>44 x 35 x 6</t>
  </si>
  <si>
    <t>32 x 58</t>
  </si>
  <si>
    <t>25 x 35</t>
  </si>
  <si>
    <t>25 x 45</t>
  </si>
  <si>
    <t>22 x 26</t>
  </si>
  <si>
    <t>39 x 52</t>
  </si>
  <si>
    <t>22 x 27</t>
  </si>
  <si>
    <t>22 x 28</t>
  </si>
  <si>
    <t>Reflected Light</t>
  </si>
  <si>
    <t>28 x 28</t>
  </si>
  <si>
    <t>29 x 37</t>
  </si>
  <si>
    <t>22 x 33</t>
  </si>
  <si>
    <t>Stephanie Williams</t>
  </si>
  <si>
    <t>Coastline Dusk</t>
  </si>
  <si>
    <t>40 x 32</t>
  </si>
  <si>
    <t>34 x 42</t>
  </si>
  <si>
    <t>22 x 38</t>
  </si>
  <si>
    <t>36 x 36</t>
  </si>
  <si>
    <t>26 x 32</t>
  </si>
  <si>
    <t>36 x 46</t>
  </si>
  <si>
    <t>30 x 42</t>
  </si>
  <si>
    <t>23 x 23</t>
  </si>
  <si>
    <t>23 x 26</t>
  </si>
  <si>
    <t>30 x 60</t>
  </si>
  <si>
    <t>23 x 31</t>
  </si>
  <si>
    <t>Sunset Fire</t>
  </si>
  <si>
    <t>30 x 38</t>
  </si>
  <si>
    <t>Gilded Lilies</t>
  </si>
  <si>
    <t>40 x 50</t>
  </si>
  <si>
    <t>23 x 40</t>
  </si>
  <si>
    <t>23 x 47</t>
  </si>
  <si>
    <t>24 x 28</t>
  </si>
  <si>
    <t>Pamela Livingston</t>
  </si>
  <si>
    <t>24 x 29</t>
  </si>
  <si>
    <t>California Vista II</t>
  </si>
  <si>
    <t>30 x 24</t>
  </si>
  <si>
    <t>24 x 31</t>
  </si>
  <si>
    <t>24 x 34</t>
  </si>
  <si>
    <t>24 x 37</t>
  </si>
  <si>
    <t>24 x 38</t>
  </si>
  <si>
    <t>26 x 26</t>
  </si>
  <si>
    <t>24 x 46</t>
  </si>
  <si>
    <t>38 x 53</t>
  </si>
  <si>
    <t>Crystal Path</t>
  </si>
  <si>
    <t>31 x 50</t>
  </si>
  <si>
    <t>28 x 39</t>
  </si>
  <si>
    <t>25 x 37</t>
  </si>
  <si>
    <t>27 x 35</t>
  </si>
  <si>
    <t>Ocotillos and Blooms</t>
  </si>
  <si>
    <t>Mary-Michael Robertson</t>
  </si>
  <si>
    <t>26 x 34</t>
  </si>
  <si>
    <t>4 Paper</t>
  </si>
  <si>
    <t>26 x 37</t>
  </si>
  <si>
    <t>26 x 38</t>
  </si>
  <si>
    <t>26 x 42</t>
  </si>
  <si>
    <t>Maple Reflections</t>
  </si>
  <si>
    <t>26 x 50</t>
  </si>
  <si>
    <t>27 x 30</t>
  </si>
  <si>
    <t>27 x 41</t>
  </si>
  <si>
    <t>Terry Gage</t>
  </si>
  <si>
    <t>Hood Tulips</t>
  </si>
  <si>
    <t>14 x 11</t>
  </si>
  <si>
    <t>27 x 44</t>
  </si>
  <si>
    <t>Danielle Postiglione</t>
  </si>
  <si>
    <t>Texan Sky III</t>
  </si>
  <si>
    <t>28 x 35</t>
  </si>
  <si>
    <t>28 x 32</t>
  </si>
  <si>
    <t>28 x 34</t>
  </si>
  <si>
    <t>29 x 39</t>
  </si>
  <si>
    <t>28 x 41</t>
  </si>
  <si>
    <t>Reflections of Autumn</t>
  </si>
  <si>
    <t>28 x 47</t>
  </si>
  <si>
    <t>28 x 50</t>
  </si>
  <si>
    <t>Spring Bluebonnets</t>
  </si>
  <si>
    <t>29 x 36</t>
  </si>
  <si>
    <t>29 x 38</t>
  </si>
  <si>
    <t>Lighted Oak</t>
  </si>
  <si>
    <t>8 x 10</t>
  </si>
  <si>
    <t>30 x 44</t>
  </si>
  <si>
    <t>Dundee Hills</t>
  </si>
  <si>
    <t>31 x 42</t>
  </si>
  <si>
    <t>31 x 43</t>
  </si>
  <si>
    <t>34 x 50</t>
  </si>
  <si>
    <t>32 x 24</t>
  </si>
  <si>
    <t>New England Reflections</t>
  </si>
  <si>
    <t>32 x 39</t>
  </si>
  <si>
    <t>32 x 44</t>
  </si>
  <si>
    <t>32 x 47</t>
  </si>
  <si>
    <t>32 x 50</t>
  </si>
  <si>
    <t>33 x 41</t>
  </si>
  <si>
    <t>33 x 42</t>
  </si>
  <si>
    <t>33 x 48</t>
  </si>
  <si>
    <t>33 x 49</t>
  </si>
  <si>
    <t>34 x 40</t>
  </si>
  <si>
    <t>34 x 43</t>
  </si>
  <si>
    <t>34 x 48</t>
  </si>
  <si>
    <t>35 x 52</t>
  </si>
  <si>
    <t>Vineyard Afternoon</t>
  </si>
  <si>
    <t>36 x 51</t>
  </si>
  <si>
    <t>36 x 54</t>
  </si>
  <si>
    <t>Sunflower Dawn</t>
  </si>
  <si>
    <t>37 x 52</t>
  </si>
  <si>
    <t>38 x 38</t>
  </si>
  <si>
    <t>38 x 49</t>
  </si>
  <si>
    <t>38 x 50</t>
  </si>
  <si>
    <t>Nathan Wilson</t>
  </si>
  <si>
    <t>38 x 56</t>
  </si>
  <si>
    <t>38 x 58</t>
  </si>
  <si>
    <t>39 x 26</t>
  </si>
  <si>
    <t>40 x 30</t>
  </si>
  <si>
    <t>40 x 47</t>
  </si>
  <si>
    <t>40 x 62</t>
  </si>
  <si>
    <t>Clouded Marsh</t>
  </si>
  <si>
    <t>42 x 42</t>
  </si>
  <si>
    <t>Olive Trees at Arles</t>
  </si>
  <si>
    <t>42 x 62</t>
  </si>
  <si>
    <t>43 x 43</t>
  </si>
  <si>
    <t>44 x 67</t>
  </si>
  <si>
    <t>45 x 60</t>
  </si>
  <si>
    <t>CRATE</t>
  </si>
  <si>
    <t>Greg Davis</t>
  </si>
  <si>
    <t>50 x 62</t>
  </si>
  <si>
    <t>50 x 68</t>
  </si>
  <si>
    <t>50 x 70</t>
  </si>
  <si>
    <t>8 x 16</t>
  </si>
  <si>
    <t>Coastal Visions</t>
  </si>
  <si>
    <t>Sunflower Bouquet</t>
  </si>
  <si>
    <t>Amanda Winnicky</t>
  </si>
  <si>
    <t>Dawning Saguaro</t>
  </si>
  <si>
    <t>Bordeaux Vineyard</t>
  </si>
  <si>
    <t>Oak in Summer</t>
  </si>
  <si>
    <t>Julia Batta</t>
  </si>
  <si>
    <t>Maple Path</t>
  </si>
  <si>
    <t>Illumination</t>
  </si>
  <si>
    <t>Pine and Sunset</t>
  </si>
  <si>
    <t>Hills of Dawn</t>
  </si>
  <si>
    <t>Yosemite Glow</t>
  </si>
  <si>
    <t>Thomas Hutchings</t>
  </si>
  <si>
    <t>Delicate Arch</t>
  </si>
  <si>
    <t>Viridian Filigree</t>
  </si>
  <si>
    <t>Zion Waters</t>
  </si>
  <si>
    <t>Maple Zen</t>
  </si>
  <si>
    <t>Flowering Quince</t>
  </si>
  <si>
    <t>Vineyard Oak</t>
  </si>
  <si>
    <t>Mount Hood</t>
  </si>
  <si>
    <t>Steven Petteway</t>
  </si>
  <si>
    <t>Autumn Creek</t>
  </si>
  <si>
    <t>Richard Morton</t>
  </si>
  <si>
    <t>Sharon Stegmuller</t>
  </si>
  <si>
    <t>Aspen Flame</t>
  </si>
  <si>
    <t>Dance of Autumn</t>
  </si>
  <si>
    <t>La Jolla Vista</t>
  </si>
  <si>
    <t>Kolob Majesty</t>
  </si>
  <si>
    <t>Watchman at Zion</t>
  </si>
  <si>
    <t>Monet's Bridge</t>
  </si>
  <si>
    <t>Yosemite Vista</t>
  </si>
  <si>
    <t>Monet's Lilies II</t>
  </si>
  <si>
    <t>Jenica Burkett</t>
  </si>
  <si>
    <t>Cherry Blues</t>
  </si>
  <si>
    <t>Waves of Sunflowers</t>
  </si>
  <si>
    <t>Sara McDaniel</t>
  </si>
  <si>
    <t>Northern Range</t>
  </si>
  <si>
    <t>Margaret Cowens</t>
  </si>
  <si>
    <t>Blooms and Coast</t>
  </si>
  <si>
    <t>Susan Baker</t>
  </si>
  <si>
    <t>Yellow Blooms</t>
  </si>
  <si>
    <t>Michael McGraw</t>
  </si>
  <si>
    <t>Radiant Sky</t>
  </si>
  <si>
    <t>Arizona Clouds</t>
  </si>
  <si>
    <t>Saguaro at Sunset</t>
  </si>
  <si>
    <t>Elizabeth McCann</t>
  </si>
  <si>
    <t>Dappled Sunset</t>
  </si>
  <si>
    <t>Layers of Afternoon</t>
  </si>
  <si>
    <t>Crystal Maple</t>
  </si>
  <si>
    <t>Aspen Hues</t>
  </si>
  <si>
    <t>Autumn in Light</t>
  </si>
  <si>
    <t>Dance of Irises</t>
  </si>
  <si>
    <t>Sunflower Gold</t>
  </si>
  <si>
    <t>Sherbet Horizon</t>
  </si>
  <si>
    <t>Coastal Cliffs</t>
  </si>
  <si>
    <t>Saguaro Sky</t>
  </si>
  <si>
    <t>Saguaro Dusk</t>
  </si>
  <si>
    <t>Dawning Light</t>
  </si>
  <si>
    <t>Woodlands Pines</t>
  </si>
  <si>
    <t>Point Sur</t>
  </si>
  <si>
    <t>Indian Paintbrush</t>
  </si>
  <si>
    <t>Seine Reflections</t>
  </si>
  <si>
    <t>Coastal in Green</t>
  </si>
  <si>
    <t>Oak Tapestries</t>
  </si>
  <si>
    <t>Motion of Ocotillo</t>
  </si>
  <si>
    <t>Spring Bloom</t>
  </si>
  <si>
    <t>Monterey Waves</t>
  </si>
  <si>
    <t>Sunset at Etretat</t>
  </si>
  <si>
    <t>Janice Piekarczyk</t>
  </si>
  <si>
    <t>Coastal Poppies II</t>
  </si>
  <si>
    <t>Lynn Lind</t>
  </si>
  <si>
    <t>Radiant Light</t>
  </si>
  <si>
    <t>WORKSHOP OPERATOR STEPS LOG</t>
  </si>
  <si>
    <t>W/E:</t>
  </si>
  <si>
    <t>S.T.</t>
  </si>
  <si>
    <t>D.G.</t>
  </si>
  <si>
    <t>W/E</t>
  </si>
  <si>
    <t>VOS</t>
  </si>
  <si>
    <t>TOTAL CoG %</t>
  </si>
  <si>
    <t>CoG %</t>
  </si>
  <si>
    <t>AVERAGE TOTAL:</t>
  </si>
  <si>
    <t>Yosemite Color</t>
  </si>
  <si>
    <t>Aspen Forest</t>
  </si>
  <si>
    <t>Wildflower Coast</t>
  </si>
  <si>
    <t>S-15176</t>
  </si>
  <si>
    <t>37 x 29 x 5</t>
  </si>
  <si>
    <t>Borrego in Bloom</t>
  </si>
  <si>
    <t>S-9920</t>
  </si>
  <si>
    <t>56 x 45 x 5</t>
  </si>
  <si>
    <t>Enchanted Forest</t>
  </si>
  <si>
    <t>S-17584</t>
  </si>
  <si>
    <t>44 x 35 x 5</t>
  </si>
  <si>
    <t>Diego Eucalyptus</t>
  </si>
  <si>
    <t>Tahoe Dawn</t>
  </si>
  <si>
    <t>S-16377</t>
  </si>
  <si>
    <t>70 x 51 x 5</t>
  </si>
  <si>
    <t>Cypress Coast</t>
  </si>
  <si>
    <t>32 x 62</t>
  </si>
  <si>
    <t>Mendocino Waters</t>
  </si>
  <si>
    <t>S-11305</t>
  </si>
  <si>
    <t>43 x 36 x 4</t>
  </si>
  <si>
    <t>Hill Country Color</t>
  </si>
  <si>
    <t>S-11306</t>
  </si>
  <si>
    <t>60 x 46 x 6</t>
  </si>
  <si>
    <t>Sunflowers on Table</t>
  </si>
  <si>
    <t>Dancing Cypress</t>
  </si>
  <si>
    <t>Dreamscape</t>
  </si>
  <si>
    <t>Canyon de Chelly Dawn</t>
  </si>
  <si>
    <t>S-16376</t>
  </si>
  <si>
    <t>Lake La Quinta Sunrise</t>
  </si>
  <si>
    <t>Dappled Ocean</t>
  </si>
  <si>
    <t>Vineyard Dawn</t>
  </si>
  <si>
    <t>S-13272</t>
  </si>
  <si>
    <t>29 x 23 x 3</t>
  </si>
  <si>
    <t>Fence and Hills</t>
  </si>
  <si>
    <t>Blue Sky</t>
  </si>
  <si>
    <t>Torrey Pine Bloom</t>
  </si>
  <si>
    <t>Maple Sky</t>
  </si>
  <si>
    <t>East Coast Flame</t>
  </si>
  <si>
    <t>S-17587</t>
  </si>
  <si>
    <t>60 x 40 x 6</t>
  </si>
  <si>
    <t>Woodburn Tulips</t>
  </si>
  <si>
    <t>32 x 26</t>
  </si>
  <si>
    <t>Wild Red</t>
  </si>
  <si>
    <t>Gold KOF</t>
  </si>
  <si>
    <t>13 x 15</t>
  </si>
  <si>
    <t>Viridian Vines</t>
  </si>
  <si>
    <t>Alizarin Dawn</t>
  </si>
  <si>
    <t>Bixby Bridge</t>
  </si>
  <si>
    <t>Virginia Vineyards</t>
  </si>
  <si>
    <t>Tangerine Sky</t>
  </si>
  <si>
    <t>38 x 46</t>
  </si>
  <si>
    <t>Maple Sky (SHIPPING)</t>
  </si>
  <si>
    <t>S-16375</t>
  </si>
  <si>
    <t>52 x 36 x 4</t>
  </si>
  <si>
    <t>Coastal Mist</t>
  </si>
  <si>
    <t>Turquoise Foam</t>
  </si>
  <si>
    <t>Gallery</t>
  </si>
  <si>
    <t>Cypress Dawns</t>
  </si>
  <si>
    <t>Oregon Cascades</t>
  </si>
  <si>
    <t>Sedona Pine</t>
  </si>
  <si>
    <t>KoF Black/Gold</t>
  </si>
  <si>
    <t>S-9919</t>
  </si>
  <si>
    <t>37 x 31 x 3</t>
  </si>
  <si>
    <t>Crystal Autumn</t>
  </si>
  <si>
    <t>Monterey Ice Plant</t>
  </si>
  <si>
    <t>Winter Hills</t>
  </si>
  <si>
    <t>Acadia Pines</t>
  </si>
  <si>
    <t>KOF</t>
  </si>
  <si>
    <t>California Colors</t>
  </si>
  <si>
    <t>Plein Air</t>
  </si>
  <si>
    <t>Cliffs at Sunset</t>
  </si>
  <si>
    <t>14 x 14</t>
  </si>
  <si>
    <t>Wildflower Blooms</t>
  </si>
  <si>
    <t>38 x 62</t>
  </si>
  <si>
    <t>Crystal Aspen</t>
  </si>
  <si>
    <t>Cadmium Blooms</t>
  </si>
  <si>
    <t>Ivory Blooms</t>
  </si>
  <si>
    <t>Ocean Vista</t>
  </si>
  <si>
    <t>Lupin Blooms</t>
  </si>
  <si>
    <t>Cypress Blues</t>
  </si>
  <si>
    <t>Flowers on Table</t>
  </si>
  <si>
    <t>New England Dawn</t>
  </si>
  <si>
    <t>S-11251</t>
  </si>
  <si>
    <t>Lilies Reflections</t>
  </si>
  <si>
    <t>Palms at La Jolla</t>
  </si>
  <si>
    <t>47 x 52</t>
  </si>
  <si>
    <t>Layers of Gold</t>
  </si>
  <si>
    <t>Roll</t>
  </si>
  <si>
    <t>TUBE</t>
  </si>
  <si>
    <t>Palm Blues</t>
  </si>
  <si>
    <t>86 x 46</t>
  </si>
  <si>
    <t>S-15177</t>
  </si>
  <si>
    <t>Napa Mist</t>
  </si>
  <si>
    <t>Mount Diablo</t>
  </si>
  <si>
    <t>S-17580</t>
  </si>
  <si>
    <t>Hurricane Point</t>
  </si>
  <si>
    <t>42 x 52</t>
  </si>
  <si>
    <t>S-17581</t>
  </si>
  <si>
    <t>29 x 23 x 5</t>
  </si>
  <si>
    <t>Saguaro Clouds</t>
  </si>
  <si>
    <t>Path in the Trees</t>
  </si>
  <si>
    <t>Sunflower Blooms</t>
  </si>
  <si>
    <t>S-17589</t>
  </si>
  <si>
    <t>Lilies on the Lake</t>
  </si>
  <si>
    <t>S-3938</t>
  </si>
  <si>
    <t>44 x 2 x 2</t>
  </si>
  <si>
    <t>S-4553</t>
  </si>
  <si>
    <t>30 x 24 x 5</t>
  </si>
  <si>
    <t>Cypress at Dawn</t>
  </si>
  <si>
    <t>S-4554</t>
  </si>
  <si>
    <t>36 x 30 x 5</t>
  </si>
  <si>
    <t>House Oak</t>
  </si>
  <si>
    <t>S-4679</t>
  </si>
  <si>
    <t>42 x 36 x 6</t>
  </si>
  <si>
    <t>Sedona Vista</t>
  </si>
  <si>
    <t>S-4929</t>
  </si>
  <si>
    <t>45 x 40 x 5</t>
  </si>
  <si>
    <t>Cypress Dusk</t>
  </si>
  <si>
    <t>S-4947</t>
  </si>
  <si>
    <t>36 x 24 x 5</t>
  </si>
  <si>
    <t>Radiant Cypress</t>
  </si>
  <si>
    <t>Custom</t>
  </si>
  <si>
    <t>27.5 x 60</t>
  </si>
  <si>
    <t>33 x 65</t>
  </si>
  <si>
    <t>S-6241</t>
  </si>
  <si>
    <t>57 x 3 x 3</t>
  </si>
  <si>
    <t>Coastal Foam</t>
  </si>
  <si>
    <t>Zion Towers</t>
  </si>
  <si>
    <t>" "</t>
  </si>
  <si>
    <t>S-11214</t>
  </si>
  <si>
    <t>Canyon Dawns</t>
  </si>
  <si>
    <t>""</t>
  </si>
  <si>
    <t>KoF</t>
  </si>
  <si>
    <t>4 Free</t>
  </si>
  <si>
    <t>8 x 11</t>
  </si>
  <si>
    <t>Sunset Reflections</t>
  </si>
  <si>
    <t>S-17586</t>
  </si>
  <si>
    <t>48 x 43 x 8</t>
  </si>
  <si>
    <t>Coastal Dawn</t>
  </si>
  <si>
    <t>Aspen Mosaic</t>
  </si>
  <si>
    <t>Monterey Sands</t>
  </si>
  <si>
    <t>Hills and Vines</t>
  </si>
  <si>
    <t>Under the Embrace</t>
  </si>
  <si>
    <t>Carmel Ice Plants</t>
  </si>
  <si>
    <t>Big Sur Vista</t>
  </si>
  <si>
    <t>Rick Adams</t>
  </si>
  <si>
    <t>Will Beecherl</t>
  </si>
  <si>
    <t>Lily Reflections</t>
  </si>
  <si>
    <t>Whistler Gold KoF</t>
  </si>
  <si>
    <t>Crescent Bay</t>
  </si>
  <si>
    <t>Black &amp; Gold KoF</t>
  </si>
  <si>
    <t>Red and Gold II</t>
  </si>
  <si>
    <t>Vineyard Hills</t>
  </si>
  <si>
    <t>Estate Maples</t>
  </si>
  <si>
    <t>Oregon Mustard</t>
  </si>
  <si>
    <t>Sunset Clouds</t>
  </si>
  <si>
    <t>Wild Grass</t>
  </si>
  <si>
    <t>Alessandra Hussain</t>
  </si>
  <si>
    <t>Sunflower Hills</t>
  </si>
  <si>
    <t>Cindy Laskis</t>
  </si>
  <si>
    <t>Pamela Miller</t>
  </si>
  <si>
    <t>Emerald Pools</t>
  </si>
  <si>
    <t>Kathrine and Bill Ticknor</t>
  </si>
  <si>
    <t>Rhythm of Orange</t>
  </si>
  <si>
    <t>Colors of Aspen</t>
  </si>
  <si>
    <t>Terry &amp; Cathy Scott</t>
  </si>
  <si>
    <t>Catalina Silver</t>
  </si>
  <si>
    <t>Helene Sobin</t>
  </si>
  <si>
    <t>Joe Negri</t>
  </si>
  <si>
    <t>Gail Tomao</t>
  </si>
  <si>
    <t>Lighted Sky</t>
  </si>
  <si>
    <t>Delores Strong</t>
  </si>
  <si>
    <t>Daniella Cramp</t>
  </si>
  <si>
    <t>Eucalyptus Vista</t>
  </si>
  <si>
    <t>Roberta Hoehner</t>
  </si>
  <si>
    <t>Area Buness</t>
  </si>
  <si>
    <t>Saguaro Greens</t>
  </si>
  <si>
    <t>9 x 14</t>
  </si>
  <si>
    <t>Peter &amp; Solvi Hansen</t>
  </si>
  <si>
    <t>Custom Metro</t>
  </si>
  <si>
    <t>29 x 50</t>
  </si>
  <si>
    <t>Catherine Osgood</t>
  </si>
  <si>
    <t>Golden Vines</t>
  </si>
  <si>
    <t>Tom Russo</t>
  </si>
  <si>
    <t>Mammoth</t>
  </si>
  <si>
    <t>Richard Farrington</t>
  </si>
  <si>
    <t>Teresa Scott</t>
  </si>
  <si>
    <t>Yosemite Cliffs</t>
  </si>
  <si>
    <t>Joan Tinklepaugh</t>
  </si>
  <si>
    <t>Sunscape</t>
  </si>
  <si>
    <t>Kathy Gano</t>
  </si>
  <si>
    <t>Elizabeth Intrater</t>
  </si>
  <si>
    <t>Sydney Ciarniello</t>
  </si>
  <si>
    <t>Desert Blossoms</t>
  </si>
  <si>
    <t>Alex D'Lemos</t>
  </si>
  <si>
    <t>Delicate Blooms</t>
  </si>
  <si>
    <t>Katie McAlpine</t>
  </si>
  <si>
    <t>Charles Barefoot</t>
  </si>
  <si>
    <t>Night Oak</t>
  </si>
  <si>
    <t>14 x 16</t>
  </si>
  <si>
    <t>Erin Jackman</t>
  </si>
  <si>
    <t>Texan Sky II</t>
  </si>
  <si>
    <t>Natalie Fouquier</t>
  </si>
  <si>
    <t>Steve Adelman</t>
  </si>
  <si>
    <t>43 x 62</t>
  </si>
  <si>
    <t>Spring Blooms</t>
  </si>
  <si>
    <t>Northern Blooms</t>
  </si>
  <si>
    <t>Jennifer Crawford</t>
  </si>
  <si>
    <t>Kate Dalton</t>
  </si>
  <si>
    <t>Amanda Compton</t>
  </si>
  <si>
    <t>Dan DeFrancia</t>
  </si>
  <si>
    <t>Haystack Coast</t>
  </si>
  <si>
    <t>Catherine McCarthy</t>
  </si>
  <si>
    <t>Suzanne Pringle</t>
  </si>
  <si>
    <t>Firewheels on Green</t>
  </si>
  <si>
    <t>Judy &amp; Mark Pieko</t>
  </si>
  <si>
    <t>Brian Haug</t>
  </si>
  <si>
    <t>Sarah Wojtusik</t>
  </si>
  <si>
    <t>Katherine Rosen</t>
  </si>
  <si>
    <t>EH</t>
  </si>
  <si>
    <t>Karen Clark</t>
  </si>
  <si>
    <t>Perri Hamilton</t>
  </si>
  <si>
    <t>Peter Cazalet</t>
  </si>
  <si>
    <t>Cheri York</t>
  </si>
  <si>
    <t>Shaded Boughs</t>
  </si>
  <si>
    <t>Donna French</t>
  </si>
  <si>
    <t>Cypress Moon</t>
  </si>
  <si>
    <t>Custom Silver EH</t>
  </si>
  <si>
    <t>James Williams</t>
  </si>
  <si>
    <t>Winding Grass</t>
  </si>
  <si>
    <t>Mark Skipper</t>
  </si>
  <si>
    <t>Kim Morris</t>
  </si>
  <si>
    <t>Coachella Sunset</t>
  </si>
  <si>
    <t>Connie Iniguez</t>
  </si>
  <si>
    <t>John Hirsch</t>
  </si>
  <si>
    <t>DHL</t>
  </si>
  <si>
    <t>Lorri MacDonald</t>
  </si>
  <si>
    <t>Lilies Impressions</t>
  </si>
  <si>
    <t>TForce</t>
  </si>
  <si>
    <t>Malaika Santa Cruz</t>
  </si>
  <si>
    <t>Rising Fog</t>
  </si>
  <si>
    <t>UPS</t>
  </si>
  <si>
    <t>Desiree West</t>
  </si>
  <si>
    <t>Dawning Lupin</t>
  </si>
  <si>
    <t>ORIGINALS</t>
  </si>
  <si>
    <t xml:space="preserve"> </t>
  </si>
  <si>
    <t>ORIGINAL</t>
  </si>
  <si>
    <t>VALUE:</t>
  </si>
  <si>
    <t>FILES</t>
  </si>
  <si>
    <t>PRINTED</t>
  </si>
  <si>
    <t>STRETCHER/BASE</t>
  </si>
  <si>
    <t>MOUNTED</t>
  </si>
  <si>
    <t>FRAME MADE</t>
  </si>
  <si>
    <t>FRAMED</t>
  </si>
  <si>
    <t>Angela Glen</t>
  </si>
  <si>
    <t>3D</t>
  </si>
  <si>
    <t>FRAMING</t>
  </si>
  <si>
    <t>CUT STRETCHER</t>
  </si>
  <si>
    <t>JOIN</t>
  </si>
  <si>
    <t>STRETCH</t>
  </si>
  <si>
    <t>VARNISH</t>
  </si>
  <si>
    <t>TAGS</t>
  </si>
  <si>
    <t>3D FILE</t>
  </si>
  <si>
    <t>PRINT</t>
  </si>
  <si>
    <t>Pam Kelley</t>
  </si>
  <si>
    <t>CUT BASE</t>
  </si>
  <si>
    <t>PAINT</t>
  </si>
  <si>
    <t>MOUNT</t>
  </si>
  <si>
    <t>DESIGN FILE</t>
  </si>
  <si>
    <t>CUT</t>
  </si>
  <si>
    <t>JOIN STRETCHER</t>
  </si>
  <si>
    <t>PAPER</t>
  </si>
  <si>
    <t>CUT FRAME</t>
  </si>
  <si>
    <t>DETAIL</t>
  </si>
  <si>
    <t>SCREW IN</t>
  </si>
  <si>
    <t>WIRES, PADS</t>
  </si>
  <si>
    <t>CLEAN</t>
  </si>
  <si>
    <t>COA</t>
  </si>
  <si>
    <t>SIGN</t>
  </si>
  <si>
    <t>PACK</t>
  </si>
  <si>
    <t>SHIP</t>
  </si>
  <si>
    <t>INVENTORY</t>
  </si>
  <si>
    <t>16x20 PRINTS</t>
  </si>
  <si>
    <t>DUE DATE</t>
  </si>
  <si>
    <t>Tulip Blooms</t>
  </si>
  <si>
    <t>50 x 86</t>
  </si>
  <si>
    <r>
      <rPr>
        <sz val="10"/>
        <color theme="1"/>
        <rFont val="Arial"/>
      </rPr>
      <t xml:space="preserve">Marian Scalise </t>
    </r>
    <r>
      <rPr>
        <sz val="10"/>
        <color rgb="FFFF0000"/>
        <rFont val="Arial"/>
      </rPr>
      <t>(Red Note)</t>
    </r>
  </si>
  <si>
    <t>Tracey Hicks</t>
  </si>
  <si>
    <t>Wildflower Lights</t>
  </si>
  <si>
    <t>Debra Odell</t>
  </si>
  <si>
    <t>Floral Lace</t>
  </si>
  <si>
    <t>Jason Meade</t>
  </si>
  <si>
    <t>Lewis River Trail</t>
  </si>
  <si>
    <t>Arleen Anderson</t>
  </si>
  <si>
    <t>New Hampshire</t>
  </si>
  <si>
    <t>Sheri Galvan</t>
  </si>
  <si>
    <t>California Green</t>
  </si>
  <si>
    <r>
      <rPr>
        <sz val="10"/>
        <color theme="1"/>
        <rFont val="Arial"/>
      </rPr>
      <t xml:space="preserve">Rick Lange </t>
    </r>
    <r>
      <rPr>
        <sz val="10"/>
        <color rgb="FFFF0000"/>
        <rFont val="Arial"/>
      </rPr>
      <t>(Red Note)</t>
    </r>
  </si>
  <si>
    <t>New York Light</t>
  </si>
  <si>
    <t>Sheila Heppell</t>
  </si>
  <si>
    <t>c</t>
  </si>
  <si>
    <t>Stephen H Siemsen</t>
  </si>
  <si>
    <t>Gallery Inventory</t>
  </si>
  <si>
    <t>Scarlet Poppies</t>
  </si>
  <si>
    <t>Pebble Beach Dusk</t>
  </si>
  <si>
    <t>Sunflowers on Red</t>
  </si>
  <si>
    <t>John Markwalter</t>
  </si>
  <si>
    <t>18.5 x 24.5</t>
  </si>
  <si>
    <t>Barbara Hanuscin</t>
  </si>
  <si>
    <t>Central Park Skyline</t>
  </si>
  <si>
    <t>Christopher Oram</t>
  </si>
  <si>
    <t>Lisa Pepperdine</t>
  </si>
  <si>
    <t>Cypress Color</t>
  </si>
  <si>
    <t>Barbara Belfield</t>
  </si>
  <si>
    <t>Deb White</t>
  </si>
  <si>
    <t>Coins of Light</t>
  </si>
  <si>
    <t>Kathleen DiGregorio</t>
  </si>
  <si>
    <t>26 x 47</t>
  </si>
  <si>
    <t>Kathy McGee</t>
  </si>
  <si>
    <t>Setting Sun</t>
  </si>
  <si>
    <t>Julie Davis</t>
  </si>
  <si>
    <t>0.00*</t>
  </si>
  <si>
    <t>Mary Bagley</t>
  </si>
  <si>
    <t>Mark Warnquist</t>
  </si>
  <si>
    <t>Christine Hill</t>
  </si>
  <si>
    <t>Desert Light</t>
  </si>
  <si>
    <t>Yellow Irises</t>
  </si>
  <si>
    <t>Nanshu Wang</t>
  </si>
  <si>
    <t>Crystal Light</t>
  </si>
  <si>
    <t>Jesyca Arnold</t>
  </si>
  <si>
    <t>Sky Burst</t>
  </si>
  <si>
    <t>Catherine Jean Barzan</t>
  </si>
  <si>
    <t>Mackenzie Mitzuk</t>
  </si>
  <si>
    <t>Marty Sulc</t>
  </si>
  <si>
    <t>Jack Doan</t>
  </si>
  <si>
    <t>Pebble Beach Light</t>
  </si>
  <si>
    <t>Kenya Chow</t>
  </si>
  <si>
    <t>California Greens II</t>
  </si>
  <si>
    <t>Becky McCoy</t>
  </si>
  <si>
    <t>Coastal Poppies III</t>
  </si>
  <si>
    <t>George Knoske</t>
  </si>
  <si>
    <t>Mica Duncan</t>
  </si>
  <si>
    <t>Monterey Color</t>
  </si>
  <si>
    <t>Belinda McEwen</t>
  </si>
  <si>
    <t>Lisa Esser</t>
  </si>
  <si>
    <t>Wild Sunflowers</t>
  </si>
  <si>
    <t>Edward Rondey</t>
  </si>
  <si>
    <t>Tanya Sunley</t>
  </si>
  <si>
    <t>Metro</t>
  </si>
  <si>
    <t>Sarah Sabata</t>
  </si>
  <si>
    <t>Coastal Range</t>
  </si>
  <si>
    <t>Nan S Parrott</t>
  </si>
  <si>
    <t>Lisa Mateboer</t>
  </si>
  <si>
    <r>
      <rPr>
        <sz val="10"/>
        <color theme="1"/>
        <rFont val="Arial"/>
      </rPr>
      <t xml:space="preserve">Donald Elting </t>
    </r>
    <r>
      <rPr>
        <sz val="10"/>
        <color rgb="FFFF0000"/>
        <rFont val="Arial"/>
      </rPr>
      <t>(Red Note)</t>
    </r>
  </si>
  <si>
    <t>Northwestern Golds</t>
  </si>
  <si>
    <t>Amy Martin</t>
  </si>
  <si>
    <t>Maple Color</t>
  </si>
  <si>
    <t>Penny Leavy</t>
  </si>
  <si>
    <t>Cypress Lights</t>
  </si>
  <si>
    <t>Jim (Shari) Gong</t>
  </si>
  <si>
    <t>Cultivated Hills</t>
  </si>
  <si>
    <t>Julie Aldrich</t>
  </si>
  <si>
    <t>Jack Haber</t>
  </si>
  <si>
    <t>Judith Matteson</t>
  </si>
  <si>
    <t>Antique</t>
  </si>
  <si>
    <t>Margaret Hoge</t>
  </si>
  <si>
    <t>Barney Jensen</t>
  </si>
  <si>
    <t>Kelli Edmondson</t>
  </si>
  <si>
    <t>Big Sky</t>
  </si>
  <si>
    <t>Suzette Pounds</t>
  </si>
  <si>
    <t>Zion Deep</t>
  </si>
  <si>
    <t>Sonja Borstner</t>
  </si>
  <si>
    <t>Jean Mitchell</t>
  </si>
  <si>
    <t>Patricia Earnhardt</t>
  </si>
  <si>
    <t>Janet Chastang</t>
  </si>
  <si>
    <t>Chris Widlund</t>
  </si>
  <si>
    <t>Liz Robinson</t>
  </si>
  <si>
    <t>California in Bloom</t>
  </si>
  <si>
    <t>Carmel Gallery</t>
  </si>
  <si>
    <t>Coastal Pines</t>
  </si>
  <si>
    <t>Rhonda Crawshaw</t>
  </si>
  <si>
    <t>Glacial Peaks</t>
  </si>
  <si>
    <t>Steven Umbach</t>
  </si>
  <si>
    <t>Elizabeth Cannon</t>
  </si>
  <si>
    <t>Hitesh Patel</t>
  </si>
  <si>
    <t>Erin's Studio</t>
  </si>
  <si>
    <t>Crimson Clover</t>
  </si>
  <si>
    <t>Juliette Cagigas</t>
  </si>
  <si>
    <t>Zann Keltner</t>
  </si>
  <si>
    <t>Paul Schlemmer</t>
  </si>
  <si>
    <t>Christine O'Malley</t>
  </si>
  <si>
    <t>Susan Stalnaker</t>
  </si>
  <si>
    <t>Jan Miller</t>
  </si>
  <si>
    <t>Crystal Creek</t>
  </si>
  <si>
    <t>Marilyn Carmazzi</t>
  </si>
  <si>
    <t>Stoney Cypress</t>
  </si>
  <si>
    <r>
      <rPr>
        <sz val="10"/>
        <color theme="1"/>
        <rFont val="Arial"/>
      </rPr>
      <t xml:space="preserve">Edward Herring </t>
    </r>
    <r>
      <rPr>
        <sz val="10"/>
        <color rgb="FFFF0000"/>
        <rFont val="Arial"/>
      </rPr>
      <t>(Red Note)</t>
    </r>
  </si>
  <si>
    <t>Monterey Blues</t>
  </si>
  <si>
    <t>Steffani Smith</t>
  </si>
  <si>
    <t>Desert Wonderland</t>
  </si>
  <si>
    <t>0 Canv</t>
  </si>
  <si>
    <t>Bill Endelman</t>
  </si>
  <si>
    <t>Coastal Green</t>
  </si>
  <si>
    <t>Rupali Das</t>
  </si>
  <si>
    <t>Jo Nash</t>
  </si>
  <si>
    <t>Catherine Salsbury</t>
  </si>
  <si>
    <t>Linda Franco</t>
  </si>
  <si>
    <t>Joanne Coss</t>
  </si>
  <si>
    <t>Robert Nickell</t>
  </si>
  <si>
    <t>James Betz</t>
  </si>
  <si>
    <t>Karen Turner</t>
  </si>
  <si>
    <t>Patricia Hasen</t>
  </si>
  <si>
    <t>Richard Dest</t>
  </si>
  <si>
    <t>Beni Delaval</t>
  </si>
  <si>
    <t>Saguaro Sunset</t>
  </si>
  <si>
    <t>Glen Froistad</t>
  </si>
  <si>
    <t>Robert Foord</t>
  </si>
  <si>
    <t>John Wood &amp; Ken Walker</t>
  </si>
  <si>
    <t>Festival</t>
  </si>
  <si>
    <t>William Gorman</t>
  </si>
  <si>
    <t>Barbara Fuller</t>
  </si>
  <si>
    <t>Joy Gendusa</t>
  </si>
  <si>
    <t>Utah Blues</t>
  </si>
  <si>
    <t>Aviva Moster</t>
  </si>
  <si>
    <t>Stephen Robinson</t>
  </si>
  <si>
    <t>Golden Dawn</t>
  </si>
  <si>
    <t>Randell Bell</t>
  </si>
  <si>
    <t>Irises in Vase</t>
  </si>
  <si>
    <t>Christine Vergara</t>
  </si>
  <si>
    <t>Thistles at Paso</t>
  </si>
  <si>
    <t>Kevin Smith</t>
  </si>
  <si>
    <t>Arch Vista</t>
  </si>
  <si>
    <t>Jacklyn Guay</t>
  </si>
  <si>
    <t>Turquoise Palms</t>
  </si>
  <si>
    <t>Thomas Monaghan</t>
  </si>
  <si>
    <t>Amy Hanson</t>
  </si>
  <si>
    <t>Cadmium Tulips</t>
  </si>
  <si>
    <t>River of Light</t>
  </si>
  <si>
    <t>Maple in Red</t>
  </si>
  <si>
    <t>Stand of the Cypress</t>
  </si>
  <si>
    <t>Desert Clouds</t>
  </si>
  <si>
    <t>Reflected Vista</t>
  </si>
  <si>
    <t>Lights on Whale Rock</t>
  </si>
  <si>
    <t>Crystal Maples</t>
  </si>
  <si>
    <t>Mosaic Path</t>
  </si>
  <si>
    <t>Natalie Valeur</t>
  </si>
  <si>
    <t>Coastal Overlook</t>
  </si>
  <si>
    <t>Mystic Valley</t>
  </si>
  <si>
    <t>Acadia Dawn</t>
  </si>
  <si>
    <t>Lover's Point</t>
  </si>
  <si>
    <t>Diego Sky</t>
  </si>
  <si>
    <t>Mounean Banker</t>
  </si>
  <si>
    <t>Smith Rock II</t>
  </si>
  <si>
    <t>Dawning Road</t>
  </si>
  <si>
    <t>Viridian Path</t>
  </si>
  <si>
    <t>Andrew Schober</t>
  </si>
  <si>
    <t>My California</t>
  </si>
  <si>
    <t>Sweep of Wildflowers</t>
  </si>
  <si>
    <t>Jeweled Hills</t>
  </si>
  <si>
    <t>Jesse Smith</t>
  </si>
  <si>
    <t>Colorado Heights</t>
  </si>
  <si>
    <t>Crystal Grass</t>
  </si>
  <si>
    <t>Dawning Vines</t>
  </si>
  <si>
    <t>Sierra Reflections</t>
  </si>
  <si>
    <t>Cheryl Nangeroni</t>
  </si>
  <si>
    <t>Pools of Dawn</t>
  </si>
  <si>
    <t>Sharon Yuras</t>
  </si>
  <si>
    <t>Cypress Vines</t>
  </si>
  <si>
    <t>Oak and Hills</t>
  </si>
  <si>
    <t>Autumn Tapestries</t>
  </si>
  <si>
    <t>Acadia Reflections</t>
  </si>
  <si>
    <t>Cascade of Tulips</t>
  </si>
  <si>
    <t>Carol Labossiere</t>
  </si>
  <si>
    <t>Journey Through Zion</t>
  </si>
  <si>
    <t>Shelly Broetje</t>
  </si>
  <si>
    <t>Kyoto Color</t>
  </si>
  <si>
    <t>Aspen Lights</t>
  </si>
  <si>
    <t>Baker Creek</t>
  </si>
  <si>
    <t>Judy Cody</t>
  </si>
  <si>
    <t>Cypress Waves</t>
  </si>
  <si>
    <t>Patricia Buys</t>
  </si>
  <si>
    <t>Ocotillo Blooms</t>
  </si>
  <si>
    <t>Super Blooms</t>
  </si>
  <si>
    <t>Lara Tinker</t>
  </si>
  <si>
    <t>Sierra Dawn</t>
  </si>
  <si>
    <t>Autumn Filigree</t>
  </si>
  <si>
    <t>FRAME DIM.</t>
  </si>
  <si>
    <t>Mosaic of Trees</t>
  </si>
  <si>
    <t>Maple Afternoon</t>
  </si>
  <si>
    <t>Lori Avis</t>
  </si>
  <si>
    <t>Coachella Dawn</t>
  </si>
  <si>
    <t>Kyoto Autumn</t>
  </si>
  <si>
    <t>Laura Vance</t>
  </si>
  <si>
    <t>Bill Mackey</t>
  </si>
  <si>
    <t>Hidden Cypress</t>
  </si>
  <si>
    <t>Kathleen Hurtuk</t>
  </si>
  <si>
    <t>Amethyst Clouds</t>
  </si>
  <si>
    <t>Borrego's Bounty</t>
  </si>
  <si>
    <t>Layered Light</t>
  </si>
  <si>
    <t>H</t>
  </si>
  <si>
    <t>Coastal Blooms</t>
  </si>
  <si>
    <t>Hills of Paso</t>
  </si>
  <si>
    <t>ORDER QTY.</t>
  </si>
  <si>
    <t>Item</t>
  </si>
  <si>
    <t>Size</t>
  </si>
  <si>
    <t>Purchase from</t>
  </si>
  <si>
    <t>Subtotal</t>
  </si>
  <si>
    <t>Pine boards</t>
  </si>
  <si>
    <t>Lowe's</t>
  </si>
  <si>
    <t>Texas in Bloom</t>
  </si>
  <si>
    <t>Scarlet Light</t>
  </si>
  <si>
    <t>Scarlet Light II</t>
  </si>
  <si>
    <t>Maple Forest</t>
  </si>
  <si>
    <t>Crystal Ranch</t>
  </si>
  <si>
    <t>Vineyard Vista</t>
  </si>
  <si>
    <t>PICKUP</t>
  </si>
  <si>
    <t>Gnarled Oak</t>
  </si>
  <si>
    <t>Torrey Pine Blooms</t>
  </si>
  <si>
    <t>Desertscape</t>
  </si>
  <si>
    <t>Desert Hues</t>
  </si>
  <si>
    <t>Yellow Maple</t>
  </si>
  <si>
    <t>Ocotillo and Blooms</t>
  </si>
  <si>
    <t>Canyon Palms</t>
  </si>
  <si>
    <t>Wildflowers in Bloom</t>
  </si>
  <si>
    <t>Lone Cypress Dusk</t>
  </si>
  <si>
    <t>Coastal Hues</t>
  </si>
  <si>
    <t>Kyoto Reflections</t>
  </si>
  <si>
    <t>Palms in Color</t>
  </si>
  <si>
    <t>Michelle Schaffner</t>
  </si>
  <si>
    <t>Kari Commagere</t>
  </si>
  <si>
    <t>Adelheid Chudy</t>
  </si>
  <si>
    <t>Clare Barclay</t>
  </si>
  <si>
    <t>Jacaranda Petals</t>
  </si>
  <si>
    <t>Arizona Dusk</t>
  </si>
  <si>
    <t>Desert Glass</t>
  </si>
  <si>
    <t>Deanna Clasing</t>
  </si>
  <si>
    <t>Joshua Dawns</t>
  </si>
  <si>
    <t>Autumn Mosaic</t>
  </si>
  <si>
    <t>ORDER DATE</t>
  </si>
  <si>
    <t>PIECE</t>
  </si>
  <si>
    <t>DAMAGED PART</t>
  </si>
  <si>
    <t>TERMINAL</t>
  </si>
  <si>
    <t>DESCRIPTION OF DAMAGE</t>
  </si>
  <si>
    <t>Dennis Sale</t>
  </si>
  <si>
    <t>Cynthia Hervatic</t>
  </si>
  <si>
    <t>Light in the Redwoods</t>
  </si>
  <si>
    <t>Frame</t>
  </si>
  <si>
    <t>Anna</t>
  </si>
  <si>
    <t>Two frame corners have gaps, one has chipped damage. Looks like possible shipping damage.</t>
  </si>
  <si>
    <t>Rory Crawford</t>
  </si>
  <si>
    <t>Alpine Tahoe</t>
  </si>
  <si>
    <t>"Chip" on bottom back of frame. Looks like filling putty not used or possibly not black marker. Garrett made frame, Anna framed piece.</t>
  </si>
  <si>
    <t>Michelle Angell</t>
  </si>
  <si>
    <t>Costal Poppies II</t>
  </si>
  <si>
    <t>Base</t>
  </si>
  <si>
    <t>Garrett</t>
  </si>
  <si>
    <t>Order was a special unframed with 1/2" base. It was put on a 1 1/2" base instead.</t>
  </si>
  <si>
    <t>Jane Schroeder</t>
  </si>
  <si>
    <t>Canv</t>
  </si>
  <si>
    <t>Wildflowers in Lilac</t>
  </si>
  <si>
    <t>Frame arrived to customer chipped. Hadn't been fully detailed before being shipped out.</t>
  </si>
  <si>
    <t>Rainbow Cypress</t>
  </si>
  <si>
    <t>Crystal Dawn</t>
  </si>
  <si>
    <t>Utah Aspens</t>
  </si>
  <si>
    <t>January Zion</t>
  </si>
  <si>
    <t>Northern Coastline</t>
  </si>
  <si>
    <t>Bodega Bay</t>
  </si>
  <si>
    <t>Jean Pullen</t>
  </si>
  <si>
    <t>Carmel Sunset</t>
  </si>
  <si>
    <t>Park City Vista</t>
  </si>
  <si>
    <t>Cypress Mosaic</t>
  </si>
  <si>
    <t>CANVAS SIZE</t>
  </si>
  <si>
    <t>COLOR</t>
  </si>
  <si>
    <t>CANVAS MADE</t>
  </si>
  <si>
    <t>CANVAS LABELED</t>
  </si>
  <si>
    <t>FRAME LABELED</t>
  </si>
  <si>
    <t>Canyonland Wildflowers</t>
  </si>
  <si>
    <t>Crispin Gorman</t>
  </si>
  <si>
    <t>Sunset Light</t>
  </si>
  <si>
    <t>Marie Felix</t>
  </si>
  <si>
    <t>Carmel Waters</t>
  </si>
  <si>
    <t>Anemone Blooms</t>
  </si>
  <si>
    <t>Daybreak</t>
  </si>
  <si>
    <t>Leaving Zion</t>
  </si>
  <si>
    <t>Melissa Austin</t>
  </si>
  <si>
    <t>Pelican Sky</t>
  </si>
  <si>
    <t>Joshua Blooms</t>
  </si>
  <si>
    <t>Kit Crawford</t>
  </si>
  <si>
    <t>Michelle Campbell</t>
  </si>
  <si>
    <t>Kavitha Sivaraman</t>
  </si>
  <si>
    <t>Cottonwood Shadow</t>
  </si>
  <si>
    <t>Joe Ballard</t>
  </si>
  <si>
    <t>Hill Country Golds</t>
  </si>
  <si>
    <t>Aspen Rows</t>
  </si>
  <si>
    <t>Michael Yen</t>
  </si>
  <si>
    <t>Valeh Levy</t>
  </si>
  <si>
    <t>Radiant Clouds</t>
  </si>
  <si>
    <t>Ashley Appling</t>
  </si>
  <si>
    <t>Lover's Cypress</t>
  </si>
  <si>
    <t>Michael Hoover</t>
  </si>
  <si>
    <t>Diane Carpenter</t>
  </si>
  <si>
    <t>Vincent Olsziewski</t>
  </si>
  <si>
    <t>A New Discovery</t>
  </si>
  <si>
    <t>Sam Schooley</t>
  </si>
  <si>
    <t>John Begalke</t>
  </si>
  <si>
    <t>November Pines</t>
  </si>
  <si>
    <t>Brianna Im</t>
  </si>
  <si>
    <t>Kirstie Dyer</t>
  </si>
  <si>
    <t>Carlos Mostacero</t>
  </si>
  <si>
    <t>Dawning Sky</t>
  </si>
  <si>
    <t>La Jolla Eucalyptus</t>
  </si>
  <si>
    <t>Candace Bone</t>
  </si>
  <si>
    <t>Destiny Davis</t>
  </si>
  <si>
    <t>Mandarin Hills</t>
  </si>
  <si>
    <t>Ivan Jones</t>
  </si>
  <si>
    <t>Carmel Lone Pine</t>
  </si>
  <si>
    <t>Emily Swisher</t>
  </si>
  <si>
    <t>Susan Wendt</t>
  </si>
  <si>
    <t>Samantha Arens</t>
  </si>
  <si>
    <t>Lane of Oaks</t>
  </si>
  <si>
    <t>Dan Scott</t>
  </si>
  <si>
    <t>Kristen Smirnov</t>
  </si>
  <si>
    <t>Stephen Albano</t>
  </si>
  <si>
    <t>Hampshire Hills</t>
  </si>
  <si>
    <t>Sandra Sarhatt</t>
  </si>
  <si>
    <t>Kevin Chene</t>
  </si>
  <si>
    <t>Napa Oaks</t>
  </si>
  <si>
    <t>Donald Kearns</t>
  </si>
  <si>
    <t>Michiel Williams</t>
  </si>
  <si>
    <t>Thea Horii</t>
  </si>
  <si>
    <t>Lilies in Triptych</t>
  </si>
  <si>
    <t>Gray Umbach</t>
  </si>
  <si>
    <t>Glacier Peaks</t>
  </si>
  <si>
    <t>Cypress Fog</t>
  </si>
  <si>
    <t>Kimberly Fetzer</t>
  </si>
  <si>
    <t>Water Lilies</t>
  </si>
  <si>
    <t>Sunflowers Vase</t>
  </si>
  <si>
    <t>Autumn Leaves</t>
  </si>
  <si>
    <t>Japanese Garden</t>
  </si>
  <si>
    <t>Bobbi Heiligman</t>
  </si>
  <si>
    <t>Nicole Adelman</t>
  </si>
  <si>
    <t>Catherine Johnson</t>
  </si>
  <si>
    <t>Danielle DeBiagio</t>
  </si>
  <si>
    <t>Chris Long Le</t>
  </si>
  <si>
    <t>Linda Chesterfield</t>
  </si>
  <si>
    <t>Clouds Above Paso</t>
  </si>
  <si>
    <t>Dale Worthington</t>
  </si>
  <si>
    <t>Angela Barthelmess</t>
  </si>
  <si>
    <t>Jennifer Van Tuyl</t>
  </si>
  <si>
    <t>Kevin Lundborg</t>
  </si>
  <si>
    <t>Anne Brumbaugh</t>
  </si>
  <si>
    <t>Peggy C Labossiere</t>
  </si>
  <si>
    <t>Redwoods</t>
  </si>
  <si>
    <t>Elyse Johnston</t>
  </si>
  <si>
    <t>Autumn in Zion</t>
  </si>
  <si>
    <t>Carol Taylor</t>
  </si>
  <si>
    <t>Sura Lutvak</t>
  </si>
  <si>
    <t>Dana Stewart</t>
  </si>
  <si>
    <t>David Nicholson</t>
  </si>
  <si>
    <t>David Golden</t>
  </si>
  <si>
    <t>Cottonwood Flame</t>
  </si>
  <si>
    <t>Charleen Wagner</t>
  </si>
  <si>
    <t>Lucia Onofrio</t>
  </si>
  <si>
    <t>Sonja Wilson</t>
  </si>
  <si>
    <t>Lisa Thaler</t>
  </si>
  <si>
    <t>Joshua Clouds</t>
  </si>
  <si>
    <t>Lawrence Cesspooch</t>
  </si>
  <si>
    <t>Carie Lisneck</t>
  </si>
  <si>
    <t>Shelly Malter</t>
  </si>
  <si>
    <t>Ann Stecker</t>
  </si>
  <si>
    <t>John Thune</t>
  </si>
  <si>
    <t>Cascading Lavender</t>
  </si>
  <si>
    <t>Michael Nies</t>
  </si>
  <si>
    <t>Autumn Vineyard</t>
  </si>
  <si>
    <t>Jason Byttow</t>
  </si>
  <si>
    <t>Barbara Jenson</t>
  </si>
  <si>
    <t>Sky Break</t>
  </si>
  <si>
    <t>Kaylee Cutler</t>
  </si>
  <si>
    <t>Gail Adams</t>
  </si>
  <si>
    <t>Parker Sommerville</t>
  </si>
  <si>
    <t>Drenched in Spring</t>
  </si>
  <si>
    <t>Meg Dacey</t>
  </si>
  <si>
    <t>Michelle Baron</t>
  </si>
  <si>
    <t>Peter Tronnier</t>
  </si>
  <si>
    <t>Tahoe Waters</t>
  </si>
  <si>
    <t>IN</t>
  </si>
  <si>
    <t>MM</t>
  </si>
  <si>
    <t>REC</t>
  </si>
  <si>
    <t>LINES</t>
  </si>
  <si>
    <t>Y</t>
  </si>
  <si>
    <t>Paul Flynn</t>
  </si>
  <si>
    <t>Jane Routt</t>
  </si>
  <si>
    <t>Blooming Poppies</t>
  </si>
  <si>
    <t>Colors of Sierra</t>
  </si>
  <si>
    <t>Over the Crest</t>
  </si>
  <si>
    <t>Susan Bouquet</t>
  </si>
  <si>
    <t>Dawn Harkett</t>
  </si>
  <si>
    <t>758 x 1063</t>
  </si>
  <si>
    <t>Charles Massaro</t>
  </si>
  <si>
    <t>Colorado Color</t>
  </si>
  <si>
    <t>Teresa Repetto</t>
  </si>
  <si>
    <t>Chris Lamorey</t>
  </si>
  <si>
    <t>Cyrise Sanders</t>
  </si>
  <si>
    <t>Crystal Sunset</t>
  </si>
  <si>
    <t>Margaret Hoogland</t>
  </si>
  <si>
    <t>Desert Edge</t>
  </si>
  <si>
    <t>Erika von Klier</t>
  </si>
  <si>
    <t>Oasis Waters</t>
  </si>
  <si>
    <t>Amy Steidlmayer</t>
  </si>
  <si>
    <t>Palm Fronds</t>
  </si>
  <si>
    <t>Oregon Vines</t>
  </si>
  <si>
    <t>Daciana Healey</t>
  </si>
  <si>
    <t>Kristina Nyberg</t>
  </si>
  <si>
    <t>Connie DiPronio</t>
  </si>
  <si>
    <t>Field of Blooms</t>
  </si>
  <si>
    <t>Texan Sky</t>
  </si>
  <si>
    <t>Mark Clark</t>
  </si>
  <si>
    <t>Mary Herrick</t>
  </si>
  <si>
    <t>Arizona Light</t>
  </si>
  <si>
    <t>1063 x 1063</t>
  </si>
  <si>
    <t>Flurry of Wildflowers</t>
  </si>
  <si>
    <t>Monument Clouds</t>
  </si>
  <si>
    <t>Alice Cooksey</t>
  </si>
  <si>
    <t>Tessa Peart</t>
  </si>
  <si>
    <t>Kalynn Dean</t>
  </si>
  <si>
    <t>Stephanie Hess</t>
  </si>
  <si>
    <t>Aspens on Blue</t>
  </si>
  <si>
    <t>Erin Hanson Gallery</t>
  </si>
  <si>
    <t>Sunflowers Bloom</t>
  </si>
  <si>
    <t>Catherine Alvis</t>
  </si>
  <si>
    <t>Mustard in Abstract</t>
  </si>
  <si>
    <t>Joy Fisher</t>
  </si>
  <si>
    <t>Maria Virrueta</t>
  </si>
  <si>
    <t>Christopher Puzio</t>
  </si>
  <si>
    <t>Rosemont Preserve</t>
  </si>
  <si>
    <t>Ryan Walker</t>
  </si>
  <si>
    <t>Ilan Mizrahi</t>
  </si>
  <si>
    <t>Nick Mezei</t>
  </si>
  <si>
    <t>June Jones</t>
  </si>
  <si>
    <t>Garrett Robinson</t>
  </si>
  <si>
    <t>Patricia Baldwin</t>
  </si>
  <si>
    <t>Lisa Wasko</t>
  </si>
  <si>
    <t>Jay Colby</t>
  </si>
  <si>
    <t>Suzanne Boxer</t>
  </si>
  <si>
    <t>Phlayne McDonald</t>
  </si>
  <si>
    <t>Mendocino Redwoods</t>
  </si>
  <si>
    <t>Bixby Sunset</t>
  </si>
  <si>
    <t>Diane Kittle</t>
  </si>
  <si>
    <t>Eucalyptus Grove</t>
  </si>
  <si>
    <t>Margaret Lovett</t>
  </si>
  <si>
    <t>Kolob Light</t>
  </si>
  <si>
    <t>Hues of Zion</t>
  </si>
  <si>
    <t>Mary Hall</t>
  </si>
  <si>
    <t>Matthew Brainovich</t>
  </si>
  <si>
    <t>DIBOND</t>
  </si>
  <si>
    <t>Deborah Woody</t>
  </si>
  <si>
    <t>William Moore</t>
  </si>
  <si>
    <t>Tumble of Sunflowers</t>
  </si>
  <si>
    <t>INCHES UP:</t>
  </si>
  <si>
    <t>Beth Fritz</t>
  </si>
  <si>
    <t>Rambling Pastels</t>
  </si>
  <si>
    <t>INCHES FWD:</t>
  </si>
  <si>
    <t>INCHES END:</t>
  </si>
  <si>
    <t>Em L</t>
  </si>
  <si>
    <t>Winter Vineyards</t>
  </si>
  <si>
    <t>Diane Inman</t>
  </si>
  <si>
    <t>Jesselyn Hoffert</t>
  </si>
  <si>
    <t>Cypress Dance</t>
  </si>
  <si>
    <t>Regina Schafnitz</t>
  </si>
  <si>
    <t>August Paso</t>
  </si>
  <si>
    <t>Edward Tabler</t>
  </si>
  <si>
    <t>Katie Bell</t>
  </si>
  <si>
    <t>Sunset Cypress</t>
  </si>
  <si>
    <t>Andi Maddox</t>
  </si>
  <si>
    <t>Sierra Moss</t>
  </si>
  <si>
    <t>Dick Alway</t>
  </si>
  <si>
    <t>Peggy Meyerhofer</t>
  </si>
  <si>
    <t>Color Curves</t>
  </si>
  <si>
    <t>Esther Norton</t>
  </si>
  <si>
    <t>Sedona Scrub</t>
  </si>
  <si>
    <t>Joanne Cali</t>
  </si>
  <si>
    <t>Jan Turner</t>
  </si>
  <si>
    <t>Kathy Sandell</t>
  </si>
  <si>
    <t>Amanda Bankson</t>
  </si>
  <si>
    <t>Skylar Wisdom</t>
  </si>
  <si>
    <t>Jessica Waddle</t>
  </si>
  <si>
    <t>DeAnn Baker</t>
  </si>
  <si>
    <t>Terry Boghossian</t>
  </si>
  <si>
    <t>Matthew Tannenbaum</t>
  </si>
  <si>
    <t>Ryan Brandimore</t>
  </si>
  <si>
    <t>Joshua Tree Light</t>
  </si>
  <si>
    <t>ABS</t>
  </si>
  <si>
    <t>Dance of the Joshuas</t>
  </si>
  <si>
    <t>Krystal Cain</t>
  </si>
  <si>
    <t>Florida Palms</t>
  </si>
  <si>
    <t>Special</t>
  </si>
  <si>
    <t>Cate Lewis</t>
  </si>
  <si>
    <t>Cheryl Donakowski</t>
  </si>
  <si>
    <t>River Rocks</t>
  </si>
  <si>
    <t>Stephen Weldin</t>
  </si>
  <si>
    <t>Erin Baecker</t>
  </si>
  <si>
    <t>Joshua Sky</t>
  </si>
  <si>
    <t>Point Lobos Dusk</t>
  </si>
  <si>
    <t>Gary Lawrence</t>
  </si>
  <si>
    <t>Johnathan Becker</t>
  </si>
  <si>
    <t>Desert Brush</t>
  </si>
  <si>
    <t>Jenny Thornton</t>
  </si>
  <si>
    <t>Mary Radia</t>
  </si>
  <si>
    <t>Daniel Lewis</t>
  </si>
  <si>
    <t>Autumn Fields</t>
  </si>
  <si>
    <t>Emily Hickerson</t>
  </si>
  <si>
    <t>Samantha Garey</t>
  </si>
  <si>
    <t>ABS WHOLE SHEET</t>
  </si>
  <si>
    <t>19 x 15</t>
  </si>
  <si>
    <t>MM FWD:</t>
  </si>
  <si>
    <t>Vineyard Way</t>
  </si>
  <si>
    <t>Blooming Desert</t>
  </si>
  <si>
    <t>453 x 453</t>
  </si>
  <si>
    <t>$0*</t>
  </si>
  <si>
    <t>Big Bend Blooms</t>
  </si>
  <si>
    <t>Davis Hanabusa</t>
  </si>
  <si>
    <t>Cypress Radiance</t>
  </si>
  <si>
    <t>Lone Cypress III</t>
  </si>
  <si>
    <t>Spring Blooming</t>
  </si>
  <si>
    <t>ABS W IN</t>
  </si>
  <si>
    <t>ABS L IN</t>
  </si>
  <si>
    <t>ABS W</t>
  </si>
  <si>
    <t>ABS L</t>
  </si>
  <si>
    <t>START</t>
  </si>
  <si>
    <t>IN.</t>
  </si>
  <si>
    <t>Eugene Gorokhov</t>
  </si>
  <si>
    <t>Yosemite Haze</t>
  </si>
  <si>
    <t>1063 x 1672</t>
  </si>
  <si>
    <t>Vase of Sunflowers</t>
  </si>
  <si>
    <t>Diana Sugano</t>
  </si>
  <si>
    <t>Cherry Sky</t>
  </si>
  <si>
    <t>707 x 961</t>
  </si>
  <si>
    <t>Jacob Marchand</t>
  </si>
  <si>
    <t>Canyonlands Buttes</t>
  </si>
  <si>
    <t>Canyon's Light</t>
  </si>
  <si>
    <t>TIME</t>
  </si>
  <si>
    <t>DRIVE</t>
  </si>
  <si>
    <t>Floral Rainbow</t>
  </si>
  <si>
    <t>Arrive to gallery</t>
  </si>
  <si>
    <t>Drive to Reno, NV</t>
  </si>
  <si>
    <t>Arrive to hotel</t>
  </si>
  <si>
    <t>On the road to Lisa Triplett</t>
  </si>
  <si>
    <t>13490 Racel St, Las Vegas, NV 89166</t>
  </si>
  <si>
    <t>Lisa Triplett, (702) 858-1039</t>
  </si>
  <si>
    <t>Arrive to Lisa Triplett and install</t>
  </si>
  <si>
    <t>Find hotel for the night</t>
  </si>
  <si>
    <t>On the road to La Quinta</t>
  </si>
  <si>
    <t>80160 Vista Grande, La Quinta, CA 92253</t>
  </si>
  <si>
    <t>Arrive to La Quinta AirBnB</t>
  </si>
  <si>
    <t>Sunflower Vase</t>
  </si>
  <si>
    <t>Amy</t>
  </si>
  <si>
    <t>Brad Samargya</t>
  </si>
  <si>
    <t>Kendra Dickerson</t>
  </si>
  <si>
    <t>North Rim Hexaptych</t>
  </si>
  <si>
    <t>Madonna Weiss</t>
  </si>
  <si>
    <t>Ocotillo Gold</t>
  </si>
  <si>
    <t>Blooming Field</t>
  </si>
  <si>
    <t>Cadmium Vines</t>
  </si>
  <si>
    <t>Patrick Hoy</t>
  </si>
  <si>
    <t>Morning Mist</t>
  </si>
  <si>
    <t>Maria Decker</t>
  </si>
  <si>
    <t>Hues of Autumn</t>
  </si>
  <si>
    <t>Sunflower Field</t>
  </si>
  <si>
    <t>885 x 1063</t>
  </si>
  <si>
    <t>Sunflower Fields</t>
  </si>
  <si>
    <t>Sunflower Bloom</t>
  </si>
  <si>
    <t>Emerald Hills</t>
  </si>
  <si>
    <t>Northern Peaks</t>
  </si>
  <si>
    <t>Light Beyond</t>
  </si>
  <si>
    <t>Wallpaper and Vase</t>
  </si>
  <si>
    <t>Michaela Maxwell</t>
  </si>
  <si>
    <t>Hues of Sunflowers</t>
  </si>
  <si>
    <t>Cypress Rock</t>
  </si>
  <si>
    <t>Maple Lights</t>
  </si>
  <si>
    <t>Blooming Vibrance</t>
  </si>
  <si>
    <t>Reflected Color</t>
  </si>
  <si>
    <t>San Diego Palms</t>
  </si>
  <si>
    <t>Sarah Pfaff</t>
  </si>
  <si>
    <t>Laura Mogel</t>
  </si>
  <si>
    <t>Cherry Blooms</t>
  </si>
  <si>
    <t>Eric Newhouse</t>
  </si>
  <si>
    <t>Yosemite Cottonwoods</t>
  </si>
  <si>
    <t>Nadejda Waite</t>
  </si>
  <si>
    <t>Blooming Gold</t>
  </si>
  <si>
    <t>Peter Mathews</t>
  </si>
  <si>
    <t>Charlotte Prachyl</t>
  </si>
  <si>
    <t>Dianna Winters</t>
  </si>
  <si>
    <t>Scottsdale Gallery</t>
  </si>
  <si>
    <t>Saguaro Buttes</t>
  </si>
  <si>
    <t>Sedona Sky</t>
  </si>
  <si>
    <t>Utah Sagebrush</t>
  </si>
  <si>
    <t>Grand Canyon</t>
  </si>
  <si>
    <t>Fields of Sunflowers</t>
  </si>
  <si>
    <t>Amethyst Blooms</t>
  </si>
  <si>
    <t>Megan Dornseif</t>
  </si>
  <si>
    <t>Rocky McCullough</t>
  </si>
  <si>
    <t>Maple Sunset</t>
  </si>
  <si>
    <t>Palm Vista</t>
  </si>
  <si>
    <t>Peter Whitehead</t>
  </si>
  <si>
    <t>Purple Sage</t>
  </si>
  <si>
    <t>Vines at Dawn</t>
  </si>
  <si>
    <t>Sunset Cacti</t>
  </si>
  <si>
    <t>Sunset Pines</t>
  </si>
  <si>
    <t>Big Sur Blooms</t>
  </si>
  <si>
    <t>James Ippel</t>
  </si>
  <si>
    <t>Summer Saguaro</t>
  </si>
  <si>
    <t>Betsy Vohnson</t>
  </si>
  <si>
    <t>Janet Prince</t>
  </si>
  <si>
    <t>Julie Smith</t>
  </si>
  <si>
    <t>Monterey Cove</t>
  </si>
  <si>
    <t>ARTWORK</t>
  </si>
  <si>
    <t>CA</t>
  </si>
  <si>
    <t>Sunflower Blues</t>
  </si>
  <si>
    <t>458 x 458</t>
  </si>
  <si>
    <t>OR</t>
  </si>
  <si>
    <t>Scott &amp; Kitty Williams</t>
  </si>
  <si>
    <t>1068 x 1322</t>
  </si>
  <si>
    <t>890 x 1118</t>
  </si>
  <si>
    <t>Linda Van Gelder</t>
  </si>
  <si>
    <t>966 x 1372</t>
  </si>
  <si>
    <t>January Reflections</t>
  </si>
  <si>
    <t>915 x 1169</t>
  </si>
  <si>
    <t>IL</t>
  </si>
  <si>
    <t>839 x 1169</t>
  </si>
  <si>
    <t>Winding Blooms</t>
  </si>
  <si>
    <t>356 x 560</t>
  </si>
  <si>
    <t>OH</t>
  </si>
  <si>
    <t>Jessica Greer</t>
  </si>
  <si>
    <t>Cypress Water</t>
  </si>
  <si>
    <t>Scott Drablos</t>
  </si>
  <si>
    <t>Linda and Gary  Wallmark</t>
  </si>
  <si>
    <t>Crystal Grove II</t>
  </si>
  <si>
    <t>2 3D Open</t>
  </si>
  <si>
    <t>1063 x 1368</t>
  </si>
  <si>
    <t>Kathy   Sinz</t>
  </si>
  <si>
    <t>CO</t>
  </si>
  <si>
    <t>Richard McLean</t>
  </si>
  <si>
    <t>Coastal Blues</t>
  </si>
  <si>
    <t>MN</t>
  </si>
  <si>
    <t>Sean Petteway</t>
  </si>
  <si>
    <t>352 x 555</t>
  </si>
  <si>
    <t>Kathy  Sinz</t>
  </si>
  <si>
    <t>Purple Irises</t>
  </si>
  <si>
    <t>Lisa Lengtat</t>
  </si>
  <si>
    <t>910 x 1368</t>
  </si>
  <si>
    <t>WA</t>
  </si>
  <si>
    <t>Elaine Anthonise</t>
  </si>
  <si>
    <t>885 x 1088</t>
  </si>
  <si>
    <t>Scott Henggeler</t>
  </si>
  <si>
    <t>1418 x 1926</t>
  </si>
  <si>
    <t>Marc Wilmes-Reitz</t>
  </si>
  <si>
    <t>Max and Janette  Nardoni</t>
  </si>
  <si>
    <t>La Quinta Sky</t>
  </si>
  <si>
    <t>Coastal Color</t>
  </si>
  <si>
    <t>Scott Korfhagen</t>
  </si>
  <si>
    <t>Miska Salemann</t>
  </si>
  <si>
    <t>Hannah Schmidts</t>
  </si>
  <si>
    <t>Sheila Johnson</t>
  </si>
  <si>
    <t>Sunflowers in Blue Vase</t>
  </si>
  <si>
    <t>Caroline Colangelo</t>
  </si>
  <si>
    <t>Diane Ward</t>
  </si>
  <si>
    <t xml:space="preserve">Lone Cypress Dawn </t>
  </si>
  <si>
    <t>Kira Hess</t>
  </si>
  <si>
    <t>John Horning</t>
  </si>
  <si>
    <t>La Quinta Mountains</t>
  </si>
  <si>
    <t>Nicole Vasold</t>
  </si>
  <si>
    <t>J.P. Schreiber</t>
  </si>
  <si>
    <t>Margaret Engstrom</t>
  </si>
  <si>
    <t>Pastels at Paso</t>
  </si>
  <si>
    <t>Eduardo Hidalgo</t>
  </si>
  <si>
    <t>Brian McCarthy</t>
  </si>
  <si>
    <t>Elizabeth McPhee</t>
  </si>
  <si>
    <t>Rebecca Ostrom</t>
  </si>
  <si>
    <t>Kaitlyn Leach</t>
  </si>
  <si>
    <t>Open Skies</t>
  </si>
  <si>
    <t>Amy Obrien</t>
  </si>
  <si>
    <t>EHG-Oregon Monthly Raffle</t>
  </si>
  <si>
    <t>Margot Gerritsen</t>
  </si>
  <si>
    <t>Janie Mork</t>
  </si>
  <si>
    <t>Monean Banker</t>
  </si>
  <si>
    <t>Forest Light</t>
  </si>
  <si>
    <t>Andrea Bohn</t>
  </si>
  <si>
    <t>Canyon View</t>
  </si>
  <si>
    <t>Saguaro Waters</t>
  </si>
  <si>
    <t>Anthony Cody</t>
  </si>
  <si>
    <t>Winter LIght</t>
  </si>
  <si>
    <t>Joanne Stoneman</t>
  </si>
  <si>
    <t>Debbie Brocket</t>
  </si>
  <si>
    <t>Alpine Blues</t>
  </si>
  <si>
    <t>Carmel Blues</t>
  </si>
  <si>
    <t>Katherine Narr</t>
  </si>
  <si>
    <t>Irises in Yellow</t>
  </si>
  <si>
    <t>Matt Wilson</t>
  </si>
  <si>
    <t>Holly Racich</t>
  </si>
  <si>
    <t>Dane Bradshaw</t>
  </si>
  <si>
    <t>Brian Labbe</t>
  </si>
  <si>
    <t>La Quinta Festival (EHG Oregon)</t>
  </si>
  <si>
    <t>Patsy Turner</t>
  </si>
  <si>
    <t>Amy Labbe</t>
  </si>
  <si>
    <t>Susanne Birman</t>
  </si>
  <si>
    <t>Oregon Gallery</t>
  </si>
  <si>
    <t>Northwest Lupin</t>
  </si>
  <si>
    <t>Cathleen Pellegrino</t>
  </si>
  <si>
    <t>River Running</t>
  </si>
  <si>
    <t>EHG Arizona NOP at Aridus Winery</t>
  </si>
  <si>
    <t>Desert Road</t>
  </si>
  <si>
    <t>Shari Gong</t>
  </si>
  <si>
    <t>Micah Macfarlane</t>
  </si>
  <si>
    <t>Napa Eucalyptus</t>
  </si>
  <si>
    <t>EHG - Carmel for Monthly Raffle</t>
  </si>
  <si>
    <t>Coastal Poppies IV</t>
  </si>
  <si>
    <t>Brandon Lidgard</t>
  </si>
  <si>
    <t>Pacific Sunset</t>
  </si>
  <si>
    <t>Cassie Kennedy</t>
  </si>
  <si>
    <t>Monterey Clouds</t>
  </si>
  <si>
    <t>David Cano</t>
  </si>
  <si>
    <t>Reflections in the Wash</t>
  </si>
  <si>
    <t>Debra Joly</t>
  </si>
  <si>
    <t>Lilies Reflection</t>
  </si>
  <si>
    <t>Gabriele Rewis</t>
  </si>
  <si>
    <t>Amby Labbe</t>
  </si>
  <si>
    <t>Adelyn Reed</t>
  </si>
  <si>
    <t>Wisdom Tree</t>
  </si>
  <si>
    <t>Nancy LaBarge</t>
  </si>
  <si>
    <t>Kris Penner</t>
  </si>
  <si>
    <t>Beth Mills</t>
  </si>
  <si>
    <t>Kim Golubic</t>
  </si>
  <si>
    <t>Vineyard Hues</t>
  </si>
  <si>
    <t>EHG - MAC FOR PASO WINERY</t>
  </si>
  <si>
    <t>Cecilia Menjivar</t>
  </si>
  <si>
    <t>Megan Von Gerichten</t>
  </si>
  <si>
    <t>Lyn Mills</t>
  </si>
  <si>
    <t>Trisha Spice</t>
  </si>
  <si>
    <t>Canyon Blooms</t>
  </si>
  <si>
    <t>Kim &amp; Brett Foerster</t>
  </si>
  <si>
    <t>Karri King</t>
  </si>
  <si>
    <t>Paul Lewis</t>
  </si>
  <si>
    <t>Adriana Labos</t>
  </si>
  <si>
    <t>Dappled Light</t>
  </si>
  <si>
    <t>Michelle McDuffie &amp; Henry Mendoza</t>
  </si>
  <si>
    <t>Sunset View</t>
  </si>
  <si>
    <t>Sara Bancroft</t>
  </si>
  <si>
    <t>Through the Blue</t>
  </si>
  <si>
    <t>RB Smith</t>
  </si>
  <si>
    <t>Joanne Zeterberg</t>
  </si>
  <si>
    <t>Linda Helbock</t>
  </si>
  <si>
    <t>Marda Hutchinson</t>
  </si>
  <si>
    <t>Kathy Waverly</t>
  </si>
  <si>
    <t>Mark Vissat</t>
  </si>
  <si>
    <t>Kevin Eales Monroe</t>
  </si>
  <si>
    <t>Phyllis Carpenter</t>
  </si>
  <si>
    <t>Thomas Maoriarty</t>
  </si>
  <si>
    <t>Tahoe Blues</t>
  </si>
  <si>
    <t>Desert Rainbow</t>
  </si>
  <si>
    <t>Pam McMenamin</t>
  </si>
  <si>
    <t>Anna Miceli</t>
  </si>
  <si>
    <t>customer</t>
  </si>
  <si>
    <t>REPRINT</t>
  </si>
  <si>
    <t>Lauren Flanders</t>
  </si>
  <si>
    <t>Renee Scott</t>
  </si>
  <si>
    <t>Ann Blach</t>
  </si>
  <si>
    <t>Bimpe Adesina</t>
  </si>
  <si>
    <t>Sheridan Vista</t>
  </si>
  <si>
    <t>Chirs James Cellars</t>
  </si>
  <si>
    <t>Nancy LeBarge</t>
  </si>
  <si>
    <t>Lynda Mikaelian</t>
  </si>
  <si>
    <t>Jilll Morse</t>
  </si>
  <si>
    <t>Oaks and Grass</t>
  </si>
  <si>
    <t xml:space="preserve">Lauren Warner </t>
  </si>
  <si>
    <t>Sarah Majer</t>
  </si>
  <si>
    <t>Scott Ceighton</t>
  </si>
  <si>
    <t>Sandra Ersley</t>
  </si>
  <si>
    <t>Julie Lorenz</t>
  </si>
  <si>
    <t>Mountain Glow</t>
  </si>
  <si>
    <t>Bill Herr</t>
  </si>
  <si>
    <t>Ankur Jetley</t>
  </si>
  <si>
    <t>Andrea Kagay</t>
  </si>
  <si>
    <t>Linda Warner</t>
  </si>
  <si>
    <t>Sandra Helmick</t>
  </si>
  <si>
    <t>Flower Light</t>
  </si>
  <si>
    <t>Desert in Bloom</t>
  </si>
  <si>
    <t>Nicole Donins</t>
  </si>
  <si>
    <t>Mari Collins</t>
  </si>
  <si>
    <t>Pam Nickell</t>
  </si>
  <si>
    <t>Sheridan Vista (SIDES)</t>
  </si>
  <si>
    <t>Suzanne Pizzitola</t>
  </si>
  <si>
    <t>Jill Nesting</t>
  </si>
  <si>
    <t>Courtney Lach</t>
  </si>
  <si>
    <t>Ryan Hanson</t>
  </si>
  <si>
    <t>Judith Wilson</t>
  </si>
  <si>
    <t>Joanne Carle-Accordero</t>
  </si>
  <si>
    <t>Melinda VanGasse</t>
  </si>
  <si>
    <t>Steven Meyers</t>
  </si>
  <si>
    <t>Erik Mindermann</t>
  </si>
  <si>
    <t>Eric Davis</t>
  </si>
  <si>
    <t>Cecilia Yi</t>
  </si>
  <si>
    <t>Borrego Shadows</t>
  </si>
  <si>
    <t>Isabelle Doroski</t>
  </si>
  <si>
    <t>David Dudzic</t>
  </si>
  <si>
    <t>Ocotillo Sky</t>
  </si>
  <si>
    <t>Amethyst Light</t>
  </si>
  <si>
    <t>Sarah Kearney</t>
  </si>
  <si>
    <t>Saguaro Glow</t>
  </si>
  <si>
    <t>Hsing Yu Hsiao</t>
  </si>
  <si>
    <t>Ojai Poppies</t>
  </si>
  <si>
    <t>Matt Becker</t>
  </si>
  <si>
    <t>Kasey Clark</t>
  </si>
  <si>
    <t>Jayne Heckman</t>
  </si>
  <si>
    <t>Lynn Cox</t>
  </si>
  <si>
    <t>Bryan Fuller</t>
  </si>
  <si>
    <t>James Kerr</t>
  </si>
  <si>
    <t>Jodi Barnett</t>
  </si>
  <si>
    <t>Dawning Vista</t>
  </si>
  <si>
    <t>Darren Smith</t>
  </si>
  <si>
    <t>EHG</t>
  </si>
  <si>
    <t>B.J. Golik</t>
  </si>
  <si>
    <t>Camilla Schaeffer</t>
  </si>
  <si>
    <t>Kyle Lewis</t>
  </si>
  <si>
    <t>Meggen Arthur Wilson</t>
  </si>
  <si>
    <t>Alexis Hill</t>
  </si>
  <si>
    <t>Gary Rossman</t>
  </si>
  <si>
    <t>Paige Lawrence</t>
  </si>
  <si>
    <t>Darren Woods</t>
  </si>
  <si>
    <t>Hallee Pesch</t>
  </si>
  <si>
    <t>Christine McElderry</t>
  </si>
  <si>
    <t>Catherine Rice</t>
  </si>
  <si>
    <t>Susan Fletcher</t>
  </si>
  <si>
    <t>Bruce and Pamela Helmer</t>
  </si>
  <si>
    <t>River Blue</t>
  </si>
  <si>
    <t>Benjamin Miller</t>
  </si>
  <si>
    <t>Marcia Hutchinson</t>
  </si>
  <si>
    <t>Sunflower Color</t>
  </si>
  <si>
    <t>Rebekah Hickey</t>
  </si>
  <si>
    <t>Raymond Gehring</t>
  </si>
  <si>
    <t>Sanja Conlow</t>
  </si>
  <si>
    <t>Joanne Rich</t>
  </si>
  <si>
    <t>Emerald Light</t>
  </si>
  <si>
    <t>Noe LaFramboise</t>
  </si>
  <si>
    <t>Marcy Gabrilowitz</t>
  </si>
  <si>
    <t>Jack Lebowitz</t>
  </si>
  <si>
    <t>Kim Butchereit</t>
  </si>
  <si>
    <t>Frank Balboa</t>
  </si>
  <si>
    <t>Bob Merriman</t>
  </si>
  <si>
    <t>Noel Weatherbee</t>
  </si>
  <si>
    <t>Carol Conolly</t>
  </si>
  <si>
    <t>Winter Powell</t>
  </si>
  <si>
    <t>Vineyard Color</t>
  </si>
  <si>
    <t>Holly Forman-Patel</t>
  </si>
  <si>
    <t>Cathy Cunningham</t>
  </si>
  <si>
    <t>Kayenta Sands</t>
  </si>
  <si>
    <t>Stephen Oakey</t>
  </si>
  <si>
    <t>Matthew Easton</t>
  </si>
  <si>
    <t>Michael Steines</t>
  </si>
  <si>
    <t>Timothy Duerr</t>
  </si>
  <si>
    <t>Lynn Carew</t>
  </si>
  <si>
    <t>Aspen Gold</t>
  </si>
  <si>
    <t>Eric Von Geldern</t>
  </si>
  <si>
    <t>Taylor Buel</t>
  </si>
  <si>
    <t>Judy Dombrowsky</t>
  </si>
  <si>
    <t>Donna Jacobsen</t>
  </si>
  <si>
    <t>Emily Burton</t>
  </si>
  <si>
    <t>Last Light at Joshua</t>
  </si>
  <si>
    <t>Barbara Short</t>
  </si>
  <si>
    <t>Alison Tovey</t>
  </si>
  <si>
    <t>Northern Firs</t>
  </si>
  <si>
    <t>Robert Schulte</t>
  </si>
  <si>
    <t>Palms in January</t>
  </si>
  <si>
    <t>Diana ODell</t>
  </si>
  <si>
    <t>William Miller</t>
  </si>
  <si>
    <t>Setting Rays</t>
  </si>
  <si>
    <t>John Grant</t>
  </si>
  <si>
    <t>Brenda Parsons</t>
  </si>
  <si>
    <t>Daniel Green</t>
  </si>
  <si>
    <t>Katherine Clark</t>
  </si>
  <si>
    <t>Torrey Pine</t>
  </si>
  <si>
    <t>Dylan Bernard</t>
  </si>
  <si>
    <t>Lois Shelton</t>
  </si>
  <si>
    <t>Turquoise Waters</t>
  </si>
  <si>
    <t>Nathan Menaker</t>
  </si>
  <si>
    <t>Steve Thompson</t>
  </si>
  <si>
    <t>Christine Cadd</t>
  </si>
  <si>
    <t>Amy Newkirk</t>
  </si>
  <si>
    <t>Jon Sturgill</t>
  </si>
  <si>
    <t>Judith Mansfield</t>
  </si>
  <si>
    <t>Viridian filigree</t>
  </si>
  <si>
    <t>Sylivia Scott</t>
  </si>
  <si>
    <t>Mike Dahlin</t>
  </si>
  <si>
    <t>Laura Pizzitola</t>
  </si>
  <si>
    <t>James Gigantino</t>
  </si>
  <si>
    <t>Montana Summer</t>
  </si>
  <si>
    <t>David Morrow</t>
  </si>
  <si>
    <t>Tayryn Moy</t>
  </si>
  <si>
    <t>Scott Dietz</t>
  </si>
  <si>
    <t>Valerie Linane</t>
  </si>
  <si>
    <t>Ann Beekman</t>
  </si>
  <si>
    <t>Light in Spring</t>
  </si>
  <si>
    <t>Jeremy Hunt</t>
  </si>
  <si>
    <t>Marla Flitman</t>
  </si>
  <si>
    <t>Katherine Wilson</t>
  </si>
  <si>
    <t>Alexander Conway</t>
  </si>
  <si>
    <t>Maple River</t>
  </si>
  <si>
    <t>William Shelt</t>
  </si>
  <si>
    <t>Roxanne Robinson</t>
  </si>
  <si>
    <t>Michael Miller</t>
  </si>
  <si>
    <t>Marialice Mulroney</t>
  </si>
  <si>
    <t>Marilyn Burns</t>
  </si>
  <si>
    <t>Nick Romano</t>
  </si>
  <si>
    <t>Michael Pendergast</t>
  </si>
  <si>
    <t>Brian &amp; Stephanie Thorndyke</t>
  </si>
  <si>
    <t>Under the Oak</t>
  </si>
  <si>
    <t>Jeff Anderson</t>
  </si>
  <si>
    <t>Shaded Breeze</t>
  </si>
  <si>
    <t>Colleen Kohlsaat</t>
  </si>
  <si>
    <t>White Mountains Autumn</t>
  </si>
  <si>
    <t>Kenneth Mikos</t>
  </si>
  <si>
    <t>Cecilia Arana Yi</t>
  </si>
  <si>
    <t>Julia Reese</t>
  </si>
  <si>
    <t>Michelle Murphey</t>
  </si>
  <si>
    <t>Lynn Ausen</t>
  </si>
  <si>
    <t>Tim Drinnon</t>
  </si>
  <si>
    <t>Andrea Kocer</t>
  </si>
  <si>
    <t>Autumn Lights</t>
  </si>
  <si>
    <t>Carolyn Occhipinti</t>
  </si>
  <si>
    <t>Alice Betz</t>
  </si>
  <si>
    <t>Mary Jo Anderson</t>
  </si>
  <si>
    <t>Sean and Susie Petteway</t>
  </si>
  <si>
    <t>John Torrente</t>
  </si>
  <si>
    <t>Andrea  Kocer</t>
  </si>
  <si>
    <t>Esther Murray</t>
  </si>
  <si>
    <t>Cat Muncey</t>
  </si>
  <si>
    <t>Poorna Kumar</t>
  </si>
  <si>
    <t>Pamela Helmer</t>
  </si>
  <si>
    <t>Robert King</t>
  </si>
  <si>
    <t>Nancy Ford</t>
  </si>
  <si>
    <t>Ron Hoechestetter</t>
  </si>
  <si>
    <t>Amy Barth</t>
  </si>
  <si>
    <t>Bonnie Smith</t>
  </si>
  <si>
    <t>Peter Caldwell</t>
  </si>
  <si>
    <t>Brett Campbell</t>
  </si>
  <si>
    <t>Lily Pond</t>
  </si>
  <si>
    <t>Dawn Fetty</t>
  </si>
  <si>
    <t>Tahoe Colors</t>
  </si>
  <si>
    <t>Shawn Morrison</t>
  </si>
  <si>
    <t>Bernadette  Sweatt</t>
  </si>
  <si>
    <t>Desert Reflections</t>
  </si>
  <si>
    <t>Adam Andrews</t>
  </si>
  <si>
    <t>Mosaic Sky</t>
  </si>
  <si>
    <t>Joseph Roberts</t>
  </si>
  <si>
    <t>Maile Kaiser</t>
  </si>
  <si>
    <t>Jared Bouchier</t>
  </si>
  <si>
    <t>Barry Wirt</t>
  </si>
  <si>
    <t>Bernie Comer</t>
  </si>
  <si>
    <t>Dave Sudbay</t>
  </si>
  <si>
    <t>john grant</t>
  </si>
  <si>
    <t>Karen Bisesi</t>
  </si>
  <si>
    <t>Saguaro Hues</t>
  </si>
  <si>
    <t xml:space="preserve">V M </t>
  </si>
  <si>
    <t>Kaitlyn OShaughnessy</t>
  </si>
  <si>
    <t>Christy Warby</t>
  </si>
  <si>
    <t>Michael Smith</t>
  </si>
  <si>
    <t>Color Bank</t>
  </si>
  <si>
    <t>Jonathan Williams</t>
  </si>
  <si>
    <t>Astrid Braeuer</t>
  </si>
  <si>
    <t>Barbara Verdoljak</t>
  </si>
  <si>
    <t>Filigree Color</t>
  </si>
  <si>
    <t>Whitney and Nolan Sayre</t>
  </si>
  <si>
    <t>Autumn Hills</t>
  </si>
  <si>
    <t>Allison Bickford</t>
  </si>
  <si>
    <t>Julie Lutovsky</t>
  </si>
  <si>
    <t>April Holcombe</t>
  </si>
  <si>
    <t>Jenny Crawford</t>
  </si>
  <si>
    <t>Maureen Julian</t>
  </si>
  <si>
    <t>Jessica Hunsperger</t>
  </si>
  <si>
    <t>Tristan White</t>
  </si>
  <si>
    <t>Haystack in Fog</t>
  </si>
  <si>
    <t>Lavender Fields</t>
  </si>
  <si>
    <t>Sandra Gregor</t>
  </si>
  <si>
    <t>Tejas Dani</t>
  </si>
  <si>
    <t>Kyle Kohlmann</t>
  </si>
  <si>
    <t>Ashley Lamb</t>
  </si>
  <si>
    <t>Karen Bertinetti</t>
  </si>
  <si>
    <t>Quay Smith</t>
  </si>
  <si>
    <t>Jessel Miller</t>
  </si>
  <si>
    <t>Chris DiOrio</t>
  </si>
  <si>
    <t>Andrea Hecht</t>
  </si>
  <si>
    <t>Steve Pickering</t>
  </si>
  <si>
    <t>Drew Nelson</t>
  </si>
  <si>
    <t>Blacks Beach</t>
  </si>
  <si>
    <t>Sue Stemen</t>
  </si>
  <si>
    <t>Robbie Phillips</t>
  </si>
  <si>
    <t>Floral Hues</t>
  </si>
  <si>
    <t>Nancy Elder</t>
  </si>
  <si>
    <t>Nancy Borino</t>
  </si>
  <si>
    <t>Meggen Wilson</t>
  </si>
  <si>
    <t>EHG - MAC</t>
  </si>
  <si>
    <t>Vineyard Pines</t>
  </si>
  <si>
    <t>Sunflower Vines</t>
  </si>
  <si>
    <t>La Quinta Art Festival</t>
  </si>
  <si>
    <t>Sasha Latonis</t>
  </si>
  <si>
    <t>Oasis Sky</t>
  </si>
  <si>
    <t>Running Reflections</t>
  </si>
  <si>
    <t>Natalie Papier</t>
  </si>
  <si>
    <t>EHG - MAC Donation</t>
  </si>
  <si>
    <t>Ashley Wrobel</t>
  </si>
  <si>
    <t>Jill Williams</t>
  </si>
  <si>
    <t>Saguaro Boulders</t>
  </si>
  <si>
    <t>G Peter Macon</t>
  </si>
  <si>
    <t>Red Buttes</t>
  </si>
  <si>
    <t>Kathleen Sheehy</t>
  </si>
  <si>
    <t>Summer Bailey</t>
  </si>
  <si>
    <t>Yueman Pan</t>
  </si>
  <si>
    <t>Angela Woodward</t>
  </si>
  <si>
    <t>Vineyard View</t>
  </si>
  <si>
    <t>Kathryn Holden</t>
  </si>
  <si>
    <t>Emily Carlson</t>
  </si>
  <si>
    <t>Cypress Cliff</t>
  </si>
  <si>
    <t>Martine Devaux</t>
  </si>
  <si>
    <t>Laura Gutierrez</t>
  </si>
  <si>
    <t>Debra O'Connor</t>
  </si>
  <si>
    <t>Marialic Mulroney</t>
  </si>
  <si>
    <t>Cyrstal Light</t>
  </si>
  <si>
    <t>Sandy Griffis</t>
  </si>
  <si>
    <t>Diego Eucalpytus</t>
  </si>
  <si>
    <t>Sunflowers in Orange</t>
  </si>
  <si>
    <t>Wanda Mccolgan</t>
  </si>
  <si>
    <t>Kathleen OHare</t>
  </si>
  <si>
    <t>Shannon Hunt</t>
  </si>
  <si>
    <t>Grant Jenks</t>
  </si>
  <si>
    <t>Evergreen Coast</t>
  </si>
  <si>
    <t>Radiant Sunset</t>
  </si>
  <si>
    <t>Jay Carlson</t>
  </si>
  <si>
    <t>Bixby Bridge Vista</t>
  </si>
  <si>
    <t>Martha Bader</t>
  </si>
  <si>
    <t>Blooms on Blue</t>
  </si>
  <si>
    <t>Randi Entwistle</t>
  </si>
  <si>
    <t>Blue Ridge Pines</t>
  </si>
  <si>
    <t>Teyrrie Garcia</t>
  </si>
  <si>
    <t>Catalina Lights</t>
  </si>
  <si>
    <t>Sabrina Barry</t>
  </si>
  <si>
    <t>Colors of Brenham</t>
  </si>
  <si>
    <t>Sandra Lindell</t>
  </si>
  <si>
    <t>Kathy Clark</t>
  </si>
  <si>
    <t>Alicia Zika</t>
  </si>
  <si>
    <t>Gina Dixon</t>
  </si>
  <si>
    <t>Daniel Murray</t>
  </si>
  <si>
    <t>Joanna Charboneau</t>
  </si>
  <si>
    <t>Randy &amp; Jim Weiss</t>
  </si>
  <si>
    <t>Andrea Bockhahn</t>
  </si>
  <si>
    <t>Lynn Hatchett</t>
  </si>
  <si>
    <t>Helena Deary</t>
  </si>
  <si>
    <t>White Mountains Brook</t>
  </si>
  <si>
    <t>Dave Harvey</t>
  </si>
  <si>
    <t>Yasemin Golan</t>
  </si>
  <si>
    <t>Cecilia YI</t>
  </si>
  <si>
    <t>John Dugan</t>
  </si>
  <si>
    <t>Jane Doud</t>
  </si>
  <si>
    <t>Garrapata Beach</t>
  </si>
  <si>
    <t>Ian Buckner</t>
  </si>
  <si>
    <t>Mike Coward</t>
  </si>
  <si>
    <t>Matt Hale</t>
  </si>
  <si>
    <t>Grand Canyon Light</t>
  </si>
  <si>
    <t>Zion Light</t>
  </si>
  <si>
    <t>Ceclia Yi</t>
  </si>
  <si>
    <t>Roger Berry</t>
  </si>
  <si>
    <t>Mike Gaskins</t>
  </si>
  <si>
    <t>Last Color</t>
  </si>
  <si>
    <t>California Trail</t>
  </si>
  <si>
    <t>Lisa Bishop</t>
  </si>
  <si>
    <t>Cascades at Dusk</t>
  </si>
  <si>
    <t>Ira Fischler</t>
  </si>
  <si>
    <t>Sierra Snows</t>
  </si>
  <si>
    <t>Stacy Cole</t>
  </si>
  <si>
    <t>Monterrey Clouds</t>
  </si>
  <si>
    <t>Lynn Yu</t>
  </si>
  <si>
    <t>Jocelyn Schultz</t>
  </si>
  <si>
    <t>Eileen Harvey-Qualset</t>
  </si>
  <si>
    <t>Sue Foglietta</t>
  </si>
  <si>
    <t>Randy Romine</t>
  </si>
  <si>
    <t>Sharon Ward</t>
  </si>
  <si>
    <t>Mark Maulhardt</t>
  </si>
  <si>
    <t>Kimberly Sciaroni</t>
  </si>
  <si>
    <t>Amanada Winnicky</t>
  </si>
  <si>
    <t>Samantha Handler</t>
  </si>
  <si>
    <t>WIlliam Wood</t>
  </si>
  <si>
    <t>Nichole Bauer</t>
  </si>
  <si>
    <t>Kim Keck</t>
  </si>
  <si>
    <t>Laura Pederson</t>
  </si>
  <si>
    <t>Michelle Dahlmeier</t>
  </si>
  <si>
    <t>Reflected Autumn</t>
  </si>
  <si>
    <t>Patricia Hogan</t>
  </si>
  <si>
    <t>Fjords of Norway</t>
  </si>
  <si>
    <t>Tricia Diller</t>
  </si>
  <si>
    <t>Daniel Fellerman</t>
  </si>
  <si>
    <t>Gary Bezer</t>
  </si>
  <si>
    <t>Olga Sulc</t>
  </si>
  <si>
    <t>Kathryn Cooper</t>
  </si>
  <si>
    <t>Alan Cuellar Amrod</t>
  </si>
  <si>
    <t>Mary Chiarella</t>
  </si>
  <si>
    <t>jessica Wallaert</t>
  </si>
  <si>
    <t>Christopher Brown</t>
  </si>
  <si>
    <t>Crystal Grove</t>
  </si>
  <si>
    <t>Deborah Perini</t>
  </si>
  <si>
    <t>Ursula Tibuczy</t>
  </si>
  <si>
    <t>Lisa Robison</t>
  </si>
  <si>
    <t>Shadown Bloom</t>
  </si>
  <si>
    <t>Joan OReilly</t>
  </si>
  <si>
    <t>Kurth Warmbrod</t>
  </si>
  <si>
    <t>Patty Britt</t>
  </si>
  <si>
    <t>Donna Cox</t>
  </si>
  <si>
    <t>Zoran Maric</t>
  </si>
  <si>
    <t>Marlena Campbell</t>
  </si>
  <si>
    <t>Jill Crowe</t>
  </si>
  <si>
    <t>James Brown</t>
  </si>
  <si>
    <t>Nancy Harvey</t>
  </si>
  <si>
    <t>Rachel Holmes</t>
  </si>
  <si>
    <t>Paul Peck</t>
  </si>
  <si>
    <t>Kara Leever</t>
  </si>
  <si>
    <t>Robin Nenninger</t>
  </si>
  <si>
    <t>Karen Gordon</t>
  </si>
  <si>
    <t>Borrego Colors</t>
  </si>
  <si>
    <t>Stacy Elder</t>
  </si>
  <si>
    <t>Dawning Desert</t>
  </si>
  <si>
    <t>Patterns of Lilies</t>
  </si>
  <si>
    <t>Lucy Luan</t>
  </si>
  <si>
    <t>Terry Seehart</t>
  </si>
  <si>
    <t>Jennifer Hatfield</t>
  </si>
  <si>
    <t>Suzanne Marie Allen</t>
  </si>
  <si>
    <t>Lily Blues</t>
  </si>
  <si>
    <t>Taylor Burkholder</t>
  </si>
  <si>
    <t>Opolo Color</t>
  </si>
  <si>
    <t>Mike Hansberger</t>
  </si>
  <si>
    <t>Fritz Boehm</t>
  </si>
  <si>
    <t>Rolling Waters</t>
  </si>
  <si>
    <t>James Dennis Mabry</t>
  </si>
  <si>
    <t>Kenneth Kube</t>
  </si>
  <si>
    <t>Julie Matthews</t>
  </si>
  <si>
    <t>Cheryl Falk</t>
  </si>
  <si>
    <t>Mitch Sivertson</t>
  </si>
  <si>
    <t>David Brainard</t>
  </si>
  <si>
    <t>Sonia Costello</t>
  </si>
  <si>
    <t>Coastal Sunflowers</t>
  </si>
  <si>
    <t>Lindsay Dyer</t>
  </si>
  <si>
    <t>Michael Vongerichten</t>
  </si>
  <si>
    <t>Cheyanne Treadway</t>
  </si>
  <si>
    <t>Devon Pipars</t>
  </si>
  <si>
    <t>Kelly Moe</t>
  </si>
  <si>
    <t>Dawn Lights</t>
  </si>
  <si>
    <t>Susan Wollerman Post</t>
  </si>
  <si>
    <t>Turquoise Light</t>
  </si>
  <si>
    <t>Fiona Blunsdon</t>
  </si>
  <si>
    <t>November LIght</t>
  </si>
  <si>
    <t>Lisa Simonsen</t>
  </si>
  <si>
    <t>Richard Crooks</t>
  </si>
  <si>
    <t>David Pilcher</t>
  </si>
  <si>
    <t>Ocotillo Path</t>
  </si>
  <si>
    <t>Marco Badilla Maroto</t>
  </si>
  <si>
    <t>New England Color</t>
  </si>
  <si>
    <t>Trician Lanigan</t>
  </si>
  <si>
    <t>Org Board</t>
  </si>
  <si>
    <t>Mindy Gianoulakis</t>
  </si>
  <si>
    <t>Tim Johnson</t>
  </si>
  <si>
    <t>Kerry Kaminski</t>
  </si>
  <si>
    <t>shelleyann Lemings</t>
  </si>
  <si>
    <t>Julie Neustadt</t>
  </si>
  <si>
    <t>Anika M Ferguson</t>
  </si>
  <si>
    <t>Sean McAloon</t>
  </si>
  <si>
    <t>Sara Goldman</t>
  </si>
  <si>
    <t>Kellly Collins</t>
  </si>
  <si>
    <t>Erica Chu</t>
  </si>
  <si>
    <t>Michael Mush</t>
  </si>
  <si>
    <t>Marcia Williams</t>
  </si>
  <si>
    <t>Sarah Lampert</t>
  </si>
  <si>
    <t>Kevin Sparks</t>
  </si>
  <si>
    <t>Autumn Spring</t>
  </si>
  <si>
    <t>Neil Coleman</t>
  </si>
  <si>
    <t>Jack Mazzeo</t>
  </si>
  <si>
    <t>Willow Spring</t>
  </si>
  <si>
    <t>Shelley Wiesner</t>
  </si>
  <si>
    <t>Joe Veneto</t>
  </si>
  <si>
    <t>Louis Worth</t>
  </si>
  <si>
    <t>Ella Traylor</t>
  </si>
  <si>
    <t>Stuart Chernis</t>
  </si>
  <si>
    <t>Lori Moore</t>
  </si>
  <si>
    <t>Eucalyptus Clouds</t>
  </si>
  <si>
    <t>Laura Morales</t>
  </si>
  <si>
    <t>Matthew Hale</t>
  </si>
  <si>
    <t>Matt Valkovic</t>
  </si>
  <si>
    <t>Simone Redman</t>
  </si>
  <si>
    <t>Fredricka Malzacher-Trenkle</t>
  </si>
  <si>
    <t>Richard Duncan</t>
  </si>
  <si>
    <t>David Lartaud</t>
  </si>
  <si>
    <t>Caitlin Massa</t>
  </si>
  <si>
    <t>Stephen Overs</t>
  </si>
  <si>
    <t>Sedona Buttes</t>
  </si>
  <si>
    <t>Michelle Provencher</t>
  </si>
  <si>
    <t>Charlton Watkins</t>
  </si>
  <si>
    <t>Dawning Pine</t>
  </si>
  <si>
    <t>Teresa and Richard Duncan</t>
  </si>
  <si>
    <t>Matthew Gorman</t>
  </si>
  <si>
    <t>Gilded Path</t>
  </si>
  <si>
    <t>EHG - MAC Stephanie Shelton</t>
  </si>
  <si>
    <t>Topaz Glow</t>
  </si>
  <si>
    <t>Casey Saucier</t>
  </si>
  <si>
    <t>Susan Anagnos</t>
  </si>
  <si>
    <t>Amy Smith</t>
  </si>
  <si>
    <t>Tim Hopkins</t>
  </si>
  <si>
    <t>Pat Jackson</t>
  </si>
  <si>
    <t>Heather Welch</t>
  </si>
  <si>
    <t>Vista at Bryce</t>
  </si>
  <si>
    <t>Yali Peng</t>
  </si>
  <si>
    <t>Amy Langford</t>
  </si>
  <si>
    <t>Kelly Pearl</t>
  </si>
  <si>
    <t>Sherbet Light</t>
  </si>
  <si>
    <t>Ephraim Messing</t>
  </si>
  <si>
    <t>Cyrstal Path</t>
  </si>
  <si>
    <t>Gretchen Conn</t>
  </si>
  <si>
    <t>Hop Valley</t>
  </si>
  <si>
    <t>Robert Tutag</t>
  </si>
  <si>
    <t>Kim Hanson</t>
  </si>
  <si>
    <t>Samuel Feldman</t>
  </si>
  <si>
    <t>Kathy Moriarty</t>
  </si>
  <si>
    <t>Steve McMurry</t>
  </si>
  <si>
    <t>Joanne Blair</t>
  </si>
  <si>
    <t>Yellow irises</t>
  </si>
  <si>
    <t>Brad Fusco</t>
  </si>
  <si>
    <t>Gretchen Murphy</t>
  </si>
  <si>
    <t>Jon Levette</t>
  </si>
  <si>
    <t>Ashley Thurow</t>
  </si>
  <si>
    <t>North of Arches</t>
  </si>
  <si>
    <t>Gabrielle Moskey</t>
  </si>
  <si>
    <t>Summer Sunflowers</t>
  </si>
  <si>
    <t>Cheryl Kellogg</t>
  </si>
  <si>
    <t>Marianne Schadt</t>
  </si>
  <si>
    <t>Barbara Marshall</t>
  </si>
  <si>
    <t>Deb Lucas</t>
  </si>
  <si>
    <t>Debbie Croden</t>
  </si>
  <si>
    <t>Svetlana  Silverman</t>
  </si>
  <si>
    <t>Hills of Vines</t>
  </si>
  <si>
    <t>Mary Jane  Young</t>
  </si>
  <si>
    <t>Tyson  Kales</t>
  </si>
  <si>
    <t>Randy  Fowler</t>
  </si>
  <si>
    <t>Cynthia  Hervatic</t>
  </si>
  <si>
    <t>Jean Yu</t>
  </si>
  <si>
    <t>Roman Lysecky</t>
  </si>
  <si>
    <t>Kristi Waldron</t>
  </si>
  <si>
    <t>Pamela Smith</t>
  </si>
  <si>
    <t>William Wyman</t>
  </si>
  <si>
    <t>Brenda Furse</t>
  </si>
  <si>
    <t>Cynthia White</t>
  </si>
  <si>
    <t>Sherri Higgins</t>
  </si>
  <si>
    <t>Saguaro Desert</t>
  </si>
  <si>
    <t>Federico Salvitti</t>
  </si>
  <si>
    <t>Susan Bianchi</t>
  </si>
  <si>
    <t>Suguna Vepa</t>
  </si>
  <si>
    <t>Ngo Vo</t>
  </si>
  <si>
    <t>Erin Feasby</t>
  </si>
  <si>
    <t>Emerald Shade</t>
  </si>
  <si>
    <t>Marilyn Cleavinger</t>
  </si>
  <si>
    <t>Mark Halvorson</t>
  </si>
  <si>
    <t>Oregon Coast</t>
  </si>
  <si>
    <t>3D Print Sample - Maple Lights</t>
  </si>
  <si>
    <t>Kim Kilmer</t>
  </si>
  <si>
    <t>Jim Chisholm</t>
  </si>
  <si>
    <t>Jared Vucina</t>
  </si>
  <si>
    <t>Melody Benedict</t>
  </si>
  <si>
    <t>Svetlana Silverman</t>
  </si>
  <si>
    <t>Red Eucalyptus</t>
  </si>
  <si>
    <t>Kathleen Hayes-Cates</t>
  </si>
  <si>
    <t>Nancy Carlson</t>
  </si>
  <si>
    <t>Jack Kuchler</t>
  </si>
  <si>
    <t>Kimberly Middleton</t>
  </si>
  <si>
    <t>Haley Richards</t>
  </si>
  <si>
    <t>Citrus Hills</t>
  </si>
  <si>
    <t>Paul Sigafus</t>
  </si>
  <si>
    <t>Kendra Johnson</t>
  </si>
  <si>
    <t>Christopher Peoples</t>
  </si>
  <si>
    <t>Bone Creek Musuem Bio 1</t>
  </si>
  <si>
    <t>Bone Creek Musuem Bio 2</t>
  </si>
  <si>
    <t>Bone Creek Musuem Price Tag 1</t>
  </si>
  <si>
    <t>Bone Creek Musuem Price Tag 2</t>
  </si>
  <si>
    <t>Bone Creek Musuem Price Tag 3</t>
  </si>
  <si>
    <t>Bone Creek Musuem Price Tag 4</t>
  </si>
  <si>
    <t>Bone Creek Musuem Price Tag 5</t>
  </si>
  <si>
    <t>Bone Creek Musuem Price Tag 6</t>
  </si>
  <si>
    <t>Bone Creek Musuem Price Tag 7</t>
  </si>
  <si>
    <t>Bone Creek Musuem Price Tag 8</t>
  </si>
  <si>
    <t>Bone Creek Musuem Price Tag 9</t>
  </si>
  <si>
    <t>Bone Creek Musuem Price Tag 10</t>
  </si>
  <si>
    <t>Bone Creek Musuem Price Tag 11</t>
  </si>
  <si>
    <t>Bone Creek Musuem Price Tag 12</t>
  </si>
  <si>
    <t>Bone Creek Musuem Price Tag 13</t>
  </si>
  <si>
    <t>Bone Creek Musuem Price Tag 14</t>
  </si>
  <si>
    <t>Bone Creek Musuem Price Tag 15</t>
  </si>
  <si>
    <t>Madison Lucas/Delphian School</t>
  </si>
  <si>
    <t>Serafina Mural Print</t>
  </si>
  <si>
    <t>Kate Walters</t>
  </si>
  <si>
    <t>Clouds and Cypress</t>
  </si>
  <si>
    <t>Anna Sanders</t>
  </si>
  <si>
    <t>Clare Hurley</t>
  </si>
  <si>
    <t>Geraldine Hazel</t>
  </si>
  <si>
    <t>Wildflower Spring</t>
  </si>
  <si>
    <t>Lisa Dunlevie</t>
  </si>
  <si>
    <t>Galen Martin</t>
  </si>
  <si>
    <t>Judy Hall</t>
  </si>
  <si>
    <t>Robert Walton</t>
  </si>
  <si>
    <t>Harold Trimmer</t>
  </si>
  <si>
    <t>Cascade of Orange</t>
  </si>
  <si>
    <t>Chrystie Adams</t>
  </si>
  <si>
    <t>Winter Palms</t>
  </si>
  <si>
    <t>Stacy Holden</t>
  </si>
  <si>
    <t>Robert &amp; Kathleen Seay</t>
  </si>
  <si>
    <t>Melanie Triantos</t>
  </si>
  <si>
    <t>James Rice</t>
  </si>
  <si>
    <t>Lilies at Dawn</t>
  </si>
  <si>
    <t>Susan Sweeney</t>
  </si>
  <si>
    <t>Lighted Clouds</t>
  </si>
  <si>
    <t>Edward Littmann</t>
  </si>
  <si>
    <t>Michael Nelson</t>
  </si>
  <si>
    <t>Ancient Oaks</t>
  </si>
  <si>
    <t>Ethan Dolby</t>
  </si>
  <si>
    <t>Kathryn Oaks</t>
  </si>
  <si>
    <t>Lines of Mist</t>
  </si>
  <si>
    <t>Angela Tremelli</t>
  </si>
  <si>
    <t>Michael Hooer</t>
  </si>
  <si>
    <t>Bill Hamm</t>
  </si>
  <si>
    <t>Carri Hanson</t>
  </si>
  <si>
    <t>Cypress Sea</t>
  </si>
  <si>
    <t>Ursula Sherwood</t>
  </si>
  <si>
    <t>Pinot Vines</t>
  </si>
  <si>
    <t>Patricia Dooley</t>
  </si>
  <si>
    <t>Lone Cypress Spring</t>
  </si>
  <si>
    <t>Doreen Maxwell</t>
  </si>
  <si>
    <t>Carmel Spring</t>
  </si>
  <si>
    <t>Catherine Shively</t>
  </si>
  <si>
    <t>Blooming Petals</t>
  </si>
  <si>
    <t>Angie Dear</t>
  </si>
  <si>
    <t>Bethel Sherwood</t>
  </si>
  <si>
    <t>Dance of the Sagebrush</t>
  </si>
  <si>
    <t>Gerri Couper</t>
  </si>
  <si>
    <t>Jim Morrissey</t>
  </si>
  <si>
    <t>Laurie Darilek</t>
  </si>
  <si>
    <t>Blue Ridge Vista</t>
  </si>
  <si>
    <t>Laura Martin</t>
  </si>
  <si>
    <t>Cascade Peak</t>
  </si>
  <si>
    <t>Joseph Nguyen</t>
  </si>
  <si>
    <t>Jane Archer</t>
  </si>
  <si>
    <t>Pat LiBassi</t>
  </si>
  <si>
    <t>Jacqueline Murphy</t>
  </si>
  <si>
    <t>Marion Stern</t>
  </si>
  <si>
    <t>Kerry Matthews</t>
  </si>
  <si>
    <t>Barb Delf</t>
  </si>
  <si>
    <t>Jill Whelan</t>
  </si>
  <si>
    <t>Carles de Kergal</t>
  </si>
  <si>
    <t>Reflections of Summer</t>
  </si>
  <si>
    <t>Jessi Princiotto</t>
  </si>
  <si>
    <t>Kay Couch</t>
  </si>
  <si>
    <t>Lori Spivey</t>
  </si>
  <si>
    <t>3D Print Sample</t>
  </si>
  <si>
    <t>Georgia Yu</t>
  </si>
  <si>
    <t>Northwest Tulips</t>
  </si>
  <si>
    <t>Jackie Pitzler</t>
  </si>
  <si>
    <t>John Davis</t>
  </si>
  <si>
    <t>Erik Heumann</t>
  </si>
  <si>
    <t>Pam OQuinn</t>
  </si>
  <si>
    <t>Steven Shapiro</t>
  </si>
  <si>
    <t>Mary Jane Young</t>
  </si>
  <si>
    <t>Garden Blooms</t>
  </si>
  <si>
    <t>Rowena Burke</t>
  </si>
  <si>
    <t>Robyn Pomerantz</t>
  </si>
  <si>
    <t>Michael Harris</t>
  </si>
  <si>
    <t>Nancy Kirby</t>
  </si>
  <si>
    <t>Paulette Tatum</t>
  </si>
  <si>
    <t>Joel Schiffenbauer</t>
  </si>
  <si>
    <t>Palm Canyon</t>
  </si>
  <si>
    <t>Sarah Partridge</t>
  </si>
  <si>
    <t>Super Bloom</t>
  </si>
  <si>
    <t>Joel Schifenbauer</t>
  </si>
  <si>
    <t>Coastal in Purple</t>
  </si>
  <si>
    <t>Coreen Baker</t>
  </si>
  <si>
    <t>Pamela Ryan-Hick</t>
  </si>
  <si>
    <t>Irises Garden</t>
  </si>
  <si>
    <t>Autumn Dreams</t>
  </si>
  <si>
    <t>Sharon Mason</t>
  </si>
  <si>
    <t>Spring Vines</t>
  </si>
  <si>
    <t>Coastal in Yellow</t>
  </si>
  <si>
    <t>Amanda Mobley</t>
  </si>
  <si>
    <t>Vineyard Shadows</t>
  </si>
  <si>
    <t>Richard Straton</t>
  </si>
  <si>
    <t>Erica Hartl</t>
  </si>
  <si>
    <t>Kim Spicer</t>
  </si>
  <si>
    <t>Amanda &amp; Eric Coffey</t>
  </si>
  <si>
    <t>Laura Osborn</t>
  </si>
  <si>
    <t>Lauren Warner</t>
  </si>
  <si>
    <t>Mitchell Levin</t>
  </si>
  <si>
    <t>Lois Lewis</t>
  </si>
  <si>
    <t>Carole Cole</t>
  </si>
  <si>
    <t>Laurene Douglas</t>
  </si>
  <si>
    <t>Chausea Fawcett</t>
  </si>
  <si>
    <t>Thomas Moriarty</t>
  </si>
  <si>
    <t>Joy McCarthy</t>
  </si>
  <si>
    <t>Sonya Karsik</t>
  </si>
  <si>
    <t>RJ Gallery</t>
  </si>
  <si>
    <t>Nicholas Carlin</t>
  </si>
  <si>
    <t>Karen Potts</t>
  </si>
  <si>
    <t>Melissa Summers</t>
  </si>
  <si>
    <t>Carmel Lone PIne</t>
  </si>
  <si>
    <t>Brian Armstrong</t>
  </si>
  <si>
    <t>Jeanne Kekesi</t>
  </si>
  <si>
    <t>On the Vine</t>
  </si>
  <si>
    <t>Andrew Berman</t>
  </si>
  <si>
    <t>Adelaida Vines</t>
  </si>
  <si>
    <t>Kevin Courtois</t>
  </si>
  <si>
    <t>Lavender Blooms</t>
  </si>
  <si>
    <t>Cynthia Turnbull</t>
  </si>
  <si>
    <t>Three Sisters</t>
  </si>
  <si>
    <t>Betty Gernhardt</t>
  </si>
  <si>
    <t>Cadmium Flame</t>
  </si>
  <si>
    <t>Chris Dunham</t>
  </si>
  <si>
    <t>Corinna Parish</t>
  </si>
  <si>
    <t>Emily Waldman</t>
  </si>
  <si>
    <t>Sarita Springer</t>
  </si>
  <si>
    <t>Debora Threedy</t>
  </si>
  <si>
    <t>Karen Colangelo</t>
  </si>
  <si>
    <t>Jane Schroder</t>
  </si>
  <si>
    <t>Janet Kranz</t>
  </si>
  <si>
    <t>William Ambry</t>
  </si>
  <si>
    <t>Carole Cole-Wandzilak</t>
  </si>
  <si>
    <t>Phyllis van Holland</t>
  </si>
  <si>
    <t>Arizona Canyon</t>
  </si>
  <si>
    <t>Kristen Shea</t>
  </si>
  <si>
    <t>Sabrina Bunce</t>
  </si>
  <si>
    <t>Ruth Sims</t>
  </si>
  <si>
    <t>Blue Palms</t>
  </si>
  <si>
    <t>EHG Gallery</t>
  </si>
  <si>
    <t>Mike Mcquigg</t>
  </si>
  <si>
    <t>Tanya Harlow</t>
  </si>
  <si>
    <t>Nina LaPick</t>
  </si>
  <si>
    <t>Carrie Reigers</t>
  </si>
  <si>
    <t>Mendocino Diptych</t>
  </si>
  <si>
    <t>Chris Dyas</t>
  </si>
  <si>
    <t>Blooming Fields</t>
  </si>
  <si>
    <t>Rob Justus</t>
  </si>
  <si>
    <t>Summer Shadow</t>
  </si>
  <si>
    <t>Lynn Quirin</t>
  </si>
  <si>
    <t>Gary Polacek</t>
  </si>
  <si>
    <t>Ocotillo Sunset</t>
  </si>
  <si>
    <t>Kate Menezes</t>
  </si>
  <si>
    <t>Martin Paffrath</t>
  </si>
  <si>
    <t>Jonas Reingen</t>
  </si>
  <si>
    <t>La Quinta</t>
  </si>
  <si>
    <t>Coastal Highway</t>
  </si>
  <si>
    <t>Mountain Palms</t>
  </si>
  <si>
    <t>Bill Fitz-Patrick</t>
  </si>
  <si>
    <t>Sherrie Suski</t>
  </si>
  <si>
    <t>Bracken Richardson</t>
  </si>
  <si>
    <t>La Quinta Date Palms</t>
  </si>
  <si>
    <t>Anna-Marie Mendoza</t>
  </si>
  <si>
    <t>Debora Chateland</t>
  </si>
  <si>
    <t>Jeannine Beach</t>
  </si>
  <si>
    <t>Saguaro Sunset II</t>
  </si>
  <si>
    <t>Susan Sosin</t>
  </si>
  <si>
    <t>Sherri Bovino</t>
  </si>
  <si>
    <t>Dania Williams</t>
  </si>
  <si>
    <t>Vicki Bruner</t>
  </si>
  <si>
    <t>Clint Brown</t>
  </si>
  <si>
    <t>Cypress at Carmel</t>
  </si>
  <si>
    <t>Roberta Moore</t>
  </si>
  <si>
    <t>New England Waters</t>
  </si>
  <si>
    <t>Whale Rock Reservoir</t>
  </si>
  <si>
    <t>Mary E McLurg</t>
  </si>
  <si>
    <t>Clay Stanley</t>
  </si>
  <si>
    <t>Coastal in Blue</t>
  </si>
  <si>
    <t>Ted Gooding</t>
  </si>
  <si>
    <t>Mark Nelson</t>
  </si>
  <si>
    <t>Point Sur Vista</t>
  </si>
  <si>
    <t>Appalachian Oaks</t>
  </si>
  <si>
    <t>Cheryl Nangeroni &amp; Larry Snider</t>
  </si>
  <si>
    <t>Yanshu Deng</t>
  </si>
  <si>
    <t>Bill Heckman</t>
  </si>
  <si>
    <t>Mark Jameson</t>
  </si>
  <si>
    <t>Eva Nagypal</t>
  </si>
  <si>
    <t>Oregon October</t>
  </si>
  <si>
    <t>Nath McCullough</t>
  </si>
  <si>
    <t>Katherine Brown</t>
  </si>
  <si>
    <t>Carol Hubbard</t>
  </si>
  <si>
    <t>Kathy Sinz</t>
  </si>
  <si>
    <t>Jane Baxter</t>
  </si>
  <si>
    <t>Sherbet Canyon</t>
  </si>
  <si>
    <t>Acadia at Dawn</t>
  </si>
  <si>
    <t>Owen Ticli</t>
  </si>
  <si>
    <t>Max and Jenette Nardoni</t>
  </si>
  <si>
    <t>Linda and Gary Wallmark</t>
  </si>
  <si>
    <t>Julie Pittman</t>
  </si>
  <si>
    <t>Maple Dreams</t>
  </si>
  <si>
    <t>Kelley Linn</t>
  </si>
  <si>
    <t>Michelle Foggin</t>
  </si>
  <si>
    <t>Vance Taylor</t>
  </si>
  <si>
    <t>Scott Linton</t>
  </si>
  <si>
    <t>Joanna Caudle</t>
  </si>
  <si>
    <t>Kevin O'Dowd</t>
  </si>
  <si>
    <t>Kelly Breen</t>
  </si>
  <si>
    <t>October Vines</t>
  </si>
  <si>
    <t>Melissa Spence</t>
  </si>
  <si>
    <t>Sam Howard</t>
  </si>
  <si>
    <t>Brian Wallace</t>
  </si>
  <si>
    <t>Kathy Wright</t>
  </si>
  <si>
    <t>Ocotillo Triptych</t>
  </si>
  <si>
    <t>Yves Bertoni</t>
  </si>
  <si>
    <t>Matthew Avery</t>
  </si>
  <si>
    <t>Linda Carter</t>
  </si>
  <si>
    <t>Peggie Fox</t>
  </si>
  <si>
    <t>Stephen Pepitone</t>
  </si>
  <si>
    <t>Steven Saville</t>
  </si>
  <si>
    <t>Palm Impressions</t>
  </si>
  <si>
    <t>Florida Reflections</t>
  </si>
  <si>
    <t>Clint Olsen</t>
  </si>
  <si>
    <t>Palm Awakening</t>
  </si>
  <si>
    <t>Justin Pfaff</t>
  </si>
  <si>
    <t>Sara Monson</t>
  </si>
  <si>
    <t>Elisavinda Scheverri-Gent</t>
  </si>
  <si>
    <t>Jessica Lorusso</t>
  </si>
  <si>
    <t>Terri Werner</t>
  </si>
  <si>
    <t>Sunset in Reflection</t>
  </si>
  <si>
    <t>Wildflower Dance</t>
  </si>
  <si>
    <t>MaryLee Hadfield</t>
  </si>
  <si>
    <t>Garden Blooms II</t>
  </si>
  <si>
    <t>Rachelle Freegard</t>
  </si>
  <si>
    <t>Apple Blooms</t>
  </si>
  <si>
    <t>EH Gallery</t>
  </si>
  <si>
    <t>Diane Smith</t>
  </si>
  <si>
    <t>Michael Saaks</t>
  </si>
  <si>
    <t>Magenta Blooms</t>
  </si>
  <si>
    <t>Courtney Kansler</t>
  </si>
  <si>
    <t>Corinne Gronnel</t>
  </si>
  <si>
    <t>Melissa Solis</t>
  </si>
  <si>
    <t>Cultivated HIlls</t>
  </si>
  <si>
    <t>Diane Caldwell-Chesler</t>
  </si>
  <si>
    <t>Kyle Kohlman</t>
  </si>
  <si>
    <t>Jerilyn H Hobbs</t>
  </si>
  <si>
    <t>Adrian Perry</t>
  </si>
  <si>
    <t>Cathy Boorman</t>
  </si>
  <si>
    <t>Howard Nielson</t>
  </si>
  <si>
    <t>Sandra LaJeunesse</t>
  </si>
  <si>
    <t>Arches Color</t>
  </si>
  <si>
    <t>Shawne Angelle</t>
  </si>
  <si>
    <t>Willamette Vineyard</t>
  </si>
  <si>
    <t>Catherine Thurman</t>
  </si>
  <si>
    <t>Coastal Cypress</t>
  </si>
  <si>
    <t>Isa Adney</t>
  </si>
  <si>
    <t>Karen Bueler</t>
  </si>
  <si>
    <t>Wendi Eldridge</t>
  </si>
  <si>
    <t>Susan Fort</t>
  </si>
  <si>
    <t>Linda Pollock</t>
  </si>
  <si>
    <t>Terri Messing</t>
  </si>
  <si>
    <t>Lighted Redwoods</t>
  </si>
  <si>
    <t>Sally Euson</t>
  </si>
  <si>
    <t>Aspen Blues</t>
  </si>
  <si>
    <t xml:space="preserve">Diane Smith </t>
  </si>
  <si>
    <t>Southwest Impressions</t>
  </si>
  <si>
    <t>Rhonda Hansen</t>
  </si>
  <si>
    <t>Caroline Chermely</t>
  </si>
  <si>
    <t>Patricia Correll</t>
  </si>
  <si>
    <t>Ron &amp; Carolyn Ferguson</t>
  </si>
  <si>
    <t>Franz Uhl</t>
  </si>
  <si>
    <t>Charlene Yarnall</t>
  </si>
  <si>
    <t>Aneta Wierzynski</t>
  </si>
  <si>
    <t>Palm Mountains</t>
  </si>
  <si>
    <t>Paige Eaton</t>
  </si>
  <si>
    <t>Cascade River</t>
  </si>
  <si>
    <t>Dan O'Conner &amp; Georgia Yu</t>
  </si>
  <si>
    <t>Haystacks at Elk</t>
  </si>
  <si>
    <t>Blue Ridge Waters</t>
  </si>
  <si>
    <t>Painted Palms</t>
  </si>
  <si>
    <t>Sunflower Golds</t>
  </si>
  <si>
    <t>Borrego in Spring</t>
  </si>
  <si>
    <t>Borrego in Abstract</t>
  </si>
  <si>
    <t>Stoney Sunset</t>
  </si>
  <si>
    <t>Jennifer Griffin</t>
  </si>
  <si>
    <t>Oaks</t>
  </si>
  <si>
    <t xml:space="preserve">Dan O'Conner </t>
  </si>
  <si>
    <t>Fawn Fayton</t>
  </si>
  <si>
    <t>Patricia Bednar</t>
  </si>
  <si>
    <t>Kimberlee Glinka</t>
  </si>
  <si>
    <t>Tulip Fields</t>
  </si>
  <si>
    <t>Reflected Palms</t>
  </si>
  <si>
    <t>Palms Road</t>
  </si>
  <si>
    <t>Lisa Triplett</t>
  </si>
  <si>
    <t>Cheryl Hockaday</t>
  </si>
  <si>
    <t>Nothern Coastaline</t>
  </si>
  <si>
    <t>Amin Nosrat</t>
  </si>
  <si>
    <t>Crystal Hills</t>
  </si>
  <si>
    <t>David O'Grady</t>
  </si>
  <si>
    <t>Thistles and Blooms</t>
  </si>
  <si>
    <t>Larua Osborn</t>
  </si>
  <si>
    <t>Benjamin Chan</t>
  </si>
  <si>
    <t>Blue Ridge</t>
  </si>
  <si>
    <t>Meredith Pendergrass</t>
  </si>
  <si>
    <t>Heath and Kaleen Westbrook</t>
  </si>
  <si>
    <t>Mike Pope</t>
  </si>
  <si>
    <t>Glenn Boorman</t>
  </si>
  <si>
    <t>Kevin Berenzweig</t>
  </si>
  <si>
    <t>Linda Nedved</t>
  </si>
  <si>
    <t>James Jackson</t>
  </si>
  <si>
    <t>Impressions of Fall</t>
  </si>
  <si>
    <t>The Food and Wine Classic</t>
  </si>
  <si>
    <t>Julie Roberts</t>
  </si>
  <si>
    <t>Bill Daniels</t>
  </si>
  <si>
    <t>Marc Newman</t>
  </si>
  <si>
    <t>Rodney Michael</t>
  </si>
  <si>
    <t>Clare Downing</t>
  </si>
  <si>
    <t>Kyle Reed-Edwards</t>
  </si>
  <si>
    <t>Katherine Unrein</t>
  </si>
  <si>
    <t>Daniel Masters</t>
  </si>
  <si>
    <t>Stephanie Brown</t>
  </si>
  <si>
    <t>November Light</t>
  </si>
  <si>
    <t>Wyatt Fitzpatrick</t>
  </si>
  <si>
    <t>Nancy Lynn James</t>
  </si>
  <si>
    <t xml:space="preserve">Water Lilies in Bloom </t>
  </si>
  <si>
    <t>Southern Bluff</t>
  </si>
  <si>
    <t>Pam Moodie</t>
  </si>
  <si>
    <t>Darlene Combs</t>
  </si>
  <si>
    <t>Bills Daniels</t>
  </si>
  <si>
    <t>Ronald Levy</t>
  </si>
  <si>
    <t>Texas Festival</t>
  </si>
  <si>
    <t>Carrie Washburn</t>
  </si>
  <si>
    <t>Suzette Brown</t>
  </si>
  <si>
    <t>Mt Hood</t>
  </si>
  <si>
    <t>Nicole Gullixson</t>
  </si>
  <si>
    <t>Flowing Ocotillo</t>
  </si>
  <si>
    <t>Terese Buess</t>
  </si>
  <si>
    <t>Texas in Flower</t>
  </si>
  <si>
    <t>Yvonne Vallette</t>
  </si>
  <si>
    <t>Joan Faherty</t>
  </si>
  <si>
    <t>Maple in Petite</t>
  </si>
  <si>
    <t>Daina Trout</t>
  </si>
  <si>
    <t>Jenna McNeill</t>
  </si>
  <si>
    <t xml:space="preserve">Susan Wu </t>
  </si>
  <si>
    <t>Terri Luurtsema</t>
  </si>
  <si>
    <t>Bardia Dadfar</t>
  </si>
  <si>
    <t>Jeff Emery</t>
  </si>
  <si>
    <t>Dennis Hutchinson</t>
  </si>
  <si>
    <t>Geri Hallmark</t>
  </si>
  <si>
    <t>Fruit Loop</t>
  </si>
  <si>
    <t>Ben Chan</t>
  </si>
  <si>
    <t>Matt Machacek</t>
  </si>
  <si>
    <t>Lake La Quinta II</t>
  </si>
  <si>
    <t>Sarah Harris</t>
  </si>
  <si>
    <t>Coastal Cliff</t>
  </si>
  <si>
    <t>Paul Healy</t>
  </si>
  <si>
    <t>Blooming Boughs</t>
  </si>
  <si>
    <t xml:space="preserve">Barbara Lindstrom </t>
  </si>
  <si>
    <t>La Quinta Dawn</t>
  </si>
  <si>
    <t>Zaron Burnett</t>
  </si>
  <si>
    <t>Nancy Davidson</t>
  </si>
  <si>
    <t>Robert Berline</t>
  </si>
  <si>
    <t>Lori Pasion</t>
  </si>
  <si>
    <t>Sakura</t>
  </si>
  <si>
    <t>Greg Fester</t>
  </si>
  <si>
    <t>Peggy Schobert</t>
  </si>
  <si>
    <t>Sarah Nagan</t>
  </si>
  <si>
    <t>Donna Basiaga</t>
  </si>
  <si>
    <t>Mitchell Pettit</t>
  </si>
  <si>
    <t>Isaac Cartin</t>
  </si>
  <si>
    <t>Brooke Unger</t>
  </si>
  <si>
    <t>Jeff Angwin</t>
  </si>
  <si>
    <t>Brice Willhite</t>
  </si>
  <si>
    <t>Anna Marine</t>
  </si>
  <si>
    <t>Night Blossoms</t>
  </si>
  <si>
    <t>Max Dulieu</t>
  </si>
  <si>
    <t>Dee Weber</t>
  </si>
  <si>
    <t>Watchman in Petite</t>
  </si>
  <si>
    <t>Jane Hance</t>
  </si>
  <si>
    <t>Ryan Bolter</t>
  </si>
  <si>
    <t>Haystack Reflection</t>
  </si>
  <si>
    <t>Heather McGee</t>
  </si>
  <si>
    <t>Grand Vista</t>
  </si>
  <si>
    <t>Doug Garrie</t>
  </si>
  <si>
    <t>Clouds Above</t>
  </si>
  <si>
    <t>Susan Echarte</t>
  </si>
  <si>
    <t>Karen Richard</t>
  </si>
  <si>
    <t>La Quinta Palm</t>
  </si>
  <si>
    <t>Utah Shadows</t>
  </si>
  <si>
    <t>JoAnn Adams</t>
  </si>
  <si>
    <t>Darrellyn Lemke</t>
  </si>
  <si>
    <t>Stacia Russell</t>
  </si>
  <si>
    <t>Flowerin Quince</t>
  </si>
  <si>
    <t>Utah Museum Show</t>
  </si>
  <si>
    <t>Allison Jenkins</t>
  </si>
  <si>
    <t>Bailey Chen</t>
  </si>
  <si>
    <t>Woods of Gold</t>
  </si>
  <si>
    <t>Alllison Jenkins</t>
  </si>
  <si>
    <t>Cherry Arbor</t>
  </si>
  <si>
    <t>Matt Middleton</t>
  </si>
  <si>
    <t>Kathy Holladay</t>
  </si>
  <si>
    <t>Mary Dee Kiestra</t>
  </si>
  <si>
    <t>Denise Griffin</t>
  </si>
  <si>
    <t>Pamela Reger</t>
  </si>
  <si>
    <t>Judy Franklin</t>
  </si>
  <si>
    <t>Water Lilies in Petite</t>
  </si>
  <si>
    <t>Federico Patino</t>
  </si>
  <si>
    <t>Sunflowers IV</t>
  </si>
  <si>
    <t>Scott Beveridge</t>
  </si>
  <si>
    <t>Karla Proud</t>
  </si>
  <si>
    <t>Jill Grime</t>
  </si>
  <si>
    <t>Catherine Scharlau</t>
  </si>
  <si>
    <t>Pat Ruby</t>
  </si>
  <si>
    <t>Maple Trees</t>
  </si>
  <si>
    <t>Scott. Schnaars</t>
  </si>
  <si>
    <t>Cherry Blossom</t>
  </si>
  <si>
    <t>Brett Mills-Meiner</t>
  </si>
  <si>
    <t>Washington Sillhouette</t>
  </si>
  <si>
    <t>Bill Richard</t>
  </si>
  <si>
    <t>Renee Albert</t>
  </si>
  <si>
    <t>Claire Gerlach</t>
  </si>
  <si>
    <t>Donald Walker</t>
  </si>
  <si>
    <t>Patrick Carrington</t>
  </si>
  <si>
    <t>Maria Jimenez-Salazar</t>
  </si>
  <si>
    <t>Jay Kincannon</t>
  </si>
  <si>
    <t>Christopher Agee</t>
  </si>
  <si>
    <t>Jackie Murphy</t>
  </si>
  <si>
    <t>Bouquet in Petite</t>
  </si>
  <si>
    <t>Clara Hollin</t>
  </si>
  <si>
    <t>Monica Shicaffino</t>
  </si>
  <si>
    <t>Crystalline Shadow</t>
  </si>
  <si>
    <t>Cheryl Hays</t>
  </si>
  <si>
    <t>Mark McDonough</t>
  </si>
  <si>
    <t>Angela Birchler</t>
  </si>
  <si>
    <t>Eric Mills</t>
  </si>
  <si>
    <t>Cindy Roberston</t>
  </si>
  <si>
    <t>Alexandra Schnell</t>
  </si>
  <si>
    <t>Denise Hart</t>
  </si>
  <si>
    <t>Patricia Lenz</t>
  </si>
  <si>
    <t>Joshua Glow</t>
  </si>
  <si>
    <t>Jennifer Edgerton</t>
  </si>
  <si>
    <t>Marleen Sloper</t>
  </si>
  <si>
    <t>Monet's Garden I</t>
  </si>
  <si>
    <t>Kristen  McKim</t>
  </si>
  <si>
    <t>Joanna  Culver</t>
  </si>
  <si>
    <t>Erika Leaf</t>
  </si>
  <si>
    <t>Light over the Hills</t>
  </si>
  <si>
    <t>DEB WICKMAN</t>
  </si>
  <si>
    <t>Autumn Dawn</t>
  </si>
  <si>
    <t>Karen Lancelle</t>
  </si>
  <si>
    <t>Sunflowers on Orange</t>
  </si>
  <si>
    <t>Willow Spring (Early Work)</t>
  </si>
  <si>
    <t>Lené Fox</t>
  </si>
  <si>
    <t>Kathryn Frazier</t>
  </si>
  <si>
    <t>Patterns in the Shade</t>
  </si>
  <si>
    <t>Pam Fraker</t>
  </si>
  <si>
    <t>JOANNE RICH</t>
  </si>
  <si>
    <t>Dance of the Madronas</t>
  </si>
  <si>
    <t>PJA Altieri</t>
  </si>
  <si>
    <t>Etretat in Bloom</t>
  </si>
  <si>
    <t>Marie Simpson</t>
  </si>
  <si>
    <t>Maria Schwarz</t>
  </si>
  <si>
    <t>Patrick Nevis</t>
  </si>
  <si>
    <t>Reflections of Color</t>
  </si>
  <si>
    <t>Amy Rak</t>
  </si>
  <si>
    <t>Yosemite Impression</t>
  </si>
  <si>
    <t>Jill Morse</t>
  </si>
  <si>
    <t>Wild in Flower</t>
  </si>
  <si>
    <t>Barbara Sutton</t>
  </si>
  <si>
    <t>Paso Robles Vines</t>
  </si>
  <si>
    <t>Philosopher's Path</t>
  </si>
  <si>
    <t>Sunflowers in Provence</t>
  </si>
  <si>
    <t>G Tan</t>
  </si>
  <si>
    <t>18x24</t>
  </si>
  <si>
    <t>21x21</t>
  </si>
  <si>
    <t>Karen Benedetti</t>
  </si>
  <si>
    <t>Jill Denton</t>
  </si>
  <si>
    <t>Kathy Hallstrom</t>
  </si>
  <si>
    <t>Cecile  Williamson</t>
  </si>
  <si>
    <t>James Bickford</t>
  </si>
  <si>
    <t>Gail  Mashuda</t>
  </si>
  <si>
    <t>Lyneil Wasser</t>
  </si>
  <si>
    <t>Ellen O’Connor</t>
  </si>
  <si>
    <t>Gail Stahlecker</t>
  </si>
  <si>
    <t>Teresa Boghossian</t>
  </si>
  <si>
    <t>Paso Vines</t>
  </si>
  <si>
    <t>Alex Malone</t>
  </si>
  <si>
    <t>Stapp Brenda</t>
  </si>
  <si>
    <t>Nancy Pankratz</t>
  </si>
  <si>
    <t>Gallery Inventory Order</t>
  </si>
  <si>
    <t>Vineyard Shadow</t>
  </si>
  <si>
    <t xml:space="preserve">24 x 48 </t>
  </si>
  <si>
    <t xml:space="preserve">40 x 50 </t>
  </si>
  <si>
    <t>Valensole Lavender Fields</t>
  </si>
  <si>
    <t>30 x 42 0</t>
  </si>
  <si>
    <t>Matt Dinsdale</t>
  </si>
  <si>
    <t>Wave of Sunflowers</t>
  </si>
  <si>
    <t>26 x 40 0</t>
  </si>
  <si>
    <t>Monet's Garden II</t>
  </si>
  <si>
    <t>Fields of Flax</t>
  </si>
  <si>
    <t>Water Lily Reflections</t>
  </si>
  <si>
    <t>Corrine Miesfeld</t>
  </si>
  <si>
    <t>Par Monceau</t>
  </si>
  <si>
    <t>Stephen Sprinkel</t>
  </si>
  <si>
    <t>Amy Provence</t>
  </si>
  <si>
    <t>Provence Lavender</t>
  </si>
  <si>
    <t>Jeffrey Ochs</t>
  </si>
  <si>
    <t>French Showcase Sign #1</t>
  </si>
  <si>
    <t>French Showcase Sign #2</t>
  </si>
  <si>
    <t xml:space="preserve">42 x 42 </t>
  </si>
  <si>
    <t>Jennifer Arrieta</t>
  </si>
  <si>
    <t>Kimberly Costas</t>
  </si>
  <si>
    <t>Sarai Farias</t>
  </si>
  <si>
    <t>Greg Horne</t>
  </si>
  <si>
    <t>Approval Date</t>
  </si>
  <si>
    <t>Cherry Bloom Sky</t>
  </si>
  <si>
    <t>Coastal in Red</t>
  </si>
  <si>
    <t>Crstyal Light</t>
  </si>
  <si>
    <t>Laurie  Tayrien</t>
  </si>
  <si>
    <t>Colette Nies</t>
  </si>
  <si>
    <t>Fjords of Noway</t>
  </si>
  <si>
    <t>Amy Hulett</t>
  </si>
  <si>
    <t>Haystack Reflections</t>
  </si>
  <si>
    <t>Night Blossom</t>
  </si>
  <si>
    <t>Clint Justice</t>
  </si>
  <si>
    <t>Graham Salisbury</t>
  </si>
  <si>
    <t xml:space="preserve">Palm Mountains </t>
  </si>
  <si>
    <t>Summer Light</t>
  </si>
  <si>
    <t>Gabrielle Robin</t>
  </si>
  <si>
    <t>Sakura Reflections</t>
  </si>
  <si>
    <t>Sunset Light in Triptych</t>
  </si>
  <si>
    <t>Dana Jorgensen</t>
  </si>
  <si>
    <t>Hill Country in Bloom</t>
  </si>
  <si>
    <t>Water Lilies in Bloom</t>
  </si>
  <si>
    <t>Yellow Iris</t>
  </si>
  <si>
    <t>Shannon Powers</t>
  </si>
  <si>
    <t>KATHERINE ANDERSON</t>
  </si>
  <si>
    <t>Glenn Nuttall</t>
  </si>
  <si>
    <t>Quilted Color</t>
  </si>
  <si>
    <t>Frank Mokosak</t>
  </si>
  <si>
    <t>Karen Cook</t>
  </si>
  <si>
    <t>Kathryn Jenevein</t>
  </si>
  <si>
    <t>Jim and Joanne Rich</t>
  </si>
  <si>
    <t>Sunflowers on the Table</t>
  </si>
  <si>
    <t>Julie Avellana</t>
  </si>
  <si>
    <t>Bob Russman</t>
  </si>
  <si>
    <t>Michelle V. Cammarano</t>
  </si>
  <si>
    <t>Lisa Rafferty</t>
  </si>
  <si>
    <t>Jason Coumans</t>
  </si>
  <si>
    <t>CANVAS STRETCHERS</t>
  </si>
  <si>
    <t>SUBTRACT 1/16 INCH FROM ALL DIMENSION CUTS</t>
  </si>
  <si>
    <t>WIDTH</t>
  </si>
  <si>
    <t>IMAGE</t>
  </si>
  <si>
    <t>29 x 20</t>
  </si>
  <si>
    <t>42 x 30</t>
  </si>
  <si>
    <t>SHIPPER</t>
  </si>
  <si>
    <t>Wood glue</t>
  </si>
  <si>
    <t>TOTAL:</t>
  </si>
  <si>
    <t>FINAL "SHIPPED" LIST</t>
  </si>
  <si>
    <t>LENGTH ADD</t>
  </si>
  <si>
    <t>LENGTH</t>
  </si>
  <si>
    <t>NAME</t>
  </si>
  <si>
    <t>WIDTH CUT</t>
  </si>
  <si>
    <t>LENGTH CUT</t>
  </si>
  <si>
    <t>BOARD W</t>
  </si>
  <si>
    <t>BOARD L</t>
  </si>
  <si>
    <t>Blk/Gld PA</t>
  </si>
  <si>
    <t>Cypress Blue</t>
  </si>
  <si>
    <t>Sliver PA</t>
  </si>
  <si>
    <t>Gold PA</t>
  </si>
  <si>
    <t>David Gates</t>
  </si>
  <si>
    <t>Saguaro Peak</t>
  </si>
  <si>
    <t>Oregon Falls</t>
  </si>
  <si>
    <t>Curving Waters</t>
  </si>
  <si>
    <t>Petite Irises</t>
  </si>
  <si>
    <t>Petite Blooms</t>
  </si>
  <si>
    <t>Aspens in Gold</t>
  </si>
  <si>
    <t>Vista Peaks</t>
  </si>
  <si>
    <t>Blooms in Cadmium</t>
  </si>
  <si>
    <t>High Desert Blooms</t>
  </si>
  <si>
    <t>Pine Sky</t>
  </si>
  <si>
    <t>Zion Colors</t>
  </si>
  <si>
    <t>Color Blooms</t>
  </si>
  <si>
    <t>Flurry of Poppies</t>
  </si>
  <si>
    <t>Maple Hills</t>
  </si>
  <si>
    <t>Almond Blossom</t>
  </si>
  <si>
    <t>Cadmium Petals</t>
  </si>
  <si>
    <t>Lighted Fields</t>
  </si>
  <si>
    <t>Oaks in Light</t>
  </si>
  <si>
    <t>Paintbrush Blooms</t>
  </si>
  <si>
    <t>Autumn Maple</t>
  </si>
  <si>
    <t>Lavender Tulips</t>
  </si>
  <si>
    <t>Crate</t>
  </si>
  <si>
    <t>Hilary Gregg</t>
  </si>
  <si>
    <t>Stephanie Confer</t>
  </si>
  <si>
    <t>Tracey Coffen</t>
  </si>
  <si>
    <t>Canvas staples</t>
  </si>
  <si>
    <t>Paul O'Neill</t>
  </si>
  <si>
    <t>Janet Greek</t>
  </si>
  <si>
    <t>Byron Fellows</t>
  </si>
  <si>
    <t>Melody Aanderud</t>
  </si>
  <si>
    <t>Edith Hadler</t>
  </si>
  <si>
    <t>LAYERS</t>
  </si>
  <si>
    <t>PASSES</t>
  </si>
  <si>
    <t>TIME/W</t>
  </si>
  <si>
    <t>W TIME/L</t>
  </si>
  <si>
    <t>L TIME/PASSES</t>
  </si>
  <si>
    <t>PASS TYPE</t>
  </si>
  <si>
    <t>PASS TIME/W</t>
  </si>
  <si>
    <t>LAYER TYPE</t>
  </si>
  <si>
    <t># LAYERS</t>
  </si>
  <si>
    <t>L PREDICT (BEST)</t>
  </si>
  <si>
    <t>LAYER PREDICT</t>
  </si>
  <si>
    <t>TOTAL PREDICT</t>
  </si>
  <si>
    <t>PREDICT</t>
  </si>
  <si>
    <t>ACTUAL</t>
  </si>
  <si>
    <t>ERROR</t>
  </si>
  <si>
    <t>Bottom 5</t>
  </si>
  <si>
    <t>START:</t>
  </si>
  <si>
    <t>Middle</t>
  </si>
  <si>
    <t>AVERAGE:</t>
  </si>
  <si>
    <t>Color</t>
  </si>
  <si>
    <t>Varnish 1</t>
  </si>
  <si>
    <t>FINISH:</t>
  </si>
  <si>
    <t>Varnish 2</t>
  </si>
  <si>
    <t>Varnish 3</t>
  </si>
  <si>
    <t>2 Prints</t>
  </si>
  <si>
    <t>BATCH</t>
  </si>
  <si>
    <t>62 x 48</t>
  </si>
  <si>
    <t>26 x 17</t>
  </si>
  <si>
    <t>31 x 24</t>
  </si>
  <si>
    <t>38 x 30</t>
  </si>
  <si>
    <t>Doug Everson</t>
  </si>
  <si>
    <t>48 x 24</t>
  </si>
  <si>
    <t>34 x 30</t>
  </si>
  <si>
    <t>40 x 25</t>
  </si>
  <si>
    <t>MONTH</t>
  </si>
  <si>
    <t>TOTAL COSTS</t>
  </si>
  <si>
    <t>CoG SHIPPED</t>
  </si>
  <si>
    <t>SHIP COSTS</t>
  </si>
  <si>
    <t>BEST POSSIBLE:</t>
  </si>
  <si>
    <t>CoG &amp; Ship $</t>
  </si>
  <si>
    <t>CoG &amp; Ship %</t>
  </si>
  <si>
    <t>CoG $</t>
  </si>
  <si>
    <t>STRETCHER/BASE $</t>
  </si>
  <si>
    <t>GLUE/EPOXY</t>
  </si>
  <si>
    <t>CANVAS/DIBOND $</t>
  </si>
  <si>
    <t>INK</t>
  </si>
  <si>
    <t>STAPLES</t>
  </si>
  <si>
    <t>V NAILS USED</t>
  </si>
  <si>
    <t>$</t>
  </si>
  <si>
    <t>SCREWS</t>
  </si>
  <si>
    <t>D RINGS</t>
  </si>
  <si>
    <t>WIRE</t>
  </si>
  <si>
    <t>PADS</t>
  </si>
  <si>
    <t>4 MIL BAG</t>
  </si>
  <si>
    <t>BOX $</t>
  </si>
  <si>
    <t>BOX TAPE $</t>
  </si>
  <si>
    <t>NBR</t>
  </si>
  <si>
    <t>VALUE &amp; SHIP</t>
  </si>
  <si>
    <t>Labor CoG %</t>
  </si>
  <si>
    <t>W/ LABOR</t>
  </si>
  <si>
    <t>Framed Canvas</t>
  </si>
  <si>
    <t>3D Print</t>
  </si>
  <si>
    <t>LABOR/HR</t>
  </si>
  <si>
    <t>LABOR COST</t>
  </si>
  <si>
    <t>MAX:</t>
  </si>
  <si>
    <t>12-WEEK STOCK:</t>
  </si>
  <si>
    <t>W/E&amp;BOX</t>
  </si>
  <si>
    <t>STR IN.</t>
  </si>
  <si>
    <t>EH IN.</t>
  </si>
  <si>
    <t>R-EH IN.</t>
  </si>
  <si>
    <t>BLACK IN.</t>
  </si>
  <si>
    <t>GOLD IN.</t>
  </si>
  <si>
    <t>WHITE IN.</t>
  </si>
  <si>
    <t>SILVER IN.</t>
  </si>
  <si>
    <t>CANV IN.</t>
  </si>
  <si>
    <t>STR FT.</t>
  </si>
  <si>
    <t>STR BARS</t>
  </si>
  <si>
    <t>EH FT.</t>
  </si>
  <si>
    <t>EH BARS</t>
  </si>
  <si>
    <t>R-EH FT.</t>
  </si>
  <si>
    <t>R-EH BARS</t>
  </si>
  <si>
    <t>BLACK FT.</t>
  </si>
  <si>
    <t>BLACK BARS</t>
  </si>
  <si>
    <t>GOLD FT.</t>
  </si>
  <si>
    <t>GOLD BARS</t>
  </si>
  <si>
    <t>WHITE FT.</t>
  </si>
  <si>
    <t>WHITE BARS</t>
  </si>
  <si>
    <t>SILVER FT.</t>
  </si>
  <si>
    <t>SILVER BARS</t>
  </si>
  <si>
    <t>ROLLS</t>
  </si>
  <si>
    <t>STRETCHERS</t>
  </si>
  <si>
    <t>URGENT</t>
  </si>
  <si>
    <t>Photo paper</t>
  </si>
  <si>
    <t>1 bundle</t>
  </si>
  <si>
    <t>B001441YFQ</t>
  </si>
  <si>
    <t>Amazon</t>
  </si>
  <si>
    <t>Facial dust masks</t>
  </si>
  <si>
    <t>1 box</t>
  </si>
  <si>
    <t>B09CJFG5H5</t>
  </si>
  <si>
    <t>16 oz.</t>
  </si>
  <si>
    <t>B00F27IGDO</t>
  </si>
  <si>
    <t>Paint stirrers</t>
  </si>
  <si>
    <t>25-pack</t>
  </si>
  <si>
    <t>B076BXLDQN</t>
  </si>
  <si>
    <t>Detailing marker</t>
  </si>
  <si>
    <t>1 ea.</t>
  </si>
  <si>
    <t>B001GRSQ9I</t>
  </si>
  <si>
    <t>7mm V-Nails</t>
  </si>
  <si>
    <t>3000 pack</t>
  </si>
  <si>
    <t>B07QJZMZWV</t>
  </si>
  <si>
    <t>Galvanized Brad Nails</t>
  </si>
  <si>
    <t>B000KM0VR0</t>
  </si>
  <si>
    <t>Q-tips</t>
  </si>
  <si>
    <t>1 bucket</t>
  </si>
  <si>
    <t>B07SCSW2GJ</t>
  </si>
  <si>
    <t>Petite frame nails</t>
  </si>
  <si>
    <t>B000DZBHHC</t>
  </si>
  <si>
    <t>2-inch roller cover</t>
  </si>
  <si>
    <t>B0791SDDXD</t>
  </si>
  <si>
    <t>Frame screws</t>
  </si>
  <si>
    <t>B0723DRRZH</t>
  </si>
  <si>
    <t>D-rings</t>
  </si>
  <si>
    <t>50 ct.</t>
  </si>
  <si>
    <t>B000OMMI9U</t>
  </si>
  <si>
    <t>30 ct.</t>
  </si>
  <si>
    <t>B01CD7QBTG</t>
  </si>
  <si>
    <t>Hanging wire</t>
  </si>
  <si>
    <t>275 ft.</t>
  </si>
  <si>
    <t>B00504PJTI</t>
  </si>
  <si>
    <t>125 ft.</t>
  </si>
  <si>
    <t>B00504PJZC</t>
  </si>
  <si>
    <t>Furniture pads</t>
  </si>
  <si>
    <t>48 ct.</t>
  </si>
  <si>
    <t>B08BLS2ZP4</t>
  </si>
  <si>
    <t>Black hole and corner filler</t>
  </si>
  <si>
    <t>2 oz.</t>
  </si>
  <si>
    <t>B0767LSX9H</t>
  </si>
  <si>
    <t>Gold leaf paint</t>
  </si>
  <si>
    <t>1 jar</t>
  </si>
  <si>
    <t>B003W0AAJG</t>
  </si>
  <si>
    <t>Silver paint</t>
  </si>
  <si>
    <t>B071VSXQF4</t>
  </si>
  <si>
    <t>Gold leaf paint brushes</t>
  </si>
  <si>
    <t>B087V6NVG4</t>
  </si>
  <si>
    <t>Shop rags</t>
  </si>
  <si>
    <t>350 ct. box</t>
  </si>
  <si>
    <t>B07D6CRP9B</t>
  </si>
  <si>
    <t>LARGE 4-mil bags</t>
  </si>
  <si>
    <t>S-8405</t>
  </si>
  <si>
    <t>Uline</t>
  </si>
  <si>
    <t>1" x 10" x 12'</t>
  </si>
  <si>
    <t>L5134412212</t>
  </si>
  <si>
    <t>Canvas strainer</t>
  </si>
  <si>
    <t>200' bundle</t>
  </si>
  <si>
    <t>STR9</t>
  </si>
  <si>
    <t>Framer's Inventory (Email)</t>
  </si>
  <si>
    <t>Water</t>
  </si>
  <si>
    <t>900ml bottle</t>
  </si>
  <si>
    <t>B07NQK969F</t>
  </si>
  <si>
    <t>Rolling glue</t>
  </si>
  <si>
    <t>S-14463</t>
  </si>
  <si>
    <t>Latex Gloves</t>
  </si>
  <si>
    <t>100-ct box</t>
  </si>
  <si>
    <t>B00SVXLIJA</t>
  </si>
  <si>
    <t>B0017HV7RK</t>
  </si>
  <si>
    <t>1,250-pack</t>
  </si>
  <si>
    <t>B00VI2GZHG</t>
  </si>
  <si>
    <t>Black paper print backing</t>
  </si>
  <si>
    <t>45" roll</t>
  </si>
  <si>
    <t>S-19313</t>
  </si>
  <si>
    <t>Artwork shippers</t>
  </si>
  <si>
    <t>48 x 63</t>
  </si>
  <si>
    <t>30 x 5 x 24" Prints shippers</t>
  </si>
  <si>
    <t>1 bundle of 10</t>
  </si>
  <si>
    <t>36 x 6 x 42" Prints shippers</t>
  </si>
  <si>
    <t>36 x 3" Kraft mailing tube</t>
  </si>
  <si>
    <t>1 case</t>
  </si>
  <si>
    <t>56 x 3" Kraft mailing tube</t>
  </si>
  <si>
    <t>60 x 3" Kraft mailing tube</t>
  </si>
  <si>
    <t>2" x 55 yard Packing Tape</t>
  </si>
  <si>
    <t>S-447</t>
  </si>
  <si>
    <t>3" x 60 yd strapping tape</t>
  </si>
  <si>
    <t>S-15777</t>
  </si>
  <si>
    <t>Paper sealing tape</t>
  </si>
  <si>
    <t>1 CASE</t>
  </si>
  <si>
    <t>S-5757</t>
  </si>
  <si>
    <t>Picture hangers</t>
  </si>
  <si>
    <t>100 lb.</t>
  </si>
  <si>
    <t>Ook</t>
  </si>
  <si>
    <t>5l UV ink KX1 Black</t>
  </si>
  <si>
    <t>1 bottle</t>
  </si>
  <si>
    <t>swissQprints</t>
  </si>
  <si>
    <t>5l UV ink KX1 light Black</t>
  </si>
  <si>
    <t>5l UV ink KX1 light Magenta</t>
  </si>
  <si>
    <t>5l UV ink KX1 light Cyan</t>
  </si>
  <si>
    <t>5l UV ink KX1 Yellow</t>
  </si>
  <si>
    <t>5l UV ink KX1 Magenta</t>
  </si>
  <si>
    <t>5l UV ink KX1 Cyan</t>
  </si>
  <si>
    <t>Printer ink (Light Gray)</t>
  </si>
  <si>
    <t>1 cartridge</t>
  </si>
  <si>
    <t>T800000</t>
  </si>
  <si>
    <t>LexJet</t>
  </si>
  <si>
    <t>Printer ink (Photo Black)</t>
  </si>
  <si>
    <t>T800100</t>
  </si>
  <si>
    <t>Printer ink (Cyan)</t>
  </si>
  <si>
    <t>T800200</t>
  </si>
  <si>
    <t>Printer ink (Vivid Magenta)</t>
  </si>
  <si>
    <t>T800300</t>
  </si>
  <si>
    <t>Printer ink (Yellow)</t>
  </si>
  <si>
    <t>T800400</t>
  </si>
  <si>
    <t>Printer ink (Light Cyan)</t>
  </si>
  <si>
    <t>T800500</t>
  </si>
  <si>
    <t>Printer ink (Vivid Light Magenta)</t>
  </si>
  <si>
    <t>T800600</t>
  </si>
  <si>
    <t>Printer ink (Dark Gray)</t>
  </si>
  <si>
    <t>T800700</t>
  </si>
  <si>
    <t>Printer ink (Matte Black)</t>
  </si>
  <si>
    <t>T800800</t>
  </si>
  <si>
    <t>Printer ink (Gray)</t>
  </si>
  <si>
    <t>T800900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</si>
</sst>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&quot;$&quot;#,##0.00"/>
    <numFmt numFmtId="168" formatCode="ddd&quot;, &quot;mmm&quot; &quot;dd"/>
    <numFmt numFmtId="169" formatCode="ddd&quot;, &quot;mmm&quot; &quot;d&quot;, &quot;yyyy"/>
    <numFmt numFmtId="170" formatCode="yyyy\-mm\-dd"/>
    <numFmt numFmtId="171" formatCode="0.0%"/>
    <numFmt numFmtId="172" formatCode="#,##0.0"/>
    <numFmt numFmtId="173" formatCode="[h]:mm"/>
    <numFmt numFmtId="174" formatCode="d&quot;-&quot;mmm&quot;-&quot;yy"/>
    <numFmt numFmtId="175" formatCode="0.0"/>
    <numFmt numFmtId="176" formatCode="ddd&quot;, &quot;yyyy&quot;-&quot;mm&quot;-&quot;dd"/>
    <numFmt numFmtId="177" formatCode="d\ mmmm\,\ yyyy"/>
    <numFmt numFmtId="179" formatCode="ddd&quot;, &quot;mmmm&quot; &quot;dd"/>
    <numFmt numFmtId="180" formatCode="&quot;$&quot;#,##0"/>
    <numFmt numFmtId="181" formatCode="mmmm\ yyyy"/>
  </numFmts>
  <fonts count="58" x14ac:knownFonts="1">
    <font>
      <sz val="10"/>
      <color rgb="FF000000"/>
      <name val="Calibri"/>
      <scheme val="minor"/>
    </font>
    <font>
      <b/>
      <sz val="10"/>
      <color theme="1"/>
      <name val="Calibri"/>
      <scheme val="minor"/>
    </font>
    <font>
      <b/>
      <sz val="14"/>
      <color theme="1"/>
      <name val="Arial"/>
    </font>
    <font>
      <b/>
      <sz val="11"/>
      <color theme="1"/>
      <name val="Calibri"/>
      <scheme val="minor"/>
    </font>
    <font>
      <sz val="14"/>
      <color theme="1"/>
      <name val="Arial"/>
    </font>
    <font>
      <sz val="10"/>
      <color theme="1"/>
      <name val="Calibri"/>
      <scheme val="minor"/>
    </font>
    <font>
      <b/>
      <sz val="11"/>
      <color rgb="FFFFFFFF"/>
      <name val="Calibri"/>
      <scheme val="minor"/>
    </font>
    <font>
      <sz val="10"/>
      <color theme="1"/>
      <name val="Arial"/>
    </font>
    <font>
      <sz val="9"/>
      <color theme="1"/>
      <name val="Arial"/>
    </font>
    <font>
      <sz val="10"/>
      <color theme="1"/>
      <name val="Calibri"/>
    </font>
    <font>
      <b/>
      <sz val="10"/>
      <color theme="1"/>
      <name val="Arial"/>
    </font>
    <font>
      <sz val="11"/>
      <color theme="1"/>
      <name val="Calibri"/>
      <scheme val="minor"/>
    </font>
    <font>
      <b/>
      <sz val="10"/>
      <color theme="1"/>
      <name val="Arial"/>
    </font>
    <font>
      <sz val="10"/>
      <color theme="1"/>
      <name val="Arial"/>
    </font>
    <font>
      <sz val="11"/>
      <color theme="1"/>
      <name val="Calibri"/>
    </font>
    <font>
      <b/>
      <sz val="11"/>
      <color theme="1"/>
      <name val="Calibri"/>
    </font>
    <font>
      <b/>
      <sz val="24"/>
      <color theme="1"/>
      <name val="Calibri"/>
      <scheme val="minor"/>
    </font>
    <font>
      <sz val="16"/>
      <color theme="1"/>
      <name val="Calibri"/>
      <scheme val="minor"/>
    </font>
    <font>
      <b/>
      <sz val="16"/>
      <color theme="1"/>
      <name val="Calibri"/>
      <scheme val="minor"/>
    </font>
    <font>
      <b/>
      <sz val="12"/>
      <color theme="1"/>
      <name val="Calibri"/>
      <scheme val="minor"/>
    </font>
    <font>
      <b/>
      <sz val="12"/>
      <color rgb="FFFFFFFF"/>
      <name val="Calibri"/>
      <scheme val="minor"/>
    </font>
    <font>
      <sz val="12"/>
      <color theme="1"/>
      <name val="Calibri"/>
      <scheme val="minor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theme="0"/>
      <name val="Calibri"/>
      <scheme val="minor"/>
    </font>
    <font>
      <sz val="10"/>
      <name val="Calibri"/>
    </font>
    <font>
      <sz val="11"/>
      <color theme="0"/>
      <name val="Calibri"/>
      <scheme val="minor"/>
    </font>
    <font>
      <u/>
      <sz val="11"/>
      <color rgb="FF1155CC"/>
      <name val="Calibri"/>
    </font>
    <font>
      <b/>
      <sz val="9"/>
      <color theme="1"/>
      <name val="Arial"/>
    </font>
    <font>
      <sz val="10"/>
      <color rgb="FF000000"/>
      <name val="Arial"/>
    </font>
    <font>
      <u/>
      <sz val="11"/>
      <color rgb="FF1155CC"/>
      <name val="Calibri"/>
    </font>
    <font>
      <sz val="12"/>
      <color rgb="FF2F75B5"/>
      <name val="Calibri"/>
    </font>
    <font>
      <sz val="12"/>
      <color rgb="FF000000"/>
      <name val="Calibri"/>
    </font>
    <font>
      <b/>
      <sz val="13"/>
      <color theme="1"/>
      <name val="Calibri"/>
      <scheme val="minor"/>
    </font>
    <font>
      <sz val="13"/>
      <color theme="1"/>
      <name val="Calibri"/>
      <scheme val="minor"/>
    </font>
    <font>
      <sz val="13"/>
      <color rgb="FFFFFFFF"/>
      <name val="Calibri"/>
      <scheme val="minor"/>
    </font>
    <font>
      <sz val="13"/>
      <color theme="0"/>
      <name val="Calibri"/>
      <scheme val="minor"/>
    </font>
    <font>
      <b/>
      <sz val="18"/>
      <color theme="1"/>
      <name val="Calibri"/>
      <scheme val="minor"/>
    </font>
    <font>
      <b/>
      <sz val="14"/>
      <color theme="1"/>
      <name val="Calibri"/>
      <scheme val="minor"/>
    </font>
    <font>
      <sz val="14"/>
      <color theme="1"/>
      <name val="Calibri"/>
      <scheme val="minor"/>
    </font>
    <font>
      <b/>
      <sz val="14"/>
      <color theme="1"/>
      <name val="Calibri"/>
    </font>
    <font>
      <sz val="14"/>
      <color theme="1"/>
      <name val="Calibri"/>
    </font>
    <font>
      <sz val="11"/>
      <color rgb="FF1155CC"/>
      <name val="Inconsolata"/>
    </font>
    <font>
      <b/>
      <sz val="10"/>
      <color theme="1"/>
      <name val="Calibri"/>
      <scheme val="minor"/>
    </font>
    <font>
      <sz val="10"/>
      <color theme="1"/>
      <name val="Calibri"/>
      <scheme val="minor"/>
    </font>
    <font>
      <u/>
      <sz val="10"/>
      <color rgb="FF1155CC"/>
      <name val="Calibri"/>
    </font>
    <font>
      <u/>
      <sz val="10"/>
      <color rgb="FF1155CC"/>
      <name val="Calibri"/>
    </font>
    <font>
      <u/>
      <sz val="10"/>
      <color rgb="FF1155CC"/>
      <name val="Calibri"/>
    </font>
    <font>
      <b/>
      <sz val="12"/>
      <color theme="1"/>
      <name val="Arial"/>
    </font>
    <font>
      <sz val="12"/>
      <color theme="1"/>
      <name val="Arial"/>
    </font>
    <font>
      <b/>
      <i/>
      <u/>
      <sz val="12"/>
      <color rgb="FFFF0000"/>
      <name val="Calibri"/>
    </font>
    <font>
      <b/>
      <i/>
      <u/>
      <sz val="12"/>
      <color rgb="FF000000"/>
      <name val="Calibri"/>
    </font>
    <font>
      <b/>
      <i/>
      <u/>
      <sz val="12"/>
      <color rgb="FF000000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b/>
      <i/>
      <sz val="10"/>
      <color theme="1"/>
      <name val="Calibri"/>
      <scheme val="minor"/>
    </font>
    <font>
      <sz val="10"/>
      <color rgb="FFFF0000"/>
      <name val="Arial"/>
    </font>
  </fonts>
  <fills count="18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theme="1"/>
        <bgColor theme="1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93C47D"/>
        <bgColor rgb="FF93C47D"/>
      </patternFill>
    </fill>
    <fill>
      <patternFill patternType="solid">
        <fgColor rgb="FFD9EAD3"/>
        <bgColor rgb="FFD9EAD3"/>
      </patternFill>
    </fill>
    <fill>
      <patternFill patternType="solid">
        <fgColor rgb="FFFCF2D0"/>
        <bgColor rgb="FFFCF2D0"/>
      </patternFill>
    </fill>
    <fill>
      <patternFill patternType="solid">
        <fgColor rgb="FFDDE9D5"/>
        <bgColor rgb="FFDDE9D5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A4C2F4"/>
        <bgColor rgb="FFA4C2F4"/>
      </patternFill>
    </fill>
    <fill>
      <patternFill patternType="solid">
        <fgColor rgb="FFCFE1FC"/>
        <bgColor rgb="FFCFE1FC"/>
      </patternFill>
    </fill>
    <fill>
      <patternFill patternType="solid">
        <fgColor rgb="FFCFE2F3"/>
        <bgColor rgb="FFCFE2F3"/>
      </patternFill>
    </fill>
    <fill>
      <patternFill patternType="solid">
        <fgColor rgb="FFE06666"/>
        <bgColor rgb="FFE06666"/>
      </patternFill>
    </fill>
  </fills>
  <borders count="26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/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20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164" fontId="3" fillId="0" borderId="0" xfId="0" applyNumberFormat="1" applyFont="1"/>
    <xf numFmtId="0" fontId="2" fillId="0" borderId="0" xfId="0" applyFont="1"/>
    <xf numFmtId="0" fontId="4" fillId="0" borderId="0" xfId="0" applyFont="1"/>
    <xf numFmtId="164" fontId="3" fillId="0" borderId="0" xfId="0" applyNumberFormat="1" applyFont="1" applyAlignment="1">
      <alignment horizontal="center"/>
    </xf>
    <xf numFmtId="0" fontId="5" fillId="0" borderId="0" xfId="0" applyFont="1"/>
    <xf numFmtId="0" fontId="3" fillId="3" borderId="1" xfId="0" applyFont="1" applyFill="1" applyBorder="1" applyAlignment="1">
      <alignment horizontal="center"/>
    </xf>
    <xf numFmtId="164" fontId="3" fillId="3" borderId="0" xfId="0" applyNumberFormat="1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0" borderId="0" xfId="0" applyFont="1" applyAlignment="1">
      <alignment horizontal="left"/>
    </xf>
    <xf numFmtId="3" fontId="5" fillId="0" borderId="0" xfId="0" applyNumberFormat="1" applyFont="1"/>
    <xf numFmtId="0" fontId="9" fillId="0" borderId="0" xfId="0" applyFont="1"/>
    <xf numFmtId="164" fontId="11" fillId="0" borderId="0" xfId="0" applyNumberFormat="1" applyFont="1"/>
    <xf numFmtId="170" fontId="11" fillId="0" borderId="0" xfId="0" applyNumberFormat="1" applyFont="1"/>
    <xf numFmtId="0" fontId="11" fillId="0" borderId="0" xfId="0" applyFont="1"/>
    <xf numFmtId="0" fontId="11" fillId="3" borderId="0" xfId="0" applyFont="1" applyFill="1" applyAlignment="1">
      <alignment horizontal="center"/>
    </xf>
    <xf numFmtId="164" fontId="5" fillId="0" borderId="0" xfId="0" applyNumberFormat="1" applyFont="1"/>
    <xf numFmtId="0" fontId="5" fillId="0" borderId="0" xfId="0" applyFont="1" applyAlignment="1">
      <alignment horizontal="left"/>
    </xf>
    <xf numFmtId="170" fontId="5" fillId="0" borderId="0" xfId="0" applyNumberFormat="1" applyFont="1"/>
    <xf numFmtId="0" fontId="12" fillId="0" borderId="0" xfId="0" applyFont="1" applyAlignment="1">
      <alignment horizontal="right"/>
    </xf>
    <xf numFmtId="0" fontId="12" fillId="0" borderId="0" xfId="0" applyFont="1" applyAlignment="1">
      <alignment horizontal="center"/>
    </xf>
    <xf numFmtId="0" fontId="12" fillId="0" borderId="1" xfId="0" applyFont="1" applyBorder="1" applyAlignment="1">
      <alignment horizontal="left"/>
    </xf>
    <xf numFmtId="164" fontId="12" fillId="0" borderId="0" xfId="0" applyNumberFormat="1" applyFont="1" applyAlignment="1">
      <alignment horizontal="right"/>
    </xf>
    <xf numFmtId="174" fontId="12" fillId="0" borderId="0" xfId="0" applyNumberFormat="1" applyFont="1"/>
    <xf numFmtId="0" fontId="12" fillId="0" borderId="2" xfId="0" applyFont="1" applyBorder="1" applyAlignment="1">
      <alignment horizontal="center"/>
    </xf>
    <xf numFmtId="164" fontId="13" fillId="0" borderId="0" xfId="0" applyNumberFormat="1" applyFont="1" applyAlignment="1">
      <alignment horizontal="right"/>
    </xf>
    <xf numFmtId="0" fontId="12" fillId="0" borderId="0" xfId="0" applyFont="1"/>
    <xf numFmtId="173" fontId="12" fillId="0" borderId="0" xfId="0" applyNumberFormat="1" applyFont="1"/>
    <xf numFmtId="0" fontId="5" fillId="0" borderId="2" xfId="0" applyFont="1" applyBorder="1"/>
    <xf numFmtId="0" fontId="13" fillId="0" borderId="0" xfId="0" applyFont="1"/>
    <xf numFmtId="0" fontId="13" fillId="0" borderId="0" xfId="0" applyFont="1" applyAlignment="1">
      <alignment horizontal="right"/>
    </xf>
    <xf numFmtId="175" fontId="12" fillId="0" borderId="0" xfId="0" applyNumberFormat="1" applyFont="1" applyAlignment="1">
      <alignment horizontal="right"/>
    </xf>
    <xf numFmtId="0" fontId="12" fillId="0" borderId="1" xfId="0" applyFont="1" applyBorder="1"/>
    <xf numFmtId="3" fontId="12" fillId="0" borderId="0" xfId="0" applyNumberFormat="1" applyFont="1" applyAlignment="1">
      <alignment horizontal="right"/>
    </xf>
    <xf numFmtId="0" fontId="12" fillId="0" borderId="2" xfId="0" applyFont="1" applyBorder="1"/>
    <xf numFmtId="3" fontId="12" fillId="0" borderId="0" xfId="0" applyNumberFormat="1" applyFont="1"/>
    <xf numFmtId="0" fontId="12" fillId="0" borderId="0" xfId="0" applyFont="1" applyAlignment="1">
      <alignment horizontal="left"/>
    </xf>
    <xf numFmtId="0" fontId="13" fillId="2" borderId="0" xfId="0" applyFont="1" applyFill="1"/>
    <xf numFmtId="176" fontId="13" fillId="2" borderId="0" xfId="0" applyNumberFormat="1" applyFont="1" applyFill="1"/>
    <xf numFmtId="0" fontId="13" fillId="6" borderId="0" xfId="0" applyFont="1" applyFill="1"/>
    <xf numFmtId="176" fontId="13" fillId="6" borderId="0" xfId="0" applyNumberFormat="1" applyFont="1" applyFill="1"/>
    <xf numFmtId="0" fontId="13" fillId="7" borderId="0" xfId="0" applyFont="1" applyFill="1"/>
    <xf numFmtId="176" fontId="13" fillId="7" borderId="0" xfId="0" applyNumberFormat="1" applyFont="1" applyFill="1"/>
    <xf numFmtId="0" fontId="13" fillId="9" borderId="0" xfId="0" applyFont="1" applyFill="1"/>
    <xf numFmtId="176" fontId="13" fillId="9" borderId="0" xfId="0" applyNumberFormat="1" applyFont="1" applyFill="1"/>
    <xf numFmtId="0" fontId="13" fillId="9" borderId="0" xfId="0" applyFont="1" applyFill="1" applyAlignment="1">
      <alignment horizontal="right"/>
    </xf>
    <xf numFmtId="0" fontId="13" fillId="2" borderId="0" xfId="0" applyFont="1" applyFill="1" applyAlignment="1">
      <alignment horizontal="right"/>
    </xf>
    <xf numFmtId="169" fontId="13" fillId="2" borderId="0" xfId="0" applyNumberFormat="1" applyFont="1" applyFill="1"/>
    <xf numFmtId="170" fontId="13" fillId="2" borderId="0" xfId="0" applyNumberFormat="1" applyFont="1" applyFill="1" applyAlignment="1">
      <alignment horizontal="left"/>
    </xf>
    <xf numFmtId="0" fontId="13" fillId="10" borderId="0" xfId="0" applyFont="1" applyFill="1"/>
    <xf numFmtId="0" fontId="12" fillId="2" borderId="0" xfId="0" applyFont="1" applyFill="1"/>
    <xf numFmtId="164" fontId="13" fillId="2" borderId="0" xfId="0" applyNumberFormat="1" applyFont="1" applyFill="1" applyAlignment="1">
      <alignment horizontal="right"/>
    </xf>
    <xf numFmtId="0" fontId="13" fillId="2" borderId="2" xfId="0" applyFont="1" applyFill="1" applyBorder="1"/>
    <xf numFmtId="3" fontId="13" fillId="2" borderId="0" xfId="0" applyNumberFormat="1" applyFont="1" applyFill="1"/>
    <xf numFmtId="0" fontId="7" fillId="9" borderId="0" xfId="0" applyFont="1" applyFill="1" applyAlignment="1">
      <alignment horizontal="right"/>
    </xf>
    <xf numFmtId="169" fontId="7" fillId="9" borderId="0" xfId="0" applyNumberFormat="1" applyFont="1" applyFill="1" applyAlignment="1">
      <alignment horizontal="right"/>
    </xf>
    <xf numFmtId="170" fontId="13" fillId="9" borderId="0" xfId="0" applyNumberFormat="1" applyFont="1" applyFill="1" applyAlignment="1">
      <alignment horizontal="left"/>
    </xf>
    <xf numFmtId="0" fontId="7" fillId="9" borderId="1" xfId="0" applyFont="1" applyFill="1" applyBorder="1"/>
    <xf numFmtId="0" fontId="7" fillId="9" borderId="0" xfId="0" applyFont="1" applyFill="1"/>
    <xf numFmtId="0" fontId="10" fillId="9" borderId="0" xfId="0" applyFont="1" applyFill="1"/>
    <xf numFmtId="164" fontId="7" fillId="9" borderId="0" xfId="0" applyNumberFormat="1" applyFont="1" applyFill="1" applyAlignment="1">
      <alignment horizontal="right"/>
    </xf>
    <xf numFmtId="0" fontId="7" fillId="9" borderId="2" xfId="0" applyFont="1" applyFill="1" applyBorder="1"/>
    <xf numFmtId="0" fontId="13" fillId="0" borderId="2" xfId="0" applyFont="1" applyBorder="1"/>
    <xf numFmtId="0" fontId="17" fillId="0" borderId="0" xfId="0" applyFont="1"/>
    <xf numFmtId="0" fontId="18" fillId="0" borderId="0" xfId="0" applyFont="1" applyAlignment="1">
      <alignment horizontal="right"/>
    </xf>
    <xf numFmtId="0" fontId="18" fillId="0" borderId="7" xfId="0" applyFont="1" applyBorder="1" applyAlignment="1">
      <alignment horizontal="center"/>
    </xf>
    <xf numFmtId="0" fontId="17" fillId="0" borderId="7" xfId="0" applyFont="1" applyBorder="1" applyAlignment="1">
      <alignment horizontal="center"/>
    </xf>
    <xf numFmtId="0" fontId="17" fillId="0" borderId="6" xfId="0" applyFont="1" applyBorder="1"/>
    <xf numFmtId="0" fontId="17" fillId="0" borderId="7" xfId="0" applyFont="1" applyBorder="1"/>
    <xf numFmtId="0" fontId="21" fillId="0" borderId="0" xfId="0" applyFont="1"/>
    <xf numFmtId="170" fontId="21" fillId="0" borderId="0" xfId="0" applyNumberFormat="1" applyFont="1"/>
    <xf numFmtId="0" fontId="23" fillId="0" borderId="0" xfId="0" applyFont="1"/>
    <xf numFmtId="164" fontId="22" fillId="0" borderId="0" xfId="0" applyNumberFormat="1" applyFont="1" applyAlignment="1">
      <alignment horizontal="right"/>
    </xf>
    <xf numFmtId="170" fontId="21" fillId="0" borderId="8" xfId="0" applyNumberFormat="1" applyFont="1" applyBorder="1"/>
    <xf numFmtId="0" fontId="21" fillId="0" borderId="8" xfId="0" applyFont="1" applyBorder="1"/>
    <xf numFmtId="164" fontId="3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right"/>
    </xf>
    <xf numFmtId="171" fontId="3" fillId="3" borderId="0" xfId="0" applyNumberFormat="1" applyFont="1" applyFill="1" applyAlignment="1">
      <alignment horizontal="center"/>
    </xf>
    <xf numFmtId="164" fontId="24" fillId="4" borderId="0" xfId="0" applyNumberFormat="1" applyFont="1" applyFill="1" applyAlignment="1">
      <alignment horizontal="center"/>
    </xf>
    <xf numFmtId="164" fontId="24" fillId="4" borderId="3" xfId="0" applyNumberFormat="1" applyFont="1" applyFill="1" applyBorder="1" applyAlignment="1">
      <alignment horizontal="center"/>
    </xf>
    <xf numFmtId="171" fontId="24" fillId="4" borderId="4" xfId="0" applyNumberFormat="1" applyFont="1" applyFill="1" applyBorder="1" applyAlignment="1">
      <alignment horizontal="center"/>
    </xf>
    <xf numFmtId="173" fontId="3" fillId="0" borderId="0" xfId="0" applyNumberFormat="1" applyFont="1"/>
    <xf numFmtId="0" fontId="24" fillId="4" borderId="0" xfId="0" applyFont="1" applyFill="1" applyAlignment="1">
      <alignment horizontal="center"/>
    </xf>
    <xf numFmtId="0" fontId="24" fillId="4" borderId="4" xfId="0" applyFont="1" applyFill="1" applyBorder="1" applyAlignment="1">
      <alignment horizontal="center"/>
    </xf>
    <xf numFmtId="170" fontId="1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164" fontId="11" fillId="0" borderId="0" xfId="0" applyNumberFormat="1" applyFont="1" applyAlignment="1">
      <alignment horizontal="right"/>
    </xf>
    <xf numFmtId="3" fontId="11" fillId="3" borderId="0" xfId="0" applyNumberFormat="1" applyFont="1" applyFill="1" applyAlignment="1">
      <alignment horizontal="center"/>
    </xf>
    <xf numFmtId="164" fontId="11" fillId="3" borderId="0" xfId="0" applyNumberFormat="1" applyFont="1" applyFill="1" applyAlignment="1">
      <alignment horizontal="center"/>
    </xf>
    <xf numFmtId="0" fontId="26" fillId="4" borderId="0" xfId="0" applyFont="1" applyFill="1" applyAlignment="1">
      <alignment horizontal="center"/>
    </xf>
    <xf numFmtId="164" fontId="26" fillId="4" borderId="0" xfId="0" applyNumberFormat="1" applyFont="1" applyFill="1" applyAlignment="1">
      <alignment horizontal="center"/>
    </xf>
    <xf numFmtId="164" fontId="26" fillId="4" borderId="3" xfId="0" applyNumberFormat="1" applyFont="1" applyFill="1" applyBorder="1" applyAlignment="1">
      <alignment horizontal="center"/>
    </xf>
    <xf numFmtId="0" fontId="26" fillId="4" borderId="4" xfId="0" applyFont="1" applyFill="1" applyBorder="1" applyAlignment="1">
      <alignment horizontal="center"/>
    </xf>
    <xf numFmtId="164" fontId="11" fillId="0" borderId="0" xfId="0" applyNumberFormat="1" applyFont="1" applyAlignment="1">
      <alignment horizontal="center"/>
    </xf>
    <xf numFmtId="170" fontId="11" fillId="0" borderId="8" xfId="0" applyNumberFormat="1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164" fontId="11" fillId="0" borderId="8" xfId="0" applyNumberFormat="1" applyFont="1" applyBorder="1" applyAlignment="1">
      <alignment horizontal="right"/>
    </xf>
    <xf numFmtId="0" fontId="11" fillId="3" borderId="8" xfId="0" applyFont="1" applyFill="1" applyBorder="1" applyAlignment="1">
      <alignment horizontal="center"/>
    </xf>
    <xf numFmtId="0" fontId="11" fillId="0" borderId="8" xfId="0" applyFont="1" applyBorder="1"/>
    <xf numFmtId="3" fontId="11" fillId="0" borderId="0" xfId="0" applyNumberFormat="1" applyFont="1" applyAlignment="1">
      <alignment horizontal="center"/>
    </xf>
    <xf numFmtId="0" fontId="27" fillId="0" borderId="0" xfId="0" applyFont="1"/>
    <xf numFmtId="0" fontId="12" fillId="13" borderId="0" xfId="0" applyFont="1" applyFill="1" applyAlignment="1">
      <alignment horizontal="right"/>
    </xf>
    <xf numFmtId="173" fontId="28" fillId="0" borderId="6" xfId="0" applyNumberFormat="1" applyFont="1" applyBorder="1" applyAlignment="1">
      <alignment horizontal="center"/>
    </xf>
    <xf numFmtId="0" fontId="13" fillId="0" borderId="0" xfId="0" applyFont="1" applyAlignment="1">
      <alignment horizontal="center"/>
    </xf>
    <xf numFmtId="0" fontId="7" fillId="15" borderId="0" xfId="0" applyFont="1" applyFill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7" fillId="0" borderId="0" xfId="0" applyFont="1" applyAlignment="1">
      <alignment horizontal="center"/>
    </xf>
    <xf numFmtId="173" fontId="12" fillId="0" borderId="2" xfId="0" applyNumberFormat="1" applyFont="1" applyBorder="1" applyAlignment="1">
      <alignment horizontal="left"/>
    </xf>
    <xf numFmtId="0" fontId="7" fillId="6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12" fillId="0" borderId="0" xfId="0" applyFont="1" applyAlignment="1">
      <alignment horizontal="center" textRotation="90"/>
    </xf>
    <xf numFmtId="0" fontId="28" fillId="0" borderId="6" xfId="0" applyFont="1" applyBorder="1" applyAlignment="1">
      <alignment horizontal="center"/>
    </xf>
    <xf numFmtId="0" fontId="7" fillId="9" borderId="0" xfId="0" applyFont="1" applyFill="1" applyAlignment="1">
      <alignment horizontal="center"/>
    </xf>
    <xf numFmtId="0" fontId="12" fillId="7" borderId="0" xfId="0" applyFont="1" applyFill="1" applyAlignment="1">
      <alignment horizontal="center"/>
    </xf>
    <xf numFmtId="0" fontId="12" fillId="0" borderId="5" xfId="0" applyFont="1" applyBorder="1"/>
    <xf numFmtId="0" fontId="28" fillId="0" borderId="7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15" xfId="0" applyFont="1" applyBorder="1"/>
    <xf numFmtId="0" fontId="12" fillId="0" borderId="16" xfId="0" applyFont="1" applyBorder="1"/>
    <xf numFmtId="164" fontId="12" fillId="0" borderId="5" xfId="0" applyNumberFormat="1" applyFont="1" applyBorder="1" applyAlignment="1">
      <alignment horizontal="right"/>
    </xf>
    <xf numFmtId="3" fontId="12" fillId="0" borderId="5" xfId="0" applyNumberFormat="1" applyFont="1" applyBorder="1"/>
    <xf numFmtId="0" fontId="12" fillId="0" borderId="5" xfId="0" applyFont="1" applyBorder="1" applyAlignment="1">
      <alignment horizontal="right"/>
    </xf>
    <xf numFmtId="168" fontId="13" fillId="6" borderId="0" xfId="0" applyNumberFormat="1" applyFont="1" applyFill="1" applyAlignment="1">
      <alignment horizontal="right"/>
    </xf>
    <xf numFmtId="0" fontId="13" fillId="6" borderId="6" xfId="0" applyFont="1" applyFill="1" applyBorder="1" applyAlignment="1">
      <alignment horizontal="center"/>
    </xf>
    <xf numFmtId="169" fontId="13" fillId="6" borderId="0" xfId="0" applyNumberFormat="1" applyFont="1" applyFill="1"/>
    <xf numFmtId="170" fontId="13" fillId="6" borderId="0" xfId="0" applyNumberFormat="1" applyFont="1" applyFill="1" applyAlignment="1">
      <alignment horizontal="right"/>
    </xf>
    <xf numFmtId="0" fontId="13" fillId="6" borderId="2" xfId="0" applyFont="1" applyFill="1" applyBorder="1"/>
    <xf numFmtId="0" fontId="12" fillId="6" borderId="0" xfId="0" applyFont="1" applyFill="1"/>
    <xf numFmtId="0" fontId="13" fillId="6" borderId="0" xfId="0" applyFont="1" applyFill="1" applyAlignment="1">
      <alignment horizontal="center"/>
    </xf>
    <xf numFmtId="164" fontId="13" fillId="6" borderId="0" xfId="0" applyNumberFormat="1" applyFont="1" applyFill="1" applyAlignment="1">
      <alignment horizontal="right"/>
    </xf>
    <xf numFmtId="0" fontId="13" fillId="6" borderId="0" xfId="0" applyFont="1" applyFill="1" applyAlignment="1">
      <alignment horizontal="right"/>
    </xf>
    <xf numFmtId="3" fontId="13" fillId="6" borderId="1" xfId="0" applyNumberFormat="1" applyFont="1" applyFill="1" applyBorder="1" applyAlignment="1">
      <alignment horizontal="right"/>
    </xf>
    <xf numFmtId="12" fontId="13" fillId="6" borderId="0" xfId="0" applyNumberFormat="1" applyFont="1" applyFill="1" applyAlignment="1">
      <alignment horizontal="right"/>
    </xf>
    <xf numFmtId="164" fontId="13" fillId="6" borderId="0" xfId="0" applyNumberFormat="1" applyFont="1" applyFill="1"/>
    <xf numFmtId="173" fontId="13" fillId="6" borderId="0" xfId="0" applyNumberFormat="1" applyFont="1" applyFill="1" applyAlignment="1">
      <alignment horizontal="right"/>
    </xf>
    <xf numFmtId="0" fontId="13" fillId="12" borderId="18" xfId="0" applyFont="1" applyFill="1" applyBorder="1" applyAlignment="1">
      <alignment horizontal="center"/>
    </xf>
    <xf numFmtId="0" fontId="13" fillId="12" borderId="18" xfId="0" applyFont="1" applyFill="1" applyBorder="1"/>
    <xf numFmtId="0" fontId="13" fillId="6" borderId="18" xfId="0" applyFont="1" applyFill="1" applyBorder="1" applyAlignment="1">
      <alignment horizontal="center"/>
    </xf>
    <xf numFmtId="0" fontId="13" fillId="6" borderId="19" xfId="0" applyFont="1" applyFill="1" applyBorder="1" applyAlignment="1">
      <alignment horizontal="center"/>
    </xf>
    <xf numFmtId="0" fontId="13" fillId="6" borderId="4" xfId="0" applyFont="1" applyFill="1" applyBorder="1" applyAlignment="1">
      <alignment horizontal="center"/>
    </xf>
    <xf numFmtId="0" fontId="13" fillId="6" borderId="14" xfId="0" applyFont="1" applyFill="1" applyBorder="1" applyAlignment="1">
      <alignment horizontal="center"/>
    </xf>
    <xf numFmtId="0" fontId="13" fillId="6" borderId="3" xfId="0" applyFont="1" applyFill="1" applyBorder="1" applyAlignment="1">
      <alignment horizontal="center"/>
    </xf>
    <xf numFmtId="168" fontId="13" fillId="9" borderId="0" xfId="0" applyNumberFormat="1" applyFont="1" applyFill="1" applyAlignment="1">
      <alignment horizontal="right"/>
    </xf>
    <xf numFmtId="0" fontId="13" fillId="9" borderId="6" xfId="0" applyFont="1" applyFill="1" applyBorder="1" applyAlignment="1">
      <alignment horizontal="center"/>
    </xf>
    <xf numFmtId="176" fontId="13" fillId="9" borderId="0" xfId="0" applyNumberFormat="1" applyFont="1" applyFill="1" applyAlignment="1">
      <alignment horizontal="left"/>
    </xf>
    <xf numFmtId="170" fontId="13" fillId="9" borderId="0" xfId="0" applyNumberFormat="1" applyFont="1" applyFill="1" applyAlignment="1">
      <alignment horizontal="right"/>
    </xf>
    <xf numFmtId="176" fontId="13" fillId="9" borderId="2" xfId="0" applyNumberFormat="1" applyFont="1" applyFill="1" applyBorder="1" applyAlignment="1">
      <alignment horizontal="left"/>
    </xf>
    <xf numFmtId="0" fontId="13" fillId="9" borderId="0" xfId="0" applyFont="1" applyFill="1" applyAlignment="1">
      <alignment horizontal="left"/>
    </xf>
    <xf numFmtId="0" fontId="12" fillId="9" borderId="0" xfId="0" applyFont="1" applyFill="1" applyAlignment="1">
      <alignment horizontal="left"/>
    </xf>
    <xf numFmtId="0" fontId="13" fillId="9" borderId="0" xfId="0" applyFont="1" applyFill="1" applyAlignment="1">
      <alignment horizontal="center"/>
    </xf>
    <xf numFmtId="164" fontId="13" fillId="9" borderId="0" xfId="0" applyNumberFormat="1" applyFont="1" applyFill="1" applyAlignment="1">
      <alignment horizontal="left"/>
    </xf>
    <xf numFmtId="3" fontId="13" fillId="9" borderId="1" xfId="0" applyNumberFormat="1" applyFont="1" applyFill="1" applyBorder="1" applyAlignment="1">
      <alignment horizontal="right"/>
    </xf>
    <xf numFmtId="12" fontId="13" fillId="9" borderId="0" xfId="0" applyNumberFormat="1" applyFont="1" applyFill="1" applyAlignment="1">
      <alignment horizontal="right"/>
    </xf>
    <xf numFmtId="164" fontId="13" fillId="9" borderId="0" xfId="0" applyNumberFormat="1" applyFont="1" applyFill="1"/>
    <xf numFmtId="173" fontId="13" fillId="9" borderId="0" xfId="0" applyNumberFormat="1" applyFont="1" applyFill="1" applyAlignment="1">
      <alignment horizontal="right"/>
    </xf>
    <xf numFmtId="0" fontId="13" fillId="9" borderId="4" xfId="0" applyFont="1" applyFill="1" applyBorder="1" applyAlignment="1">
      <alignment horizontal="center"/>
    </xf>
    <xf numFmtId="0" fontId="13" fillId="9" borderId="14" xfId="0" applyFont="1" applyFill="1" applyBorder="1" applyAlignment="1">
      <alignment horizontal="center"/>
    </xf>
    <xf numFmtId="0" fontId="13" fillId="9" borderId="3" xfId="0" applyFont="1" applyFill="1" applyBorder="1" applyAlignment="1">
      <alignment horizontal="center"/>
    </xf>
    <xf numFmtId="168" fontId="13" fillId="15" borderId="0" xfId="0" applyNumberFormat="1" applyFont="1" applyFill="1" applyAlignment="1">
      <alignment horizontal="right"/>
    </xf>
    <xf numFmtId="0" fontId="13" fillId="15" borderId="6" xfId="0" applyFont="1" applyFill="1" applyBorder="1" applyAlignment="1">
      <alignment horizontal="center"/>
    </xf>
    <xf numFmtId="169" fontId="13" fillId="15" borderId="0" xfId="0" applyNumberFormat="1" applyFont="1" applyFill="1"/>
    <xf numFmtId="170" fontId="13" fillId="15" borderId="0" xfId="0" applyNumberFormat="1" applyFont="1" applyFill="1" applyAlignment="1">
      <alignment horizontal="right"/>
    </xf>
    <xf numFmtId="0" fontId="13" fillId="15" borderId="0" xfId="0" applyFont="1" applyFill="1"/>
    <xf numFmtId="0" fontId="13" fillId="15" borderId="2" xfId="0" applyFont="1" applyFill="1" applyBorder="1"/>
    <xf numFmtId="0" fontId="12" fillId="15" borderId="0" xfId="0" applyFont="1" applyFill="1"/>
    <xf numFmtId="0" fontId="13" fillId="15" borderId="0" xfId="0" applyFont="1" applyFill="1" applyAlignment="1">
      <alignment horizontal="center"/>
    </xf>
    <xf numFmtId="164" fontId="13" fillId="15" borderId="0" xfId="0" applyNumberFormat="1" applyFont="1" applyFill="1" applyAlignment="1">
      <alignment horizontal="right"/>
    </xf>
    <xf numFmtId="0" fontId="13" fillId="15" borderId="0" xfId="0" applyFont="1" applyFill="1" applyAlignment="1">
      <alignment horizontal="right"/>
    </xf>
    <xf numFmtId="3" fontId="13" fillId="15" borderId="1" xfId="0" applyNumberFormat="1" applyFont="1" applyFill="1" applyBorder="1" applyAlignment="1">
      <alignment horizontal="right"/>
    </xf>
    <xf numFmtId="12" fontId="13" fillId="15" borderId="0" xfId="0" applyNumberFormat="1" applyFont="1" applyFill="1" applyAlignment="1">
      <alignment horizontal="right"/>
    </xf>
    <xf numFmtId="164" fontId="13" fillId="15" borderId="0" xfId="0" applyNumberFormat="1" applyFont="1" applyFill="1"/>
    <xf numFmtId="173" fontId="13" fillId="15" borderId="0" xfId="0" applyNumberFormat="1" applyFont="1" applyFill="1" applyAlignment="1">
      <alignment horizontal="right"/>
    </xf>
    <xf numFmtId="0" fontId="13" fillId="15" borderId="4" xfId="0" applyFont="1" applyFill="1" applyBorder="1" applyAlignment="1">
      <alignment horizontal="center"/>
    </xf>
    <xf numFmtId="0" fontId="13" fillId="15" borderId="14" xfId="0" applyFont="1" applyFill="1" applyBorder="1" applyAlignment="1">
      <alignment horizontal="center"/>
    </xf>
    <xf numFmtId="0" fontId="13" fillId="15" borderId="3" xfId="0" applyFont="1" applyFill="1" applyBorder="1" applyAlignment="1">
      <alignment horizontal="center"/>
    </xf>
    <xf numFmtId="0" fontId="13" fillId="16" borderId="18" xfId="0" applyFont="1" applyFill="1" applyBorder="1" applyAlignment="1">
      <alignment horizontal="center"/>
    </xf>
    <xf numFmtId="176" fontId="13" fillId="16" borderId="19" xfId="0" applyNumberFormat="1" applyFont="1" applyFill="1" applyBorder="1"/>
    <xf numFmtId="0" fontId="13" fillId="4" borderId="18" xfId="0" applyFont="1" applyFill="1" applyBorder="1" applyAlignment="1">
      <alignment horizontal="center"/>
    </xf>
    <xf numFmtId="168" fontId="13" fillId="2" borderId="0" xfId="0" applyNumberFormat="1" applyFont="1" applyFill="1" applyAlignment="1">
      <alignment horizontal="right"/>
    </xf>
    <xf numFmtId="0" fontId="13" fillId="2" borderId="6" xfId="0" applyFont="1" applyFill="1" applyBorder="1" applyAlignment="1">
      <alignment horizontal="center"/>
    </xf>
    <xf numFmtId="170" fontId="13" fillId="2" borderId="0" xfId="0" applyNumberFormat="1" applyFont="1" applyFill="1"/>
    <xf numFmtId="0" fontId="29" fillId="2" borderId="0" xfId="0" applyFont="1" applyFill="1"/>
    <xf numFmtId="0" fontId="13" fillId="2" borderId="0" xfId="0" applyFont="1" applyFill="1" applyAlignment="1">
      <alignment horizontal="center"/>
    </xf>
    <xf numFmtId="3" fontId="13" fillId="2" borderId="1" xfId="0" applyNumberFormat="1" applyFont="1" applyFill="1" applyBorder="1" applyAlignment="1">
      <alignment horizontal="right"/>
    </xf>
    <xf numFmtId="12" fontId="13" fillId="2" borderId="0" xfId="0" applyNumberFormat="1" applyFont="1" applyFill="1" applyAlignment="1">
      <alignment horizontal="right"/>
    </xf>
    <xf numFmtId="164" fontId="13" fillId="2" borderId="0" xfId="0" applyNumberFormat="1" applyFont="1" applyFill="1"/>
    <xf numFmtId="173" fontId="13" fillId="2" borderId="0" xfId="0" applyNumberFormat="1" applyFont="1" applyFill="1" applyAlignment="1">
      <alignment horizontal="right"/>
    </xf>
    <xf numFmtId="0" fontId="13" fillId="2" borderId="18" xfId="0" applyFont="1" applyFill="1" applyBorder="1" applyAlignment="1">
      <alignment horizontal="center"/>
    </xf>
    <xf numFmtId="0" fontId="13" fillId="2" borderId="18" xfId="0" applyFont="1" applyFill="1" applyBorder="1"/>
    <xf numFmtId="0" fontId="13" fillId="2" borderId="19" xfId="0" applyFont="1" applyFill="1" applyBorder="1" applyAlignment="1">
      <alignment horizontal="center"/>
    </xf>
    <xf numFmtId="0" fontId="13" fillId="2" borderId="4" xfId="0" applyFont="1" applyFill="1" applyBorder="1" applyAlignment="1">
      <alignment horizontal="center"/>
    </xf>
    <xf numFmtId="0" fontId="13" fillId="2" borderId="14" xfId="0" applyFont="1" applyFill="1" applyBorder="1" applyAlignment="1">
      <alignment horizontal="center"/>
    </xf>
    <xf numFmtId="0" fontId="13" fillId="2" borderId="3" xfId="0" applyFont="1" applyFill="1" applyBorder="1" applyAlignment="1">
      <alignment horizontal="center"/>
    </xf>
    <xf numFmtId="176" fontId="13" fillId="2" borderId="0" xfId="0" applyNumberFormat="1" applyFont="1" applyFill="1" applyAlignment="1">
      <alignment horizontal="left"/>
    </xf>
    <xf numFmtId="170" fontId="13" fillId="2" borderId="0" xfId="0" applyNumberFormat="1" applyFont="1" applyFill="1" applyAlignment="1">
      <alignment horizontal="right"/>
    </xf>
    <xf numFmtId="176" fontId="13" fillId="2" borderId="2" xfId="0" applyNumberFormat="1" applyFont="1" applyFill="1" applyBorder="1" applyAlignment="1">
      <alignment horizontal="left"/>
    </xf>
    <xf numFmtId="0" fontId="13" fillId="2" borderId="0" xfId="0" applyFont="1" applyFill="1" applyAlignment="1">
      <alignment horizontal="left"/>
    </xf>
    <xf numFmtId="0" fontId="12" fillId="2" borderId="0" xfId="0" applyFont="1" applyFill="1" applyAlignment="1">
      <alignment horizontal="left"/>
    </xf>
    <xf numFmtId="164" fontId="13" fillId="2" borderId="0" xfId="0" applyNumberFormat="1" applyFont="1" applyFill="1" applyAlignment="1">
      <alignment horizontal="left"/>
    </xf>
    <xf numFmtId="176" fontId="13" fillId="2" borderId="18" xfId="0" applyNumberFormat="1" applyFont="1" applyFill="1" applyBorder="1" applyAlignment="1">
      <alignment horizontal="center"/>
    </xf>
    <xf numFmtId="176" fontId="13" fillId="2" borderId="19" xfId="0" applyNumberFormat="1" applyFont="1" applyFill="1" applyBorder="1" applyAlignment="1">
      <alignment horizontal="center"/>
    </xf>
    <xf numFmtId="176" fontId="13" fillId="6" borderId="0" xfId="0" applyNumberFormat="1" applyFont="1" applyFill="1" applyAlignment="1">
      <alignment horizontal="left"/>
    </xf>
    <xf numFmtId="176" fontId="13" fillId="6" borderId="2" xfId="0" applyNumberFormat="1" applyFont="1" applyFill="1" applyBorder="1" applyAlignment="1">
      <alignment horizontal="left"/>
    </xf>
    <xf numFmtId="0" fontId="13" fillId="6" borderId="0" xfId="0" applyFont="1" applyFill="1" applyAlignment="1">
      <alignment horizontal="left"/>
    </xf>
    <xf numFmtId="0" fontId="12" fillId="6" borderId="0" xfId="0" applyFont="1" applyFill="1" applyAlignment="1">
      <alignment horizontal="left"/>
    </xf>
    <xf numFmtId="164" fontId="13" fillId="6" borderId="0" xfId="0" applyNumberFormat="1" applyFont="1" applyFill="1" applyAlignment="1">
      <alignment horizontal="left"/>
    </xf>
    <xf numFmtId="176" fontId="13" fillId="6" borderId="18" xfId="0" applyNumberFormat="1" applyFont="1" applyFill="1" applyBorder="1" applyAlignment="1">
      <alignment horizontal="center"/>
    </xf>
    <xf numFmtId="176" fontId="13" fillId="6" borderId="19" xfId="0" applyNumberFormat="1" applyFont="1" applyFill="1" applyBorder="1" applyAlignment="1">
      <alignment horizontal="center"/>
    </xf>
    <xf numFmtId="168" fontId="13" fillId="7" borderId="0" xfId="0" applyNumberFormat="1" applyFont="1" applyFill="1" applyAlignment="1">
      <alignment horizontal="right"/>
    </xf>
    <xf numFmtId="0" fontId="13" fillId="7" borderId="6" xfId="0" applyFont="1" applyFill="1" applyBorder="1" applyAlignment="1">
      <alignment horizontal="center"/>
    </xf>
    <xf numFmtId="176" fontId="13" fillId="7" borderId="0" xfId="0" applyNumberFormat="1" applyFont="1" applyFill="1" applyAlignment="1">
      <alignment horizontal="left"/>
    </xf>
    <xf numFmtId="170" fontId="13" fillId="7" borderId="0" xfId="0" applyNumberFormat="1" applyFont="1" applyFill="1" applyAlignment="1">
      <alignment horizontal="right"/>
    </xf>
    <xf numFmtId="176" fontId="13" fillId="7" borderId="2" xfId="0" applyNumberFormat="1" applyFont="1" applyFill="1" applyBorder="1" applyAlignment="1">
      <alignment horizontal="left"/>
    </xf>
    <xf numFmtId="0" fontId="13" fillId="7" borderId="0" xfId="0" applyFont="1" applyFill="1" applyAlignment="1">
      <alignment horizontal="left"/>
    </xf>
    <xf numFmtId="0" fontId="12" fillId="7" borderId="0" xfId="0" applyFont="1" applyFill="1" applyAlignment="1">
      <alignment horizontal="left"/>
    </xf>
    <xf numFmtId="176" fontId="13" fillId="7" borderId="0" xfId="0" applyNumberFormat="1" applyFont="1" applyFill="1" applyAlignment="1">
      <alignment horizontal="center"/>
    </xf>
    <xf numFmtId="164" fontId="13" fillId="7" borderId="0" xfId="0" applyNumberFormat="1" applyFont="1" applyFill="1" applyAlignment="1">
      <alignment horizontal="left"/>
    </xf>
    <xf numFmtId="3" fontId="13" fillId="7" borderId="1" xfId="0" applyNumberFormat="1" applyFont="1" applyFill="1" applyBorder="1" applyAlignment="1">
      <alignment horizontal="right"/>
    </xf>
    <xf numFmtId="12" fontId="13" fillId="7" borderId="0" xfId="0" applyNumberFormat="1" applyFont="1" applyFill="1" applyAlignment="1">
      <alignment horizontal="right"/>
    </xf>
    <xf numFmtId="164" fontId="13" fillId="7" borderId="0" xfId="0" applyNumberFormat="1" applyFont="1" applyFill="1"/>
    <xf numFmtId="173" fontId="13" fillId="7" borderId="0" xfId="0" applyNumberFormat="1" applyFont="1" applyFill="1" applyAlignment="1">
      <alignment horizontal="right"/>
    </xf>
    <xf numFmtId="0" fontId="13" fillId="7" borderId="0" xfId="0" applyFont="1" applyFill="1" applyAlignment="1">
      <alignment horizontal="right"/>
    </xf>
    <xf numFmtId="176" fontId="13" fillId="7" borderId="19" xfId="0" applyNumberFormat="1" applyFont="1" applyFill="1" applyBorder="1" applyAlignment="1">
      <alignment horizontal="center"/>
    </xf>
    <xf numFmtId="0" fontId="13" fillId="7" borderId="0" xfId="0" applyFont="1" applyFill="1" applyAlignment="1">
      <alignment horizontal="center"/>
    </xf>
    <xf numFmtId="0" fontId="13" fillId="7" borderId="4" xfId="0" applyFont="1" applyFill="1" applyBorder="1" applyAlignment="1">
      <alignment horizontal="center"/>
    </xf>
    <xf numFmtId="0" fontId="13" fillId="7" borderId="14" xfId="0" applyFont="1" applyFill="1" applyBorder="1" applyAlignment="1">
      <alignment horizontal="center"/>
    </xf>
    <xf numFmtId="0" fontId="13" fillId="7" borderId="3" xfId="0" applyFont="1" applyFill="1" applyBorder="1" applyAlignment="1">
      <alignment horizontal="center"/>
    </xf>
    <xf numFmtId="168" fontId="13" fillId="0" borderId="0" xfId="0" applyNumberFormat="1" applyFont="1" applyAlignment="1">
      <alignment horizontal="right"/>
    </xf>
    <xf numFmtId="0" fontId="13" fillId="0" borderId="6" xfId="0" applyFont="1" applyBorder="1" applyAlignment="1">
      <alignment horizontal="center"/>
    </xf>
    <xf numFmtId="169" fontId="13" fillId="0" borderId="0" xfId="0" applyNumberFormat="1" applyFont="1"/>
    <xf numFmtId="170" fontId="13" fillId="0" borderId="0" xfId="0" applyNumberFormat="1" applyFont="1" applyAlignment="1">
      <alignment horizontal="right"/>
    </xf>
    <xf numFmtId="3" fontId="13" fillId="0" borderId="1" xfId="0" applyNumberFormat="1" applyFont="1" applyBorder="1" applyAlignment="1">
      <alignment horizontal="right"/>
    </xf>
    <xf numFmtId="12" fontId="13" fillId="0" borderId="0" xfId="0" applyNumberFormat="1" applyFont="1" applyAlignment="1">
      <alignment horizontal="right"/>
    </xf>
    <xf numFmtId="164" fontId="13" fillId="0" borderId="0" xfId="0" applyNumberFormat="1" applyFont="1"/>
    <xf numFmtId="173" fontId="13" fillId="0" borderId="0" xfId="0" applyNumberFormat="1" applyFont="1" applyAlignment="1">
      <alignment horizontal="right"/>
    </xf>
    <xf numFmtId="0" fontId="13" fillId="0" borderId="18" xfId="0" applyFont="1" applyBorder="1" applyAlignment="1">
      <alignment horizontal="center"/>
    </xf>
    <xf numFmtId="0" fontId="13" fillId="0" borderId="19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0" borderId="1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12" fontId="13" fillId="0" borderId="0" xfId="0" applyNumberFormat="1" applyFont="1"/>
    <xf numFmtId="0" fontId="13" fillId="0" borderId="18" xfId="0" applyFont="1" applyBorder="1"/>
    <xf numFmtId="0" fontId="13" fillId="0" borderId="19" xfId="0" applyFont="1" applyBorder="1" applyAlignment="1">
      <alignment horizontal="right"/>
    </xf>
    <xf numFmtId="176" fontId="13" fillId="0" borderId="0" xfId="0" applyNumberFormat="1" applyFont="1"/>
    <xf numFmtId="176" fontId="13" fillId="0" borderId="6" xfId="0" applyNumberFormat="1" applyFont="1" applyBorder="1" applyAlignment="1">
      <alignment horizontal="center"/>
    </xf>
    <xf numFmtId="176" fontId="13" fillId="0" borderId="2" xfId="0" applyNumberFormat="1" applyFont="1" applyBorder="1"/>
    <xf numFmtId="176" fontId="13" fillId="0" borderId="0" xfId="0" applyNumberFormat="1" applyFont="1" applyAlignment="1">
      <alignment horizontal="center"/>
    </xf>
    <xf numFmtId="3" fontId="13" fillId="0" borderId="1" xfId="0" applyNumberFormat="1" applyFont="1" applyBorder="1"/>
    <xf numFmtId="176" fontId="13" fillId="0" borderId="18" xfId="0" applyNumberFormat="1" applyFont="1" applyBorder="1" applyAlignment="1">
      <alignment horizontal="center"/>
    </xf>
    <xf numFmtId="176" fontId="13" fillId="0" borderId="19" xfId="0" applyNumberFormat="1" applyFont="1" applyBorder="1" applyAlignment="1">
      <alignment horizontal="center"/>
    </xf>
    <xf numFmtId="176" fontId="13" fillId="0" borderId="6" xfId="0" applyNumberFormat="1" applyFont="1" applyBorder="1"/>
    <xf numFmtId="176" fontId="8" fillId="0" borderId="6" xfId="0" applyNumberFormat="1" applyFont="1" applyBorder="1"/>
    <xf numFmtId="0" fontId="9" fillId="0" borderId="0" xfId="0" applyFont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30" fillId="0" borderId="8" xfId="0" applyFont="1" applyBorder="1"/>
    <xf numFmtId="164" fontId="11" fillId="0" borderId="8" xfId="0" applyNumberFormat="1" applyFont="1" applyBorder="1"/>
    <xf numFmtId="170" fontId="11" fillId="0" borderId="8" xfId="0" applyNumberFormat="1" applyFont="1" applyBorder="1"/>
    <xf numFmtId="0" fontId="3" fillId="0" borderId="8" xfId="0" applyFont="1" applyBorder="1"/>
    <xf numFmtId="164" fontId="11" fillId="0" borderId="8" xfId="0" applyNumberFormat="1" applyFont="1" applyBorder="1" applyAlignment="1">
      <alignment horizontal="center"/>
    </xf>
    <xf numFmtId="0" fontId="5" fillId="0" borderId="4" xfId="0" applyFont="1" applyBorder="1"/>
    <xf numFmtId="0" fontId="13" fillId="10" borderId="1" xfId="0" applyFont="1" applyFill="1" applyBorder="1"/>
    <xf numFmtId="0" fontId="33" fillId="0" borderId="0" xfId="0" applyFont="1"/>
    <xf numFmtId="170" fontId="34" fillId="0" borderId="0" xfId="0" applyNumberFormat="1" applyFont="1"/>
    <xf numFmtId="0" fontId="34" fillId="0" borderId="0" xfId="0" applyFont="1"/>
    <xf numFmtId="0" fontId="18" fillId="0" borderId="0" xfId="0" applyFont="1"/>
    <xf numFmtId="0" fontId="18" fillId="0" borderId="0" xfId="0" applyFont="1" applyAlignment="1">
      <alignment textRotation="90"/>
    </xf>
    <xf numFmtId="0" fontId="17" fillId="0" borderId="18" xfId="0" applyFont="1" applyBorder="1"/>
    <xf numFmtId="164" fontId="11" fillId="3" borderId="8" xfId="0" applyNumberFormat="1" applyFont="1" applyFill="1" applyBorder="1" applyAlignment="1">
      <alignment horizontal="center"/>
    </xf>
    <xf numFmtId="164" fontId="26" fillId="4" borderId="8" xfId="0" applyNumberFormat="1" applyFont="1" applyFill="1" applyBorder="1" applyAlignment="1">
      <alignment horizontal="center"/>
    </xf>
    <xf numFmtId="164" fontId="26" fillId="4" borderId="9" xfId="0" applyNumberFormat="1" applyFont="1" applyFill="1" applyBorder="1" applyAlignment="1">
      <alignment horizontal="center"/>
    </xf>
    <xf numFmtId="170" fontId="13" fillId="5" borderId="0" xfId="0" applyNumberFormat="1" applyFont="1" applyFill="1" applyAlignment="1">
      <alignment horizontal="left"/>
    </xf>
    <xf numFmtId="170" fontId="14" fillId="10" borderId="0" xfId="0" applyNumberFormat="1" applyFont="1" applyFill="1" applyAlignment="1">
      <alignment horizontal="left"/>
    </xf>
    <xf numFmtId="0" fontId="14" fillId="10" borderId="0" xfId="0" applyFont="1" applyFill="1" applyAlignment="1">
      <alignment horizontal="left"/>
    </xf>
    <xf numFmtId="0" fontId="15" fillId="10" borderId="0" xfId="0" applyFont="1" applyFill="1" applyAlignment="1">
      <alignment horizontal="left"/>
    </xf>
    <xf numFmtId="164" fontId="14" fillId="10" borderId="0" xfId="0" applyNumberFormat="1" applyFont="1" applyFill="1" applyAlignment="1">
      <alignment horizontal="left"/>
    </xf>
    <xf numFmtId="0" fontId="33" fillId="0" borderId="0" xfId="0" applyFont="1" applyAlignment="1">
      <alignment horizontal="center"/>
    </xf>
    <xf numFmtId="0" fontId="35" fillId="12" borderId="0" xfId="0" applyFont="1" applyFill="1"/>
    <xf numFmtId="0" fontId="34" fillId="0" borderId="20" xfId="0" applyFont="1" applyBorder="1"/>
    <xf numFmtId="0" fontId="36" fillId="12" borderId="0" xfId="0" applyFont="1" applyFill="1"/>
    <xf numFmtId="0" fontId="34" fillId="0" borderId="7" xfId="0" applyFont="1" applyBorder="1"/>
    <xf numFmtId="171" fontId="11" fillId="3" borderId="0" xfId="0" applyNumberFormat="1" applyFont="1" applyFill="1" applyAlignment="1">
      <alignment horizontal="center"/>
    </xf>
    <xf numFmtId="171" fontId="26" fillId="4" borderId="4" xfId="0" applyNumberFormat="1" applyFont="1" applyFill="1" applyBorder="1" applyAlignment="1">
      <alignment horizontal="center"/>
    </xf>
    <xf numFmtId="171" fontId="11" fillId="3" borderId="8" xfId="0" applyNumberFormat="1" applyFont="1" applyFill="1" applyBorder="1" applyAlignment="1">
      <alignment horizontal="center"/>
    </xf>
    <xf numFmtId="0" fontId="33" fillId="0" borderId="21" xfId="0" applyFont="1" applyBorder="1"/>
    <xf numFmtId="0" fontId="33" fillId="0" borderId="22" xfId="0" applyFont="1" applyBorder="1"/>
    <xf numFmtId="0" fontId="34" fillId="0" borderId="22" xfId="0" applyFont="1" applyBorder="1"/>
    <xf numFmtId="0" fontId="33" fillId="0" borderId="22" xfId="0" applyFont="1" applyBorder="1" applyAlignment="1">
      <alignment horizontal="center"/>
    </xf>
    <xf numFmtId="0" fontId="33" fillId="0" borderId="23" xfId="0" applyFont="1" applyBorder="1"/>
    <xf numFmtId="0" fontId="33" fillId="0" borderId="1" xfId="0" applyFont="1" applyBorder="1"/>
    <xf numFmtId="12" fontId="34" fillId="0" borderId="20" xfId="0" applyNumberFormat="1" applyFont="1" applyBorder="1"/>
    <xf numFmtId="0" fontId="34" fillId="0" borderId="1" xfId="0" applyFont="1" applyBorder="1"/>
    <xf numFmtId="12" fontId="35" fillId="12" borderId="0" xfId="0" applyNumberFormat="1" applyFont="1" applyFill="1"/>
    <xf numFmtId="0" fontId="33" fillId="0" borderId="16" xfId="0" applyFont="1" applyBorder="1"/>
    <xf numFmtId="12" fontId="35" fillId="12" borderId="5" xfId="0" applyNumberFormat="1" applyFont="1" applyFill="1" applyBorder="1"/>
    <xf numFmtId="0" fontId="34" fillId="0" borderId="5" xfId="0" applyFont="1" applyBorder="1"/>
    <xf numFmtId="0" fontId="5" fillId="0" borderId="5" xfId="0" applyFont="1" applyBorder="1"/>
    <xf numFmtId="0" fontId="5" fillId="0" borderId="1" xfId="0" applyFont="1" applyBorder="1"/>
    <xf numFmtId="12" fontId="34" fillId="0" borderId="7" xfId="0" applyNumberFormat="1" applyFont="1" applyBorder="1"/>
    <xf numFmtId="12" fontId="34" fillId="0" borderId="0" xfId="0" applyNumberFormat="1" applyFont="1"/>
    <xf numFmtId="0" fontId="5" fillId="0" borderId="15" xfId="0" applyFont="1" applyBorder="1"/>
    <xf numFmtId="0" fontId="5" fillId="0" borderId="6" xfId="0" applyFont="1" applyBorder="1"/>
    <xf numFmtId="171" fontId="26" fillId="4" borderId="10" xfId="0" applyNumberFormat="1" applyFont="1" applyFill="1" applyBorder="1" applyAlignment="1">
      <alignment horizontal="center"/>
    </xf>
    <xf numFmtId="0" fontId="5" fillId="0" borderId="18" xfId="0" applyFont="1" applyBorder="1"/>
    <xf numFmtId="0" fontId="5" fillId="0" borderId="16" xfId="0" applyFont="1" applyBorder="1"/>
    <xf numFmtId="0" fontId="33" fillId="0" borderId="5" xfId="0" applyFont="1" applyBorder="1"/>
    <xf numFmtId="0" fontId="12" fillId="0" borderId="17" xfId="0" applyFont="1" applyBorder="1"/>
    <xf numFmtId="168" fontId="7" fillId="15" borderId="0" xfId="0" applyNumberFormat="1" applyFont="1" applyFill="1" applyAlignment="1">
      <alignment horizontal="right"/>
    </xf>
    <xf numFmtId="0" fontId="7" fillId="15" borderId="0" xfId="0" applyFont="1" applyFill="1" applyAlignment="1">
      <alignment horizontal="right"/>
    </xf>
    <xf numFmtId="168" fontId="9" fillId="15" borderId="0" xfId="0" applyNumberFormat="1" applyFont="1" applyFill="1"/>
    <xf numFmtId="170" fontId="7" fillId="15" borderId="0" xfId="0" applyNumberFormat="1" applyFont="1" applyFill="1" applyAlignment="1">
      <alignment horizontal="right"/>
    </xf>
    <xf numFmtId="0" fontId="9" fillId="15" borderId="0" xfId="0" applyFont="1" applyFill="1"/>
    <xf numFmtId="0" fontId="7" fillId="15" borderId="1" xfId="0" applyFont="1" applyFill="1" applyBorder="1"/>
    <xf numFmtId="0" fontId="7" fillId="15" borderId="0" xfId="0" applyFont="1" applyFill="1"/>
    <xf numFmtId="0" fontId="10" fillId="15" borderId="0" xfId="0" applyFont="1" applyFill="1"/>
    <xf numFmtId="164" fontId="7" fillId="15" borderId="0" xfId="0" applyNumberFormat="1" applyFont="1" applyFill="1" applyAlignment="1">
      <alignment horizontal="right"/>
    </xf>
    <xf numFmtId="0" fontId="7" fillId="15" borderId="2" xfId="0" applyFont="1" applyFill="1" applyBorder="1"/>
    <xf numFmtId="3" fontId="7" fillId="15" borderId="0" xfId="0" applyNumberFormat="1" applyFont="1" applyFill="1" applyAlignment="1">
      <alignment horizontal="right"/>
    </xf>
    <xf numFmtId="12" fontId="9" fillId="5" borderId="0" xfId="0" applyNumberFormat="1" applyFont="1" applyFill="1" applyAlignment="1">
      <alignment horizontal="right"/>
    </xf>
    <xf numFmtId="173" fontId="9" fillId="15" borderId="0" xfId="0" applyNumberFormat="1" applyFont="1" applyFill="1"/>
    <xf numFmtId="173" fontId="7" fillId="15" borderId="0" xfId="0" applyNumberFormat="1" applyFont="1" applyFill="1" applyAlignment="1">
      <alignment horizontal="right"/>
    </xf>
    <xf numFmtId="12" fontId="5" fillId="0" borderId="0" xfId="0" applyNumberFormat="1" applyFont="1"/>
    <xf numFmtId="0" fontId="5" fillId="0" borderId="20" xfId="0" applyFont="1" applyBorder="1"/>
    <xf numFmtId="0" fontId="5" fillId="0" borderId="23" xfId="0" applyFont="1" applyBorder="1"/>
    <xf numFmtId="0" fontId="5" fillId="0" borderId="7" xfId="0" applyFont="1" applyBorder="1"/>
    <xf numFmtId="0" fontId="20" fillId="12" borderId="0" xfId="0" applyFont="1" applyFill="1"/>
    <xf numFmtId="179" fontId="19" fillId="17" borderId="18" xfId="0" applyNumberFormat="1" applyFont="1" applyFill="1" applyBorder="1"/>
    <xf numFmtId="18" fontId="19" fillId="8" borderId="18" xfId="0" applyNumberFormat="1" applyFont="1" applyFill="1" applyBorder="1"/>
    <xf numFmtId="0" fontId="21" fillId="8" borderId="18" xfId="0" applyFont="1" applyFill="1" applyBorder="1"/>
    <xf numFmtId="18" fontId="19" fillId="8" borderId="20" xfId="0" applyNumberFormat="1" applyFont="1" applyFill="1" applyBorder="1"/>
    <xf numFmtId="0" fontId="21" fillId="8" borderId="20" xfId="0" applyFont="1" applyFill="1" applyBorder="1"/>
    <xf numFmtId="179" fontId="19" fillId="17" borderId="24" xfId="0" applyNumberFormat="1" applyFont="1" applyFill="1" applyBorder="1"/>
    <xf numFmtId="18" fontId="19" fillId="8" borderId="25" xfId="0" applyNumberFormat="1" applyFont="1" applyFill="1" applyBorder="1"/>
    <xf numFmtId="0" fontId="21" fillId="8" borderId="25" xfId="0" applyFont="1" applyFill="1" applyBorder="1"/>
    <xf numFmtId="0" fontId="21" fillId="0" borderId="20" xfId="0" applyFont="1" applyBorder="1"/>
    <xf numFmtId="0" fontId="21" fillId="8" borderId="11" xfId="0" applyFont="1" applyFill="1" applyBorder="1"/>
    <xf numFmtId="18" fontId="19" fillId="8" borderId="23" xfId="0" applyNumberFormat="1" applyFont="1" applyFill="1" applyBorder="1"/>
    <xf numFmtId="179" fontId="19" fillId="17" borderId="25" xfId="0" applyNumberFormat="1" applyFont="1" applyFill="1" applyBorder="1"/>
    <xf numFmtId="18" fontId="19" fillId="8" borderId="7" xfId="0" applyNumberFormat="1" applyFont="1" applyFill="1" applyBorder="1"/>
    <xf numFmtId="0" fontId="21" fillId="8" borderId="7" xfId="0" applyFont="1" applyFill="1" applyBorder="1"/>
    <xf numFmtId="169" fontId="7" fillId="5" borderId="0" xfId="0" applyNumberFormat="1" applyFont="1" applyFill="1" applyAlignment="1">
      <alignment horizontal="right"/>
    </xf>
    <xf numFmtId="0" fontId="7" fillId="5" borderId="0" xfId="0" applyFont="1" applyFill="1" applyAlignment="1">
      <alignment horizontal="right"/>
    </xf>
    <xf numFmtId="0" fontId="7" fillId="5" borderId="0" xfId="0" applyFont="1" applyFill="1"/>
    <xf numFmtId="0" fontId="7" fillId="5" borderId="1" xfId="0" applyFont="1" applyFill="1" applyBorder="1"/>
    <xf numFmtId="0" fontId="10" fillId="5" borderId="0" xfId="0" applyFont="1" applyFill="1"/>
    <xf numFmtId="164" fontId="7" fillId="5" borderId="0" xfId="0" applyNumberFormat="1" applyFont="1" applyFill="1" applyAlignment="1">
      <alignment horizontal="right"/>
    </xf>
    <xf numFmtId="0" fontId="7" fillId="5" borderId="2" xfId="0" applyFont="1" applyFill="1" applyBorder="1"/>
    <xf numFmtId="168" fontId="5" fillId="0" borderId="0" xfId="0" applyNumberFormat="1" applyFont="1"/>
    <xf numFmtId="169" fontId="5" fillId="0" borderId="0" xfId="0" applyNumberFormat="1" applyFont="1"/>
    <xf numFmtId="173" fontId="5" fillId="0" borderId="0" xfId="0" applyNumberFormat="1" applyFont="1"/>
    <xf numFmtId="168" fontId="17" fillId="0" borderId="0" xfId="0" applyNumberFormat="1" applyFont="1"/>
    <xf numFmtId="176" fontId="2" fillId="0" borderId="0" xfId="0" applyNumberFormat="1" applyFont="1"/>
    <xf numFmtId="164" fontId="2" fillId="0" borderId="0" xfId="0" applyNumberFormat="1" applyFont="1"/>
    <xf numFmtId="176" fontId="4" fillId="0" borderId="0" xfId="0" applyNumberFormat="1" applyFont="1"/>
    <xf numFmtId="164" fontId="4" fillId="0" borderId="0" xfId="0" applyNumberFormat="1" applyFont="1"/>
    <xf numFmtId="164" fontId="4" fillId="0" borderId="0" xfId="0" applyNumberFormat="1" applyFont="1" applyAlignment="1">
      <alignment horizontal="right"/>
    </xf>
    <xf numFmtId="176" fontId="4" fillId="0" borderId="0" xfId="0" applyNumberFormat="1" applyFont="1" applyAlignment="1">
      <alignment horizontal="right"/>
    </xf>
    <xf numFmtId="176" fontId="4" fillId="0" borderId="8" xfId="0" applyNumberFormat="1" applyFont="1" applyBorder="1"/>
    <xf numFmtId="0" fontId="4" fillId="0" borderId="8" xfId="0" applyFont="1" applyBorder="1"/>
    <xf numFmtId="0" fontId="4" fillId="0" borderId="8" xfId="0" applyFont="1" applyBorder="1" applyAlignment="1">
      <alignment horizontal="left"/>
    </xf>
    <xf numFmtId="164" fontId="4" fillId="0" borderId="8" xfId="0" applyNumberFormat="1" applyFont="1" applyBorder="1"/>
    <xf numFmtId="176" fontId="4" fillId="0" borderId="12" xfId="0" applyNumberFormat="1" applyFont="1" applyBorder="1"/>
    <xf numFmtId="0" fontId="4" fillId="0" borderId="12" xfId="0" applyFont="1" applyBorder="1"/>
    <xf numFmtId="164" fontId="4" fillId="0" borderId="12" xfId="0" applyNumberFormat="1" applyFont="1" applyBorder="1"/>
    <xf numFmtId="170" fontId="21" fillId="0" borderId="12" xfId="0" applyNumberFormat="1" applyFont="1" applyBorder="1"/>
    <xf numFmtId="0" fontId="21" fillId="0" borderId="12" xfId="0" applyFont="1" applyBorder="1"/>
    <xf numFmtId="0" fontId="38" fillId="0" borderId="0" xfId="0" applyFont="1"/>
    <xf numFmtId="0" fontId="39" fillId="0" borderId="0" xfId="0" applyFont="1"/>
    <xf numFmtId="0" fontId="40" fillId="0" borderId="0" xfId="0" applyFont="1"/>
    <xf numFmtId="0" fontId="41" fillId="0" borderId="0" xfId="0" applyFont="1"/>
    <xf numFmtId="13" fontId="39" fillId="0" borderId="0" xfId="0" applyNumberFormat="1" applyFont="1"/>
    <xf numFmtId="46" fontId="1" fillId="0" borderId="0" xfId="0" applyNumberFormat="1" applyFont="1"/>
    <xf numFmtId="0" fontId="1" fillId="0" borderId="1" xfId="0" applyFont="1" applyBorder="1"/>
    <xf numFmtId="0" fontId="1" fillId="0" borderId="2" xfId="0" applyFont="1" applyBorder="1"/>
    <xf numFmtId="170" fontId="5" fillId="0" borderId="21" xfId="0" applyNumberFormat="1" applyFont="1" applyBorder="1"/>
    <xf numFmtId="0" fontId="5" fillId="0" borderId="22" xfId="0" applyFont="1" applyBorder="1"/>
    <xf numFmtId="46" fontId="5" fillId="0" borderId="22" xfId="0" applyNumberFormat="1" applyFont="1" applyBorder="1"/>
    <xf numFmtId="46" fontId="5" fillId="0" borderId="23" xfId="0" applyNumberFormat="1" applyFont="1" applyBorder="1"/>
    <xf numFmtId="46" fontId="5" fillId="0" borderId="0" xfId="0" applyNumberFormat="1" applyFont="1"/>
    <xf numFmtId="171" fontId="5" fillId="0" borderId="0" xfId="0" applyNumberFormat="1" applyFont="1"/>
    <xf numFmtId="18" fontId="5" fillId="0" borderId="0" xfId="0" applyNumberFormat="1" applyFont="1"/>
    <xf numFmtId="170" fontId="5" fillId="0" borderId="1" xfId="0" applyNumberFormat="1" applyFont="1" applyBorder="1"/>
    <xf numFmtId="46" fontId="5" fillId="0" borderId="2" xfId="0" applyNumberFormat="1" applyFont="1" applyBorder="1"/>
    <xf numFmtId="170" fontId="5" fillId="0" borderId="16" xfId="0" applyNumberFormat="1" applyFont="1" applyBorder="1"/>
    <xf numFmtId="46" fontId="5" fillId="0" borderId="5" xfId="0" applyNumberFormat="1" applyFont="1" applyBorder="1"/>
    <xf numFmtId="46" fontId="5" fillId="0" borderId="15" xfId="0" applyNumberFormat="1" applyFont="1" applyBorder="1"/>
    <xf numFmtId="0" fontId="1" fillId="0" borderId="0" xfId="0" applyFont="1" applyAlignment="1">
      <alignment horizontal="right"/>
    </xf>
    <xf numFmtId="49" fontId="5" fillId="0" borderId="0" xfId="0" applyNumberFormat="1" applyFont="1"/>
    <xf numFmtId="0" fontId="42" fillId="13" borderId="0" xfId="0" applyFont="1" applyFill="1"/>
    <xf numFmtId="21" fontId="5" fillId="0" borderId="0" xfId="0" applyNumberFormat="1" applyFont="1"/>
    <xf numFmtId="170" fontId="14" fillId="11" borderId="0" xfId="0" applyNumberFormat="1" applyFont="1" applyFill="1" applyAlignment="1">
      <alignment horizontal="left"/>
    </xf>
    <xf numFmtId="0" fontId="14" fillId="11" borderId="0" xfId="0" applyFont="1" applyFill="1" applyAlignment="1">
      <alignment horizontal="left"/>
    </xf>
    <xf numFmtId="0" fontId="15" fillId="11" borderId="0" xfId="0" applyFont="1" applyFill="1" applyAlignment="1">
      <alignment horizontal="left"/>
    </xf>
    <xf numFmtId="180" fontId="14" fillId="11" borderId="0" xfId="0" applyNumberFormat="1" applyFont="1" applyFill="1" applyAlignment="1">
      <alignment horizontal="left"/>
    </xf>
    <xf numFmtId="180" fontId="14" fillId="10" borderId="0" xfId="0" applyNumberFormat="1" applyFont="1" applyFill="1" applyAlignment="1">
      <alignment horizontal="left"/>
    </xf>
    <xf numFmtId="170" fontId="14" fillId="15" borderId="0" xfId="0" applyNumberFormat="1" applyFont="1" applyFill="1" applyAlignment="1">
      <alignment horizontal="left"/>
    </xf>
    <xf numFmtId="0" fontId="14" fillId="15" borderId="0" xfId="0" applyFont="1" applyFill="1" applyAlignment="1">
      <alignment horizontal="left"/>
    </xf>
    <xf numFmtId="0" fontId="15" fillId="15" borderId="0" xfId="0" applyFont="1" applyFill="1" applyAlignment="1">
      <alignment horizontal="left"/>
    </xf>
    <xf numFmtId="180" fontId="14" fillId="15" borderId="0" xfId="0" applyNumberFormat="1" applyFont="1" applyFill="1" applyAlignment="1">
      <alignment horizontal="left"/>
    </xf>
    <xf numFmtId="0" fontId="1" fillId="0" borderId="4" xfId="0" applyFont="1" applyBorder="1"/>
    <xf numFmtId="181" fontId="5" fillId="0" borderId="0" xfId="0" applyNumberFormat="1" applyFont="1"/>
    <xf numFmtId="171" fontId="5" fillId="0" borderId="4" xfId="0" applyNumberFormat="1" applyFont="1" applyBorder="1"/>
    <xf numFmtId="172" fontId="3" fillId="0" borderId="0" xfId="0" applyNumberFormat="1" applyFont="1"/>
    <xf numFmtId="172" fontId="3" fillId="3" borderId="1" xfId="0" applyNumberFormat="1" applyFont="1" applyFill="1" applyBorder="1"/>
    <xf numFmtId="0" fontId="24" fillId="4" borderId="3" xfId="0" applyFont="1" applyFill="1" applyBorder="1" applyAlignment="1">
      <alignment horizontal="center"/>
    </xf>
    <xf numFmtId="0" fontId="3" fillId="3" borderId="1" xfId="0" applyFont="1" applyFill="1" applyBorder="1"/>
    <xf numFmtId="0" fontId="6" fillId="4" borderId="0" xfId="0" applyFont="1" applyFill="1" applyAlignment="1">
      <alignment horizontal="center"/>
    </xf>
    <xf numFmtId="0" fontId="11" fillId="3" borderId="1" xfId="0" applyFont="1" applyFill="1" applyBorder="1"/>
    <xf numFmtId="0" fontId="11" fillId="3" borderId="13" xfId="0" applyFont="1" applyFill="1" applyBorder="1"/>
    <xf numFmtId="3" fontId="11" fillId="3" borderId="8" xfId="0" applyNumberFormat="1" applyFont="1" applyFill="1" applyBorder="1" applyAlignment="1">
      <alignment horizontal="center"/>
    </xf>
    <xf numFmtId="171" fontId="11" fillId="0" borderId="0" xfId="0" applyNumberFormat="1" applyFont="1" applyAlignment="1">
      <alignment horizontal="center"/>
    </xf>
    <xf numFmtId="4" fontId="11" fillId="0" borderId="0" xfId="0" applyNumberFormat="1" applyFont="1"/>
    <xf numFmtId="0" fontId="26" fillId="4" borderId="3" xfId="0" applyFont="1" applyFill="1" applyBorder="1" applyAlignment="1">
      <alignment horizontal="center"/>
    </xf>
    <xf numFmtId="0" fontId="26" fillId="4" borderId="9" xfId="0" applyFont="1" applyFill="1" applyBorder="1" applyAlignment="1">
      <alignment horizontal="center"/>
    </xf>
    <xf numFmtId="0" fontId="43" fillId="0" borderId="0" xfId="0" applyFont="1"/>
    <xf numFmtId="173" fontId="43" fillId="0" borderId="0" xfId="0" applyNumberFormat="1" applyFont="1"/>
    <xf numFmtId="172" fontId="43" fillId="0" borderId="0" xfId="0" applyNumberFormat="1" applyFont="1"/>
    <xf numFmtId="164" fontId="43" fillId="0" borderId="0" xfId="0" applyNumberFormat="1" applyFont="1" applyAlignment="1">
      <alignment horizontal="right"/>
    </xf>
    <xf numFmtId="0" fontId="43" fillId="0" borderId="0" xfId="0" applyFont="1" applyAlignment="1">
      <alignment horizontal="center"/>
    </xf>
    <xf numFmtId="0" fontId="43" fillId="0" borderId="0" xfId="0" applyFont="1" applyAlignment="1">
      <alignment horizontal="right"/>
    </xf>
    <xf numFmtId="164" fontId="43" fillId="0" borderId="0" xfId="0" applyNumberFormat="1" applyFont="1" applyAlignment="1">
      <alignment horizontal="center"/>
    </xf>
    <xf numFmtId="3" fontId="5" fillId="0" borderId="1" xfId="0" applyNumberFormat="1" applyFont="1" applyBorder="1"/>
    <xf numFmtId="3" fontId="5" fillId="0" borderId="2" xfId="0" applyNumberFormat="1" applyFont="1" applyBorder="1"/>
    <xf numFmtId="175" fontId="44" fillId="0" borderId="2" xfId="0" applyNumberFormat="1" applyFont="1" applyBorder="1" applyAlignment="1">
      <alignment horizontal="center"/>
    </xf>
    <xf numFmtId="0" fontId="44" fillId="0" borderId="0" xfId="0" applyFont="1"/>
    <xf numFmtId="3" fontId="44" fillId="0" borderId="0" xfId="0" applyNumberFormat="1" applyFont="1" applyAlignment="1">
      <alignment horizontal="center"/>
    </xf>
    <xf numFmtId="164" fontId="43" fillId="0" borderId="0" xfId="0" applyNumberFormat="1" applyFont="1" applyAlignment="1">
      <alignment horizontal="left"/>
    </xf>
    <xf numFmtId="164" fontId="43" fillId="0" borderId="0" xfId="0" applyNumberFormat="1" applyFont="1"/>
    <xf numFmtId="0" fontId="43" fillId="0" borderId="1" xfId="0" applyFont="1" applyBorder="1"/>
    <xf numFmtId="0" fontId="43" fillId="0" borderId="2" xfId="0" applyFont="1" applyBorder="1"/>
    <xf numFmtId="0" fontId="44" fillId="14" borderId="0" xfId="0" applyFont="1" applyFill="1"/>
    <xf numFmtId="170" fontId="44" fillId="14" borderId="0" xfId="0" applyNumberFormat="1" applyFont="1" applyFill="1"/>
    <xf numFmtId="0" fontId="44" fillId="0" borderId="0" xfId="0" applyFont="1" applyAlignment="1">
      <alignment horizontal="center"/>
    </xf>
    <xf numFmtId="173" fontId="44" fillId="14" borderId="0" xfId="0" applyNumberFormat="1" applyFont="1" applyFill="1"/>
    <xf numFmtId="164" fontId="44" fillId="14" borderId="0" xfId="0" applyNumberFormat="1" applyFont="1" applyFill="1"/>
    <xf numFmtId="170" fontId="44" fillId="0" borderId="0" xfId="0" applyNumberFormat="1" applyFont="1" applyAlignment="1">
      <alignment horizontal="center"/>
    </xf>
    <xf numFmtId="3" fontId="44" fillId="0" borderId="1" xfId="0" applyNumberFormat="1" applyFont="1" applyBorder="1" applyAlignment="1">
      <alignment horizontal="center"/>
    </xf>
    <xf numFmtId="3" fontId="44" fillId="0" borderId="2" xfId="0" applyNumberFormat="1" applyFont="1" applyBorder="1" applyAlignment="1">
      <alignment horizontal="center"/>
    </xf>
    <xf numFmtId="0" fontId="44" fillId="14" borderId="12" xfId="0" applyFont="1" applyFill="1" applyBorder="1"/>
    <xf numFmtId="170" fontId="44" fillId="14" borderId="12" xfId="0" applyNumberFormat="1" applyFont="1" applyFill="1" applyBorder="1"/>
    <xf numFmtId="0" fontId="44" fillId="0" borderId="12" xfId="0" applyFont="1" applyBorder="1" applyAlignment="1">
      <alignment horizontal="center"/>
    </xf>
    <xf numFmtId="173" fontId="44" fillId="14" borderId="12" xfId="0" applyNumberFormat="1" applyFont="1" applyFill="1" applyBorder="1"/>
    <xf numFmtId="164" fontId="44" fillId="14" borderId="12" xfId="0" applyNumberFormat="1" applyFont="1" applyFill="1" applyBorder="1"/>
    <xf numFmtId="164" fontId="44" fillId="0" borderId="0" xfId="0" applyNumberFormat="1" applyFont="1" applyAlignment="1">
      <alignment horizontal="center"/>
    </xf>
    <xf numFmtId="164" fontId="44" fillId="0" borderId="1" xfId="0" applyNumberFormat="1" applyFont="1" applyBorder="1" applyAlignment="1">
      <alignment horizontal="center"/>
    </xf>
    <xf numFmtId="164" fontId="44" fillId="0" borderId="2" xfId="0" applyNumberFormat="1" applyFont="1" applyBorder="1" applyAlignment="1">
      <alignment horizontal="center"/>
    </xf>
    <xf numFmtId="0" fontId="13" fillId="14" borderId="0" xfId="0" applyFont="1" applyFill="1"/>
    <xf numFmtId="173" fontId="13" fillId="14" borderId="0" xfId="0" applyNumberFormat="1" applyFont="1" applyFill="1" applyAlignment="1">
      <alignment horizontal="right"/>
    </xf>
    <xf numFmtId="164" fontId="13" fillId="14" borderId="0" xfId="0" applyNumberFormat="1" applyFont="1" applyFill="1" applyAlignment="1">
      <alignment horizontal="right"/>
    </xf>
    <xf numFmtId="170" fontId="13" fillId="14" borderId="0" xfId="0" applyNumberFormat="1" applyFont="1" applyFill="1"/>
    <xf numFmtId="0" fontId="44" fillId="14" borderId="8" xfId="0" applyFont="1" applyFill="1" applyBorder="1"/>
    <xf numFmtId="170" fontId="44" fillId="14" borderId="8" xfId="0" applyNumberFormat="1" applyFont="1" applyFill="1" applyBorder="1"/>
    <xf numFmtId="0" fontId="44" fillId="0" borderId="8" xfId="0" applyFont="1" applyBorder="1" applyAlignment="1">
      <alignment horizontal="center"/>
    </xf>
    <xf numFmtId="173" fontId="44" fillId="14" borderId="8" xfId="0" applyNumberFormat="1" applyFont="1" applyFill="1" applyBorder="1"/>
    <xf numFmtId="164" fontId="44" fillId="14" borderId="8" xfId="0" applyNumberFormat="1" applyFont="1" applyFill="1" applyBorder="1"/>
    <xf numFmtId="164" fontId="44" fillId="0" borderId="0" xfId="0" applyNumberFormat="1" applyFont="1"/>
    <xf numFmtId="173" fontId="44" fillId="0" borderId="0" xfId="0" applyNumberFormat="1" applyFont="1"/>
    <xf numFmtId="170" fontId="44" fillId="0" borderId="0" xfId="0" applyNumberFormat="1" applyFont="1"/>
    <xf numFmtId="0" fontId="44" fillId="0" borderId="12" xfId="0" applyFont="1" applyBorder="1"/>
    <xf numFmtId="170" fontId="44" fillId="0" borderId="12" xfId="0" applyNumberFormat="1" applyFont="1" applyBorder="1"/>
    <xf numFmtId="164" fontId="44" fillId="0" borderId="12" xfId="0" applyNumberFormat="1" applyFont="1" applyBorder="1"/>
    <xf numFmtId="164" fontId="44" fillId="0" borderId="0" xfId="0" applyNumberFormat="1" applyFont="1" applyAlignment="1">
      <alignment horizontal="left"/>
    </xf>
    <xf numFmtId="0" fontId="45" fillId="0" borderId="12" xfId="0" applyFont="1" applyBorder="1"/>
    <xf numFmtId="0" fontId="46" fillId="0" borderId="0" xfId="0" applyFont="1"/>
    <xf numFmtId="0" fontId="47" fillId="0" borderId="8" xfId="0" applyFont="1" applyBorder="1"/>
    <xf numFmtId="0" fontId="44" fillId="0" borderId="8" xfId="0" applyFont="1" applyBorder="1"/>
    <xf numFmtId="170" fontId="44" fillId="0" borderId="8" xfId="0" applyNumberFormat="1" applyFont="1" applyBorder="1"/>
    <xf numFmtId="164" fontId="44" fillId="0" borderId="8" xfId="0" applyNumberFormat="1" applyFont="1" applyBorder="1"/>
    <xf numFmtId="0" fontId="48" fillId="0" borderId="0" xfId="0" applyFont="1"/>
    <xf numFmtId="0" fontId="49" fillId="0" borderId="0" xfId="0" applyFont="1"/>
    <xf numFmtId="170" fontId="49" fillId="0" borderId="0" xfId="0" applyNumberFormat="1" applyFont="1" applyAlignment="1">
      <alignment horizontal="center"/>
    </xf>
    <xf numFmtId="170" fontId="21" fillId="0" borderId="0" xfId="0" applyNumberFormat="1" applyFont="1" applyAlignment="1">
      <alignment horizontal="center"/>
    </xf>
    <xf numFmtId="170" fontId="49" fillId="0" borderId="0" xfId="0" applyNumberFormat="1" applyFont="1"/>
    <xf numFmtId="164" fontId="49" fillId="0" borderId="0" xfId="0" applyNumberFormat="1" applyFont="1"/>
    <xf numFmtId="0" fontId="50" fillId="0" borderId="5" xfId="0" applyFont="1" applyBorder="1" applyAlignment="1">
      <alignment horizontal="center"/>
    </xf>
    <xf numFmtId="0" fontId="51" fillId="0" borderId="5" xfId="0" applyFont="1" applyBorder="1"/>
    <xf numFmtId="0" fontId="52" fillId="0" borderId="0" xfId="0" applyFont="1"/>
    <xf numFmtId="0" fontId="31" fillId="0" borderId="7" xfId="0" applyFont="1" applyBorder="1" applyAlignment="1">
      <alignment horizontal="center"/>
    </xf>
    <xf numFmtId="164" fontId="32" fillId="0" borderId="15" xfId="0" applyNumberFormat="1" applyFont="1" applyBorder="1"/>
    <xf numFmtId="0" fontId="32" fillId="0" borderId="15" xfId="0" applyFont="1" applyBorder="1"/>
    <xf numFmtId="0" fontId="53" fillId="0" borderId="15" xfId="0" applyFont="1" applyBorder="1"/>
    <xf numFmtId="164" fontId="32" fillId="0" borderId="7" xfId="0" applyNumberFormat="1" applyFont="1" applyBorder="1"/>
    <xf numFmtId="164" fontId="32" fillId="0" borderId="18" xfId="0" applyNumberFormat="1" applyFont="1" applyBorder="1" applyAlignment="1">
      <alignment horizontal="right"/>
    </xf>
    <xf numFmtId="164" fontId="32" fillId="0" borderId="7" xfId="0" applyNumberFormat="1" applyFont="1" applyBorder="1" applyAlignment="1">
      <alignment horizontal="right"/>
    </xf>
    <xf numFmtId="0" fontId="32" fillId="0" borderId="7" xfId="0" applyFont="1" applyBorder="1"/>
    <xf numFmtId="164" fontId="31" fillId="0" borderId="7" xfId="0" applyNumberFormat="1" applyFont="1" applyBorder="1" applyAlignment="1">
      <alignment horizontal="center"/>
    </xf>
    <xf numFmtId="0" fontId="54" fillId="0" borderId="11" xfId="0" applyFont="1" applyBorder="1"/>
    <xf numFmtId="0" fontId="55" fillId="0" borderId="15" xfId="0" applyFont="1" applyBorder="1"/>
    <xf numFmtId="0" fontId="23" fillId="0" borderId="15" xfId="0" applyFont="1" applyBorder="1"/>
    <xf numFmtId="164" fontId="23" fillId="0" borderId="15" xfId="0" applyNumberFormat="1" applyFont="1" applyBorder="1"/>
    <xf numFmtId="0" fontId="56" fillId="0" borderId="0" xfId="0" applyFont="1" applyAlignment="1">
      <alignment horizontal="right"/>
    </xf>
    <xf numFmtId="0" fontId="16" fillId="0" borderId="0" xfId="0" applyFont="1" applyAlignment="1">
      <alignment horizontal="center"/>
    </xf>
    <xf numFmtId="0" fontId="0" fillId="0" borderId="0" xfId="0"/>
    <xf numFmtId="177" fontId="18" fillId="0" borderId="0" xfId="0" applyNumberFormat="1" applyFont="1" applyAlignment="1">
      <alignment horizontal="left"/>
    </xf>
    <xf numFmtId="0" fontId="12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2" fillId="0" borderId="3" xfId="0" applyFont="1" applyBorder="1" applyAlignment="1">
      <alignment horizontal="center"/>
    </xf>
    <xf numFmtId="0" fontId="25" fillId="0" borderId="4" xfId="0" applyFont="1" applyBorder="1"/>
    <xf numFmtId="0" fontId="12" fillId="0" borderId="0" xfId="0" applyFont="1" applyAlignment="1">
      <alignment horizontal="left" textRotation="90"/>
    </xf>
    <xf numFmtId="0" fontId="25" fillId="0" borderId="5" xfId="0" applyFont="1" applyBorder="1"/>
    <xf numFmtId="0" fontId="12" fillId="0" borderId="0" xfId="0" applyFont="1" applyAlignment="1">
      <alignment textRotation="90"/>
    </xf>
    <xf numFmtId="0" fontId="12" fillId="0" borderId="4" xfId="0" applyFont="1" applyBorder="1" applyAlignment="1">
      <alignment textRotation="90"/>
    </xf>
    <xf numFmtId="0" fontId="25" fillId="0" borderId="17" xfId="0" applyFont="1" applyBorder="1"/>
    <xf numFmtId="0" fontId="12" fillId="0" borderId="0" xfId="0" applyFont="1" applyAlignment="1">
      <alignment horizontal="center" textRotation="90"/>
    </xf>
    <xf numFmtId="0" fontId="12" fillId="0" borderId="4" xfId="0" applyFont="1" applyBorder="1" applyAlignment="1">
      <alignment horizontal="center" textRotation="90"/>
    </xf>
    <xf numFmtId="0" fontId="12" fillId="0" borderId="14" xfId="0" applyFont="1" applyBorder="1" applyAlignment="1">
      <alignment horizontal="center" textRotation="90"/>
    </xf>
    <xf numFmtId="0" fontId="25" fillId="0" borderId="14" xfId="0" applyFont="1" applyBorder="1"/>
    <xf numFmtId="0" fontId="12" fillId="0" borderId="3" xfId="0" applyFont="1" applyBorder="1" applyAlignment="1">
      <alignment horizontal="center" textRotation="90"/>
    </xf>
    <xf numFmtId="0" fontId="25" fillId="0" borderId="3" xfId="0" applyFont="1" applyBorder="1"/>
    <xf numFmtId="0" fontId="18" fillId="0" borderId="0" xfId="0" applyFont="1" applyAlignment="1">
      <alignment horizontal="center"/>
    </xf>
    <xf numFmtId="0" fontId="18" fillId="0" borderId="12" xfId="0" applyFont="1" applyBorder="1" applyAlignment="1">
      <alignment horizontal="center"/>
    </xf>
    <xf numFmtId="0" fontId="25" fillId="0" borderId="12" xfId="0" applyFont="1" applyBorder="1"/>
    <xf numFmtId="0" fontId="37" fillId="0" borderId="0" xfId="0" applyFont="1" applyAlignment="1">
      <alignment horizontal="center"/>
    </xf>
    <xf numFmtId="0" fontId="4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7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fedex.com/fedextrack/?tracknumbers=270017820387&amp;cntry_code=us" TargetMode="External"/><Relationship Id="rId21" Type="http://schemas.openxmlformats.org/officeDocument/2006/relationships/hyperlink" Target="https://www.fedex.com/fedextrack/?tracknumbers=288466895982&amp;cntry_code=us" TargetMode="External"/><Relationship Id="rId42" Type="http://schemas.openxmlformats.org/officeDocument/2006/relationships/hyperlink" Target="https://www.fedex.com/fedextrack/?tracknumbers=288782232600&amp;cntry_code=us" TargetMode="External"/><Relationship Id="rId63" Type="http://schemas.openxmlformats.org/officeDocument/2006/relationships/hyperlink" Target="https://www.fedex.com/fedextrack/?tracknumbers=775860366577&amp;cntry_code=us" TargetMode="External"/><Relationship Id="rId84" Type="http://schemas.openxmlformats.org/officeDocument/2006/relationships/hyperlink" Target="https://www.fedex.com/fedextrack/?tracknumbers=289202265917&amp;cntry_code=us" TargetMode="External"/><Relationship Id="rId138" Type="http://schemas.openxmlformats.org/officeDocument/2006/relationships/hyperlink" Target="https://www.fedex.com/fedextrack/?tracknumbers=270534155036&amp;cntry_code=us" TargetMode="External"/><Relationship Id="rId159" Type="http://schemas.openxmlformats.org/officeDocument/2006/relationships/hyperlink" Target="https://www.fedex.com/fedextrack/?tracknumbers=270739626383&amp;cntry_code=us" TargetMode="External"/><Relationship Id="rId170" Type="http://schemas.openxmlformats.org/officeDocument/2006/relationships/hyperlink" Target="https://www.fedex.com/fedextrack/?tracknumbers=270796633153&amp;cntry_code=us" TargetMode="External"/><Relationship Id="rId191" Type="http://schemas.openxmlformats.org/officeDocument/2006/relationships/hyperlink" Target="https://www.fedex.com/fedextrack/?tracknumbers=271329364656&amp;cntry_code=us" TargetMode="External"/><Relationship Id="rId205" Type="http://schemas.openxmlformats.org/officeDocument/2006/relationships/hyperlink" Target="https://www.fedex.com/fedextrack/?tracknumbers=271580286651&amp;cntry_code=us" TargetMode="External"/><Relationship Id="rId107" Type="http://schemas.openxmlformats.org/officeDocument/2006/relationships/hyperlink" Target="https://www.fedex.com/fedextrack/?tracknumbers=289946849878&amp;cntry_code=us" TargetMode="External"/><Relationship Id="rId11" Type="http://schemas.openxmlformats.org/officeDocument/2006/relationships/hyperlink" Target="https://www.fedex.com/fedextrack/?tracknumbers=288260693097&amp;cntry_code=us" TargetMode="External"/><Relationship Id="rId32" Type="http://schemas.openxmlformats.org/officeDocument/2006/relationships/hyperlink" Target="https://www.fedex.com/fedextrack/?tracknumbers=288684012213&amp;cntry_code=us" TargetMode="External"/><Relationship Id="rId53" Type="http://schemas.openxmlformats.org/officeDocument/2006/relationships/hyperlink" Target="https://www.fedex.com/fedextrack/?tracknumbers=288927119510&amp;cntry_code=us" TargetMode="External"/><Relationship Id="rId74" Type="http://schemas.openxmlformats.org/officeDocument/2006/relationships/hyperlink" Target="https://www.fedex.com/fedextrack/?tracknumbers=775890273991&amp;cntry_code=us" TargetMode="External"/><Relationship Id="rId128" Type="http://schemas.openxmlformats.org/officeDocument/2006/relationships/hyperlink" Target="https://www.fedex.com/fedextrack/?tracknumbers=270387533203&amp;cntry_code=us" TargetMode="External"/><Relationship Id="rId149" Type="http://schemas.openxmlformats.org/officeDocument/2006/relationships/hyperlink" Target="https://www.fedex.com/fedextrack/no-results-found?trknbr=776255428536" TargetMode="External"/><Relationship Id="rId5" Type="http://schemas.openxmlformats.org/officeDocument/2006/relationships/hyperlink" Target="https://www.fedex.com/fedextrack/?tracknumbers=288254216390&amp;cntry_code=us" TargetMode="External"/><Relationship Id="rId95" Type="http://schemas.openxmlformats.org/officeDocument/2006/relationships/hyperlink" Target="https://www.ups.com/track?loc=en_US&amp;tracknum=1Z4A055W0319844451" TargetMode="External"/><Relationship Id="rId160" Type="http://schemas.openxmlformats.org/officeDocument/2006/relationships/hyperlink" Target="https://www.fedex.com/fedextrack/no-results-found?trknbr=776279376039" TargetMode="External"/><Relationship Id="rId181" Type="http://schemas.openxmlformats.org/officeDocument/2006/relationships/hyperlink" Target="https://www.fedex.com/fedextrack/?tracknumbers=271032013780&amp;cntry_code=us" TargetMode="External"/><Relationship Id="rId22" Type="http://schemas.openxmlformats.org/officeDocument/2006/relationships/hyperlink" Target="https://www.fedex.com/fedextrack/?tracknumbers=775687609466&amp;cntry_code=us" TargetMode="External"/><Relationship Id="rId43" Type="http://schemas.openxmlformats.org/officeDocument/2006/relationships/hyperlink" Target="https://www.fedex.com/fedextrack/?tracknumbers=288781904051&amp;cntry_code=us" TargetMode="External"/><Relationship Id="rId64" Type="http://schemas.openxmlformats.org/officeDocument/2006/relationships/hyperlink" Target="https://www.fedex.com/fedextrack/?tracknumbers=775868657527&amp;cntry_code=us" TargetMode="External"/><Relationship Id="rId118" Type="http://schemas.openxmlformats.org/officeDocument/2006/relationships/hyperlink" Target="https://www.fedex.com/fedextrack/?tracknumbers=270017810158&amp;cntry_code=us" TargetMode="External"/><Relationship Id="rId139" Type="http://schemas.openxmlformats.org/officeDocument/2006/relationships/hyperlink" Target="https://www.fedex.com/fedextrack/?tracknumbers=270534273494&amp;cntry_code=us" TargetMode="External"/><Relationship Id="rId85" Type="http://schemas.openxmlformats.org/officeDocument/2006/relationships/hyperlink" Target="https://www.fedex.com/fedextrack/?tracknumbers=289160366607&amp;cntry_code=us" TargetMode="External"/><Relationship Id="rId150" Type="http://schemas.openxmlformats.org/officeDocument/2006/relationships/hyperlink" Target="https://www.fedex.com/fedextrack/?tracknumbers=270694848330&amp;cntry_code=us" TargetMode="External"/><Relationship Id="rId171" Type="http://schemas.openxmlformats.org/officeDocument/2006/relationships/hyperlink" Target="https://www.fedex.com/fedextrack/?tracknumbers=270892542851&amp;cntry_code=us" TargetMode="External"/><Relationship Id="rId192" Type="http://schemas.openxmlformats.org/officeDocument/2006/relationships/hyperlink" Target="https://www.fedex.com/fedextrack/?tracknumbers=271329724930&amp;cntry_code=us" TargetMode="External"/><Relationship Id="rId206" Type="http://schemas.openxmlformats.org/officeDocument/2006/relationships/hyperlink" Target="https://www.fedex.com/fedextrack/?tracknumbers=271580718158&amp;cntry_code=us" TargetMode="External"/><Relationship Id="rId12" Type="http://schemas.openxmlformats.org/officeDocument/2006/relationships/hyperlink" Target="https://www.fedex.com/fedextrack/?tracknumbers=288260701570&amp;cntry_code=us" TargetMode="External"/><Relationship Id="rId33" Type="http://schemas.openxmlformats.org/officeDocument/2006/relationships/hyperlink" Target="https://www.fedex.com/fedextrack/?tracknumbers=288684054676&amp;cntry_code=us" TargetMode="External"/><Relationship Id="rId108" Type="http://schemas.openxmlformats.org/officeDocument/2006/relationships/hyperlink" Target="https://www.fedex.com/fedextrack/?tracknumbers=289947908947&amp;cntry_code=us" TargetMode="External"/><Relationship Id="rId129" Type="http://schemas.openxmlformats.org/officeDocument/2006/relationships/hyperlink" Target="https://www.fedex.com/fedextrack/?tracknumbers=270418555174&amp;cntry_code=us" TargetMode="External"/><Relationship Id="rId54" Type="http://schemas.openxmlformats.org/officeDocument/2006/relationships/hyperlink" Target="https://www.fedex.com/fedextrack/?tracknumbers=288927242989&amp;cntry_code=us" TargetMode="External"/><Relationship Id="rId75" Type="http://schemas.openxmlformats.org/officeDocument/2006/relationships/hyperlink" Target="https://www.fedex.com/fedextrack/?tracknumbers=289203393927&amp;cntry_code=us" TargetMode="External"/><Relationship Id="rId96" Type="http://schemas.openxmlformats.org/officeDocument/2006/relationships/hyperlink" Target="https://www.ups.com/track?loc=en_US&amp;tracknum=1Z4A055W0319844451" TargetMode="External"/><Relationship Id="rId140" Type="http://schemas.openxmlformats.org/officeDocument/2006/relationships/hyperlink" Target="https://www.fedex.com/fedextrack/?tracknumbers=270534386420&amp;cntry_code=us" TargetMode="External"/><Relationship Id="rId161" Type="http://schemas.openxmlformats.org/officeDocument/2006/relationships/hyperlink" Target="https://www.fedex.com/fedextrack/no-results-found?trknbr=776280143609" TargetMode="External"/><Relationship Id="rId182" Type="http://schemas.openxmlformats.org/officeDocument/2006/relationships/hyperlink" Target="https://www.fedex.com/fedextrack/?tracknumbers=271033260641&amp;cntry_code=us" TargetMode="External"/><Relationship Id="rId6" Type="http://schemas.openxmlformats.org/officeDocument/2006/relationships/hyperlink" Target="https://www.fedex.com/fedextrack/?tracknumbers=288254255343&amp;cntry_code=us" TargetMode="External"/><Relationship Id="rId23" Type="http://schemas.openxmlformats.org/officeDocument/2006/relationships/hyperlink" Target="https://www.fedex.com/fedextrack/?tracknumbers=288468915546&amp;cntry_code=us" TargetMode="External"/><Relationship Id="rId119" Type="http://schemas.openxmlformats.org/officeDocument/2006/relationships/hyperlink" Target="https://www.fedex.com/fedextrack/?tracknumbers=270174992127&amp;cntry_code=us" TargetMode="External"/><Relationship Id="rId44" Type="http://schemas.openxmlformats.org/officeDocument/2006/relationships/hyperlink" Target="https://www.fedex.com/fedextrack/?tracknumbers=288758057604&amp;cntry_code=us" TargetMode="External"/><Relationship Id="rId65" Type="http://schemas.openxmlformats.org/officeDocument/2006/relationships/hyperlink" Target="https://www.fedex.com/fedextrack/?tracknumbers=775865565660&amp;cntry_code=us" TargetMode="External"/><Relationship Id="rId86" Type="http://schemas.openxmlformats.org/officeDocument/2006/relationships/hyperlink" Target="https://www.fedex.com/fedextrack/?tracknumbers=289243645993&amp;cntry_code=us" TargetMode="External"/><Relationship Id="rId130" Type="http://schemas.openxmlformats.org/officeDocument/2006/relationships/hyperlink" Target="https://www.fedex.com/fedextrack/?tracknumbers=270430425331&amp;cntry_code=us" TargetMode="External"/><Relationship Id="rId151" Type="http://schemas.openxmlformats.org/officeDocument/2006/relationships/hyperlink" Target="https://www.fedex.com/fedextrack/?tracknumbers=270695373470&amp;cntry_code=us" TargetMode="External"/><Relationship Id="rId172" Type="http://schemas.openxmlformats.org/officeDocument/2006/relationships/hyperlink" Target="https://www.fedex.com/fedextrack/?tracknumbers=270893659320&amp;cntry_code=us" TargetMode="External"/><Relationship Id="rId193" Type="http://schemas.openxmlformats.org/officeDocument/2006/relationships/hyperlink" Target="https://www.fedex.com/fedextrack/?tracknumbers=271329884490&amp;cntry_code=us" TargetMode="External"/><Relationship Id="rId207" Type="http://schemas.openxmlformats.org/officeDocument/2006/relationships/hyperlink" Target="https://www.fedex.com/fedextrack/?tracknumbers=271577475550&amp;cntry_code=us" TargetMode="External"/><Relationship Id="rId13" Type="http://schemas.openxmlformats.org/officeDocument/2006/relationships/hyperlink" Target="https://www.fedex.com/fedextrack/?tracknumbers=288264960824&amp;cntry_code=us" TargetMode="External"/><Relationship Id="rId109" Type="http://schemas.openxmlformats.org/officeDocument/2006/relationships/hyperlink" Target="https://www.fedex.com/fedextrack/?tracknumbers=776090738174&amp;cntry_code=us" TargetMode="External"/><Relationship Id="rId34" Type="http://schemas.openxmlformats.org/officeDocument/2006/relationships/hyperlink" Target="https://www.fedex.com/fedextrack/?tracknumbers=288711432165&amp;cntry_code=us" TargetMode="External"/><Relationship Id="rId55" Type="http://schemas.openxmlformats.org/officeDocument/2006/relationships/hyperlink" Target="https://www.fedex.com/fedextrack/?tracknumbers=289000987030&amp;cntry_code=us" TargetMode="External"/><Relationship Id="rId76" Type="http://schemas.openxmlformats.org/officeDocument/2006/relationships/hyperlink" Target="https://www.fedex.com/fedextrack/?tracknumbers=289203680123&amp;cntry_code=us" TargetMode="External"/><Relationship Id="rId97" Type="http://schemas.openxmlformats.org/officeDocument/2006/relationships/hyperlink" Target="https://www.fedex.com/fedextrack/no-results-found?trknbr=776029131932" TargetMode="External"/><Relationship Id="rId120" Type="http://schemas.openxmlformats.org/officeDocument/2006/relationships/hyperlink" Target="https://www.fedex.com/fedextrack/?tracknumbers=270200730477&amp;cntry_code=us" TargetMode="External"/><Relationship Id="rId141" Type="http://schemas.openxmlformats.org/officeDocument/2006/relationships/hyperlink" Target="https://www.fedex.com/fedextrack/?tracknumbers=270534472092&amp;cntry_code=us" TargetMode="External"/><Relationship Id="rId7" Type="http://schemas.openxmlformats.org/officeDocument/2006/relationships/hyperlink" Target="https://www.fedex.com/fedextrack/?tracknumbers=288254255343&amp;cntry_code=us" TargetMode="External"/><Relationship Id="rId162" Type="http://schemas.openxmlformats.org/officeDocument/2006/relationships/hyperlink" Target="https://www.fedex.com/fedextrack/no-results-found?trknbr=776280220747" TargetMode="External"/><Relationship Id="rId183" Type="http://schemas.openxmlformats.org/officeDocument/2006/relationships/hyperlink" Target="https://www.fedex.com/fedextrack/?tracknumbers=271035052099&amp;cntry_code=us" TargetMode="External"/><Relationship Id="rId24" Type="http://schemas.openxmlformats.org/officeDocument/2006/relationships/hyperlink" Target="https://www.fedex.com/fedextrack/?tracknumbers=288511278615&amp;cntry_code=us" TargetMode="External"/><Relationship Id="rId40" Type="http://schemas.openxmlformats.org/officeDocument/2006/relationships/hyperlink" Target="https://www.fedex.com/fedextrack/?tracknumbers=288781810054&amp;cntry_code=us" TargetMode="External"/><Relationship Id="rId45" Type="http://schemas.openxmlformats.org/officeDocument/2006/relationships/hyperlink" Target="https://www.fedex.com/fedextrack/?tracknumbers=288781855038&amp;cntry_code=us" TargetMode="External"/><Relationship Id="rId66" Type="http://schemas.openxmlformats.org/officeDocument/2006/relationships/hyperlink" Target="https://www.fedex.com/fedextrack/?tracknumbers=775865513879&amp;cntry_code=us" TargetMode="External"/><Relationship Id="rId87" Type="http://schemas.openxmlformats.org/officeDocument/2006/relationships/hyperlink" Target="https://www.fedex.com/fedextrack/?tracknumbers=289244094167&amp;cntry_code=us" TargetMode="External"/><Relationship Id="rId110" Type="http://schemas.openxmlformats.org/officeDocument/2006/relationships/hyperlink" Target="https://www.fedex.com/fedextrack/?tracknumbers=270004235317&amp;cntry_code=us" TargetMode="External"/><Relationship Id="rId115" Type="http://schemas.openxmlformats.org/officeDocument/2006/relationships/hyperlink" Target="https://www.fedex.com/fedextrack/?tracknumbers=270017906993&amp;cntry_code=us" TargetMode="External"/><Relationship Id="rId131" Type="http://schemas.openxmlformats.org/officeDocument/2006/relationships/hyperlink" Target="https://www.fedex.com/fedextrack/?tracknumbers=270432868522&amp;cntry_code=us" TargetMode="External"/><Relationship Id="rId136" Type="http://schemas.openxmlformats.org/officeDocument/2006/relationships/hyperlink" Target="https://www.fedex.com/fedextrack/?tracknumbers=270529330175&amp;cntry_code=us" TargetMode="External"/><Relationship Id="rId157" Type="http://schemas.openxmlformats.org/officeDocument/2006/relationships/hyperlink" Target="https://www.fedex.com/fedextrack/?tracknumbers=270737756824&amp;cntry_code=us" TargetMode="External"/><Relationship Id="rId178" Type="http://schemas.openxmlformats.org/officeDocument/2006/relationships/hyperlink" Target="https://www.fedex.com/fedextrack/?tracknumbers=270989594970&amp;cntry_code=us" TargetMode="External"/><Relationship Id="rId61" Type="http://schemas.openxmlformats.org/officeDocument/2006/relationships/hyperlink" Target="https://www.fedex.com/fedextrack/?tracknumbers=289130736186&amp;cntry_code=us" TargetMode="External"/><Relationship Id="rId82" Type="http://schemas.openxmlformats.org/officeDocument/2006/relationships/hyperlink" Target="https://www.fedex.com/fedextrack/?tracknumbers=289202486082&amp;cntry_code=us" TargetMode="External"/><Relationship Id="rId152" Type="http://schemas.openxmlformats.org/officeDocument/2006/relationships/hyperlink" Target="https://www.fedex.com/fedextrack/?tracknumbers=270695710270&amp;cntry_code=us" TargetMode="External"/><Relationship Id="rId173" Type="http://schemas.openxmlformats.org/officeDocument/2006/relationships/hyperlink" Target="https://www.fedex.com/fedextrack/?tracknumbers=776308187810&amp;cntry_code=us" TargetMode="External"/><Relationship Id="rId194" Type="http://schemas.openxmlformats.org/officeDocument/2006/relationships/hyperlink" Target="https://www.fedex.com/fedextrack/?tracknumbers=271330006383&amp;cntry_code=us" TargetMode="External"/><Relationship Id="rId199" Type="http://schemas.openxmlformats.org/officeDocument/2006/relationships/hyperlink" Target="https://www.fedex.com/fedextrack/?tracknumbers=271517704090&amp;cntry_code=us" TargetMode="External"/><Relationship Id="rId203" Type="http://schemas.openxmlformats.org/officeDocument/2006/relationships/hyperlink" Target="https://www.fedex.com/fedextrack/?tracknumbers=271521709280&amp;cntry_code=us" TargetMode="External"/><Relationship Id="rId208" Type="http://schemas.openxmlformats.org/officeDocument/2006/relationships/hyperlink" Target="https://www.fedex.com/fedextrack/?tracknumbers=271743422760&amp;cntry_code=us" TargetMode="External"/><Relationship Id="rId19" Type="http://schemas.openxmlformats.org/officeDocument/2006/relationships/hyperlink" Target="https://www.fedex.com/fedextrack/?tracknumbers=288466811800&amp;cntry_code=us" TargetMode="External"/><Relationship Id="rId14" Type="http://schemas.openxmlformats.org/officeDocument/2006/relationships/hyperlink" Target="https://www.fedex.com/fedextrack/?tracknumbers=288264972265&amp;cntry_code=us" TargetMode="External"/><Relationship Id="rId30" Type="http://schemas.openxmlformats.org/officeDocument/2006/relationships/hyperlink" Target="https://www.fedex.com/fedextrack/?tracknumbers=775725916324&amp;cntry_code=us" TargetMode="External"/><Relationship Id="rId35" Type="http://schemas.openxmlformats.org/officeDocument/2006/relationships/hyperlink" Target="https://www.fedex.com/fedextrack/?tracknumbers=288711575447&amp;cntry_code=us" TargetMode="External"/><Relationship Id="rId56" Type="http://schemas.openxmlformats.org/officeDocument/2006/relationships/hyperlink" Target="https://www.fedex.com/fedextrack/?tracknumbers=289001147810&amp;cntry_code=us" TargetMode="External"/><Relationship Id="rId77" Type="http://schemas.openxmlformats.org/officeDocument/2006/relationships/hyperlink" Target="https://www.fedex.com/fedextrack/?tracknumbers=289203624947&amp;cntry_code=us" TargetMode="External"/><Relationship Id="rId100" Type="http://schemas.openxmlformats.org/officeDocument/2006/relationships/hyperlink" Target="https://www.fedex.com/fedextrack/?tracknumbers=289772511992&amp;cntry_code=us" TargetMode="External"/><Relationship Id="rId105" Type="http://schemas.openxmlformats.org/officeDocument/2006/relationships/hyperlink" Target="https://www.fedex.com/fedextrack/?tracknumbers=289921393720&amp;cntry_code=us" TargetMode="External"/><Relationship Id="rId126" Type="http://schemas.openxmlformats.org/officeDocument/2006/relationships/hyperlink" Target="https://www.fedex.com/fedextrack/?tracknumbers=270380722295&amp;cntry_code=us" TargetMode="External"/><Relationship Id="rId147" Type="http://schemas.openxmlformats.org/officeDocument/2006/relationships/hyperlink" Target="https://www.fedex.com/fedextrack/no-results-found?trknbr=776244209906" TargetMode="External"/><Relationship Id="rId168" Type="http://schemas.openxmlformats.org/officeDocument/2006/relationships/hyperlink" Target="https://www.fedex.com/fedextrack/?tracknumbers=270795758532&amp;cntry_code=us" TargetMode="External"/><Relationship Id="rId8" Type="http://schemas.openxmlformats.org/officeDocument/2006/relationships/hyperlink" Target="https://www.fedex.com/fedextrack/?tracknumbers=288254255343&amp;cntry_code=us" TargetMode="External"/><Relationship Id="rId51" Type="http://schemas.openxmlformats.org/officeDocument/2006/relationships/hyperlink" Target="https://www.fedex.com/fedextrack/?tracknumbers=288926777010&amp;cntry_code=us" TargetMode="External"/><Relationship Id="rId72" Type="http://schemas.openxmlformats.org/officeDocument/2006/relationships/hyperlink" Target="https://www.fedex.com/fedextrack/?tracknumbers=289160366607&amp;cntry_code=us" TargetMode="External"/><Relationship Id="rId93" Type="http://schemas.openxmlformats.org/officeDocument/2006/relationships/hyperlink" Target="https://www.fedex.com/fedextrack/?tracknumbers=289498890732&amp;cntry_code=us" TargetMode="External"/><Relationship Id="rId98" Type="http://schemas.openxmlformats.org/officeDocument/2006/relationships/hyperlink" Target="https://www.fedex.com/fedextrack/?tracknumbers=289771225696&amp;cntry_code=us" TargetMode="External"/><Relationship Id="rId121" Type="http://schemas.openxmlformats.org/officeDocument/2006/relationships/hyperlink" Target="https://www.fedex.com/fedextrack/?tracknumbers=270214271664&amp;cntry_code=us" TargetMode="External"/><Relationship Id="rId142" Type="http://schemas.openxmlformats.org/officeDocument/2006/relationships/hyperlink" Target="https://www.fedex.com/fedextrack/?tracknumbers=270642762664&amp;cntry_code=us" TargetMode="External"/><Relationship Id="rId163" Type="http://schemas.openxmlformats.org/officeDocument/2006/relationships/hyperlink" Target="https://www.fedex.com/fedextrack/?tracknumbers=270792241692&amp;cntry_code=us" TargetMode="External"/><Relationship Id="rId184" Type="http://schemas.openxmlformats.org/officeDocument/2006/relationships/hyperlink" Target="https://www.fedex.com/fedextrack/?tracknumbers=271037793561&amp;cntry_code=us" TargetMode="External"/><Relationship Id="rId189" Type="http://schemas.openxmlformats.org/officeDocument/2006/relationships/hyperlink" Target="https://www.fedex.com/fedextrack/?tracknumbers=271169517529&amp;cntry_code=us" TargetMode="External"/><Relationship Id="rId3" Type="http://schemas.openxmlformats.org/officeDocument/2006/relationships/hyperlink" Target="https://www.fedex.com/fedextrack/?tracknumbers=288254111580&amp;cntry_code=us" TargetMode="External"/><Relationship Id="rId25" Type="http://schemas.openxmlformats.org/officeDocument/2006/relationships/hyperlink" Target="https://www.fedex.com/fedextrack/?tracknumbers=288511278615&amp;cntry_code=us" TargetMode="External"/><Relationship Id="rId46" Type="http://schemas.openxmlformats.org/officeDocument/2006/relationships/hyperlink" Target="https://www.fedex.com/fedextrack/?tracknumbers=288781833560&amp;cntry_code=us" TargetMode="External"/><Relationship Id="rId67" Type="http://schemas.openxmlformats.org/officeDocument/2006/relationships/hyperlink" Target="https://www.fedex.com/fedextrack/?tracknumbers=775865455357&amp;cntry_code=us" TargetMode="External"/><Relationship Id="rId116" Type="http://schemas.openxmlformats.org/officeDocument/2006/relationships/hyperlink" Target="https://www.fedex.com/fedextrack/?tracknumbers=270017835791&amp;cntry_code=us" TargetMode="External"/><Relationship Id="rId137" Type="http://schemas.openxmlformats.org/officeDocument/2006/relationships/hyperlink" Target="https://www.fedex.com/fedextrack/?tracknumbers=270534063800&amp;cntry_code=us" TargetMode="External"/><Relationship Id="rId158" Type="http://schemas.openxmlformats.org/officeDocument/2006/relationships/hyperlink" Target="https://www.fedex.com/fedextrack/?tracknumbers=270738995065&amp;cntry_code=us" TargetMode="External"/><Relationship Id="rId20" Type="http://schemas.openxmlformats.org/officeDocument/2006/relationships/hyperlink" Target="https://www.fedex.com/fedextrack/?tracknumbers=288466947803&amp;cntry_code=us" TargetMode="External"/><Relationship Id="rId41" Type="http://schemas.openxmlformats.org/officeDocument/2006/relationships/hyperlink" Target="https://www.fedex.com/fedextrack/?tracknumbers=288782218559&amp;cntry_code=us" TargetMode="External"/><Relationship Id="rId62" Type="http://schemas.openxmlformats.org/officeDocument/2006/relationships/hyperlink" Target="https://www.fedex.com/fedextrack/?tracknumbers=289130993718&amp;cntry_code=us" TargetMode="External"/><Relationship Id="rId83" Type="http://schemas.openxmlformats.org/officeDocument/2006/relationships/hyperlink" Target="https://www.fedex.com/fedextrack/?tracknumbers=289202346465&amp;cntry_code=us" TargetMode="External"/><Relationship Id="rId88" Type="http://schemas.openxmlformats.org/officeDocument/2006/relationships/hyperlink" Target="https://www.fedex.com/fedextrack/?tracknumbers=289451313239&amp;cntry_code=us" TargetMode="External"/><Relationship Id="rId111" Type="http://schemas.openxmlformats.org/officeDocument/2006/relationships/hyperlink" Target="https://www.fedex.com/fedextrack/?tracknumbers=270004191553&amp;cntry_code=us" TargetMode="External"/><Relationship Id="rId132" Type="http://schemas.openxmlformats.org/officeDocument/2006/relationships/hyperlink" Target="https://www.fedex.com/fedextrack/?tracknumbers=270434200176&amp;cntry_code=us" TargetMode="External"/><Relationship Id="rId153" Type="http://schemas.openxmlformats.org/officeDocument/2006/relationships/hyperlink" Target="https://www.fedex.com/fedextrack/?tracknumbers=270732119876&amp;cntry_code=us" TargetMode="External"/><Relationship Id="rId174" Type="http://schemas.openxmlformats.org/officeDocument/2006/relationships/hyperlink" Target="https://www.fedex.com/fedextrack/?tracknumbers=270937541659&amp;cntry_code=us" TargetMode="External"/><Relationship Id="rId179" Type="http://schemas.openxmlformats.org/officeDocument/2006/relationships/hyperlink" Target="https://www.fedex.com/fedextrack/?tracknumbers=776330213228&amp;cntry_code=us" TargetMode="External"/><Relationship Id="rId195" Type="http://schemas.openxmlformats.org/officeDocument/2006/relationships/hyperlink" Target="https://www.fedex.com/fedextrack/?tracknumbers=271330188559&amp;cntry_code=us" TargetMode="External"/><Relationship Id="rId190" Type="http://schemas.openxmlformats.org/officeDocument/2006/relationships/hyperlink" Target="https://www.fedex.com/fedextrack/?tracknumbers=271169809816&amp;cntry_code=us" TargetMode="External"/><Relationship Id="rId204" Type="http://schemas.openxmlformats.org/officeDocument/2006/relationships/hyperlink" Target="https://www.fedex.com/fedextrack/?tracknumbers=271522128870&amp;cntry_code=us" TargetMode="External"/><Relationship Id="rId15" Type="http://schemas.openxmlformats.org/officeDocument/2006/relationships/hyperlink" Target="https://www.fedex.com/fedextrack/?tracknumbers=288424705529&amp;cntry_code=us" TargetMode="External"/><Relationship Id="rId36" Type="http://schemas.openxmlformats.org/officeDocument/2006/relationships/hyperlink" Target="https://www.fedex.com/fedextrack/?tracknumbers=288758057604&amp;cntry_code=us" TargetMode="External"/><Relationship Id="rId57" Type="http://schemas.openxmlformats.org/officeDocument/2006/relationships/hyperlink" Target="https://www.fedex.com/fedextrack/?tracknumbers=289001405694&amp;cntry_code=us" TargetMode="External"/><Relationship Id="rId106" Type="http://schemas.openxmlformats.org/officeDocument/2006/relationships/hyperlink" Target="https://www.fedex.com/fedextrack/?tracknumbers=289922136415&amp;cntry_code=us" TargetMode="External"/><Relationship Id="rId127" Type="http://schemas.openxmlformats.org/officeDocument/2006/relationships/hyperlink" Target="https://www.fedex.com/fedextrack/?tracknumbers=270386829831&amp;cntry_code=us" TargetMode="External"/><Relationship Id="rId10" Type="http://schemas.openxmlformats.org/officeDocument/2006/relationships/hyperlink" Target="https://www.fedex.com/fedextrack/?tracknumbers=288258489011&amp;cntry_code=us" TargetMode="External"/><Relationship Id="rId31" Type="http://schemas.openxmlformats.org/officeDocument/2006/relationships/hyperlink" Target="https://www.fedex.com/fedextrack/?tracknumbers=288683978351&amp;cntry_code=us" TargetMode="External"/><Relationship Id="rId52" Type="http://schemas.openxmlformats.org/officeDocument/2006/relationships/hyperlink" Target="https://www.fedex.com/fedextrack/?tracknumbers=288927119510&amp;cntry_code=us" TargetMode="External"/><Relationship Id="rId73" Type="http://schemas.openxmlformats.org/officeDocument/2006/relationships/hyperlink" Target="https://www.fedex.com/fedextrack/?tracknumbers=775890273991&amp;cntry_code=us" TargetMode="External"/><Relationship Id="rId78" Type="http://schemas.openxmlformats.org/officeDocument/2006/relationships/hyperlink" Target="https://www.fedex.com/fedextrack/?tracknumbers=289203535264&amp;cntry_code=us" TargetMode="External"/><Relationship Id="rId94" Type="http://schemas.openxmlformats.org/officeDocument/2006/relationships/hyperlink" Target="https://www.ups.com/track?loc=en_US&amp;tracknum=1Z4A055W0319844451" TargetMode="External"/><Relationship Id="rId99" Type="http://schemas.openxmlformats.org/officeDocument/2006/relationships/hyperlink" Target="https://www.fedex.com/fedextrack/?tracknumbers=289771225696&amp;cntry_code=us" TargetMode="External"/><Relationship Id="rId101" Type="http://schemas.openxmlformats.org/officeDocument/2006/relationships/hyperlink" Target="https://www.fedex.com/fedextrack/?tracknumbers=289869594653&amp;cntry_code=us" TargetMode="External"/><Relationship Id="rId122" Type="http://schemas.openxmlformats.org/officeDocument/2006/relationships/hyperlink" Target="https://www.fedex.com/fedextrack/?tracknumbers=270216938244&amp;cntry_code=us" TargetMode="External"/><Relationship Id="rId143" Type="http://schemas.openxmlformats.org/officeDocument/2006/relationships/hyperlink" Target="https://www.fedex.com/fedextrack/?tracknumbers=270648103211&amp;cntry_code=us" TargetMode="External"/><Relationship Id="rId148" Type="http://schemas.openxmlformats.org/officeDocument/2006/relationships/hyperlink" Target="https://www.fedex.com/fedextrack/no-results-found?trknbr=776255428536" TargetMode="External"/><Relationship Id="rId164" Type="http://schemas.openxmlformats.org/officeDocument/2006/relationships/hyperlink" Target="https://www.fedex.com/fedextrack/?trknbr=776281675659&amp;trkqual=2459651000~776281675659~FX" TargetMode="External"/><Relationship Id="rId169" Type="http://schemas.openxmlformats.org/officeDocument/2006/relationships/hyperlink" Target="https://www.fedex.com/fedextrack/?tracknumbers=270796473390&amp;cntry_code=us" TargetMode="External"/><Relationship Id="rId185" Type="http://schemas.openxmlformats.org/officeDocument/2006/relationships/hyperlink" Target="https://www.fedex.com/fedextrack/?tracknumbers=271038472528&amp;cntry_code=us" TargetMode="External"/><Relationship Id="rId4" Type="http://schemas.openxmlformats.org/officeDocument/2006/relationships/hyperlink" Target="https://www.fedex.com/fedextrack/?tracknumbers=288254175559&amp;cntry_code=us" TargetMode="External"/><Relationship Id="rId9" Type="http://schemas.openxmlformats.org/officeDocument/2006/relationships/hyperlink" Target="https://www.fedex.com/fedextrack/?tracknumbers=288254255343&amp;cntry_code=us" TargetMode="External"/><Relationship Id="rId180" Type="http://schemas.openxmlformats.org/officeDocument/2006/relationships/hyperlink" Target="https://www.fedex.com/fedextrack/?action=track&amp;tracknumbers=776331348828&amp;cntry_code=undefined&amp;wsch=true" TargetMode="External"/><Relationship Id="rId26" Type="http://schemas.openxmlformats.org/officeDocument/2006/relationships/hyperlink" Target="https://www.fedex.com/fedextrack/?tracknumbers=288511258120&amp;cntry_code=us" TargetMode="External"/><Relationship Id="rId47" Type="http://schemas.openxmlformats.org/officeDocument/2006/relationships/hyperlink" Target="https://www.fedex.com/fedextrack/?tracknumbers=288766967115&amp;cntry_code=us" TargetMode="External"/><Relationship Id="rId68" Type="http://schemas.openxmlformats.org/officeDocument/2006/relationships/hyperlink" Target="https://www.fedex.com/fedextrack/?tracknumbers=775865396218&amp;cntry_code=us" TargetMode="External"/><Relationship Id="rId89" Type="http://schemas.openxmlformats.org/officeDocument/2006/relationships/hyperlink" Target="https://www.fedex.com/fedextrack/?tracknumbers=289462456551&amp;cntry_code=us" TargetMode="External"/><Relationship Id="rId112" Type="http://schemas.openxmlformats.org/officeDocument/2006/relationships/hyperlink" Target="https://www.fedex.com/fedextrack/?tracknumbers=270003981547&amp;cntry_code=us" TargetMode="External"/><Relationship Id="rId133" Type="http://schemas.openxmlformats.org/officeDocument/2006/relationships/hyperlink" Target="https://www.fedex.com/fedextrack/?tracknumbers=270473152454&amp;cntry_code=us" TargetMode="External"/><Relationship Id="rId154" Type="http://schemas.openxmlformats.org/officeDocument/2006/relationships/hyperlink" Target="https://www.fedex.com/fedextrack/?tracknumbers=270733385515&amp;cntry_code=us" TargetMode="External"/><Relationship Id="rId175" Type="http://schemas.openxmlformats.org/officeDocument/2006/relationships/hyperlink" Target="https://www.fedex.com/fedextrack/?tracknumbers=270947903281&amp;cntry_code=us" TargetMode="External"/><Relationship Id="rId196" Type="http://schemas.openxmlformats.org/officeDocument/2006/relationships/hyperlink" Target="https://www.fedex.com/fedextrack/?tracknumbers=776420521465&amp;cntry_code=us" TargetMode="External"/><Relationship Id="rId200" Type="http://schemas.openxmlformats.org/officeDocument/2006/relationships/hyperlink" Target="https://www.fedex.com/fedextrack/?tracknumbers=271518846410&amp;cntry_code=us" TargetMode="External"/><Relationship Id="rId16" Type="http://schemas.openxmlformats.org/officeDocument/2006/relationships/hyperlink" Target="https://www.fedex.com/fedextrack/?tracknumbers=288421651011&amp;cntry_code=us" TargetMode="External"/><Relationship Id="rId37" Type="http://schemas.openxmlformats.org/officeDocument/2006/relationships/hyperlink" Target="https://www.fedex.com/fedextrack/?tracknumbers=288758231080&amp;cntry_code=us" TargetMode="External"/><Relationship Id="rId58" Type="http://schemas.openxmlformats.org/officeDocument/2006/relationships/hyperlink" Target="https://www.fedex.com/fedextrack/?tracknumbers=289001961334&amp;cntry_code=us" TargetMode="External"/><Relationship Id="rId79" Type="http://schemas.openxmlformats.org/officeDocument/2006/relationships/hyperlink" Target="https://www.fedex.com/fedextrack/?tracknumbers=289203462015&amp;cntry_code=us" TargetMode="External"/><Relationship Id="rId102" Type="http://schemas.openxmlformats.org/officeDocument/2006/relationships/hyperlink" Target="https://www.fedex.com/fedextrack/?tracknumbers=289876557775&amp;cntry_code=us" TargetMode="External"/><Relationship Id="rId123" Type="http://schemas.openxmlformats.org/officeDocument/2006/relationships/hyperlink" Target="https://www.fedex.com/fedextrack/?tracknumbers=776145846510&amp;cntry_code=us" TargetMode="External"/><Relationship Id="rId144" Type="http://schemas.openxmlformats.org/officeDocument/2006/relationships/hyperlink" Target="https://www.fedex.com/fedextrack/?tracknumbers=270650364046&amp;cntry_code=us" TargetMode="External"/><Relationship Id="rId90" Type="http://schemas.openxmlformats.org/officeDocument/2006/relationships/hyperlink" Target="https://www.fedex.com/fedextrack/?tracknumbers=289494496653&amp;cntry_code=us" TargetMode="External"/><Relationship Id="rId165" Type="http://schemas.openxmlformats.org/officeDocument/2006/relationships/hyperlink" Target="https://www.fedex.com/fedextrack/?tracknumbers=270792903808&amp;cntry_code=us" TargetMode="External"/><Relationship Id="rId186" Type="http://schemas.openxmlformats.org/officeDocument/2006/relationships/hyperlink" Target="https://www.fedex.com/fedextrack/?tracknumbers=271119324689&amp;cntry_code=us" TargetMode="External"/><Relationship Id="rId27" Type="http://schemas.openxmlformats.org/officeDocument/2006/relationships/hyperlink" Target="https://www.fedex.com/fedextrack/?tracknumbers=288511239879&amp;cntry_code=us" TargetMode="External"/><Relationship Id="rId48" Type="http://schemas.openxmlformats.org/officeDocument/2006/relationships/hyperlink" Target="https://www.fedex.com/fedextrack/?tracknumbers=288766954034&amp;cntry_code=us" TargetMode="External"/><Relationship Id="rId69" Type="http://schemas.openxmlformats.org/officeDocument/2006/relationships/hyperlink" Target="https://www.fedex.com/fedextrack/?tracknumbers=775865333923&amp;cntry_code=us" TargetMode="External"/><Relationship Id="rId113" Type="http://schemas.openxmlformats.org/officeDocument/2006/relationships/hyperlink" Target="https://www.fedex.com/fedextrack/?tracknumbers=270004094218&amp;cntry_code=us" TargetMode="External"/><Relationship Id="rId134" Type="http://schemas.openxmlformats.org/officeDocument/2006/relationships/hyperlink" Target="https://www.fedex.com/fedextrack/?tracknumbers=270475259822&amp;cntry_code=us" TargetMode="External"/><Relationship Id="rId80" Type="http://schemas.openxmlformats.org/officeDocument/2006/relationships/hyperlink" Target="https://www.fedex.com/fedextrack/?tracknumbers=289203728280&amp;cntry_code=us" TargetMode="External"/><Relationship Id="rId155" Type="http://schemas.openxmlformats.org/officeDocument/2006/relationships/hyperlink" Target="https://www.fedex.com/fedextrack/?tracknumbers=270734570205&amp;cntry_code=us" TargetMode="External"/><Relationship Id="rId176" Type="http://schemas.openxmlformats.org/officeDocument/2006/relationships/hyperlink" Target="https://www.fedex.com/fedextrack/no-results-found?trknbr=776329567108" TargetMode="External"/><Relationship Id="rId197" Type="http://schemas.openxmlformats.org/officeDocument/2006/relationships/hyperlink" Target="https://www.fedex.com/fedextrack/?tracknumbers=271432403645&amp;cntry_code=us" TargetMode="External"/><Relationship Id="rId201" Type="http://schemas.openxmlformats.org/officeDocument/2006/relationships/hyperlink" Target="https://www.fedex.com/fedextrack/?tracknumbers=271519557253&amp;cntry_code=us" TargetMode="External"/><Relationship Id="rId17" Type="http://schemas.openxmlformats.org/officeDocument/2006/relationships/hyperlink" Target="https://www.fedex.com/fedextrack/?tracknumbers=775662944131&amp;cntry_code=us" TargetMode="External"/><Relationship Id="rId38" Type="http://schemas.openxmlformats.org/officeDocument/2006/relationships/hyperlink" Target="https://www.fedex.com/fedextrack/?tracknumbers=288759344712&amp;cntry_code=us" TargetMode="External"/><Relationship Id="rId59" Type="http://schemas.openxmlformats.org/officeDocument/2006/relationships/hyperlink" Target="https://www.fedex.com/fedextrack/?tracknumbers=775829573052&amp;cntry_code=us" TargetMode="External"/><Relationship Id="rId103" Type="http://schemas.openxmlformats.org/officeDocument/2006/relationships/hyperlink" Target="https://www.fedex.com/fedextrack/?tracknumbers=776063416432&amp;cntry_code=us" TargetMode="External"/><Relationship Id="rId124" Type="http://schemas.openxmlformats.org/officeDocument/2006/relationships/hyperlink" Target="https://www.fedex.com/fedextrack/?tracknumbers=270241995425&amp;cntry_code=us" TargetMode="External"/><Relationship Id="rId70" Type="http://schemas.openxmlformats.org/officeDocument/2006/relationships/hyperlink" Target="https://www.fedex.com/fedextrack/?tracknumbers=775865264838&amp;cntry_code=us" TargetMode="External"/><Relationship Id="rId91" Type="http://schemas.openxmlformats.org/officeDocument/2006/relationships/hyperlink" Target="https://www.fedex.com/fedextrack/?tracknumbers=289496351566&amp;cntry_code=us" TargetMode="External"/><Relationship Id="rId145" Type="http://schemas.openxmlformats.org/officeDocument/2006/relationships/hyperlink" Target="https://www.fedex.com/fedextrack/?trknbr=776244126906&amp;trkqual=~776244126906~FDFR" TargetMode="External"/><Relationship Id="rId166" Type="http://schemas.openxmlformats.org/officeDocument/2006/relationships/hyperlink" Target="https://www.fedex.com/fedextrack/?tracknumbers=270793258889&amp;cntry_code=us" TargetMode="External"/><Relationship Id="rId187" Type="http://schemas.openxmlformats.org/officeDocument/2006/relationships/hyperlink" Target="https://www.fedex.com/fedextrack/?tracknumbers=271120059244&amp;cntry_code=us" TargetMode="External"/><Relationship Id="rId1" Type="http://schemas.openxmlformats.org/officeDocument/2006/relationships/hyperlink" Target="https://www.fedex.com/fedextrack/?tracknumbers=288236941472&amp;cntry_code=us" TargetMode="External"/><Relationship Id="rId28" Type="http://schemas.openxmlformats.org/officeDocument/2006/relationships/hyperlink" Target="https://www.fedex.com/fedextrack/?tracknumbers=288636627129&amp;cntry_code=us" TargetMode="External"/><Relationship Id="rId49" Type="http://schemas.openxmlformats.org/officeDocument/2006/relationships/hyperlink" Target="https://www.fedex.com/fedextrack/?tracknumbers=775788514050&amp;cntry_code=us" TargetMode="External"/><Relationship Id="rId114" Type="http://schemas.openxmlformats.org/officeDocument/2006/relationships/hyperlink" Target="https://www.fedex.com/fedextrack/?tracknumbers=270004040516&amp;cntry_code=us" TargetMode="External"/><Relationship Id="rId60" Type="http://schemas.openxmlformats.org/officeDocument/2006/relationships/hyperlink" Target="https://www.fedex.com/fedextrack/?tracknumbers=775851648402&amp;cntry_code=us" TargetMode="External"/><Relationship Id="rId81" Type="http://schemas.openxmlformats.org/officeDocument/2006/relationships/hyperlink" Target="https://www.fedex.com/fedextrack/?tracknumbers=289202813846&amp;cntry_code=us" TargetMode="External"/><Relationship Id="rId135" Type="http://schemas.openxmlformats.org/officeDocument/2006/relationships/hyperlink" Target="https://www.fedex.com/fedextrack/?tracknumbers=270520133686&amp;cntry_code=us" TargetMode="External"/><Relationship Id="rId156" Type="http://schemas.openxmlformats.org/officeDocument/2006/relationships/hyperlink" Target="https://www.fedex.com/fedextrack/?tracknumbers=270737617240&amp;cntry_code=us" TargetMode="External"/><Relationship Id="rId177" Type="http://schemas.openxmlformats.org/officeDocument/2006/relationships/hyperlink" Target="https://www.fedex.com/fedextrack/?tracknumbers=270989127228&amp;cntry_code=us" TargetMode="External"/><Relationship Id="rId198" Type="http://schemas.openxmlformats.org/officeDocument/2006/relationships/hyperlink" Target="https://www.fedex.com/fedextrack/?tracknumbers=271516646617&amp;cntry_code=us" TargetMode="External"/><Relationship Id="rId202" Type="http://schemas.openxmlformats.org/officeDocument/2006/relationships/hyperlink" Target="https://www.fedex.com/fedextrack/?tracknumbers=271520259321&amp;cntry_code=us" TargetMode="External"/><Relationship Id="rId18" Type="http://schemas.openxmlformats.org/officeDocument/2006/relationships/hyperlink" Target="https://www.fedex.com/fedextrack/?tracknumbers=288466849505&amp;cntry_code=us" TargetMode="External"/><Relationship Id="rId39" Type="http://schemas.openxmlformats.org/officeDocument/2006/relationships/hyperlink" Target="https://www.fedex.com/fedextrack/?tracknumbers=288834561065&amp;cntry_code=us" TargetMode="External"/><Relationship Id="rId50" Type="http://schemas.openxmlformats.org/officeDocument/2006/relationships/hyperlink" Target="https://www.fedex.com/fedextrack/?tracknumbers=288915179085&amp;cntry_code=us" TargetMode="External"/><Relationship Id="rId104" Type="http://schemas.openxmlformats.org/officeDocument/2006/relationships/hyperlink" Target="https://www.fedex.com/fedextrack/?tracknumbers=289909137436&amp;cntry_code=us" TargetMode="External"/><Relationship Id="rId125" Type="http://schemas.openxmlformats.org/officeDocument/2006/relationships/hyperlink" Target="https://www.fedex.com/fedextrack/?tracknumbers=270379754573&amp;cntry_code=us" TargetMode="External"/><Relationship Id="rId146" Type="http://schemas.openxmlformats.org/officeDocument/2006/relationships/hyperlink" Target="https://www.fedex.com/fedextrack/no-results-found?trknbr=776244209906" TargetMode="External"/><Relationship Id="rId167" Type="http://schemas.openxmlformats.org/officeDocument/2006/relationships/hyperlink" Target="https://www.fedex.com/fedextrack/?tracknumbers=270794492967&amp;cntry_code=us" TargetMode="External"/><Relationship Id="rId188" Type="http://schemas.openxmlformats.org/officeDocument/2006/relationships/hyperlink" Target="https://www.fedex.com/fedextrack/?tracknumbers=271164196240&amp;cntry_code=us" TargetMode="External"/><Relationship Id="rId71" Type="http://schemas.openxmlformats.org/officeDocument/2006/relationships/hyperlink" Target="https://www.fedex.com/fedextrack/?tracknumbers=775868805915&amp;cntry_code=us" TargetMode="External"/><Relationship Id="rId92" Type="http://schemas.openxmlformats.org/officeDocument/2006/relationships/hyperlink" Target="https://www.fedex.com/fedextrack/?tracknumbers=289497885119&amp;cntry_code=us" TargetMode="External"/><Relationship Id="rId2" Type="http://schemas.openxmlformats.org/officeDocument/2006/relationships/hyperlink" Target="https://www.fedex.com/fedextrack/?tracknumbers=288236987658&amp;cntry_code=us" TargetMode="External"/><Relationship Id="rId29" Type="http://schemas.openxmlformats.org/officeDocument/2006/relationships/hyperlink" Target="https://www.fedex.com/fedextrack/?tracknumbers=288636761230&amp;cntry_code=us" TargetMode="External"/></Relationships>
</file>

<file path=xl/worksheets/_rels/sheet18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fedex.com/fedextrack/no-results-found?trknbr=7742%205116%207342" TargetMode="External"/><Relationship Id="rId21" Type="http://schemas.openxmlformats.org/officeDocument/2006/relationships/hyperlink" Target="https://www.ups.com/WebTracking/processInputRequest?tracknum=1Z4A055W6737652059&amp;loc=en_US&amp;requester=ST/trackdetails" TargetMode="External"/><Relationship Id="rId42" Type="http://schemas.openxmlformats.org/officeDocument/2006/relationships/hyperlink" Target="https://www.ups.com/track?loc=en_CD&amp;tracknum=1Z4A055W0320968520&amp;requester=ST/trackdetails" TargetMode="External"/><Relationship Id="rId63" Type="http://schemas.openxmlformats.org/officeDocument/2006/relationships/hyperlink" Target="https://www.ups.com/track?loc=en_CD&amp;tracknum=1Z4A055W0335710252&amp;requester=ST/trackdetails" TargetMode="External"/><Relationship Id="rId84" Type="http://schemas.openxmlformats.org/officeDocument/2006/relationships/hyperlink" Target="https://www.ups.com/WebTracking/processInputRequest?tracknum=1Z0XR8383593544403&amp;loc=en_US&amp;requester=ST/trackdetails" TargetMode="External"/><Relationship Id="rId138" Type="http://schemas.openxmlformats.org/officeDocument/2006/relationships/hyperlink" Target="https://www.fedex.com/fedextrack/no-results-found?trknbr=281541479409" TargetMode="External"/><Relationship Id="rId159" Type="http://schemas.openxmlformats.org/officeDocument/2006/relationships/hyperlink" Target="https://www.fedex.com/fedextrack/no-results-found?trknbr=774336711934" TargetMode="External"/><Relationship Id="rId170" Type="http://schemas.openxmlformats.org/officeDocument/2006/relationships/hyperlink" Target="https://www.fedex.com/fedextrack/no-results-found?trknbr=774381556915" TargetMode="External"/><Relationship Id="rId191" Type="http://schemas.openxmlformats.org/officeDocument/2006/relationships/hyperlink" Target="https://www.fedex.com/fedextrack/no-results-found?trknbr=774413041540" TargetMode="External"/><Relationship Id="rId205" Type="http://schemas.openxmlformats.org/officeDocument/2006/relationships/hyperlink" Target="https://www.fedex.com/fedextrack/no-results-found?trknbr=774450522277%20" TargetMode="External"/><Relationship Id="rId107" Type="http://schemas.openxmlformats.org/officeDocument/2006/relationships/hyperlink" Target="https://www.ups.com/WebTracking/processInputRequest?loc=en_CD&amp;tracknum=1Z4A055W0300845226&amp;requester=ST" TargetMode="External"/><Relationship Id="rId11" Type="http://schemas.openxmlformats.org/officeDocument/2006/relationships/hyperlink" Target="https://www.ups.com/WebTracking/processInputRequest?tracknum=1Z4A055W0308128871&amp;loc=en_US&amp;requester=ST/trackdetails" TargetMode="External"/><Relationship Id="rId32" Type="http://schemas.openxmlformats.org/officeDocument/2006/relationships/hyperlink" Target="https://www.ups.com/WebTracking/processInputRequest?tracknum=1Z0XR8382494898710&amp;loc=en_CD&amp;requester=ST/trackdetails" TargetMode="External"/><Relationship Id="rId53" Type="http://schemas.openxmlformats.org/officeDocument/2006/relationships/hyperlink" Target="https://www.ups.com/track?loc=en_CD&amp;tracknum=1Z4A055W0338532967&amp;requester=ST/trackdetails" TargetMode="External"/><Relationship Id="rId74" Type="http://schemas.openxmlformats.org/officeDocument/2006/relationships/hyperlink" Target="https://www.ups.com/track?loc=en_CD&amp;tracknum=1Z4A055W0308001079&amp;requester=ST/trackdetails" TargetMode="External"/><Relationship Id="rId128" Type="http://schemas.openxmlformats.org/officeDocument/2006/relationships/hyperlink" Target="https://www.fedex.com/fedextrack/no-results-found?trknbr=774258736116%20" TargetMode="External"/><Relationship Id="rId149" Type="http://schemas.openxmlformats.org/officeDocument/2006/relationships/hyperlink" Target="https://www.ups.com/WebTracking/processInputRequest?tracknum=1Z0XR8384290867646&amp;loc=en_US&amp;requester=ST/trackdetails" TargetMode="External"/><Relationship Id="rId5" Type="http://schemas.openxmlformats.org/officeDocument/2006/relationships/hyperlink" Target="https://www.ups.com/WebTracking/processInputRequest?tracknum=1Z0XR8384299913865&amp;loc=en_CD&amp;requester=ST/trackdetails" TargetMode="External"/><Relationship Id="rId95" Type="http://schemas.openxmlformats.org/officeDocument/2006/relationships/hyperlink" Target="https://www.ups.com/track?loc=en_CD&amp;tracknum=1Z4A055W1200486740&amp;requester=ST/trackdetails" TargetMode="External"/><Relationship Id="rId160" Type="http://schemas.openxmlformats.org/officeDocument/2006/relationships/hyperlink" Target="https://www.fedex.com/fedextrack/no-results-found?trknbr=774348791898" TargetMode="External"/><Relationship Id="rId181" Type="http://schemas.openxmlformats.org/officeDocument/2006/relationships/hyperlink" Target="https://www.ups.com/track?loc=en_US&amp;tracknum=1Z0XR8384298528480&amp;requester=ST/trackdetails" TargetMode="External"/><Relationship Id="rId22" Type="http://schemas.openxmlformats.org/officeDocument/2006/relationships/hyperlink" Target="https://www.ups.com/WebTracking/processInputRequest?tracknum=1Z0XR8384294968306&amp;loc=en_CD&amp;requester=ST/trackdetails" TargetMode="External"/><Relationship Id="rId43" Type="http://schemas.openxmlformats.org/officeDocument/2006/relationships/hyperlink" Target="https://www.ups.com/track?loc=en_CD&amp;tracknum=1Z4A055W0330132930&amp;requester=ST/trackdetails" TargetMode="External"/><Relationship Id="rId64" Type="http://schemas.openxmlformats.org/officeDocument/2006/relationships/hyperlink" Target="https://www.ups.com/track?loc=en_CD&amp;tracknum=1Z4A055W0300212230&amp;requester=ST/trackdetails" TargetMode="External"/><Relationship Id="rId118" Type="http://schemas.openxmlformats.org/officeDocument/2006/relationships/hyperlink" Target="https://www.fedex.com/fedextrack/no-results-found?trknbr=774251167526" TargetMode="External"/><Relationship Id="rId139" Type="http://schemas.openxmlformats.org/officeDocument/2006/relationships/hyperlink" Target="https://www.fedex.com/fedextrack/no-results-found?trknbr=281542376116" TargetMode="External"/><Relationship Id="rId85" Type="http://schemas.openxmlformats.org/officeDocument/2006/relationships/hyperlink" Target="https://www.ups.com/WebTracking/processInputRequest?tracknum=1Z0XR8382498112382&amp;loc=en_US" TargetMode="External"/><Relationship Id="rId150" Type="http://schemas.openxmlformats.org/officeDocument/2006/relationships/hyperlink" Target="https://www.ups.com/WebTracking/processInputRequest?tracknum=1Z0XR8384299513458&amp;loc=en_US&amp;requester=ST/trackdetails" TargetMode="External"/><Relationship Id="rId171" Type="http://schemas.openxmlformats.org/officeDocument/2006/relationships/hyperlink" Target="https://www.fedex.com/fedextrack/no-results-found?trknbr=774381556650" TargetMode="External"/><Relationship Id="rId192" Type="http://schemas.openxmlformats.org/officeDocument/2006/relationships/hyperlink" Target="https://www.fedex.com/fedextrack/no-results-found?trknbr=774413098870%20" TargetMode="External"/><Relationship Id="rId206" Type="http://schemas.openxmlformats.org/officeDocument/2006/relationships/hyperlink" Target="https://www.fedex.com/fedextrack/no-results-found?trknbr=774450763813%20" TargetMode="External"/><Relationship Id="rId12" Type="http://schemas.openxmlformats.org/officeDocument/2006/relationships/hyperlink" Target="https://www.ups.com/WebTracking/processInputRequest?tracknum=1Z4A055W0312480080&amp;loc=en_US&amp;requester=ST/trackdetails" TargetMode="External"/><Relationship Id="rId33" Type="http://schemas.openxmlformats.org/officeDocument/2006/relationships/hyperlink" Target="https://www.ups.com/WebTracking/processInputRequest?tracknum=1Z0XR8384297752300&amp;loc=en_CD&amp;requester=ST/trackdetails" TargetMode="External"/><Relationship Id="rId108" Type="http://schemas.openxmlformats.org/officeDocument/2006/relationships/hyperlink" Target="https://www.ups.com/WebTracking/processInputRequest?tracknum=1Z0XR838DK96965439&amp;loc=en_CD&amp;requester=ST/trackdetails" TargetMode="External"/><Relationship Id="rId129" Type="http://schemas.openxmlformats.org/officeDocument/2006/relationships/hyperlink" Target="https://www.fedex.com/fedextrack/no-results-found?trknbr=774258866681" TargetMode="External"/><Relationship Id="rId54" Type="http://schemas.openxmlformats.org/officeDocument/2006/relationships/hyperlink" Target="https://www.ups.com/track?loc=en_CD&amp;tracknum=1Z4A055W0325217199&amp;requester=ST/trackdetails" TargetMode="External"/><Relationship Id="rId75" Type="http://schemas.openxmlformats.org/officeDocument/2006/relationships/hyperlink" Target="https://www.ups.com/track?loc=en_CD&amp;tracknum=1Z4A055W0323158720&amp;requester=ST/trackdetails" TargetMode="External"/><Relationship Id="rId96" Type="http://schemas.openxmlformats.org/officeDocument/2006/relationships/hyperlink" Target="https://www.ups.com/track?loc=en_CD&amp;tracknum=1Z4A055W6725859395" TargetMode="External"/><Relationship Id="rId140" Type="http://schemas.openxmlformats.org/officeDocument/2006/relationships/hyperlink" Target="https://www.fedex.com/fedextrack/no-results-found?trknbr=281543077864" TargetMode="External"/><Relationship Id="rId161" Type="http://schemas.openxmlformats.org/officeDocument/2006/relationships/hyperlink" Target="https://www.fedex.com/fedextrack/no-results-found?trknbr=774348792335" TargetMode="External"/><Relationship Id="rId182" Type="http://schemas.openxmlformats.org/officeDocument/2006/relationships/hyperlink" Target="https://www.ups.com/track?loc=en_US&amp;tracknum=1Z0XR8383990288484&amp;requester=ST/trackdetails" TargetMode="External"/><Relationship Id="rId6" Type="http://schemas.openxmlformats.org/officeDocument/2006/relationships/hyperlink" Target="https://www.ups.com/WebTracking/processInputRequest?tracknum=1Z0XR8384290920284&amp;loc=en_CD&amp;requester=ST/trackdetails" TargetMode="External"/><Relationship Id="rId23" Type="http://schemas.openxmlformats.org/officeDocument/2006/relationships/hyperlink" Target="https://www.ups.com/WebTracking/processInputRequest?tracknum=1Z4A055W0336675861&amp;loc=en_US&amp;requester=ST/trackdetails" TargetMode="External"/><Relationship Id="rId119" Type="http://schemas.openxmlformats.org/officeDocument/2006/relationships/hyperlink" Target="https://www.fedex.com/fedextrack/no-results-found?trknbr=774251967127" TargetMode="External"/><Relationship Id="rId44" Type="http://schemas.openxmlformats.org/officeDocument/2006/relationships/hyperlink" Target="https://www.ups.com/track?loc=en_CD&amp;tracknum=1Z4A055W0407504973&amp;requester=ST/trackdetails" TargetMode="External"/><Relationship Id="rId65" Type="http://schemas.openxmlformats.org/officeDocument/2006/relationships/hyperlink" Target="https://www.ups.com/track?loc=en_US&amp;tracknum=1Z4A055W6717926649&amp;requester=ST/trackdetails" TargetMode="External"/><Relationship Id="rId86" Type="http://schemas.openxmlformats.org/officeDocument/2006/relationships/hyperlink" Target="https://www.ups.com/WebTracking/processInputRequest?tracknum=1Z0XR8383590650811&amp;loc=en_US" TargetMode="External"/><Relationship Id="rId130" Type="http://schemas.openxmlformats.org/officeDocument/2006/relationships/hyperlink" Target="https://www.fedex.com/fedextrack/no-results-found?trknbr=774263208372" TargetMode="External"/><Relationship Id="rId151" Type="http://schemas.openxmlformats.org/officeDocument/2006/relationships/hyperlink" Target="https://www.fedex.com/fedextrack/no-results-found?trknbr=774312261077" TargetMode="External"/><Relationship Id="rId172" Type="http://schemas.openxmlformats.org/officeDocument/2006/relationships/hyperlink" Target="https://www.fedex.com/fedextrack/no-results-found?trknbr=774382119180%20" TargetMode="External"/><Relationship Id="rId193" Type="http://schemas.openxmlformats.org/officeDocument/2006/relationships/hyperlink" Target="https://www.fedex.com/fedextrack/no-results-found?trknbr=774413105305" TargetMode="External"/><Relationship Id="rId13" Type="http://schemas.openxmlformats.org/officeDocument/2006/relationships/hyperlink" Target="https://www.ups.com/WebTracking/processInputRequest?tracknum=1Z4A055W0334543426&amp;loc=en_US&amp;requester=ST/trackdetails" TargetMode="External"/><Relationship Id="rId109" Type="http://schemas.openxmlformats.org/officeDocument/2006/relationships/hyperlink" Target="https://www.ups.com/WebTracking/processInputRequest?loc=en_CD&amp;tracknum=1Z4A055W0311633210&amp;requester=ST" TargetMode="External"/><Relationship Id="rId34" Type="http://schemas.openxmlformats.org/officeDocument/2006/relationships/hyperlink" Target="https://www.ups.com/WebTracking/processInputRequest?tracknum=1Z0XR8384297752300&amp;loc=en_CD&amp;requester=ST/trackdetails" TargetMode="External"/><Relationship Id="rId55" Type="http://schemas.openxmlformats.org/officeDocument/2006/relationships/hyperlink" Target="https://www.ups.com/track?loc=en_CD&amp;tracknum=1Z4A055W0338078208&amp;requester=ST/trackdetails" TargetMode="External"/><Relationship Id="rId76" Type="http://schemas.openxmlformats.org/officeDocument/2006/relationships/hyperlink" Target="https://www.ups.com/track?loc=en_CD&amp;tracknum=1Z4A055W0323158720&amp;requester=ST/trackdetails" TargetMode="External"/><Relationship Id="rId97" Type="http://schemas.openxmlformats.org/officeDocument/2006/relationships/hyperlink" Target="https://www.ups.com/track?loc=en_CD&amp;tracknum=1Z4A055W0313617172&amp;requester=ST/trackdetails" TargetMode="External"/><Relationship Id="rId120" Type="http://schemas.openxmlformats.org/officeDocument/2006/relationships/hyperlink" Target="https://www.fedex.com/fedextrack/no-results-found?trknbr=774251967127" TargetMode="External"/><Relationship Id="rId141" Type="http://schemas.openxmlformats.org/officeDocument/2006/relationships/hyperlink" Target="https://www.fedex.com/fedextrack/no-results-found?trknbr=281543077864" TargetMode="External"/><Relationship Id="rId7" Type="http://schemas.openxmlformats.org/officeDocument/2006/relationships/hyperlink" Target="https://www.ups.com/WebTracking/processInputRequest?tracknum=1Z0XR8384294968306&amp;loc=en_CD&amp;requester=ST/trackdetails" TargetMode="External"/><Relationship Id="rId162" Type="http://schemas.openxmlformats.org/officeDocument/2006/relationships/hyperlink" Target="https://www.fedex.com/fedextrack/no-results-found?trknbr=774348792092" TargetMode="External"/><Relationship Id="rId183" Type="http://schemas.openxmlformats.org/officeDocument/2006/relationships/hyperlink" Target="https://www.fedex.com/fedextrack/no-results-found?trknbr=774407189747" TargetMode="External"/><Relationship Id="rId24" Type="http://schemas.openxmlformats.org/officeDocument/2006/relationships/hyperlink" Target="https://www.ups.com/WebTracking/processInputRequest?tracknum=1Z4A055W0336675861&amp;loc=en_US&amp;requester=ST/trackdetails" TargetMode="External"/><Relationship Id="rId40" Type="http://schemas.openxmlformats.org/officeDocument/2006/relationships/hyperlink" Target="https://www.ups.com/track?loc=en_CD&amp;tracknum=1Z4A055W0306228150&amp;requester=ST/trackdetails" TargetMode="External"/><Relationship Id="rId45" Type="http://schemas.openxmlformats.org/officeDocument/2006/relationships/hyperlink" Target="https://www.ups.com/track?loc=en_CD&amp;tracknum=1Z4A055W0407504973&amp;requester=ST/trackdetails" TargetMode="External"/><Relationship Id="rId66" Type="http://schemas.openxmlformats.org/officeDocument/2006/relationships/hyperlink" Target="https://www.ups.com/track?loc=en_CD&amp;tracknum=1Z4A055W0331770061&amp;requester=ST/trackdetails" TargetMode="External"/><Relationship Id="rId87" Type="http://schemas.openxmlformats.org/officeDocument/2006/relationships/hyperlink" Target="https://www.ups.com/track?loc=en_CD&amp;tracknum=1Z4A055W1318669124&amp;requester=ST/trackdetails" TargetMode="External"/><Relationship Id="rId110" Type="http://schemas.openxmlformats.org/officeDocument/2006/relationships/hyperlink" Target="https://www.ups.com/WebTracking/processInputRequest?loc=en_CD&amp;tracknum=1Z4A055W0316966843&amp;requester=ST" TargetMode="External"/><Relationship Id="rId115" Type="http://schemas.openxmlformats.org/officeDocument/2006/relationships/hyperlink" Target="https://www.fedex.com/fedextrack/no-results-found?trknbr=774248111641" TargetMode="External"/><Relationship Id="rId131" Type="http://schemas.openxmlformats.org/officeDocument/2006/relationships/hyperlink" Target="https://www.fedex.com/fedextrack/no-results-found?trknbr=774264018238" TargetMode="External"/><Relationship Id="rId136" Type="http://schemas.openxmlformats.org/officeDocument/2006/relationships/hyperlink" Target="https://www.fedex.com/fedextrack/no-results-found?trknbr=774271668940" TargetMode="External"/><Relationship Id="rId157" Type="http://schemas.openxmlformats.org/officeDocument/2006/relationships/hyperlink" Target="https://www.fedex.com/fedextrack/no-results-found?trknbr=774332945760" TargetMode="External"/><Relationship Id="rId178" Type="http://schemas.openxmlformats.org/officeDocument/2006/relationships/hyperlink" Target="https://www.fedex.com/fedextrack/no-results-found?trknbr=774386879272%20" TargetMode="External"/><Relationship Id="rId61" Type="http://schemas.openxmlformats.org/officeDocument/2006/relationships/hyperlink" Target="https://www.ups.com/track?loc=en_CD&amp;tracknum=1Z4A055W0339336034&amp;requester=ST/trackdetails" TargetMode="External"/><Relationship Id="rId82" Type="http://schemas.openxmlformats.org/officeDocument/2006/relationships/hyperlink" Target="https://www.ups.com/track?loc=en_CD&amp;tracknum=1Z4A055W1214176308&amp;requester=ST/trackdetails" TargetMode="External"/><Relationship Id="rId152" Type="http://schemas.openxmlformats.org/officeDocument/2006/relationships/hyperlink" Target="https://www.fedex.com/fedextrack/no-results-found?trknbr=774312390374%20" TargetMode="External"/><Relationship Id="rId173" Type="http://schemas.openxmlformats.org/officeDocument/2006/relationships/hyperlink" Target="https://www.fedex.com/fedextrack/no-results-found?trknbr=774382473495" TargetMode="External"/><Relationship Id="rId194" Type="http://schemas.openxmlformats.org/officeDocument/2006/relationships/hyperlink" Target="https://www.ups.com/track?loc=en_US&amp;tracknum=1Z0XR8384291447697&amp;requester=ST/trackdetails" TargetMode="External"/><Relationship Id="rId199" Type="http://schemas.openxmlformats.org/officeDocument/2006/relationships/hyperlink" Target="https://www.fedex.com/fedextrack/no-results-found?trknbr=774449130226" TargetMode="External"/><Relationship Id="rId203" Type="http://schemas.openxmlformats.org/officeDocument/2006/relationships/hyperlink" Target="https://www.fedex.com/fedextrack/no-results-found?trknbr=774449746059%20" TargetMode="External"/><Relationship Id="rId19" Type="http://schemas.openxmlformats.org/officeDocument/2006/relationships/hyperlink" Target="https://www.ups.com/WebTracking/processInputRequest?tracknum=1Z4A055W0310186492&amp;loc=en_US&amp;requester=ST/trackdetails" TargetMode="External"/><Relationship Id="rId14" Type="http://schemas.openxmlformats.org/officeDocument/2006/relationships/hyperlink" Target="https://www.ups.com/WebTracking/processInputRequest?tracknum=1Z0XR8383595536285&amp;loc=en_CD&amp;requester=ST/trackdetails" TargetMode="External"/><Relationship Id="rId30" Type="http://schemas.openxmlformats.org/officeDocument/2006/relationships/hyperlink" Target="https://www.ups.com/track?loc=en_CD&amp;tracknum=1Z4A055W0301676925&amp;requester=ST/trackdetails" TargetMode="External"/><Relationship Id="rId35" Type="http://schemas.openxmlformats.org/officeDocument/2006/relationships/hyperlink" Target="https://wwwapps.ups.com/WebTracking/track?FreightNum1=022809581&amp;reqID=UIFS&amp;loc=en_US&amp;UPS_HTML_Version=1.0&amp;ReturnTo=%2Fuifs%2Fhistory%3Fclient%3DUIFS%26loc%3Den_US%26view%3DgDetail" TargetMode="External"/><Relationship Id="rId56" Type="http://schemas.openxmlformats.org/officeDocument/2006/relationships/hyperlink" Target="https://www.ups.com/track?loc=en_CD&amp;tracknum=1Z4A055W0338078208&amp;requester=ST/trackdetails" TargetMode="External"/><Relationship Id="rId77" Type="http://schemas.openxmlformats.org/officeDocument/2006/relationships/hyperlink" Target="https://www.ups.com/track?loc=en_CD&amp;tracknum=1Z4A055W0323481344&amp;requester=ST/trackdetails" TargetMode="External"/><Relationship Id="rId100" Type="http://schemas.openxmlformats.org/officeDocument/2006/relationships/hyperlink" Target="https://www.ups.com/WebTracking/processInputRequest?tracknum=1Z4A055W0304864387&amp;loc=en_CD&amp;requester=ST/trackdetails" TargetMode="External"/><Relationship Id="rId105" Type="http://schemas.openxmlformats.org/officeDocument/2006/relationships/hyperlink" Target="https://www.ups.com/WebTracking/processInputRequest?tracknum=1Z0XR838DK96965439&amp;loc=en_CD&amp;requester=ST/trackdetails" TargetMode="External"/><Relationship Id="rId126" Type="http://schemas.openxmlformats.org/officeDocument/2006/relationships/hyperlink" Target="https://www.ups.com/track?loc=en_CD&amp;tracknum=1Z4A055W6722963214" TargetMode="External"/><Relationship Id="rId147" Type="http://schemas.openxmlformats.org/officeDocument/2006/relationships/hyperlink" Target="https://www.fedex.com/fedextrack/no-results-found?trknbr=281562286160" TargetMode="External"/><Relationship Id="rId168" Type="http://schemas.openxmlformats.org/officeDocument/2006/relationships/hyperlink" Target="https://www.fedex.com/fedextrack/no-results-found?trknbr=774374688164" TargetMode="External"/><Relationship Id="rId8" Type="http://schemas.openxmlformats.org/officeDocument/2006/relationships/hyperlink" Target="https://www.ups.com/WebTracking/processInputRequest?tracknum=1Z4A055W0318566441&amp;loc=en_US&amp;requester=ST/trackdetails" TargetMode="External"/><Relationship Id="rId51" Type="http://schemas.openxmlformats.org/officeDocument/2006/relationships/hyperlink" Target="https://www.ups.com/track?loc=en_CD&amp;tracknum=1Z4A055W0302385014&amp;requester=ST/trackdetails" TargetMode="External"/><Relationship Id="rId72" Type="http://schemas.openxmlformats.org/officeDocument/2006/relationships/hyperlink" Target="https://www.ups.com/track?loc=en_CD&amp;tracknum=1Z4A055W0331248297&amp;requester=ST/trackdetails" TargetMode="External"/><Relationship Id="rId93" Type="http://schemas.openxmlformats.org/officeDocument/2006/relationships/hyperlink" Target="https://www.ups.com/track?loc=en_CD&amp;tracknum=1Z4A055W1200486740&amp;requester=ST/trackdetails" TargetMode="External"/><Relationship Id="rId98" Type="http://schemas.openxmlformats.org/officeDocument/2006/relationships/hyperlink" Target="https://www.fedex.com/fedextrack/?trknbr=774200974687&amp;trkqual=~774200974687~FDFR" TargetMode="External"/><Relationship Id="rId121" Type="http://schemas.openxmlformats.org/officeDocument/2006/relationships/hyperlink" Target="https://www.fedex.com/fedextrack/no-results-found?trknbr=774252039015" TargetMode="External"/><Relationship Id="rId142" Type="http://schemas.openxmlformats.org/officeDocument/2006/relationships/hyperlink" Target="https://www.fedex.com/fedextrack/no-results-found?trknbr=281546041303%20" TargetMode="External"/><Relationship Id="rId163" Type="http://schemas.openxmlformats.org/officeDocument/2006/relationships/hyperlink" Target="https://www.ups.com/track?loc=en_US&amp;tracknum=1Z0XR8380196210063&amp;requester=ST/trackdetails" TargetMode="External"/><Relationship Id="rId184" Type="http://schemas.openxmlformats.org/officeDocument/2006/relationships/hyperlink" Target="https://www.fedex.com/fedextrack/no-results-found?trknbr=774407704950%20" TargetMode="External"/><Relationship Id="rId189" Type="http://schemas.openxmlformats.org/officeDocument/2006/relationships/hyperlink" Target="https://www.ups.com/track?loc=en_US&amp;tracknum=1Z0XR8383598862293&amp;requester=ST/trackdetails" TargetMode="External"/><Relationship Id="rId3" Type="http://schemas.openxmlformats.org/officeDocument/2006/relationships/hyperlink" Target="https://www.ups.com/WebTracking/processInputRequest?tracknum=1Z0XR8382696237042&amp;loc=en_US&amp;requester=ST/trackdetails" TargetMode="External"/><Relationship Id="rId25" Type="http://schemas.openxmlformats.org/officeDocument/2006/relationships/hyperlink" Target="https://www.ups.com/track?loc=en_CD&amp;tracknum=1Z4A055W0319072106&amp;requester=ST/trackdetails" TargetMode="External"/><Relationship Id="rId46" Type="http://schemas.openxmlformats.org/officeDocument/2006/relationships/hyperlink" Target="https://www.ups.com/track?loc=en_CD&amp;tracknum=1Z4A055W0407504973&amp;requester=ST/trackdetails" TargetMode="External"/><Relationship Id="rId67" Type="http://schemas.openxmlformats.org/officeDocument/2006/relationships/hyperlink" Target="https://www.ups.com/WebTracking/processInputRequest?tracknum=1Z0XR8382493127590&amp;loc=en_CD&amp;requester=ST/trackdetails" TargetMode="External"/><Relationship Id="rId116" Type="http://schemas.openxmlformats.org/officeDocument/2006/relationships/hyperlink" Target="https://www.fedex.com/fedextrack/no-results-found?trknbr=774248723413" TargetMode="External"/><Relationship Id="rId137" Type="http://schemas.openxmlformats.org/officeDocument/2006/relationships/hyperlink" Target="https://www.fedex.com/fedextrack/no-results-found?trknbr=774275168861" TargetMode="External"/><Relationship Id="rId158" Type="http://schemas.openxmlformats.org/officeDocument/2006/relationships/hyperlink" Target="https://www.fedex.com/fedextrack/no-results-found?trknbr=774335540056" TargetMode="External"/><Relationship Id="rId20" Type="http://schemas.openxmlformats.org/officeDocument/2006/relationships/hyperlink" Target="https://www.ups.com/WebTracking/processInputRequest?tracknum=1Z4A055W0334758043&amp;loc=en_US&amp;requester=ST/trackdetails" TargetMode="External"/><Relationship Id="rId41" Type="http://schemas.openxmlformats.org/officeDocument/2006/relationships/hyperlink" Target="https://www.ups.com/track?loc=en_CD&amp;tracknum=1Z4A055W0301772964&amp;requester=ST/trackdetails" TargetMode="External"/><Relationship Id="rId62" Type="http://schemas.openxmlformats.org/officeDocument/2006/relationships/hyperlink" Target="https://www.ups.com/track?loc=en_CD&amp;tracknum=1Z4A055W0328660249&amp;requester=ST/trackdetails" TargetMode="External"/><Relationship Id="rId83" Type="http://schemas.openxmlformats.org/officeDocument/2006/relationships/hyperlink" Target="https://www.ups.com/track?loc=en_CD&amp;tracknum=1Z4A055W1211649115&amp;requester=ST/trackdetails" TargetMode="External"/><Relationship Id="rId88" Type="http://schemas.openxmlformats.org/officeDocument/2006/relationships/hyperlink" Target="https://www.ups.com/track?loc=en_CD&amp;tracknum=1Z4A055W0339818773&amp;requester=ST/trackdetails" TargetMode="External"/><Relationship Id="rId111" Type="http://schemas.openxmlformats.org/officeDocument/2006/relationships/hyperlink" Target="https://www.ups.com/WebTracking/processInputRequest?tracknum=1Z0XR838DK96965439&amp;loc=en_CD&amp;requester=ST/trackdetails" TargetMode="External"/><Relationship Id="rId132" Type="http://schemas.openxmlformats.org/officeDocument/2006/relationships/hyperlink" Target="https://www.fedex.com/fedextrack/no-results-found?trknbr=774264231767" TargetMode="External"/><Relationship Id="rId153" Type="http://schemas.openxmlformats.org/officeDocument/2006/relationships/hyperlink" Target="https://www.fedex.com/fedextrack/no-results-found?trknbr=774312470489%20" TargetMode="External"/><Relationship Id="rId174" Type="http://schemas.openxmlformats.org/officeDocument/2006/relationships/hyperlink" Target="https://www.fedex.com/fedextrack/no-results-found?trknbr=774382987896%20" TargetMode="External"/><Relationship Id="rId179" Type="http://schemas.openxmlformats.org/officeDocument/2006/relationships/hyperlink" Target="https://www.fedex.com/fedextrack/no-results-found?trknbr=774387182986%20" TargetMode="External"/><Relationship Id="rId195" Type="http://schemas.openxmlformats.org/officeDocument/2006/relationships/hyperlink" Target="https://www.fedex.com/fedextrack/no-results-found?trknbr=774438323564" TargetMode="External"/><Relationship Id="rId190" Type="http://schemas.openxmlformats.org/officeDocument/2006/relationships/hyperlink" Target="https://www.fedex.com/fedextrack/?trknbr=774412956816&amp;trkqual=2459427000~774412956816~FX" TargetMode="External"/><Relationship Id="rId204" Type="http://schemas.openxmlformats.org/officeDocument/2006/relationships/hyperlink" Target="https://www.fedex.com/fedextrack/no-results-found?trknbr=774450232074%20" TargetMode="External"/><Relationship Id="rId15" Type="http://schemas.openxmlformats.org/officeDocument/2006/relationships/hyperlink" Target="https://www.ups.com/WebTracking/processInputRequest?tracknum=1Z4A055W0327109838&amp;loc=en_US&amp;requester=ST/trackdetails" TargetMode="External"/><Relationship Id="rId36" Type="http://schemas.openxmlformats.org/officeDocument/2006/relationships/hyperlink" Target="https://wwwapps.ups.com/WebTracking/track?FreightNum1=022810336&amp;reqID=UIFS&amp;loc=en_US&amp;UPS_HTML_Version=1.0&amp;ReturnTo=%2Fuifs%2Fhistory%3Fclient%3DUIFS%26loc%3Den_US%26view%3DgDetail" TargetMode="External"/><Relationship Id="rId57" Type="http://schemas.openxmlformats.org/officeDocument/2006/relationships/hyperlink" Target="https://www.ups.com/track?loc=en_CD&amp;tracknum=1Z4A055W0338078208&amp;requester=ST/trackdetails" TargetMode="External"/><Relationship Id="rId106" Type="http://schemas.openxmlformats.org/officeDocument/2006/relationships/hyperlink" Target="https://www.ups.com/WebTracking/processInputRequest?loc=en_CD&amp;tracknum=1Z4A055W0312986794&amp;requester=ST" TargetMode="External"/><Relationship Id="rId127" Type="http://schemas.openxmlformats.org/officeDocument/2006/relationships/hyperlink" Target="https://www.fedex.com/fedextrack/no-results-found?trknbr=774258586126" TargetMode="External"/><Relationship Id="rId10" Type="http://schemas.openxmlformats.org/officeDocument/2006/relationships/hyperlink" Target="https://www.ups.com/WebTracking/processInputRequest?tracknum=1Z4A055W0308588866&amp;loc=en_US&amp;requester=ST/trackdetails" TargetMode="External"/><Relationship Id="rId31" Type="http://schemas.openxmlformats.org/officeDocument/2006/relationships/hyperlink" Target="https://www.ups.com/track?loc=en_CD&amp;tracknum=1Z4A055W0332681914&amp;requester=ST/trackdetails" TargetMode="External"/><Relationship Id="rId52" Type="http://schemas.openxmlformats.org/officeDocument/2006/relationships/hyperlink" Target="https://www.ups.com/track?loc=en_CD&amp;tracknum=1Z4A055W0338532967&amp;requester=ST/trackdetails" TargetMode="External"/><Relationship Id="rId73" Type="http://schemas.openxmlformats.org/officeDocument/2006/relationships/hyperlink" Target="https://www.ups.com/track?loc=en_CD&amp;tracknum=1Z4A055W0334587308&amp;requester=ST/trackdetails" TargetMode="External"/><Relationship Id="rId78" Type="http://schemas.openxmlformats.org/officeDocument/2006/relationships/hyperlink" Target="https://www.ups.com/track?loc=en_CD&amp;tracknum=1Z4A055W0335209358&amp;requester=ST/trackdetails" TargetMode="External"/><Relationship Id="rId94" Type="http://schemas.openxmlformats.org/officeDocument/2006/relationships/hyperlink" Target="https://www.ups.com/track?loc=en_CD&amp;tracknum=1Z4A055W1200486740&amp;requester=ST/trackdetails" TargetMode="External"/><Relationship Id="rId99" Type="http://schemas.openxmlformats.org/officeDocument/2006/relationships/hyperlink" Target="https://www.fedex.com/fedextrack/?action=track&amp;tracknumbers=774201554820&amp;locale=en_US&amp;cntry_code=en" TargetMode="External"/><Relationship Id="rId101" Type="http://schemas.openxmlformats.org/officeDocument/2006/relationships/hyperlink" Target="https://www.fedex.com/fedextrack/?trknbr=8765093676&amp;trkqual=~8765093676~FDFR" TargetMode="External"/><Relationship Id="rId122" Type="http://schemas.openxmlformats.org/officeDocument/2006/relationships/hyperlink" Target="https://www.fedex.com/fedextrack/no-results-found?trknbr=774252039015" TargetMode="External"/><Relationship Id="rId143" Type="http://schemas.openxmlformats.org/officeDocument/2006/relationships/hyperlink" Target="https://www.fedex.com/fedextrack/?trknbr=281546965029&amp;trkqual=~281546965029~FDFR" TargetMode="External"/><Relationship Id="rId148" Type="http://schemas.openxmlformats.org/officeDocument/2006/relationships/hyperlink" Target="https://www.fedex.com/fedextrack/no-results-found?trknbr=774291217892%20" TargetMode="External"/><Relationship Id="rId164" Type="http://schemas.openxmlformats.org/officeDocument/2006/relationships/hyperlink" Target="https://www.ups.com/track?loc=en_US&amp;tracknum=1Z0XR8380190486867&amp;requester=ST/trackdetails" TargetMode="External"/><Relationship Id="rId169" Type="http://schemas.openxmlformats.org/officeDocument/2006/relationships/hyperlink" Target="https://www.fedex.com/fedextrack/no-results-found?trknbr=774374687856" TargetMode="External"/><Relationship Id="rId185" Type="http://schemas.openxmlformats.org/officeDocument/2006/relationships/hyperlink" Target="https://www.fedex.com/fedextrack/no-results-found?trknbr=774408079463%20" TargetMode="External"/><Relationship Id="rId4" Type="http://schemas.openxmlformats.org/officeDocument/2006/relationships/hyperlink" Target="https://www.ups.com/WebTracking/processInputRequest?tracknum=1Z0XR8384299913865&amp;loc=en_CD&amp;requester=ST/trackdetails" TargetMode="External"/><Relationship Id="rId9" Type="http://schemas.openxmlformats.org/officeDocument/2006/relationships/hyperlink" Target="https://www.ups.com/WebTracking/processInputRequest?tracknum=1Z4A055W0312996050&amp;loc=en_US&amp;requester=ST/trackdetails" TargetMode="External"/><Relationship Id="rId180" Type="http://schemas.openxmlformats.org/officeDocument/2006/relationships/hyperlink" Target="https://www.ups.com/track?loc=en_US&amp;tracknum=1Z0XR8384296703070&amp;requester=ST/trackdetails" TargetMode="External"/><Relationship Id="rId26" Type="http://schemas.openxmlformats.org/officeDocument/2006/relationships/hyperlink" Target="https://www.ups.com/track?loc=en_CD&amp;tracknum=1Z4A055W0331848880" TargetMode="External"/><Relationship Id="rId47" Type="http://schemas.openxmlformats.org/officeDocument/2006/relationships/hyperlink" Target="https://www.ups.com/track?loc=en_CD&amp;tracknum=1Z4A055W0332461983&amp;requester=ST/trackdetails" TargetMode="External"/><Relationship Id="rId68" Type="http://schemas.openxmlformats.org/officeDocument/2006/relationships/hyperlink" Target="https://www.ups.com/track?loc=en_CD&amp;tracknum=1Z4A055W0326443675&amp;requester=ST/trackdetails" TargetMode="External"/><Relationship Id="rId89" Type="http://schemas.openxmlformats.org/officeDocument/2006/relationships/hyperlink" Target="https://www.ups.com/track?loc=en_CD&amp;tracknum=1Z4A055W0208100339&amp;requester=ST/trackdetails" TargetMode="External"/><Relationship Id="rId112" Type="http://schemas.openxmlformats.org/officeDocument/2006/relationships/hyperlink" Target="https://www.ups.com/track?loc=en_CD&amp;tracknum=1Z4A055W0328076407&amp;requester=ST/trackdetails" TargetMode="External"/><Relationship Id="rId133" Type="http://schemas.openxmlformats.org/officeDocument/2006/relationships/hyperlink" Target="https://www.fedex.com/fedextrack/no-results-found?trknbr=774264307445" TargetMode="External"/><Relationship Id="rId154" Type="http://schemas.openxmlformats.org/officeDocument/2006/relationships/hyperlink" Target="https://www.fedex.com/fedextrack/no-results-found?trknbr=774324715925%20" TargetMode="External"/><Relationship Id="rId175" Type="http://schemas.openxmlformats.org/officeDocument/2006/relationships/hyperlink" Target="https://www.fedex.com/fedextrack/no-results-found?trknbr=774383474042%20" TargetMode="External"/><Relationship Id="rId196" Type="http://schemas.openxmlformats.org/officeDocument/2006/relationships/hyperlink" Target="https://www.fedex.com/fedextrack/?trknbr=774438374315&amp;trkqual=~774438374315~FDFR" TargetMode="External"/><Relationship Id="rId200" Type="http://schemas.openxmlformats.org/officeDocument/2006/relationships/hyperlink" Target="https://www.fedex.com/fedextrack/no-results-found?trknbr=774449130330" TargetMode="External"/><Relationship Id="rId16" Type="http://schemas.openxmlformats.org/officeDocument/2006/relationships/hyperlink" Target="https://www.ups.com/WebTracking/processInputRequest?tracknum=1Z4A055W0327109838&amp;loc=en_US&amp;requester=ST/trackdetails" TargetMode="External"/><Relationship Id="rId37" Type="http://schemas.openxmlformats.org/officeDocument/2006/relationships/hyperlink" Target="https://www.ups.com/WebTracking/processInputRequest?tracknum=1Z0XR8384298049926&amp;loc=en_US&amp;requester=ST/trackdetails" TargetMode="External"/><Relationship Id="rId58" Type="http://schemas.openxmlformats.org/officeDocument/2006/relationships/hyperlink" Target="https://www.ups.com/track?loc=en_CD&amp;tracknum=1Z4A055W0313613023&amp;requester=ST/trackdetails" TargetMode="External"/><Relationship Id="rId79" Type="http://schemas.openxmlformats.org/officeDocument/2006/relationships/hyperlink" Target="https://www.ups.com/track?loc=en_CD&amp;tracknum=1Z4A055W0309216283&amp;requester=ST/trackdetails" TargetMode="External"/><Relationship Id="rId102" Type="http://schemas.openxmlformats.org/officeDocument/2006/relationships/hyperlink" Target="https://www.ups.com/WebTracking/processInputRequest?tracknum=1Z0XR8383596771019&amp;loc=en_CD&amp;requester=ST/trackdetails" TargetMode="External"/><Relationship Id="rId123" Type="http://schemas.openxmlformats.org/officeDocument/2006/relationships/hyperlink" Target="https://www.fedex.com/fedextrack/no-results-found?trknbr=774252039015" TargetMode="External"/><Relationship Id="rId144" Type="http://schemas.openxmlformats.org/officeDocument/2006/relationships/hyperlink" Target="https://www.fedex.com/fedextrack/no-results-found?trknbr=281561072357" TargetMode="External"/><Relationship Id="rId90" Type="http://schemas.openxmlformats.org/officeDocument/2006/relationships/hyperlink" Target="https://mydhl.express.dhl/us/en/tracking.html" TargetMode="External"/><Relationship Id="rId165" Type="http://schemas.openxmlformats.org/officeDocument/2006/relationships/hyperlink" Target="https://www.ups.com/track?loc=en_US&amp;tracknum=1Z0XR8382493386873&amp;requester=ST/trackdetails" TargetMode="External"/><Relationship Id="rId186" Type="http://schemas.openxmlformats.org/officeDocument/2006/relationships/hyperlink" Target="https://www.fedex.com/fedextrack/no-results-found?trknbr=774408321444%20" TargetMode="External"/><Relationship Id="rId27" Type="http://schemas.openxmlformats.org/officeDocument/2006/relationships/hyperlink" Target="https://www.ups.com/WebTracking/processInputRequest?tracknum=1Z4A055W0319840919&amp;loc=en_CD&amp;requester=ST/trackdetails" TargetMode="External"/><Relationship Id="rId48" Type="http://schemas.openxmlformats.org/officeDocument/2006/relationships/hyperlink" Target="https://www.ups.com/track?loc=en_CD&amp;tracknum=1Z4A055W0320419140&amp;requester=ST/trackdetails" TargetMode="External"/><Relationship Id="rId69" Type="http://schemas.openxmlformats.org/officeDocument/2006/relationships/hyperlink" Target="https://www.ups.com/track?loc=en_CD&amp;tracknum=1Z4A055W4215780258&amp;requester=ST/trackdetails" TargetMode="External"/><Relationship Id="rId113" Type="http://schemas.openxmlformats.org/officeDocument/2006/relationships/hyperlink" Target="https://www.fedex.com/fedextrack/no-results-found?trknbr=774247024013" TargetMode="External"/><Relationship Id="rId134" Type="http://schemas.openxmlformats.org/officeDocument/2006/relationships/hyperlink" Target="https://www.fedex.com/fedextrack/no-results-found?trknbr=774264417427" TargetMode="External"/><Relationship Id="rId80" Type="http://schemas.openxmlformats.org/officeDocument/2006/relationships/hyperlink" Target="https://www.ups.com/track?loc=en_CD&amp;tracknum=1Z4A055W1211466698&amp;requester=ST/trackdetails" TargetMode="External"/><Relationship Id="rId155" Type="http://schemas.openxmlformats.org/officeDocument/2006/relationships/hyperlink" Target="https://www.fedex.com/fedextrack/no-results-found?trknbr=774324919628%20" TargetMode="External"/><Relationship Id="rId176" Type="http://schemas.openxmlformats.org/officeDocument/2006/relationships/hyperlink" Target="https://www.fedex.com/fedextrack/no-results-found?trknbr=774386157901%20" TargetMode="External"/><Relationship Id="rId197" Type="http://schemas.openxmlformats.org/officeDocument/2006/relationships/hyperlink" Target="https://www.fedex.com/fedextrack/?trknbr=774438409173&amp;trkqual=~774438409173~FDFR" TargetMode="External"/><Relationship Id="rId201" Type="http://schemas.openxmlformats.org/officeDocument/2006/relationships/hyperlink" Target="https://www.fedex.com/fedextrack/no-results-found?trknbr=774449130720" TargetMode="External"/><Relationship Id="rId17" Type="http://schemas.openxmlformats.org/officeDocument/2006/relationships/hyperlink" Target="https://www.ups.com/WebTracking/processInputRequest?tracknum=1Z4A055W0327109838&amp;loc=en_US&amp;requester=ST/trackdetails" TargetMode="External"/><Relationship Id="rId38" Type="http://schemas.openxmlformats.org/officeDocument/2006/relationships/hyperlink" Target="https://www.ups.com/WebTracking/processInputRequest?tracknum=1Z0XR8383599969337&amp;loc=en_CD&amp;requester=ST/trackdetails" TargetMode="External"/><Relationship Id="rId59" Type="http://schemas.openxmlformats.org/officeDocument/2006/relationships/hyperlink" Target="https://www.ups.com/WebTracking/processInputRequest?tracknum=1Z0XR8383592218777&amp;loc=en_CD" TargetMode="External"/><Relationship Id="rId103" Type="http://schemas.openxmlformats.org/officeDocument/2006/relationships/hyperlink" Target="https://www.ups.com/WebTracking/processInputRequest?tracknum=1Z0XR8383590036431&amp;loc=en_CD&amp;requester=ST/trackdetails" TargetMode="External"/><Relationship Id="rId124" Type="http://schemas.openxmlformats.org/officeDocument/2006/relationships/hyperlink" Target="https://www.fedex.com/fedextrack/no-results-found?trknbr=774252039015" TargetMode="External"/><Relationship Id="rId70" Type="http://schemas.openxmlformats.org/officeDocument/2006/relationships/hyperlink" Target="https://www.ups.com/WebTracking/processInputRequest?tracknum=1Z4A055W0309677062&amp;loc=en_CD&amp;requester=ST/trackdetails" TargetMode="External"/><Relationship Id="rId91" Type="http://schemas.openxmlformats.org/officeDocument/2006/relationships/hyperlink" Target="https://www.ups.com/track?loc=en_CD&amp;tracknum=1Z4A055W0322228183&amp;requester=ST/trackdetails" TargetMode="External"/><Relationship Id="rId145" Type="http://schemas.openxmlformats.org/officeDocument/2006/relationships/hyperlink" Target="https://www.fedex.com/fedextrack/no-results-found?trknbr=281562286150" TargetMode="External"/><Relationship Id="rId166" Type="http://schemas.openxmlformats.org/officeDocument/2006/relationships/hyperlink" Target="https://www.fedex.com/fedextrack/?trknbr=528291789364&amp;trkqual=12022~528291789364~FDEG" TargetMode="External"/><Relationship Id="rId187" Type="http://schemas.openxmlformats.org/officeDocument/2006/relationships/hyperlink" Target="https://www.fedex.com/fedextrack/no-results-found?trknbr=774408642738%20" TargetMode="External"/><Relationship Id="rId1" Type="http://schemas.openxmlformats.org/officeDocument/2006/relationships/hyperlink" Target="https://www.ups.com/track?loc=en_US&amp;tracknum=1Z4A055W1302996032&amp;requester=WEMS_1Z/trackdetails" TargetMode="External"/><Relationship Id="rId28" Type="http://schemas.openxmlformats.org/officeDocument/2006/relationships/hyperlink" Target="https://www.ups.com/track?loc=en_CD&amp;tracknum=1Z4A055W0323766091&amp;requester=ST/trackdetails" TargetMode="External"/><Relationship Id="rId49" Type="http://schemas.openxmlformats.org/officeDocument/2006/relationships/hyperlink" Target="https://www.ups.com/track?loc=en_CD&amp;tracknum=1Z4A055W0331191151&amp;requester=ST/trackdetails" TargetMode="External"/><Relationship Id="rId114" Type="http://schemas.openxmlformats.org/officeDocument/2006/relationships/hyperlink" Target="https://www.fedex.com/fedextrack/no-results-found?trknbr=774247440536" TargetMode="External"/><Relationship Id="rId60" Type="http://schemas.openxmlformats.org/officeDocument/2006/relationships/hyperlink" Target="https://www.ups.com/WebTracking/processInputRequest?tracknum=1Z0XR8384298829351&amp;loc=en_CD" TargetMode="External"/><Relationship Id="rId81" Type="http://schemas.openxmlformats.org/officeDocument/2006/relationships/hyperlink" Target="https://www.ups.com/track?loc=en_CD&amp;tracknum=1Z4A055W1220387168&amp;requester=ST/trackdetails" TargetMode="External"/><Relationship Id="rId135" Type="http://schemas.openxmlformats.org/officeDocument/2006/relationships/hyperlink" Target="https://www.fedex.com/fedextrack/no-results-found?trknbr=774271060781" TargetMode="External"/><Relationship Id="rId156" Type="http://schemas.openxmlformats.org/officeDocument/2006/relationships/hyperlink" Target="https://www.fedex.com/fedextrack/no-results-found?trknbr=774325048729%20" TargetMode="External"/><Relationship Id="rId177" Type="http://schemas.openxmlformats.org/officeDocument/2006/relationships/hyperlink" Target="https://www.fedex.com/fedextrack/no-results-found?trknbr=774386470984%20" TargetMode="External"/><Relationship Id="rId198" Type="http://schemas.openxmlformats.org/officeDocument/2006/relationships/hyperlink" Target="https://www.ups.com/track?loc=en_US&amp;tracknum=1Z0XR8384293080507&amp;requester=ST/trackdetails" TargetMode="External"/><Relationship Id="rId202" Type="http://schemas.openxmlformats.org/officeDocument/2006/relationships/hyperlink" Target="https://www.fedex.com/fedextrack/no-results-found?trknbr=774449561010%20" TargetMode="External"/><Relationship Id="rId18" Type="http://schemas.openxmlformats.org/officeDocument/2006/relationships/hyperlink" Target="https://www.ups.com/WebTracking/processInputRequest?tracknum=1Z4A055W0327109838&amp;loc=en_US&amp;requester=ST/trackdetails" TargetMode="External"/><Relationship Id="rId39" Type="http://schemas.openxmlformats.org/officeDocument/2006/relationships/hyperlink" Target="https://www.ups.com/track?loc=en_CD&amp;tracknum=1Z4A055W1305286544&amp;requester=ST/trackdetails" TargetMode="External"/><Relationship Id="rId50" Type="http://schemas.openxmlformats.org/officeDocument/2006/relationships/hyperlink" Target="https://www.ups.com/track?loc=en_CD&amp;tracknum=1Z4A055W0302464205&amp;requester=ST/trackdetails" TargetMode="External"/><Relationship Id="rId104" Type="http://schemas.openxmlformats.org/officeDocument/2006/relationships/hyperlink" Target="https://www.ups.com/WebTracking/processInputRequest?tracknum=1Z0XR8383597842020&amp;loc=en_CD&amp;requester=ST/trackdetails" TargetMode="External"/><Relationship Id="rId125" Type="http://schemas.openxmlformats.org/officeDocument/2006/relationships/hyperlink" Target="https://www.fedex.com/fedextrack/no-results-found?trknbr=774252092895" TargetMode="External"/><Relationship Id="rId146" Type="http://schemas.openxmlformats.org/officeDocument/2006/relationships/hyperlink" Target="https://www.fedex.com/fedextrack/no-results-found?trknbr=281562286436" TargetMode="External"/><Relationship Id="rId167" Type="http://schemas.openxmlformats.org/officeDocument/2006/relationships/hyperlink" Target="https://www.fedex.com/fedextrack/no-results-found?trknbr=774373281872%20" TargetMode="External"/><Relationship Id="rId188" Type="http://schemas.openxmlformats.org/officeDocument/2006/relationships/hyperlink" Target="https://www.fedex.com/fedextrack/no-results-found?trknbr=774409101292" TargetMode="External"/><Relationship Id="rId71" Type="http://schemas.openxmlformats.org/officeDocument/2006/relationships/hyperlink" Target="https://www.ups.com/track?loc=en_CD&amp;tracknum=1Z4A055W0321255084" TargetMode="External"/><Relationship Id="rId92" Type="http://schemas.openxmlformats.org/officeDocument/2006/relationships/hyperlink" Target="https://www.ups.com/track?loc=en_CD&amp;tracknum=1Z4A055W0322228183&amp;requester=ST/trackdetails" TargetMode="External"/><Relationship Id="rId2" Type="http://schemas.openxmlformats.org/officeDocument/2006/relationships/hyperlink" Target="https://www.ups.com/track?loc=en_CD&amp;requester=WT/trackdetails" TargetMode="External"/><Relationship Id="rId29" Type="http://schemas.openxmlformats.org/officeDocument/2006/relationships/hyperlink" Target="https://www.ups.com/track?loc=en_CD&amp;tracknum=1Z4A055W0334549108&amp;requester=ST/trackdetails" TargetMode="External"/></Relationships>
</file>

<file path=xl/worksheets/_rels/sheet20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amazon.com/gp/product/B01CD7QBTG/ref=ppx_yo_dt_b_search_asin_title?ie=UTF8&amp;psc=1" TargetMode="External"/><Relationship Id="rId18" Type="http://schemas.openxmlformats.org/officeDocument/2006/relationships/hyperlink" Target="https://www.amazon.com/Plaid-6110-Leafing-0-75-Ounce-Classic/dp/B003W0AAJG/ref=sr_1_2?dchild=1&amp;keywords=liquid+leaf+6110+classic+gold&amp;qid=1621542620&amp;sr=8-2" TargetMode="External"/><Relationship Id="rId26" Type="http://schemas.openxmlformats.org/officeDocument/2006/relationships/hyperlink" Target="https://www.amazon.com/dp/B00SVXG9R6?th=1" TargetMode="External"/><Relationship Id="rId39" Type="http://schemas.openxmlformats.org/officeDocument/2006/relationships/hyperlink" Target="https://www.uline.com/Product/Detail/S-5757/Kraft-Sealing-Tape/Deluxe-Uline-Reinforced-Kraft-Tape-3-x-450" TargetMode="External"/><Relationship Id="rId21" Type="http://schemas.openxmlformats.org/officeDocument/2006/relationships/hyperlink" Target="https://www.amazon.com/Product-Scott-Shop-Rags-Box/dp/B07D6CRP9B/ref=sr_1_13?dchild=1&amp;keywords=rags&amp;qid=1621461612&amp;sr=8-13" TargetMode="External"/><Relationship Id="rId34" Type="http://schemas.openxmlformats.org/officeDocument/2006/relationships/hyperlink" Target="https://www.uline.com/Product/Detail/S-14049/Kraft-Mailing-Tubes/Kraft-Mailing-Tubes-with-End-Caps-3-x-36-125-thick?keywords=S-14049" TargetMode="External"/><Relationship Id="rId42" Type="http://schemas.openxmlformats.org/officeDocument/2006/relationships/hyperlink" Target="https://www.lexjet.com/epson-ultrachrome-pro-ink-for-surecolor-p10000-and-p20000-photo-black-700ml" TargetMode="External"/><Relationship Id="rId47" Type="http://schemas.openxmlformats.org/officeDocument/2006/relationships/hyperlink" Target="https://www.lexjet.com/epson-ultrachrome-pro-ink-for-surecolor-p10000-and-p20000-vivid-light-magenta-700ml" TargetMode="External"/><Relationship Id="rId50" Type="http://schemas.openxmlformats.org/officeDocument/2006/relationships/hyperlink" Target="https://www.lexjet.com/epson-ultrachrome-pro-ink-for-surecolor-p10000-and-p20000-gray-700ml" TargetMode="External"/><Relationship Id="rId7" Type="http://schemas.openxmlformats.org/officeDocument/2006/relationships/hyperlink" Target="https://www.amazon.com/dp/B000KM0VR0/" TargetMode="External"/><Relationship Id="rId2" Type="http://schemas.openxmlformats.org/officeDocument/2006/relationships/hyperlink" Target="https://www.amazon.com/RZ-Mask-Disposable-Respirators-Folding/dp/B09CJFG5H5/ref=sr_1_1?keywords=814972026247&amp;qid=1636669525&amp;sr=8-1" TargetMode="External"/><Relationship Id="rId16" Type="http://schemas.openxmlformats.org/officeDocument/2006/relationships/hyperlink" Target="https://www.amazon.com/gp/product/B08BLS2ZP4/" TargetMode="External"/><Relationship Id="rId29" Type="http://schemas.openxmlformats.org/officeDocument/2006/relationships/hyperlink" Target="https://www.uline.com/Product/Detail/S-19313/Specialty-Paper/Tyvek-Roll-Black-45-x-150" TargetMode="External"/><Relationship Id="rId11" Type="http://schemas.openxmlformats.org/officeDocument/2006/relationships/hyperlink" Target="https://www.amazon.com/gp/product/B0723DRRZH/ref=ppx_yo_dt_b_search_asin_title?ie=UTF8&amp;psc=1" TargetMode="External"/><Relationship Id="rId24" Type="http://schemas.openxmlformats.org/officeDocument/2006/relationships/hyperlink" Target="https://www.amazon.com/Poland-Spring-Origin-Natural-Recycled/dp/B07NQK969F/" TargetMode="External"/><Relationship Id="rId32" Type="http://schemas.openxmlformats.org/officeDocument/2006/relationships/hyperlink" Target="https://www.uline.com/Product/Detail/S-4553/Corrugated-Boxes-200-Test/30-x-5-x-24-200-lb-FOL-Side-Loading-Corrugated-Boxes?keywords=S-4553" TargetMode="External"/><Relationship Id="rId37" Type="http://schemas.openxmlformats.org/officeDocument/2006/relationships/hyperlink" Target="https://www.uline.com/Product/Detail/S-447/Carton-Sealing-Tape/Heavy-Duty-Industrial-Tape-35-Mil-2-x-55-yds-Clear?keywords=S-447" TargetMode="External"/><Relationship Id="rId40" Type="http://schemas.openxmlformats.org/officeDocument/2006/relationships/hyperlink" Target="http://picturehangers.ooks.com/item/professional-hanging-line/padded-professional-picture-hangers/50446" TargetMode="External"/><Relationship Id="rId45" Type="http://schemas.openxmlformats.org/officeDocument/2006/relationships/hyperlink" Target="https://www.lexjet.com/epson-ultrachrome-pro-ink-for-surecolor-p10000-and-p20000-yellow-700ml" TargetMode="External"/><Relationship Id="rId5" Type="http://schemas.openxmlformats.org/officeDocument/2006/relationships/hyperlink" Target="https://www.amazon.com/dp/B001GRSQ9I/" TargetMode="External"/><Relationship Id="rId15" Type="http://schemas.openxmlformats.org/officeDocument/2006/relationships/hyperlink" Target="https://www.amazon.com/gp/product/B00504PJZC/ref=ppx_yo_dt_b_search_asin_title?ie=UTF8&amp;psc=1" TargetMode="External"/><Relationship Id="rId23" Type="http://schemas.openxmlformats.org/officeDocument/2006/relationships/hyperlink" Target="https://www.lowes.com/pd/White-Wood-2-S4S-1-x-12-x-12/5001921629" TargetMode="External"/><Relationship Id="rId28" Type="http://schemas.openxmlformats.org/officeDocument/2006/relationships/hyperlink" Target="https://www.amazon.com/dp/B00VI2GZHG" TargetMode="External"/><Relationship Id="rId36" Type="http://schemas.openxmlformats.org/officeDocument/2006/relationships/hyperlink" Target="https://www.uline.com/Product/Detail/S-5574/Kraft-Mailing-Tubes/Kraft-Mailing-Tubes-with-End-Caps-3-x-60-125-thick?keywords=S-5574" TargetMode="External"/><Relationship Id="rId49" Type="http://schemas.openxmlformats.org/officeDocument/2006/relationships/hyperlink" Target="https://www.lexjet.com/epson-ultrachrome-pro-ink-for-surecolor-p10000-and-p20000-matte-black-700ml" TargetMode="External"/><Relationship Id="rId10" Type="http://schemas.openxmlformats.org/officeDocument/2006/relationships/hyperlink" Target="https://www.amazon.com/gp/product/B0791SDDXD/ref=ppx_yo_dt_b_search_asin_title?ie=UTF8&amp;psc=1" TargetMode="External"/><Relationship Id="rId19" Type="http://schemas.openxmlformats.org/officeDocument/2006/relationships/hyperlink" Target="https://www.amazon.com/FolkArt-Brushed-Assorted-Colors-5119/dp/B071VSXQF4/ref=sr_1_1?dchild=1&amp;keywords=028995051197&amp;qid=1623961694&amp;sr=8-1" TargetMode="External"/><Relationship Id="rId31" Type="http://schemas.openxmlformats.org/officeDocument/2006/relationships/hyperlink" Target="https://www.uline.com/Product/Detail/S-16377/Artwork-Shippers/51-x-66-x-4-500-lb-Double-Wall-Deluxe-Artwork-Shipper?keywords=S-16377" TargetMode="External"/><Relationship Id="rId44" Type="http://schemas.openxmlformats.org/officeDocument/2006/relationships/hyperlink" Target="https://www.lexjet.com/epson-ultrachrome-pro-ink-for-surecolor-p10000-and-p20000-vivid-magenta-700ml" TargetMode="External"/><Relationship Id="rId4" Type="http://schemas.openxmlformats.org/officeDocument/2006/relationships/hyperlink" Target="https://www.amazon.com/Made-Woodman-Crafts-Paint-Sticks/dp/B076BXLDQN/ref=sr_1_11?dchild=1&amp;keywords=paint+stirrer&amp;qid=1621543190&amp;sr=8-11" TargetMode="External"/><Relationship Id="rId9" Type="http://schemas.openxmlformats.org/officeDocument/2006/relationships/hyperlink" Target="https://www.amazon.com/Fletcher-Terry-Framers-Stacked-Points-08-950/dp/B000DZBHHC/ref=sr_1_1?dchild=1&amp;keywords=fletcher+framer%27s+points&amp;qid=1621542555&amp;sr=8-1" TargetMode="External"/><Relationship Id="rId14" Type="http://schemas.openxmlformats.org/officeDocument/2006/relationships/hyperlink" Target="https://www.amazon.com/gp/product/B00504PJTI/ref=ppx_yo_dt_b_search_asin_title?ie=UTF8&amp;psc=1" TargetMode="External"/><Relationship Id="rId22" Type="http://schemas.openxmlformats.org/officeDocument/2006/relationships/hyperlink" Target="https://www.uline.com/Product/Detail/S-8405/Furniture-Bags/Standard-Mattress-Covers-King-4-Mil-78-x-12-x-90" TargetMode="External"/><Relationship Id="rId27" Type="http://schemas.openxmlformats.org/officeDocument/2006/relationships/hyperlink" Target="https://www.amazon.com/dp/B0017HV7RK/" TargetMode="External"/><Relationship Id="rId30" Type="http://schemas.openxmlformats.org/officeDocument/2006/relationships/hyperlink" Target="https://www.uline.com/Product/Detail/S-15176/Artwork-Shippers/28-x-36-x-5-500-lb-Double-Wall-Deluxe-Artwork-Shipper?keywords=S-15176" TargetMode="External"/><Relationship Id="rId35" Type="http://schemas.openxmlformats.org/officeDocument/2006/relationships/hyperlink" Target="https://www.uline.com/Product/Detail/S-6241/Kraft-Mailing-Tubes/Kraft-Mailing-Tubes-with-End-Caps-3-x-56-125-thick?keywords=S-6241" TargetMode="External"/><Relationship Id="rId43" Type="http://schemas.openxmlformats.org/officeDocument/2006/relationships/hyperlink" Target="https://www.lexjet.com/epson-ultrachrome-pro-ink-for-surecolor-p10000-and-p20000-cyan-700ml" TargetMode="External"/><Relationship Id="rId48" Type="http://schemas.openxmlformats.org/officeDocument/2006/relationships/hyperlink" Target="https://www.lexjet.com/epson-ultrachrome-pro-ink-for-surecolor-p10000-and-p20000-dark-gray-700ml" TargetMode="External"/><Relationship Id="rId8" Type="http://schemas.openxmlformats.org/officeDocument/2006/relationships/hyperlink" Target="https://www.amazon.com/Moncom-Double-Cotton-Strong-Sticks/dp/B07SCSW2GJ/ref=sr_1_2?dchild=1&amp;keywords=Moncom+500+Count+Double+Round+Tips+Cotton+Swabs+With+Strong+wooden+Sticks%2C+3.0+inch%2C+1+box&amp;qid=1622150337&amp;sr=8-2" TargetMode="External"/><Relationship Id="rId3" Type="http://schemas.openxmlformats.org/officeDocument/2006/relationships/hyperlink" Target="https://www.amazon.com/gp/product/B00F27IGDO/ref=ppx_yo_dt_b_search_asin_title?ie=UTF8&amp;psc=1" TargetMode="External"/><Relationship Id="rId12" Type="http://schemas.openxmlformats.org/officeDocument/2006/relationships/hyperlink" Target="https://www.amazon.com/gp/product/B000OMMI9U/ref=ppx_yo_dt_b_search_asin_title?ie=UTF8&amp;psc=1" TargetMode="External"/><Relationship Id="rId17" Type="http://schemas.openxmlformats.org/officeDocument/2006/relationships/hyperlink" Target="https://www.amazon.com/gp/product/B0767LSX9H/ref=ppx_yo_dt_b_search_asin_title?ie=UTF8&amp;th=1" TargetMode="External"/><Relationship Id="rId25" Type="http://schemas.openxmlformats.org/officeDocument/2006/relationships/hyperlink" Target="https://www.uline.com/Product/Detail/S-14463/3M-Adhesive-Transfer-Tape/3M-987-Adhesive-Transfer-Tape-1-2-x-60-yds" TargetMode="External"/><Relationship Id="rId33" Type="http://schemas.openxmlformats.org/officeDocument/2006/relationships/hyperlink" Target="https://www.uline.com/Product/Detail/S-4679/Corrugated-Boxes-200-Test/36-x-6-x-42-275-lb-FOL-Side-Loading-Corrugated-Boxes?keywords=S-4679" TargetMode="External"/><Relationship Id="rId38" Type="http://schemas.openxmlformats.org/officeDocument/2006/relationships/hyperlink" Target="https://www.uline.com/Product/Detail/S-15777/Strapping-Tape/Heavy-Duty-Strapping-Tape-3-x-60-yds?keywords=S-15777" TargetMode="External"/><Relationship Id="rId46" Type="http://schemas.openxmlformats.org/officeDocument/2006/relationships/hyperlink" Target="https://www.lexjet.com/epson-ultrachrome-pro-ink-for-surecolor-p10000-and-p20000-light-cyan-700ml" TargetMode="External"/><Relationship Id="rId20" Type="http://schemas.openxmlformats.org/officeDocument/2006/relationships/hyperlink" Target="https://www.amazon.com/gp/product/B087V6NVG4/ref=ppx_yo_dt_b_search_asin_title?ie=UTF8&amp;psc=1" TargetMode="External"/><Relationship Id="rId41" Type="http://schemas.openxmlformats.org/officeDocument/2006/relationships/hyperlink" Target="https://www.lexjet.com/epson-ultrachrome-pro-ink-for-surecolor-p10000-and-p20000-light-gray-700ml" TargetMode="External"/><Relationship Id="rId1" Type="http://schemas.openxmlformats.org/officeDocument/2006/relationships/hyperlink" Target="https://www.amazon.com/gp/product/B001441YFQ/ref=ppx_yo_dt_b_search_asin_title?ie=UTF8&amp;psc=1" TargetMode="External"/><Relationship Id="rId6" Type="http://schemas.openxmlformats.org/officeDocument/2006/relationships/hyperlink" Target="https://www.amazon.com/Alfamacchine-Genuine-V-Nail-Fasteners-Hardwood/dp/B07QJZMZWV/ref=sr_1_1?dchild=1&amp;keywords=alfamacchine%2Bgenuine%2Bv-nails%2B12mm&amp;qid=1621461922&amp;sr=8-1&amp;th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  <pageSetUpPr fitToPage="1"/>
  </sheetPr>
  <dimension ref="A1:Z1000"/>
  <sheetViews>
    <sheetView workbookViewId="0"/>
  </sheetViews>
  <sheetFormatPr defaultColWidth="14.42578125" defaultRowHeight="15.75" customHeight="1" x14ac:dyDescent="0.4"/>
  <cols>
    <col min="1" max="4" width="14.42578125" customWidth="1"/>
    <col min="6" max="9" width="14.42578125" customWidth="1"/>
  </cols>
  <sheetData>
    <row r="1" spans="1:26" ht="15.75" customHeight="1" x14ac:dyDescent="0.9">
      <c r="A1" s="497" t="s">
        <v>462</v>
      </c>
      <c r="B1" s="498"/>
      <c r="C1" s="498"/>
      <c r="D1" s="498"/>
      <c r="E1" s="498"/>
      <c r="F1" s="498"/>
      <c r="G1" s="498"/>
      <c r="H1" s="498"/>
      <c r="I1" s="498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</row>
    <row r="2" spans="1:26" ht="15.75" customHeight="1" x14ac:dyDescent="0.65">
      <c r="A2" s="66"/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</row>
    <row r="3" spans="1:26" ht="15.75" customHeight="1" x14ac:dyDescent="0.65">
      <c r="A3" s="67" t="s">
        <v>463</v>
      </c>
      <c r="B3" s="499">
        <v>46037</v>
      </c>
      <c r="C3" s="498"/>
      <c r="E3" s="66"/>
      <c r="F3" s="67" t="s">
        <v>463</v>
      </c>
      <c r="G3" s="499">
        <f>B35+7</f>
        <v>46058</v>
      </c>
      <c r="H3" s="498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</row>
    <row r="4" spans="1:26" ht="15.75" customHeight="1" x14ac:dyDescent="0.65">
      <c r="A4" s="68" t="s">
        <v>464</v>
      </c>
      <c r="B4" s="68" t="s">
        <v>465</v>
      </c>
      <c r="C4" s="69"/>
      <c r="D4" s="69"/>
      <c r="E4" s="66"/>
      <c r="F4" s="68" t="s">
        <v>464</v>
      </c>
      <c r="G4" s="68" t="s">
        <v>465</v>
      </c>
      <c r="H4" s="69"/>
      <c r="I4" s="69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</row>
    <row r="5" spans="1:26" ht="15.75" customHeight="1" x14ac:dyDescent="0.65">
      <c r="A5" s="70"/>
      <c r="B5" s="70"/>
      <c r="C5" s="70"/>
      <c r="D5" s="70"/>
      <c r="E5" s="66"/>
      <c r="F5" s="70"/>
      <c r="G5" s="70"/>
      <c r="H5" s="70"/>
      <c r="I5" s="70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</row>
    <row r="6" spans="1:26" ht="15.75" customHeight="1" x14ac:dyDescent="0.65">
      <c r="A6" s="70"/>
      <c r="B6" s="70"/>
      <c r="C6" s="70"/>
      <c r="D6" s="70"/>
      <c r="E6" s="66"/>
      <c r="F6" s="70"/>
      <c r="G6" s="70"/>
      <c r="H6" s="70"/>
      <c r="I6" s="70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</row>
    <row r="7" spans="1:26" ht="15.75" customHeight="1" x14ac:dyDescent="0.65">
      <c r="A7" s="70"/>
      <c r="B7" s="70"/>
      <c r="C7" s="70"/>
      <c r="D7" s="70"/>
      <c r="E7" s="66"/>
      <c r="F7" s="70"/>
      <c r="G7" s="70"/>
      <c r="H7" s="70"/>
      <c r="I7" s="70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</row>
    <row r="8" spans="1:26" ht="15.75" customHeight="1" x14ac:dyDescent="0.65">
      <c r="A8" s="70"/>
      <c r="B8" s="70"/>
      <c r="C8" s="70"/>
      <c r="D8" s="70"/>
      <c r="E8" s="66"/>
      <c r="F8" s="70"/>
      <c r="G8" s="70"/>
      <c r="H8" s="70"/>
      <c r="I8" s="70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</row>
    <row r="9" spans="1:26" ht="15.75" customHeight="1" x14ac:dyDescent="0.65">
      <c r="A9" s="70"/>
      <c r="B9" s="70"/>
      <c r="C9" s="70"/>
      <c r="D9" s="70"/>
      <c r="E9" s="66"/>
      <c r="F9" s="70"/>
      <c r="G9" s="70"/>
      <c r="H9" s="70"/>
      <c r="I9" s="70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</row>
    <row r="10" spans="1:26" ht="15.75" customHeight="1" x14ac:dyDescent="0.65">
      <c r="A10" s="70"/>
      <c r="B10" s="70"/>
      <c r="C10" s="70"/>
      <c r="D10" s="70"/>
      <c r="E10" s="66"/>
      <c r="F10" s="70"/>
      <c r="G10" s="70"/>
      <c r="H10" s="70"/>
      <c r="I10" s="70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</row>
    <row r="11" spans="1:26" ht="15.75" customHeight="1" x14ac:dyDescent="0.65">
      <c r="A11" s="70"/>
      <c r="B11" s="70"/>
      <c r="C11" s="70"/>
      <c r="D11" s="70"/>
      <c r="E11" s="66"/>
      <c r="F11" s="70"/>
      <c r="G11" s="70"/>
      <c r="H11" s="70"/>
      <c r="I11" s="70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</row>
    <row r="12" spans="1:26" ht="15.75" customHeight="1" x14ac:dyDescent="0.65">
      <c r="A12" s="70"/>
      <c r="B12" s="70"/>
      <c r="C12" s="70"/>
      <c r="D12" s="70"/>
      <c r="E12" s="66"/>
      <c r="F12" s="70"/>
      <c r="G12" s="70"/>
      <c r="H12" s="70"/>
      <c r="I12" s="70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</row>
    <row r="13" spans="1:26" ht="15.75" customHeight="1" x14ac:dyDescent="0.65">
      <c r="A13" s="70"/>
      <c r="B13" s="70"/>
      <c r="C13" s="70"/>
      <c r="D13" s="70"/>
      <c r="E13" s="66"/>
      <c r="F13" s="70"/>
      <c r="G13" s="70"/>
      <c r="H13" s="70"/>
      <c r="I13" s="70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</row>
    <row r="14" spans="1:26" ht="15.75" customHeight="1" x14ac:dyDescent="0.65">
      <c r="A14" s="70"/>
      <c r="B14" s="70"/>
      <c r="C14" s="70"/>
      <c r="D14" s="70"/>
      <c r="E14" s="66"/>
      <c r="F14" s="70"/>
      <c r="G14" s="70"/>
      <c r="H14" s="70"/>
      <c r="I14" s="70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</row>
    <row r="15" spans="1:26" ht="15.75" customHeight="1" x14ac:dyDescent="0.65">
      <c r="A15" s="70"/>
      <c r="B15" s="70"/>
      <c r="C15" s="70"/>
      <c r="D15" s="70"/>
      <c r="E15" s="66"/>
      <c r="F15" s="70"/>
      <c r="G15" s="70"/>
      <c r="H15" s="70"/>
      <c r="I15" s="70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</row>
    <row r="16" spans="1:26" ht="15.75" customHeight="1" x14ac:dyDescent="0.65">
      <c r="A16" s="71"/>
      <c r="B16" s="71"/>
      <c r="C16" s="71"/>
      <c r="D16" s="71"/>
      <c r="E16" s="66"/>
      <c r="F16" s="71"/>
      <c r="G16" s="71"/>
      <c r="H16" s="71"/>
      <c r="I16" s="71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</row>
    <row r="17" spans="1:26" ht="15.75" customHeight="1" x14ac:dyDescent="0.65">
      <c r="A17" s="66"/>
      <c r="B17" s="66"/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</row>
    <row r="18" spans="1:26" ht="15.75" customHeight="1" x14ac:dyDescent="0.65">
      <c r="A18" s="66"/>
      <c r="B18" s="66"/>
      <c r="C18" s="66"/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</row>
    <row r="19" spans="1:26" ht="15.75" customHeight="1" x14ac:dyDescent="0.65">
      <c r="A19" s="67" t="s">
        <v>463</v>
      </c>
      <c r="B19" s="499">
        <f>B3+7</f>
        <v>46044</v>
      </c>
      <c r="C19" s="498"/>
      <c r="E19" s="66"/>
      <c r="F19" s="67" t="s">
        <v>463</v>
      </c>
      <c r="G19" s="499">
        <f>G3+7</f>
        <v>46065</v>
      </c>
      <c r="H19" s="498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</row>
    <row r="20" spans="1:26" ht="15.75" customHeight="1" x14ac:dyDescent="0.65">
      <c r="A20" s="68" t="s">
        <v>464</v>
      </c>
      <c r="B20" s="68" t="s">
        <v>465</v>
      </c>
      <c r="C20" s="69"/>
      <c r="D20" s="69"/>
      <c r="E20" s="66"/>
      <c r="F20" s="68" t="s">
        <v>464</v>
      </c>
      <c r="G20" s="68" t="s">
        <v>465</v>
      </c>
      <c r="H20" s="69"/>
      <c r="I20" s="69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</row>
    <row r="21" spans="1:26" ht="15.75" customHeight="1" x14ac:dyDescent="0.65">
      <c r="A21" s="70"/>
      <c r="B21" s="70"/>
      <c r="C21" s="70"/>
      <c r="D21" s="70"/>
      <c r="E21" s="66"/>
      <c r="F21" s="70"/>
      <c r="G21" s="70"/>
      <c r="H21" s="70"/>
      <c r="I21" s="70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</row>
    <row r="22" spans="1:26" ht="15.75" customHeight="1" x14ac:dyDescent="0.65">
      <c r="A22" s="70"/>
      <c r="B22" s="70"/>
      <c r="C22" s="70"/>
      <c r="D22" s="70"/>
      <c r="E22" s="66"/>
      <c r="F22" s="70"/>
      <c r="G22" s="70"/>
      <c r="H22" s="70"/>
      <c r="I22" s="70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</row>
    <row r="23" spans="1:26" ht="15.75" customHeight="1" x14ac:dyDescent="0.65">
      <c r="A23" s="70"/>
      <c r="B23" s="70"/>
      <c r="C23" s="70"/>
      <c r="D23" s="70"/>
      <c r="E23" s="66"/>
      <c r="F23" s="70"/>
      <c r="G23" s="70"/>
      <c r="H23" s="70"/>
      <c r="I23" s="70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</row>
    <row r="24" spans="1:26" ht="15.75" customHeight="1" x14ac:dyDescent="0.65">
      <c r="A24" s="70"/>
      <c r="B24" s="70"/>
      <c r="C24" s="70"/>
      <c r="D24" s="70"/>
      <c r="E24" s="66"/>
      <c r="F24" s="70"/>
      <c r="G24" s="70"/>
      <c r="H24" s="70"/>
      <c r="I24" s="70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</row>
    <row r="25" spans="1:26" ht="15.75" customHeight="1" x14ac:dyDescent="0.65">
      <c r="A25" s="70"/>
      <c r="B25" s="70"/>
      <c r="C25" s="70"/>
      <c r="D25" s="70"/>
      <c r="E25" s="66"/>
      <c r="F25" s="70"/>
      <c r="G25" s="70"/>
      <c r="H25" s="70"/>
      <c r="I25" s="70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</row>
    <row r="26" spans="1:26" ht="15.75" customHeight="1" x14ac:dyDescent="0.65">
      <c r="A26" s="70"/>
      <c r="B26" s="70"/>
      <c r="C26" s="70"/>
      <c r="D26" s="70"/>
      <c r="E26" s="66"/>
      <c r="F26" s="70"/>
      <c r="G26" s="70"/>
      <c r="H26" s="70"/>
      <c r="I26" s="70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</row>
    <row r="27" spans="1:26" ht="15.75" customHeight="1" x14ac:dyDescent="0.65">
      <c r="A27" s="70"/>
      <c r="B27" s="70"/>
      <c r="C27" s="70"/>
      <c r="D27" s="70"/>
      <c r="E27" s="66"/>
      <c r="F27" s="70"/>
      <c r="G27" s="70"/>
      <c r="H27" s="70"/>
      <c r="I27" s="70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</row>
    <row r="28" spans="1:26" ht="15.75" customHeight="1" x14ac:dyDescent="0.65">
      <c r="A28" s="70"/>
      <c r="B28" s="70"/>
      <c r="C28" s="70"/>
      <c r="D28" s="70"/>
      <c r="E28" s="66"/>
      <c r="F28" s="70"/>
      <c r="G28" s="70"/>
      <c r="H28" s="70"/>
      <c r="I28" s="70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</row>
    <row r="29" spans="1:26" ht="15.75" customHeight="1" x14ac:dyDescent="0.65">
      <c r="A29" s="70"/>
      <c r="B29" s="70"/>
      <c r="C29" s="70"/>
      <c r="D29" s="70"/>
      <c r="E29" s="66"/>
      <c r="F29" s="70"/>
      <c r="G29" s="70"/>
      <c r="H29" s="70"/>
      <c r="I29" s="70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</row>
    <row r="30" spans="1:26" ht="21" x14ac:dyDescent="0.65">
      <c r="A30" s="70"/>
      <c r="B30" s="70"/>
      <c r="C30" s="70"/>
      <c r="D30" s="70"/>
      <c r="E30" s="66"/>
      <c r="F30" s="70"/>
      <c r="G30" s="70"/>
      <c r="H30" s="70"/>
      <c r="I30" s="70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</row>
    <row r="31" spans="1:26" ht="21" x14ac:dyDescent="0.65">
      <c r="A31" s="70"/>
      <c r="B31" s="70"/>
      <c r="C31" s="70"/>
      <c r="D31" s="70"/>
      <c r="E31" s="66"/>
      <c r="F31" s="70"/>
      <c r="G31" s="70"/>
      <c r="H31" s="70"/>
      <c r="I31" s="70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</row>
    <row r="32" spans="1:26" ht="21" x14ac:dyDescent="0.65">
      <c r="A32" s="71"/>
      <c r="B32" s="71"/>
      <c r="C32" s="71"/>
      <c r="D32" s="71"/>
      <c r="E32" s="66"/>
      <c r="F32" s="71"/>
      <c r="G32" s="71"/>
      <c r="H32" s="71"/>
      <c r="I32" s="71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</row>
    <row r="33" spans="1:26" ht="21" x14ac:dyDescent="0.65">
      <c r="A33" s="66"/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</row>
    <row r="34" spans="1:26" ht="21" x14ac:dyDescent="0.65">
      <c r="A34" s="66"/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</row>
    <row r="35" spans="1:26" ht="21" x14ac:dyDescent="0.65">
      <c r="A35" s="67" t="s">
        <v>463</v>
      </c>
      <c r="B35" s="499">
        <f>B19+7</f>
        <v>46051</v>
      </c>
      <c r="C35" s="498"/>
      <c r="E35" s="66"/>
      <c r="F35" s="67" t="s">
        <v>463</v>
      </c>
      <c r="G35" s="499">
        <f>G19+7</f>
        <v>46072</v>
      </c>
      <c r="H35" s="498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</row>
    <row r="36" spans="1:26" ht="21" x14ac:dyDescent="0.65">
      <c r="A36" s="68" t="s">
        <v>464</v>
      </c>
      <c r="B36" s="68" t="s">
        <v>465</v>
      </c>
      <c r="C36" s="69"/>
      <c r="D36" s="69"/>
      <c r="E36" s="66"/>
      <c r="F36" s="68" t="s">
        <v>464</v>
      </c>
      <c r="G36" s="68" t="s">
        <v>465</v>
      </c>
      <c r="H36" s="69"/>
      <c r="I36" s="69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</row>
    <row r="37" spans="1:26" ht="21" x14ac:dyDescent="0.65">
      <c r="A37" s="70"/>
      <c r="B37" s="70"/>
      <c r="C37" s="70"/>
      <c r="D37" s="70"/>
      <c r="E37" s="66"/>
      <c r="F37" s="70"/>
      <c r="G37" s="70"/>
      <c r="H37" s="70"/>
      <c r="I37" s="70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</row>
    <row r="38" spans="1:26" ht="21" x14ac:dyDescent="0.65">
      <c r="A38" s="70"/>
      <c r="B38" s="70"/>
      <c r="C38" s="70"/>
      <c r="D38" s="70"/>
      <c r="E38" s="66"/>
      <c r="F38" s="70"/>
      <c r="G38" s="70"/>
      <c r="H38" s="70"/>
      <c r="I38" s="70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</row>
    <row r="39" spans="1:26" ht="21" x14ac:dyDescent="0.65">
      <c r="A39" s="70"/>
      <c r="B39" s="70"/>
      <c r="C39" s="70"/>
      <c r="D39" s="70"/>
      <c r="E39" s="66"/>
      <c r="F39" s="70"/>
      <c r="G39" s="70"/>
      <c r="H39" s="70"/>
      <c r="I39" s="70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</row>
    <row r="40" spans="1:26" ht="21" x14ac:dyDescent="0.65">
      <c r="A40" s="70"/>
      <c r="B40" s="70"/>
      <c r="C40" s="70"/>
      <c r="D40" s="70"/>
      <c r="E40" s="66"/>
      <c r="F40" s="70"/>
      <c r="G40" s="70"/>
      <c r="H40" s="70"/>
      <c r="I40" s="70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</row>
    <row r="41" spans="1:26" ht="21" x14ac:dyDescent="0.65">
      <c r="A41" s="70"/>
      <c r="B41" s="70"/>
      <c r="C41" s="70"/>
      <c r="D41" s="70"/>
      <c r="E41" s="66"/>
      <c r="F41" s="70"/>
      <c r="G41" s="70"/>
      <c r="H41" s="70"/>
      <c r="I41" s="70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</row>
    <row r="42" spans="1:26" ht="21" x14ac:dyDescent="0.65">
      <c r="A42" s="70"/>
      <c r="B42" s="70"/>
      <c r="C42" s="70"/>
      <c r="D42" s="70"/>
      <c r="E42" s="66"/>
      <c r="F42" s="70"/>
      <c r="G42" s="70"/>
      <c r="H42" s="70"/>
      <c r="I42" s="70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</row>
    <row r="43" spans="1:26" ht="21" x14ac:dyDescent="0.65">
      <c r="A43" s="70"/>
      <c r="B43" s="70"/>
      <c r="C43" s="70"/>
      <c r="D43" s="70"/>
      <c r="E43" s="66"/>
      <c r="F43" s="70"/>
      <c r="G43" s="70"/>
      <c r="H43" s="70"/>
      <c r="I43" s="70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</row>
    <row r="44" spans="1:26" ht="21" x14ac:dyDescent="0.65">
      <c r="A44" s="70"/>
      <c r="B44" s="70"/>
      <c r="C44" s="70"/>
      <c r="D44" s="70"/>
      <c r="E44" s="66"/>
      <c r="F44" s="70"/>
      <c r="G44" s="70"/>
      <c r="H44" s="70"/>
      <c r="I44" s="70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</row>
    <row r="45" spans="1:26" ht="21" x14ac:dyDescent="0.65">
      <c r="A45" s="70"/>
      <c r="B45" s="70"/>
      <c r="C45" s="70"/>
      <c r="D45" s="70"/>
      <c r="E45" s="66"/>
      <c r="F45" s="70"/>
      <c r="G45" s="70"/>
      <c r="H45" s="70"/>
      <c r="I45" s="70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</row>
    <row r="46" spans="1:26" ht="21" x14ac:dyDescent="0.65">
      <c r="A46" s="70"/>
      <c r="B46" s="70"/>
      <c r="C46" s="70"/>
      <c r="D46" s="70"/>
      <c r="E46" s="66"/>
      <c r="F46" s="70"/>
      <c r="G46" s="70"/>
      <c r="H46" s="70"/>
      <c r="I46" s="70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</row>
    <row r="47" spans="1:26" ht="21" x14ac:dyDescent="0.65">
      <c r="A47" s="70"/>
      <c r="B47" s="70"/>
      <c r="C47" s="70"/>
      <c r="D47" s="70"/>
      <c r="E47" s="66"/>
      <c r="F47" s="70"/>
      <c r="G47" s="70"/>
      <c r="H47" s="70"/>
      <c r="I47" s="70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</row>
    <row r="48" spans="1:26" ht="21" x14ac:dyDescent="0.65">
      <c r="A48" s="71"/>
      <c r="B48" s="71"/>
      <c r="C48" s="71"/>
      <c r="D48" s="71"/>
      <c r="E48" s="66"/>
      <c r="F48" s="71"/>
      <c r="G48" s="71"/>
      <c r="H48" s="71"/>
      <c r="I48" s="71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</row>
    <row r="49" spans="1:26" ht="21" x14ac:dyDescent="0.65">
      <c r="A49" s="66"/>
      <c r="B49" s="66"/>
      <c r="C49" s="66"/>
      <c r="D49" s="66"/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</row>
    <row r="50" spans="1:26" ht="21" x14ac:dyDescent="0.65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</row>
    <row r="51" spans="1:26" ht="21" x14ac:dyDescent="0.65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</row>
    <row r="52" spans="1:26" ht="21" x14ac:dyDescent="0.65">
      <c r="A52" s="66"/>
      <c r="B52" s="66"/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</row>
    <row r="53" spans="1:26" ht="21" x14ac:dyDescent="0.65">
      <c r="A53" s="66"/>
      <c r="B53" s="66"/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</row>
    <row r="54" spans="1:26" ht="21" x14ac:dyDescent="0.65">
      <c r="A54" s="66"/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</row>
    <row r="55" spans="1:26" ht="21" x14ac:dyDescent="0.65">
      <c r="A55" s="66"/>
      <c r="B55" s="66"/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</row>
    <row r="56" spans="1:26" ht="21" x14ac:dyDescent="0.65">
      <c r="A56" s="66"/>
      <c r="B56" s="66"/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</row>
    <row r="57" spans="1:26" ht="21" x14ac:dyDescent="0.65">
      <c r="A57" s="66"/>
      <c r="B57" s="66"/>
      <c r="C57" s="66"/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</row>
    <row r="58" spans="1:26" ht="21" x14ac:dyDescent="0.65">
      <c r="A58" s="66"/>
      <c r="B58" s="66"/>
      <c r="C58" s="66"/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</row>
    <row r="59" spans="1:26" ht="21" x14ac:dyDescent="0.65">
      <c r="A59" s="66"/>
      <c r="B59" s="66"/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</row>
    <row r="60" spans="1:26" ht="21" x14ac:dyDescent="0.65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</row>
    <row r="61" spans="1:26" ht="21" x14ac:dyDescent="0.65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</row>
    <row r="62" spans="1:26" ht="21" x14ac:dyDescent="0.65">
      <c r="A62" s="66"/>
      <c r="B62" s="66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</row>
    <row r="63" spans="1:26" ht="21" x14ac:dyDescent="0.65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</row>
    <row r="64" spans="1:26" ht="21" x14ac:dyDescent="0.65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</row>
    <row r="65" spans="1:26" ht="21" x14ac:dyDescent="0.65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</row>
    <row r="66" spans="1:26" ht="21" x14ac:dyDescent="0.65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</row>
    <row r="67" spans="1:26" ht="21" x14ac:dyDescent="0.65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</row>
    <row r="68" spans="1:26" ht="21" x14ac:dyDescent="0.65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</row>
    <row r="69" spans="1:26" ht="21" x14ac:dyDescent="0.65">
      <c r="A69" s="66"/>
      <c r="B69" s="66"/>
      <c r="C69" s="66"/>
      <c r="D69" s="66"/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</row>
    <row r="70" spans="1:26" ht="21" x14ac:dyDescent="0.65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</row>
    <row r="71" spans="1:26" ht="21" x14ac:dyDescent="0.65">
      <c r="A71" s="66"/>
      <c r="B71" s="66"/>
      <c r="C71" s="66"/>
      <c r="D71" s="66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</row>
    <row r="72" spans="1:26" ht="21" x14ac:dyDescent="0.65">
      <c r="A72" s="66"/>
      <c r="B72" s="66"/>
      <c r="C72" s="66"/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</row>
    <row r="73" spans="1:26" ht="21" x14ac:dyDescent="0.65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</row>
    <row r="74" spans="1:26" ht="21" x14ac:dyDescent="0.65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</row>
    <row r="75" spans="1:26" ht="21" x14ac:dyDescent="0.65">
      <c r="A75" s="66"/>
      <c r="B75" s="66"/>
      <c r="C75" s="66"/>
      <c r="D75" s="66"/>
      <c r="E75" s="66"/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</row>
    <row r="76" spans="1:26" ht="21" x14ac:dyDescent="0.65">
      <c r="A76" s="66"/>
      <c r="B76" s="66"/>
      <c r="C76" s="66"/>
      <c r="D76" s="66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</row>
    <row r="77" spans="1:26" ht="21" x14ac:dyDescent="0.65">
      <c r="A77" s="66"/>
      <c r="B77" s="66"/>
      <c r="C77" s="66"/>
      <c r="D77" s="66"/>
      <c r="E77" s="66"/>
      <c r="F77" s="66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</row>
    <row r="78" spans="1:26" ht="21" x14ac:dyDescent="0.65">
      <c r="A78" s="66"/>
      <c r="B78" s="66"/>
      <c r="C78" s="66"/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</row>
    <row r="79" spans="1:26" ht="21" x14ac:dyDescent="0.65">
      <c r="A79" s="66"/>
      <c r="B79" s="66"/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</row>
    <row r="80" spans="1:26" ht="21" x14ac:dyDescent="0.65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</row>
    <row r="81" spans="1:26" ht="21" x14ac:dyDescent="0.65">
      <c r="A81" s="66"/>
      <c r="B81" s="66"/>
      <c r="C81" s="66"/>
      <c r="D81" s="66"/>
      <c r="E81" s="66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</row>
    <row r="82" spans="1:26" ht="21" x14ac:dyDescent="0.65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</row>
    <row r="83" spans="1:26" ht="21" x14ac:dyDescent="0.65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</row>
    <row r="84" spans="1:26" ht="21" x14ac:dyDescent="0.65">
      <c r="A84" s="66"/>
      <c r="B84" s="66"/>
      <c r="C84" s="66"/>
      <c r="D84" s="66"/>
      <c r="E84" s="66"/>
      <c r="F84" s="66"/>
      <c r="G84" s="66"/>
      <c r="H84" s="66"/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</row>
    <row r="85" spans="1:26" ht="21" x14ac:dyDescent="0.65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</row>
    <row r="86" spans="1:26" ht="21" x14ac:dyDescent="0.65">
      <c r="A86" s="66"/>
      <c r="B86" s="66"/>
      <c r="C86" s="66"/>
      <c r="D86" s="66"/>
      <c r="E86" s="66"/>
      <c r="F86" s="66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</row>
    <row r="87" spans="1:26" ht="21" x14ac:dyDescent="0.65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</row>
    <row r="88" spans="1:26" ht="21" x14ac:dyDescent="0.65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</row>
    <row r="89" spans="1:26" ht="21" x14ac:dyDescent="0.65">
      <c r="A89" s="66"/>
      <c r="B89" s="66"/>
      <c r="C89" s="66"/>
      <c r="D89" s="66"/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</row>
    <row r="90" spans="1:26" ht="21" x14ac:dyDescent="0.65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</row>
    <row r="91" spans="1:26" ht="21" x14ac:dyDescent="0.65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</row>
    <row r="92" spans="1:26" ht="21" x14ac:dyDescent="0.65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</row>
    <row r="93" spans="1:26" ht="21" x14ac:dyDescent="0.65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</row>
    <row r="94" spans="1:26" ht="21" x14ac:dyDescent="0.65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</row>
    <row r="95" spans="1:26" ht="21" x14ac:dyDescent="0.65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</row>
    <row r="96" spans="1:26" ht="21" x14ac:dyDescent="0.65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</row>
    <row r="97" spans="1:26" ht="21" x14ac:dyDescent="0.65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</row>
    <row r="98" spans="1:26" ht="21" x14ac:dyDescent="0.65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</row>
    <row r="99" spans="1:26" ht="21" x14ac:dyDescent="0.65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</row>
    <row r="100" spans="1:26" ht="21" x14ac:dyDescent="0.65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</row>
    <row r="101" spans="1:26" ht="21" x14ac:dyDescent="0.65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</row>
    <row r="102" spans="1:26" ht="21" x14ac:dyDescent="0.65">
      <c r="A102" s="66"/>
      <c r="B102" s="66"/>
      <c r="C102" s="66"/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</row>
    <row r="103" spans="1:26" ht="21" x14ac:dyDescent="0.65">
      <c r="A103" s="66"/>
      <c r="B103" s="66"/>
      <c r="C103" s="66"/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</row>
    <row r="104" spans="1:26" ht="21" x14ac:dyDescent="0.65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</row>
    <row r="105" spans="1:26" ht="21" x14ac:dyDescent="0.65">
      <c r="A105" s="66"/>
      <c r="B105" s="66"/>
      <c r="C105" s="66"/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</row>
    <row r="106" spans="1:26" ht="21" x14ac:dyDescent="0.65">
      <c r="A106" s="66"/>
      <c r="B106" s="66"/>
      <c r="C106" s="66"/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</row>
    <row r="107" spans="1:26" ht="21" x14ac:dyDescent="0.65">
      <c r="A107" s="66"/>
      <c r="B107" s="66"/>
      <c r="C107" s="66"/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</row>
    <row r="108" spans="1:26" ht="21" x14ac:dyDescent="0.65">
      <c r="A108" s="66"/>
      <c r="B108" s="66"/>
      <c r="C108" s="66"/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</row>
    <row r="109" spans="1:26" ht="21" x14ac:dyDescent="0.65">
      <c r="A109" s="66"/>
      <c r="B109" s="66"/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</row>
    <row r="110" spans="1:26" ht="21" x14ac:dyDescent="0.65">
      <c r="A110" s="66"/>
      <c r="B110" s="66"/>
      <c r="C110" s="66"/>
      <c r="D110" s="66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</row>
    <row r="111" spans="1:26" ht="21" x14ac:dyDescent="0.65">
      <c r="A111" s="66"/>
      <c r="B111" s="66"/>
      <c r="C111" s="66"/>
      <c r="D111" s="66"/>
      <c r="E111" s="66"/>
      <c r="F111" s="66"/>
      <c r="G111" s="66"/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</row>
    <row r="112" spans="1:26" ht="21" x14ac:dyDescent="0.65">
      <c r="A112" s="66"/>
      <c r="B112" s="66"/>
      <c r="C112" s="66"/>
      <c r="D112" s="66"/>
      <c r="E112" s="66"/>
      <c r="F112" s="66"/>
      <c r="G112" s="66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</row>
    <row r="113" spans="1:26" ht="21" x14ac:dyDescent="0.65">
      <c r="A113" s="66"/>
      <c r="B113" s="66"/>
      <c r="C113" s="66"/>
      <c r="D113" s="66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</row>
    <row r="114" spans="1:26" ht="21" x14ac:dyDescent="0.65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</row>
    <row r="115" spans="1:26" ht="21" x14ac:dyDescent="0.65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</row>
    <row r="116" spans="1:26" ht="21" x14ac:dyDescent="0.65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</row>
    <row r="117" spans="1:26" ht="21" x14ac:dyDescent="0.65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</row>
    <row r="118" spans="1:26" ht="21" x14ac:dyDescent="0.65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</row>
    <row r="119" spans="1:26" ht="21" x14ac:dyDescent="0.65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</row>
    <row r="120" spans="1:26" ht="21" x14ac:dyDescent="0.65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</row>
    <row r="121" spans="1:26" ht="21" x14ac:dyDescent="0.65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</row>
    <row r="122" spans="1:26" ht="21" x14ac:dyDescent="0.65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</row>
    <row r="123" spans="1:26" ht="21" x14ac:dyDescent="0.65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</row>
    <row r="124" spans="1:26" ht="21" x14ac:dyDescent="0.65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</row>
    <row r="125" spans="1:26" ht="21" x14ac:dyDescent="0.65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</row>
    <row r="126" spans="1:26" ht="21" x14ac:dyDescent="0.65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</row>
    <row r="127" spans="1:26" ht="21" x14ac:dyDescent="0.65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</row>
    <row r="128" spans="1:26" ht="21" x14ac:dyDescent="0.65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</row>
    <row r="129" spans="1:26" ht="21" x14ac:dyDescent="0.65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</row>
    <row r="130" spans="1:26" ht="21" x14ac:dyDescent="0.65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</row>
    <row r="131" spans="1:26" ht="21" x14ac:dyDescent="0.65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</row>
    <row r="132" spans="1:26" ht="21" x14ac:dyDescent="0.65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</row>
    <row r="133" spans="1:26" ht="21" x14ac:dyDescent="0.65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</row>
    <row r="134" spans="1:26" ht="21" x14ac:dyDescent="0.65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</row>
    <row r="135" spans="1:26" ht="21" x14ac:dyDescent="0.65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</row>
    <row r="136" spans="1:26" ht="21" x14ac:dyDescent="0.65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</row>
    <row r="137" spans="1:26" ht="21" x14ac:dyDescent="0.65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</row>
    <row r="138" spans="1:26" ht="21" x14ac:dyDescent="0.65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</row>
    <row r="139" spans="1:26" ht="21" x14ac:dyDescent="0.65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</row>
    <row r="140" spans="1:26" ht="21" x14ac:dyDescent="0.65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</row>
    <row r="141" spans="1:26" ht="21" x14ac:dyDescent="0.65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</row>
    <row r="142" spans="1:26" ht="21" x14ac:dyDescent="0.65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</row>
    <row r="143" spans="1:26" ht="21" x14ac:dyDescent="0.65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</row>
    <row r="144" spans="1:26" ht="21" x14ac:dyDescent="0.65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</row>
    <row r="145" spans="1:26" ht="21" x14ac:dyDescent="0.65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</row>
    <row r="146" spans="1:26" ht="21" x14ac:dyDescent="0.65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</row>
    <row r="147" spans="1:26" ht="21" x14ac:dyDescent="0.65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</row>
    <row r="148" spans="1:26" ht="21" x14ac:dyDescent="0.65">
      <c r="A148" s="66"/>
      <c r="B148" s="66"/>
      <c r="C148" s="66"/>
      <c r="D148" s="66"/>
      <c r="E148" s="66"/>
      <c r="F148" s="66"/>
      <c r="G148" s="66"/>
      <c r="H148" s="66"/>
      <c r="I148" s="66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</row>
    <row r="149" spans="1:26" ht="21" x14ac:dyDescent="0.65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</row>
    <row r="150" spans="1:26" ht="21" x14ac:dyDescent="0.65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</row>
    <row r="151" spans="1:26" ht="21" x14ac:dyDescent="0.65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</row>
    <row r="152" spans="1:26" ht="21" x14ac:dyDescent="0.65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</row>
    <row r="153" spans="1:26" ht="21" x14ac:dyDescent="0.65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66"/>
      <c r="Y153" s="66"/>
      <c r="Z153" s="66"/>
    </row>
    <row r="154" spans="1:26" ht="21" x14ac:dyDescent="0.65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</row>
    <row r="155" spans="1:26" ht="21" x14ac:dyDescent="0.65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</row>
    <row r="156" spans="1:26" ht="21" x14ac:dyDescent="0.65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</row>
    <row r="157" spans="1:26" ht="21" x14ac:dyDescent="0.65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</row>
    <row r="158" spans="1:26" ht="21" x14ac:dyDescent="0.65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</row>
    <row r="159" spans="1:26" ht="21" x14ac:dyDescent="0.65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</row>
    <row r="160" spans="1:26" ht="21" x14ac:dyDescent="0.65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</row>
    <row r="161" spans="1:26" ht="21" x14ac:dyDescent="0.65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</row>
    <row r="162" spans="1:26" ht="21" x14ac:dyDescent="0.65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</row>
    <row r="163" spans="1:26" ht="21" x14ac:dyDescent="0.65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</row>
    <row r="164" spans="1:26" ht="21" x14ac:dyDescent="0.65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  <c r="Z164" s="66"/>
    </row>
    <row r="165" spans="1:26" ht="21" x14ac:dyDescent="0.65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6"/>
    </row>
    <row r="166" spans="1:26" ht="21" x14ac:dyDescent="0.65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  <c r="Z166" s="66"/>
    </row>
    <row r="167" spans="1:26" ht="21" x14ac:dyDescent="0.65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/>
    </row>
    <row r="168" spans="1:26" ht="21" x14ac:dyDescent="0.65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</row>
    <row r="169" spans="1:26" ht="21" x14ac:dyDescent="0.65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</row>
    <row r="170" spans="1:26" ht="21" x14ac:dyDescent="0.65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</row>
    <row r="171" spans="1:26" ht="21" x14ac:dyDescent="0.65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</row>
    <row r="172" spans="1:26" ht="21" x14ac:dyDescent="0.65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</row>
    <row r="173" spans="1:26" ht="21" x14ac:dyDescent="0.65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</row>
    <row r="174" spans="1:26" ht="21" x14ac:dyDescent="0.65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</row>
    <row r="175" spans="1:26" ht="21" x14ac:dyDescent="0.65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  <c r="Z175" s="66"/>
    </row>
    <row r="176" spans="1:26" ht="21" x14ac:dyDescent="0.65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</row>
    <row r="177" spans="1:26" ht="21" x14ac:dyDescent="0.65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</row>
    <row r="178" spans="1:26" ht="21" x14ac:dyDescent="0.65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</row>
    <row r="179" spans="1:26" ht="21" x14ac:dyDescent="0.65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</row>
    <row r="180" spans="1:26" ht="21" x14ac:dyDescent="0.65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  <c r="X180" s="66"/>
      <c r="Y180" s="66"/>
      <c r="Z180" s="66"/>
    </row>
    <row r="181" spans="1:26" ht="21" x14ac:dyDescent="0.65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  <c r="Z181" s="66"/>
    </row>
    <row r="182" spans="1:26" ht="21" x14ac:dyDescent="0.65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6"/>
    </row>
    <row r="183" spans="1:26" ht="21" x14ac:dyDescent="0.65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  <c r="Z183" s="66"/>
    </row>
    <row r="184" spans="1:26" ht="21" x14ac:dyDescent="0.65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  <c r="Z184" s="66"/>
    </row>
    <row r="185" spans="1:26" ht="21" x14ac:dyDescent="0.65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</row>
    <row r="186" spans="1:26" ht="21" x14ac:dyDescent="0.65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</row>
    <row r="187" spans="1:26" ht="21" x14ac:dyDescent="0.65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6"/>
    </row>
    <row r="188" spans="1:26" ht="21" x14ac:dyDescent="0.65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</row>
    <row r="189" spans="1:26" ht="21" x14ac:dyDescent="0.65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</row>
    <row r="190" spans="1:26" ht="21" x14ac:dyDescent="0.65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</row>
    <row r="191" spans="1:26" ht="21" x14ac:dyDescent="0.65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</row>
    <row r="192" spans="1:26" ht="21" x14ac:dyDescent="0.65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  <c r="Z192" s="66"/>
    </row>
    <row r="193" spans="1:26" ht="21" x14ac:dyDescent="0.65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</row>
    <row r="194" spans="1:26" ht="21" x14ac:dyDescent="0.65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</row>
    <row r="195" spans="1:26" ht="21" x14ac:dyDescent="0.65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</row>
    <row r="196" spans="1:26" ht="21" x14ac:dyDescent="0.65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</row>
    <row r="197" spans="1:26" ht="21" x14ac:dyDescent="0.65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</row>
    <row r="198" spans="1:26" ht="21" x14ac:dyDescent="0.65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</row>
    <row r="199" spans="1:26" ht="21" x14ac:dyDescent="0.65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</row>
    <row r="200" spans="1:26" ht="21" x14ac:dyDescent="0.65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</row>
    <row r="201" spans="1:26" ht="21" x14ac:dyDescent="0.65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</row>
    <row r="202" spans="1:26" ht="21" x14ac:dyDescent="0.65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</row>
    <row r="203" spans="1:26" ht="21" x14ac:dyDescent="0.65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</row>
    <row r="204" spans="1:26" ht="21" x14ac:dyDescent="0.65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</row>
    <row r="205" spans="1:26" ht="21" x14ac:dyDescent="0.65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</row>
    <row r="206" spans="1:26" ht="21" x14ac:dyDescent="0.65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</row>
    <row r="207" spans="1:26" ht="21" x14ac:dyDescent="0.65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</row>
    <row r="208" spans="1:26" ht="21" x14ac:dyDescent="0.65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66"/>
      <c r="L208" s="66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66"/>
      <c r="Z208" s="66"/>
    </row>
    <row r="209" spans="1:26" ht="21" x14ac:dyDescent="0.65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  <c r="Z209" s="66"/>
    </row>
    <row r="210" spans="1:26" ht="21" x14ac:dyDescent="0.65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</row>
    <row r="211" spans="1:26" ht="21" x14ac:dyDescent="0.65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</row>
    <row r="212" spans="1:26" ht="21" x14ac:dyDescent="0.65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</row>
    <row r="213" spans="1:26" ht="21" x14ac:dyDescent="0.65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</row>
    <row r="214" spans="1:26" ht="21" x14ac:dyDescent="0.65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6"/>
      <c r="L214" s="66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  <c r="Z214" s="66"/>
    </row>
    <row r="215" spans="1:26" ht="21" x14ac:dyDescent="0.65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</row>
    <row r="216" spans="1:26" ht="21" x14ac:dyDescent="0.65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  <c r="Z216" s="66"/>
    </row>
    <row r="217" spans="1:26" ht="21" x14ac:dyDescent="0.65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</row>
    <row r="218" spans="1:26" ht="21" x14ac:dyDescent="0.65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</row>
    <row r="219" spans="1:26" ht="21" x14ac:dyDescent="0.65">
      <c r="A219" s="66"/>
      <c r="B219" s="66"/>
      <c r="C219" s="66"/>
      <c r="D219" s="66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</row>
    <row r="220" spans="1:26" ht="21" x14ac:dyDescent="0.65">
      <c r="A220" s="66"/>
      <c r="B220" s="66"/>
      <c r="C220" s="66"/>
      <c r="D220" s="66"/>
      <c r="E220" s="66"/>
      <c r="F220" s="66"/>
      <c r="G220" s="66"/>
      <c r="H220" s="66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</row>
    <row r="221" spans="1:26" ht="21" x14ac:dyDescent="0.65">
      <c r="A221" s="66"/>
      <c r="B221" s="66"/>
      <c r="C221" s="66"/>
      <c r="D221" s="66"/>
      <c r="E221" s="66"/>
      <c r="F221" s="66"/>
      <c r="G221" s="66"/>
      <c r="H221" s="66"/>
      <c r="I221" s="66"/>
      <c r="J221" s="66"/>
      <c r="K221" s="66"/>
      <c r="L221" s="66"/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  <c r="Z221" s="66"/>
    </row>
    <row r="222" spans="1:26" ht="21" x14ac:dyDescent="0.65">
      <c r="A222" s="66"/>
      <c r="B222" s="66"/>
      <c r="C222" s="66"/>
      <c r="D222" s="66"/>
      <c r="E222" s="66"/>
      <c r="F222" s="66"/>
      <c r="G222" s="66"/>
      <c r="H222" s="66"/>
      <c r="I222" s="66"/>
      <c r="J222" s="66"/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</row>
    <row r="223" spans="1:26" ht="21" x14ac:dyDescent="0.65">
      <c r="A223" s="66"/>
      <c r="B223" s="66"/>
      <c r="C223" s="66"/>
      <c r="D223" s="66"/>
      <c r="E223" s="66"/>
      <c r="F223" s="66"/>
      <c r="G223" s="66"/>
      <c r="H223" s="66"/>
      <c r="I223" s="66"/>
      <c r="J223" s="66"/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</row>
    <row r="224" spans="1:26" ht="21" x14ac:dyDescent="0.65">
      <c r="A224" s="66"/>
      <c r="B224" s="66"/>
      <c r="C224" s="66"/>
      <c r="D224" s="66"/>
      <c r="E224" s="66"/>
      <c r="F224" s="66"/>
      <c r="G224" s="66"/>
      <c r="H224" s="66"/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</row>
    <row r="225" spans="1:26" ht="21" x14ac:dyDescent="0.65">
      <c r="A225" s="66"/>
      <c r="B225" s="66"/>
      <c r="C225" s="66"/>
      <c r="D225" s="66"/>
      <c r="E225" s="66"/>
      <c r="F225" s="66"/>
      <c r="G225" s="66"/>
      <c r="H225" s="66"/>
      <c r="I225" s="66"/>
      <c r="J225" s="66"/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</row>
    <row r="226" spans="1:26" ht="21" x14ac:dyDescent="0.65">
      <c r="A226" s="66"/>
      <c r="B226" s="66"/>
      <c r="C226" s="66"/>
      <c r="D226" s="66"/>
      <c r="E226" s="66"/>
      <c r="F226" s="66"/>
      <c r="G226" s="66"/>
      <c r="H226" s="66"/>
      <c r="I226" s="66"/>
      <c r="J226" s="66"/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</row>
    <row r="227" spans="1:26" ht="21" x14ac:dyDescent="0.65">
      <c r="A227" s="66"/>
      <c r="B227" s="66"/>
      <c r="C227" s="66"/>
      <c r="D227" s="66"/>
      <c r="E227" s="66"/>
      <c r="F227" s="66"/>
      <c r="G227" s="66"/>
      <c r="H227" s="66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</row>
    <row r="228" spans="1:26" ht="21" x14ac:dyDescent="0.65">
      <c r="A228" s="66"/>
      <c r="B228" s="66"/>
      <c r="C228" s="66"/>
      <c r="D228" s="66"/>
      <c r="E228" s="66"/>
      <c r="F228" s="66"/>
      <c r="G228" s="66"/>
      <c r="H228" s="66"/>
      <c r="I228" s="66"/>
      <c r="J228" s="66"/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</row>
    <row r="229" spans="1:26" ht="21" x14ac:dyDescent="0.65">
      <c r="A229" s="66"/>
      <c r="B229" s="66"/>
      <c r="C229" s="66"/>
      <c r="D229" s="66"/>
      <c r="E229" s="66"/>
      <c r="F229" s="66"/>
      <c r="G229" s="66"/>
      <c r="H229" s="66"/>
      <c r="I229" s="66"/>
      <c r="J229" s="66"/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</row>
    <row r="230" spans="1:26" ht="21" x14ac:dyDescent="0.65">
      <c r="A230" s="66"/>
      <c r="B230" s="66"/>
      <c r="C230" s="66"/>
      <c r="D230" s="66"/>
      <c r="E230" s="66"/>
      <c r="F230" s="66"/>
      <c r="G230" s="66"/>
      <c r="H230" s="66"/>
      <c r="I230" s="66"/>
      <c r="J230" s="66"/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</row>
    <row r="231" spans="1:26" ht="21" x14ac:dyDescent="0.65">
      <c r="A231" s="66"/>
      <c r="B231" s="66"/>
      <c r="C231" s="66"/>
      <c r="D231" s="66"/>
      <c r="E231" s="66"/>
      <c r="F231" s="66"/>
      <c r="G231" s="66"/>
      <c r="H231" s="66"/>
      <c r="I231" s="66"/>
      <c r="J231" s="66"/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66"/>
      <c r="Z231" s="66"/>
    </row>
    <row r="232" spans="1:26" ht="21" x14ac:dyDescent="0.65">
      <c r="A232" s="66"/>
      <c r="B232" s="66"/>
      <c r="C232" s="66"/>
      <c r="D232" s="66"/>
      <c r="E232" s="66"/>
      <c r="F232" s="66"/>
      <c r="G232" s="66"/>
      <c r="H232" s="66"/>
      <c r="I232" s="66"/>
      <c r="J232" s="66"/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</row>
    <row r="233" spans="1:26" ht="21" x14ac:dyDescent="0.65">
      <c r="A233" s="66"/>
      <c r="B233" s="66"/>
      <c r="C233" s="66"/>
      <c r="D233" s="66"/>
      <c r="E233" s="66"/>
      <c r="F233" s="66"/>
      <c r="G233" s="66"/>
      <c r="H233" s="66"/>
      <c r="I233" s="66"/>
      <c r="J233" s="66"/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</row>
    <row r="234" spans="1:26" ht="21" x14ac:dyDescent="0.65">
      <c r="A234" s="66"/>
      <c r="B234" s="66"/>
      <c r="C234" s="66"/>
      <c r="D234" s="66"/>
      <c r="E234" s="66"/>
      <c r="F234" s="66"/>
      <c r="G234" s="66"/>
      <c r="H234" s="66"/>
      <c r="I234" s="66"/>
      <c r="J234" s="66"/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</row>
    <row r="235" spans="1:26" ht="21" x14ac:dyDescent="0.65">
      <c r="A235" s="66"/>
      <c r="B235" s="66"/>
      <c r="C235" s="66"/>
      <c r="D235" s="66"/>
      <c r="E235" s="66"/>
      <c r="F235" s="66"/>
      <c r="G235" s="66"/>
      <c r="H235" s="66"/>
      <c r="I235" s="66"/>
      <c r="J235" s="66"/>
      <c r="K235" s="66"/>
      <c r="L235" s="66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  <c r="Z235" s="66"/>
    </row>
    <row r="236" spans="1:26" ht="21" x14ac:dyDescent="0.65">
      <c r="A236" s="66"/>
      <c r="B236" s="66"/>
      <c r="C236" s="66"/>
      <c r="D236" s="66"/>
      <c r="E236" s="66"/>
      <c r="F236" s="66"/>
      <c r="G236" s="66"/>
      <c r="H236" s="66"/>
      <c r="I236" s="66"/>
      <c r="J236" s="66"/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</row>
    <row r="237" spans="1:26" ht="21" x14ac:dyDescent="0.65">
      <c r="A237" s="66"/>
      <c r="B237" s="66"/>
      <c r="C237" s="66"/>
      <c r="D237" s="66"/>
      <c r="E237" s="66"/>
      <c r="F237" s="66"/>
      <c r="G237" s="66"/>
      <c r="H237" s="66"/>
      <c r="I237" s="66"/>
      <c r="J237" s="66"/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</row>
    <row r="238" spans="1:26" ht="21" x14ac:dyDescent="0.65">
      <c r="A238" s="66"/>
      <c r="B238" s="66"/>
      <c r="C238" s="66"/>
      <c r="D238" s="66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  <c r="Z238" s="66"/>
    </row>
    <row r="239" spans="1:26" ht="21" x14ac:dyDescent="0.65">
      <c r="A239" s="66"/>
      <c r="B239" s="66"/>
      <c r="C239" s="66"/>
      <c r="D239" s="66"/>
      <c r="E239" s="66"/>
      <c r="F239" s="66"/>
      <c r="G239" s="66"/>
      <c r="H239" s="66"/>
      <c r="I239" s="66"/>
      <c r="J239" s="66"/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</row>
    <row r="240" spans="1:26" ht="21" x14ac:dyDescent="0.65">
      <c r="A240" s="66"/>
      <c r="B240" s="66"/>
      <c r="C240" s="66"/>
      <c r="D240" s="66"/>
      <c r="E240" s="66"/>
      <c r="F240" s="66"/>
      <c r="G240" s="66"/>
      <c r="H240" s="66"/>
      <c r="I240" s="66"/>
      <c r="J240" s="66"/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</row>
    <row r="241" spans="1:26" ht="21" x14ac:dyDescent="0.65">
      <c r="A241" s="66"/>
      <c r="B241" s="66"/>
      <c r="C241" s="66"/>
      <c r="D241" s="66"/>
      <c r="E241" s="66"/>
      <c r="F241" s="66"/>
      <c r="G241" s="66"/>
      <c r="H241" s="66"/>
      <c r="I241" s="66"/>
      <c r="J241" s="66"/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</row>
    <row r="242" spans="1:26" ht="21" x14ac:dyDescent="0.65">
      <c r="A242" s="66"/>
      <c r="B242" s="66"/>
      <c r="C242" s="66"/>
      <c r="D242" s="66"/>
      <c r="E242" s="66"/>
      <c r="F242" s="66"/>
      <c r="G242" s="66"/>
      <c r="H242" s="66"/>
      <c r="I242" s="66"/>
      <c r="J242" s="66"/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</row>
    <row r="243" spans="1:26" ht="21" x14ac:dyDescent="0.65">
      <c r="A243" s="66"/>
      <c r="B243" s="66"/>
      <c r="C243" s="66"/>
      <c r="D243" s="66"/>
      <c r="E243" s="66"/>
      <c r="F243" s="66"/>
      <c r="G243" s="66"/>
      <c r="H243" s="66"/>
      <c r="I243" s="66"/>
      <c r="J243" s="66"/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</row>
    <row r="244" spans="1:26" ht="21" x14ac:dyDescent="0.65">
      <c r="A244" s="66"/>
      <c r="B244" s="66"/>
      <c r="C244" s="66"/>
      <c r="D244" s="66"/>
      <c r="E244" s="66"/>
      <c r="F244" s="66"/>
      <c r="G244" s="66"/>
      <c r="H244" s="66"/>
      <c r="I244" s="66"/>
      <c r="J244" s="66"/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</row>
    <row r="245" spans="1:26" ht="21" x14ac:dyDescent="0.65">
      <c r="A245" s="66"/>
      <c r="B245" s="66"/>
      <c r="C245" s="66"/>
      <c r="D245" s="66"/>
      <c r="E245" s="66"/>
      <c r="F245" s="66"/>
      <c r="G245" s="66"/>
      <c r="H245" s="66"/>
      <c r="I245" s="66"/>
      <c r="J245" s="66"/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</row>
    <row r="246" spans="1:26" ht="21" x14ac:dyDescent="0.65">
      <c r="A246" s="66"/>
      <c r="B246" s="66"/>
      <c r="C246" s="66"/>
      <c r="D246" s="66"/>
      <c r="E246" s="66"/>
      <c r="F246" s="66"/>
      <c r="G246" s="66"/>
      <c r="H246" s="66"/>
      <c r="I246" s="66"/>
      <c r="J246" s="66"/>
      <c r="K246" s="66"/>
      <c r="L246" s="66"/>
      <c r="M246" s="66"/>
      <c r="N246" s="66"/>
      <c r="O246" s="66"/>
      <c r="P246" s="66"/>
      <c r="Q246" s="66"/>
      <c r="R246" s="66"/>
      <c r="S246" s="66"/>
      <c r="T246" s="66"/>
      <c r="U246" s="66"/>
      <c r="V246" s="66"/>
      <c r="W246" s="66"/>
      <c r="X246" s="66"/>
      <c r="Y246" s="66"/>
      <c r="Z246" s="66"/>
    </row>
    <row r="247" spans="1:26" ht="21" x14ac:dyDescent="0.65">
      <c r="A247" s="66"/>
      <c r="B247" s="66"/>
      <c r="C247" s="66"/>
      <c r="D247" s="66"/>
      <c r="E247" s="66"/>
      <c r="F247" s="66"/>
      <c r="G247" s="66"/>
      <c r="H247" s="66"/>
      <c r="I247" s="66"/>
      <c r="J247" s="66"/>
      <c r="K247" s="66"/>
      <c r="L247" s="66"/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6"/>
      <c r="X247" s="66"/>
      <c r="Y247" s="66"/>
      <c r="Z247" s="66"/>
    </row>
    <row r="248" spans="1:26" ht="21" x14ac:dyDescent="0.65">
      <c r="A248" s="66"/>
      <c r="B248" s="66"/>
      <c r="C248" s="66"/>
      <c r="D248" s="66"/>
      <c r="E248" s="66"/>
      <c r="F248" s="66"/>
      <c r="G248" s="66"/>
      <c r="H248" s="66"/>
      <c r="I248" s="66"/>
      <c r="J248" s="66"/>
      <c r="K248" s="66"/>
      <c r="L248" s="66"/>
      <c r="M248" s="66"/>
      <c r="N248" s="66"/>
      <c r="O248" s="66"/>
      <c r="P248" s="66"/>
      <c r="Q248" s="66"/>
      <c r="R248" s="66"/>
      <c r="S248" s="66"/>
      <c r="T248" s="66"/>
      <c r="U248" s="66"/>
      <c r="V248" s="66"/>
      <c r="W248" s="66"/>
      <c r="X248" s="66"/>
      <c r="Y248" s="66"/>
      <c r="Z248" s="66"/>
    </row>
    <row r="249" spans="1:26" ht="21" x14ac:dyDescent="0.65">
      <c r="A249" s="66"/>
      <c r="B249" s="66"/>
      <c r="C249" s="66"/>
      <c r="D249" s="66"/>
      <c r="E249" s="66"/>
      <c r="F249" s="66"/>
      <c r="G249" s="66"/>
      <c r="H249" s="66"/>
      <c r="I249" s="66"/>
      <c r="J249" s="66"/>
      <c r="K249" s="66"/>
      <c r="L249" s="66"/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66"/>
      <c r="X249" s="66"/>
      <c r="Y249" s="66"/>
      <c r="Z249" s="66"/>
    </row>
    <row r="250" spans="1:26" ht="21" x14ac:dyDescent="0.65">
      <c r="A250" s="66"/>
      <c r="B250" s="66"/>
      <c r="C250" s="66"/>
      <c r="D250" s="66"/>
      <c r="E250" s="66"/>
      <c r="F250" s="66"/>
      <c r="G250" s="66"/>
      <c r="H250" s="66"/>
      <c r="I250" s="66"/>
      <c r="J250" s="66"/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  <c r="Z250" s="66"/>
    </row>
    <row r="251" spans="1:26" ht="21" x14ac:dyDescent="0.65">
      <c r="A251" s="66"/>
      <c r="B251" s="66"/>
      <c r="C251" s="66"/>
      <c r="D251" s="66"/>
      <c r="E251" s="66"/>
      <c r="F251" s="66"/>
      <c r="G251" s="66"/>
      <c r="H251" s="66"/>
      <c r="I251" s="66"/>
      <c r="J251" s="66"/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</row>
    <row r="252" spans="1:26" ht="21" x14ac:dyDescent="0.65">
      <c r="A252" s="66"/>
      <c r="B252" s="66"/>
      <c r="C252" s="66"/>
      <c r="D252" s="66"/>
      <c r="E252" s="66"/>
      <c r="F252" s="66"/>
      <c r="G252" s="66"/>
      <c r="H252" s="66"/>
      <c r="I252" s="66"/>
      <c r="J252" s="66"/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  <c r="Z252" s="66"/>
    </row>
    <row r="253" spans="1:26" ht="21" x14ac:dyDescent="0.65">
      <c r="A253" s="66"/>
      <c r="B253" s="66"/>
      <c r="C253" s="66"/>
      <c r="D253" s="66"/>
      <c r="E253" s="66"/>
      <c r="F253" s="66"/>
      <c r="G253" s="66"/>
      <c r="H253" s="66"/>
      <c r="I253" s="66"/>
      <c r="J253" s="66"/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</row>
    <row r="254" spans="1:26" ht="21" x14ac:dyDescent="0.65">
      <c r="A254" s="66"/>
      <c r="B254" s="66"/>
      <c r="C254" s="66"/>
      <c r="D254" s="66"/>
      <c r="E254" s="66"/>
      <c r="F254" s="66"/>
      <c r="G254" s="66"/>
      <c r="H254" s="66"/>
      <c r="I254" s="66"/>
      <c r="J254" s="66"/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</row>
    <row r="255" spans="1:26" ht="21" x14ac:dyDescent="0.65">
      <c r="A255" s="66"/>
      <c r="B255" s="66"/>
      <c r="C255" s="66"/>
      <c r="D255" s="66"/>
      <c r="E255" s="66"/>
      <c r="F255" s="66"/>
      <c r="G255" s="66"/>
      <c r="H255" s="66"/>
      <c r="I255" s="66"/>
      <c r="J255" s="66"/>
      <c r="K255" s="66"/>
      <c r="L255" s="66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66"/>
      <c r="Z255" s="66"/>
    </row>
    <row r="256" spans="1:26" ht="21" x14ac:dyDescent="0.65">
      <c r="A256" s="66"/>
      <c r="B256" s="66"/>
      <c r="C256" s="66"/>
      <c r="D256" s="66"/>
      <c r="E256" s="66"/>
      <c r="F256" s="66"/>
      <c r="G256" s="66"/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</row>
    <row r="257" spans="1:26" ht="21" x14ac:dyDescent="0.65">
      <c r="A257" s="66"/>
      <c r="B257" s="66"/>
      <c r="C257" s="66"/>
      <c r="D257" s="66"/>
      <c r="E257" s="66"/>
      <c r="F257" s="66"/>
      <c r="G257" s="66"/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</row>
    <row r="258" spans="1:26" ht="21" x14ac:dyDescent="0.65">
      <c r="A258" s="66"/>
      <c r="B258" s="66"/>
      <c r="C258" s="66"/>
      <c r="D258" s="66"/>
      <c r="E258" s="66"/>
      <c r="F258" s="66"/>
      <c r="G258" s="66"/>
      <c r="H258" s="66"/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  <c r="Z258" s="66"/>
    </row>
    <row r="259" spans="1:26" ht="21" x14ac:dyDescent="0.65">
      <c r="A259" s="66"/>
      <c r="B259" s="66"/>
      <c r="C259" s="66"/>
      <c r="D259" s="66"/>
      <c r="E259" s="66"/>
      <c r="F259" s="66"/>
      <c r="G259" s="66"/>
      <c r="H259" s="66"/>
      <c r="I259" s="66"/>
      <c r="J259" s="66"/>
      <c r="K259" s="66"/>
      <c r="L259" s="66"/>
      <c r="M259" s="66"/>
      <c r="N259" s="66"/>
      <c r="O259" s="66"/>
      <c r="P259" s="66"/>
      <c r="Q259" s="66"/>
      <c r="R259" s="66"/>
      <c r="S259" s="66"/>
      <c r="T259" s="66"/>
      <c r="U259" s="66"/>
      <c r="V259" s="66"/>
      <c r="W259" s="66"/>
      <c r="X259" s="66"/>
      <c r="Y259" s="66"/>
      <c r="Z259" s="66"/>
    </row>
    <row r="260" spans="1:26" ht="21" x14ac:dyDescent="0.65">
      <c r="A260" s="66"/>
      <c r="B260" s="66"/>
      <c r="C260" s="66"/>
      <c r="D260" s="66"/>
      <c r="E260" s="66"/>
      <c r="F260" s="66"/>
      <c r="G260" s="66"/>
      <c r="H260" s="66"/>
      <c r="I260" s="66"/>
      <c r="J260" s="66"/>
      <c r="K260" s="66"/>
      <c r="L260" s="66"/>
      <c r="M260" s="66"/>
      <c r="N260" s="66"/>
      <c r="O260" s="66"/>
      <c r="P260" s="66"/>
      <c r="Q260" s="66"/>
      <c r="R260" s="66"/>
      <c r="S260" s="66"/>
      <c r="T260" s="66"/>
      <c r="U260" s="66"/>
      <c r="V260" s="66"/>
      <c r="W260" s="66"/>
      <c r="X260" s="66"/>
      <c r="Y260" s="66"/>
      <c r="Z260" s="66"/>
    </row>
    <row r="261" spans="1:26" ht="21" x14ac:dyDescent="0.65">
      <c r="A261" s="66"/>
      <c r="B261" s="66"/>
      <c r="C261" s="66"/>
      <c r="D261" s="66"/>
      <c r="E261" s="66"/>
      <c r="F261" s="66"/>
      <c r="G261" s="66"/>
      <c r="H261" s="66"/>
      <c r="I261" s="66"/>
      <c r="J261" s="66"/>
      <c r="K261" s="66"/>
      <c r="L261" s="66"/>
      <c r="M261" s="66"/>
      <c r="N261" s="66"/>
      <c r="O261" s="66"/>
      <c r="P261" s="66"/>
      <c r="Q261" s="66"/>
      <c r="R261" s="66"/>
      <c r="S261" s="66"/>
      <c r="T261" s="66"/>
      <c r="U261" s="66"/>
      <c r="V261" s="66"/>
      <c r="W261" s="66"/>
      <c r="X261" s="66"/>
      <c r="Y261" s="66"/>
      <c r="Z261" s="66"/>
    </row>
    <row r="262" spans="1:26" ht="21" x14ac:dyDescent="0.65">
      <c r="A262" s="66"/>
      <c r="B262" s="66"/>
      <c r="C262" s="66"/>
      <c r="D262" s="66"/>
      <c r="E262" s="66"/>
      <c r="F262" s="66"/>
      <c r="G262" s="66"/>
      <c r="H262" s="66"/>
      <c r="I262" s="66"/>
      <c r="J262" s="66"/>
      <c r="K262" s="66"/>
      <c r="L262" s="66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  <c r="Z262" s="66"/>
    </row>
    <row r="263" spans="1:26" ht="21" x14ac:dyDescent="0.65">
      <c r="A263" s="66"/>
      <c r="B263" s="66"/>
      <c r="C263" s="66"/>
      <c r="D263" s="66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</row>
    <row r="264" spans="1:26" ht="21" x14ac:dyDescent="0.65">
      <c r="A264" s="66"/>
      <c r="B264" s="66"/>
      <c r="C264" s="66"/>
      <c r="D264" s="66"/>
      <c r="E264" s="66"/>
      <c r="F264" s="66"/>
      <c r="G264" s="66"/>
      <c r="H264" s="66"/>
      <c r="I264" s="66"/>
      <c r="J264" s="66"/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</row>
    <row r="265" spans="1:26" ht="21" x14ac:dyDescent="0.65">
      <c r="A265" s="66"/>
      <c r="B265" s="66"/>
      <c r="C265" s="66"/>
      <c r="D265" s="66"/>
      <c r="E265" s="66"/>
      <c r="F265" s="66"/>
      <c r="G265" s="66"/>
      <c r="H265" s="66"/>
      <c r="I265" s="66"/>
      <c r="J265" s="66"/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</row>
    <row r="266" spans="1:26" ht="21" x14ac:dyDescent="0.65">
      <c r="A266" s="66"/>
      <c r="B266" s="66"/>
      <c r="C266" s="66"/>
      <c r="D266" s="66"/>
      <c r="E266" s="66"/>
      <c r="F266" s="66"/>
      <c r="G266" s="66"/>
      <c r="H266" s="66"/>
      <c r="I266" s="66"/>
      <c r="J266" s="66"/>
      <c r="K266" s="66"/>
      <c r="L266" s="66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</row>
    <row r="267" spans="1:26" ht="21" x14ac:dyDescent="0.65">
      <c r="A267" s="66"/>
      <c r="B267" s="66"/>
      <c r="C267" s="66"/>
      <c r="D267" s="66"/>
      <c r="E267" s="66"/>
      <c r="F267" s="66"/>
      <c r="G267" s="66"/>
      <c r="H267" s="66"/>
      <c r="I267" s="66"/>
      <c r="J267" s="66"/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</row>
    <row r="268" spans="1:26" ht="21" x14ac:dyDescent="0.65">
      <c r="A268" s="66"/>
      <c r="B268" s="66"/>
      <c r="C268" s="66"/>
      <c r="D268" s="66"/>
      <c r="E268" s="66"/>
      <c r="F268" s="66"/>
      <c r="G268" s="66"/>
      <c r="H268" s="66"/>
      <c r="I268" s="66"/>
      <c r="J268" s="66"/>
      <c r="K268" s="66"/>
      <c r="L268" s="66"/>
      <c r="M268" s="66"/>
      <c r="N268" s="66"/>
      <c r="O268" s="66"/>
      <c r="P268" s="66"/>
      <c r="Q268" s="66"/>
      <c r="R268" s="66"/>
      <c r="S268" s="66"/>
      <c r="T268" s="66"/>
      <c r="U268" s="66"/>
      <c r="V268" s="66"/>
      <c r="W268" s="66"/>
      <c r="X268" s="66"/>
      <c r="Y268" s="66"/>
      <c r="Z268" s="66"/>
    </row>
    <row r="269" spans="1:26" ht="21" x14ac:dyDescent="0.65">
      <c r="A269" s="66"/>
      <c r="B269" s="66"/>
      <c r="C269" s="66"/>
      <c r="D269" s="66"/>
      <c r="E269" s="66"/>
      <c r="F269" s="66"/>
      <c r="G269" s="66"/>
      <c r="H269" s="66"/>
      <c r="I269" s="66"/>
      <c r="J269" s="66"/>
      <c r="K269" s="66"/>
      <c r="L269" s="66"/>
      <c r="M269" s="66"/>
      <c r="N269" s="66"/>
      <c r="O269" s="66"/>
      <c r="P269" s="66"/>
      <c r="Q269" s="66"/>
      <c r="R269" s="66"/>
      <c r="S269" s="66"/>
      <c r="T269" s="66"/>
      <c r="U269" s="66"/>
      <c r="V269" s="66"/>
      <c r="W269" s="66"/>
      <c r="X269" s="66"/>
      <c r="Y269" s="66"/>
      <c r="Z269" s="66"/>
    </row>
    <row r="270" spans="1:26" ht="21" x14ac:dyDescent="0.65">
      <c r="A270" s="66"/>
      <c r="B270" s="66"/>
      <c r="C270" s="66"/>
      <c r="D270" s="66"/>
      <c r="E270" s="66"/>
      <c r="F270" s="66"/>
      <c r="G270" s="66"/>
      <c r="H270" s="66"/>
      <c r="I270" s="66"/>
      <c r="J270" s="66"/>
      <c r="K270" s="66"/>
      <c r="L270" s="66"/>
      <c r="M270" s="66"/>
      <c r="N270" s="66"/>
      <c r="O270" s="66"/>
      <c r="P270" s="66"/>
      <c r="Q270" s="66"/>
      <c r="R270" s="66"/>
      <c r="S270" s="66"/>
      <c r="T270" s="66"/>
      <c r="U270" s="66"/>
      <c r="V270" s="66"/>
      <c r="W270" s="66"/>
      <c r="X270" s="66"/>
      <c r="Y270" s="66"/>
      <c r="Z270" s="66"/>
    </row>
    <row r="271" spans="1:26" ht="21" x14ac:dyDescent="0.65">
      <c r="A271" s="66"/>
      <c r="B271" s="66"/>
      <c r="C271" s="66"/>
      <c r="D271" s="66"/>
      <c r="E271" s="66"/>
      <c r="F271" s="66"/>
      <c r="G271" s="66"/>
      <c r="H271" s="66"/>
      <c r="I271" s="66"/>
      <c r="J271" s="66"/>
      <c r="K271" s="66"/>
      <c r="L271" s="66"/>
      <c r="M271" s="66"/>
      <c r="N271" s="66"/>
      <c r="O271" s="66"/>
      <c r="P271" s="66"/>
      <c r="Q271" s="66"/>
      <c r="R271" s="66"/>
      <c r="S271" s="66"/>
      <c r="T271" s="66"/>
      <c r="U271" s="66"/>
      <c r="V271" s="66"/>
      <c r="W271" s="66"/>
      <c r="X271" s="66"/>
      <c r="Y271" s="66"/>
      <c r="Z271" s="66"/>
    </row>
    <row r="272" spans="1:26" ht="21" x14ac:dyDescent="0.65">
      <c r="A272" s="66"/>
      <c r="B272" s="66"/>
      <c r="C272" s="66"/>
      <c r="D272" s="66"/>
      <c r="E272" s="66"/>
      <c r="F272" s="66"/>
      <c r="G272" s="66"/>
      <c r="H272" s="66"/>
      <c r="I272" s="66"/>
      <c r="J272" s="66"/>
      <c r="K272" s="66"/>
      <c r="L272" s="66"/>
      <c r="M272" s="66"/>
      <c r="N272" s="66"/>
      <c r="O272" s="66"/>
      <c r="P272" s="66"/>
      <c r="Q272" s="66"/>
      <c r="R272" s="66"/>
      <c r="S272" s="66"/>
      <c r="T272" s="66"/>
      <c r="U272" s="66"/>
      <c r="V272" s="66"/>
      <c r="W272" s="66"/>
      <c r="X272" s="66"/>
      <c r="Y272" s="66"/>
      <c r="Z272" s="66"/>
    </row>
    <row r="273" spans="1:26" ht="21" x14ac:dyDescent="0.65">
      <c r="A273" s="66"/>
      <c r="B273" s="66"/>
      <c r="C273" s="66"/>
      <c r="D273" s="66"/>
      <c r="E273" s="66"/>
      <c r="F273" s="66"/>
      <c r="G273" s="66"/>
      <c r="H273" s="66"/>
      <c r="I273" s="66"/>
      <c r="J273" s="66"/>
      <c r="K273" s="66"/>
      <c r="L273" s="66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  <c r="Z273" s="66"/>
    </row>
    <row r="274" spans="1:26" ht="21" x14ac:dyDescent="0.65">
      <c r="A274" s="66"/>
      <c r="B274" s="66"/>
      <c r="C274" s="66"/>
      <c r="D274" s="66"/>
      <c r="E274" s="66"/>
      <c r="F274" s="66"/>
      <c r="G274" s="66"/>
      <c r="H274" s="66"/>
      <c r="I274" s="66"/>
      <c r="J274" s="66"/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</row>
    <row r="275" spans="1:26" ht="21" x14ac:dyDescent="0.65">
      <c r="A275" s="66"/>
      <c r="B275" s="66"/>
      <c r="C275" s="66"/>
      <c r="D275" s="66"/>
      <c r="E275" s="66"/>
      <c r="F275" s="66"/>
      <c r="G275" s="66"/>
      <c r="H275" s="66"/>
      <c r="I275" s="66"/>
      <c r="J275" s="66"/>
      <c r="K275" s="66"/>
      <c r="L275" s="66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  <c r="X275" s="66"/>
      <c r="Y275" s="66"/>
      <c r="Z275" s="66"/>
    </row>
    <row r="276" spans="1:26" ht="21" x14ac:dyDescent="0.65">
      <c r="A276" s="66"/>
      <c r="B276" s="66"/>
      <c r="C276" s="66"/>
      <c r="D276" s="66"/>
      <c r="E276" s="66"/>
      <c r="F276" s="66"/>
      <c r="G276" s="66"/>
      <c r="H276" s="66"/>
      <c r="I276" s="66"/>
      <c r="J276" s="66"/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</row>
    <row r="277" spans="1:26" ht="21" x14ac:dyDescent="0.65">
      <c r="A277" s="66"/>
      <c r="B277" s="66"/>
      <c r="C277" s="66"/>
      <c r="D277" s="66"/>
      <c r="E277" s="66"/>
      <c r="F277" s="66"/>
      <c r="G277" s="66"/>
      <c r="H277" s="66"/>
      <c r="I277" s="66"/>
      <c r="J277" s="66"/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</row>
    <row r="278" spans="1:26" ht="21" x14ac:dyDescent="0.65">
      <c r="A278" s="66"/>
      <c r="B278" s="66"/>
      <c r="C278" s="66"/>
      <c r="D278" s="66"/>
      <c r="E278" s="66"/>
      <c r="F278" s="66"/>
      <c r="G278" s="66"/>
      <c r="H278" s="66"/>
      <c r="I278" s="66"/>
      <c r="J278" s="66"/>
      <c r="K278" s="66"/>
      <c r="L278" s="66"/>
      <c r="M278" s="66"/>
      <c r="N278" s="66"/>
      <c r="O278" s="66"/>
      <c r="P278" s="66"/>
      <c r="Q278" s="66"/>
      <c r="R278" s="66"/>
      <c r="S278" s="66"/>
      <c r="T278" s="66"/>
      <c r="U278" s="66"/>
      <c r="V278" s="66"/>
      <c r="W278" s="66"/>
      <c r="X278" s="66"/>
      <c r="Y278" s="66"/>
      <c r="Z278" s="66"/>
    </row>
    <row r="279" spans="1:26" ht="21" x14ac:dyDescent="0.65">
      <c r="A279" s="66"/>
      <c r="B279" s="66"/>
      <c r="C279" s="66"/>
      <c r="D279" s="66"/>
      <c r="E279" s="66"/>
      <c r="F279" s="66"/>
      <c r="G279" s="66"/>
      <c r="H279" s="66"/>
      <c r="I279" s="66"/>
      <c r="J279" s="66"/>
      <c r="K279" s="66"/>
      <c r="L279" s="66"/>
      <c r="M279" s="66"/>
      <c r="N279" s="66"/>
      <c r="O279" s="66"/>
      <c r="P279" s="66"/>
      <c r="Q279" s="66"/>
      <c r="R279" s="66"/>
      <c r="S279" s="66"/>
      <c r="T279" s="66"/>
      <c r="U279" s="66"/>
      <c r="V279" s="66"/>
      <c r="W279" s="66"/>
      <c r="X279" s="66"/>
      <c r="Y279" s="66"/>
      <c r="Z279" s="66"/>
    </row>
    <row r="280" spans="1:26" ht="21" x14ac:dyDescent="0.65">
      <c r="A280" s="66"/>
      <c r="B280" s="66"/>
      <c r="C280" s="66"/>
      <c r="D280" s="66"/>
      <c r="E280" s="66"/>
      <c r="F280" s="66"/>
      <c r="G280" s="66"/>
      <c r="H280" s="66"/>
      <c r="I280" s="66"/>
      <c r="J280" s="66"/>
      <c r="K280" s="66"/>
      <c r="L280" s="66"/>
      <c r="M280" s="66"/>
      <c r="N280" s="66"/>
      <c r="O280" s="66"/>
      <c r="P280" s="66"/>
      <c r="Q280" s="66"/>
      <c r="R280" s="66"/>
      <c r="S280" s="66"/>
      <c r="T280" s="66"/>
      <c r="U280" s="66"/>
      <c r="V280" s="66"/>
      <c r="W280" s="66"/>
      <c r="X280" s="66"/>
      <c r="Y280" s="66"/>
      <c r="Z280" s="66"/>
    </row>
    <row r="281" spans="1:26" ht="21" x14ac:dyDescent="0.65">
      <c r="A281" s="66"/>
      <c r="B281" s="66"/>
      <c r="C281" s="66"/>
      <c r="D281" s="66"/>
      <c r="E281" s="66"/>
      <c r="F281" s="66"/>
      <c r="G281" s="66"/>
      <c r="H281" s="66"/>
      <c r="I281" s="66"/>
      <c r="J281" s="66"/>
      <c r="K281" s="66"/>
      <c r="L281" s="66"/>
      <c r="M281" s="66"/>
      <c r="N281" s="66"/>
      <c r="O281" s="66"/>
      <c r="P281" s="66"/>
      <c r="Q281" s="66"/>
      <c r="R281" s="66"/>
      <c r="S281" s="66"/>
      <c r="T281" s="66"/>
      <c r="U281" s="66"/>
      <c r="V281" s="66"/>
      <c r="W281" s="66"/>
      <c r="X281" s="66"/>
      <c r="Y281" s="66"/>
      <c r="Z281" s="66"/>
    </row>
    <row r="282" spans="1:26" ht="21" x14ac:dyDescent="0.65">
      <c r="A282" s="66"/>
      <c r="B282" s="66"/>
      <c r="C282" s="66"/>
      <c r="D282" s="66"/>
      <c r="E282" s="66"/>
      <c r="F282" s="66"/>
      <c r="G282" s="66"/>
      <c r="H282" s="66"/>
      <c r="I282" s="66"/>
      <c r="J282" s="66"/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</row>
    <row r="283" spans="1:26" ht="21" x14ac:dyDescent="0.65">
      <c r="A283" s="66"/>
      <c r="B283" s="66"/>
      <c r="C283" s="66"/>
      <c r="D283" s="66"/>
      <c r="E283" s="66"/>
      <c r="F283" s="66"/>
      <c r="G283" s="66"/>
      <c r="H283" s="66"/>
      <c r="I283" s="66"/>
      <c r="J283" s="66"/>
      <c r="K283" s="66"/>
      <c r="L283" s="66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  <c r="Z283" s="66"/>
    </row>
    <row r="284" spans="1:26" ht="21" x14ac:dyDescent="0.65">
      <c r="A284" s="66"/>
      <c r="B284" s="66"/>
      <c r="C284" s="66"/>
      <c r="D284" s="66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66"/>
      <c r="P284" s="66"/>
      <c r="Q284" s="66"/>
      <c r="R284" s="66"/>
      <c r="S284" s="66"/>
      <c r="T284" s="66"/>
      <c r="U284" s="66"/>
      <c r="V284" s="66"/>
      <c r="W284" s="66"/>
      <c r="X284" s="66"/>
      <c r="Y284" s="66"/>
      <c r="Z284" s="66"/>
    </row>
    <row r="285" spans="1:26" ht="21" x14ac:dyDescent="0.65">
      <c r="A285" s="66"/>
      <c r="B285" s="66"/>
      <c r="C285" s="66"/>
      <c r="D285" s="66"/>
      <c r="E285" s="66"/>
      <c r="F285" s="66"/>
      <c r="G285" s="66"/>
      <c r="H285" s="66"/>
      <c r="I285" s="66"/>
      <c r="J285" s="66"/>
      <c r="K285" s="66"/>
      <c r="L285" s="66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  <c r="X285" s="66"/>
      <c r="Y285" s="66"/>
      <c r="Z285" s="66"/>
    </row>
    <row r="286" spans="1:26" ht="21" x14ac:dyDescent="0.65">
      <c r="A286" s="66"/>
      <c r="B286" s="66"/>
      <c r="C286" s="66"/>
      <c r="D286" s="66"/>
      <c r="E286" s="66"/>
      <c r="F286" s="66"/>
      <c r="G286" s="66"/>
      <c r="H286" s="66"/>
      <c r="I286" s="66"/>
      <c r="J286" s="66"/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</row>
    <row r="287" spans="1:26" ht="21" x14ac:dyDescent="0.65">
      <c r="A287" s="66"/>
      <c r="B287" s="66"/>
      <c r="C287" s="66"/>
      <c r="D287" s="66"/>
      <c r="E287" s="66"/>
      <c r="F287" s="66"/>
      <c r="G287" s="66"/>
      <c r="H287" s="66"/>
      <c r="I287" s="66"/>
      <c r="J287" s="66"/>
      <c r="K287" s="66"/>
      <c r="L287" s="66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  <c r="Z287" s="66"/>
    </row>
    <row r="288" spans="1:26" ht="21" x14ac:dyDescent="0.65">
      <c r="A288" s="66"/>
      <c r="B288" s="66"/>
      <c r="C288" s="66"/>
      <c r="D288" s="66"/>
      <c r="E288" s="66"/>
      <c r="F288" s="66"/>
      <c r="G288" s="66"/>
      <c r="H288" s="66"/>
      <c r="I288" s="66"/>
      <c r="J288" s="66"/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</row>
    <row r="289" spans="1:26" ht="21" x14ac:dyDescent="0.65">
      <c r="A289" s="66"/>
      <c r="B289" s="66"/>
      <c r="C289" s="66"/>
      <c r="D289" s="66"/>
      <c r="E289" s="66"/>
      <c r="F289" s="66"/>
      <c r="G289" s="66"/>
      <c r="H289" s="66"/>
      <c r="I289" s="66"/>
      <c r="J289" s="66"/>
      <c r="K289" s="66"/>
      <c r="L289" s="66"/>
      <c r="M289" s="66"/>
      <c r="N289" s="66"/>
      <c r="O289" s="66"/>
      <c r="P289" s="66"/>
      <c r="Q289" s="66"/>
      <c r="R289" s="66"/>
      <c r="S289" s="66"/>
      <c r="T289" s="66"/>
      <c r="U289" s="66"/>
      <c r="V289" s="66"/>
      <c r="W289" s="66"/>
      <c r="X289" s="66"/>
      <c r="Y289" s="66"/>
      <c r="Z289" s="66"/>
    </row>
    <row r="290" spans="1:26" ht="21" x14ac:dyDescent="0.65">
      <c r="A290" s="66"/>
      <c r="B290" s="66"/>
      <c r="C290" s="66"/>
      <c r="D290" s="66"/>
      <c r="E290" s="66"/>
      <c r="F290" s="66"/>
      <c r="G290" s="66"/>
      <c r="H290" s="66"/>
      <c r="I290" s="66"/>
      <c r="J290" s="66"/>
      <c r="K290" s="66"/>
      <c r="L290" s="66"/>
      <c r="M290" s="66"/>
      <c r="N290" s="66"/>
      <c r="O290" s="66"/>
      <c r="P290" s="66"/>
      <c r="Q290" s="66"/>
      <c r="R290" s="66"/>
      <c r="S290" s="66"/>
      <c r="T290" s="66"/>
      <c r="U290" s="66"/>
      <c r="V290" s="66"/>
      <c r="W290" s="66"/>
      <c r="X290" s="66"/>
      <c r="Y290" s="66"/>
      <c r="Z290" s="66"/>
    </row>
    <row r="291" spans="1:26" ht="21" x14ac:dyDescent="0.65">
      <c r="A291" s="66"/>
      <c r="B291" s="66"/>
      <c r="C291" s="66"/>
      <c r="D291" s="66"/>
      <c r="E291" s="66"/>
      <c r="F291" s="66"/>
      <c r="G291" s="66"/>
      <c r="H291" s="66"/>
      <c r="I291" s="66"/>
      <c r="J291" s="66"/>
      <c r="K291" s="66"/>
      <c r="L291" s="66"/>
      <c r="M291" s="66"/>
      <c r="N291" s="66"/>
      <c r="O291" s="66"/>
      <c r="P291" s="66"/>
      <c r="Q291" s="66"/>
      <c r="R291" s="66"/>
      <c r="S291" s="66"/>
      <c r="T291" s="66"/>
      <c r="U291" s="66"/>
      <c r="V291" s="66"/>
      <c r="W291" s="66"/>
      <c r="X291" s="66"/>
      <c r="Y291" s="66"/>
      <c r="Z291" s="66"/>
    </row>
    <row r="292" spans="1:26" ht="21" x14ac:dyDescent="0.65">
      <c r="A292" s="66"/>
      <c r="B292" s="66"/>
      <c r="C292" s="66"/>
      <c r="D292" s="66"/>
      <c r="E292" s="66"/>
      <c r="F292" s="66"/>
      <c r="G292" s="66"/>
      <c r="H292" s="66"/>
      <c r="I292" s="66"/>
      <c r="J292" s="66"/>
      <c r="K292" s="66"/>
      <c r="L292" s="66"/>
      <c r="M292" s="66"/>
      <c r="N292" s="66"/>
      <c r="O292" s="66"/>
      <c r="P292" s="66"/>
      <c r="Q292" s="66"/>
      <c r="R292" s="66"/>
      <c r="S292" s="66"/>
      <c r="T292" s="66"/>
      <c r="U292" s="66"/>
      <c r="V292" s="66"/>
      <c r="W292" s="66"/>
      <c r="X292" s="66"/>
      <c r="Y292" s="66"/>
      <c r="Z292" s="66"/>
    </row>
    <row r="293" spans="1:26" ht="21" x14ac:dyDescent="0.65">
      <c r="A293" s="66"/>
      <c r="B293" s="66"/>
      <c r="C293" s="66"/>
      <c r="D293" s="66"/>
      <c r="E293" s="66"/>
      <c r="F293" s="66"/>
      <c r="G293" s="66"/>
      <c r="H293" s="66"/>
      <c r="I293" s="66"/>
      <c r="J293" s="66"/>
      <c r="K293" s="66"/>
      <c r="L293" s="66"/>
      <c r="M293" s="66"/>
      <c r="N293" s="66"/>
      <c r="O293" s="66"/>
      <c r="P293" s="66"/>
      <c r="Q293" s="66"/>
      <c r="R293" s="66"/>
      <c r="S293" s="66"/>
      <c r="T293" s="66"/>
      <c r="U293" s="66"/>
      <c r="V293" s="66"/>
      <c r="W293" s="66"/>
      <c r="X293" s="66"/>
      <c r="Y293" s="66"/>
      <c r="Z293" s="66"/>
    </row>
    <row r="294" spans="1:26" ht="21" x14ac:dyDescent="0.65">
      <c r="A294" s="66"/>
      <c r="B294" s="66"/>
      <c r="C294" s="66"/>
      <c r="D294" s="66"/>
      <c r="E294" s="66"/>
      <c r="F294" s="66"/>
      <c r="G294" s="66"/>
      <c r="H294" s="66"/>
      <c r="I294" s="66"/>
      <c r="J294" s="66"/>
      <c r="K294" s="66"/>
      <c r="L294" s="66"/>
      <c r="M294" s="66"/>
      <c r="N294" s="66"/>
      <c r="O294" s="66"/>
      <c r="P294" s="66"/>
      <c r="Q294" s="66"/>
      <c r="R294" s="66"/>
      <c r="S294" s="66"/>
      <c r="T294" s="66"/>
      <c r="U294" s="66"/>
      <c r="V294" s="66"/>
      <c r="W294" s="66"/>
      <c r="X294" s="66"/>
      <c r="Y294" s="66"/>
      <c r="Z294" s="66"/>
    </row>
    <row r="295" spans="1:26" ht="21" x14ac:dyDescent="0.65">
      <c r="A295" s="66"/>
      <c r="B295" s="66"/>
      <c r="C295" s="66"/>
      <c r="D295" s="66"/>
      <c r="E295" s="66"/>
      <c r="F295" s="66"/>
      <c r="G295" s="66"/>
      <c r="H295" s="66"/>
      <c r="I295" s="66"/>
      <c r="J295" s="66"/>
      <c r="K295" s="66"/>
      <c r="L295" s="66"/>
      <c r="M295" s="66"/>
      <c r="N295" s="66"/>
      <c r="O295" s="66"/>
      <c r="P295" s="66"/>
      <c r="Q295" s="66"/>
      <c r="R295" s="66"/>
      <c r="S295" s="66"/>
      <c r="T295" s="66"/>
      <c r="U295" s="66"/>
      <c r="V295" s="66"/>
      <c r="W295" s="66"/>
      <c r="X295" s="66"/>
      <c r="Y295" s="66"/>
      <c r="Z295" s="66"/>
    </row>
    <row r="296" spans="1:26" ht="21" x14ac:dyDescent="0.65">
      <c r="A296" s="66"/>
      <c r="B296" s="66"/>
      <c r="C296" s="66"/>
      <c r="D296" s="66"/>
      <c r="E296" s="66"/>
      <c r="F296" s="66"/>
      <c r="G296" s="66"/>
      <c r="H296" s="66"/>
      <c r="I296" s="66"/>
      <c r="J296" s="66"/>
      <c r="K296" s="66"/>
      <c r="L296" s="66"/>
      <c r="M296" s="66"/>
      <c r="N296" s="66"/>
      <c r="O296" s="66"/>
      <c r="P296" s="66"/>
      <c r="Q296" s="66"/>
      <c r="R296" s="66"/>
      <c r="S296" s="66"/>
      <c r="T296" s="66"/>
      <c r="U296" s="66"/>
      <c r="V296" s="66"/>
      <c r="W296" s="66"/>
      <c r="X296" s="66"/>
      <c r="Y296" s="66"/>
      <c r="Z296" s="66"/>
    </row>
    <row r="297" spans="1:26" ht="21" x14ac:dyDescent="0.65">
      <c r="A297" s="66"/>
      <c r="B297" s="66"/>
      <c r="C297" s="66"/>
      <c r="D297" s="66"/>
      <c r="E297" s="66"/>
      <c r="F297" s="66"/>
      <c r="G297" s="66"/>
      <c r="H297" s="66"/>
      <c r="I297" s="66"/>
      <c r="J297" s="66"/>
      <c r="K297" s="66"/>
      <c r="L297" s="66"/>
      <c r="M297" s="66"/>
      <c r="N297" s="66"/>
      <c r="O297" s="66"/>
      <c r="P297" s="66"/>
      <c r="Q297" s="66"/>
      <c r="R297" s="66"/>
      <c r="S297" s="66"/>
      <c r="T297" s="66"/>
      <c r="U297" s="66"/>
      <c r="V297" s="66"/>
      <c r="W297" s="66"/>
      <c r="X297" s="66"/>
      <c r="Y297" s="66"/>
      <c r="Z297" s="66"/>
    </row>
    <row r="298" spans="1:26" ht="21" x14ac:dyDescent="0.65">
      <c r="A298" s="66"/>
      <c r="B298" s="66"/>
      <c r="C298" s="66"/>
      <c r="D298" s="66"/>
      <c r="E298" s="66"/>
      <c r="F298" s="66"/>
      <c r="G298" s="66"/>
      <c r="H298" s="66"/>
      <c r="I298" s="66"/>
      <c r="J298" s="66"/>
      <c r="K298" s="66"/>
      <c r="L298" s="66"/>
      <c r="M298" s="66"/>
      <c r="N298" s="66"/>
      <c r="O298" s="66"/>
      <c r="P298" s="66"/>
      <c r="Q298" s="66"/>
      <c r="R298" s="66"/>
      <c r="S298" s="66"/>
      <c r="T298" s="66"/>
      <c r="U298" s="66"/>
      <c r="V298" s="66"/>
      <c r="W298" s="66"/>
      <c r="X298" s="66"/>
      <c r="Y298" s="66"/>
      <c r="Z298" s="66"/>
    </row>
    <row r="299" spans="1:26" ht="21" x14ac:dyDescent="0.65">
      <c r="A299" s="66"/>
      <c r="B299" s="66"/>
      <c r="C299" s="66"/>
      <c r="D299" s="66"/>
      <c r="E299" s="66"/>
      <c r="F299" s="66"/>
      <c r="G299" s="66"/>
      <c r="H299" s="66"/>
      <c r="I299" s="66"/>
      <c r="J299" s="66"/>
      <c r="K299" s="66"/>
      <c r="L299" s="66"/>
      <c r="M299" s="66"/>
      <c r="N299" s="66"/>
      <c r="O299" s="66"/>
      <c r="P299" s="66"/>
      <c r="Q299" s="66"/>
      <c r="R299" s="66"/>
      <c r="S299" s="66"/>
      <c r="T299" s="66"/>
      <c r="U299" s="66"/>
      <c r="V299" s="66"/>
      <c r="W299" s="66"/>
      <c r="X299" s="66"/>
      <c r="Y299" s="66"/>
      <c r="Z299" s="66"/>
    </row>
    <row r="300" spans="1:26" ht="21" x14ac:dyDescent="0.65">
      <c r="A300" s="66"/>
      <c r="B300" s="66"/>
      <c r="C300" s="66"/>
      <c r="D300" s="66"/>
      <c r="E300" s="66"/>
      <c r="F300" s="66"/>
      <c r="G300" s="66"/>
      <c r="H300" s="66"/>
      <c r="I300" s="66"/>
      <c r="J300" s="66"/>
      <c r="K300" s="66"/>
      <c r="L300" s="66"/>
      <c r="M300" s="66"/>
      <c r="N300" s="66"/>
      <c r="O300" s="66"/>
      <c r="P300" s="66"/>
      <c r="Q300" s="66"/>
      <c r="R300" s="66"/>
      <c r="S300" s="66"/>
      <c r="T300" s="66"/>
      <c r="U300" s="66"/>
      <c r="V300" s="66"/>
      <c r="W300" s="66"/>
      <c r="X300" s="66"/>
      <c r="Y300" s="66"/>
      <c r="Z300" s="66"/>
    </row>
    <row r="301" spans="1:26" ht="21" x14ac:dyDescent="0.65">
      <c r="A301" s="66"/>
      <c r="B301" s="66"/>
      <c r="C301" s="66"/>
      <c r="D301" s="66"/>
      <c r="E301" s="66"/>
      <c r="F301" s="66"/>
      <c r="G301" s="66"/>
      <c r="H301" s="66"/>
      <c r="I301" s="66"/>
      <c r="J301" s="66"/>
      <c r="K301" s="66"/>
      <c r="L301" s="66"/>
      <c r="M301" s="66"/>
      <c r="N301" s="66"/>
      <c r="O301" s="66"/>
      <c r="P301" s="66"/>
      <c r="Q301" s="66"/>
      <c r="R301" s="66"/>
      <c r="S301" s="66"/>
      <c r="T301" s="66"/>
      <c r="U301" s="66"/>
      <c r="V301" s="66"/>
      <c r="W301" s="66"/>
      <c r="X301" s="66"/>
      <c r="Y301" s="66"/>
      <c r="Z301" s="66"/>
    </row>
    <row r="302" spans="1:26" ht="21" x14ac:dyDescent="0.65">
      <c r="A302" s="66"/>
      <c r="B302" s="66"/>
      <c r="C302" s="66"/>
      <c r="D302" s="66"/>
      <c r="E302" s="66"/>
      <c r="F302" s="66"/>
      <c r="G302" s="66"/>
      <c r="H302" s="66"/>
      <c r="I302" s="66"/>
      <c r="J302" s="66"/>
      <c r="K302" s="66"/>
      <c r="L302" s="66"/>
      <c r="M302" s="66"/>
      <c r="N302" s="66"/>
      <c r="O302" s="66"/>
      <c r="P302" s="66"/>
      <c r="Q302" s="66"/>
      <c r="R302" s="66"/>
      <c r="S302" s="66"/>
      <c r="T302" s="66"/>
      <c r="U302" s="66"/>
      <c r="V302" s="66"/>
      <c r="W302" s="66"/>
      <c r="X302" s="66"/>
      <c r="Y302" s="66"/>
      <c r="Z302" s="66"/>
    </row>
    <row r="303" spans="1:26" ht="21" x14ac:dyDescent="0.65">
      <c r="A303" s="66"/>
      <c r="B303" s="66"/>
      <c r="C303" s="66"/>
      <c r="D303" s="66"/>
      <c r="E303" s="66"/>
      <c r="F303" s="66"/>
      <c r="G303" s="66"/>
      <c r="H303" s="66"/>
      <c r="I303" s="66"/>
      <c r="J303" s="66"/>
      <c r="K303" s="66"/>
      <c r="L303" s="66"/>
      <c r="M303" s="66"/>
      <c r="N303" s="66"/>
      <c r="O303" s="66"/>
      <c r="P303" s="66"/>
      <c r="Q303" s="66"/>
      <c r="R303" s="66"/>
      <c r="S303" s="66"/>
      <c r="T303" s="66"/>
      <c r="U303" s="66"/>
      <c r="V303" s="66"/>
      <c r="W303" s="66"/>
      <c r="X303" s="66"/>
      <c r="Y303" s="66"/>
      <c r="Z303" s="66"/>
    </row>
    <row r="304" spans="1:26" ht="21" x14ac:dyDescent="0.65">
      <c r="A304" s="66"/>
      <c r="B304" s="66"/>
      <c r="C304" s="66"/>
      <c r="D304" s="66"/>
      <c r="E304" s="66"/>
      <c r="F304" s="66"/>
      <c r="G304" s="66"/>
      <c r="H304" s="66"/>
      <c r="I304" s="66"/>
      <c r="J304" s="66"/>
      <c r="K304" s="66"/>
      <c r="L304" s="66"/>
      <c r="M304" s="66"/>
      <c r="N304" s="66"/>
      <c r="O304" s="66"/>
      <c r="P304" s="66"/>
      <c r="Q304" s="66"/>
      <c r="R304" s="66"/>
      <c r="S304" s="66"/>
      <c r="T304" s="66"/>
      <c r="U304" s="66"/>
      <c r="V304" s="66"/>
      <c r="W304" s="66"/>
      <c r="X304" s="66"/>
      <c r="Y304" s="66"/>
      <c r="Z304" s="66"/>
    </row>
    <row r="305" spans="1:26" ht="21" x14ac:dyDescent="0.65">
      <c r="A305" s="66"/>
      <c r="B305" s="66"/>
      <c r="C305" s="66"/>
      <c r="D305" s="66"/>
      <c r="E305" s="66"/>
      <c r="F305" s="66"/>
      <c r="G305" s="66"/>
      <c r="H305" s="66"/>
      <c r="I305" s="66"/>
      <c r="J305" s="66"/>
      <c r="K305" s="66"/>
      <c r="L305" s="66"/>
      <c r="M305" s="66"/>
      <c r="N305" s="66"/>
      <c r="O305" s="66"/>
      <c r="P305" s="66"/>
      <c r="Q305" s="66"/>
      <c r="R305" s="66"/>
      <c r="S305" s="66"/>
      <c r="T305" s="66"/>
      <c r="U305" s="66"/>
      <c r="V305" s="66"/>
      <c r="W305" s="66"/>
      <c r="X305" s="66"/>
      <c r="Y305" s="66"/>
      <c r="Z305" s="66"/>
    </row>
    <row r="306" spans="1:26" ht="21" x14ac:dyDescent="0.65">
      <c r="A306" s="66"/>
      <c r="B306" s="66"/>
      <c r="C306" s="66"/>
      <c r="D306" s="66"/>
      <c r="E306" s="66"/>
      <c r="F306" s="66"/>
      <c r="G306" s="66"/>
      <c r="H306" s="66"/>
      <c r="I306" s="66"/>
      <c r="J306" s="66"/>
      <c r="K306" s="66"/>
      <c r="L306" s="66"/>
      <c r="M306" s="66"/>
      <c r="N306" s="66"/>
      <c r="O306" s="66"/>
      <c r="P306" s="66"/>
      <c r="Q306" s="66"/>
      <c r="R306" s="66"/>
      <c r="S306" s="66"/>
      <c r="T306" s="66"/>
      <c r="U306" s="66"/>
      <c r="V306" s="66"/>
      <c r="W306" s="66"/>
      <c r="X306" s="66"/>
      <c r="Y306" s="66"/>
      <c r="Z306" s="66"/>
    </row>
    <row r="307" spans="1:26" ht="21" x14ac:dyDescent="0.65">
      <c r="A307" s="66"/>
      <c r="B307" s="66"/>
      <c r="C307" s="66"/>
      <c r="D307" s="66"/>
      <c r="E307" s="66"/>
      <c r="F307" s="66"/>
      <c r="G307" s="66"/>
      <c r="H307" s="66"/>
      <c r="I307" s="66"/>
      <c r="J307" s="66"/>
      <c r="K307" s="66"/>
      <c r="L307" s="66"/>
      <c r="M307" s="66"/>
      <c r="N307" s="66"/>
      <c r="O307" s="66"/>
      <c r="P307" s="66"/>
      <c r="Q307" s="66"/>
      <c r="R307" s="66"/>
      <c r="S307" s="66"/>
      <c r="T307" s="66"/>
      <c r="U307" s="66"/>
      <c r="V307" s="66"/>
      <c r="W307" s="66"/>
      <c r="X307" s="66"/>
      <c r="Y307" s="66"/>
      <c r="Z307" s="66"/>
    </row>
    <row r="308" spans="1:26" ht="21" x14ac:dyDescent="0.65">
      <c r="A308" s="66"/>
      <c r="B308" s="66"/>
      <c r="C308" s="66"/>
      <c r="D308" s="66"/>
      <c r="E308" s="66"/>
      <c r="F308" s="66"/>
      <c r="G308" s="66"/>
      <c r="H308" s="66"/>
      <c r="I308" s="66"/>
      <c r="J308" s="66"/>
      <c r="K308" s="66"/>
      <c r="L308" s="66"/>
      <c r="M308" s="66"/>
      <c r="N308" s="66"/>
      <c r="O308" s="66"/>
      <c r="P308" s="66"/>
      <c r="Q308" s="66"/>
      <c r="R308" s="66"/>
      <c r="S308" s="66"/>
      <c r="T308" s="66"/>
      <c r="U308" s="66"/>
      <c r="V308" s="66"/>
      <c r="W308" s="66"/>
      <c r="X308" s="66"/>
      <c r="Y308" s="66"/>
      <c r="Z308" s="66"/>
    </row>
    <row r="309" spans="1:26" ht="21" x14ac:dyDescent="0.65">
      <c r="A309" s="66"/>
      <c r="B309" s="66"/>
      <c r="C309" s="66"/>
      <c r="D309" s="66"/>
      <c r="E309" s="66"/>
      <c r="F309" s="66"/>
      <c r="G309" s="66"/>
      <c r="H309" s="66"/>
      <c r="I309" s="66"/>
      <c r="J309" s="66"/>
      <c r="K309" s="66"/>
      <c r="L309" s="66"/>
      <c r="M309" s="66"/>
      <c r="N309" s="66"/>
      <c r="O309" s="66"/>
      <c r="P309" s="66"/>
      <c r="Q309" s="66"/>
      <c r="R309" s="66"/>
      <c r="S309" s="66"/>
      <c r="T309" s="66"/>
      <c r="U309" s="66"/>
      <c r="V309" s="66"/>
      <c r="W309" s="66"/>
      <c r="X309" s="66"/>
      <c r="Y309" s="66"/>
      <c r="Z309" s="66"/>
    </row>
    <row r="310" spans="1:26" ht="21" x14ac:dyDescent="0.65">
      <c r="A310" s="66"/>
      <c r="B310" s="66"/>
      <c r="C310" s="66"/>
      <c r="D310" s="66"/>
      <c r="E310" s="66"/>
      <c r="F310" s="66"/>
      <c r="G310" s="66"/>
      <c r="H310" s="66"/>
      <c r="I310" s="66"/>
      <c r="J310" s="66"/>
      <c r="K310" s="66"/>
      <c r="L310" s="66"/>
      <c r="M310" s="66"/>
      <c r="N310" s="66"/>
      <c r="O310" s="66"/>
      <c r="P310" s="66"/>
      <c r="Q310" s="66"/>
      <c r="R310" s="66"/>
      <c r="S310" s="66"/>
      <c r="T310" s="66"/>
      <c r="U310" s="66"/>
      <c r="V310" s="66"/>
      <c r="W310" s="66"/>
      <c r="X310" s="66"/>
      <c r="Y310" s="66"/>
      <c r="Z310" s="66"/>
    </row>
    <row r="311" spans="1:26" ht="21" x14ac:dyDescent="0.65">
      <c r="A311" s="66"/>
      <c r="B311" s="66"/>
      <c r="C311" s="66"/>
      <c r="D311" s="66"/>
      <c r="E311" s="66"/>
      <c r="F311" s="66"/>
      <c r="G311" s="66"/>
      <c r="H311" s="66"/>
      <c r="I311" s="66"/>
      <c r="J311" s="66"/>
      <c r="K311" s="66"/>
      <c r="L311" s="66"/>
      <c r="M311" s="66"/>
      <c r="N311" s="66"/>
      <c r="O311" s="66"/>
      <c r="P311" s="66"/>
      <c r="Q311" s="66"/>
      <c r="R311" s="66"/>
      <c r="S311" s="66"/>
      <c r="T311" s="66"/>
      <c r="U311" s="66"/>
      <c r="V311" s="66"/>
      <c r="W311" s="66"/>
      <c r="X311" s="66"/>
      <c r="Y311" s="66"/>
      <c r="Z311" s="66"/>
    </row>
    <row r="312" spans="1:26" ht="21" x14ac:dyDescent="0.65">
      <c r="A312" s="66"/>
      <c r="B312" s="66"/>
      <c r="C312" s="66"/>
      <c r="D312" s="66"/>
      <c r="E312" s="66"/>
      <c r="F312" s="66"/>
      <c r="G312" s="66"/>
      <c r="H312" s="66"/>
      <c r="I312" s="66"/>
      <c r="J312" s="66"/>
      <c r="K312" s="66"/>
      <c r="L312" s="66"/>
      <c r="M312" s="66"/>
      <c r="N312" s="66"/>
      <c r="O312" s="66"/>
      <c r="P312" s="66"/>
      <c r="Q312" s="66"/>
      <c r="R312" s="66"/>
      <c r="S312" s="66"/>
      <c r="T312" s="66"/>
      <c r="U312" s="66"/>
      <c r="V312" s="66"/>
      <c r="W312" s="66"/>
      <c r="X312" s="66"/>
      <c r="Y312" s="66"/>
      <c r="Z312" s="66"/>
    </row>
    <row r="313" spans="1:26" ht="21" x14ac:dyDescent="0.65">
      <c r="A313" s="66"/>
      <c r="B313" s="66"/>
      <c r="C313" s="66"/>
      <c r="D313" s="66"/>
      <c r="E313" s="66"/>
      <c r="F313" s="66"/>
      <c r="G313" s="66"/>
      <c r="H313" s="66"/>
      <c r="I313" s="66"/>
      <c r="J313" s="66"/>
      <c r="K313" s="66"/>
      <c r="L313" s="66"/>
      <c r="M313" s="66"/>
      <c r="N313" s="66"/>
      <c r="O313" s="66"/>
      <c r="P313" s="66"/>
      <c r="Q313" s="66"/>
      <c r="R313" s="66"/>
      <c r="S313" s="66"/>
      <c r="T313" s="66"/>
      <c r="U313" s="66"/>
      <c r="V313" s="66"/>
      <c r="W313" s="66"/>
      <c r="X313" s="66"/>
      <c r="Y313" s="66"/>
      <c r="Z313" s="66"/>
    </row>
    <row r="314" spans="1:26" ht="21" x14ac:dyDescent="0.65">
      <c r="A314" s="66"/>
      <c r="B314" s="66"/>
      <c r="C314" s="66"/>
      <c r="D314" s="66"/>
      <c r="E314" s="66"/>
      <c r="F314" s="66"/>
      <c r="G314" s="66"/>
      <c r="H314" s="66"/>
      <c r="I314" s="66"/>
      <c r="J314" s="66"/>
      <c r="K314" s="66"/>
      <c r="L314" s="66"/>
      <c r="M314" s="66"/>
      <c r="N314" s="66"/>
      <c r="O314" s="66"/>
      <c r="P314" s="66"/>
      <c r="Q314" s="66"/>
      <c r="R314" s="66"/>
      <c r="S314" s="66"/>
      <c r="T314" s="66"/>
      <c r="U314" s="66"/>
      <c r="V314" s="66"/>
      <c r="W314" s="66"/>
      <c r="X314" s="66"/>
      <c r="Y314" s="66"/>
      <c r="Z314" s="66"/>
    </row>
    <row r="315" spans="1:26" ht="21" x14ac:dyDescent="0.65">
      <c r="A315" s="66"/>
      <c r="B315" s="66"/>
      <c r="C315" s="66"/>
      <c r="D315" s="66"/>
      <c r="E315" s="66"/>
      <c r="F315" s="66"/>
      <c r="G315" s="66"/>
      <c r="H315" s="66"/>
      <c r="I315" s="66"/>
      <c r="J315" s="66"/>
      <c r="K315" s="66"/>
      <c r="L315" s="66"/>
      <c r="M315" s="66"/>
      <c r="N315" s="66"/>
      <c r="O315" s="66"/>
      <c r="P315" s="66"/>
      <c r="Q315" s="66"/>
      <c r="R315" s="66"/>
      <c r="S315" s="66"/>
      <c r="T315" s="66"/>
      <c r="U315" s="66"/>
      <c r="V315" s="66"/>
      <c r="W315" s="66"/>
      <c r="X315" s="66"/>
      <c r="Y315" s="66"/>
      <c r="Z315" s="66"/>
    </row>
    <row r="316" spans="1:26" ht="21" x14ac:dyDescent="0.65">
      <c r="A316" s="66"/>
      <c r="B316" s="66"/>
      <c r="C316" s="66"/>
      <c r="D316" s="66"/>
      <c r="E316" s="66"/>
      <c r="F316" s="66"/>
      <c r="G316" s="66"/>
      <c r="H316" s="66"/>
      <c r="I316" s="66"/>
      <c r="J316" s="66"/>
      <c r="K316" s="66"/>
      <c r="L316" s="66"/>
      <c r="M316" s="66"/>
      <c r="N316" s="66"/>
      <c r="O316" s="66"/>
      <c r="P316" s="66"/>
      <c r="Q316" s="66"/>
      <c r="R316" s="66"/>
      <c r="S316" s="66"/>
      <c r="T316" s="66"/>
      <c r="U316" s="66"/>
      <c r="V316" s="66"/>
      <c r="W316" s="66"/>
      <c r="X316" s="66"/>
      <c r="Y316" s="66"/>
      <c r="Z316" s="66"/>
    </row>
    <row r="317" spans="1:26" ht="21" x14ac:dyDescent="0.65">
      <c r="A317" s="66"/>
      <c r="B317" s="66"/>
      <c r="C317" s="66"/>
      <c r="D317" s="66"/>
      <c r="E317" s="66"/>
      <c r="F317" s="66"/>
      <c r="G317" s="66"/>
      <c r="H317" s="66"/>
      <c r="I317" s="66"/>
      <c r="J317" s="66"/>
      <c r="K317" s="66"/>
      <c r="L317" s="66"/>
      <c r="M317" s="66"/>
      <c r="N317" s="66"/>
      <c r="O317" s="66"/>
      <c r="P317" s="66"/>
      <c r="Q317" s="66"/>
      <c r="R317" s="66"/>
      <c r="S317" s="66"/>
      <c r="T317" s="66"/>
      <c r="U317" s="66"/>
      <c r="V317" s="66"/>
      <c r="W317" s="66"/>
      <c r="X317" s="66"/>
      <c r="Y317" s="66"/>
      <c r="Z317" s="66"/>
    </row>
    <row r="318" spans="1:26" ht="21" x14ac:dyDescent="0.65">
      <c r="A318" s="66"/>
      <c r="B318" s="66"/>
      <c r="C318" s="66"/>
      <c r="D318" s="66"/>
      <c r="E318" s="66"/>
      <c r="F318" s="66"/>
      <c r="G318" s="66"/>
      <c r="H318" s="66"/>
      <c r="I318" s="66"/>
      <c r="J318" s="66"/>
      <c r="K318" s="66"/>
      <c r="L318" s="66"/>
      <c r="M318" s="66"/>
      <c r="N318" s="66"/>
      <c r="O318" s="66"/>
      <c r="P318" s="66"/>
      <c r="Q318" s="66"/>
      <c r="R318" s="66"/>
      <c r="S318" s="66"/>
      <c r="T318" s="66"/>
      <c r="U318" s="66"/>
      <c r="V318" s="66"/>
      <c r="W318" s="66"/>
      <c r="X318" s="66"/>
      <c r="Y318" s="66"/>
      <c r="Z318" s="66"/>
    </row>
    <row r="319" spans="1:26" ht="21" x14ac:dyDescent="0.65">
      <c r="A319" s="66"/>
      <c r="B319" s="66"/>
      <c r="C319" s="66"/>
      <c r="D319" s="66"/>
      <c r="E319" s="66"/>
      <c r="F319" s="66"/>
      <c r="G319" s="66"/>
      <c r="H319" s="66"/>
      <c r="I319" s="66"/>
      <c r="J319" s="66"/>
      <c r="K319" s="66"/>
      <c r="L319" s="66"/>
      <c r="M319" s="66"/>
      <c r="N319" s="66"/>
      <c r="O319" s="66"/>
      <c r="P319" s="66"/>
      <c r="Q319" s="66"/>
      <c r="R319" s="66"/>
      <c r="S319" s="66"/>
      <c r="T319" s="66"/>
      <c r="U319" s="66"/>
      <c r="V319" s="66"/>
      <c r="W319" s="66"/>
      <c r="X319" s="66"/>
      <c r="Y319" s="66"/>
      <c r="Z319" s="66"/>
    </row>
    <row r="320" spans="1:26" ht="21" x14ac:dyDescent="0.65">
      <c r="A320" s="66"/>
      <c r="B320" s="66"/>
      <c r="C320" s="66"/>
      <c r="D320" s="66"/>
      <c r="E320" s="66"/>
      <c r="F320" s="66"/>
      <c r="G320" s="66"/>
      <c r="H320" s="66"/>
      <c r="I320" s="66"/>
      <c r="J320" s="66"/>
      <c r="K320" s="66"/>
      <c r="L320" s="66"/>
      <c r="M320" s="66"/>
      <c r="N320" s="66"/>
      <c r="O320" s="66"/>
      <c r="P320" s="66"/>
      <c r="Q320" s="66"/>
      <c r="R320" s="66"/>
      <c r="S320" s="66"/>
      <c r="T320" s="66"/>
      <c r="U320" s="66"/>
      <c r="V320" s="66"/>
      <c r="W320" s="66"/>
      <c r="X320" s="66"/>
      <c r="Y320" s="66"/>
      <c r="Z320" s="66"/>
    </row>
    <row r="321" spans="1:26" ht="21" x14ac:dyDescent="0.65">
      <c r="A321" s="66"/>
      <c r="B321" s="66"/>
      <c r="C321" s="66"/>
      <c r="D321" s="66"/>
      <c r="E321" s="66"/>
      <c r="F321" s="66"/>
      <c r="G321" s="66"/>
      <c r="H321" s="66"/>
      <c r="I321" s="66"/>
      <c r="J321" s="66"/>
      <c r="K321" s="66"/>
      <c r="L321" s="66"/>
      <c r="M321" s="66"/>
      <c r="N321" s="66"/>
      <c r="O321" s="66"/>
      <c r="P321" s="66"/>
      <c r="Q321" s="66"/>
      <c r="R321" s="66"/>
      <c r="S321" s="66"/>
      <c r="T321" s="66"/>
      <c r="U321" s="66"/>
      <c r="V321" s="66"/>
      <c r="W321" s="66"/>
      <c r="X321" s="66"/>
      <c r="Y321" s="66"/>
      <c r="Z321" s="66"/>
    </row>
    <row r="322" spans="1:26" ht="21" x14ac:dyDescent="0.65">
      <c r="A322" s="66"/>
      <c r="B322" s="66"/>
      <c r="C322" s="66"/>
      <c r="D322" s="66"/>
      <c r="E322" s="66"/>
      <c r="F322" s="66"/>
      <c r="G322" s="66"/>
      <c r="H322" s="66"/>
      <c r="I322" s="66"/>
      <c r="J322" s="66"/>
      <c r="K322" s="66"/>
      <c r="L322" s="66"/>
      <c r="M322" s="66"/>
      <c r="N322" s="66"/>
      <c r="O322" s="66"/>
      <c r="P322" s="66"/>
      <c r="Q322" s="66"/>
      <c r="R322" s="66"/>
      <c r="S322" s="66"/>
      <c r="T322" s="66"/>
      <c r="U322" s="66"/>
      <c r="V322" s="66"/>
      <c r="W322" s="66"/>
      <c r="X322" s="66"/>
      <c r="Y322" s="66"/>
      <c r="Z322" s="66"/>
    </row>
    <row r="323" spans="1:26" ht="21" x14ac:dyDescent="0.65">
      <c r="A323" s="66"/>
      <c r="B323" s="66"/>
      <c r="C323" s="66"/>
      <c r="D323" s="66"/>
      <c r="E323" s="66"/>
      <c r="F323" s="66"/>
      <c r="G323" s="66"/>
      <c r="H323" s="66"/>
      <c r="I323" s="66"/>
      <c r="J323" s="66"/>
      <c r="K323" s="66"/>
      <c r="L323" s="66"/>
      <c r="M323" s="66"/>
      <c r="N323" s="66"/>
      <c r="O323" s="66"/>
      <c r="P323" s="66"/>
      <c r="Q323" s="66"/>
      <c r="R323" s="66"/>
      <c r="S323" s="66"/>
      <c r="T323" s="66"/>
      <c r="U323" s="66"/>
      <c r="V323" s="66"/>
      <c r="W323" s="66"/>
      <c r="X323" s="66"/>
      <c r="Y323" s="66"/>
      <c r="Z323" s="66"/>
    </row>
    <row r="324" spans="1:26" ht="21" x14ac:dyDescent="0.65">
      <c r="A324" s="66"/>
      <c r="B324" s="66"/>
      <c r="C324" s="66"/>
      <c r="D324" s="66"/>
      <c r="E324" s="66"/>
      <c r="F324" s="66"/>
      <c r="G324" s="66"/>
      <c r="H324" s="66"/>
      <c r="I324" s="66"/>
      <c r="J324" s="66"/>
      <c r="K324" s="66"/>
      <c r="L324" s="66"/>
      <c r="M324" s="66"/>
      <c r="N324" s="66"/>
      <c r="O324" s="66"/>
      <c r="P324" s="66"/>
      <c r="Q324" s="66"/>
      <c r="R324" s="66"/>
      <c r="S324" s="66"/>
      <c r="T324" s="66"/>
      <c r="U324" s="66"/>
      <c r="V324" s="66"/>
      <c r="W324" s="66"/>
      <c r="X324" s="66"/>
      <c r="Y324" s="66"/>
      <c r="Z324" s="66"/>
    </row>
    <row r="325" spans="1:26" ht="21" x14ac:dyDescent="0.65">
      <c r="A325" s="66"/>
      <c r="B325" s="66"/>
      <c r="C325" s="66"/>
      <c r="D325" s="66"/>
      <c r="E325" s="66"/>
      <c r="F325" s="66"/>
      <c r="G325" s="66"/>
      <c r="H325" s="66"/>
      <c r="I325" s="66"/>
      <c r="J325" s="66"/>
      <c r="K325" s="66"/>
      <c r="L325" s="66"/>
      <c r="M325" s="66"/>
      <c r="N325" s="66"/>
      <c r="O325" s="66"/>
      <c r="P325" s="66"/>
      <c r="Q325" s="66"/>
      <c r="R325" s="66"/>
      <c r="S325" s="66"/>
      <c r="T325" s="66"/>
      <c r="U325" s="66"/>
      <c r="V325" s="66"/>
      <c r="W325" s="66"/>
      <c r="X325" s="66"/>
      <c r="Y325" s="66"/>
      <c r="Z325" s="66"/>
    </row>
    <row r="326" spans="1:26" ht="21" x14ac:dyDescent="0.65">
      <c r="A326" s="66"/>
      <c r="B326" s="66"/>
      <c r="C326" s="66"/>
      <c r="D326" s="66"/>
      <c r="E326" s="66"/>
      <c r="F326" s="66"/>
      <c r="G326" s="66"/>
      <c r="H326" s="66"/>
      <c r="I326" s="66"/>
      <c r="J326" s="66"/>
      <c r="K326" s="66"/>
      <c r="L326" s="66"/>
      <c r="M326" s="66"/>
      <c r="N326" s="66"/>
      <c r="O326" s="66"/>
      <c r="P326" s="66"/>
      <c r="Q326" s="66"/>
      <c r="R326" s="66"/>
      <c r="S326" s="66"/>
      <c r="T326" s="66"/>
      <c r="U326" s="66"/>
      <c r="V326" s="66"/>
      <c r="W326" s="66"/>
      <c r="X326" s="66"/>
      <c r="Y326" s="66"/>
      <c r="Z326" s="66"/>
    </row>
    <row r="327" spans="1:26" ht="21" x14ac:dyDescent="0.65">
      <c r="A327" s="66"/>
      <c r="B327" s="66"/>
      <c r="C327" s="66"/>
      <c r="D327" s="66"/>
      <c r="E327" s="66"/>
      <c r="F327" s="66"/>
      <c r="G327" s="66"/>
      <c r="H327" s="66"/>
      <c r="I327" s="66"/>
      <c r="J327" s="66"/>
      <c r="K327" s="66"/>
      <c r="L327" s="66"/>
      <c r="M327" s="66"/>
      <c r="N327" s="66"/>
      <c r="O327" s="66"/>
      <c r="P327" s="66"/>
      <c r="Q327" s="66"/>
      <c r="R327" s="66"/>
      <c r="S327" s="66"/>
      <c r="T327" s="66"/>
      <c r="U327" s="66"/>
      <c r="V327" s="66"/>
      <c r="W327" s="66"/>
      <c r="X327" s="66"/>
      <c r="Y327" s="66"/>
      <c r="Z327" s="66"/>
    </row>
    <row r="328" spans="1:26" ht="21" x14ac:dyDescent="0.65">
      <c r="A328" s="66"/>
      <c r="B328" s="66"/>
      <c r="C328" s="66"/>
      <c r="D328" s="66"/>
      <c r="E328" s="66"/>
      <c r="F328" s="66"/>
      <c r="G328" s="66"/>
      <c r="H328" s="66"/>
      <c r="I328" s="66"/>
      <c r="J328" s="66"/>
      <c r="K328" s="66"/>
      <c r="L328" s="66"/>
      <c r="M328" s="66"/>
      <c r="N328" s="66"/>
      <c r="O328" s="66"/>
      <c r="P328" s="66"/>
      <c r="Q328" s="66"/>
      <c r="R328" s="66"/>
      <c r="S328" s="66"/>
      <c r="T328" s="66"/>
      <c r="U328" s="66"/>
      <c r="V328" s="66"/>
      <c r="W328" s="66"/>
      <c r="X328" s="66"/>
      <c r="Y328" s="66"/>
      <c r="Z328" s="66"/>
    </row>
    <row r="329" spans="1:26" ht="21" x14ac:dyDescent="0.65">
      <c r="A329" s="66"/>
      <c r="B329" s="66"/>
      <c r="C329" s="66"/>
      <c r="D329" s="66"/>
      <c r="E329" s="66"/>
      <c r="F329" s="66"/>
      <c r="G329" s="66"/>
      <c r="H329" s="66"/>
      <c r="I329" s="66"/>
      <c r="J329" s="66"/>
      <c r="K329" s="66"/>
      <c r="L329" s="66"/>
      <c r="M329" s="66"/>
      <c r="N329" s="66"/>
      <c r="O329" s="66"/>
      <c r="P329" s="66"/>
      <c r="Q329" s="66"/>
      <c r="R329" s="66"/>
      <c r="S329" s="66"/>
      <c r="T329" s="66"/>
      <c r="U329" s="66"/>
      <c r="V329" s="66"/>
      <c r="W329" s="66"/>
      <c r="X329" s="66"/>
      <c r="Y329" s="66"/>
      <c r="Z329" s="66"/>
    </row>
    <row r="330" spans="1:26" ht="21" x14ac:dyDescent="0.65">
      <c r="A330" s="66"/>
      <c r="B330" s="66"/>
      <c r="C330" s="66"/>
      <c r="D330" s="66"/>
      <c r="E330" s="66"/>
      <c r="F330" s="66"/>
      <c r="G330" s="66"/>
      <c r="H330" s="66"/>
      <c r="I330" s="66"/>
      <c r="J330" s="66"/>
      <c r="K330" s="66"/>
      <c r="L330" s="66"/>
      <c r="M330" s="66"/>
      <c r="N330" s="66"/>
      <c r="O330" s="66"/>
      <c r="P330" s="66"/>
      <c r="Q330" s="66"/>
      <c r="R330" s="66"/>
      <c r="S330" s="66"/>
      <c r="T330" s="66"/>
      <c r="U330" s="66"/>
      <c r="V330" s="66"/>
      <c r="W330" s="66"/>
      <c r="X330" s="66"/>
      <c r="Y330" s="66"/>
      <c r="Z330" s="66"/>
    </row>
    <row r="331" spans="1:26" ht="21" x14ac:dyDescent="0.65">
      <c r="A331" s="66"/>
      <c r="B331" s="66"/>
      <c r="C331" s="66"/>
      <c r="D331" s="66"/>
      <c r="E331" s="66"/>
      <c r="F331" s="66"/>
      <c r="G331" s="66"/>
      <c r="H331" s="66"/>
      <c r="I331" s="66"/>
      <c r="J331" s="66"/>
      <c r="K331" s="66"/>
      <c r="L331" s="66"/>
      <c r="M331" s="66"/>
      <c r="N331" s="66"/>
      <c r="O331" s="66"/>
      <c r="P331" s="66"/>
      <c r="Q331" s="66"/>
      <c r="R331" s="66"/>
      <c r="S331" s="66"/>
      <c r="T331" s="66"/>
      <c r="U331" s="66"/>
      <c r="V331" s="66"/>
      <c r="W331" s="66"/>
      <c r="X331" s="66"/>
      <c r="Y331" s="66"/>
      <c r="Z331" s="66"/>
    </row>
    <row r="332" spans="1:26" ht="21" x14ac:dyDescent="0.65">
      <c r="A332" s="66"/>
      <c r="B332" s="66"/>
      <c r="C332" s="66"/>
      <c r="D332" s="66"/>
      <c r="E332" s="66"/>
      <c r="F332" s="66"/>
      <c r="G332" s="66"/>
      <c r="H332" s="66"/>
      <c r="I332" s="66"/>
      <c r="J332" s="66"/>
      <c r="K332" s="66"/>
      <c r="L332" s="66"/>
      <c r="M332" s="66"/>
      <c r="N332" s="66"/>
      <c r="O332" s="66"/>
      <c r="P332" s="66"/>
      <c r="Q332" s="66"/>
      <c r="R332" s="66"/>
      <c r="S332" s="66"/>
      <c r="T332" s="66"/>
      <c r="U332" s="66"/>
      <c r="V332" s="66"/>
      <c r="W332" s="66"/>
      <c r="X332" s="66"/>
      <c r="Y332" s="66"/>
      <c r="Z332" s="66"/>
    </row>
    <row r="333" spans="1:26" ht="21" x14ac:dyDescent="0.65">
      <c r="A333" s="66"/>
      <c r="B333" s="66"/>
      <c r="C333" s="66"/>
      <c r="D333" s="66"/>
      <c r="E333" s="66"/>
      <c r="F333" s="66"/>
      <c r="G333" s="66"/>
      <c r="H333" s="66"/>
      <c r="I333" s="66"/>
      <c r="J333" s="66"/>
      <c r="K333" s="66"/>
      <c r="L333" s="66"/>
      <c r="M333" s="66"/>
      <c r="N333" s="66"/>
      <c r="O333" s="66"/>
      <c r="P333" s="66"/>
      <c r="Q333" s="66"/>
      <c r="R333" s="66"/>
      <c r="S333" s="66"/>
      <c r="T333" s="66"/>
      <c r="U333" s="66"/>
      <c r="V333" s="66"/>
      <c r="W333" s="66"/>
      <c r="X333" s="66"/>
      <c r="Y333" s="66"/>
      <c r="Z333" s="66"/>
    </row>
    <row r="334" spans="1:26" ht="21" x14ac:dyDescent="0.65">
      <c r="A334" s="66"/>
      <c r="B334" s="66"/>
      <c r="C334" s="66"/>
      <c r="D334" s="66"/>
      <c r="E334" s="66"/>
      <c r="F334" s="66"/>
      <c r="G334" s="66"/>
      <c r="H334" s="66"/>
      <c r="I334" s="66"/>
      <c r="J334" s="66"/>
      <c r="K334" s="66"/>
      <c r="L334" s="66"/>
      <c r="M334" s="66"/>
      <c r="N334" s="66"/>
      <c r="O334" s="66"/>
      <c r="P334" s="66"/>
      <c r="Q334" s="66"/>
      <c r="R334" s="66"/>
      <c r="S334" s="66"/>
      <c r="T334" s="66"/>
      <c r="U334" s="66"/>
      <c r="V334" s="66"/>
      <c r="W334" s="66"/>
      <c r="X334" s="66"/>
      <c r="Y334" s="66"/>
      <c r="Z334" s="66"/>
    </row>
    <row r="335" spans="1:26" ht="21" x14ac:dyDescent="0.65">
      <c r="A335" s="66"/>
      <c r="B335" s="66"/>
      <c r="C335" s="66"/>
      <c r="D335" s="66"/>
      <c r="E335" s="66"/>
      <c r="F335" s="66"/>
      <c r="G335" s="66"/>
      <c r="H335" s="66"/>
      <c r="I335" s="66"/>
      <c r="J335" s="66"/>
      <c r="K335" s="66"/>
      <c r="L335" s="66"/>
      <c r="M335" s="66"/>
      <c r="N335" s="66"/>
      <c r="O335" s="66"/>
      <c r="P335" s="66"/>
      <c r="Q335" s="66"/>
      <c r="R335" s="66"/>
      <c r="S335" s="66"/>
      <c r="T335" s="66"/>
      <c r="U335" s="66"/>
      <c r="V335" s="66"/>
      <c r="W335" s="66"/>
      <c r="X335" s="66"/>
      <c r="Y335" s="66"/>
      <c r="Z335" s="66"/>
    </row>
    <row r="336" spans="1:26" ht="21" x14ac:dyDescent="0.65">
      <c r="A336" s="66"/>
      <c r="B336" s="66"/>
      <c r="C336" s="66"/>
      <c r="D336" s="66"/>
      <c r="E336" s="66"/>
      <c r="F336" s="66"/>
      <c r="G336" s="66"/>
      <c r="H336" s="66"/>
      <c r="I336" s="66"/>
      <c r="J336" s="66"/>
      <c r="K336" s="66"/>
      <c r="L336" s="66"/>
      <c r="M336" s="66"/>
      <c r="N336" s="66"/>
      <c r="O336" s="66"/>
      <c r="P336" s="66"/>
      <c r="Q336" s="66"/>
      <c r="R336" s="66"/>
      <c r="S336" s="66"/>
      <c r="T336" s="66"/>
      <c r="U336" s="66"/>
      <c r="V336" s="66"/>
      <c r="W336" s="66"/>
      <c r="X336" s="66"/>
      <c r="Y336" s="66"/>
      <c r="Z336" s="66"/>
    </row>
    <row r="337" spans="1:26" ht="21" x14ac:dyDescent="0.65">
      <c r="A337" s="66"/>
      <c r="B337" s="66"/>
      <c r="C337" s="66"/>
      <c r="D337" s="66"/>
      <c r="E337" s="66"/>
      <c r="F337" s="66"/>
      <c r="G337" s="66"/>
      <c r="H337" s="66"/>
      <c r="I337" s="66"/>
      <c r="J337" s="66"/>
      <c r="K337" s="66"/>
      <c r="L337" s="66"/>
      <c r="M337" s="66"/>
      <c r="N337" s="66"/>
      <c r="O337" s="66"/>
      <c r="P337" s="66"/>
      <c r="Q337" s="66"/>
      <c r="R337" s="66"/>
      <c r="S337" s="66"/>
      <c r="T337" s="66"/>
      <c r="U337" s="66"/>
      <c r="V337" s="66"/>
      <c r="W337" s="66"/>
      <c r="X337" s="66"/>
      <c r="Y337" s="66"/>
      <c r="Z337" s="66"/>
    </row>
    <row r="338" spans="1:26" ht="21" x14ac:dyDescent="0.65">
      <c r="A338" s="66"/>
      <c r="B338" s="66"/>
      <c r="C338" s="66"/>
      <c r="D338" s="66"/>
      <c r="E338" s="66"/>
      <c r="F338" s="66"/>
      <c r="G338" s="66"/>
      <c r="H338" s="66"/>
      <c r="I338" s="66"/>
      <c r="J338" s="66"/>
      <c r="K338" s="66"/>
      <c r="L338" s="66"/>
      <c r="M338" s="66"/>
      <c r="N338" s="66"/>
      <c r="O338" s="66"/>
      <c r="P338" s="66"/>
      <c r="Q338" s="66"/>
      <c r="R338" s="66"/>
      <c r="S338" s="66"/>
      <c r="T338" s="66"/>
      <c r="U338" s="66"/>
      <c r="V338" s="66"/>
      <c r="W338" s="66"/>
      <c r="X338" s="66"/>
      <c r="Y338" s="66"/>
      <c r="Z338" s="66"/>
    </row>
    <row r="339" spans="1:26" ht="21" x14ac:dyDescent="0.65">
      <c r="A339" s="66"/>
      <c r="B339" s="66"/>
      <c r="C339" s="66"/>
      <c r="D339" s="66"/>
      <c r="E339" s="66"/>
      <c r="F339" s="66"/>
      <c r="G339" s="66"/>
      <c r="H339" s="66"/>
      <c r="I339" s="66"/>
      <c r="J339" s="66"/>
      <c r="K339" s="66"/>
      <c r="L339" s="66"/>
      <c r="M339" s="66"/>
      <c r="N339" s="66"/>
      <c r="O339" s="66"/>
      <c r="P339" s="66"/>
      <c r="Q339" s="66"/>
      <c r="R339" s="66"/>
      <c r="S339" s="66"/>
      <c r="T339" s="66"/>
      <c r="U339" s="66"/>
      <c r="V339" s="66"/>
      <c r="W339" s="66"/>
      <c r="X339" s="66"/>
      <c r="Y339" s="66"/>
      <c r="Z339" s="66"/>
    </row>
    <row r="340" spans="1:26" ht="21" x14ac:dyDescent="0.65">
      <c r="A340" s="66"/>
      <c r="B340" s="66"/>
      <c r="C340" s="66"/>
      <c r="D340" s="66"/>
      <c r="E340" s="66"/>
      <c r="F340" s="66"/>
      <c r="G340" s="66"/>
      <c r="H340" s="66"/>
      <c r="I340" s="66"/>
      <c r="J340" s="66"/>
      <c r="K340" s="66"/>
      <c r="L340" s="66"/>
      <c r="M340" s="66"/>
      <c r="N340" s="66"/>
      <c r="O340" s="66"/>
      <c r="P340" s="66"/>
      <c r="Q340" s="66"/>
      <c r="R340" s="66"/>
      <c r="S340" s="66"/>
      <c r="T340" s="66"/>
      <c r="U340" s="66"/>
      <c r="V340" s="66"/>
      <c r="W340" s="66"/>
      <c r="X340" s="66"/>
      <c r="Y340" s="66"/>
      <c r="Z340" s="66"/>
    </row>
    <row r="341" spans="1:26" ht="21" x14ac:dyDescent="0.65">
      <c r="A341" s="66"/>
      <c r="B341" s="66"/>
      <c r="C341" s="66"/>
      <c r="D341" s="66"/>
      <c r="E341" s="66"/>
      <c r="F341" s="66"/>
      <c r="G341" s="66"/>
      <c r="H341" s="66"/>
      <c r="I341" s="66"/>
      <c r="J341" s="66"/>
      <c r="K341" s="66"/>
      <c r="L341" s="66"/>
      <c r="M341" s="66"/>
      <c r="N341" s="66"/>
      <c r="O341" s="66"/>
      <c r="P341" s="66"/>
      <c r="Q341" s="66"/>
      <c r="R341" s="66"/>
      <c r="S341" s="66"/>
      <c r="T341" s="66"/>
      <c r="U341" s="66"/>
      <c r="V341" s="66"/>
      <c r="W341" s="66"/>
      <c r="X341" s="66"/>
      <c r="Y341" s="66"/>
      <c r="Z341" s="66"/>
    </row>
    <row r="342" spans="1:26" ht="21" x14ac:dyDescent="0.65">
      <c r="A342" s="66"/>
      <c r="B342" s="66"/>
      <c r="C342" s="66"/>
      <c r="D342" s="66"/>
      <c r="E342" s="66"/>
      <c r="F342" s="66"/>
      <c r="G342" s="66"/>
      <c r="H342" s="66"/>
      <c r="I342" s="66"/>
      <c r="J342" s="66"/>
      <c r="K342" s="66"/>
      <c r="L342" s="66"/>
      <c r="M342" s="66"/>
      <c r="N342" s="66"/>
      <c r="O342" s="66"/>
      <c r="P342" s="66"/>
      <c r="Q342" s="66"/>
      <c r="R342" s="66"/>
      <c r="S342" s="66"/>
      <c r="T342" s="66"/>
      <c r="U342" s="66"/>
      <c r="V342" s="66"/>
      <c r="W342" s="66"/>
      <c r="X342" s="66"/>
      <c r="Y342" s="66"/>
      <c r="Z342" s="66"/>
    </row>
    <row r="343" spans="1:26" ht="21" x14ac:dyDescent="0.65">
      <c r="A343" s="66"/>
      <c r="B343" s="66"/>
      <c r="C343" s="66"/>
      <c r="D343" s="66"/>
      <c r="E343" s="66"/>
      <c r="F343" s="66"/>
      <c r="G343" s="66"/>
      <c r="H343" s="66"/>
      <c r="I343" s="66"/>
      <c r="J343" s="66"/>
      <c r="K343" s="66"/>
      <c r="L343" s="66"/>
      <c r="M343" s="66"/>
      <c r="N343" s="66"/>
      <c r="O343" s="66"/>
      <c r="P343" s="66"/>
      <c r="Q343" s="66"/>
      <c r="R343" s="66"/>
      <c r="S343" s="66"/>
      <c r="T343" s="66"/>
      <c r="U343" s="66"/>
      <c r="V343" s="66"/>
      <c r="W343" s="66"/>
      <c r="X343" s="66"/>
      <c r="Y343" s="66"/>
      <c r="Z343" s="66"/>
    </row>
    <row r="344" spans="1:26" ht="21" x14ac:dyDescent="0.65">
      <c r="A344" s="66"/>
      <c r="B344" s="66"/>
      <c r="C344" s="66"/>
      <c r="D344" s="66"/>
      <c r="E344" s="66"/>
      <c r="F344" s="66"/>
      <c r="G344" s="66"/>
      <c r="H344" s="66"/>
      <c r="I344" s="66"/>
      <c r="J344" s="66"/>
      <c r="K344" s="66"/>
      <c r="L344" s="66"/>
      <c r="M344" s="66"/>
      <c r="N344" s="66"/>
      <c r="O344" s="66"/>
      <c r="P344" s="66"/>
      <c r="Q344" s="66"/>
      <c r="R344" s="66"/>
      <c r="S344" s="66"/>
      <c r="T344" s="66"/>
      <c r="U344" s="66"/>
      <c r="V344" s="66"/>
      <c r="W344" s="66"/>
      <c r="X344" s="66"/>
      <c r="Y344" s="66"/>
      <c r="Z344" s="66"/>
    </row>
    <row r="345" spans="1:26" ht="21" x14ac:dyDescent="0.65">
      <c r="A345" s="66"/>
      <c r="B345" s="66"/>
      <c r="C345" s="66"/>
      <c r="D345" s="66"/>
      <c r="E345" s="66"/>
      <c r="F345" s="66"/>
      <c r="G345" s="66"/>
      <c r="H345" s="66"/>
      <c r="I345" s="66"/>
      <c r="J345" s="66"/>
      <c r="K345" s="66"/>
      <c r="L345" s="66"/>
      <c r="M345" s="66"/>
      <c r="N345" s="66"/>
      <c r="O345" s="66"/>
      <c r="P345" s="66"/>
      <c r="Q345" s="66"/>
      <c r="R345" s="66"/>
      <c r="S345" s="66"/>
      <c r="T345" s="66"/>
      <c r="U345" s="66"/>
      <c r="V345" s="66"/>
      <c r="W345" s="66"/>
      <c r="X345" s="66"/>
      <c r="Y345" s="66"/>
      <c r="Z345" s="66"/>
    </row>
    <row r="346" spans="1:26" ht="21" x14ac:dyDescent="0.65">
      <c r="A346" s="66"/>
      <c r="B346" s="66"/>
      <c r="C346" s="66"/>
      <c r="D346" s="66"/>
      <c r="E346" s="66"/>
      <c r="F346" s="66"/>
      <c r="G346" s="66"/>
      <c r="H346" s="66"/>
      <c r="I346" s="66"/>
      <c r="J346" s="66"/>
      <c r="K346" s="66"/>
      <c r="L346" s="66"/>
      <c r="M346" s="66"/>
      <c r="N346" s="66"/>
      <c r="O346" s="66"/>
      <c r="P346" s="66"/>
      <c r="Q346" s="66"/>
      <c r="R346" s="66"/>
      <c r="S346" s="66"/>
      <c r="T346" s="66"/>
      <c r="U346" s="66"/>
      <c r="V346" s="66"/>
      <c r="W346" s="66"/>
      <c r="X346" s="66"/>
      <c r="Y346" s="66"/>
      <c r="Z346" s="66"/>
    </row>
    <row r="347" spans="1:26" ht="21" x14ac:dyDescent="0.65">
      <c r="A347" s="66"/>
      <c r="B347" s="66"/>
      <c r="C347" s="66"/>
      <c r="D347" s="66"/>
      <c r="E347" s="66"/>
      <c r="F347" s="66"/>
      <c r="G347" s="66"/>
      <c r="H347" s="66"/>
      <c r="I347" s="66"/>
      <c r="J347" s="66"/>
      <c r="K347" s="66"/>
      <c r="L347" s="66"/>
      <c r="M347" s="66"/>
      <c r="N347" s="66"/>
      <c r="O347" s="66"/>
      <c r="P347" s="66"/>
      <c r="Q347" s="66"/>
      <c r="R347" s="66"/>
      <c r="S347" s="66"/>
      <c r="T347" s="66"/>
      <c r="U347" s="66"/>
      <c r="V347" s="66"/>
      <c r="W347" s="66"/>
      <c r="X347" s="66"/>
      <c r="Y347" s="66"/>
      <c r="Z347" s="66"/>
    </row>
    <row r="348" spans="1:26" ht="21" x14ac:dyDescent="0.65">
      <c r="A348" s="66"/>
      <c r="B348" s="66"/>
      <c r="C348" s="66"/>
      <c r="D348" s="66"/>
      <c r="E348" s="66"/>
      <c r="F348" s="66"/>
      <c r="G348" s="66"/>
      <c r="H348" s="66"/>
      <c r="I348" s="66"/>
      <c r="J348" s="66"/>
      <c r="K348" s="66"/>
      <c r="L348" s="66"/>
      <c r="M348" s="66"/>
      <c r="N348" s="66"/>
      <c r="O348" s="66"/>
      <c r="P348" s="66"/>
      <c r="Q348" s="66"/>
      <c r="R348" s="66"/>
      <c r="S348" s="66"/>
      <c r="T348" s="66"/>
      <c r="U348" s="66"/>
      <c r="V348" s="66"/>
      <c r="W348" s="66"/>
      <c r="X348" s="66"/>
      <c r="Y348" s="66"/>
      <c r="Z348" s="66"/>
    </row>
    <row r="349" spans="1:26" ht="21" x14ac:dyDescent="0.65">
      <c r="A349" s="66"/>
      <c r="B349" s="66"/>
      <c r="C349" s="66"/>
      <c r="D349" s="66"/>
      <c r="E349" s="66"/>
      <c r="F349" s="66"/>
      <c r="G349" s="66"/>
      <c r="H349" s="66"/>
      <c r="I349" s="66"/>
      <c r="J349" s="66"/>
      <c r="K349" s="66"/>
      <c r="L349" s="66"/>
      <c r="M349" s="66"/>
      <c r="N349" s="66"/>
      <c r="O349" s="66"/>
      <c r="P349" s="66"/>
      <c r="Q349" s="66"/>
      <c r="R349" s="66"/>
      <c r="S349" s="66"/>
      <c r="T349" s="66"/>
      <c r="U349" s="66"/>
      <c r="V349" s="66"/>
      <c r="W349" s="66"/>
      <c r="X349" s="66"/>
      <c r="Y349" s="66"/>
      <c r="Z349" s="66"/>
    </row>
    <row r="350" spans="1:26" ht="21" x14ac:dyDescent="0.65">
      <c r="A350" s="66"/>
      <c r="B350" s="66"/>
      <c r="C350" s="66"/>
      <c r="D350" s="66"/>
      <c r="E350" s="66"/>
      <c r="F350" s="66"/>
      <c r="G350" s="66"/>
      <c r="H350" s="66"/>
      <c r="I350" s="66"/>
      <c r="J350" s="66"/>
      <c r="K350" s="66"/>
      <c r="L350" s="66"/>
      <c r="M350" s="66"/>
      <c r="N350" s="66"/>
      <c r="O350" s="66"/>
      <c r="P350" s="66"/>
      <c r="Q350" s="66"/>
      <c r="R350" s="66"/>
      <c r="S350" s="66"/>
      <c r="T350" s="66"/>
      <c r="U350" s="66"/>
      <c r="V350" s="66"/>
      <c r="W350" s="66"/>
      <c r="X350" s="66"/>
      <c r="Y350" s="66"/>
      <c r="Z350" s="66"/>
    </row>
    <row r="351" spans="1:26" ht="21" x14ac:dyDescent="0.65">
      <c r="A351" s="66"/>
      <c r="B351" s="66"/>
      <c r="C351" s="66"/>
      <c r="D351" s="66"/>
      <c r="E351" s="66"/>
      <c r="F351" s="66"/>
      <c r="G351" s="66"/>
      <c r="H351" s="66"/>
      <c r="I351" s="66"/>
      <c r="J351" s="66"/>
      <c r="K351" s="66"/>
      <c r="L351" s="66"/>
      <c r="M351" s="66"/>
      <c r="N351" s="66"/>
      <c r="O351" s="66"/>
      <c r="P351" s="66"/>
      <c r="Q351" s="66"/>
      <c r="R351" s="66"/>
      <c r="S351" s="66"/>
      <c r="T351" s="66"/>
      <c r="U351" s="66"/>
      <c r="V351" s="66"/>
      <c r="W351" s="66"/>
      <c r="X351" s="66"/>
      <c r="Y351" s="66"/>
      <c r="Z351" s="66"/>
    </row>
    <row r="352" spans="1:26" ht="21" x14ac:dyDescent="0.65">
      <c r="A352" s="66"/>
      <c r="B352" s="66"/>
      <c r="C352" s="66"/>
      <c r="D352" s="66"/>
      <c r="E352" s="66"/>
      <c r="F352" s="66"/>
      <c r="G352" s="66"/>
      <c r="H352" s="66"/>
      <c r="I352" s="66"/>
      <c r="J352" s="66"/>
      <c r="K352" s="66"/>
      <c r="L352" s="66"/>
      <c r="M352" s="66"/>
      <c r="N352" s="66"/>
      <c r="O352" s="66"/>
      <c r="P352" s="66"/>
      <c r="Q352" s="66"/>
      <c r="R352" s="66"/>
      <c r="S352" s="66"/>
      <c r="T352" s="66"/>
      <c r="U352" s="66"/>
      <c r="V352" s="66"/>
      <c r="W352" s="66"/>
      <c r="X352" s="66"/>
      <c r="Y352" s="66"/>
      <c r="Z352" s="66"/>
    </row>
    <row r="353" spans="1:26" ht="21" x14ac:dyDescent="0.65">
      <c r="A353" s="66"/>
      <c r="B353" s="66"/>
      <c r="C353" s="66"/>
      <c r="D353" s="66"/>
      <c r="E353" s="66"/>
      <c r="F353" s="66"/>
      <c r="G353" s="66"/>
      <c r="H353" s="66"/>
      <c r="I353" s="66"/>
      <c r="J353" s="66"/>
      <c r="K353" s="66"/>
      <c r="L353" s="66"/>
      <c r="M353" s="66"/>
      <c r="N353" s="66"/>
      <c r="O353" s="66"/>
      <c r="P353" s="66"/>
      <c r="Q353" s="66"/>
      <c r="R353" s="66"/>
      <c r="S353" s="66"/>
      <c r="T353" s="66"/>
      <c r="U353" s="66"/>
      <c r="V353" s="66"/>
      <c r="W353" s="66"/>
      <c r="X353" s="66"/>
      <c r="Y353" s="66"/>
      <c r="Z353" s="66"/>
    </row>
    <row r="354" spans="1:26" ht="21" x14ac:dyDescent="0.65">
      <c r="A354" s="66"/>
      <c r="B354" s="66"/>
      <c r="C354" s="66"/>
      <c r="D354" s="66"/>
      <c r="E354" s="66"/>
      <c r="F354" s="66"/>
      <c r="G354" s="66"/>
      <c r="H354" s="66"/>
      <c r="I354" s="66"/>
      <c r="J354" s="66"/>
      <c r="K354" s="66"/>
      <c r="L354" s="66"/>
      <c r="M354" s="66"/>
      <c r="N354" s="66"/>
      <c r="O354" s="66"/>
      <c r="P354" s="66"/>
      <c r="Q354" s="66"/>
      <c r="R354" s="66"/>
      <c r="S354" s="66"/>
      <c r="T354" s="66"/>
      <c r="U354" s="66"/>
      <c r="V354" s="66"/>
      <c r="W354" s="66"/>
      <c r="X354" s="66"/>
      <c r="Y354" s="66"/>
      <c r="Z354" s="66"/>
    </row>
    <row r="355" spans="1:26" ht="21" x14ac:dyDescent="0.65">
      <c r="A355" s="66"/>
      <c r="B355" s="66"/>
      <c r="C355" s="66"/>
      <c r="D355" s="66"/>
      <c r="E355" s="66"/>
      <c r="F355" s="66"/>
      <c r="G355" s="66"/>
      <c r="H355" s="66"/>
      <c r="I355" s="66"/>
      <c r="J355" s="66"/>
      <c r="K355" s="66"/>
      <c r="L355" s="66"/>
      <c r="M355" s="66"/>
      <c r="N355" s="66"/>
      <c r="O355" s="66"/>
      <c r="P355" s="66"/>
      <c r="Q355" s="66"/>
      <c r="R355" s="66"/>
      <c r="S355" s="66"/>
      <c r="T355" s="66"/>
      <c r="U355" s="66"/>
      <c r="V355" s="66"/>
      <c r="W355" s="66"/>
      <c r="X355" s="66"/>
      <c r="Y355" s="66"/>
      <c r="Z355" s="66"/>
    </row>
    <row r="356" spans="1:26" ht="21" x14ac:dyDescent="0.65">
      <c r="A356" s="66"/>
      <c r="B356" s="66"/>
      <c r="C356" s="66"/>
      <c r="D356" s="66"/>
      <c r="E356" s="66"/>
      <c r="F356" s="66"/>
      <c r="G356" s="66"/>
      <c r="H356" s="66"/>
      <c r="I356" s="66"/>
      <c r="J356" s="66"/>
      <c r="K356" s="66"/>
      <c r="L356" s="66"/>
      <c r="M356" s="66"/>
      <c r="N356" s="66"/>
      <c r="O356" s="66"/>
      <c r="P356" s="66"/>
      <c r="Q356" s="66"/>
      <c r="R356" s="66"/>
      <c r="S356" s="66"/>
      <c r="T356" s="66"/>
      <c r="U356" s="66"/>
      <c r="V356" s="66"/>
      <c r="W356" s="66"/>
      <c r="X356" s="66"/>
      <c r="Y356" s="66"/>
      <c r="Z356" s="66"/>
    </row>
    <row r="357" spans="1:26" ht="21" x14ac:dyDescent="0.65">
      <c r="A357" s="66"/>
      <c r="B357" s="66"/>
      <c r="C357" s="66"/>
      <c r="D357" s="66"/>
      <c r="E357" s="66"/>
      <c r="F357" s="66"/>
      <c r="G357" s="66"/>
      <c r="H357" s="66"/>
      <c r="I357" s="66"/>
      <c r="J357" s="66"/>
      <c r="K357" s="66"/>
      <c r="L357" s="66"/>
      <c r="M357" s="66"/>
      <c r="N357" s="66"/>
      <c r="O357" s="66"/>
      <c r="P357" s="66"/>
      <c r="Q357" s="66"/>
      <c r="R357" s="66"/>
      <c r="S357" s="66"/>
      <c r="T357" s="66"/>
      <c r="U357" s="66"/>
      <c r="V357" s="66"/>
      <c r="W357" s="66"/>
      <c r="X357" s="66"/>
      <c r="Y357" s="66"/>
      <c r="Z357" s="66"/>
    </row>
    <row r="358" spans="1:26" ht="21" x14ac:dyDescent="0.65">
      <c r="A358" s="66"/>
      <c r="B358" s="66"/>
      <c r="C358" s="66"/>
      <c r="D358" s="66"/>
      <c r="E358" s="66"/>
      <c r="F358" s="66"/>
      <c r="G358" s="66"/>
      <c r="H358" s="66"/>
      <c r="I358" s="66"/>
      <c r="J358" s="66"/>
      <c r="K358" s="66"/>
      <c r="L358" s="66"/>
      <c r="M358" s="66"/>
      <c r="N358" s="66"/>
      <c r="O358" s="66"/>
      <c r="P358" s="66"/>
      <c r="Q358" s="66"/>
      <c r="R358" s="66"/>
      <c r="S358" s="66"/>
      <c r="T358" s="66"/>
      <c r="U358" s="66"/>
      <c r="V358" s="66"/>
      <c r="W358" s="66"/>
      <c r="X358" s="66"/>
      <c r="Y358" s="66"/>
      <c r="Z358" s="66"/>
    </row>
    <row r="359" spans="1:26" ht="21" x14ac:dyDescent="0.65">
      <c r="A359" s="66"/>
      <c r="B359" s="66"/>
      <c r="C359" s="66"/>
      <c r="D359" s="66"/>
      <c r="E359" s="66"/>
      <c r="F359" s="66"/>
      <c r="G359" s="66"/>
      <c r="H359" s="66"/>
      <c r="I359" s="66"/>
      <c r="J359" s="66"/>
      <c r="K359" s="66"/>
      <c r="L359" s="66"/>
      <c r="M359" s="66"/>
      <c r="N359" s="66"/>
      <c r="O359" s="66"/>
      <c r="P359" s="66"/>
      <c r="Q359" s="66"/>
      <c r="R359" s="66"/>
      <c r="S359" s="66"/>
      <c r="T359" s="66"/>
      <c r="U359" s="66"/>
      <c r="V359" s="66"/>
      <c r="W359" s="66"/>
      <c r="X359" s="66"/>
      <c r="Y359" s="66"/>
      <c r="Z359" s="66"/>
    </row>
    <row r="360" spans="1:26" ht="21" x14ac:dyDescent="0.65">
      <c r="A360" s="66"/>
      <c r="B360" s="66"/>
      <c r="C360" s="66"/>
      <c r="D360" s="66"/>
      <c r="E360" s="66"/>
      <c r="F360" s="66"/>
      <c r="G360" s="66"/>
      <c r="H360" s="66"/>
      <c r="I360" s="66"/>
      <c r="J360" s="66"/>
      <c r="K360" s="66"/>
      <c r="L360" s="66"/>
      <c r="M360" s="66"/>
      <c r="N360" s="66"/>
      <c r="O360" s="66"/>
      <c r="P360" s="66"/>
      <c r="Q360" s="66"/>
      <c r="R360" s="66"/>
      <c r="S360" s="66"/>
      <c r="T360" s="66"/>
      <c r="U360" s="66"/>
      <c r="V360" s="66"/>
      <c r="W360" s="66"/>
      <c r="X360" s="66"/>
      <c r="Y360" s="66"/>
      <c r="Z360" s="66"/>
    </row>
    <row r="361" spans="1:26" ht="21" x14ac:dyDescent="0.65">
      <c r="A361" s="66"/>
      <c r="B361" s="66"/>
      <c r="C361" s="66"/>
      <c r="D361" s="66"/>
      <c r="E361" s="66"/>
      <c r="F361" s="66"/>
      <c r="G361" s="66"/>
      <c r="H361" s="66"/>
      <c r="I361" s="66"/>
      <c r="J361" s="66"/>
      <c r="K361" s="66"/>
      <c r="L361" s="66"/>
      <c r="M361" s="66"/>
      <c r="N361" s="66"/>
      <c r="O361" s="66"/>
      <c r="P361" s="66"/>
      <c r="Q361" s="66"/>
      <c r="R361" s="66"/>
      <c r="S361" s="66"/>
      <c r="T361" s="66"/>
      <c r="U361" s="66"/>
      <c r="V361" s="66"/>
      <c r="W361" s="66"/>
      <c r="X361" s="66"/>
      <c r="Y361" s="66"/>
      <c r="Z361" s="66"/>
    </row>
    <row r="362" spans="1:26" ht="21" x14ac:dyDescent="0.65">
      <c r="A362" s="66"/>
      <c r="B362" s="66"/>
      <c r="C362" s="66"/>
      <c r="D362" s="66"/>
      <c r="E362" s="66"/>
      <c r="F362" s="66"/>
      <c r="G362" s="66"/>
      <c r="H362" s="66"/>
      <c r="I362" s="66"/>
      <c r="J362" s="66"/>
      <c r="K362" s="66"/>
      <c r="L362" s="66"/>
      <c r="M362" s="66"/>
      <c r="N362" s="66"/>
      <c r="O362" s="66"/>
      <c r="P362" s="66"/>
      <c r="Q362" s="66"/>
      <c r="R362" s="66"/>
      <c r="S362" s="66"/>
      <c r="T362" s="66"/>
      <c r="U362" s="66"/>
      <c r="V362" s="66"/>
      <c r="W362" s="66"/>
      <c r="X362" s="66"/>
      <c r="Y362" s="66"/>
      <c r="Z362" s="66"/>
    </row>
    <row r="363" spans="1:26" ht="21" x14ac:dyDescent="0.65">
      <c r="A363" s="66"/>
      <c r="B363" s="66"/>
      <c r="C363" s="66"/>
      <c r="D363" s="66"/>
      <c r="E363" s="66"/>
      <c r="F363" s="66"/>
      <c r="G363" s="66"/>
      <c r="H363" s="66"/>
      <c r="I363" s="66"/>
      <c r="J363" s="66"/>
      <c r="K363" s="66"/>
      <c r="L363" s="66"/>
      <c r="M363" s="66"/>
      <c r="N363" s="66"/>
      <c r="O363" s="66"/>
      <c r="P363" s="66"/>
      <c r="Q363" s="66"/>
      <c r="R363" s="66"/>
      <c r="S363" s="66"/>
      <c r="T363" s="66"/>
      <c r="U363" s="66"/>
      <c r="V363" s="66"/>
      <c r="W363" s="66"/>
      <c r="X363" s="66"/>
      <c r="Y363" s="66"/>
      <c r="Z363" s="66"/>
    </row>
    <row r="364" spans="1:26" ht="21" x14ac:dyDescent="0.65">
      <c r="A364" s="66"/>
      <c r="B364" s="66"/>
      <c r="C364" s="66"/>
      <c r="D364" s="66"/>
      <c r="E364" s="66"/>
      <c r="F364" s="66"/>
      <c r="G364" s="66"/>
      <c r="H364" s="66"/>
      <c r="I364" s="66"/>
      <c r="J364" s="66"/>
      <c r="K364" s="66"/>
      <c r="L364" s="66"/>
      <c r="M364" s="66"/>
      <c r="N364" s="66"/>
      <c r="O364" s="66"/>
      <c r="P364" s="66"/>
      <c r="Q364" s="66"/>
      <c r="R364" s="66"/>
      <c r="S364" s="66"/>
      <c r="T364" s="66"/>
      <c r="U364" s="66"/>
      <c r="V364" s="66"/>
      <c r="W364" s="66"/>
      <c r="X364" s="66"/>
      <c r="Y364" s="66"/>
      <c r="Z364" s="66"/>
    </row>
    <row r="365" spans="1:26" ht="21" x14ac:dyDescent="0.65">
      <c r="A365" s="66"/>
      <c r="B365" s="66"/>
      <c r="C365" s="66"/>
      <c r="D365" s="66"/>
      <c r="E365" s="66"/>
      <c r="F365" s="66"/>
      <c r="G365" s="66"/>
      <c r="H365" s="66"/>
      <c r="I365" s="66"/>
      <c r="J365" s="66"/>
      <c r="K365" s="66"/>
      <c r="L365" s="66"/>
      <c r="M365" s="66"/>
      <c r="N365" s="66"/>
      <c r="O365" s="66"/>
      <c r="P365" s="66"/>
      <c r="Q365" s="66"/>
      <c r="R365" s="66"/>
      <c r="S365" s="66"/>
      <c r="T365" s="66"/>
      <c r="U365" s="66"/>
      <c r="V365" s="66"/>
      <c r="W365" s="66"/>
      <c r="X365" s="66"/>
      <c r="Y365" s="66"/>
      <c r="Z365" s="66"/>
    </row>
    <row r="366" spans="1:26" ht="21" x14ac:dyDescent="0.65">
      <c r="A366" s="66"/>
      <c r="B366" s="66"/>
      <c r="C366" s="66"/>
      <c r="D366" s="66"/>
      <c r="E366" s="66"/>
      <c r="F366" s="66"/>
      <c r="G366" s="66"/>
      <c r="H366" s="66"/>
      <c r="I366" s="66"/>
      <c r="J366" s="66"/>
      <c r="K366" s="66"/>
      <c r="L366" s="66"/>
      <c r="M366" s="66"/>
      <c r="N366" s="66"/>
      <c r="O366" s="66"/>
      <c r="P366" s="66"/>
      <c r="Q366" s="66"/>
      <c r="R366" s="66"/>
      <c r="S366" s="66"/>
      <c r="T366" s="66"/>
      <c r="U366" s="66"/>
      <c r="V366" s="66"/>
      <c r="W366" s="66"/>
      <c r="X366" s="66"/>
      <c r="Y366" s="66"/>
      <c r="Z366" s="66"/>
    </row>
    <row r="367" spans="1:26" ht="21" x14ac:dyDescent="0.65">
      <c r="A367" s="66"/>
      <c r="B367" s="66"/>
      <c r="C367" s="66"/>
      <c r="D367" s="66"/>
      <c r="E367" s="66"/>
      <c r="F367" s="66"/>
      <c r="G367" s="66"/>
      <c r="H367" s="66"/>
      <c r="I367" s="66"/>
      <c r="J367" s="66"/>
      <c r="K367" s="66"/>
      <c r="L367" s="66"/>
      <c r="M367" s="66"/>
      <c r="N367" s="66"/>
      <c r="O367" s="66"/>
      <c r="P367" s="66"/>
      <c r="Q367" s="66"/>
      <c r="R367" s="66"/>
      <c r="S367" s="66"/>
      <c r="T367" s="66"/>
      <c r="U367" s="66"/>
      <c r="V367" s="66"/>
      <c r="W367" s="66"/>
      <c r="X367" s="66"/>
      <c r="Y367" s="66"/>
      <c r="Z367" s="66"/>
    </row>
    <row r="368" spans="1:26" ht="21" x14ac:dyDescent="0.65">
      <c r="A368" s="66"/>
      <c r="B368" s="66"/>
      <c r="C368" s="66"/>
      <c r="D368" s="66"/>
      <c r="E368" s="66"/>
      <c r="F368" s="66"/>
      <c r="G368" s="66"/>
      <c r="H368" s="66"/>
      <c r="I368" s="66"/>
      <c r="J368" s="66"/>
      <c r="K368" s="66"/>
      <c r="L368" s="66"/>
      <c r="M368" s="66"/>
      <c r="N368" s="66"/>
      <c r="O368" s="66"/>
      <c r="P368" s="66"/>
      <c r="Q368" s="66"/>
      <c r="R368" s="66"/>
      <c r="S368" s="66"/>
      <c r="T368" s="66"/>
      <c r="U368" s="66"/>
      <c r="V368" s="66"/>
      <c r="W368" s="66"/>
      <c r="X368" s="66"/>
      <c r="Y368" s="66"/>
      <c r="Z368" s="66"/>
    </row>
    <row r="369" spans="1:26" ht="21" x14ac:dyDescent="0.65">
      <c r="A369" s="66"/>
      <c r="B369" s="66"/>
      <c r="C369" s="66"/>
      <c r="D369" s="66"/>
      <c r="E369" s="66"/>
      <c r="F369" s="66"/>
      <c r="G369" s="66"/>
      <c r="H369" s="66"/>
      <c r="I369" s="66"/>
      <c r="J369" s="66"/>
      <c r="K369" s="66"/>
      <c r="L369" s="66"/>
      <c r="M369" s="66"/>
      <c r="N369" s="66"/>
      <c r="O369" s="66"/>
      <c r="P369" s="66"/>
      <c r="Q369" s="66"/>
      <c r="R369" s="66"/>
      <c r="S369" s="66"/>
      <c r="T369" s="66"/>
      <c r="U369" s="66"/>
      <c r="V369" s="66"/>
      <c r="W369" s="66"/>
      <c r="X369" s="66"/>
      <c r="Y369" s="66"/>
      <c r="Z369" s="66"/>
    </row>
    <row r="370" spans="1:26" ht="21" x14ac:dyDescent="0.65">
      <c r="A370" s="66"/>
      <c r="B370" s="66"/>
      <c r="C370" s="66"/>
      <c r="D370" s="66"/>
      <c r="E370" s="66"/>
      <c r="F370" s="66"/>
      <c r="G370" s="66"/>
      <c r="H370" s="66"/>
      <c r="I370" s="66"/>
      <c r="J370" s="66"/>
      <c r="K370" s="66"/>
      <c r="L370" s="66"/>
      <c r="M370" s="66"/>
      <c r="N370" s="66"/>
      <c r="O370" s="66"/>
      <c r="P370" s="66"/>
      <c r="Q370" s="66"/>
      <c r="R370" s="66"/>
      <c r="S370" s="66"/>
      <c r="T370" s="66"/>
      <c r="U370" s="66"/>
      <c r="V370" s="66"/>
      <c r="W370" s="66"/>
      <c r="X370" s="66"/>
      <c r="Y370" s="66"/>
      <c r="Z370" s="66"/>
    </row>
    <row r="371" spans="1:26" ht="21" x14ac:dyDescent="0.65">
      <c r="A371" s="66"/>
      <c r="B371" s="66"/>
      <c r="C371" s="66"/>
      <c r="D371" s="66"/>
      <c r="E371" s="66"/>
      <c r="F371" s="66"/>
      <c r="G371" s="66"/>
      <c r="H371" s="66"/>
      <c r="I371" s="66"/>
      <c r="J371" s="66"/>
      <c r="K371" s="66"/>
      <c r="L371" s="66"/>
      <c r="M371" s="66"/>
      <c r="N371" s="66"/>
      <c r="O371" s="66"/>
      <c r="P371" s="66"/>
      <c r="Q371" s="66"/>
      <c r="R371" s="66"/>
      <c r="S371" s="66"/>
      <c r="T371" s="66"/>
      <c r="U371" s="66"/>
      <c r="V371" s="66"/>
      <c r="W371" s="66"/>
      <c r="X371" s="66"/>
      <c r="Y371" s="66"/>
      <c r="Z371" s="66"/>
    </row>
    <row r="372" spans="1:26" ht="21" x14ac:dyDescent="0.65">
      <c r="A372" s="66"/>
      <c r="B372" s="66"/>
      <c r="C372" s="66"/>
      <c r="D372" s="66"/>
      <c r="E372" s="66"/>
      <c r="F372" s="66"/>
      <c r="G372" s="66"/>
      <c r="H372" s="66"/>
      <c r="I372" s="66"/>
      <c r="J372" s="66"/>
      <c r="K372" s="66"/>
      <c r="L372" s="66"/>
      <c r="M372" s="66"/>
      <c r="N372" s="66"/>
      <c r="O372" s="66"/>
      <c r="P372" s="66"/>
      <c r="Q372" s="66"/>
      <c r="R372" s="66"/>
      <c r="S372" s="66"/>
      <c r="T372" s="66"/>
      <c r="U372" s="66"/>
      <c r="V372" s="66"/>
      <c r="W372" s="66"/>
      <c r="X372" s="66"/>
      <c r="Y372" s="66"/>
      <c r="Z372" s="66"/>
    </row>
    <row r="373" spans="1:26" ht="21" x14ac:dyDescent="0.65">
      <c r="A373" s="66"/>
      <c r="B373" s="66"/>
      <c r="C373" s="66"/>
      <c r="D373" s="66"/>
      <c r="E373" s="66"/>
      <c r="F373" s="66"/>
      <c r="G373" s="66"/>
      <c r="H373" s="66"/>
      <c r="I373" s="66"/>
      <c r="J373" s="66"/>
      <c r="K373" s="66"/>
      <c r="L373" s="66"/>
      <c r="M373" s="66"/>
      <c r="N373" s="66"/>
      <c r="O373" s="66"/>
      <c r="P373" s="66"/>
      <c r="Q373" s="66"/>
      <c r="R373" s="66"/>
      <c r="S373" s="66"/>
      <c r="T373" s="66"/>
      <c r="U373" s="66"/>
      <c r="V373" s="66"/>
      <c r="W373" s="66"/>
      <c r="X373" s="66"/>
      <c r="Y373" s="66"/>
      <c r="Z373" s="66"/>
    </row>
    <row r="374" spans="1:26" ht="21" x14ac:dyDescent="0.65">
      <c r="A374" s="66"/>
      <c r="B374" s="66"/>
      <c r="C374" s="66"/>
      <c r="D374" s="66"/>
      <c r="E374" s="66"/>
      <c r="F374" s="66"/>
      <c r="G374" s="66"/>
      <c r="H374" s="66"/>
      <c r="I374" s="66"/>
      <c r="J374" s="66"/>
      <c r="K374" s="66"/>
      <c r="L374" s="66"/>
      <c r="M374" s="66"/>
      <c r="N374" s="66"/>
      <c r="O374" s="66"/>
      <c r="P374" s="66"/>
      <c r="Q374" s="66"/>
      <c r="R374" s="66"/>
      <c r="S374" s="66"/>
      <c r="T374" s="66"/>
      <c r="U374" s="66"/>
      <c r="V374" s="66"/>
      <c r="W374" s="66"/>
      <c r="X374" s="66"/>
      <c r="Y374" s="66"/>
      <c r="Z374" s="66"/>
    </row>
    <row r="375" spans="1:26" ht="21" x14ac:dyDescent="0.65">
      <c r="A375" s="66"/>
      <c r="B375" s="66"/>
      <c r="C375" s="66"/>
      <c r="D375" s="66"/>
      <c r="E375" s="66"/>
      <c r="F375" s="66"/>
      <c r="G375" s="66"/>
      <c r="H375" s="66"/>
      <c r="I375" s="66"/>
      <c r="J375" s="66"/>
      <c r="K375" s="66"/>
      <c r="L375" s="66"/>
      <c r="M375" s="66"/>
      <c r="N375" s="66"/>
      <c r="O375" s="66"/>
      <c r="P375" s="66"/>
      <c r="Q375" s="66"/>
      <c r="R375" s="66"/>
      <c r="S375" s="66"/>
      <c r="T375" s="66"/>
      <c r="U375" s="66"/>
      <c r="V375" s="66"/>
      <c r="W375" s="66"/>
      <c r="X375" s="66"/>
      <c r="Y375" s="66"/>
      <c r="Z375" s="66"/>
    </row>
    <row r="376" spans="1:26" ht="21" x14ac:dyDescent="0.65">
      <c r="A376" s="66"/>
      <c r="B376" s="66"/>
      <c r="C376" s="66"/>
      <c r="D376" s="66"/>
      <c r="E376" s="66"/>
      <c r="F376" s="66"/>
      <c r="G376" s="66"/>
      <c r="H376" s="66"/>
      <c r="I376" s="66"/>
      <c r="J376" s="66"/>
      <c r="K376" s="66"/>
      <c r="L376" s="66"/>
      <c r="M376" s="66"/>
      <c r="N376" s="66"/>
      <c r="O376" s="66"/>
      <c r="P376" s="66"/>
      <c r="Q376" s="66"/>
      <c r="R376" s="66"/>
      <c r="S376" s="66"/>
      <c r="T376" s="66"/>
      <c r="U376" s="66"/>
      <c r="V376" s="66"/>
      <c r="W376" s="66"/>
      <c r="X376" s="66"/>
      <c r="Y376" s="66"/>
      <c r="Z376" s="66"/>
    </row>
    <row r="377" spans="1:26" ht="21" x14ac:dyDescent="0.65">
      <c r="A377" s="66"/>
      <c r="B377" s="66"/>
      <c r="C377" s="66"/>
      <c r="D377" s="66"/>
      <c r="E377" s="66"/>
      <c r="F377" s="66"/>
      <c r="G377" s="66"/>
      <c r="H377" s="66"/>
      <c r="I377" s="66"/>
      <c r="J377" s="66"/>
      <c r="K377" s="66"/>
      <c r="L377" s="66"/>
      <c r="M377" s="66"/>
      <c r="N377" s="66"/>
      <c r="O377" s="66"/>
      <c r="P377" s="66"/>
      <c r="Q377" s="66"/>
      <c r="R377" s="66"/>
      <c r="S377" s="66"/>
      <c r="T377" s="66"/>
      <c r="U377" s="66"/>
      <c r="V377" s="66"/>
      <c r="W377" s="66"/>
      <c r="X377" s="66"/>
      <c r="Y377" s="66"/>
      <c r="Z377" s="66"/>
    </row>
    <row r="378" spans="1:26" ht="21" x14ac:dyDescent="0.65">
      <c r="A378" s="66"/>
      <c r="B378" s="66"/>
      <c r="C378" s="66"/>
      <c r="D378" s="66"/>
      <c r="E378" s="66"/>
      <c r="F378" s="66"/>
      <c r="G378" s="66"/>
      <c r="H378" s="66"/>
      <c r="I378" s="66"/>
      <c r="J378" s="66"/>
      <c r="K378" s="66"/>
      <c r="L378" s="66"/>
      <c r="M378" s="66"/>
      <c r="N378" s="66"/>
      <c r="O378" s="66"/>
      <c r="P378" s="66"/>
      <c r="Q378" s="66"/>
      <c r="R378" s="66"/>
      <c r="S378" s="66"/>
      <c r="T378" s="66"/>
      <c r="U378" s="66"/>
      <c r="V378" s="66"/>
      <c r="W378" s="66"/>
      <c r="X378" s="66"/>
      <c r="Y378" s="66"/>
      <c r="Z378" s="66"/>
    </row>
    <row r="379" spans="1:26" ht="21" x14ac:dyDescent="0.65">
      <c r="A379" s="66"/>
      <c r="B379" s="66"/>
      <c r="C379" s="66"/>
      <c r="D379" s="66"/>
      <c r="E379" s="66"/>
      <c r="F379" s="66"/>
      <c r="G379" s="66"/>
      <c r="H379" s="66"/>
      <c r="I379" s="66"/>
      <c r="J379" s="66"/>
      <c r="K379" s="66"/>
      <c r="L379" s="66"/>
      <c r="M379" s="66"/>
      <c r="N379" s="66"/>
      <c r="O379" s="66"/>
      <c r="P379" s="66"/>
      <c r="Q379" s="66"/>
      <c r="R379" s="66"/>
      <c r="S379" s="66"/>
      <c r="T379" s="66"/>
      <c r="U379" s="66"/>
      <c r="V379" s="66"/>
      <c r="W379" s="66"/>
      <c r="X379" s="66"/>
      <c r="Y379" s="66"/>
      <c r="Z379" s="66"/>
    </row>
    <row r="380" spans="1:26" ht="21" x14ac:dyDescent="0.65">
      <c r="A380" s="66"/>
      <c r="B380" s="66"/>
      <c r="C380" s="66"/>
      <c r="D380" s="66"/>
      <c r="E380" s="66"/>
      <c r="F380" s="66"/>
      <c r="G380" s="66"/>
      <c r="H380" s="66"/>
      <c r="I380" s="66"/>
      <c r="J380" s="66"/>
      <c r="K380" s="66"/>
      <c r="L380" s="66"/>
      <c r="M380" s="66"/>
      <c r="N380" s="66"/>
      <c r="O380" s="66"/>
      <c r="P380" s="66"/>
      <c r="Q380" s="66"/>
      <c r="R380" s="66"/>
      <c r="S380" s="66"/>
      <c r="T380" s="66"/>
      <c r="U380" s="66"/>
      <c r="V380" s="66"/>
      <c r="W380" s="66"/>
      <c r="X380" s="66"/>
      <c r="Y380" s="66"/>
      <c r="Z380" s="66"/>
    </row>
    <row r="381" spans="1:26" ht="21" x14ac:dyDescent="0.65">
      <c r="A381" s="66"/>
      <c r="B381" s="66"/>
      <c r="C381" s="66"/>
      <c r="D381" s="66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66"/>
      <c r="P381" s="66"/>
      <c r="Q381" s="66"/>
      <c r="R381" s="66"/>
      <c r="S381" s="66"/>
      <c r="T381" s="66"/>
      <c r="U381" s="66"/>
      <c r="V381" s="66"/>
      <c r="W381" s="66"/>
      <c r="X381" s="66"/>
      <c r="Y381" s="66"/>
      <c r="Z381" s="66"/>
    </row>
    <row r="382" spans="1:26" ht="21" x14ac:dyDescent="0.65">
      <c r="A382" s="66"/>
      <c r="B382" s="66"/>
      <c r="C382" s="66"/>
      <c r="D382" s="66"/>
      <c r="E382" s="66"/>
      <c r="F382" s="66"/>
      <c r="G382" s="66"/>
      <c r="H382" s="66"/>
      <c r="I382" s="66"/>
      <c r="J382" s="66"/>
      <c r="K382" s="66"/>
      <c r="L382" s="66"/>
      <c r="M382" s="66"/>
      <c r="N382" s="66"/>
      <c r="O382" s="66"/>
      <c r="P382" s="66"/>
      <c r="Q382" s="66"/>
      <c r="R382" s="66"/>
      <c r="S382" s="66"/>
      <c r="T382" s="66"/>
      <c r="U382" s="66"/>
      <c r="V382" s="66"/>
      <c r="W382" s="66"/>
      <c r="X382" s="66"/>
      <c r="Y382" s="66"/>
      <c r="Z382" s="66"/>
    </row>
    <row r="383" spans="1:26" ht="21" x14ac:dyDescent="0.65">
      <c r="A383" s="66"/>
      <c r="B383" s="66"/>
      <c r="C383" s="66"/>
      <c r="D383" s="66"/>
      <c r="E383" s="66"/>
      <c r="F383" s="66"/>
      <c r="G383" s="66"/>
      <c r="H383" s="66"/>
      <c r="I383" s="66"/>
      <c r="J383" s="66"/>
      <c r="K383" s="66"/>
      <c r="L383" s="66"/>
      <c r="M383" s="66"/>
      <c r="N383" s="66"/>
      <c r="O383" s="66"/>
      <c r="P383" s="66"/>
      <c r="Q383" s="66"/>
      <c r="R383" s="66"/>
      <c r="S383" s="66"/>
      <c r="T383" s="66"/>
      <c r="U383" s="66"/>
      <c r="V383" s="66"/>
      <c r="W383" s="66"/>
      <c r="X383" s="66"/>
      <c r="Y383" s="66"/>
      <c r="Z383" s="66"/>
    </row>
    <row r="384" spans="1:26" ht="21" x14ac:dyDescent="0.65">
      <c r="A384" s="66"/>
      <c r="B384" s="66"/>
      <c r="C384" s="66"/>
      <c r="D384" s="66"/>
      <c r="E384" s="66"/>
      <c r="F384" s="66"/>
      <c r="G384" s="66"/>
      <c r="H384" s="66"/>
      <c r="I384" s="66"/>
      <c r="J384" s="66"/>
      <c r="K384" s="66"/>
      <c r="L384" s="66"/>
      <c r="M384" s="66"/>
      <c r="N384" s="66"/>
      <c r="O384" s="66"/>
      <c r="P384" s="66"/>
      <c r="Q384" s="66"/>
      <c r="R384" s="66"/>
      <c r="S384" s="66"/>
      <c r="T384" s="66"/>
      <c r="U384" s="66"/>
      <c r="V384" s="66"/>
      <c r="W384" s="66"/>
      <c r="X384" s="66"/>
      <c r="Y384" s="66"/>
      <c r="Z384" s="66"/>
    </row>
    <row r="385" spans="1:26" ht="21" x14ac:dyDescent="0.65">
      <c r="A385" s="66"/>
      <c r="B385" s="66"/>
      <c r="C385" s="66"/>
      <c r="D385" s="66"/>
      <c r="E385" s="66"/>
      <c r="F385" s="66"/>
      <c r="G385" s="66"/>
      <c r="H385" s="66"/>
      <c r="I385" s="66"/>
      <c r="J385" s="66"/>
      <c r="K385" s="66"/>
      <c r="L385" s="66"/>
      <c r="M385" s="66"/>
      <c r="N385" s="66"/>
      <c r="O385" s="66"/>
      <c r="P385" s="66"/>
      <c r="Q385" s="66"/>
      <c r="R385" s="66"/>
      <c r="S385" s="66"/>
      <c r="T385" s="66"/>
      <c r="U385" s="66"/>
      <c r="V385" s="66"/>
      <c r="W385" s="66"/>
      <c r="X385" s="66"/>
      <c r="Y385" s="66"/>
      <c r="Z385" s="66"/>
    </row>
    <row r="386" spans="1:26" ht="21" x14ac:dyDescent="0.65">
      <c r="A386" s="66"/>
      <c r="B386" s="66"/>
      <c r="C386" s="66"/>
      <c r="D386" s="66"/>
      <c r="E386" s="66"/>
      <c r="F386" s="66"/>
      <c r="G386" s="66"/>
      <c r="H386" s="66"/>
      <c r="I386" s="66"/>
      <c r="J386" s="66"/>
      <c r="K386" s="66"/>
      <c r="L386" s="66"/>
      <c r="M386" s="66"/>
      <c r="N386" s="66"/>
      <c r="O386" s="66"/>
      <c r="P386" s="66"/>
      <c r="Q386" s="66"/>
      <c r="R386" s="66"/>
      <c r="S386" s="66"/>
      <c r="T386" s="66"/>
      <c r="U386" s="66"/>
      <c r="V386" s="66"/>
      <c r="W386" s="66"/>
      <c r="X386" s="66"/>
      <c r="Y386" s="66"/>
      <c r="Z386" s="66"/>
    </row>
    <row r="387" spans="1:26" ht="21" x14ac:dyDescent="0.65">
      <c r="A387" s="66"/>
      <c r="B387" s="66"/>
      <c r="C387" s="66"/>
      <c r="D387" s="66"/>
      <c r="E387" s="66"/>
      <c r="F387" s="66"/>
      <c r="G387" s="66"/>
      <c r="H387" s="66"/>
      <c r="I387" s="66"/>
      <c r="J387" s="66"/>
      <c r="K387" s="66"/>
      <c r="L387" s="66"/>
      <c r="M387" s="66"/>
      <c r="N387" s="66"/>
      <c r="O387" s="66"/>
      <c r="P387" s="66"/>
      <c r="Q387" s="66"/>
      <c r="R387" s="66"/>
      <c r="S387" s="66"/>
      <c r="T387" s="66"/>
      <c r="U387" s="66"/>
      <c r="V387" s="66"/>
      <c r="W387" s="66"/>
      <c r="X387" s="66"/>
      <c r="Y387" s="66"/>
      <c r="Z387" s="66"/>
    </row>
    <row r="388" spans="1:26" ht="21" x14ac:dyDescent="0.65">
      <c r="A388" s="66"/>
      <c r="B388" s="66"/>
      <c r="C388" s="66"/>
      <c r="D388" s="66"/>
      <c r="E388" s="66"/>
      <c r="F388" s="66"/>
      <c r="G388" s="66"/>
      <c r="H388" s="66"/>
      <c r="I388" s="66"/>
      <c r="J388" s="66"/>
      <c r="K388" s="66"/>
      <c r="L388" s="66"/>
      <c r="M388" s="66"/>
      <c r="N388" s="66"/>
      <c r="O388" s="66"/>
      <c r="P388" s="66"/>
      <c r="Q388" s="66"/>
      <c r="R388" s="66"/>
      <c r="S388" s="66"/>
      <c r="T388" s="66"/>
      <c r="U388" s="66"/>
      <c r="V388" s="66"/>
      <c r="W388" s="66"/>
      <c r="X388" s="66"/>
      <c r="Y388" s="66"/>
      <c r="Z388" s="66"/>
    </row>
    <row r="389" spans="1:26" ht="21" x14ac:dyDescent="0.65">
      <c r="A389" s="66"/>
      <c r="B389" s="66"/>
      <c r="C389" s="66"/>
      <c r="D389" s="66"/>
      <c r="E389" s="66"/>
      <c r="F389" s="66"/>
      <c r="G389" s="66"/>
      <c r="H389" s="66"/>
      <c r="I389" s="66"/>
      <c r="J389" s="66"/>
      <c r="K389" s="66"/>
      <c r="L389" s="66"/>
      <c r="M389" s="66"/>
      <c r="N389" s="66"/>
      <c r="O389" s="66"/>
      <c r="P389" s="66"/>
      <c r="Q389" s="66"/>
      <c r="R389" s="66"/>
      <c r="S389" s="66"/>
      <c r="T389" s="66"/>
      <c r="U389" s="66"/>
      <c r="V389" s="66"/>
      <c r="W389" s="66"/>
      <c r="X389" s="66"/>
      <c r="Y389" s="66"/>
      <c r="Z389" s="66"/>
    </row>
    <row r="390" spans="1:26" ht="21" x14ac:dyDescent="0.65">
      <c r="A390" s="66"/>
      <c r="B390" s="66"/>
      <c r="C390" s="66"/>
      <c r="D390" s="66"/>
      <c r="E390" s="66"/>
      <c r="F390" s="66"/>
      <c r="G390" s="66"/>
      <c r="H390" s="66"/>
      <c r="I390" s="66"/>
      <c r="J390" s="66"/>
      <c r="K390" s="66"/>
      <c r="L390" s="66"/>
      <c r="M390" s="66"/>
      <c r="N390" s="66"/>
      <c r="O390" s="66"/>
      <c r="P390" s="66"/>
      <c r="Q390" s="66"/>
      <c r="R390" s="66"/>
      <c r="S390" s="66"/>
      <c r="T390" s="66"/>
      <c r="U390" s="66"/>
      <c r="V390" s="66"/>
      <c r="W390" s="66"/>
      <c r="X390" s="66"/>
      <c r="Y390" s="66"/>
      <c r="Z390" s="66"/>
    </row>
    <row r="391" spans="1:26" ht="21" x14ac:dyDescent="0.65">
      <c r="A391" s="66"/>
      <c r="B391" s="66"/>
      <c r="C391" s="66"/>
      <c r="D391" s="66"/>
      <c r="E391" s="66"/>
      <c r="F391" s="66"/>
      <c r="G391" s="66"/>
      <c r="H391" s="66"/>
      <c r="I391" s="66"/>
      <c r="J391" s="66"/>
      <c r="K391" s="66"/>
      <c r="L391" s="66"/>
      <c r="M391" s="66"/>
      <c r="N391" s="66"/>
      <c r="O391" s="66"/>
      <c r="P391" s="66"/>
      <c r="Q391" s="66"/>
      <c r="R391" s="66"/>
      <c r="S391" s="66"/>
      <c r="T391" s="66"/>
      <c r="U391" s="66"/>
      <c r="V391" s="66"/>
      <c r="W391" s="66"/>
      <c r="X391" s="66"/>
      <c r="Y391" s="66"/>
      <c r="Z391" s="66"/>
    </row>
    <row r="392" spans="1:26" ht="21" x14ac:dyDescent="0.65">
      <c r="A392" s="66"/>
      <c r="B392" s="66"/>
      <c r="C392" s="66"/>
      <c r="D392" s="66"/>
      <c r="E392" s="66"/>
      <c r="F392" s="66"/>
      <c r="G392" s="66"/>
      <c r="H392" s="66"/>
      <c r="I392" s="66"/>
      <c r="J392" s="66"/>
      <c r="K392" s="66"/>
      <c r="L392" s="66"/>
      <c r="M392" s="66"/>
      <c r="N392" s="66"/>
      <c r="O392" s="66"/>
      <c r="P392" s="66"/>
      <c r="Q392" s="66"/>
      <c r="R392" s="66"/>
      <c r="S392" s="66"/>
      <c r="T392" s="66"/>
      <c r="U392" s="66"/>
      <c r="V392" s="66"/>
      <c r="W392" s="66"/>
      <c r="X392" s="66"/>
      <c r="Y392" s="66"/>
      <c r="Z392" s="66"/>
    </row>
    <row r="393" spans="1:26" ht="21" x14ac:dyDescent="0.65">
      <c r="A393" s="66"/>
      <c r="B393" s="66"/>
      <c r="C393" s="66"/>
      <c r="D393" s="66"/>
      <c r="E393" s="66"/>
      <c r="F393" s="66"/>
      <c r="G393" s="66"/>
      <c r="H393" s="66"/>
      <c r="I393" s="66"/>
      <c r="J393" s="66"/>
      <c r="K393" s="66"/>
      <c r="L393" s="66"/>
      <c r="M393" s="66"/>
      <c r="N393" s="66"/>
      <c r="O393" s="66"/>
      <c r="P393" s="66"/>
      <c r="Q393" s="66"/>
      <c r="R393" s="66"/>
      <c r="S393" s="66"/>
      <c r="T393" s="66"/>
      <c r="U393" s="66"/>
      <c r="V393" s="66"/>
      <c r="W393" s="66"/>
      <c r="X393" s="66"/>
      <c r="Y393" s="66"/>
      <c r="Z393" s="66"/>
    </row>
    <row r="394" spans="1:26" ht="21" x14ac:dyDescent="0.65">
      <c r="A394" s="66"/>
      <c r="B394" s="66"/>
      <c r="C394" s="66"/>
      <c r="D394" s="66"/>
      <c r="E394" s="66"/>
      <c r="F394" s="66"/>
      <c r="G394" s="66"/>
      <c r="H394" s="66"/>
      <c r="I394" s="66"/>
      <c r="J394" s="66"/>
      <c r="K394" s="66"/>
      <c r="L394" s="66"/>
      <c r="M394" s="66"/>
      <c r="N394" s="66"/>
      <c r="O394" s="66"/>
      <c r="P394" s="66"/>
      <c r="Q394" s="66"/>
      <c r="R394" s="66"/>
      <c r="S394" s="66"/>
      <c r="T394" s="66"/>
      <c r="U394" s="66"/>
      <c r="V394" s="66"/>
      <c r="W394" s="66"/>
      <c r="X394" s="66"/>
      <c r="Y394" s="66"/>
      <c r="Z394" s="66"/>
    </row>
    <row r="395" spans="1:26" ht="21" x14ac:dyDescent="0.65">
      <c r="A395" s="66"/>
      <c r="B395" s="66"/>
      <c r="C395" s="66"/>
      <c r="D395" s="66"/>
      <c r="E395" s="66"/>
      <c r="F395" s="66"/>
      <c r="G395" s="66"/>
      <c r="H395" s="66"/>
      <c r="I395" s="66"/>
      <c r="J395" s="66"/>
      <c r="K395" s="66"/>
      <c r="L395" s="66"/>
      <c r="M395" s="66"/>
      <c r="N395" s="66"/>
      <c r="O395" s="66"/>
      <c r="P395" s="66"/>
      <c r="Q395" s="66"/>
      <c r="R395" s="66"/>
      <c r="S395" s="66"/>
      <c r="T395" s="66"/>
      <c r="U395" s="66"/>
      <c r="V395" s="66"/>
      <c r="W395" s="66"/>
      <c r="X395" s="66"/>
      <c r="Y395" s="66"/>
      <c r="Z395" s="66"/>
    </row>
    <row r="396" spans="1:26" ht="21" x14ac:dyDescent="0.65">
      <c r="A396" s="66"/>
      <c r="B396" s="66"/>
      <c r="C396" s="66"/>
      <c r="D396" s="66"/>
      <c r="E396" s="66"/>
      <c r="F396" s="66"/>
      <c r="G396" s="66"/>
      <c r="H396" s="66"/>
      <c r="I396" s="66"/>
      <c r="J396" s="66"/>
      <c r="K396" s="66"/>
      <c r="L396" s="66"/>
      <c r="M396" s="66"/>
      <c r="N396" s="66"/>
      <c r="O396" s="66"/>
      <c r="P396" s="66"/>
      <c r="Q396" s="66"/>
      <c r="R396" s="66"/>
      <c r="S396" s="66"/>
      <c r="T396" s="66"/>
      <c r="U396" s="66"/>
      <c r="V396" s="66"/>
      <c r="W396" s="66"/>
      <c r="X396" s="66"/>
      <c r="Y396" s="66"/>
      <c r="Z396" s="66"/>
    </row>
    <row r="397" spans="1:26" ht="21" x14ac:dyDescent="0.65">
      <c r="A397" s="66"/>
      <c r="B397" s="66"/>
      <c r="C397" s="66"/>
      <c r="D397" s="66"/>
      <c r="E397" s="66"/>
      <c r="F397" s="66"/>
      <c r="G397" s="66"/>
      <c r="H397" s="66"/>
      <c r="I397" s="66"/>
      <c r="J397" s="66"/>
      <c r="K397" s="66"/>
      <c r="L397" s="66"/>
      <c r="M397" s="66"/>
      <c r="N397" s="66"/>
      <c r="O397" s="66"/>
      <c r="P397" s="66"/>
      <c r="Q397" s="66"/>
      <c r="R397" s="66"/>
      <c r="S397" s="66"/>
      <c r="T397" s="66"/>
      <c r="U397" s="66"/>
      <c r="V397" s="66"/>
      <c r="W397" s="66"/>
      <c r="X397" s="66"/>
      <c r="Y397" s="66"/>
      <c r="Z397" s="66"/>
    </row>
    <row r="398" spans="1:26" ht="21" x14ac:dyDescent="0.65">
      <c r="A398" s="66"/>
      <c r="B398" s="66"/>
      <c r="C398" s="66"/>
      <c r="D398" s="66"/>
      <c r="E398" s="66"/>
      <c r="F398" s="66"/>
      <c r="G398" s="66"/>
      <c r="H398" s="66"/>
      <c r="I398" s="66"/>
      <c r="J398" s="66"/>
      <c r="K398" s="66"/>
      <c r="L398" s="66"/>
      <c r="M398" s="66"/>
      <c r="N398" s="66"/>
      <c r="O398" s="66"/>
      <c r="P398" s="66"/>
      <c r="Q398" s="66"/>
      <c r="R398" s="66"/>
      <c r="S398" s="66"/>
      <c r="T398" s="66"/>
      <c r="U398" s="66"/>
      <c r="V398" s="66"/>
      <c r="W398" s="66"/>
      <c r="X398" s="66"/>
      <c r="Y398" s="66"/>
      <c r="Z398" s="66"/>
    </row>
    <row r="399" spans="1:26" ht="21" x14ac:dyDescent="0.65">
      <c r="A399" s="66"/>
      <c r="B399" s="66"/>
      <c r="C399" s="66"/>
      <c r="D399" s="66"/>
      <c r="E399" s="66"/>
      <c r="F399" s="66"/>
      <c r="G399" s="66"/>
      <c r="H399" s="66"/>
      <c r="I399" s="66"/>
      <c r="J399" s="66"/>
      <c r="K399" s="66"/>
      <c r="L399" s="66"/>
      <c r="M399" s="66"/>
      <c r="N399" s="66"/>
      <c r="O399" s="66"/>
      <c r="P399" s="66"/>
      <c r="Q399" s="66"/>
      <c r="R399" s="66"/>
      <c r="S399" s="66"/>
      <c r="T399" s="66"/>
      <c r="U399" s="66"/>
      <c r="V399" s="66"/>
      <c r="W399" s="66"/>
      <c r="X399" s="66"/>
      <c r="Y399" s="66"/>
      <c r="Z399" s="66"/>
    </row>
    <row r="400" spans="1:26" ht="21" x14ac:dyDescent="0.65">
      <c r="A400" s="66"/>
      <c r="B400" s="66"/>
      <c r="C400" s="66"/>
      <c r="D400" s="66"/>
      <c r="E400" s="66"/>
      <c r="F400" s="66"/>
      <c r="G400" s="66"/>
      <c r="H400" s="66"/>
      <c r="I400" s="66"/>
      <c r="J400" s="66"/>
      <c r="K400" s="66"/>
      <c r="L400" s="66"/>
      <c r="M400" s="66"/>
      <c r="N400" s="66"/>
      <c r="O400" s="66"/>
      <c r="P400" s="66"/>
      <c r="Q400" s="66"/>
      <c r="R400" s="66"/>
      <c r="S400" s="66"/>
      <c r="T400" s="66"/>
      <c r="U400" s="66"/>
      <c r="V400" s="66"/>
      <c r="W400" s="66"/>
      <c r="X400" s="66"/>
      <c r="Y400" s="66"/>
      <c r="Z400" s="66"/>
    </row>
    <row r="401" spans="1:26" ht="21" x14ac:dyDescent="0.65">
      <c r="A401" s="66"/>
      <c r="B401" s="66"/>
      <c r="C401" s="66"/>
      <c r="D401" s="66"/>
      <c r="E401" s="66"/>
      <c r="F401" s="66"/>
      <c r="G401" s="66"/>
      <c r="H401" s="66"/>
      <c r="I401" s="66"/>
      <c r="J401" s="66"/>
      <c r="K401" s="66"/>
      <c r="L401" s="66"/>
      <c r="M401" s="66"/>
      <c r="N401" s="66"/>
      <c r="O401" s="66"/>
      <c r="P401" s="66"/>
      <c r="Q401" s="66"/>
      <c r="R401" s="66"/>
      <c r="S401" s="66"/>
      <c r="T401" s="66"/>
      <c r="U401" s="66"/>
      <c r="V401" s="66"/>
      <c r="W401" s="66"/>
      <c r="X401" s="66"/>
      <c r="Y401" s="66"/>
      <c r="Z401" s="66"/>
    </row>
    <row r="402" spans="1:26" ht="21" x14ac:dyDescent="0.65">
      <c r="A402" s="66"/>
      <c r="B402" s="66"/>
      <c r="C402" s="66"/>
      <c r="D402" s="66"/>
      <c r="E402" s="66"/>
      <c r="F402" s="66"/>
      <c r="G402" s="66"/>
      <c r="H402" s="66"/>
      <c r="I402" s="66"/>
      <c r="J402" s="66"/>
      <c r="K402" s="66"/>
      <c r="L402" s="66"/>
      <c r="M402" s="66"/>
      <c r="N402" s="66"/>
      <c r="O402" s="66"/>
      <c r="P402" s="66"/>
      <c r="Q402" s="66"/>
      <c r="R402" s="66"/>
      <c r="S402" s="66"/>
      <c r="T402" s="66"/>
      <c r="U402" s="66"/>
      <c r="V402" s="66"/>
      <c r="W402" s="66"/>
      <c r="X402" s="66"/>
      <c r="Y402" s="66"/>
      <c r="Z402" s="66"/>
    </row>
    <row r="403" spans="1:26" ht="21" x14ac:dyDescent="0.65">
      <c r="A403" s="66"/>
      <c r="B403" s="66"/>
      <c r="C403" s="66"/>
      <c r="D403" s="66"/>
      <c r="E403" s="66"/>
      <c r="F403" s="66"/>
      <c r="G403" s="66"/>
      <c r="H403" s="66"/>
      <c r="I403" s="66"/>
      <c r="J403" s="66"/>
      <c r="K403" s="66"/>
      <c r="L403" s="66"/>
      <c r="M403" s="66"/>
      <c r="N403" s="66"/>
      <c r="O403" s="66"/>
      <c r="P403" s="66"/>
      <c r="Q403" s="66"/>
      <c r="R403" s="66"/>
      <c r="S403" s="66"/>
      <c r="T403" s="66"/>
      <c r="U403" s="66"/>
      <c r="V403" s="66"/>
      <c r="W403" s="66"/>
      <c r="X403" s="66"/>
      <c r="Y403" s="66"/>
      <c r="Z403" s="66"/>
    </row>
    <row r="404" spans="1:26" ht="21" x14ac:dyDescent="0.65">
      <c r="A404" s="66"/>
      <c r="B404" s="66"/>
      <c r="C404" s="66"/>
      <c r="D404" s="66"/>
      <c r="E404" s="66"/>
      <c r="F404" s="66"/>
      <c r="G404" s="66"/>
      <c r="H404" s="66"/>
      <c r="I404" s="66"/>
      <c r="J404" s="66"/>
      <c r="K404" s="66"/>
      <c r="L404" s="66"/>
      <c r="M404" s="66"/>
      <c r="N404" s="66"/>
      <c r="O404" s="66"/>
      <c r="P404" s="66"/>
      <c r="Q404" s="66"/>
      <c r="R404" s="66"/>
      <c r="S404" s="66"/>
      <c r="T404" s="66"/>
      <c r="U404" s="66"/>
      <c r="V404" s="66"/>
      <c r="W404" s="66"/>
      <c r="X404" s="66"/>
      <c r="Y404" s="66"/>
      <c r="Z404" s="66"/>
    </row>
    <row r="405" spans="1:26" ht="21" x14ac:dyDescent="0.65">
      <c r="A405" s="66"/>
      <c r="B405" s="66"/>
      <c r="C405" s="66"/>
      <c r="D405" s="66"/>
      <c r="E405" s="66"/>
      <c r="F405" s="66"/>
      <c r="G405" s="66"/>
      <c r="H405" s="66"/>
      <c r="I405" s="66"/>
      <c r="J405" s="66"/>
      <c r="K405" s="66"/>
      <c r="L405" s="66"/>
      <c r="M405" s="66"/>
      <c r="N405" s="66"/>
      <c r="O405" s="66"/>
      <c r="P405" s="66"/>
      <c r="Q405" s="66"/>
      <c r="R405" s="66"/>
      <c r="S405" s="66"/>
      <c r="T405" s="66"/>
      <c r="U405" s="66"/>
      <c r="V405" s="66"/>
      <c r="W405" s="66"/>
      <c r="X405" s="66"/>
      <c r="Y405" s="66"/>
      <c r="Z405" s="66"/>
    </row>
    <row r="406" spans="1:26" ht="21" x14ac:dyDescent="0.65">
      <c r="A406" s="66"/>
      <c r="B406" s="66"/>
      <c r="C406" s="66"/>
      <c r="D406" s="66"/>
      <c r="E406" s="66"/>
      <c r="F406" s="66"/>
      <c r="G406" s="66"/>
      <c r="H406" s="66"/>
      <c r="I406" s="66"/>
      <c r="J406" s="66"/>
      <c r="K406" s="66"/>
      <c r="L406" s="66"/>
      <c r="M406" s="66"/>
      <c r="N406" s="66"/>
      <c r="O406" s="66"/>
      <c r="P406" s="66"/>
      <c r="Q406" s="66"/>
      <c r="R406" s="66"/>
      <c r="S406" s="66"/>
      <c r="T406" s="66"/>
      <c r="U406" s="66"/>
      <c r="V406" s="66"/>
      <c r="W406" s="66"/>
      <c r="X406" s="66"/>
      <c r="Y406" s="66"/>
      <c r="Z406" s="66"/>
    </row>
    <row r="407" spans="1:26" ht="21" x14ac:dyDescent="0.65">
      <c r="A407" s="66"/>
      <c r="B407" s="66"/>
      <c r="C407" s="66"/>
      <c r="D407" s="66"/>
      <c r="E407" s="66"/>
      <c r="F407" s="66"/>
      <c r="G407" s="66"/>
      <c r="H407" s="66"/>
      <c r="I407" s="66"/>
      <c r="J407" s="66"/>
      <c r="K407" s="66"/>
      <c r="L407" s="66"/>
      <c r="M407" s="66"/>
      <c r="N407" s="66"/>
      <c r="O407" s="66"/>
      <c r="P407" s="66"/>
      <c r="Q407" s="66"/>
      <c r="R407" s="66"/>
      <c r="S407" s="66"/>
      <c r="T407" s="66"/>
      <c r="U407" s="66"/>
      <c r="V407" s="66"/>
      <c r="W407" s="66"/>
      <c r="X407" s="66"/>
      <c r="Y407" s="66"/>
      <c r="Z407" s="66"/>
    </row>
    <row r="408" spans="1:26" ht="21" x14ac:dyDescent="0.65">
      <c r="A408" s="66"/>
      <c r="B408" s="66"/>
      <c r="C408" s="66"/>
      <c r="D408" s="66"/>
      <c r="E408" s="66"/>
      <c r="F408" s="66"/>
      <c r="G408" s="66"/>
      <c r="H408" s="66"/>
      <c r="I408" s="66"/>
      <c r="J408" s="66"/>
      <c r="K408" s="66"/>
      <c r="L408" s="66"/>
      <c r="M408" s="66"/>
      <c r="N408" s="66"/>
      <c r="O408" s="66"/>
      <c r="P408" s="66"/>
      <c r="Q408" s="66"/>
      <c r="R408" s="66"/>
      <c r="S408" s="66"/>
      <c r="T408" s="66"/>
      <c r="U408" s="66"/>
      <c r="V408" s="66"/>
      <c r="W408" s="66"/>
      <c r="X408" s="66"/>
      <c r="Y408" s="66"/>
      <c r="Z408" s="66"/>
    </row>
    <row r="409" spans="1:26" ht="21" x14ac:dyDescent="0.65">
      <c r="A409" s="66"/>
      <c r="B409" s="66"/>
      <c r="C409" s="66"/>
      <c r="D409" s="66"/>
      <c r="E409" s="66"/>
      <c r="F409" s="66"/>
      <c r="G409" s="66"/>
      <c r="H409" s="66"/>
      <c r="I409" s="66"/>
      <c r="J409" s="66"/>
      <c r="K409" s="66"/>
      <c r="L409" s="66"/>
      <c r="M409" s="66"/>
      <c r="N409" s="66"/>
      <c r="O409" s="66"/>
      <c r="P409" s="66"/>
      <c r="Q409" s="66"/>
      <c r="R409" s="66"/>
      <c r="S409" s="66"/>
      <c r="T409" s="66"/>
      <c r="U409" s="66"/>
      <c r="V409" s="66"/>
      <c r="W409" s="66"/>
      <c r="X409" s="66"/>
      <c r="Y409" s="66"/>
      <c r="Z409" s="66"/>
    </row>
    <row r="410" spans="1:26" ht="21" x14ac:dyDescent="0.65">
      <c r="A410" s="66"/>
      <c r="B410" s="66"/>
      <c r="C410" s="66"/>
      <c r="D410" s="66"/>
      <c r="E410" s="66"/>
      <c r="F410" s="66"/>
      <c r="G410" s="66"/>
      <c r="H410" s="66"/>
      <c r="I410" s="66"/>
      <c r="J410" s="66"/>
      <c r="K410" s="66"/>
      <c r="L410" s="66"/>
      <c r="M410" s="66"/>
      <c r="N410" s="66"/>
      <c r="O410" s="66"/>
      <c r="P410" s="66"/>
      <c r="Q410" s="66"/>
      <c r="R410" s="66"/>
      <c r="S410" s="66"/>
      <c r="T410" s="66"/>
      <c r="U410" s="66"/>
      <c r="V410" s="66"/>
      <c r="W410" s="66"/>
      <c r="X410" s="66"/>
      <c r="Y410" s="66"/>
      <c r="Z410" s="66"/>
    </row>
    <row r="411" spans="1:26" ht="21" x14ac:dyDescent="0.65">
      <c r="A411" s="66"/>
      <c r="B411" s="66"/>
      <c r="C411" s="66"/>
      <c r="D411" s="66"/>
      <c r="E411" s="66"/>
      <c r="F411" s="66"/>
      <c r="G411" s="66"/>
      <c r="H411" s="66"/>
      <c r="I411" s="66"/>
      <c r="J411" s="66"/>
      <c r="K411" s="66"/>
      <c r="L411" s="66"/>
      <c r="M411" s="66"/>
      <c r="N411" s="66"/>
      <c r="O411" s="66"/>
      <c r="P411" s="66"/>
      <c r="Q411" s="66"/>
      <c r="R411" s="66"/>
      <c r="S411" s="66"/>
      <c r="T411" s="66"/>
      <c r="U411" s="66"/>
      <c r="V411" s="66"/>
      <c r="W411" s="66"/>
      <c r="X411" s="66"/>
      <c r="Y411" s="66"/>
      <c r="Z411" s="66"/>
    </row>
    <row r="412" spans="1:26" ht="21" x14ac:dyDescent="0.65">
      <c r="A412" s="66"/>
      <c r="B412" s="66"/>
      <c r="C412" s="66"/>
      <c r="D412" s="66"/>
      <c r="E412" s="66"/>
      <c r="F412" s="66"/>
      <c r="G412" s="66"/>
      <c r="H412" s="66"/>
      <c r="I412" s="66"/>
      <c r="J412" s="66"/>
      <c r="K412" s="66"/>
      <c r="L412" s="66"/>
      <c r="M412" s="66"/>
      <c r="N412" s="66"/>
      <c r="O412" s="66"/>
      <c r="P412" s="66"/>
      <c r="Q412" s="66"/>
      <c r="R412" s="66"/>
      <c r="S412" s="66"/>
      <c r="T412" s="66"/>
      <c r="U412" s="66"/>
      <c r="V412" s="66"/>
      <c r="W412" s="66"/>
      <c r="X412" s="66"/>
      <c r="Y412" s="66"/>
      <c r="Z412" s="66"/>
    </row>
    <row r="413" spans="1:26" ht="21" x14ac:dyDescent="0.65">
      <c r="A413" s="66"/>
      <c r="B413" s="66"/>
      <c r="C413" s="66"/>
      <c r="D413" s="66"/>
      <c r="E413" s="66"/>
      <c r="F413" s="66"/>
      <c r="G413" s="66"/>
      <c r="H413" s="66"/>
      <c r="I413" s="66"/>
      <c r="J413" s="66"/>
      <c r="K413" s="66"/>
      <c r="L413" s="66"/>
      <c r="M413" s="66"/>
      <c r="N413" s="66"/>
      <c r="O413" s="66"/>
      <c r="P413" s="66"/>
      <c r="Q413" s="66"/>
      <c r="R413" s="66"/>
      <c r="S413" s="66"/>
      <c r="T413" s="66"/>
      <c r="U413" s="66"/>
      <c r="V413" s="66"/>
      <c r="W413" s="66"/>
      <c r="X413" s="66"/>
      <c r="Y413" s="66"/>
      <c r="Z413" s="66"/>
    </row>
    <row r="414" spans="1:26" ht="21" x14ac:dyDescent="0.65">
      <c r="A414" s="66"/>
      <c r="B414" s="66"/>
      <c r="C414" s="66"/>
      <c r="D414" s="66"/>
      <c r="E414" s="66"/>
      <c r="F414" s="66"/>
      <c r="G414" s="66"/>
      <c r="H414" s="66"/>
      <c r="I414" s="66"/>
      <c r="J414" s="66"/>
      <c r="K414" s="66"/>
      <c r="L414" s="66"/>
      <c r="M414" s="66"/>
      <c r="N414" s="66"/>
      <c r="O414" s="66"/>
      <c r="P414" s="66"/>
      <c r="Q414" s="66"/>
      <c r="R414" s="66"/>
      <c r="S414" s="66"/>
      <c r="T414" s="66"/>
      <c r="U414" s="66"/>
      <c r="V414" s="66"/>
      <c r="W414" s="66"/>
      <c r="X414" s="66"/>
      <c r="Y414" s="66"/>
      <c r="Z414" s="66"/>
    </row>
    <row r="415" spans="1:26" ht="21" x14ac:dyDescent="0.65">
      <c r="A415" s="66"/>
      <c r="B415" s="66"/>
      <c r="C415" s="66"/>
      <c r="D415" s="66"/>
      <c r="E415" s="66"/>
      <c r="F415" s="66"/>
      <c r="G415" s="66"/>
      <c r="H415" s="66"/>
      <c r="I415" s="66"/>
      <c r="J415" s="66"/>
      <c r="K415" s="66"/>
      <c r="L415" s="66"/>
      <c r="M415" s="66"/>
      <c r="N415" s="66"/>
      <c r="O415" s="66"/>
      <c r="P415" s="66"/>
      <c r="Q415" s="66"/>
      <c r="R415" s="66"/>
      <c r="S415" s="66"/>
      <c r="T415" s="66"/>
      <c r="U415" s="66"/>
      <c r="V415" s="66"/>
      <c r="W415" s="66"/>
      <c r="X415" s="66"/>
      <c r="Y415" s="66"/>
      <c r="Z415" s="66"/>
    </row>
    <row r="416" spans="1:26" ht="21" x14ac:dyDescent="0.65">
      <c r="A416" s="66"/>
      <c r="B416" s="66"/>
      <c r="C416" s="66"/>
      <c r="D416" s="66"/>
      <c r="E416" s="66"/>
      <c r="F416" s="66"/>
      <c r="G416" s="66"/>
      <c r="H416" s="66"/>
      <c r="I416" s="66"/>
      <c r="J416" s="66"/>
      <c r="K416" s="66"/>
      <c r="L416" s="66"/>
      <c r="M416" s="66"/>
      <c r="N416" s="66"/>
      <c r="O416" s="66"/>
      <c r="P416" s="66"/>
      <c r="Q416" s="66"/>
      <c r="R416" s="66"/>
      <c r="S416" s="66"/>
      <c r="T416" s="66"/>
      <c r="U416" s="66"/>
      <c r="V416" s="66"/>
      <c r="W416" s="66"/>
      <c r="X416" s="66"/>
      <c r="Y416" s="66"/>
      <c r="Z416" s="66"/>
    </row>
    <row r="417" spans="1:26" ht="21" x14ac:dyDescent="0.65">
      <c r="A417" s="66"/>
      <c r="B417" s="66"/>
      <c r="C417" s="66"/>
      <c r="D417" s="66"/>
      <c r="E417" s="66"/>
      <c r="F417" s="66"/>
      <c r="G417" s="66"/>
      <c r="H417" s="66"/>
      <c r="I417" s="66"/>
      <c r="J417" s="66"/>
      <c r="K417" s="66"/>
      <c r="L417" s="66"/>
      <c r="M417" s="66"/>
      <c r="N417" s="66"/>
      <c r="O417" s="66"/>
      <c r="P417" s="66"/>
      <c r="Q417" s="66"/>
      <c r="R417" s="66"/>
      <c r="S417" s="66"/>
      <c r="T417" s="66"/>
      <c r="U417" s="66"/>
      <c r="V417" s="66"/>
      <c r="W417" s="66"/>
      <c r="X417" s="66"/>
      <c r="Y417" s="66"/>
      <c r="Z417" s="66"/>
    </row>
    <row r="418" spans="1:26" ht="21" x14ac:dyDescent="0.65">
      <c r="A418" s="66"/>
      <c r="B418" s="66"/>
      <c r="C418" s="66"/>
      <c r="D418" s="66"/>
      <c r="E418" s="66"/>
      <c r="F418" s="66"/>
      <c r="G418" s="66"/>
      <c r="H418" s="66"/>
      <c r="I418" s="66"/>
      <c r="J418" s="66"/>
      <c r="K418" s="66"/>
      <c r="L418" s="66"/>
      <c r="M418" s="66"/>
      <c r="N418" s="66"/>
      <c r="O418" s="66"/>
      <c r="P418" s="66"/>
      <c r="Q418" s="66"/>
      <c r="R418" s="66"/>
      <c r="S418" s="66"/>
      <c r="T418" s="66"/>
      <c r="U418" s="66"/>
      <c r="V418" s="66"/>
      <c r="W418" s="66"/>
      <c r="X418" s="66"/>
      <c r="Y418" s="66"/>
      <c r="Z418" s="66"/>
    </row>
    <row r="419" spans="1:26" ht="21" x14ac:dyDescent="0.65">
      <c r="A419" s="66"/>
      <c r="B419" s="66"/>
      <c r="C419" s="66"/>
      <c r="D419" s="66"/>
      <c r="E419" s="66"/>
      <c r="F419" s="66"/>
      <c r="G419" s="66"/>
      <c r="H419" s="66"/>
      <c r="I419" s="66"/>
      <c r="J419" s="66"/>
      <c r="K419" s="66"/>
      <c r="L419" s="66"/>
      <c r="M419" s="66"/>
      <c r="N419" s="66"/>
      <c r="O419" s="66"/>
      <c r="P419" s="66"/>
      <c r="Q419" s="66"/>
      <c r="R419" s="66"/>
      <c r="S419" s="66"/>
      <c r="T419" s="66"/>
      <c r="U419" s="66"/>
      <c r="V419" s="66"/>
      <c r="W419" s="66"/>
      <c r="X419" s="66"/>
      <c r="Y419" s="66"/>
      <c r="Z419" s="66"/>
    </row>
    <row r="420" spans="1:26" ht="21" x14ac:dyDescent="0.65">
      <c r="A420" s="66"/>
      <c r="B420" s="66"/>
      <c r="C420" s="66"/>
      <c r="D420" s="66"/>
      <c r="E420" s="66"/>
      <c r="F420" s="66"/>
      <c r="G420" s="66"/>
      <c r="H420" s="66"/>
      <c r="I420" s="66"/>
      <c r="J420" s="66"/>
      <c r="K420" s="66"/>
      <c r="L420" s="66"/>
      <c r="M420" s="66"/>
      <c r="N420" s="66"/>
      <c r="O420" s="66"/>
      <c r="P420" s="66"/>
      <c r="Q420" s="66"/>
      <c r="R420" s="66"/>
      <c r="S420" s="66"/>
      <c r="T420" s="66"/>
      <c r="U420" s="66"/>
      <c r="V420" s="66"/>
      <c r="W420" s="66"/>
      <c r="X420" s="66"/>
      <c r="Y420" s="66"/>
      <c r="Z420" s="66"/>
    </row>
    <row r="421" spans="1:26" ht="21" x14ac:dyDescent="0.65">
      <c r="A421" s="66"/>
      <c r="B421" s="66"/>
      <c r="C421" s="66"/>
      <c r="D421" s="66"/>
      <c r="E421" s="66"/>
      <c r="F421" s="66"/>
      <c r="G421" s="66"/>
      <c r="H421" s="66"/>
      <c r="I421" s="66"/>
      <c r="J421" s="66"/>
      <c r="K421" s="66"/>
      <c r="L421" s="66"/>
      <c r="M421" s="66"/>
      <c r="N421" s="66"/>
      <c r="O421" s="66"/>
      <c r="P421" s="66"/>
      <c r="Q421" s="66"/>
      <c r="R421" s="66"/>
      <c r="S421" s="66"/>
      <c r="T421" s="66"/>
      <c r="U421" s="66"/>
      <c r="V421" s="66"/>
      <c r="W421" s="66"/>
      <c r="X421" s="66"/>
      <c r="Y421" s="66"/>
      <c r="Z421" s="66"/>
    </row>
    <row r="422" spans="1:26" ht="21" x14ac:dyDescent="0.65">
      <c r="A422" s="66"/>
      <c r="B422" s="66"/>
      <c r="C422" s="66"/>
      <c r="D422" s="66"/>
      <c r="E422" s="66"/>
      <c r="F422" s="66"/>
      <c r="G422" s="66"/>
      <c r="H422" s="66"/>
      <c r="I422" s="66"/>
      <c r="J422" s="66"/>
      <c r="K422" s="66"/>
      <c r="L422" s="66"/>
      <c r="M422" s="66"/>
      <c r="N422" s="66"/>
      <c r="O422" s="66"/>
      <c r="P422" s="66"/>
      <c r="Q422" s="66"/>
      <c r="R422" s="66"/>
      <c r="S422" s="66"/>
      <c r="T422" s="66"/>
      <c r="U422" s="66"/>
      <c r="V422" s="66"/>
      <c r="W422" s="66"/>
      <c r="X422" s="66"/>
      <c r="Y422" s="66"/>
      <c r="Z422" s="66"/>
    </row>
    <row r="423" spans="1:26" ht="21" x14ac:dyDescent="0.65">
      <c r="A423" s="66"/>
      <c r="B423" s="66"/>
      <c r="C423" s="66"/>
      <c r="D423" s="66"/>
      <c r="E423" s="66"/>
      <c r="F423" s="66"/>
      <c r="G423" s="66"/>
      <c r="H423" s="66"/>
      <c r="I423" s="66"/>
      <c r="J423" s="66"/>
      <c r="K423" s="66"/>
      <c r="L423" s="66"/>
      <c r="M423" s="66"/>
      <c r="N423" s="66"/>
      <c r="O423" s="66"/>
      <c r="P423" s="66"/>
      <c r="Q423" s="66"/>
      <c r="R423" s="66"/>
      <c r="S423" s="66"/>
      <c r="T423" s="66"/>
      <c r="U423" s="66"/>
      <c r="V423" s="66"/>
      <c r="W423" s="66"/>
      <c r="X423" s="66"/>
      <c r="Y423" s="66"/>
      <c r="Z423" s="66"/>
    </row>
    <row r="424" spans="1:26" ht="21" x14ac:dyDescent="0.65">
      <c r="A424" s="66"/>
      <c r="B424" s="66"/>
      <c r="C424" s="66"/>
      <c r="D424" s="66"/>
      <c r="E424" s="66"/>
      <c r="F424" s="66"/>
      <c r="G424" s="66"/>
      <c r="H424" s="66"/>
      <c r="I424" s="66"/>
      <c r="J424" s="66"/>
      <c r="K424" s="66"/>
      <c r="L424" s="66"/>
      <c r="M424" s="66"/>
      <c r="N424" s="66"/>
      <c r="O424" s="66"/>
      <c r="P424" s="66"/>
      <c r="Q424" s="66"/>
      <c r="R424" s="66"/>
      <c r="S424" s="66"/>
      <c r="T424" s="66"/>
      <c r="U424" s="66"/>
      <c r="V424" s="66"/>
      <c r="W424" s="66"/>
      <c r="X424" s="66"/>
      <c r="Y424" s="66"/>
      <c r="Z424" s="66"/>
    </row>
    <row r="425" spans="1:26" ht="21" x14ac:dyDescent="0.65">
      <c r="A425" s="66"/>
      <c r="B425" s="66"/>
      <c r="C425" s="66"/>
      <c r="D425" s="66"/>
      <c r="E425" s="66"/>
      <c r="F425" s="66"/>
      <c r="G425" s="66"/>
      <c r="H425" s="66"/>
      <c r="I425" s="66"/>
      <c r="J425" s="66"/>
      <c r="K425" s="66"/>
      <c r="L425" s="66"/>
      <c r="M425" s="66"/>
      <c r="N425" s="66"/>
      <c r="O425" s="66"/>
      <c r="P425" s="66"/>
      <c r="Q425" s="66"/>
      <c r="R425" s="66"/>
      <c r="S425" s="66"/>
      <c r="T425" s="66"/>
      <c r="U425" s="66"/>
      <c r="V425" s="66"/>
      <c r="W425" s="66"/>
      <c r="X425" s="66"/>
      <c r="Y425" s="66"/>
      <c r="Z425" s="66"/>
    </row>
    <row r="426" spans="1:26" ht="21" x14ac:dyDescent="0.65">
      <c r="A426" s="66"/>
      <c r="B426" s="66"/>
      <c r="C426" s="66"/>
      <c r="D426" s="66"/>
      <c r="E426" s="66"/>
      <c r="F426" s="66"/>
      <c r="G426" s="66"/>
      <c r="H426" s="66"/>
      <c r="I426" s="66"/>
      <c r="J426" s="66"/>
      <c r="K426" s="66"/>
      <c r="L426" s="66"/>
      <c r="M426" s="66"/>
      <c r="N426" s="66"/>
      <c r="O426" s="66"/>
      <c r="P426" s="66"/>
      <c r="Q426" s="66"/>
      <c r="R426" s="66"/>
      <c r="S426" s="66"/>
      <c r="T426" s="66"/>
      <c r="U426" s="66"/>
      <c r="V426" s="66"/>
      <c r="W426" s="66"/>
      <c r="X426" s="66"/>
      <c r="Y426" s="66"/>
      <c r="Z426" s="66"/>
    </row>
    <row r="427" spans="1:26" ht="21" x14ac:dyDescent="0.65">
      <c r="A427" s="66"/>
      <c r="B427" s="66"/>
      <c r="C427" s="66"/>
      <c r="D427" s="66"/>
      <c r="E427" s="66"/>
      <c r="F427" s="66"/>
      <c r="G427" s="66"/>
      <c r="H427" s="66"/>
      <c r="I427" s="66"/>
      <c r="J427" s="66"/>
      <c r="K427" s="66"/>
      <c r="L427" s="66"/>
      <c r="M427" s="66"/>
      <c r="N427" s="66"/>
      <c r="O427" s="66"/>
      <c r="P427" s="66"/>
      <c r="Q427" s="66"/>
      <c r="R427" s="66"/>
      <c r="S427" s="66"/>
      <c r="T427" s="66"/>
      <c r="U427" s="66"/>
      <c r="V427" s="66"/>
      <c r="W427" s="66"/>
      <c r="X427" s="66"/>
      <c r="Y427" s="66"/>
      <c r="Z427" s="66"/>
    </row>
    <row r="428" spans="1:26" ht="21" x14ac:dyDescent="0.65">
      <c r="A428" s="66"/>
      <c r="B428" s="66"/>
      <c r="C428" s="66"/>
      <c r="D428" s="66"/>
      <c r="E428" s="66"/>
      <c r="F428" s="66"/>
      <c r="G428" s="66"/>
      <c r="H428" s="66"/>
      <c r="I428" s="66"/>
      <c r="J428" s="66"/>
      <c r="K428" s="66"/>
      <c r="L428" s="66"/>
      <c r="M428" s="66"/>
      <c r="N428" s="66"/>
      <c r="O428" s="66"/>
      <c r="P428" s="66"/>
      <c r="Q428" s="66"/>
      <c r="R428" s="66"/>
      <c r="S428" s="66"/>
      <c r="T428" s="66"/>
      <c r="U428" s="66"/>
      <c r="V428" s="66"/>
      <c r="W428" s="66"/>
      <c r="X428" s="66"/>
      <c r="Y428" s="66"/>
      <c r="Z428" s="66"/>
    </row>
    <row r="429" spans="1:26" ht="21" x14ac:dyDescent="0.65">
      <c r="A429" s="66"/>
      <c r="B429" s="66"/>
      <c r="C429" s="66"/>
      <c r="D429" s="66"/>
      <c r="E429" s="66"/>
      <c r="F429" s="66"/>
      <c r="G429" s="66"/>
      <c r="H429" s="66"/>
      <c r="I429" s="66"/>
      <c r="J429" s="66"/>
      <c r="K429" s="66"/>
      <c r="L429" s="66"/>
      <c r="M429" s="66"/>
      <c r="N429" s="66"/>
      <c r="O429" s="66"/>
      <c r="P429" s="66"/>
      <c r="Q429" s="66"/>
      <c r="R429" s="66"/>
      <c r="S429" s="66"/>
      <c r="T429" s="66"/>
      <c r="U429" s="66"/>
      <c r="V429" s="66"/>
      <c r="W429" s="66"/>
      <c r="X429" s="66"/>
      <c r="Y429" s="66"/>
      <c r="Z429" s="66"/>
    </row>
    <row r="430" spans="1:26" ht="21" x14ac:dyDescent="0.65">
      <c r="A430" s="66"/>
      <c r="B430" s="66"/>
      <c r="C430" s="66"/>
      <c r="D430" s="66"/>
      <c r="E430" s="66"/>
      <c r="F430" s="66"/>
      <c r="G430" s="66"/>
      <c r="H430" s="66"/>
      <c r="I430" s="66"/>
      <c r="J430" s="66"/>
      <c r="K430" s="66"/>
      <c r="L430" s="66"/>
      <c r="M430" s="66"/>
      <c r="N430" s="66"/>
      <c r="O430" s="66"/>
      <c r="P430" s="66"/>
      <c r="Q430" s="66"/>
      <c r="R430" s="66"/>
      <c r="S430" s="66"/>
      <c r="T430" s="66"/>
      <c r="U430" s="66"/>
      <c r="V430" s="66"/>
      <c r="W430" s="66"/>
      <c r="X430" s="66"/>
      <c r="Y430" s="66"/>
      <c r="Z430" s="66"/>
    </row>
    <row r="431" spans="1:26" ht="21" x14ac:dyDescent="0.65">
      <c r="A431" s="66"/>
      <c r="B431" s="66"/>
      <c r="C431" s="66"/>
      <c r="D431" s="66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66"/>
      <c r="P431" s="66"/>
      <c r="Q431" s="66"/>
      <c r="R431" s="66"/>
      <c r="S431" s="66"/>
      <c r="T431" s="66"/>
      <c r="U431" s="66"/>
      <c r="V431" s="66"/>
      <c r="W431" s="66"/>
      <c r="X431" s="66"/>
      <c r="Y431" s="66"/>
      <c r="Z431" s="66"/>
    </row>
    <row r="432" spans="1:26" ht="21" x14ac:dyDescent="0.65">
      <c r="A432" s="66"/>
      <c r="B432" s="66"/>
      <c r="C432" s="66"/>
      <c r="D432" s="66"/>
      <c r="E432" s="66"/>
      <c r="F432" s="66"/>
      <c r="G432" s="66"/>
      <c r="H432" s="66"/>
      <c r="I432" s="66"/>
      <c r="J432" s="66"/>
      <c r="K432" s="66"/>
      <c r="L432" s="66"/>
      <c r="M432" s="66"/>
      <c r="N432" s="66"/>
      <c r="O432" s="66"/>
      <c r="P432" s="66"/>
      <c r="Q432" s="66"/>
      <c r="R432" s="66"/>
      <c r="S432" s="66"/>
      <c r="T432" s="66"/>
      <c r="U432" s="66"/>
      <c r="V432" s="66"/>
      <c r="W432" s="66"/>
      <c r="X432" s="66"/>
      <c r="Y432" s="66"/>
      <c r="Z432" s="66"/>
    </row>
    <row r="433" spans="1:26" ht="21" x14ac:dyDescent="0.65">
      <c r="A433" s="66"/>
      <c r="B433" s="66"/>
      <c r="C433" s="66"/>
      <c r="D433" s="66"/>
      <c r="E433" s="66"/>
      <c r="F433" s="66"/>
      <c r="G433" s="66"/>
      <c r="H433" s="66"/>
      <c r="I433" s="66"/>
      <c r="J433" s="66"/>
      <c r="K433" s="66"/>
      <c r="L433" s="66"/>
      <c r="M433" s="66"/>
      <c r="N433" s="66"/>
      <c r="O433" s="66"/>
      <c r="P433" s="66"/>
      <c r="Q433" s="66"/>
      <c r="R433" s="66"/>
      <c r="S433" s="66"/>
      <c r="T433" s="66"/>
      <c r="U433" s="66"/>
      <c r="V433" s="66"/>
      <c r="W433" s="66"/>
      <c r="X433" s="66"/>
      <c r="Y433" s="66"/>
      <c r="Z433" s="66"/>
    </row>
    <row r="434" spans="1:26" ht="21" x14ac:dyDescent="0.65">
      <c r="A434" s="66"/>
      <c r="B434" s="66"/>
      <c r="C434" s="66"/>
      <c r="D434" s="66"/>
      <c r="E434" s="66"/>
      <c r="F434" s="66"/>
      <c r="G434" s="66"/>
      <c r="H434" s="66"/>
      <c r="I434" s="66"/>
      <c r="J434" s="66"/>
      <c r="K434" s="66"/>
      <c r="L434" s="66"/>
      <c r="M434" s="66"/>
      <c r="N434" s="66"/>
      <c r="O434" s="66"/>
      <c r="P434" s="66"/>
      <c r="Q434" s="66"/>
      <c r="R434" s="66"/>
      <c r="S434" s="66"/>
      <c r="T434" s="66"/>
      <c r="U434" s="66"/>
      <c r="V434" s="66"/>
      <c r="W434" s="66"/>
      <c r="X434" s="66"/>
      <c r="Y434" s="66"/>
      <c r="Z434" s="66"/>
    </row>
    <row r="435" spans="1:26" ht="21" x14ac:dyDescent="0.65">
      <c r="A435" s="66"/>
      <c r="B435" s="66"/>
      <c r="C435" s="66"/>
      <c r="D435" s="66"/>
      <c r="E435" s="66"/>
      <c r="F435" s="66"/>
      <c r="G435" s="66"/>
      <c r="H435" s="66"/>
      <c r="I435" s="66"/>
      <c r="J435" s="66"/>
      <c r="K435" s="66"/>
      <c r="L435" s="66"/>
      <c r="M435" s="66"/>
      <c r="N435" s="66"/>
      <c r="O435" s="66"/>
      <c r="P435" s="66"/>
      <c r="Q435" s="66"/>
      <c r="R435" s="66"/>
      <c r="S435" s="66"/>
      <c r="T435" s="66"/>
      <c r="U435" s="66"/>
      <c r="V435" s="66"/>
      <c r="W435" s="66"/>
      <c r="X435" s="66"/>
      <c r="Y435" s="66"/>
      <c r="Z435" s="66"/>
    </row>
    <row r="436" spans="1:26" ht="21" x14ac:dyDescent="0.65">
      <c r="A436" s="66"/>
      <c r="B436" s="66"/>
      <c r="C436" s="66"/>
      <c r="D436" s="66"/>
      <c r="E436" s="66"/>
      <c r="F436" s="66"/>
      <c r="G436" s="66"/>
      <c r="H436" s="66"/>
      <c r="I436" s="66"/>
      <c r="J436" s="66"/>
      <c r="K436" s="66"/>
      <c r="L436" s="66"/>
      <c r="M436" s="66"/>
      <c r="N436" s="66"/>
      <c r="O436" s="66"/>
      <c r="P436" s="66"/>
      <c r="Q436" s="66"/>
      <c r="R436" s="66"/>
      <c r="S436" s="66"/>
      <c r="T436" s="66"/>
      <c r="U436" s="66"/>
      <c r="V436" s="66"/>
      <c r="W436" s="66"/>
      <c r="X436" s="66"/>
      <c r="Y436" s="66"/>
      <c r="Z436" s="66"/>
    </row>
    <row r="437" spans="1:26" ht="21" x14ac:dyDescent="0.65">
      <c r="A437" s="66"/>
      <c r="B437" s="66"/>
      <c r="C437" s="66"/>
      <c r="D437" s="66"/>
      <c r="E437" s="66"/>
      <c r="F437" s="66"/>
      <c r="G437" s="66"/>
      <c r="H437" s="66"/>
      <c r="I437" s="66"/>
      <c r="J437" s="66"/>
      <c r="K437" s="66"/>
      <c r="L437" s="66"/>
      <c r="M437" s="66"/>
      <c r="N437" s="66"/>
      <c r="O437" s="66"/>
      <c r="P437" s="66"/>
      <c r="Q437" s="66"/>
      <c r="R437" s="66"/>
      <c r="S437" s="66"/>
      <c r="T437" s="66"/>
      <c r="U437" s="66"/>
      <c r="V437" s="66"/>
      <c r="W437" s="66"/>
      <c r="X437" s="66"/>
      <c r="Y437" s="66"/>
      <c r="Z437" s="66"/>
    </row>
    <row r="438" spans="1:26" ht="21" x14ac:dyDescent="0.65">
      <c r="A438" s="66"/>
      <c r="B438" s="66"/>
      <c r="C438" s="66"/>
      <c r="D438" s="66"/>
      <c r="E438" s="66"/>
      <c r="F438" s="66"/>
      <c r="G438" s="66"/>
      <c r="H438" s="66"/>
      <c r="I438" s="66"/>
      <c r="J438" s="66"/>
      <c r="K438" s="66"/>
      <c r="L438" s="66"/>
      <c r="M438" s="66"/>
      <c r="N438" s="66"/>
      <c r="O438" s="66"/>
      <c r="P438" s="66"/>
      <c r="Q438" s="66"/>
      <c r="R438" s="66"/>
      <c r="S438" s="66"/>
      <c r="T438" s="66"/>
      <c r="U438" s="66"/>
      <c r="V438" s="66"/>
      <c r="W438" s="66"/>
      <c r="X438" s="66"/>
      <c r="Y438" s="66"/>
      <c r="Z438" s="66"/>
    </row>
    <row r="439" spans="1:26" ht="21" x14ac:dyDescent="0.65">
      <c r="A439" s="66"/>
      <c r="B439" s="66"/>
      <c r="C439" s="66"/>
      <c r="D439" s="66"/>
      <c r="E439" s="66"/>
      <c r="F439" s="66"/>
      <c r="G439" s="66"/>
      <c r="H439" s="66"/>
      <c r="I439" s="66"/>
      <c r="J439" s="66"/>
      <c r="K439" s="66"/>
      <c r="L439" s="66"/>
      <c r="M439" s="66"/>
      <c r="N439" s="66"/>
      <c r="O439" s="66"/>
      <c r="P439" s="66"/>
      <c r="Q439" s="66"/>
      <c r="R439" s="66"/>
      <c r="S439" s="66"/>
      <c r="T439" s="66"/>
      <c r="U439" s="66"/>
      <c r="V439" s="66"/>
      <c r="W439" s="66"/>
      <c r="X439" s="66"/>
      <c r="Y439" s="66"/>
      <c r="Z439" s="66"/>
    </row>
    <row r="440" spans="1:26" ht="21" x14ac:dyDescent="0.65">
      <c r="A440" s="66"/>
      <c r="B440" s="66"/>
      <c r="C440" s="66"/>
      <c r="D440" s="66"/>
      <c r="E440" s="66"/>
      <c r="F440" s="66"/>
      <c r="G440" s="66"/>
      <c r="H440" s="66"/>
      <c r="I440" s="66"/>
      <c r="J440" s="66"/>
      <c r="K440" s="66"/>
      <c r="L440" s="66"/>
      <c r="M440" s="66"/>
      <c r="N440" s="66"/>
      <c r="O440" s="66"/>
      <c r="P440" s="66"/>
      <c r="Q440" s="66"/>
      <c r="R440" s="66"/>
      <c r="S440" s="66"/>
      <c r="T440" s="66"/>
      <c r="U440" s="66"/>
      <c r="V440" s="66"/>
      <c r="W440" s="66"/>
      <c r="X440" s="66"/>
      <c r="Y440" s="66"/>
      <c r="Z440" s="66"/>
    </row>
    <row r="441" spans="1:26" ht="21" x14ac:dyDescent="0.65">
      <c r="A441" s="66"/>
      <c r="B441" s="66"/>
      <c r="C441" s="66"/>
      <c r="D441" s="66"/>
      <c r="E441" s="66"/>
      <c r="F441" s="66"/>
      <c r="G441" s="66"/>
      <c r="H441" s="66"/>
      <c r="I441" s="66"/>
      <c r="J441" s="66"/>
      <c r="K441" s="66"/>
      <c r="L441" s="66"/>
      <c r="M441" s="66"/>
      <c r="N441" s="66"/>
      <c r="O441" s="66"/>
      <c r="P441" s="66"/>
      <c r="Q441" s="66"/>
      <c r="R441" s="66"/>
      <c r="S441" s="66"/>
      <c r="T441" s="66"/>
      <c r="U441" s="66"/>
      <c r="V441" s="66"/>
      <c r="W441" s="66"/>
      <c r="X441" s="66"/>
      <c r="Y441" s="66"/>
      <c r="Z441" s="66"/>
    </row>
    <row r="442" spans="1:26" ht="21" x14ac:dyDescent="0.65">
      <c r="A442" s="66"/>
      <c r="B442" s="66"/>
      <c r="C442" s="66"/>
      <c r="D442" s="66"/>
      <c r="E442" s="66"/>
      <c r="F442" s="66"/>
      <c r="G442" s="66"/>
      <c r="H442" s="66"/>
      <c r="I442" s="66"/>
      <c r="J442" s="66"/>
      <c r="K442" s="66"/>
      <c r="L442" s="66"/>
      <c r="M442" s="66"/>
      <c r="N442" s="66"/>
      <c r="O442" s="66"/>
      <c r="P442" s="66"/>
      <c r="Q442" s="66"/>
      <c r="R442" s="66"/>
      <c r="S442" s="66"/>
      <c r="T442" s="66"/>
      <c r="U442" s="66"/>
      <c r="V442" s="66"/>
      <c r="W442" s="66"/>
      <c r="X442" s="66"/>
      <c r="Y442" s="66"/>
      <c r="Z442" s="66"/>
    </row>
    <row r="443" spans="1:26" ht="21" x14ac:dyDescent="0.65">
      <c r="A443" s="66"/>
      <c r="B443" s="66"/>
      <c r="C443" s="66"/>
      <c r="D443" s="66"/>
      <c r="E443" s="66"/>
      <c r="F443" s="66"/>
      <c r="G443" s="66"/>
      <c r="H443" s="66"/>
      <c r="I443" s="66"/>
      <c r="J443" s="66"/>
      <c r="K443" s="66"/>
      <c r="L443" s="66"/>
      <c r="M443" s="66"/>
      <c r="N443" s="66"/>
      <c r="O443" s="66"/>
      <c r="P443" s="66"/>
      <c r="Q443" s="66"/>
      <c r="R443" s="66"/>
      <c r="S443" s="66"/>
      <c r="T443" s="66"/>
      <c r="U443" s="66"/>
      <c r="V443" s="66"/>
      <c r="W443" s="66"/>
      <c r="X443" s="66"/>
      <c r="Y443" s="66"/>
      <c r="Z443" s="66"/>
    </row>
    <row r="444" spans="1:26" ht="21" x14ac:dyDescent="0.65">
      <c r="A444" s="66"/>
      <c r="B444" s="66"/>
      <c r="C444" s="66"/>
      <c r="D444" s="66"/>
      <c r="E444" s="66"/>
      <c r="F444" s="66"/>
      <c r="G444" s="66"/>
      <c r="H444" s="66"/>
      <c r="I444" s="66"/>
      <c r="J444" s="66"/>
      <c r="K444" s="66"/>
      <c r="L444" s="66"/>
      <c r="M444" s="66"/>
      <c r="N444" s="66"/>
      <c r="O444" s="66"/>
      <c r="P444" s="66"/>
      <c r="Q444" s="66"/>
      <c r="R444" s="66"/>
      <c r="S444" s="66"/>
      <c r="T444" s="66"/>
      <c r="U444" s="66"/>
      <c r="V444" s="66"/>
      <c r="W444" s="66"/>
      <c r="X444" s="66"/>
      <c r="Y444" s="66"/>
      <c r="Z444" s="66"/>
    </row>
    <row r="445" spans="1:26" ht="21" x14ac:dyDescent="0.65">
      <c r="A445" s="66"/>
      <c r="B445" s="66"/>
      <c r="C445" s="66"/>
      <c r="D445" s="66"/>
      <c r="E445" s="66"/>
      <c r="F445" s="66"/>
      <c r="G445" s="66"/>
      <c r="H445" s="66"/>
      <c r="I445" s="66"/>
      <c r="J445" s="66"/>
      <c r="K445" s="66"/>
      <c r="L445" s="66"/>
      <c r="M445" s="66"/>
      <c r="N445" s="66"/>
      <c r="O445" s="66"/>
      <c r="P445" s="66"/>
      <c r="Q445" s="66"/>
      <c r="R445" s="66"/>
      <c r="S445" s="66"/>
      <c r="T445" s="66"/>
      <c r="U445" s="66"/>
      <c r="V445" s="66"/>
      <c r="W445" s="66"/>
      <c r="X445" s="66"/>
      <c r="Y445" s="66"/>
      <c r="Z445" s="66"/>
    </row>
    <row r="446" spans="1:26" ht="21" x14ac:dyDescent="0.65">
      <c r="A446" s="66"/>
      <c r="B446" s="66"/>
      <c r="C446" s="66"/>
      <c r="D446" s="66"/>
      <c r="E446" s="66"/>
      <c r="F446" s="66"/>
      <c r="G446" s="66"/>
      <c r="H446" s="66"/>
      <c r="I446" s="66"/>
      <c r="J446" s="66"/>
      <c r="K446" s="66"/>
      <c r="L446" s="66"/>
      <c r="M446" s="66"/>
      <c r="N446" s="66"/>
      <c r="O446" s="66"/>
      <c r="P446" s="66"/>
      <c r="Q446" s="66"/>
      <c r="R446" s="66"/>
      <c r="S446" s="66"/>
      <c r="T446" s="66"/>
      <c r="U446" s="66"/>
      <c r="V446" s="66"/>
      <c r="W446" s="66"/>
      <c r="X446" s="66"/>
      <c r="Y446" s="66"/>
      <c r="Z446" s="66"/>
    </row>
    <row r="447" spans="1:26" ht="21" x14ac:dyDescent="0.65">
      <c r="A447" s="66"/>
      <c r="B447" s="66"/>
      <c r="C447" s="66"/>
      <c r="D447" s="66"/>
      <c r="E447" s="66"/>
      <c r="F447" s="66"/>
      <c r="G447" s="66"/>
      <c r="H447" s="66"/>
      <c r="I447" s="66"/>
      <c r="J447" s="66"/>
      <c r="K447" s="66"/>
      <c r="L447" s="66"/>
      <c r="M447" s="66"/>
      <c r="N447" s="66"/>
      <c r="O447" s="66"/>
      <c r="P447" s="66"/>
      <c r="Q447" s="66"/>
      <c r="R447" s="66"/>
      <c r="S447" s="66"/>
      <c r="T447" s="66"/>
      <c r="U447" s="66"/>
      <c r="V447" s="66"/>
      <c r="W447" s="66"/>
      <c r="X447" s="66"/>
      <c r="Y447" s="66"/>
      <c r="Z447" s="66"/>
    </row>
    <row r="448" spans="1:26" ht="21" x14ac:dyDescent="0.65">
      <c r="A448" s="66"/>
      <c r="B448" s="66"/>
      <c r="C448" s="66"/>
      <c r="D448" s="66"/>
      <c r="E448" s="66"/>
      <c r="F448" s="66"/>
      <c r="G448" s="66"/>
      <c r="H448" s="66"/>
      <c r="I448" s="66"/>
      <c r="J448" s="66"/>
      <c r="K448" s="66"/>
      <c r="L448" s="66"/>
      <c r="M448" s="66"/>
      <c r="N448" s="66"/>
      <c r="O448" s="66"/>
      <c r="P448" s="66"/>
      <c r="Q448" s="66"/>
      <c r="R448" s="66"/>
      <c r="S448" s="66"/>
      <c r="T448" s="66"/>
      <c r="U448" s="66"/>
      <c r="V448" s="66"/>
      <c r="W448" s="66"/>
      <c r="X448" s="66"/>
      <c r="Y448" s="66"/>
      <c r="Z448" s="66"/>
    </row>
    <row r="449" spans="1:26" ht="21" x14ac:dyDescent="0.65">
      <c r="A449" s="66"/>
      <c r="B449" s="66"/>
      <c r="C449" s="66"/>
      <c r="D449" s="66"/>
      <c r="E449" s="66"/>
      <c r="F449" s="66"/>
      <c r="G449" s="66"/>
      <c r="H449" s="66"/>
      <c r="I449" s="66"/>
      <c r="J449" s="66"/>
      <c r="K449" s="66"/>
      <c r="L449" s="66"/>
      <c r="M449" s="66"/>
      <c r="N449" s="66"/>
      <c r="O449" s="66"/>
      <c r="P449" s="66"/>
      <c r="Q449" s="66"/>
      <c r="R449" s="66"/>
      <c r="S449" s="66"/>
      <c r="T449" s="66"/>
      <c r="U449" s="66"/>
      <c r="V449" s="66"/>
      <c r="W449" s="66"/>
      <c r="X449" s="66"/>
      <c r="Y449" s="66"/>
      <c r="Z449" s="66"/>
    </row>
    <row r="450" spans="1:26" ht="21" x14ac:dyDescent="0.65">
      <c r="A450" s="66"/>
      <c r="B450" s="66"/>
      <c r="C450" s="66"/>
      <c r="D450" s="66"/>
      <c r="E450" s="66"/>
      <c r="F450" s="66"/>
      <c r="G450" s="66"/>
      <c r="H450" s="66"/>
      <c r="I450" s="66"/>
      <c r="J450" s="66"/>
      <c r="K450" s="66"/>
      <c r="L450" s="66"/>
      <c r="M450" s="66"/>
      <c r="N450" s="66"/>
      <c r="O450" s="66"/>
      <c r="P450" s="66"/>
      <c r="Q450" s="66"/>
      <c r="R450" s="66"/>
      <c r="S450" s="66"/>
      <c r="T450" s="66"/>
      <c r="U450" s="66"/>
      <c r="V450" s="66"/>
      <c r="W450" s="66"/>
      <c r="X450" s="66"/>
      <c r="Y450" s="66"/>
      <c r="Z450" s="66"/>
    </row>
    <row r="451" spans="1:26" ht="21" x14ac:dyDescent="0.65">
      <c r="A451" s="66"/>
      <c r="B451" s="66"/>
      <c r="C451" s="66"/>
      <c r="D451" s="66"/>
      <c r="E451" s="66"/>
      <c r="F451" s="66"/>
      <c r="G451" s="66"/>
      <c r="H451" s="66"/>
      <c r="I451" s="66"/>
      <c r="J451" s="66"/>
      <c r="K451" s="66"/>
      <c r="L451" s="66"/>
      <c r="M451" s="66"/>
      <c r="N451" s="66"/>
      <c r="O451" s="66"/>
      <c r="P451" s="66"/>
      <c r="Q451" s="66"/>
      <c r="R451" s="66"/>
      <c r="S451" s="66"/>
      <c r="T451" s="66"/>
      <c r="U451" s="66"/>
      <c r="V451" s="66"/>
      <c r="W451" s="66"/>
      <c r="X451" s="66"/>
      <c r="Y451" s="66"/>
      <c r="Z451" s="66"/>
    </row>
    <row r="452" spans="1:26" ht="21" x14ac:dyDescent="0.65">
      <c r="A452" s="66"/>
      <c r="B452" s="66"/>
      <c r="C452" s="66"/>
      <c r="D452" s="66"/>
      <c r="E452" s="66"/>
      <c r="F452" s="66"/>
      <c r="G452" s="66"/>
      <c r="H452" s="66"/>
      <c r="I452" s="66"/>
      <c r="J452" s="66"/>
      <c r="K452" s="66"/>
      <c r="L452" s="66"/>
      <c r="M452" s="66"/>
      <c r="N452" s="66"/>
      <c r="O452" s="66"/>
      <c r="P452" s="66"/>
      <c r="Q452" s="66"/>
      <c r="R452" s="66"/>
      <c r="S452" s="66"/>
      <c r="T452" s="66"/>
      <c r="U452" s="66"/>
      <c r="V452" s="66"/>
      <c r="W452" s="66"/>
      <c r="X452" s="66"/>
      <c r="Y452" s="66"/>
      <c r="Z452" s="66"/>
    </row>
    <row r="453" spans="1:26" ht="21" x14ac:dyDescent="0.65">
      <c r="A453" s="66"/>
      <c r="B453" s="66"/>
      <c r="C453" s="66"/>
      <c r="D453" s="66"/>
      <c r="E453" s="66"/>
      <c r="F453" s="66"/>
      <c r="G453" s="66"/>
      <c r="H453" s="66"/>
      <c r="I453" s="66"/>
      <c r="J453" s="66"/>
      <c r="K453" s="66"/>
      <c r="L453" s="66"/>
      <c r="M453" s="66"/>
      <c r="N453" s="66"/>
      <c r="O453" s="66"/>
      <c r="P453" s="66"/>
      <c r="Q453" s="66"/>
      <c r="R453" s="66"/>
      <c r="S453" s="66"/>
      <c r="T453" s="66"/>
      <c r="U453" s="66"/>
      <c r="V453" s="66"/>
      <c r="W453" s="66"/>
      <c r="X453" s="66"/>
      <c r="Y453" s="66"/>
      <c r="Z453" s="66"/>
    </row>
    <row r="454" spans="1:26" ht="21" x14ac:dyDescent="0.65">
      <c r="A454" s="66"/>
      <c r="B454" s="66"/>
      <c r="C454" s="66"/>
      <c r="D454" s="66"/>
      <c r="E454" s="66"/>
      <c r="F454" s="66"/>
      <c r="G454" s="66"/>
      <c r="H454" s="66"/>
      <c r="I454" s="66"/>
      <c r="J454" s="66"/>
      <c r="K454" s="66"/>
      <c r="L454" s="66"/>
      <c r="M454" s="66"/>
      <c r="N454" s="66"/>
      <c r="O454" s="66"/>
      <c r="P454" s="66"/>
      <c r="Q454" s="66"/>
      <c r="R454" s="66"/>
      <c r="S454" s="66"/>
      <c r="T454" s="66"/>
      <c r="U454" s="66"/>
      <c r="V454" s="66"/>
      <c r="W454" s="66"/>
      <c r="X454" s="66"/>
      <c r="Y454" s="66"/>
      <c r="Z454" s="66"/>
    </row>
    <row r="455" spans="1:26" ht="21" x14ac:dyDescent="0.65">
      <c r="A455" s="66"/>
      <c r="B455" s="66"/>
      <c r="C455" s="66"/>
      <c r="D455" s="66"/>
      <c r="E455" s="66"/>
      <c r="F455" s="66"/>
      <c r="G455" s="66"/>
      <c r="H455" s="66"/>
      <c r="I455" s="66"/>
      <c r="J455" s="66"/>
      <c r="K455" s="66"/>
      <c r="L455" s="66"/>
      <c r="M455" s="66"/>
      <c r="N455" s="66"/>
      <c r="O455" s="66"/>
      <c r="P455" s="66"/>
      <c r="Q455" s="66"/>
      <c r="R455" s="66"/>
      <c r="S455" s="66"/>
      <c r="T455" s="66"/>
      <c r="U455" s="66"/>
      <c r="V455" s="66"/>
      <c r="W455" s="66"/>
      <c r="X455" s="66"/>
      <c r="Y455" s="66"/>
      <c r="Z455" s="66"/>
    </row>
    <row r="456" spans="1:26" ht="21" x14ac:dyDescent="0.65">
      <c r="A456" s="66"/>
      <c r="B456" s="66"/>
      <c r="C456" s="66"/>
      <c r="D456" s="66"/>
      <c r="E456" s="66"/>
      <c r="F456" s="66"/>
      <c r="G456" s="66"/>
      <c r="H456" s="66"/>
      <c r="I456" s="66"/>
      <c r="J456" s="66"/>
      <c r="K456" s="66"/>
      <c r="L456" s="66"/>
      <c r="M456" s="66"/>
      <c r="N456" s="66"/>
      <c r="O456" s="66"/>
      <c r="P456" s="66"/>
      <c r="Q456" s="66"/>
      <c r="R456" s="66"/>
      <c r="S456" s="66"/>
      <c r="T456" s="66"/>
      <c r="U456" s="66"/>
      <c r="V456" s="66"/>
      <c r="W456" s="66"/>
      <c r="X456" s="66"/>
      <c r="Y456" s="66"/>
      <c r="Z456" s="66"/>
    </row>
    <row r="457" spans="1:26" ht="21" x14ac:dyDescent="0.65">
      <c r="A457" s="66"/>
      <c r="B457" s="66"/>
      <c r="C457" s="66"/>
      <c r="D457" s="66"/>
      <c r="E457" s="66"/>
      <c r="F457" s="66"/>
      <c r="G457" s="66"/>
      <c r="H457" s="66"/>
      <c r="I457" s="66"/>
      <c r="J457" s="66"/>
      <c r="K457" s="66"/>
      <c r="L457" s="66"/>
      <c r="M457" s="66"/>
      <c r="N457" s="66"/>
      <c r="O457" s="66"/>
      <c r="P457" s="66"/>
      <c r="Q457" s="66"/>
      <c r="R457" s="66"/>
      <c r="S457" s="66"/>
      <c r="T457" s="66"/>
      <c r="U457" s="66"/>
      <c r="V457" s="66"/>
      <c r="W457" s="66"/>
      <c r="X457" s="66"/>
      <c r="Y457" s="66"/>
      <c r="Z457" s="66"/>
    </row>
    <row r="458" spans="1:26" ht="21" x14ac:dyDescent="0.65">
      <c r="A458" s="66"/>
      <c r="B458" s="66"/>
      <c r="C458" s="66"/>
      <c r="D458" s="66"/>
      <c r="E458" s="66"/>
      <c r="F458" s="66"/>
      <c r="G458" s="66"/>
      <c r="H458" s="66"/>
      <c r="I458" s="66"/>
      <c r="J458" s="66"/>
      <c r="K458" s="66"/>
      <c r="L458" s="66"/>
      <c r="M458" s="66"/>
      <c r="N458" s="66"/>
      <c r="O458" s="66"/>
      <c r="P458" s="66"/>
      <c r="Q458" s="66"/>
      <c r="R458" s="66"/>
      <c r="S458" s="66"/>
      <c r="T458" s="66"/>
      <c r="U458" s="66"/>
      <c r="V458" s="66"/>
      <c r="W458" s="66"/>
      <c r="X458" s="66"/>
      <c r="Y458" s="66"/>
      <c r="Z458" s="66"/>
    </row>
    <row r="459" spans="1:26" ht="21" x14ac:dyDescent="0.65">
      <c r="A459" s="66"/>
      <c r="B459" s="66"/>
      <c r="C459" s="66"/>
      <c r="D459" s="66"/>
      <c r="E459" s="66"/>
      <c r="F459" s="66"/>
      <c r="G459" s="66"/>
      <c r="H459" s="66"/>
      <c r="I459" s="66"/>
      <c r="J459" s="66"/>
      <c r="K459" s="66"/>
      <c r="L459" s="66"/>
      <c r="M459" s="66"/>
      <c r="N459" s="66"/>
      <c r="O459" s="66"/>
      <c r="P459" s="66"/>
      <c r="Q459" s="66"/>
      <c r="R459" s="66"/>
      <c r="S459" s="66"/>
      <c r="T459" s="66"/>
      <c r="U459" s="66"/>
      <c r="V459" s="66"/>
      <c r="W459" s="66"/>
      <c r="X459" s="66"/>
      <c r="Y459" s="66"/>
      <c r="Z459" s="66"/>
    </row>
    <row r="460" spans="1:26" ht="21" x14ac:dyDescent="0.65">
      <c r="A460" s="66"/>
      <c r="B460" s="66"/>
      <c r="C460" s="66"/>
      <c r="D460" s="66"/>
      <c r="E460" s="66"/>
      <c r="F460" s="66"/>
      <c r="G460" s="66"/>
      <c r="H460" s="66"/>
      <c r="I460" s="66"/>
      <c r="J460" s="66"/>
      <c r="K460" s="66"/>
      <c r="L460" s="66"/>
      <c r="M460" s="66"/>
      <c r="N460" s="66"/>
      <c r="O460" s="66"/>
      <c r="P460" s="66"/>
      <c r="Q460" s="66"/>
      <c r="R460" s="66"/>
      <c r="S460" s="66"/>
      <c r="T460" s="66"/>
      <c r="U460" s="66"/>
      <c r="V460" s="66"/>
      <c r="W460" s="66"/>
      <c r="X460" s="66"/>
      <c r="Y460" s="66"/>
      <c r="Z460" s="66"/>
    </row>
    <row r="461" spans="1:26" ht="21" x14ac:dyDescent="0.65">
      <c r="A461" s="66"/>
      <c r="B461" s="66"/>
      <c r="C461" s="66"/>
      <c r="D461" s="66"/>
      <c r="E461" s="66"/>
      <c r="F461" s="66"/>
      <c r="G461" s="66"/>
      <c r="H461" s="66"/>
      <c r="I461" s="66"/>
      <c r="J461" s="66"/>
      <c r="K461" s="66"/>
      <c r="L461" s="66"/>
      <c r="M461" s="66"/>
      <c r="N461" s="66"/>
      <c r="O461" s="66"/>
      <c r="P461" s="66"/>
      <c r="Q461" s="66"/>
      <c r="R461" s="66"/>
      <c r="S461" s="66"/>
      <c r="T461" s="66"/>
      <c r="U461" s="66"/>
      <c r="V461" s="66"/>
      <c r="W461" s="66"/>
      <c r="X461" s="66"/>
      <c r="Y461" s="66"/>
      <c r="Z461" s="66"/>
    </row>
    <row r="462" spans="1:26" ht="21" x14ac:dyDescent="0.65">
      <c r="A462" s="66"/>
      <c r="B462" s="66"/>
      <c r="C462" s="66"/>
      <c r="D462" s="66"/>
      <c r="E462" s="66"/>
      <c r="F462" s="66"/>
      <c r="G462" s="66"/>
      <c r="H462" s="66"/>
      <c r="I462" s="66"/>
      <c r="J462" s="66"/>
      <c r="K462" s="66"/>
      <c r="L462" s="66"/>
      <c r="M462" s="66"/>
      <c r="N462" s="66"/>
      <c r="O462" s="66"/>
      <c r="P462" s="66"/>
      <c r="Q462" s="66"/>
      <c r="R462" s="66"/>
      <c r="S462" s="66"/>
      <c r="T462" s="66"/>
      <c r="U462" s="66"/>
      <c r="V462" s="66"/>
      <c r="W462" s="66"/>
      <c r="X462" s="66"/>
      <c r="Y462" s="66"/>
      <c r="Z462" s="66"/>
    </row>
    <row r="463" spans="1:26" ht="21" x14ac:dyDescent="0.65">
      <c r="A463" s="66"/>
      <c r="B463" s="66"/>
      <c r="C463" s="66"/>
      <c r="D463" s="66"/>
      <c r="E463" s="66"/>
      <c r="F463" s="66"/>
      <c r="G463" s="66"/>
      <c r="H463" s="66"/>
      <c r="I463" s="66"/>
      <c r="J463" s="66"/>
      <c r="K463" s="66"/>
      <c r="L463" s="66"/>
      <c r="M463" s="66"/>
      <c r="N463" s="66"/>
      <c r="O463" s="66"/>
      <c r="P463" s="66"/>
      <c r="Q463" s="66"/>
      <c r="R463" s="66"/>
      <c r="S463" s="66"/>
      <c r="T463" s="66"/>
      <c r="U463" s="66"/>
      <c r="V463" s="66"/>
      <c r="W463" s="66"/>
      <c r="X463" s="66"/>
      <c r="Y463" s="66"/>
      <c r="Z463" s="66"/>
    </row>
    <row r="464" spans="1:26" ht="21" x14ac:dyDescent="0.65">
      <c r="A464" s="66"/>
      <c r="B464" s="66"/>
      <c r="C464" s="66"/>
      <c r="D464" s="66"/>
      <c r="E464" s="66"/>
      <c r="F464" s="66"/>
      <c r="G464" s="66"/>
      <c r="H464" s="66"/>
      <c r="I464" s="66"/>
      <c r="J464" s="66"/>
      <c r="K464" s="66"/>
      <c r="L464" s="66"/>
      <c r="M464" s="66"/>
      <c r="N464" s="66"/>
      <c r="O464" s="66"/>
      <c r="P464" s="66"/>
      <c r="Q464" s="66"/>
      <c r="R464" s="66"/>
      <c r="S464" s="66"/>
      <c r="T464" s="66"/>
      <c r="U464" s="66"/>
      <c r="V464" s="66"/>
      <c r="W464" s="66"/>
      <c r="X464" s="66"/>
      <c r="Y464" s="66"/>
      <c r="Z464" s="66"/>
    </row>
    <row r="465" spans="1:26" ht="21" x14ac:dyDescent="0.65">
      <c r="A465" s="66"/>
      <c r="B465" s="66"/>
      <c r="C465" s="66"/>
      <c r="D465" s="66"/>
      <c r="E465" s="66"/>
      <c r="F465" s="66"/>
      <c r="G465" s="66"/>
      <c r="H465" s="66"/>
      <c r="I465" s="66"/>
      <c r="J465" s="66"/>
      <c r="K465" s="66"/>
      <c r="L465" s="66"/>
      <c r="M465" s="66"/>
      <c r="N465" s="66"/>
      <c r="O465" s="66"/>
      <c r="P465" s="66"/>
      <c r="Q465" s="66"/>
      <c r="R465" s="66"/>
      <c r="S465" s="66"/>
      <c r="T465" s="66"/>
      <c r="U465" s="66"/>
      <c r="V465" s="66"/>
      <c r="W465" s="66"/>
      <c r="X465" s="66"/>
      <c r="Y465" s="66"/>
      <c r="Z465" s="66"/>
    </row>
    <row r="466" spans="1:26" ht="21" x14ac:dyDescent="0.65">
      <c r="A466" s="66"/>
      <c r="B466" s="66"/>
      <c r="C466" s="66"/>
      <c r="D466" s="66"/>
      <c r="E466" s="66"/>
      <c r="F466" s="66"/>
      <c r="G466" s="66"/>
      <c r="H466" s="66"/>
      <c r="I466" s="66"/>
      <c r="J466" s="66"/>
      <c r="K466" s="66"/>
      <c r="L466" s="66"/>
      <c r="M466" s="66"/>
      <c r="N466" s="66"/>
      <c r="O466" s="66"/>
      <c r="P466" s="66"/>
      <c r="Q466" s="66"/>
      <c r="R466" s="66"/>
      <c r="S466" s="66"/>
      <c r="T466" s="66"/>
      <c r="U466" s="66"/>
      <c r="V466" s="66"/>
      <c r="W466" s="66"/>
      <c r="X466" s="66"/>
      <c r="Y466" s="66"/>
      <c r="Z466" s="66"/>
    </row>
    <row r="467" spans="1:26" ht="21" x14ac:dyDescent="0.65">
      <c r="A467" s="66"/>
      <c r="B467" s="66"/>
      <c r="C467" s="66"/>
      <c r="D467" s="66"/>
      <c r="E467" s="66"/>
      <c r="F467" s="66"/>
      <c r="G467" s="66"/>
      <c r="H467" s="66"/>
      <c r="I467" s="66"/>
      <c r="J467" s="66"/>
      <c r="K467" s="66"/>
      <c r="L467" s="66"/>
      <c r="M467" s="66"/>
      <c r="N467" s="66"/>
      <c r="O467" s="66"/>
      <c r="P467" s="66"/>
      <c r="Q467" s="66"/>
      <c r="R467" s="66"/>
      <c r="S467" s="66"/>
      <c r="T467" s="66"/>
      <c r="U467" s="66"/>
      <c r="V467" s="66"/>
      <c r="W467" s="66"/>
      <c r="X467" s="66"/>
      <c r="Y467" s="66"/>
      <c r="Z467" s="66"/>
    </row>
    <row r="468" spans="1:26" ht="21" x14ac:dyDescent="0.65">
      <c r="A468" s="66"/>
      <c r="B468" s="66"/>
      <c r="C468" s="66"/>
      <c r="D468" s="66"/>
      <c r="E468" s="66"/>
      <c r="F468" s="66"/>
      <c r="G468" s="66"/>
      <c r="H468" s="66"/>
      <c r="I468" s="66"/>
      <c r="J468" s="66"/>
      <c r="K468" s="66"/>
      <c r="L468" s="66"/>
      <c r="M468" s="66"/>
      <c r="N468" s="66"/>
      <c r="O468" s="66"/>
      <c r="P468" s="66"/>
      <c r="Q468" s="66"/>
      <c r="R468" s="66"/>
      <c r="S468" s="66"/>
      <c r="T468" s="66"/>
      <c r="U468" s="66"/>
      <c r="V468" s="66"/>
      <c r="W468" s="66"/>
      <c r="X468" s="66"/>
      <c r="Y468" s="66"/>
      <c r="Z468" s="66"/>
    </row>
    <row r="469" spans="1:26" ht="21" x14ac:dyDescent="0.65">
      <c r="A469" s="66"/>
      <c r="B469" s="66"/>
      <c r="C469" s="66"/>
      <c r="D469" s="66"/>
      <c r="E469" s="66"/>
      <c r="F469" s="66"/>
      <c r="G469" s="66"/>
      <c r="H469" s="66"/>
      <c r="I469" s="66"/>
      <c r="J469" s="66"/>
      <c r="K469" s="66"/>
      <c r="L469" s="66"/>
      <c r="M469" s="66"/>
      <c r="N469" s="66"/>
      <c r="O469" s="66"/>
      <c r="P469" s="66"/>
      <c r="Q469" s="66"/>
      <c r="R469" s="66"/>
      <c r="S469" s="66"/>
      <c r="T469" s="66"/>
      <c r="U469" s="66"/>
      <c r="V469" s="66"/>
      <c r="W469" s="66"/>
      <c r="X469" s="66"/>
      <c r="Y469" s="66"/>
      <c r="Z469" s="66"/>
    </row>
    <row r="470" spans="1:26" ht="21" x14ac:dyDescent="0.65">
      <c r="A470" s="66"/>
      <c r="B470" s="66"/>
      <c r="C470" s="66"/>
      <c r="D470" s="66"/>
      <c r="E470" s="66"/>
      <c r="F470" s="66"/>
      <c r="G470" s="66"/>
      <c r="H470" s="66"/>
      <c r="I470" s="66"/>
      <c r="J470" s="66"/>
      <c r="K470" s="66"/>
      <c r="L470" s="66"/>
      <c r="M470" s="66"/>
      <c r="N470" s="66"/>
      <c r="O470" s="66"/>
      <c r="P470" s="66"/>
      <c r="Q470" s="66"/>
      <c r="R470" s="66"/>
      <c r="S470" s="66"/>
      <c r="T470" s="66"/>
      <c r="U470" s="66"/>
      <c r="V470" s="66"/>
      <c r="W470" s="66"/>
      <c r="X470" s="66"/>
      <c r="Y470" s="66"/>
      <c r="Z470" s="66"/>
    </row>
    <row r="471" spans="1:26" ht="21" x14ac:dyDescent="0.65">
      <c r="A471" s="66"/>
      <c r="B471" s="66"/>
      <c r="C471" s="66"/>
      <c r="D471" s="66"/>
      <c r="E471" s="66"/>
      <c r="F471" s="66"/>
      <c r="G471" s="66"/>
      <c r="H471" s="66"/>
      <c r="I471" s="66"/>
      <c r="J471" s="66"/>
      <c r="K471" s="66"/>
      <c r="L471" s="66"/>
      <c r="M471" s="66"/>
      <c r="N471" s="66"/>
      <c r="O471" s="66"/>
      <c r="P471" s="66"/>
      <c r="Q471" s="66"/>
      <c r="R471" s="66"/>
      <c r="S471" s="66"/>
      <c r="T471" s="66"/>
      <c r="U471" s="66"/>
      <c r="V471" s="66"/>
      <c r="W471" s="66"/>
      <c r="X471" s="66"/>
      <c r="Y471" s="66"/>
      <c r="Z471" s="66"/>
    </row>
    <row r="472" spans="1:26" ht="21" x14ac:dyDescent="0.65">
      <c r="A472" s="66"/>
      <c r="B472" s="66"/>
      <c r="C472" s="66"/>
      <c r="D472" s="66"/>
      <c r="E472" s="66"/>
      <c r="F472" s="66"/>
      <c r="G472" s="66"/>
      <c r="H472" s="66"/>
      <c r="I472" s="66"/>
      <c r="J472" s="66"/>
      <c r="K472" s="66"/>
      <c r="L472" s="66"/>
      <c r="M472" s="66"/>
      <c r="N472" s="66"/>
      <c r="O472" s="66"/>
      <c r="P472" s="66"/>
      <c r="Q472" s="66"/>
      <c r="R472" s="66"/>
      <c r="S472" s="66"/>
      <c r="T472" s="66"/>
      <c r="U472" s="66"/>
      <c r="V472" s="66"/>
      <c r="W472" s="66"/>
      <c r="X472" s="66"/>
      <c r="Y472" s="66"/>
      <c r="Z472" s="66"/>
    </row>
    <row r="473" spans="1:26" ht="21" x14ac:dyDescent="0.65">
      <c r="A473" s="66"/>
      <c r="B473" s="66"/>
      <c r="C473" s="66"/>
      <c r="D473" s="66"/>
      <c r="E473" s="66"/>
      <c r="F473" s="66"/>
      <c r="G473" s="66"/>
      <c r="H473" s="66"/>
      <c r="I473" s="66"/>
      <c r="J473" s="66"/>
      <c r="K473" s="66"/>
      <c r="L473" s="66"/>
      <c r="M473" s="66"/>
      <c r="N473" s="66"/>
      <c r="O473" s="66"/>
      <c r="P473" s="66"/>
      <c r="Q473" s="66"/>
      <c r="R473" s="66"/>
      <c r="S473" s="66"/>
      <c r="T473" s="66"/>
      <c r="U473" s="66"/>
      <c r="V473" s="66"/>
      <c r="W473" s="66"/>
      <c r="X473" s="66"/>
      <c r="Y473" s="66"/>
      <c r="Z473" s="66"/>
    </row>
    <row r="474" spans="1:26" ht="21" x14ac:dyDescent="0.65">
      <c r="A474" s="66"/>
      <c r="B474" s="66"/>
      <c r="C474" s="66"/>
      <c r="D474" s="66"/>
      <c r="E474" s="66"/>
      <c r="F474" s="66"/>
      <c r="G474" s="66"/>
      <c r="H474" s="66"/>
      <c r="I474" s="66"/>
      <c r="J474" s="66"/>
      <c r="K474" s="66"/>
      <c r="L474" s="66"/>
      <c r="M474" s="66"/>
      <c r="N474" s="66"/>
      <c r="O474" s="66"/>
      <c r="P474" s="66"/>
      <c r="Q474" s="66"/>
      <c r="R474" s="66"/>
      <c r="S474" s="66"/>
      <c r="T474" s="66"/>
      <c r="U474" s="66"/>
      <c r="V474" s="66"/>
      <c r="W474" s="66"/>
      <c r="X474" s="66"/>
      <c r="Y474" s="66"/>
      <c r="Z474" s="66"/>
    </row>
    <row r="475" spans="1:26" ht="21" x14ac:dyDescent="0.65">
      <c r="A475" s="66"/>
      <c r="B475" s="66"/>
      <c r="C475" s="66"/>
      <c r="D475" s="66"/>
      <c r="E475" s="66"/>
      <c r="F475" s="66"/>
      <c r="G475" s="66"/>
      <c r="H475" s="66"/>
      <c r="I475" s="66"/>
      <c r="J475" s="66"/>
      <c r="K475" s="66"/>
      <c r="L475" s="66"/>
      <c r="M475" s="66"/>
      <c r="N475" s="66"/>
      <c r="O475" s="66"/>
      <c r="P475" s="66"/>
      <c r="Q475" s="66"/>
      <c r="R475" s="66"/>
      <c r="S475" s="66"/>
      <c r="T475" s="66"/>
      <c r="U475" s="66"/>
      <c r="V475" s="66"/>
      <c r="W475" s="66"/>
      <c r="X475" s="66"/>
      <c r="Y475" s="66"/>
      <c r="Z475" s="66"/>
    </row>
    <row r="476" spans="1:26" ht="21" x14ac:dyDescent="0.65">
      <c r="A476" s="66"/>
      <c r="B476" s="66"/>
      <c r="C476" s="66"/>
      <c r="D476" s="66"/>
      <c r="E476" s="66"/>
      <c r="F476" s="66"/>
      <c r="G476" s="66"/>
      <c r="H476" s="66"/>
      <c r="I476" s="66"/>
      <c r="J476" s="66"/>
      <c r="K476" s="66"/>
      <c r="L476" s="66"/>
      <c r="M476" s="66"/>
      <c r="N476" s="66"/>
      <c r="O476" s="66"/>
      <c r="P476" s="66"/>
      <c r="Q476" s="66"/>
      <c r="R476" s="66"/>
      <c r="S476" s="66"/>
      <c r="T476" s="66"/>
      <c r="U476" s="66"/>
      <c r="V476" s="66"/>
      <c r="W476" s="66"/>
      <c r="X476" s="66"/>
      <c r="Y476" s="66"/>
      <c r="Z476" s="66"/>
    </row>
    <row r="477" spans="1:26" ht="21" x14ac:dyDescent="0.65">
      <c r="A477" s="66"/>
      <c r="B477" s="66"/>
      <c r="C477" s="66"/>
      <c r="D477" s="66"/>
      <c r="E477" s="66"/>
      <c r="F477" s="66"/>
      <c r="G477" s="66"/>
      <c r="H477" s="66"/>
      <c r="I477" s="66"/>
      <c r="J477" s="66"/>
      <c r="K477" s="66"/>
      <c r="L477" s="66"/>
      <c r="M477" s="66"/>
      <c r="N477" s="66"/>
      <c r="O477" s="66"/>
      <c r="P477" s="66"/>
      <c r="Q477" s="66"/>
      <c r="R477" s="66"/>
      <c r="S477" s="66"/>
      <c r="T477" s="66"/>
      <c r="U477" s="66"/>
      <c r="V477" s="66"/>
      <c r="W477" s="66"/>
      <c r="X477" s="66"/>
      <c r="Y477" s="66"/>
      <c r="Z477" s="66"/>
    </row>
    <row r="478" spans="1:26" ht="21" x14ac:dyDescent="0.65">
      <c r="A478" s="66"/>
      <c r="B478" s="66"/>
      <c r="C478" s="66"/>
      <c r="D478" s="66"/>
      <c r="E478" s="66"/>
      <c r="F478" s="66"/>
      <c r="G478" s="66"/>
      <c r="H478" s="66"/>
      <c r="I478" s="66"/>
      <c r="J478" s="66"/>
      <c r="K478" s="66"/>
      <c r="L478" s="66"/>
      <c r="M478" s="66"/>
      <c r="N478" s="66"/>
      <c r="O478" s="66"/>
      <c r="P478" s="66"/>
      <c r="Q478" s="66"/>
      <c r="R478" s="66"/>
      <c r="S478" s="66"/>
      <c r="T478" s="66"/>
      <c r="U478" s="66"/>
      <c r="V478" s="66"/>
      <c r="W478" s="66"/>
      <c r="X478" s="66"/>
      <c r="Y478" s="66"/>
      <c r="Z478" s="66"/>
    </row>
    <row r="479" spans="1:26" ht="21" x14ac:dyDescent="0.65">
      <c r="A479" s="66"/>
      <c r="B479" s="66"/>
      <c r="C479" s="66"/>
      <c r="D479" s="66"/>
      <c r="E479" s="66"/>
      <c r="F479" s="66"/>
      <c r="G479" s="66"/>
      <c r="H479" s="66"/>
      <c r="I479" s="66"/>
      <c r="J479" s="66"/>
      <c r="K479" s="66"/>
      <c r="L479" s="66"/>
      <c r="M479" s="66"/>
      <c r="N479" s="66"/>
      <c r="O479" s="66"/>
      <c r="P479" s="66"/>
      <c r="Q479" s="66"/>
      <c r="R479" s="66"/>
      <c r="S479" s="66"/>
      <c r="T479" s="66"/>
      <c r="U479" s="66"/>
      <c r="V479" s="66"/>
      <c r="W479" s="66"/>
      <c r="X479" s="66"/>
      <c r="Y479" s="66"/>
      <c r="Z479" s="66"/>
    </row>
    <row r="480" spans="1:26" ht="21" x14ac:dyDescent="0.65">
      <c r="A480" s="66"/>
      <c r="B480" s="66"/>
      <c r="C480" s="66"/>
      <c r="D480" s="66"/>
      <c r="E480" s="66"/>
      <c r="F480" s="66"/>
      <c r="G480" s="66"/>
      <c r="H480" s="66"/>
      <c r="I480" s="66"/>
      <c r="J480" s="66"/>
      <c r="K480" s="66"/>
      <c r="L480" s="66"/>
      <c r="M480" s="66"/>
      <c r="N480" s="66"/>
      <c r="O480" s="66"/>
      <c r="P480" s="66"/>
      <c r="Q480" s="66"/>
      <c r="R480" s="66"/>
      <c r="S480" s="66"/>
      <c r="T480" s="66"/>
      <c r="U480" s="66"/>
      <c r="V480" s="66"/>
      <c r="W480" s="66"/>
      <c r="X480" s="66"/>
      <c r="Y480" s="66"/>
      <c r="Z480" s="66"/>
    </row>
    <row r="481" spans="1:26" ht="21" x14ac:dyDescent="0.65">
      <c r="A481" s="66"/>
      <c r="B481" s="66"/>
      <c r="C481" s="66"/>
      <c r="D481" s="66"/>
      <c r="E481" s="66"/>
      <c r="F481" s="66"/>
      <c r="G481" s="66"/>
      <c r="H481" s="66"/>
      <c r="I481" s="66"/>
      <c r="J481" s="66"/>
      <c r="K481" s="66"/>
      <c r="L481" s="66"/>
      <c r="M481" s="66"/>
      <c r="N481" s="66"/>
      <c r="O481" s="66"/>
      <c r="P481" s="66"/>
      <c r="Q481" s="66"/>
      <c r="R481" s="66"/>
      <c r="S481" s="66"/>
      <c r="T481" s="66"/>
      <c r="U481" s="66"/>
      <c r="V481" s="66"/>
      <c r="W481" s="66"/>
      <c r="X481" s="66"/>
      <c r="Y481" s="66"/>
      <c r="Z481" s="66"/>
    </row>
    <row r="482" spans="1:26" ht="21" x14ac:dyDescent="0.65">
      <c r="A482" s="66"/>
      <c r="B482" s="66"/>
      <c r="C482" s="66"/>
      <c r="D482" s="66"/>
      <c r="E482" s="66"/>
      <c r="F482" s="66"/>
      <c r="G482" s="66"/>
      <c r="H482" s="66"/>
      <c r="I482" s="66"/>
      <c r="J482" s="66"/>
      <c r="K482" s="66"/>
      <c r="L482" s="66"/>
      <c r="M482" s="66"/>
      <c r="N482" s="66"/>
      <c r="O482" s="66"/>
      <c r="P482" s="66"/>
      <c r="Q482" s="66"/>
      <c r="R482" s="66"/>
      <c r="S482" s="66"/>
      <c r="T482" s="66"/>
      <c r="U482" s="66"/>
      <c r="V482" s="66"/>
      <c r="W482" s="66"/>
      <c r="X482" s="66"/>
      <c r="Y482" s="66"/>
      <c r="Z482" s="66"/>
    </row>
    <row r="483" spans="1:26" ht="21" x14ac:dyDescent="0.65">
      <c r="A483" s="66"/>
      <c r="B483" s="66"/>
      <c r="C483" s="66"/>
      <c r="D483" s="66"/>
      <c r="E483" s="66"/>
      <c r="F483" s="66"/>
      <c r="G483" s="66"/>
      <c r="H483" s="66"/>
      <c r="I483" s="66"/>
      <c r="J483" s="66"/>
      <c r="K483" s="66"/>
      <c r="L483" s="66"/>
      <c r="M483" s="66"/>
      <c r="N483" s="66"/>
      <c r="O483" s="66"/>
      <c r="P483" s="66"/>
      <c r="Q483" s="66"/>
      <c r="R483" s="66"/>
      <c r="S483" s="66"/>
      <c r="T483" s="66"/>
      <c r="U483" s="66"/>
      <c r="V483" s="66"/>
      <c r="W483" s="66"/>
      <c r="X483" s="66"/>
      <c r="Y483" s="66"/>
      <c r="Z483" s="66"/>
    </row>
    <row r="484" spans="1:26" ht="21" x14ac:dyDescent="0.65">
      <c r="A484" s="66"/>
      <c r="B484" s="66"/>
      <c r="C484" s="66"/>
      <c r="D484" s="66"/>
      <c r="E484" s="66"/>
      <c r="F484" s="66"/>
      <c r="G484" s="66"/>
      <c r="H484" s="66"/>
      <c r="I484" s="66"/>
      <c r="J484" s="66"/>
      <c r="K484" s="66"/>
      <c r="L484" s="66"/>
      <c r="M484" s="66"/>
      <c r="N484" s="66"/>
      <c r="O484" s="66"/>
      <c r="P484" s="66"/>
      <c r="Q484" s="66"/>
      <c r="R484" s="66"/>
      <c r="S484" s="66"/>
      <c r="T484" s="66"/>
      <c r="U484" s="66"/>
      <c r="V484" s="66"/>
      <c r="W484" s="66"/>
      <c r="X484" s="66"/>
      <c r="Y484" s="66"/>
      <c r="Z484" s="66"/>
    </row>
    <row r="485" spans="1:26" ht="21" x14ac:dyDescent="0.65">
      <c r="A485" s="66"/>
      <c r="B485" s="66"/>
      <c r="C485" s="66"/>
      <c r="D485" s="66"/>
      <c r="E485" s="66"/>
      <c r="F485" s="66"/>
      <c r="G485" s="66"/>
      <c r="H485" s="66"/>
      <c r="I485" s="66"/>
      <c r="J485" s="66"/>
      <c r="K485" s="66"/>
      <c r="L485" s="66"/>
      <c r="M485" s="66"/>
      <c r="N485" s="66"/>
      <c r="O485" s="66"/>
      <c r="P485" s="66"/>
      <c r="Q485" s="66"/>
      <c r="R485" s="66"/>
      <c r="S485" s="66"/>
      <c r="T485" s="66"/>
      <c r="U485" s="66"/>
      <c r="V485" s="66"/>
      <c r="W485" s="66"/>
      <c r="X485" s="66"/>
      <c r="Y485" s="66"/>
      <c r="Z485" s="66"/>
    </row>
    <row r="486" spans="1:26" ht="21" x14ac:dyDescent="0.65">
      <c r="A486" s="66"/>
      <c r="B486" s="66"/>
      <c r="C486" s="66"/>
      <c r="D486" s="66"/>
      <c r="E486" s="66"/>
      <c r="F486" s="66"/>
      <c r="G486" s="66"/>
      <c r="H486" s="66"/>
      <c r="I486" s="66"/>
      <c r="J486" s="66"/>
      <c r="K486" s="66"/>
      <c r="L486" s="66"/>
      <c r="M486" s="66"/>
      <c r="N486" s="66"/>
      <c r="O486" s="66"/>
      <c r="P486" s="66"/>
      <c r="Q486" s="66"/>
      <c r="R486" s="66"/>
      <c r="S486" s="66"/>
      <c r="T486" s="66"/>
      <c r="U486" s="66"/>
      <c r="V486" s="66"/>
      <c r="W486" s="66"/>
      <c r="X486" s="66"/>
      <c r="Y486" s="66"/>
      <c r="Z486" s="66"/>
    </row>
    <row r="487" spans="1:26" ht="21" x14ac:dyDescent="0.65">
      <c r="A487" s="66"/>
      <c r="B487" s="66"/>
      <c r="C487" s="66"/>
      <c r="D487" s="66"/>
      <c r="E487" s="66"/>
      <c r="F487" s="66"/>
      <c r="G487" s="66"/>
      <c r="H487" s="66"/>
      <c r="I487" s="66"/>
      <c r="J487" s="66"/>
      <c r="K487" s="66"/>
      <c r="L487" s="66"/>
      <c r="M487" s="66"/>
      <c r="N487" s="66"/>
      <c r="O487" s="66"/>
      <c r="P487" s="66"/>
      <c r="Q487" s="66"/>
      <c r="R487" s="66"/>
      <c r="S487" s="66"/>
      <c r="T487" s="66"/>
      <c r="U487" s="66"/>
      <c r="V487" s="66"/>
      <c r="W487" s="66"/>
      <c r="X487" s="66"/>
      <c r="Y487" s="66"/>
      <c r="Z487" s="66"/>
    </row>
    <row r="488" spans="1:26" ht="21" x14ac:dyDescent="0.65">
      <c r="A488" s="66"/>
      <c r="B488" s="66"/>
      <c r="C488" s="66"/>
      <c r="D488" s="66"/>
      <c r="E488" s="66"/>
      <c r="F488" s="66"/>
      <c r="G488" s="66"/>
      <c r="H488" s="66"/>
      <c r="I488" s="66"/>
      <c r="J488" s="66"/>
      <c r="K488" s="66"/>
      <c r="L488" s="66"/>
      <c r="M488" s="66"/>
      <c r="N488" s="66"/>
      <c r="O488" s="66"/>
      <c r="P488" s="66"/>
      <c r="Q488" s="66"/>
      <c r="R488" s="66"/>
      <c r="S488" s="66"/>
      <c r="T488" s="66"/>
      <c r="U488" s="66"/>
      <c r="V488" s="66"/>
      <c r="W488" s="66"/>
      <c r="X488" s="66"/>
      <c r="Y488" s="66"/>
      <c r="Z488" s="66"/>
    </row>
    <row r="489" spans="1:26" ht="21" x14ac:dyDescent="0.65">
      <c r="A489" s="66"/>
      <c r="B489" s="66"/>
      <c r="C489" s="66"/>
      <c r="D489" s="66"/>
      <c r="E489" s="66"/>
      <c r="F489" s="66"/>
      <c r="G489" s="66"/>
      <c r="H489" s="66"/>
      <c r="I489" s="66"/>
      <c r="J489" s="66"/>
      <c r="K489" s="66"/>
      <c r="L489" s="66"/>
      <c r="M489" s="66"/>
      <c r="N489" s="66"/>
      <c r="O489" s="66"/>
      <c r="P489" s="66"/>
      <c r="Q489" s="66"/>
      <c r="R489" s="66"/>
      <c r="S489" s="66"/>
      <c r="T489" s="66"/>
      <c r="U489" s="66"/>
      <c r="V489" s="66"/>
      <c r="W489" s="66"/>
      <c r="X489" s="66"/>
      <c r="Y489" s="66"/>
      <c r="Z489" s="66"/>
    </row>
    <row r="490" spans="1:26" ht="21" x14ac:dyDescent="0.65">
      <c r="A490" s="66"/>
      <c r="B490" s="66"/>
      <c r="C490" s="66"/>
      <c r="D490" s="66"/>
      <c r="E490" s="66"/>
      <c r="F490" s="66"/>
      <c r="G490" s="66"/>
      <c r="H490" s="66"/>
      <c r="I490" s="66"/>
      <c r="J490" s="66"/>
      <c r="K490" s="66"/>
      <c r="L490" s="66"/>
      <c r="M490" s="66"/>
      <c r="N490" s="66"/>
      <c r="O490" s="66"/>
      <c r="P490" s="66"/>
      <c r="Q490" s="66"/>
      <c r="R490" s="66"/>
      <c r="S490" s="66"/>
      <c r="T490" s="66"/>
      <c r="U490" s="66"/>
      <c r="V490" s="66"/>
      <c r="W490" s="66"/>
      <c r="X490" s="66"/>
      <c r="Y490" s="66"/>
      <c r="Z490" s="66"/>
    </row>
    <row r="491" spans="1:26" ht="21" x14ac:dyDescent="0.65">
      <c r="A491" s="66"/>
      <c r="B491" s="66"/>
      <c r="C491" s="66"/>
      <c r="D491" s="66"/>
      <c r="E491" s="66"/>
      <c r="F491" s="66"/>
      <c r="G491" s="66"/>
      <c r="H491" s="66"/>
      <c r="I491" s="66"/>
      <c r="J491" s="66"/>
      <c r="K491" s="66"/>
      <c r="L491" s="66"/>
      <c r="M491" s="66"/>
      <c r="N491" s="66"/>
      <c r="O491" s="66"/>
      <c r="P491" s="66"/>
      <c r="Q491" s="66"/>
      <c r="R491" s="66"/>
      <c r="S491" s="66"/>
      <c r="T491" s="66"/>
      <c r="U491" s="66"/>
      <c r="V491" s="66"/>
      <c r="W491" s="66"/>
      <c r="X491" s="66"/>
      <c r="Y491" s="66"/>
      <c r="Z491" s="66"/>
    </row>
    <row r="492" spans="1:26" ht="21" x14ac:dyDescent="0.65">
      <c r="A492" s="66"/>
      <c r="B492" s="66"/>
      <c r="C492" s="66"/>
      <c r="D492" s="66"/>
      <c r="E492" s="66"/>
      <c r="F492" s="66"/>
      <c r="G492" s="66"/>
      <c r="H492" s="66"/>
      <c r="I492" s="66"/>
      <c r="J492" s="66"/>
      <c r="K492" s="66"/>
      <c r="L492" s="66"/>
      <c r="M492" s="66"/>
      <c r="N492" s="66"/>
      <c r="O492" s="66"/>
      <c r="P492" s="66"/>
      <c r="Q492" s="66"/>
      <c r="R492" s="66"/>
      <c r="S492" s="66"/>
      <c r="T492" s="66"/>
      <c r="U492" s="66"/>
      <c r="V492" s="66"/>
      <c r="W492" s="66"/>
      <c r="X492" s="66"/>
      <c r="Y492" s="66"/>
      <c r="Z492" s="66"/>
    </row>
    <row r="493" spans="1:26" ht="21" x14ac:dyDescent="0.65">
      <c r="A493" s="66"/>
      <c r="B493" s="66"/>
      <c r="C493" s="66"/>
      <c r="D493" s="66"/>
      <c r="E493" s="66"/>
      <c r="F493" s="66"/>
      <c r="G493" s="66"/>
      <c r="H493" s="66"/>
      <c r="I493" s="66"/>
      <c r="J493" s="66"/>
      <c r="K493" s="66"/>
      <c r="L493" s="66"/>
      <c r="M493" s="66"/>
      <c r="N493" s="66"/>
      <c r="O493" s="66"/>
      <c r="P493" s="66"/>
      <c r="Q493" s="66"/>
      <c r="R493" s="66"/>
      <c r="S493" s="66"/>
      <c r="T493" s="66"/>
      <c r="U493" s="66"/>
      <c r="V493" s="66"/>
      <c r="W493" s="66"/>
      <c r="X493" s="66"/>
      <c r="Y493" s="66"/>
      <c r="Z493" s="66"/>
    </row>
    <row r="494" spans="1:26" ht="21" x14ac:dyDescent="0.65">
      <c r="A494" s="66"/>
      <c r="B494" s="66"/>
      <c r="C494" s="66"/>
      <c r="D494" s="66"/>
      <c r="E494" s="66"/>
      <c r="F494" s="66"/>
      <c r="G494" s="66"/>
      <c r="H494" s="66"/>
      <c r="I494" s="66"/>
      <c r="J494" s="66"/>
      <c r="K494" s="66"/>
      <c r="L494" s="66"/>
      <c r="M494" s="66"/>
      <c r="N494" s="66"/>
      <c r="O494" s="66"/>
      <c r="P494" s="66"/>
      <c r="Q494" s="66"/>
      <c r="R494" s="66"/>
      <c r="S494" s="66"/>
      <c r="T494" s="66"/>
      <c r="U494" s="66"/>
      <c r="V494" s="66"/>
      <c r="W494" s="66"/>
      <c r="X494" s="66"/>
      <c r="Y494" s="66"/>
      <c r="Z494" s="66"/>
    </row>
    <row r="495" spans="1:26" ht="21" x14ac:dyDescent="0.65">
      <c r="A495" s="66"/>
      <c r="B495" s="66"/>
      <c r="C495" s="66"/>
      <c r="D495" s="66"/>
      <c r="E495" s="66"/>
      <c r="F495" s="66"/>
      <c r="G495" s="66"/>
      <c r="H495" s="66"/>
      <c r="I495" s="66"/>
      <c r="J495" s="66"/>
      <c r="K495" s="66"/>
      <c r="L495" s="66"/>
      <c r="M495" s="66"/>
      <c r="N495" s="66"/>
      <c r="O495" s="66"/>
      <c r="P495" s="66"/>
      <c r="Q495" s="66"/>
      <c r="R495" s="66"/>
      <c r="S495" s="66"/>
      <c r="T495" s="66"/>
      <c r="U495" s="66"/>
      <c r="V495" s="66"/>
      <c r="W495" s="66"/>
      <c r="X495" s="66"/>
      <c r="Y495" s="66"/>
      <c r="Z495" s="66"/>
    </row>
    <row r="496" spans="1:26" ht="21" x14ac:dyDescent="0.65">
      <c r="A496" s="66"/>
      <c r="B496" s="66"/>
      <c r="C496" s="66"/>
      <c r="D496" s="66"/>
      <c r="E496" s="66"/>
      <c r="F496" s="66"/>
      <c r="G496" s="66"/>
      <c r="H496" s="66"/>
      <c r="I496" s="66"/>
      <c r="J496" s="66"/>
      <c r="K496" s="66"/>
      <c r="L496" s="66"/>
      <c r="M496" s="66"/>
      <c r="N496" s="66"/>
      <c r="O496" s="66"/>
      <c r="P496" s="66"/>
      <c r="Q496" s="66"/>
      <c r="R496" s="66"/>
      <c r="S496" s="66"/>
      <c r="T496" s="66"/>
      <c r="U496" s="66"/>
      <c r="V496" s="66"/>
      <c r="W496" s="66"/>
      <c r="X496" s="66"/>
      <c r="Y496" s="66"/>
      <c r="Z496" s="66"/>
    </row>
    <row r="497" spans="1:26" ht="21" x14ac:dyDescent="0.65">
      <c r="A497" s="66"/>
      <c r="B497" s="66"/>
      <c r="C497" s="66"/>
      <c r="D497" s="66"/>
      <c r="E497" s="66"/>
      <c r="F497" s="66"/>
      <c r="G497" s="66"/>
      <c r="H497" s="66"/>
      <c r="I497" s="66"/>
      <c r="J497" s="66"/>
      <c r="K497" s="66"/>
      <c r="L497" s="66"/>
      <c r="M497" s="66"/>
      <c r="N497" s="66"/>
      <c r="O497" s="66"/>
      <c r="P497" s="66"/>
      <c r="Q497" s="66"/>
      <c r="R497" s="66"/>
      <c r="S497" s="66"/>
      <c r="T497" s="66"/>
      <c r="U497" s="66"/>
      <c r="V497" s="66"/>
      <c r="W497" s="66"/>
      <c r="X497" s="66"/>
      <c r="Y497" s="66"/>
      <c r="Z497" s="66"/>
    </row>
    <row r="498" spans="1:26" ht="21" x14ac:dyDescent="0.65">
      <c r="A498" s="66"/>
      <c r="B498" s="66"/>
      <c r="C498" s="66"/>
      <c r="D498" s="66"/>
      <c r="E498" s="66"/>
      <c r="F498" s="66"/>
      <c r="G498" s="66"/>
      <c r="H498" s="66"/>
      <c r="I498" s="66"/>
      <c r="J498" s="66"/>
      <c r="K498" s="66"/>
      <c r="L498" s="66"/>
      <c r="M498" s="66"/>
      <c r="N498" s="66"/>
      <c r="O498" s="66"/>
      <c r="P498" s="66"/>
      <c r="Q498" s="66"/>
      <c r="R498" s="66"/>
      <c r="S498" s="66"/>
      <c r="T498" s="66"/>
      <c r="U498" s="66"/>
      <c r="V498" s="66"/>
      <c r="W498" s="66"/>
      <c r="X498" s="66"/>
      <c r="Y498" s="66"/>
      <c r="Z498" s="66"/>
    </row>
    <row r="499" spans="1:26" ht="21" x14ac:dyDescent="0.65">
      <c r="A499" s="66"/>
      <c r="B499" s="66"/>
      <c r="C499" s="66"/>
      <c r="D499" s="66"/>
      <c r="E499" s="66"/>
      <c r="F499" s="66"/>
      <c r="G499" s="66"/>
      <c r="H499" s="66"/>
      <c r="I499" s="66"/>
      <c r="J499" s="66"/>
      <c r="K499" s="66"/>
      <c r="L499" s="66"/>
      <c r="M499" s="66"/>
      <c r="N499" s="66"/>
      <c r="O499" s="66"/>
      <c r="P499" s="66"/>
      <c r="Q499" s="66"/>
      <c r="R499" s="66"/>
      <c r="S499" s="66"/>
      <c r="T499" s="66"/>
      <c r="U499" s="66"/>
      <c r="V499" s="66"/>
      <c r="W499" s="66"/>
      <c r="X499" s="66"/>
      <c r="Y499" s="66"/>
      <c r="Z499" s="66"/>
    </row>
    <row r="500" spans="1:26" ht="21" x14ac:dyDescent="0.65">
      <c r="A500" s="66"/>
      <c r="B500" s="66"/>
      <c r="C500" s="66"/>
      <c r="D500" s="66"/>
      <c r="E500" s="66"/>
      <c r="F500" s="66"/>
      <c r="G500" s="66"/>
      <c r="H500" s="66"/>
      <c r="I500" s="66"/>
      <c r="J500" s="66"/>
      <c r="K500" s="66"/>
      <c r="L500" s="66"/>
      <c r="M500" s="66"/>
      <c r="N500" s="66"/>
      <c r="O500" s="66"/>
      <c r="P500" s="66"/>
      <c r="Q500" s="66"/>
      <c r="R500" s="66"/>
      <c r="S500" s="66"/>
      <c r="T500" s="66"/>
      <c r="U500" s="66"/>
      <c r="V500" s="66"/>
      <c r="W500" s="66"/>
      <c r="X500" s="66"/>
      <c r="Y500" s="66"/>
      <c r="Z500" s="66"/>
    </row>
    <row r="501" spans="1:26" ht="21" x14ac:dyDescent="0.65">
      <c r="A501" s="66"/>
      <c r="B501" s="66"/>
      <c r="C501" s="66"/>
      <c r="D501" s="66"/>
      <c r="E501" s="66"/>
      <c r="F501" s="66"/>
      <c r="G501" s="66"/>
      <c r="H501" s="66"/>
      <c r="I501" s="66"/>
      <c r="J501" s="66"/>
      <c r="K501" s="66"/>
      <c r="L501" s="66"/>
      <c r="M501" s="66"/>
      <c r="N501" s="66"/>
      <c r="O501" s="66"/>
      <c r="P501" s="66"/>
      <c r="Q501" s="66"/>
      <c r="R501" s="66"/>
      <c r="S501" s="66"/>
      <c r="T501" s="66"/>
      <c r="U501" s="66"/>
      <c r="V501" s="66"/>
      <c r="W501" s="66"/>
      <c r="X501" s="66"/>
      <c r="Y501" s="66"/>
      <c r="Z501" s="66"/>
    </row>
    <row r="502" spans="1:26" ht="21" x14ac:dyDescent="0.65">
      <c r="A502" s="66"/>
      <c r="B502" s="66"/>
      <c r="C502" s="66"/>
      <c r="D502" s="66"/>
      <c r="E502" s="66"/>
      <c r="F502" s="66"/>
      <c r="G502" s="66"/>
      <c r="H502" s="66"/>
      <c r="I502" s="66"/>
      <c r="J502" s="66"/>
      <c r="K502" s="66"/>
      <c r="L502" s="66"/>
      <c r="M502" s="66"/>
      <c r="N502" s="66"/>
      <c r="O502" s="66"/>
      <c r="P502" s="66"/>
      <c r="Q502" s="66"/>
      <c r="R502" s="66"/>
      <c r="S502" s="66"/>
      <c r="T502" s="66"/>
      <c r="U502" s="66"/>
      <c r="V502" s="66"/>
      <c r="W502" s="66"/>
      <c r="X502" s="66"/>
      <c r="Y502" s="66"/>
      <c r="Z502" s="66"/>
    </row>
    <row r="503" spans="1:26" ht="21" x14ac:dyDescent="0.65">
      <c r="A503" s="66"/>
      <c r="B503" s="66"/>
      <c r="C503" s="66"/>
      <c r="D503" s="66"/>
      <c r="E503" s="66"/>
      <c r="F503" s="66"/>
      <c r="G503" s="66"/>
      <c r="H503" s="66"/>
      <c r="I503" s="66"/>
      <c r="J503" s="66"/>
      <c r="K503" s="66"/>
      <c r="L503" s="66"/>
      <c r="M503" s="66"/>
      <c r="N503" s="66"/>
      <c r="O503" s="66"/>
      <c r="P503" s="66"/>
      <c r="Q503" s="66"/>
      <c r="R503" s="66"/>
      <c r="S503" s="66"/>
      <c r="T503" s="66"/>
      <c r="U503" s="66"/>
      <c r="V503" s="66"/>
      <c r="W503" s="66"/>
      <c r="X503" s="66"/>
      <c r="Y503" s="66"/>
      <c r="Z503" s="66"/>
    </row>
    <row r="504" spans="1:26" ht="21" x14ac:dyDescent="0.65">
      <c r="A504" s="66"/>
      <c r="B504" s="66"/>
      <c r="C504" s="66"/>
      <c r="D504" s="66"/>
      <c r="E504" s="66"/>
      <c r="F504" s="66"/>
      <c r="G504" s="66"/>
      <c r="H504" s="66"/>
      <c r="I504" s="66"/>
      <c r="J504" s="66"/>
      <c r="K504" s="66"/>
      <c r="L504" s="66"/>
      <c r="M504" s="66"/>
      <c r="N504" s="66"/>
      <c r="O504" s="66"/>
      <c r="P504" s="66"/>
      <c r="Q504" s="66"/>
      <c r="R504" s="66"/>
      <c r="S504" s="66"/>
      <c r="T504" s="66"/>
      <c r="U504" s="66"/>
      <c r="V504" s="66"/>
      <c r="W504" s="66"/>
      <c r="X504" s="66"/>
      <c r="Y504" s="66"/>
      <c r="Z504" s="66"/>
    </row>
    <row r="505" spans="1:26" ht="21" x14ac:dyDescent="0.65">
      <c r="A505" s="66"/>
      <c r="B505" s="66"/>
      <c r="C505" s="66"/>
      <c r="D505" s="66"/>
      <c r="E505" s="66"/>
      <c r="F505" s="66"/>
      <c r="G505" s="66"/>
      <c r="H505" s="66"/>
      <c r="I505" s="66"/>
      <c r="J505" s="66"/>
      <c r="K505" s="66"/>
      <c r="L505" s="66"/>
      <c r="M505" s="66"/>
      <c r="N505" s="66"/>
      <c r="O505" s="66"/>
      <c r="P505" s="66"/>
      <c r="Q505" s="66"/>
      <c r="R505" s="66"/>
      <c r="S505" s="66"/>
      <c r="T505" s="66"/>
      <c r="U505" s="66"/>
      <c r="V505" s="66"/>
      <c r="W505" s="66"/>
      <c r="X505" s="66"/>
      <c r="Y505" s="66"/>
      <c r="Z505" s="66"/>
    </row>
    <row r="506" spans="1:26" ht="21" x14ac:dyDescent="0.65">
      <c r="A506" s="66"/>
      <c r="B506" s="66"/>
      <c r="C506" s="66"/>
      <c r="D506" s="66"/>
      <c r="E506" s="66"/>
      <c r="F506" s="66"/>
      <c r="G506" s="66"/>
      <c r="H506" s="66"/>
      <c r="I506" s="66"/>
      <c r="J506" s="66"/>
      <c r="K506" s="66"/>
      <c r="L506" s="66"/>
      <c r="M506" s="66"/>
      <c r="N506" s="66"/>
      <c r="O506" s="66"/>
      <c r="P506" s="66"/>
      <c r="Q506" s="66"/>
      <c r="R506" s="66"/>
      <c r="S506" s="66"/>
      <c r="T506" s="66"/>
      <c r="U506" s="66"/>
      <c r="V506" s="66"/>
      <c r="W506" s="66"/>
      <c r="X506" s="66"/>
      <c r="Y506" s="66"/>
      <c r="Z506" s="66"/>
    </row>
    <row r="507" spans="1:26" ht="21" x14ac:dyDescent="0.65">
      <c r="A507" s="66"/>
      <c r="B507" s="66"/>
      <c r="C507" s="66"/>
      <c r="D507" s="66"/>
      <c r="E507" s="66"/>
      <c r="F507" s="66"/>
      <c r="G507" s="66"/>
      <c r="H507" s="66"/>
      <c r="I507" s="66"/>
      <c r="J507" s="66"/>
      <c r="K507" s="66"/>
      <c r="L507" s="66"/>
      <c r="M507" s="66"/>
      <c r="N507" s="66"/>
      <c r="O507" s="66"/>
      <c r="P507" s="66"/>
      <c r="Q507" s="66"/>
      <c r="R507" s="66"/>
      <c r="S507" s="66"/>
      <c r="T507" s="66"/>
      <c r="U507" s="66"/>
      <c r="V507" s="66"/>
      <c r="W507" s="66"/>
      <c r="X507" s="66"/>
      <c r="Y507" s="66"/>
      <c r="Z507" s="66"/>
    </row>
    <row r="508" spans="1:26" ht="21" x14ac:dyDescent="0.65">
      <c r="A508" s="66"/>
      <c r="B508" s="66"/>
      <c r="C508" s="66"/>
      <c r="D508" s="66"/>
      <c r="E508" s="66"/>
      <c r="F508" s="66"/>
      <c r="G508" s="66"/>
      <c r="H508" s="66"/>
      <c r="I508" s="66"/>
      <c r="J508" s="66"/>
      <c r="K508" s="66"/>
      <c r="L508" s="66"/>
      <c r="M508" s="66"/>
      <c r="N508" s="66"/>
      <c r="O508" s="66"/>
      <c r="P508" s="66"/>
      <c r="Q508" s="66"/>
      <c r="R508" s="66"/>
      <c r="S508" s="66"/>
      <c r="T508" s="66"/>
      <c r="U508" s="66"/>
      <c r="V508" s="66"/>
      <c r="W508" s="66"/>
      <c r="X508" s="66"/>
      <c r="Y508" s="66"/>
      <c r="Z508" s="66"/>
    </row>
    <row r="509" spans="1:26" ht="21" x14ac:dyDescent="0.65">
      <c r="A509" s="66"/>
      <c r="B509" s="66"/>
      <c r="C509" s="66"/>
      <c r="D509" s="66"/>
      <c r="E509" s="66"/>
      <c r="F509" s="66"/>
      <c r="G509" s="66"/>
      <c r="H509" s="66"/>
      <c r="I509" s="66"/>
      <c r="J509" s="66"/>
      <c r="K509" s="66"/>
      <c r="L509" s="66"/>
      <c r="M509" s="66"/>
      <c r="N509" s="66"/>
      <c r="O509" s="66"/>
      <c r="P509" s="66"/>
      <c r="Q509" s="66"/>
      <c r="R509" s="66"/>
      <c r="S509" s="66"/>
      <c r="T509" s="66"/>
      <c r="U509" s="66"/>
      <c r="V509" s="66"/>
      <c r="W509" s="66"/>
      <c r="X509" s="66"/>
      <c r="Y509" s="66"/>
      <c r="Z509" s="66"/>
    </row>
    <row r="510" spans="1:26" ht="21" x14ac:dyDescent="0.65">
      <c r="A510" s="66"/>
      <c r="B510" s="66"/>
      <c r="C510" s="66"/>
      <c r="D510" s="66"/>
      <c r="E510" s="66"/>
      <c r="F510" s="66"/>
      <c r="G510" s="66"/>
      <c r="H510" s="66"/>
      <c r="I510" s="66"/>
      <c r="J510" s="66"/>
      <c r="K510" s="66"/>
      <c r="L510" s="66"/>
      <c r="M510" s="66"/>
      <c r="N510" s="66"/>
      <c r="O510" s="66"/>
      <c r="P510" s="66"/>
      <c r="Q510" s="66"/>
      <c r="R510" s="66"/>
      <c r="S510" s="66"/>
      <c r="T510" s="66"/>
      <c r="U510" s="66"/>
      <c r="V510" s="66"/>
      <c r="W510" s="66"/>
      <c r="X510" s="66"/>
      <c r="Y510" s="66"/>
      <c r="Z510" s="66"/>
    </row>
    <row r="511" spans="1:26" ht="21" x14ac:dyDescent="0.65">
      <c r="A511" s="66"/>
      <c r="B511" s="66"/>
      <c r="C511" s="66"/>
      <c r="D511" s="66"/>
      <c r="E511" s="66"/>
      <c r="F511" s="66"/>
      <c r="G511" s="66"/>
      <c r="H511" s="66"/>
      <c r="I511" s="66"/>
      <c r="J511" s="66"/>
      <c r="K511" s="66"/>
      <c r="L511" s="66"/>
      <c r="M511" s="66"/>
      <c r="N511" s="66"/>
      <c r="O511" s="66"/>
      <c r="P511" s="66"/>
      <c r="Q511" s="66"/>
      <c r="R511" s="66"/>
      <c r="S511" s="66"/>
      <c r="T511" s="66"/>
      <c r="U511" s="66"/>
      <c r="V511" s="66"/>
      <c r="W511" s="66"/>
      <c r="X511" s="66"/>
      <c r="Y511" s="66"/>
      <c r="Z511" s="66"/>
    </row>
    <row r="512" spans="1:26" ht="21" x14ac:dyDescent="0.65">
      <c r="A512" s="66"/>
      <c r="B512" s="66"/>
      <c r="C512" s="66"/>
      <c r="D512" s="66"/>
      <c r="E512" s="66"/>
      <c r="F512" s="66"/>
      <c r="G512" s="66"/>
      <c r="H512" s="66"/>
      <c r="I512" s="66"/>
      <c r="J512" s="66"/>
      <c r="K512" s="66"/>
      <c r="L512" s="66"/>
      <c r="M512" s="66"/>
      <c r="N512" s="66"/>
      <c r="O512" s="66"/>
      <c r="P512" s="66"/>
      <c r="Q512" s="66"/>
      <c r="R512" s="66"/>
      <c r="S512" s="66"/>
      <c r="T512" s="66"/>
      <c r="U512" s="66"/>
      <c r="V512" s="66"/>
      <c r="W512" s="66"/>
      <c r="X512" s="66"/>
      <c r="Y512" s="66"/>
      <c r="Z512" s="66"/>
    </row>
    <row r="513" spans="1:26" ht="21" x14ac:dyDescent="0.65">
      <c r="A513" s="66"/>
      <c r="B513" s="66"/>
      <c r="C513" s="66"/>
      <c r="D513" s="66"/>
      <c r="E513" s="66"/>
      <c r="F513" s="66"/>
      <c r="G513" s="66"/>
      <c r="H513" s="66"/>
      <c r="I513" s="66"/>
      <c r="J513" s="66"/>
      <c r="K513" s="66"/>
      <c r="L513" s="66"/>
      <c r="M513" s="66"/>
      <c r="N513" s="66"/>
      <c r="O513" s="66"/>
      <c r="P513" s="66"/>
      <c r="Q513" s="66"/>
      <c r="R513" s="66"/>
      <c r="S513" s="66"/>
      <c r="T513" s="66"/>
      <c r="U513" s="66"/>
      <c r="V513" s="66"/>
      <c r="W513" s="66"/>
      <c r="X513" s="66"/>
      <c r="Y513" s="66"/>
      <c r="Z513" s="66"/>
    </row>
    <row r="514" spans="1:26" ht="21" x14ac:dyDescent="0.65">
      <c r="A514" s="66"/>
      <c r="B514" s="66"/>
      <c r="C514" s="66"/>
      <c r="D514" s="66"/>
      <c r="E514" s="66"/>
      <c r="F514" s="66"/>
      <c r="G514" s="66"/>
      <c r="H514" s="66"/>
      <c r="I514" s="66"/>
      <c r="J514" s="66"/>
      <c r="K514" s="66"/>
      <c r="L514" s="66"/>
      <c r="M514" s="66"/>
      <c r="N514" s="66"/>
      <c r="O514" s="66"/>
      <c r="P514" s="66"/>
      <c r="Q514" s="66"/>
      <c r="R514" s="66"/>
      <c r="S514" s="66"/>
      <c r="T514" s="66"/>
      <c r="U514" s="66"/>
      <c r="V514" s="66"/>
      <c r="W514" s="66"/>
      <c r="X514" s="66"/>
      <c r="Y514" s="66"/>
      <c r="Z514" s="66"/>
    </row>
    <row r="515" spans="1:26" ht="21" x14ac:dyDescent="0.65">
      <c r="A515" s="66"/>
      <c r="B515" s="66"/>
      <c r="C515" s="66"/>
      <c r="D515" s="66"/>
      <c r="E515" s="66"/>
      <c r="F515" s="66"/>
      <c r="G515" s="66"/>
      <c r="H515" s="66"/>
      <c r="I515" s="66"/>
      <c r="J515" s="66"/>
      <c r="K515" s="66"/>
      <c r="L515" s="66"/>
      <c r="M515" s="66"/>
      <c r="N515" s="66"/>
      <c r="O515" s="66"/>
      <c r="P515" s="66"/>
      <c r="Q515" s="66"/>
      <c r="R515" s="66"/>
      <c r="S515" s="66"/>
      <c r="T515" s="66"/>
      <c r="U515" s="66"/>
      <c r="V515" s="66"/>
      <c r="W515" s="66"/>
      <c r="X515" s="66"/>
      <c r="Y515" s="66"/>
      <c r="Z515" s="66"/>
    </row>
    <row r="516" spans="1:26" ht="21" x14ac:dyDescent="0.65">
      <c r="A516" s="66"/>
      <c r="B516" s="66"/>
      <c r="C516" s="66"/>
      <c r="D516" s="66"/>
      <c r="E516" s="66"/>
      <c r="F516" s="66"/>
      <c r="G516" s="66"/>
      <c r="H516" s="66"/>
      <c r="I516" s="66"/>
      <c r="J516" s="66"/>
      <c r="K516" s="66"/>
      <c r="L516" s="66"/>
      <c r="M516" s="66"/>
      <c r="N516" s="66"/>
      <c r="O516" s="66"/>
      <c r="P516" s="66"/>
      <c r="Q516" s="66"/>
      <c r="R516" s="66"/>
      <c r="S516" s="66"/>
      <c r="T516" s="66"/>
      <c r="U516" s="66"/>
      <c r="V516" s="66"/>
      <c r="W516" s="66"/>
      <c r="X516" s="66"/>
      <c r="Y516" s="66"/>
      <c r="Z516" s="66"/>
    </row>
    <row r="517" spans="1:26" ht="21" x14ac:dyDescent="0.65">
      <c r="A517" s="66"/>
      <c r="B517" s="66"/>
      <c r="C517" s="66"/>
      <c r="D517" s="66"/>
      <c r="E517" s="66"/>
      <c r="F517" s="66"/>
      <c r="G517" s="66"/>
      <c r="H517" s="66"/>
      <c r="I517" s="66"/>
      <c r="J517" s="66"/>
      <c r="K517" s="66"/>
      <c r="L517" s="66"/>
      <c r="M517" s="66"/>
      <c r="N517" s="66"/>
      <c r="O517" s="66"/>
      <c r="P517" s="66"/>
      <c r="Q517" s="66"/>
      <c r="R517" s="66"/>
      <c r="S517" s="66"/>
      <c r="T517" s="66"/>
      <c r="U517" s="66"/>
      <c r="V517" s="66"/>
      <c r="W517" s="66"/>
      <c r="X517" s="66"/>
      <c r="Y517" s="66"/>
      <c r="Z517" s="66"/>
    </row>
    <row r="518" spans="1:26" ht="21" x14ac:dyDescent="0.65">
      <c r="A518" s="66"/>
      <c r="B518" s="66"/>
      <c r="C518" s="66"/>
      <c r="D518" s="66"/>
      <c r="E518" s="66"/>
      <c r="F518" s="66"/>
      <c r="G518" s="66"/>
      <c r="H518" s="66"/>
      <c r="I518" s="66"/>
      <c r="J518" s="66"/>
      <c r="K518" s="66"/>
      <c r="L518" s="66"/>
      <c r="M518" s="66"/>
      <c r="N518" s="66"/>
      <c r="O518" s="66"/>
      <c r="P518" s="66"/>
      <c r="Q518" s="66"/>
      <c r="R518" s="66"/>
      <c r="S518" s="66"/>
      <c r="T518" s="66"/>
      <c r="U518" s="66"/>
      <c r="V518" s="66"/>
      <c r="W518" s="66"/>
      <c r="X518" s="66"/>
      <c r="Y518" s="66"/>
      <c r="Z518" s="66"/>
    </row>
    <row r="519" spans="1:26" ht="21" x14ac:dyDescent="0.65">
      <c r="A519" s="66"/>
      <c r="B519" s="66"/>
      <c r="C519" s="66"/>
      <c r="D519" s="66"/>
      <c r="E519" s="66"/>
      <c r="F519" s="66"/>
      <c r="G519" s="66"/>
      <c r="H519" s="66"/>
      <c r="I519" s="66"/>
      <c r="J519" s="66"/>
      <c r="K519" s="66"/>
      <c r="L519" s="66"/>
      <c r="M519" s="66"/>
      <c r="N519" s="66"/>
      <c r="O519" s="66"/>
      <c r="P519" s="66"/>
      <c r="Q519" s="66"/>
      <c r="R519" s="66"/>
      <c r="S519" s="66"/>
      <c r="T519" s="66"/>
      <c r="U519" s="66"/>
      <c r="V519" s="66"/>
      <c r="W519" s="66"/>
      <c r="X519" s="66"/>
      <c r="Y519" s="66"/>
      <c r="Z519" s="66"/>
    </row>
    <row r="520" spans="1:26" ht="21" x14ac:dyDescent="0.65">
      <c r="A520" s="66"/>
      <c r="B520" s="66"/>
      <c r="C520" s="66"/>
      <c r="D520" s="66"/>
      <c r="E520" s="66"/>
      <c r="F520" s="66"/>
      <c r="G520" s="66"/>
      <c r="H520" s="66"/>
      <c r="I520" s="66"/>
      <c r="J520" s="66"/>
      <c r="K520" s="66"/>
      <c r="L520" s="66"/>
      <c r="M520" s="66"/>
      <c r="N520" s="66"/>
      <c r="O520" s="66"/>
      <c r="P520" s="66"/>
      <c r="Q520" s="66"/>
      <c r="R520" s="66"/>
      <c r="S520" s="66"/>
      <c r="T520" s="66"/>
      <c r="U520" s="66"/>
      <c r="V520" s="66"/>
      <c r="W520" s="66"/>
      <c r="X520" s="66"/>
      <c r="Y520" s="66"/>
      <c r="Z520" s="66"/>
    </row>
    <row r="521" spans="1:26" ht="21" x14ac:dyDescent="0.65">
      <c r="A521" s="66"/>
      <c r="B521" s="66"/>
      <c r="C521" s="66"/>
      <c r="D521" s="66"/>
      <c r="E521" s="66"/>
      <c r="F521" s="66"/>
      <c r="G521" s="66"/>
      <c r="H521" s="66"/>
      <c r="I521" s="66"/>
      <c r="J521" s="66"/>
      <c r="K521" s="66"/>
      <c r="L521" s="66"/>
      <c r="M521" s="66"/>
      <c r="N521" s="66"/>
      <c r="O521" s="66"/>
      <c r="P521" s="66"/>
      <c r="Q521" s="66"/>
      <c r="R521" s="66"/>
      <c r="S521" s="66"/>
      <c r="T521" s="66"/>
      <c r="U521" s="66"/>
      <c r="V521" s="66"/>
      <c r="W521" s="66"/>
      <c r="X521" s="66"/>
      <c r="Y521" s="66"/>
      <c r="Z521" s="66"/>
    </row>
    <row r="522" spans="1:26" ht="21" x14ac:dyDescent="0.65">
      <c r="A522" s="66"/>
      <c r="B522" s="66"/>
      <c r="C522" s="66"/>
      <c r="D522" s="66"/>
      <c r="E522" s="66"/>
      <c r="F522" s="66"/>
      <c r="G522" s="66"/>
      <c r="H522" s="66"/>
      <c r="I522" s="66"/>
      <c r="J522" s="66"/>
      <c r="K522" s="66"/>
      <c r="L522" s="66"/>
      <c r="M522" s="66"/>
      <c r="N522" s="66"/>
      <c r="O522" s="66"/>
      <c r="P522" s="66"/>
      <c r="Q522" s="66"/>
      <c r="R522" s="66"/>
      <c r="S522" s="66"/>
      <c r="T522" s="66"/>
      <c r="U522" s="66"/>
      <c r="V522" s="66"/>
      <c r="W522" s="66"/>
      <c r="X522" s="66"/>
      <c r="Y522" s="66"/>
      <c r="Z522" s="66"/>
    </row>
    <row r="523" spans="1:26" ht="21" x14ac:dyDescent="0.65">
      <c r="A523" s="66"/>
      <c r="B523" s="66"/>
      <c r="C523" s="66"/>
      <c r="D523" s="66"/>
      <c r="E523" s="66"/>
      <c r="F523" s="66"/>
      <c r="G523" s="66"/>
      <c r="H523" s="66"/>
      <c r="I523" s="66"/>
      <c r="J523" s="66"/>
      <c r="K523" s="66"/>
      <c r="L523" s="66"/>
      <c r="M523" s="66"/>
      <c r="N523" s="66"/>
      <c r="O523" s="66"/>
      <c r="P523" s="66"/>
      <c r="Q523" s="66"/>
      <c r="R523" s="66"/>
      <c r="S523" s="66"/>
      <c r="T523" s="66"/>
      <c r="U523" s="66"/>
      <c r="V523" s="66"/>
      <c r="W523" s="66"/>
      <c r="X523" s="66"/>
      <c r="Y523" s="66"/>
      <c r="Z523" s="66"/>
    </row>
    <row r="524" spans="1:26" ht="21" x14ac:dyDescent="0.65">
      <c r="A524" s="66"/>
      <c r="B524" s="66"/>
      <c r="C524" s="66"/>
      <c r="D524" s="66"/>
      <c r="E524" s="66"/>
      <c r="F524" s="66"/>
      <c r="G524" s="66"/>
      <c r="H524" s="66"/>
      <c r="I524" s="66"/>
      <c r="J524" s="66"/>
      <c r="K524" s="66"/>
      <c r="L524" s="66"/>
      <c r="M524" s="66"/>
      <c r="N524" s="66"/>
      <c r="O524" s="66"/>
      <c r="P524" s="66"/>
      <c r="Q524" s="66"/>
      <c r="R524" s="66"/>
      <c r="S524" s="66"/>
      <c r="T524" s="66"/>
      <c r="U524" s="66"/>
      <c r="V524" s="66"/>
      <c r="W524" s="66"/>
      <c r="X524" s="66"/>
      <c r="Y524" s="66"/>
      <c r="Z524" s="66"/>
    </row>
    <row r="525" spans="1:26" ht="21" x14ac:dyDescent="0.65">
      <c r="A525" s="66"/>
      <c r="B525" s="66"/>
      <c r="C525" s="66"/>
      <c r="D525" s="66"/>
      <c r="E525" s="66"/>
      <c r="F525" s="66"/>
      <c r="G525" s="66"/>
      <c r="H525" s="66"/>
      <c r="I525" s="66"/>
      <c r="J525" s="66"/>
      <c r="K525" s="66"/>
      <c r="L525" s="66"/>
      <c r="M525" s="66"/>
      <c r="N525" s="66"/>
      <c r="O525" s="66"/>
      <c r="P525" s="66"/>
      <c r="Q525" s="66"/>
      <c r="R525" s="66"/>
      <c r="S525" s="66"/>
      <c r="T525" s="66"/>
      <c r="U525" s="66"/>
      <c r="V525" s="66"/>
      <c r="W525" s="66"/>
      <c r="X525" s="66"/>
      <c r="Y525" s="66"/>
      <c r="Z525" s="66"/>
    </row>
    <row r="526" spans="1:26" ht="21" x14ac:dyDescent="0.65">
      <c r="A526" s="66"/>
      <c r="B526" s="66"/>
      <c r="C526" s="66"/>
      <c r="D526" s="66"/>
      <c r="E526" s="66"/>
      <c r="F526" s="66"/>
      <c r="G526" s="66"/>
      <c r="H526" s="66"/>
      <c r="I526" s="66"/>
      <c r="J526" s="66"/>
      <c r="K526" s="66"/>
      <c r="L526" s="66"/>
      <c r="M526" s="66"/>
      <c r="N526" s="66"/>
      <c r="O526" s="66"/>
      <c r="P526" s="66"/>
      <c r="Q526" s="66"/>
      <c r="R526" s="66"/>
      <c r="S526" s="66"/>
      <c r="T526" s="66"/>
      <c r="U526" s="66"/>
      <c r="V526" s="66"/>
      <c r="W526" s="66"/>
      <c r="X526" s="66"/>
      <c r="Y526" s="66"/>
      <c r="Z526" s="66"/>
    </row>
    <row r="527" spans="1:26" ht="21" x14ac:dyDescent="0.65">
      <c r="A527" s="66"/>
      <c r="B527" s="66"/>
      <c r="C527" s="66"/>
      <c r="D527" s="66"/>
      <c r="E527" s="66"/>
      <c r="F527" s="66"/>
      <c r="G527" s="66"/>
      <c r="H527" s="66"/>
      <c r="I527" s="66"/>
      <c r="J527" s="66"/>
      <c r="K527" s="66"/>
      <c r="L527" s="66"/>
      <c r="M527" s="66"/>
      <c r="N527" s="66"/>
      <c r="O527" s="66"/>
      <c r="P527" s="66"/>
      <c r="Q527" s="66"/>
      <c r="R527" s="66"/>
      <c r="S527" s="66"/>
      <c r="T527" s="66"/>
      <c r="U527" s="66"/>
      <c r="V527" s="66"/>
      <c r="W527" s="66"/>
      <c r="X527" s="66"/>
      <c r="Y527" s="66"/>
      <c r="Z527" s="66"/>
    </row>
    <row r="528" spans="1:26" ht="21" x14ac:dyDescent="0.65">
      <c r="A528" s="66"/>
      <c r="B528" s="66"/>
      <c r="C528" s="66"/>
      <c r="D528" s="66"/>
      <c r="E528" s="66"/>
      <c r="F528" s="66"/>
      <c r="G528" s="66"/>
      <c r="H528" s="66"/>
      <c r="I528" s="66"/>
      <c r="J528" s="66"/>
      <c r="K528" s="66"/>
      <c r="L528" s="66"/>
      <c r="M528" s="66"/>
      <c r="N528" s="66"/>
      <c r="O528" s="66"/>
      <c r="P528" s="66"/>
      <c r="Q528" s="66"/>
      <c r="R528" s="66"/>
      <c r="S528" s="66"/>
      <c r="T528" s="66"/>
      <c r="U528" s="66"/>
      <c r="V528" s="66"/>
      <c r="W528" s="66"/>
      <c r="X528" s="66"/>
      <c r="Y528" s="66"/>
      <c r="Z528" s="66"/>
    </row>
    <row r="529" spans="1:26" ht="21" x14ac:dyDescent="0.65">
      <c r="A529" s="66"/>
      <c r="B529" s="66"/>
      <c r="C529" s="66"/>
      <c r="D529" s="66"/>
      <c r="E529" s="66"/>
      <c r="F529" s="66"/>
      <c r="G529" s="66"/>
      <c r="H529" s="66"/>
      <c r="I529" s="66"/>
      <c r="J529" s="66"/>
      <c r="K529" s="66"/>
      <c r="L529" s="66"/>
      <c r="M529" s="66"/>
      <c r="N529" s="66"/>
      <c r="O529" s="66"/>
      <c r="P529" s="66"/>
      <c r="Q529" s="66"/>
      <c r="R529" s="66"/>
      <c r="S529" s="66"/>
      <c r="T529" s="66"/>
      <c r="U529" s="66"/>
      <c r="V529" s="66"/>
      <c r="W529" s="66"/>
      <c r="X529" s="66"/>
      <c r="Y529" s="66"/>
      <c r="Z529" s="66"/>
    </row>
    <row r="530" spans="1:26" ht="21" x14ac:dyDescent="0.65">
      <c r="A530" s="66"/>
      <c r="B530" s="66"/>
      <c r="C530" s="66"/>
      <c r="D530" s="66"/>
      <c r="E530" s="66"/>
      <c r="F530" s="66"/>
      <c r="G530" s="66"/>
      <c r="H530" s="66"/>
      <c r="I530" s="66"/>
      <c r="J530" s="66"/>
      <c r="K530" s="66"/>
      <c r="L530" s="66"/>
      <c r="M530" s="66"/>
      <c r="N530" s="66"/>
      <c r="O530" s="66"/>
      <c r="P530" s="66"/>
      <c r="Q530" s="66"/>
      <c r="R530" s="66"/>
      <c r="S530" s="66"/>
      <c r="T530" s="66"/>
      <c r="U530" s="66"/>
      <c r="V530" s="66"/>
      <c r="W530" s="66"/>
      <c r="X530" s="66"/>
      <c r="Y530" s="66"/>
      <c r="Z530" s="66"/>
    </row>
    <row r="531" spans="1:26" ht="21" x14ac:dyDescent="0.65">
      <c r="A531" s="66"/>
      <c r="B531" s="66"/>
      <c r="C531" s="66"/>
      <c r="D531" s="66"/>
      <c r="E531" s="66"/>
      <c r="F531" s="66"/>
      <c r="G531" s="66"/>
      <c r="H531" s="66"/>
      <c r="I531" s="66"/>
      <c r="J531" s="66"/>
      <c r="K531" s="66"/>
      <c r="L531" s="66"/>
      <c r="M531" s="66"/>
      <c r="N531" s="66"/>
      <c r="O531" s="66"/>
      <c r="P531" s="66"/>
      <c r="Q531" s="66"/>
      <c r="R531" s="66"/>
      <c r="S531" s="66"/>
      <c r="T531" s="66"/>
      <c r="U531" s="66"/>
      <c r="V531" s="66"/>
      <c r="W531" s="66"/>
      <c r="X531" s="66"/>
      <c r="Y531" s="66"/>
      <c r="Z531" s="66"/>
    </row>
    <row r="532" spans="1:26" ht="21" x14ac:dyDescent="0.65">
      <c r="A532" s="66"/>
      <c r="B532" s="66"/>
      <c r="C532" s="66"/>
      <c r="D532" s="66"/>
      <c r="E532" s="66"/>
      <c r="F532" s="66"/>
      <c r="G532" s="66"/>
      <c r="H532" s="66"/>
      <c r="I532" s="66"/>
      <c r="J532" s="66"/>
      <c r="K532" s="66"/>
      <c r="L532" s="66"/>
      <c r="M532" s="66"/>
      <c r="N532" s="66"/>
      <c r="O532" s="66"/>
      <c r="P532" s="66"/>
      <c r="Q532" s="66"/>
      <c r="R532" s="66"/>
      <c r="S532" s="66"/>
      <c r="T532" s="66"/>
      <c r="U532" s="66"/>
      <c r="V532" s="66"/>
      <c r="W532" s="66"/>
      <c r="X532" s="66"/>
      <c r="Y532" s="66"/>
      <c r="Z532" s="66"/>
    </row>
    <row r="533" spans="1:26" ht="21" x14ac:dyDescent="0.65">
      <c r="A533" s="66"/>
      <c r="B533" s="66"/>
      <c r="C533" s="66"/>
      <c r="D533" s="66"/>
      <c r="E533" s="66"/>
      <c r="F533" s="66"/>
      <c r="G533" s="66"/>
      <c r="H533" s="66"/>
      <c r="I533" s="66"/>
      <c r="J533" s="66"/>
      <c r="K533" s="66"/>
      <c r="L533" s="66"/>
      <c r="M533" s="66"/>
      <c r="N533" s="66"/>
      <c r="O533" s="66"/>
      <c r="P533" s="66"/>
      <c r="Q533" s="66"/>
      <c r="R533" s="66"/>
      <c r="S533" s="66"/>
      <c r="T533" s="66"/>
      <c r="U533" s="66"/>
      <c r="V533" s="66"/>
      <c r="W533" s="66"/>
      <c r="X533" s="66"/>
      <c r="Y533" s="66"/>
      <c r="Z533" s="66"/>
    </row>
    <row r="534" spans="1:26" ht="21" x14ac:dyDescent="0.65">
      <c r="A534" s="66"/>
      <c r="B534" s="66"/>
      <c r="C534" s="66"/>
      <c r="D534" s="66"/>
      <c r="E534" s="66"/>
      <c r="F534" s="66"/>
      <c r="G534" s="66"/>
      <c r="H534" s="66"/>
      <c r="I534" s="66"/>
      <c r="J534" s="66"/>
      <c r="K534" s="66"/>
      <c r="L534" s="66"/>
      <c r="M534" s="66"/>
      <c r="N534" s="66"/>
      <c r="O534" s="66"/>
      <c r="P534" s="66"/>
      <c r="Q534" s="66"/>
      <c r="R534" s="66"/>
      <c r="S534" s="66"/>
      <c r="T534" s="66"/>
      <c r="U534" s="66"/>
      <c r="V534" s="66"/>
      <c r="W534" s="66"/>
      <c r="X534" s="66"/>
      <c r="Y534" s="66"/>
      <c r="Z534" s="66"/>
    </row>
    <row r="535" spans="1:26" ht="21" x14ac:dyDescent="0.65">
      <c r="A535" s="66"/>
      <c r="B535" s="66"/>
      <c r="C535" s="66"/>
      <c r="D535" s="66"/>
      <c r="E535" s="66"/>
      <c r="F535" s="66"/>
      <c r="G535" s="66"/>
      <c r="H535" s="66"/>
      <c r="I535" s="66"/>
      <c r="J535" s="66"/>
      <c r="K535" s="66"/>
      <c r="L535" s="66"/>
      <c r="M535" s="66"/>
      <c r="N535" s="66"/>
      <c r="O535" s="66"/>
      <c r="P535" s="66"/>
      <c r="Q535" s="66"/>
      <c r="R535" s="66"/>
      <c r="S535" s="66"/>
      <c r="T535" s="66"/>
      <c r="U535" s="66"/>
      <c r="V535" s="66"/>
      <c r="W535" s="66"/>
      <c r="X535" s="66"/>
      <c r="Y535" s="66"/>
      <c r="Z535" s="66"/>
    </row>
    <row r="536" spans="1:26" ht="21" x14ac:dyDescent="0.65">
      <c r="A536" s="66"/>
      <c r="B536" s="66"/>
      <c r="C536" s="66"/>
      <c r="D536" s="66"/>
      <c r="E536" s="66"/>
      <c r="F536" s="66"/>
      <c r="G536" s="66"/>
      <c r="H536" s="66"/>
      <c r="I536" s="66"/>
      <c r="J536" s="66"/>
      <c r="K536" s="66"/>
      <c r="L536" s="66"/>
      <c r="M536" s="66"/>
      <c r="N536" s="66"/>
      <c r="O536" s="66"/>
      <c r="P536" s="66"/>
      <c r="Q536" s="66"/>
      <c r="R536" s="66"/>
      <c r="S536" s="66"/>
      <c r="T536" s="66"/>
      <c r="U536" s="66"/>
      <c r="V536" s="66"/>
      <c r="W536" s="66"/>
      <c r="X536" s="66"/>
      <c r="Y536" s="66"/>
      <c r="Z536" s="66"/>
    </row>
    <row r="537" spans="1:26" ht="21" x14ac:dyDescent="0.65">
      <c r="A537" s="66"/>
      <c r="B537" s="66"/>
      <c r="C537" s="66"/>
      <c r="D537" s="66"/>
      <c r="E537" s="66"/>
      <c r="F537" s="66"/>
      <c r="G537" s="66"/>
      <c r="H537" s="66"/>
      <c r="I537" s="66"/>
      <c r="J537" s="66"/>
      <c r="K537" s="66"/>
      <c r="L537" s="66"/>
      <c r="M537" s="66"/>
      <c r="N537" s="66"/>
      <c r="O537" s="66"/>
      <c r="P537" s="66"/>
      <c r="Q537" s="66"/>
      <c r="R537" s="66"/>
      <c r="S537" s="66"/>
      <c r="T537" s="66"/>
      <c r="U537" s="66"/>
      <c r="V537" s="66"/>
      <c r="W537" s="66"/>
      <c r="X537" s="66"/>
      <c r="Y537" s="66"/>
      <c r="Z537" s="66"/>
    </row>
    <row r="538" spans="1:26" ht="21" x14ac:dyDescent="0.65">
      <c r="A538" s="66"/>
      <c r="B538" s="66"/>
      <c r="C538" s="66"/>
      <c r="D538" s="66"/>
      <c r="E538" s="66"/>
      <c r="F538" s="66"/>
      <c r="G538" s="66"/>
      <c r="H538" s="66"/>
      <c r="I538" s="66"/>
      <c r="J538" s="66"/>
      <c r="K538" s="66"/>
      <c r="L538" s="66"/>
      <c r="M538" s="66"/>
      <c r="N538" s="66"/>
      <c r="O538" s="66"/>
      <c r="P538" s="66"/>
      <c r="Q538" s="66"/>
      <c r="R538" s="66"/>
      <c r="S538" s="66"/>
      <c r="T538" s="66"/>
      <c r="U538" s="66"/>
      <c r="V538" s="66"/>
      <c r="W538" s="66"/>
      <c r="X538" s="66"/>
      <c r="Y538" s="66"/>
      <c r="Z538" s="66"/>
    </row>
    <row r="539" spans="1:26" ht="21" x14ac:dyDescent="0.65">
      <c r="A539" s="66"/>
      <c r="B539" s="66"/>
      <c r="C539" s="66"/>
      <c r="D539" s="66"/>
      <c r="E539" s="66"/>
      <c r="F539" s="66"/>
      <c r="G539" s="66"/>
      <c r="H539" s="66"/>
      <c r="I539" s="66"/>
      <c r="J539" s="66"/>
      <c r="K539" s="66"/>
      <c r="L539" s="66"/>
      <c r="M539" s="66"/>
      <c r="N539" s="66"/>
      <c r="O539" s="66"/>
      <c r="P539" s="66"/>
      <c r="Q539" s="66"/>
      <c r="R539" s="66"/>
      <c r="S539" s="66"/>
      <c r="T539" s="66"/>
      <c r="U539" s="66"/>
      <c r="V539" s="66"/>
      <c r="W539" s="66"/>
      <c r="X539" s="66"/>
      <c r="Y539" s="66"/>
      <c r="Z539" s="66"/>
    </row>
    <row r="540" spans="1:26" ht="21" x14ac:dyDescent="0.65">
      <c r="A540" s="66"/>
      <c r="B540" s="66"/>
      <c r="C540" s="66"/>
      <c r="D540" s="66"/>
      <c r="E540" s="66"/>
      <c r="F540" s="66"/>
      <c r="G540" s="66"/>
      <c r="H540" s="66"/>
      <c r="I540" s="66"/>
      <c r="J540" s="66"/>
      <c r="K540" s="66"/>
      <c r="L540" s="66"/>
      <c r="M540" s="66"/>
      <c r="N540" s="66"/>
      <c r="O540" s="66"/>
      <c r="P540" s="66"/>
      <c r="Q540" s="66"/>
      <c r="R540" s="66"/>
      <c r="S540" s="66"/>
      <c r="T540" s="66"/>
      <c r="U540" s="66"/>
      <c r="V540" s="66"/>
      <c r="W540" s="66"/>
      <c r="X540" s="66"/>
      <c r="Y540" s="66"/>
      <c r="Z540" s="66"/>
    </row>
    <row r="541" spans="1:26" ht="21" x14ac:dyDescent="0.65">
      <c r="A541" s="66"/>
      <c r="B541" s="66"/>
      <c r="C541" s="66"/>
      <c r="D541" s="66"/>
      <c r="E541" s="66"/>
      <c r="F541" s="66"/>
      <c r="G541" s="66"/>
      <c r="H541" s="66"/>
      <c r="I541" s="66"/>
      <c r="J541" s="66"/>
      <c r="K541" s="66"/>
      <c r="L541" s="66"/>
      <c r="M541" s="66"/>
      <c r="N541" s="66"/>
      <c r="O541" s="66"/>
      <c r="P541" s="66"/>
      <c r="Q541" s="66"/>
      <c r="R541" s="66"/>
      <c r="S541" s="66"/>
      <c r="T541" s="66"/>
      <c r="U541" s="66"/>
      <c r="V541" s="66"/>
      <c r="W541" s="66"/>
      <c r="X541" s="66"/>
      <c r="Y541" s="66"/>
      <c r="Z541" s="66"/>
    </row>
    <row r="542" spans="1:26" ht="21" x14ac:dyDescent="0.65">
      <c r="A542" s="66"/>
      <c r="B542" s="66"/>
      <c r="C542" s="66"/>
      <c r="D542" s="66"/>
      <c r="E542" s="66"/>
      <c r="F542" s="66"/>
      <c r="G542" s="66"/>
      <c r="H542" s="66"/>
      <c r="I542" s="66"/>
      <c r="J542" s="66"/>
      <c r="K542" s="66"/>
      <c r="L542" s="66"/>
      <c r="M542" s="66"/>
      <c r="N542" s="66"/>
      <c r="O542" s="66"/>
      <c r="P542" s="66"/>
      <c r="Q542" s="66"/>
      <c r="R542" s="66"/>
      <c r="S542" s="66"/>
      <c r="T542" s="66"/>
      <c r="U542" s="66"/>
      <c r="V542" s="66"/>
      <c r="W542" s="66"/>
      <c r="X542" s="66"/>
      <c r="Y542" s="66"/>
      <c r="Z542" s="66"/>
    </row>
    <row r="543" spans="1:26" ht="21" x14ac:dyDescent="0.65">
      <c r="A543" s="66"/>
      <c r="B543" s="66"/>
      <c r="C543" s="66"/>
      <c r="D543" s="66"/>
      <c r="E543" s="66"/>
      <c r="F543" s="66"/>
      <c r="G543" s="66"/>
      <c r="H543" s="66"/>
      <c r="I543" s="66"/>
      <c r="J543" s="66"/>
      <c r="K543" s="66"/>
      <c r="L543" s="66"/>
      <c r="M543" s="66"/>
      <c r="N543" s="66"/>
      <c r="O543" s="66"/>
      <c r="P543" s="66"/>
      <c r="Q543" s="66"/>
      <c r="R543" s="66"/>
      <c r="S543" s="66"/>
      <c r="T543" s="66"/>
      <c r="U543" s="66"/>
      <c r="V543" s="66"/>
      <c r="W543" s="66"/>
      <c r="X543" s="66"/>
      <c r="Y543" s="66"/>
      <c r="Z543" s="66"/>
    </row>
    <row r="544" spans="1:26" ht="21" x14ac:dyDescent="0.65">
      <c r="A544" s="66"/>
      <c r="B544" s="66"/>
      <c r="C544" s="66"/>
      <c r="D544" s="66"/>
      <c r="E544" s="66"/>
      <c r="F544" s="66"/>
      <c r="G544" s="66"/>
      <c r="H544" s="66"/>
      <c r="I544" s="66"/>
      <c r="J544" s="66"/>
      <c r="K544" s="66"/>
      <c r="L544" s="66"/>
      <c r="M544" s="66"/>
      <c r="N544" s="66"/>
      <c r="O544" s="66"/>
      <c r="P544" s="66"/>
      <c r="Q544" s="66"/>
      <c r="R544" s="66"/>
      <c r="S544" s="66"/>
      <c r="T544" s="66"/>
      <c r="U544" s="66"/>
      <c r="V544" s="66"/>
      <c r="W544" s="66"/>
      <c r="X544" s="66"/>
      <c r="Y544" s="66"/>
      <c r="Z544" s="66"/>
    </row>
    <row r="545" spans="1:26" ht="21" x14ac:dyDescent="0.65">
      <c r="A545" s="66"/>
      <c r="B545" s="66"/>
      <c r="C545" s="66"/>
      <c r="D545" s="66"/>
      <c r="E545" s="66"/>
      <c r="F545" s="66"/>
      <c r="G545" s="66"/>
      <c r="H545" s="66"/>
      <c r="I545" s="66"/>
      <c r="J545" s="66"/>
      <c r="K545" s="66"/>
      <c r="L545" s="66"/>
      <c r="M545" s="66"/>
      <c r="N545" s="66"/>
      <c r="O545" s="66"/>
      <c r="P545" s="66"/>
      <c r="Q545" s="66"/>
      <c r="R545" s="66"/>
      <c r="S545" s="66"/>
      <c r="T545" s="66"/>
      <c r="U545" s="66"/>
      <c r="V545" s="66"/>
      <c r="W545" s="66"/>
      <c r="X545" s="66"/>
      <c r="Y545" s="66"/>
      <c r="Z545" s="66"/>
    </row>
    <row r="546" spans="1:26" ht="21" x14ac:dyDescent="0.65">
      <c r="A546" s="66"/>
      <c r="B546" s="66"/>
      <c r="C546" s="66"/>
      <c r="D546" s="66"/>
      <c r="E546" s="66"/>
      <c r="F546" s="66"/>
      <c r="G546" s="66"/>
      <c r="H546" s="66"/>
      <c r="I546" s="66"/>
      <c r="J546" s="66"/>
      <c r="K546" s="66"/>
      <c r="L546" s="66"/>
      <c r="M546" s="66"/>
      <c r="N546" s="66"/>
      <c r="O546" s="66"/>
      <c r="P546" s="66"/>
      <c r="Q546" s="66"/>
      <c r="R546" s="66"/>
      <c r="S546" s="66"/>
      <c r="T546" s="66"/>
      <c r="U546" s="66"/>
      <c r="V546" s="66"/>
      <c r="W546" s="66"/>
      <c r="X546" s="66"/>
      <c r="Y546" s="66"/>
      <c r="Z546" s="66"/>
    </row>
    <row r="547" spans="1:26" ht="21" x14ac:dyDescent="0.65">
      <c r="A547" s="66"/>
      <c r="B547" s="66"/>
      <c r="C547" s="66"/>
      <c r="D547" s="66"/>
      <c r="E547" s="66"/>
      <c r="F547" s="66"/>
      <c r="G547" s="66"/>
      <c r="H547" s="66"/>
      <c r="I547" s="66"/>
      <c r="J547" s="66"/>
      <c r="K547" s="66"/>
      <c r="L547" s="66"/>
      <c r="M547" s="66"/>
      <c r="N547" s="66"/>
      <c r="O547" s="66"/>
      <c r="P547" s="66"/>
      <c r="Q547" s="66"/>
      <c r="R547" s="66"/>
      <c r="S547" s="66"/>
      <c r="T547" s="66"/>
      <c r="U547" s="66"/>
      <c r="V547" s="66"/>
      <c r="W547" s="66"/>
      <c r="X547" s="66"/>
      <c r="Y547" s="66"/>
      <c r="Z547" s="66"/>
    </row>
    <row r="548" spans="1:26" ht="21" x14ac:dyDescent="0.65">
      <c r="A548" s="66"/>
      <c r="B548" s="66"/>
      <c r="C548" s="66"/>
      <c r="D548" s="66"/>
      <c r="E548" s="66"/>
      <c r="F548" s="66"/>
      <c r="G548" s="66"/>
      <c r="H548" s="66"/>
      <c r="I548" s="66"/>
      <c r="J548" s="66"/>
      <c r="K548" s="66"/>
      <c r="L548" s="66"/>
      <c r="M548" s="66"/>
      <c r="N548" s="66"/>
      <c r="O548" s="66"/>
      <c r="P548" s="66"/>
      <c r="Q548" s="66"/>
      <c r="R548" s="66"/>
      <c r="S548" s="66"/>
      <c r="T548" s="66"/>
      <c r="U548" s="66"/>
      <c r="V548" s="66"/>
      <c r="W548" s="66"/>
      <c r="X548" s="66"/>
      <c r="Y548" s="66"/>
      <c r="Z548" s="66"/>
    </row>
    <row r="549" spans="1:26" ht="21" x14ac:dyDescent="0.65">
      <c r="A549" s="66"/>
      <c r="B549" s="66"/>
      <c r="C549" s="66"/>
      <c r="D549" s="66"/>
      <c r="E549" s="66"/>
      <c r="F549" s="66"/>
      <c r="G549" s="66"/>
      <c r="H549" s="66"/>
      <c r="I549" s="66"/>
      <c r="J549" s="66"/>
      <c r="K549" s="66"/>
      <c r="L549" s="66"/>
      <c r="M549" s="66"/>
      <c r="N549" s="66"/>
      <c r="O549" s="66"/>
      <c r="P549" s="66"/>
      <c r="Q549" s="66"/>
      <c r="R549" s="66"/>
      <c r="S549" s="66"/>
      <c r="T549" s="66"/>
      <c r="U549" s="66"/>
      <c r="V549" s="66"/>
      <c r="W549" s="66"/>
      <c r="X549" s="66"/>
      <c r="Y549" s="66"/>
      <c r="Z549" s="66"/>
    </row>
    <row r="550" spans="1:26" ht="21" x14ac:dyDescent="0.65">
      <c r="A550" s="66"/>
      <c r="B550" s="66"/>
      <c r="C550" s="66"/>
      <c r="D550" s="66"/>
      <c r="E550" s="66"/>
      <c r="F550" s="66"/>
      <c r="G550" s="66"/>
      <c r="H550" s="66"/>
      <c r="I550" s="66"/>
      <c r="J550" s="66"/>
      <c r="K550" s="66"/>
      <c r="L550" s="66"/>
      <c r="M550" s="66"/>
      <c r="N550" s="66"/>
      <c r="O550" s="66"/>
      <c r="P550" s="66"/>
      <c r="Q550" s="66"/>
      <c r="R550" s="66"/>
      <c r="S550" s="66"/>
      <c r="T550" s="66"/>
      <c r="U550" s="66"/>
      <c r="V550" s="66"/>
      <c r="W550" s="66"/>
      <c r="X550" s="66"/>
      <c r="Y550" s="66"/>
      <c r="Z550" s="66"/>
    </row>
    <row r="551" spans="1:26" ht="21" x14ac:dyDescent="0.65">
      <c r="A551" s="66"/>
      <c r="B551" s="66"/>
      <c r="C551" s="66"/>
      <c r="D551" s="66"/>
      <c r="E551" s="66"/>
      <c r="F551" s="66"/>
      <c r="G551" s="66"/>
      <c r="H551" s="66"/>
      <c r="I551" s="66"/>
      <c r="J551" s="66"/>
      <c r="K551" s="66"/>
      <c r="L551" s="66"/>
      <c r="M551" s="66"/>
      <c r="N551" s="66"/>
      <c r="O551" s="66"/>
      <c r="P551" s="66"/>
      <c r="Q551" s="66"/>
      <c r="R551" s="66"/>
      <c r="S551" s="66"/>
      <c r="T551" s="66"/>
      <c r="U551" s="66"/>
      <c r="V551" s="66"/>
      <c r="W551" s="66"/>
      <c r="X551" s="66"/>
      <c r="Y551" s="66"/>
      <c r="Z551" s="66"/>
    </row>
    <row r="552" spans="1:26" ht="21" x14ac:dyDescent="0.65">
      <c r="A552" s="66"/>
      <c r="B552" s="66"/>
      <c r="C552" s="66"/>
      <c r="D552" s="66"/>
      <c r="E552" s="66"/>
      <c r="F552" s="66"/>
      <c r="G552" s="66"/>
      <c r="H552" s="66"/>
      <c r="I552" s="66"/>
      <c r="J552" s="66"/>
      <c r="K552" s="66"/>
      <c r="L552" s="66"/>
      <c r="M552" s="66"/>
      <c r="N552" s="66"/>
      <c r="O552" s="66"/>
      <c r="P552" s="66"/>
      <c r="Q552" s="66"/>
      <c r="R552" s="66"/>
      <c r="S552" s="66"/>
      <c r="T552" s="66"/>
      <c r="U552" s="66"/>
      <c r="V552" s="66"/>
      <c r="W552" s="66"/>
      <c r="X552" s="66"/>
      <c r="Y552" s="66"/>
      <c r="Z552" s="66"/>
    </row>
    <row r="553" spans="1:26" ht="21" x14ac:dyDescent="0.65">
      <c r="A553" s="66"/>
      <c r="B553" s="66"/>
      <c r="C553" s="66"/>
      <c r="D553" s="66"/>
      <c r="E553" s="66"/>
      <c r="F553" s="66"/>
      <c r="G553" s="66"/>
      <c r="H553" s="66"/>
      <c r="I553" s="66"/>
      <c r="J553" s="66"/>
      <c r="K553" s="66"/>
      <c r="L553" s="66"/>
      <c r="M553" s="66"/>
      <c r="N553" s="66"/>
      <c r="O553" s="66"/>
      <c r="P553" s="66"/>
      <c r="Q553" s="66"/>
      <c r="R553" s="66"/>
      <c r="S553" s="66"/>
      <c r="T553" s="66"/>
      <c r="U553" s="66"/>
      <c r="V553" s="66"/>
      <c r="W553" s="66"/>
      <c r="X553" s="66"/>
      <c r="Y553" s="66"/>
      <c r="Z553" s="66"/>
    </row>
    <row r="554" spans="1:26" ht="21" x14ac:dyDescent="0.65">
      <c r="A554" s="66"/>
      <c r="B554" s="66"/>
      <c r="C554" s="66"/>
      <c r="D554" s="66"/>
      <c r="E554" s="66"/>
      <c r="F554" s="66"/>
      <c r="G554" s="66"/>
      <c r="H554" s="66"/>
      <c r="I554" s="66"/>
      <c r="J554" s="66"/>
      <c r="K554" s="66"/>
      <c r="L554" s="66"/>
      <c r="M554" s="66"/>
      <c r="N554" s="66"/>
      <c r="O554" s="66"/>
      <c r="P554" s="66"/>
      <c r="Q554" s="66"/>
      <c r="R554" s="66"/>
      <c r="S554" s="66"/>
      <c r="T554" s="66"/>
      <c r="U554" s="66"/>
      <c r="V554" s="66"/>
      <c r="W554" s="66"/>
      <c r="X554" s="66"/>
      <c r="Y554" s="66"/>
      <c r="Z554" s="66"/>
    </row>
    <row r="555" spans="1:26" ht="21" x14ac:dyDescent="0.65">
      <c r="A555" s="66"/>
      <c r="B555" s="66"/>
      <c r="C555" s="66"/>
      <c r="D555" s="66"/>
      <c r="E555" s="66"/>
      <c r="F555" s="66"/>
      <c r="G555" s="66"/>
      <c r="H555" s="66"/>
      <c r="I555" s="66"/>
      <c r="J555" s="66"/>
      <c r="K555" s="66"/>
      <c r="L555" s="66"/>
      <c r="M555" s="66"/>
      <c r="N555" s="66"/>
      <c r="O555" s="66"/>
      <c r="P555" s="66"/>
      <c r="Q555" s="66"/>
      <c r="R555" s="66"/>
      <c r="S555" s="66"/>
      <c r="T555" s="66"/>
      <c r="U555" s="66"/>
      <c r="V555" s="66"/>
      <c r="W555" s="66"/>
      <c r="X555" s="66"/>
      <c r="Y555" s="66"/>
      <c r="Z555" s="66"/>
    </row>
    <row r="556" spans="1:26" ht="21" x14ac:dyDescent="0.65">
      <c r="A556" s="66"/>
      <c r="B556" s="66"/>
      <c r="C556" s="66"/>
      <c r="D556" s="66"/>
      <c r="E556" s="66"/>
      <c r="F556" s="66"/>
      <c r="G556" s="66"/>
      <c r="H556" s="66"/>
      <c r="I556" s="66"/>
      <c r="J556" s="66"/>
      <c r="K556" s="66"/>
      <c r="L556" s="66"/>
      <c r="M556" s="66"/>
      <c r="N556" s="66"/>
      <c r="O556" s="66"/>
      <c r="P556" s="66"/>
      <c r="Q556" s="66"/>
      <c r="R556" s="66"/>
      <c r="S556" s="66"/>
      <c r="T556" s="66"/>
      <c r="U556" s="66"/>
      <c r="V556" s="66"/>
      <c r="W556" s="66"/>
      <c r="X556" s="66"/>
      <c r="Y556" s="66"/>
      <c r="Z556" s="66"/>
    </row>
    <row r="557" spans="1:26" ht="21" x14ac:dyDescent="0.65">
      <c r="A557" s="66"/>
      <c r="B557" s="66"/>
      <c r="C557" s="66"/>
      <c r="D557" s="66"/>
      <c r="E557" s="66"/>
      <c r="F557" s="66"/>
      <c r="G557" s="66"/>
      <c r="H557" s="66"/>
      <c r="I557" s="66"/>
      <c r="J557" s="66"/>
      <c r="K557" s="66"/>
      <c r="L557" s="66"/>
      <c r="M557" s="66"/>
      <c r="N557" s="66"/>
      <c r="O557" s="66"/>
      <c r="P557" s="66"/>
      <c r="Q557" s="66"/>
      <c r="R557" s="66"/>
      <c r="S557" s="66"/>
      <c r="T557" s="66"/>
      <c r="U557" s="66"/>
      <c r="V557" s="66"/>
      <c r="W557" s="66"/>
      <c r="X557" s="66"/>
      <c r="Y557" s="66"/>
      <c r="Z557" s="66"/>
    </row>
    <row r="558" spans="1:26" ht="21" x14ac:dyDescent="0.65">
      <c r="A558" s="66"/>
      <c r="B558" s="66"/>
      <c r="C558" s="66"/>
      <c r="D558" s="66"/>
      <c r="E558" s="66"/>
      <c r="F558" s="66"/>
      <c r="G558" s="66"/>
      <c r="H558" s="66"/>
      <c r="I558" s="66"/>
      <c r="J558" s="66"/>
      <c r="K558" s="66"/>
      <c r="L558" s="66"/>
      <c r="M558" s="66"/>
      <c r="N558" s="66"/>
      <c r="O558" s="66"/>
      <c r="P558" s="66"/>
      <c r="Q558" s="66"/>
      <c r="R558" s="66"/>
      <c r="S558" s="66"/>
      <c r="T558" s="66"/>
      <c r="U558" s="66"/>
      <c r="V558" s="66"/>
      <c r="W558" s="66"/>
      <c r="X558" s="66"/>
      <c r="Y558" s="66"/>
      <c r="Z558" s="66"/>
    </row>
    <row r="559" spans="1:26" ht="21" x14ac:dyDescent="0.65">
      <c r="A559" s="66"/>
      <c r="B559" s="66"/>
      <c r="C559" s="66"/>
      <c r="D559" s="66"/>
      <c r="E559" s="66"/>
      <c r="F559" s="66"/>
      <c r="G559" s="66"/>
      <c r="H559" s="66"/>
      <c r="I559" s="66"/>
      <c r="J559" s="66"/>
      <c r="K559" s="66"/>
      <c r="L559" s="66"/>
      <c r="M559" s="66"/>
      <c r="N559" s="66"/>
      <c r="O559" s="66"/>
      <c r="P559" s="66"/>
      <c r="Q559" s="66"/>
      <c r="R559" s="66"/>
      <c r="S559" s="66"/>
      <c r="T559" s="66"/>
      <c r="U559" s="66"/>
      <c r="V559" s="66"/>
      <c r="W559" s="66"/>
      <c r="X559" s="66"/>
      <c r="Y559" s="66"/>
      <c r="Z559" s="66"/>
    </row>
    <row r="560" spans="1:26" ht="21" x14ac:dyDescent="0.65">
      <c r="A560" s="66"/>
      <c r="B560" s="66"/>
      <c r="C560" s="66"/>
      <c r="D560" s="66"/>
      <c r="E560" s="66"/>
      <c r="F560" s="66"/>
      <c r="G560" s="66"/>
      <c r="H560" s="66"/>
      <c r="I560" s="66"/>
      <c r="J560" s="66"/>
      <c r="K560" s="66"/>
      <c r="L560" s="66"/>
      <c r="M560" s="66"/>
      <c r="N560" s="66"/>
      <c r="O560" s="66"/>
      <c r="P560" s="66"/>
      <c r="Q560" s="66"/>
      <c r="R560" s="66"/>
      <c r="S560" s="66"/>
      <c r="T560" s="66"/>
      <c r="U560" s="66"/>
      <c r="V560" s="66"/>
      <c r="W560" s="66"/>
      <c r="X560" s="66"/>
      <c r="Y560" s="66"/>
      <c r="Z560" s="66"/>
    </row>
    <row r="561" spans="1:26" ht="21" x14ac:dyDescent="0.65">
      <c r="A561" s="66"/>
      <c r="B561" s="66"/>
      <c r="C561" s="66"/>
      <c r="D561" s="66"/>
      <c r="E561" s="66"/>
      <c r="F561" s="66"/>
      <c r="G561" s="66"/>
      <c r="H561" s="66"/>
      <c r="I561" s="66"/>
      <c r="J561" s="66"/>
      <c r="K561" s="66"/>
      <c r="L561" s="66"/>
      <c r="M561" s="66"/>
      <c r="N561" s="66"/>
      <c r="O561" s="66"/>
      <c r="P561" s="66"/>
      <c r="Q561" s="66"/>
      <c r="R561" s="66"/>
      <c r="S561" s="66"/>
      <c r="T561" s="66"/>
      <c r="U561" s="66"/>
      <c r="V561" s="66"/>
      <c r="W561" s="66"/>
      <c r="X561" s="66"/>
      <c r="Y561" s="66"/>
      <c r="Z561" s="66"/>
    </row>
    <row r="562" spans="1:26" ht="21" x14ac:dyDescent="0.65">
      <c r="A562" s="66"/>
      <c r="B562" s="66"/>
      <c r="C562" s="66"/>
      <c r="D562" s="66"/>
      <c r="E562" s="66"/>
      <c r="F562" s="66"/>
      <c r="G562" s="66"/>
      <c r="H562" s="66"/>
      <c r="I562" s="66"/>
      <c r="J562" s="66"/>
      <c r="K562" s="66"/>
      <c r="L562" s="66"/>
      <c r="M562" s="66"/>
      <c r="N562" s="66"/>
      <c r="O562" s="66"/>
      <c r="P562" s="66"/>
      <c r="Q562" s="66"/>
      <c r="R562" s="66"/>
      <c r="S562" s="66"/>
      <c r="T562" s="66"/>
      <c r="U562" s="66"/>
      <c r="V562" s="66"/>
      <c r="W562" s="66"/>
      <c r="X562" s="66"/>
      <c r="Y562" s="66"/>
      <c r="Z562" s="66"/>
    </row>
    <row r="563" spans="1:26" ht="21" x14ac:dyDescent="0.65">
      <c r="A563" s="66"/>
      <c r="B563" s="66"/>
      <c r="C563" s="66"/>
      <c r="D563" s="66"/>
      <c r="E563" s="66"/>
      <c r="F563" s="66"/>
      <c r="G563" s="66"/>
      <c r="H563" s="66"/>
      <c r="I563" s="66"/>
      <c r="J563" s="66"/>
      <c r="K563" s="66"/>
      <c r="L563" s="66"/>
      <c r="M563" s="66"/>
      <c r="N563" s="66"/>
      <c r="O563" s="66"/>
      <c r="P563" s="66"/>
      <c r="Q563" s="66"/>
      <c r="R563" s="66"/>
      <c r="S563" s="66"/>
      <c r="T563" s="66"/>
      <c r="U563" s="66"/>
      <c r="V563" s="66"/>
      <c r="W563" s="66"/>
      <c r="X563" s="66"/>
      <c r="Y563" s="66"/>
      <c r="Z563" s="66"/>
    </row>
    <row r="564" spans="1:26" ht="21" x14ac:dyDescent="0.65">
      <c r="A564" s="66"/>
      <c r="B564" s="66"/>
      <c r="C564" s="66"/>
      <c r="D564" s="66"/>
      <c r="E564" s="66"/>
      <c r="F564" s="66"/>
      <c r="G564" s="66"/>
      <c r="H564" s="66"/>
      <c r="I564" s="66"/>
      <c r="J564" s="66"/>
      <c r="K564" s="66"/>
      <c r="L564" s="66"/>
      <c r="M564" s="66"/>
      <c r="N564" s="66"/>
      <c r="O564" s="66"/>
      <c r="P564" s="66"/>
      <c r="Q564" s="66"/>
      <c r="R564" s="66"/>
      <c r="S564" s="66"/>
      <c r="T564" s="66"/>
      <c r="U564" s="66"/>
      <c r="V564" s="66"/>
      <c r="W564" s="66"/>
      <c r="X564" s="66"/>
      <c r="Y564" s="66"/>
      <c r="Z564" s="66"/>
    </row>
    <row r="565" spans="1:26" ht="21" x14ac:dyDescent="0.65">
      <c r="A565" s="66"/>
      <c r="B565" s="66"/>
      <c r="C565" s="66"/>
      <c r="D565" s="66"/>
      <c r="E565" s="66"/>
      <c r="F565" s="66"/>
      <c r="G565" s="66"/>
      <c r="H565" s="66"/>
      <c r="I565" s="66"/>
      <c r="J565" s="66"/>
      <c r="K565" s="66"/>
      <c r="L565" s="66"/>
      <c r="M565" s="66"/>
      <c r="N565" s="66"/>
      <c r="O565" s="66"/>
      <c r="P565" s="66"/>
      <c r="Q565" s="66"/>
      <c r="R565" s="66"/>
      <c r="S565" s="66"/>
      <c r="T565" s="66"/>
      <c r="U565" s="66"/>
      <c r="V565" s="66"/>
      <c r="W565" s="66"/>
      <c r="X565" s="66"/>
      <c r="Y565" s="66"/>
      <c r="Z565" s="66"/>
    </row>
    <row r="566" spans="1:26" ht="21" x14ac:dyDescent="0.65">
      <c r="A566" s="66"/>
      <c r="B566" s="66"/>
      <c r="C566" s="66"/>
      <c r="D566" s="66"/>
      <c r="E566" s="66"/>
      <c r="F566" s="66"/>
      <c r="G566" s="66"/>
      <c r="H566" s="66"/>
      <c r="I566" s="66"/>
      <c r="J566" s="66"/>
      <c r="K566" s="66"/>
      <c r="L566" s="66"/>
      <c r="M566" s="66"/>
      <c r="N566" s="66"/>
      <c r="O566" s="66"/>
      <c r="P566" s="66"/>
      <c r="Q566" s="66"/>
      <c r="R566" s="66"/>
      <c r="S566" s="66"/>
      <c r="T566" s="66"/>
      <c r="U566" s="66"/>
      <c r="V566" s="66"/>
      <c r="W566" s="66"/>
      <c r="X566" s="66"/>
      <c r="Y566" s="66"/>
      <c r="Z566" s="66"/>
    </row>
    <row r="567" spans="1:26" ht="21" x14ac:dyDescent="0.65">
      <c r="A567" s="66"/>
      <c r="B567" s="66"/>
      <c r="C567" s="66"/>
      <c r="D567" s="66"/>
      <c r="E567" s="66"/>
      <c r="F567" s="66"/>
      <c r="G567" s="66"/>
      <c r="H567" s="66"/>
      <c r="I567" s="66"/>
      <c r="J567" s="66"/>
      <c r="K567" s="66"/>
      <c r="L567" s="66"/>
      <c r="M567" s="66"/>
      <c r="N567" s="66"/>
      <c r="O567" s="66"/>
      <c r="P567" s="66"/>
      <c r="Q567" s="66"/>
      <c r="R567" s="66"/>
      <c r="S567" s="66"/>
      <c r="T567" s="66"/>
      <c r="U567" s="66"/>
      <c r="V567" s="66"/>
      <c r="W567" s="66"/>
      <c r="X567" s="66"/>
      <c r="Y567" s="66"/>
      <c r="Z567" s="66"/>
    </row>
    <row r="568" spans="1:26" ht="21" x14ac:dyDescent="0.65">
      <c r="A568" s="66"/>
      <c r="B568" s="66"/>
      <c r="C568" s="66"/>
      <c r="D568" s="66"/>
      <c r="E568" s="66"/>
      <c r="F568" s="66"/>
      <c r="G568" s="66"/>
      <c r="H568" s="66"/>
      <c r="I568" s="66"/>
      <c r="J568" s="66"/>
      <c r="K568" s="66"/>
      <c r="L568" s="66"/>
      <c r="M568" s="66"/>
      <c r="N568" s="66"/>
      <c r="O568" s="66"/>
      <c r="P568" s="66"/>
      <c r="Q568" s="66"/>
      <c r="R568" s="66"/>
      <c r="S568" s="66"/>
      <c r="T568" s="66"/>
      <c r="U568" s="66"/>
      <c r="V568" s="66"/>
      <c r="W568" s="66"/>
      <c r="X568" s="66"/>
      <c r="Y568" s="66"/>
      <c r="Z568" s="66"/>
    </row>
    <row r="569" spans="1:26" ht="21" x14ac:dyDescent="0.65">
      <c r="A569" s="66"/>
      <c r="B569" s="66"/>
      <c r="C569" s="66"/>
      <c r="D569" s="66"/>
      <c r="E569" s="66"/>
      <c r="F569" s="66"/>
      <c r="G569" s="66"/>
      <c r="H569" s="66"/>
      <c r="I569" s="66"/>
      <c r="J569" s="66"/>
      <c r="K569" s="66"/>
      <c r="L569" s="66"/>
      <c r="M569" s="66"/>
      <c r="N569" s="66"/>
      <c r="O569" s="66"/>
      <c r="P569" s="66"/>
      <c r="Q569" s="66"/>
      <c r="R569" s="66"/>
      <c r="S569" s="66"/>
      <c r="T569" s="66"/>
      <c r="U569" s="66"/>
      <c r="V569" s="66"/>
      <c r="W569" s="66"/>
      <c r="X569" s="66"/>
      <c r="Y569" s="66"/>
      <c r="Z569" s="66"/>
    </row>
    <row r="570" spans="1:26" ht="21" x14ac:dyDescent="0.65">
      <c r="A570" s="66"/>
      <c r="B570" s="66"/>
      <c r="C570" s="66"/>
      <c r="D570" s="66"/>
      <c r="E570" s="66"/>
      <c r="F570" s="66"/>
      <c r="G570" s="66"/>
      <c r="H570" s="66"/>
      <c r="I570" s="66"/>
      <c r="J570" s="66"/>
      <c r="K570" s="66"/>
      <c r="L570" s="66"/>
      <c r="M570" s="66"/>
      <c r="N570" s="66"/>
      <c r="O570" s="66"/>
      <c r="P570" s="66"/>
      <c r="Q570" s="66"/>
      <c r="R570" s="66"/>
      <c r="S570" s="66"/>
      <c r="T570" s="66"/>
      <c r="U570" s="66"/>
      <c r="V570" s="66"/>
      <c r="W570" s="66"/>
      <c r="X570" s="66"/>
      <c r="Y570" s="66"/>
      <c r="Z570" s="66"/>
    </row>
    <row r="571" spans="1:26" ht="21" x14ac:dyDescent="0.65">
      <c r="A571" s="66"/>
      <c r="B571" s="66"/>
      <c r="C571" s="66"/>
      <c r="D571" s="66"/>
      <c r="E571" s="66"/>
      <c r="F571" s="66"/>
      <c r="G571" s="66"/>
      <c r="H571" s="66"/>
      <c r="I571" s="66"/>
      <c r="J571" s="66"/>
      <c r="K571" s="66"/>
      <c r="L571" s="66"/>
      <c r="M571" s="66"/>
      <c r="N571" s="66"/>
      <c r="O571" s="66"/>
      <c r="P571" s="66"/>
      <c r="Q571" s="66"/>
      <c r="R571" s="66"/>
      <c r="S571" s="66"/>
      <c r="T571" s="66"/>
      <c r="U571" s="66"/>
      <c r="V571" s="66"/>
      <c r="W571" s="66"/>
      <c r="X571" s="66"/>
      <c r="Y571" s="66"/>
      <c r="Z571" s="66"/>
    </row>
    <row r="572" spans="1:26" ht="21" x14ac:dyDescent="0.65">
      <c r="A572" s="66"/>
      <c r="B572" s="66"/>
      <c r="C572" s="66"/>
      <c r="D572" s="66"/>
      <c r="E572" s="66"/>
      <c r="F572" s="66"/>
      <c r="G572" s="66"/>
      <c r="H572" s="66"/>
      <c r="I572" s="66"/>
      <c r="J572" s="66"/>
      <c r="K572" s="66"/>
      <c r="L572" s="66"/>
      <c r="M572" s="66"/>
      <c r="N572" s="66"/>
      <c r="O572" s="66"/>
      <c r="P572" s="66"/>
      <c r="Q572" s="66"/>
      <c r="R572" s="66"/>
      <c r="S572" s="66"/>
      <c r="T572" s="66"/>
      <c r="U572" s="66"/>
      <c r="V572" s="66"/>
      <c r="W572" s="66"/>
      <c r="X572" s="66"/>
      <c r="Y572" s="66"/>
      <c r="Z572" s="66"/>
    </row>
    <row r="573" spans="1:26" ht="21" x14ac:dyDescent="0.65">
      <c r="A573" s="66"/>
      <c r="B573" s="66"/>
      <c r="C573" s="66"/>
      <c r="D573" s="66"/>
      <c r="E573" s="66"/>
      <c r="F573" s="66"/>
      <c r="G573" s="66"/>
      <c r="H573" s="66"/>
      <c r="I573" s="66"/>
      <c r="J573" s="66"/>
      <c r="K573" s="66"/>
      <c r="L573" s="66"/>
      <c r="M573" s="66"/>
      <c r="N573" s="66"/>
      <c r="O573" s="66"/>
      <c r="P573" s="66"/>
      <c r="Q573" s="66"/>
      <c r="R573" s="66"/>
      <c r="S573" s="66"/>
      <c r="T573" s="66"/>
      <c r="U573" s="66"/>
      <c r="V573" s="66"/>
      <c r="W573" s="66"/>
      <c r="X573" s="66"/>
      <c r="Y573" s="66"/>
      <c r="Z573" s="66"/>
    </row>
    <row r="574" spans="1:26" ht="21" x14ac:dyDescent="0.65">
      <c r="A574" s="66"/>
      <c r="B574" s="66"/>
      <c r="C574" s="66"/>
      <c r="D574" s="66"/>
      <c r="E574" s="66"/>
      <c r="F574" s="66"/>
      <c r="G574" s="66"/>
      <c r="H574" s="66"/>
      <c r="I574" s="66"/>
      <c r="J574" s="66"/>
      <c r="K574" s="66"/>
      <c r="L574" s="66"/>
      <c r="M574" s="66"/>
      <c r="N574" s="66"/>
      <c r="O574" s="66"/>
      <c r="P574" s="66"/>
      <c r="Q574" s="66"/>
      <c r="R574" s="66"/>
      <c r="S574" s="66"/>
      <c r="T574" s="66"/>
      <c r="U574" s="66"/>
      <c r="V574" s="66"/>
      <c r="W574" s="66"/>
      <c r="X574" s="66"/>
      <c r="Y574" s="66"/>
      <c r="Z574" s="66"/>
    </row>
    <row r="575" spans="1:26" ht="21" x14ac:dyDescent="0.65">
      <c r="A575" s="66"/>
      <c r="B575" s="66"/>
      <c r="C575" s="66"/>
      <c r="D575" s="66"/>
      <c r="E575" s="66"/>
      <c r="F575" s="66"/>
      <c r="G575" s="66"/>
      <c r="H575" s="66"/>
      <c r="I575" s="66"/>
      <c r="J575" s="66"/>
      <c r="K575" s="66"/>
      <c r="L575" s="66"/>
      <c r="M575" s="66"/>
      <c r="N575" s="66"/>
      <c r="O575" s="66"/>
      <c r="P575" s="66"/>
      <c r="Q575" s="66"/>
      <c r="R575" s="66"/>
      <c r="S575" s="66"/>
      <c r="T575" s="66"/>
      <c r="U575" s="66"/>
      <c r="V575" s="66"/>
      <c r="W575" s="66"/>
      <c r="X575" s="66"/>
      <c r="Y575" s="66"/>
      <c r="Z575" s="66"/>
    </row>
    <row r="576" spans="1:26" ht="21" x14ac:dyDescent="0.65">
      <c r="A576" s="66"/>
      <c r="B576" s="66"/>
      <c r="C576" s="66"/>
      <c r="D576" s="66"/>
      <c r="E576" s="66"/>
      <c r="F576" s="66"/>
      <c r="G576" s="66"/>
      <c r="H576" s="66"/>
      <c r="I576" s="66"/>
      <c r="J576" s="66"/>
      <c r="K576" s="66"/>
      <c r="L576" s="66"/>
      <c r="M576" s="66"/>
      <c r="N576" s="66"/>
      <c r="O576" s="66"/>
      <c r="P576" s="66"/>
      <c r="Q576" s="66"/>
      <c r="R576" s="66"/>
      <c r="S576" s="66"/>
      <c r="T576" s="66"/>
      <c r="U576" s="66"/>
      <c r="V576" s="66"/>
      <c r="W576" s="66"/>
      <c r="X576" s="66"/>
      <c r="Y576" s="66"/>
      <c r="Z576" s="66"/>
    </row>
    <row r="577" spans="1:26" ht="21" x14ac:dyDescent="0.65">
      <c r="A577" s="66"/>
      <c r="B577" s="66"/>
      <c r="C577" s="66"/>
      <c r="D577" s="66"/>
      <c r="E577" s="66"/>
      <c r="F577" s="66"/>
      <c r="G577" s="66"/>
      <c r="H577" s="66"/>
      <c r="I577" s="66"/>
      <c r="J577" s="66"/>
      <c r="K577" s="66"/>
      <c r="L577" s="66"/>
      <c r="M577" s="66"/>
      <c r="N577" s="66"/>
      <c r="O577" s="66"/>
      <c r="P577" s="66"/>
      <c r="Q577" s="66"/>
      <c r="R577" s="66"/>
      <c r="S577" s="66"/>
      <c r="T577" s="66"/>
      <c r="U577" s="66"/>
      <c r="V577" s="66"/>
      <c r="W577" s="66"/>
      <c r="X577" s="66"/>
      <c r="Y577" s="66"/>
      <c r="Z577" s="66"/>
    </row>
    <row r="578" spans="1:26" ht="21" x14ac:dyDescent="0.65">
      <c r="A578" s="66"/>
      <c r="B578" s="66"/>
      <c r="C578" s="66"/>
      <c r="D578" s="66"/>
      <c r="E578" s="66"/>
      <c r="F578" s="66"/>
      <c r="G578" s="66"/>
      <c r="H578" s="66"/>
      <c r="I578" s="66"/>
      <c r="J578" s="66"/>
      <c r="K578" s="66"/>
      <c r="L578" s="66"/>
      <c r="M578" s="66"/>
      <c r="N578" s="66"/>
      <c r="O578" s="66"/>
      <c r="P578" s="66"/>
      <c r="Q578" s="66"/>
      <c r="R578" s="66"/>
      <c r="S578" s="66"/>
      <c r="T578" s="66"/>
      <c r="U578" s="66"/>
      <c r="V578" s="66"/>
      <c r="W578" s="66"/>
      <c r="X578" s="66"/>
      <c r="Y578" s="66"/>
      <c r="Z578" s="66"/>
    </row>
    <row r="579" spans="1:26" ht="21" x14ac:dyDescent="0.65">
      <c r="A579" s="66"/>
      <c r="B579" s="66"/>
      <c r="C579" s="66"/>
      <c r="D579" s="66"/>
      <c r="E579" s="66"/>
      <c r="F579" s="66"/>
      <c r="G579" s="66"/>
      <c r="H579" s="66"/>
      <c r="I579" s="66"/>
      <c r="J579" s="66"/>
      <c r="K579" s="66"/>
      <c r="L579" s="66"/>
      <c r="M579" s="66"/>
      <c r="N579" s="66"/>
      <c r="O579" s="66"/>
      <c r="P579" s="66"/>
      <c r="Q579" s="66"/>
      <c r="R579" s="66"/>
      <c r="S579" s="66"/>
      <c r="T579" s="66"/>
      <c r="U579" s="66"/>
      <c r="V579" s="66"/>
      <c r="W579" s="66"/>
      <c r="X579" s="66"/>
      <c r="Y579" s="66"/>
      <c r="Z579" s="66"/>
    </row>
    <row r="580" spans="1:26" ht="21" x14ac:dyDescent="0.65">
      <c r="A580" s="66"/>
      <c r="B580" s="66"/>
      <c r="C580" s="66"/>
      <c r="D580" s="66"/>
      <c r="E580" s="66"/>
      <c r="F580" s="66"/>
      <c r="G580" s="66"/>
      <c r="H580" s="66"/>
      <c r="I580" s="66"/>
      <c r="J580" s="66"/>
      <c r="K580" s="66"/>
      <c r="L580" s="66"/>
      <c r="M580" s="66"/>
      <c r="N580" s="66"/>
      <c r="O580" s="66"/>
      <c r="P580" s="66"/>
      <c r="Q580" s="66"/>
      <c r="R580" s="66"/>
      <c r="S580" s="66"/>
      <c r="T580" s="66"/>
      <c r="U580" s="66"/>
      <c r="V580" s="66"/>
      <c r="W580" s="66"/>
      <c r="X580" s="66"/>
      <c r="Y580" s="66"/>
      <c r="Z580" s="66"/>
    </row>
    <row r="581" spans="1:26" ht="21" x14ac:dyDescent="0.65">
      <c r="A581" s="66"/>
      <c r="B581" s="66"/>
      <c r="C581" s="66"/>
      <c r="D581" s="66"/>
      <c r="E581" s="66"/>
      <c r="F581" s="66"/>
      <c r="G581" s="66"/>
      <c r="H581" s="66"/>
      <c r="I581" s="66"/>
      <c r="J581" s="66"/>
      <c r="K581" s="66"/>
      <c r="L581" s="66"/>
      <c r="M581" s="66"/>
      <c r="N581" s="66"/>
      <c r="O581" s="66"/>
      <c r="P581" s="66"/>
      <c r="Q581" s="66"/>
      <c r="R581" s="66"/>
      <c r="S581" s="66"/>
      <c r="T581" s="66"/>
      <c r="U581" s="66"/>
      <c r="V581" s="66"/>
      <c r="W581" s="66"/>
      <c r="X581" s="66"/>
      <c r="Y581" s="66"/>
      <c r="Z581" s="66"/>
    </row>
    <row r="582" spans="1:26" ht="21" x14ac:dyDescent="0.65">
      <c r="A582" s="66"/>
      <c r="B582" s="66"/>
      <c r="C582" s="66"/>
      <c r="D582" s="66"/>
      <c r="E582" s="66"/>
      <c r="F582" s="66"/>
      <c r="G582" s="66"/>
      <c r="H582" s="66"/>
      <c r="I582" s="66"/>
      <c r="J582" s="66"/>
      <c r="K582" s="66"/>
      <c r="L582" s="66"/>
      <c r="M582" s="66"/>
      <c r="N582" s="66"/>
      <c r="O582" s="66"/>
      <c r="P582" s="66"/>
      <c r="Q582" s="66"/>
      <c r="R582" s="66"/>
      <c r="S582" s="66"/>
      <c r="T582" s="66"/>
      <c r="U582" s="66"/>
      <c r="V582" s="66"/>
      <c r="W582" s="66"/>
      <c r="X582" s="66"/>
      <c r="Y582" s="66"/>
      <c r="Z582" s="66"/>
    </row>
    <row r="583" spans="1:26" ht="21" x14ac:dyDescent="0.65">
      <c r="A583" s="66"/>
      <c r="B583" s="66"/>
      <c r="C583" s="66"/>
      <c r="D583" s="66"/>
      <c r="E583" s="66"/>
      <c r="F583" s="66"/>
      <c r="G583" s="66"/>
      <c r="H583" s="66"/>
      <c r="I583" s="66"/>
      <c r="J583" s="66"/>
      <c r="K583" s="66"/>
      <c r="L583" s="66"/>
      <c r="M583" s="66"/>
      <c r="N583" s="66"/>
      <c r="O583" s="66"/>
      <c r="P583" s="66"/>
      <c r="Q583" s="66"/>
      <c r="R583" s="66"/>
      <c r="S583" s="66"/>
      <c r="T583" s="66"/>
      <c r="U583" s="66"/>
      <c r="V583" s="66"/>
      <c r="W583" s="66"/>
      <c r="X583" s="66"/>
      <c r="Y583" s="66"/>
      <c r="Z583" s="66"/>
    </row>
    <row r="584" spans="1:26" ht="21" x14ac:dyDescent="0.65">
      <c r="A584" s="66"/>
      <c r="B584" s="66"/>
      <c r="C584" s="66"/>
      <c r="D584" s="66"/>
      <c r="E584" s="66"/>
      <c r="F584" s="66"/>
      <c r="G584" s="66"/>
      <c r="H584" s="66"/>
      <c r="I584" s="66"/>
      <c r="J584" s="66"/>
      <c r="K584" s="66"/>
      <c r="L584" s="66"/>
      <c r="M584" s="66"/>
      <c r="N584" s="66"/>
      <c r="O584" s="66"/>
      <c r="P584" s="66"/>
      <c r="Q584" s="66"/>
      <c r="R584" s="66"/>
      <c r="S584" s="66"/>
      <c r="T584" s="66"/>
      <c r="U584" s="66"/>
      <c r="V584" s="66"/>
      <c r="W584" s="66"/>
      <c r="X584" s="66"/>
      <c r="Y584" s="66"/>
      <c r="Z584" s="66"/>
    </row>
    <row r="585" spans="1:26" ht="21" x14ac:dyDescent="0.65">
      <c r="A585" s="66"/>
      <c r="B585" s="66"/>
      <c r="C585" s="66"/>
      <c r="D585" s="66"/>
      <c r="E585" s="66"/>
      <c r="F585" s="66"/>
      <c r="G585" s="66"/>
      <c r="H585" s="66"/>
      <c r="I585" s="66"/>
      <c r="J585" s="66"/>
      <c r="K585" s="66"/>
      <c r="L585" s="66"/>
      <c r="M585" s="66"/>
      <c r="N585" s="66"/>
      <c r="O585" s="66"/>
      <c r="P585" s="66"/>
      <c r="Q585" s="66"/>
      <c r="R585" s="66"/>
      <c r="S585" s="66"/>
      <c r="T585" s="66"/>
      <c r="U585" s="66"/>
      <c r="V585" s="66"/>
      <c r="W585" s="66"/>
      <c r="X585" s="66"/>
      <c r="Y585" s="66"/>
      <c r="Z585" s="66"/>
    </row>
    <row r="586" spans="1:26" ht="21" x14ac:dyDescent="0.65">
      <c r="A586" s="66"/>
      <c r="B586" s="66"/>
      <c r="C586" s="66"/>
      <c r="D586" s="66"/>
      <c r="E586" s="66"/>
      <c r="F586" s="66"/>
      <c r="G586" s="66"/>
      <c r="H586" s="66"/>
      <c r="I586" s="66"/>
      <c r="J586" s="66"/>
      <c r="K586" s="66"/>
      <c r="L586" s="66"/>
      <c r="M586" s="66"/>
      <c r="N586" s="66"/>
      <c r="O586" s="66"/>
      <c r="P586" s="66"/>
      <c r="Q586" s="66"/>
      <c r="R586" s="66"/>
      <c r="S586" s="66"/>
      <c r="T586" s="66"/>
      <c r="U586" s="66"/>
      <c r="V586" s="66"/>
      <c r="W586" s="66"/>
      <c r="X586" s="66"/>
      <c r="Y586" s="66"/>
      <c r="Z586" s="66"/>
    </row>
    <row r="587" spans="1:26" ht="21" x14ac:dyDescent="0.65">
      <c r="A587" s="66"/>
      <c r="B587" s="66"/>
      <c r="C587" s="66"/>
      <c r="D587" s="66"/>
      <c r="E587" s="66"/>
      <c r="F587" s="66"/>
      <c r="G587" s="66"/>
      <c r="H587" s="66"/>
      <c r="I587" s="66"/>
      <c r="J587" s="66"/>
      <c r="K587" s="66"/>
      <c r="L587" s="66"/>
      <c r="M587" s="66"/>
      <c r="N587" s="66"/>
      <c r="O587" s="66"/>
      <c r="P587" s="66"/>
      <c r="Q587" s="66"/>
      <c r="R587" s="66"/>
      <c r="S587" s="66"/>
      <c r="T587" s="66"/>
      <c r="U587" s="66"/>
      <c r="V587" s="66"/>
      <c r="W587" s="66"/>
      <c r="X587" s="66"/>
      <c r="Y587" s="66"/>
      <c r="Z587" s="66"/>
    </row>
    <row r="588" spans="1:26" ht="21" x14ac:dyDescent="0.65">
      <c r="A588" s="66"/>
      <c r="B588" s="66"/>
      <c r="C588" s="66"/>
      <c r="D588" s="66"/>
      <c r="E588" s="66"/>
      <c r="F588" s="66"/>
      <c r="G588" s="66"/>
      <c r="H588" s="66"/>
      <c r="I588" s="66"/>
      <c r="J588" s="66"/>
      <c r="K588" s="66"/>
      <c r="L588" s="66"/>
      <c r="M588" s="66"/>
      <c r="N588" s="66"/>
      <c r="O588" s="66"/>
      <c r="P588" s="66"/>
      <c r="Q588" s="66"/>
      <c r="R588" s="66"/>
      <c r="S588" s="66"/>
      <c r="T588" s="66"/>
      <c r="U588" s="66"/>
      <c r="V588" s="66"/>
      <c r="W588" s="66"/>
      <c r="X588" s="66"/>
      <c r="Y588" s="66"/>
      <c r="Z588" s="66"/>
    </row>
    <row r="589" spans="1:26" ht="21" x14ac:dyDescent="0.65">
      <c r="A589" s="66"/>
      <c r="B589" s="66"/>
      <c r="C589" s="66"/>
      <c r="D589" s="66"/>
      <c r="E589" s="66"/>
      <c r="F589" s="66"/>
      <c r="G589" s="66"/>
      <c r="H589" s="66"/>
      <c r="I589" s="66"/>
      <c r="J589" s="66"/>
      <c r="K589" s="66"/>
      <c r="L589" s="66"/>
      <c r="M589" s="66"/>
      <c r="N589" s="66"/>
      <c r="O589" s="66"/>
      <c r="P589" s="66"/>
      <c r="Q589" s="66"/>
      <c r="R589" s="66"/>
      <c r="S589" s="66"/>
      <c r="T589" s="66"/>
      <c r="U589" s="66"/>
      <c r="V589" s="66"/>
      <c r="W589" s="66"/>
      <c r="X589" s="66"/>
      <c r="Y589" s="66"/>
      <c r="Z589" s="66"/>
    </row>
    <row r="590" spans="1:26" ht="21" x14ac:dyDescent="0.65">
      <c r="A590" s="66"/>
      <c r="B590" s="66"/>
      <c r="C590" s="66"/>
      <c r="D590" s="66"/>
      <c r="E590" s="66"/>
      <c r="F590" s="66"/>
      <c r="G590" s="66"/>
      <c r="H590" s="66"/>
      <c r="I590" s="66"/>
      <c r="J590" s="66"/>
      <c r="K590" s="66"/>
      <c r="L590" s="66"/>
      <c r="M590" s="66"/>
      <c r="N590" s="66"/>
      <c r="O590" s="66"/>
      <c r="P590" s="66"/>
      <c r="Q590" s="66"/>
      <c r="R590" s="66"/>
      <c r="S590" s="66"/>
      <c r="T590" s="66"/>
      <c r="U590" s="66"/>
      <c r="V590" s="66"/>
      <c r="W590" s="66"/>
      <c r="X590" s="66"/>
      <c r="Y590" s="66"/>
      <c r="Z590" s="66"/>
    </row>
    <row r="591" spans="1:26" ht="21" x14ac:dyDescent="0.65">
      <c r="A591" s="66"/>
      <c r="B591" s="66"/>
      <c r="C591" s="66"/>
      <c r="D591" s="66"/>
      <c r="E591" s="66"/>
      <c r="F591" s="66"/>
      <c r="G591" s="66"/>
      <c r="H591" s="66"/>
      <c r="I591" s="66"/>
      <c r="J591" s="66"/>
      <c r="K591" s="66"/>
      <c r="L591" s="66"/>
      <c r="M591" s="66"/>
      <c r="N591" s="66"/>
      <c r="O591" s="66"/>
      <c r="P591" s="66"/>
      <c r="Q591" s="66"/>
      <c r="R591" s="66"/>
      <c r="S591" s="66"/>
      <c r="T591" s="66"/>
      <c r="U591" s="66"/>
      <c r="V591" s="66"/>
      <c r="W591" s="66"/>
      <c r="X591" s="66"/>
      <c r="Y591" s="66"/>
      <c r="Z591" s="66"/>
    </row>
    <row r="592" spans="1:26" ht="21" x14ac:dyDescent="0.65">
      <c r="A592" s="66"/>
      <c r="B592" s="66"/>
      <c r="C592" s="66"/>
      <c r="D592" s="66"/>
      <c r="E592" s="66"/>
      <c r="F592" s="66"/>
      <c r="G592" s="66"/>
      <c r="H592" s="66"/>
      <c r="I592" s="66"/>
      <c r="J592" s="66"/>
      <c r="K592" s="66"/>
      <c r="L592" s="66"/>
      <c r="M592" s="66"/>
      <c r="N592" s="66"/>
      <c r="O592" s="66"/>
      <c r="P592" s="66"/>
      <c r="Q592" s="66"/>
      <c r="R592" s="66"/>
      <c r="S592" s="66"/>
      <c r="T592" s="66"/>
      <c r="U592" s="66"/>
      <c r="V592" s="66"/>
      <c r="W592" s="66"/>
      <c r="X592" s="66"/>
      <c r="Y592" s="66"/>
      <c r="Z592" s="66"/>
    </row>
    <row r="593" spans="1:26" ht="21" x14ac:dyDescent="0.65">
      <c r="A593" s="66"/>
      <c r="B593" s="66"/>
      <c r="C593" s="66"/>
      <c r="D593" s="66"/>
      <c r="E593" s="66"/>
      <c r="F593" s="66"/>
      <c r="G593" s="66"/>
      <c r="H593" s="66"/>
      <c r="I593" s="66"/>
      <c r="J593" s="66"/>
      <c r="K593" s="66"/>
      <c r="L593" s="66"/>
      <c r="M593" s="66"/>
      <c r="N593" s="66"/>
      <c r="O593" s="66"/>
      <c r="P593" s="66"/>
      <c r="Q593" s="66"/>
      <c r="R593" s="66"/>
      <c r="S593" s="66"/>
      <c r="T593" s="66"/>
      <c r="U593" s="66"/>
      <c r="V593" s="66"/>
      <c r="W593" s="66"/>
      <c r="X593" s="66"/>
      <c r="Y593" s="66"/>
      <c r="Z593" s="66"/>
    </row>
    <row r="594" spans="1:26" ht="21" x14ac:dyDescent="0.65">
      <c r="A594" s="66"/>
      <c r="B594" s="66"/>
      <c r="C594" s="66"/>
      <c r="D594" s="66"/>
      <c r="E594" s="66"/>
      <c r="F594" s="66"/>
      <c r="G594" s="66"/>
      <c r="H594" s="66"/>
      <c r="I594" s="66"/>
      <c r="J594" s="66"/>
      <c r="K594" s="66"/>
      <c r="L594" s="66"/>
      <c r="M594" s="66"/>
      <c r="N594" s="66"/>
      <c r="O594" s="66"/>
      <c r="P594" s="66"/>
      <c r="Q594" s="66"/>
      <c r="R594" s="66"/>
      <c r="S594" s="66"/>
      <c r="T594" s="66"/>
      <c r="U594" s="66"/>
      <c r="V594" s="66"/>
      <c r="W594" s="66"/>
      <c r="X594" s="66"/>
      <c r="Y594" s="66"/>
      <c r="Z594" s="66"/>
    </row>
    <row r="595" spans="1:26" ht="21" x14ac:dyDescent="0.65">
      <c r="A595" s="66"/>
      <c r="B595" s="66"/>
      <c r="C595" s="66"/>
      <c r="D595" s="66"/>
      <c r="E595" s="66"/>
      <c r="F595" s="66"/>
      <c r="G595" s="66"/>
      <c r="H595" s="66"/>
      <c r="I595" s="66"/>
      <c r="J595" s="66"/>
      <c r="K595" s="66"/>
      <c r="L595" s="66"/>
      <c r="M595" s="66"/>
      <c r="N595" s="66"/>
      <c r="O595" s="66"/>
      <c r="P595" s="66"/>
      <c r="Q595" s="66"/>
      <c r="R595" s="66"/>
      <c r="S595" s="66"/>
      <c r="T595" s="66"/>
      <c r="U595" s="66"/>
      <c r="V595" s="66"/>
      <c r="W595" s="66"/>
      <c r="X595" s="66"/>
      <c r="Y595" s="66"/>
      <c r="Z595" s="66"/>
    </row>
    <row r="596" spans="1:26" ht="21" x14ac:dyDescent="0.65">
      <c r="A596" s="66"/>
      <c r="B596" s="66"/>
      <c r="C596" s="66"/>
      <c r="D596" s="66"/>
      <c r="E596" s="66"/>
      <c r="F596" s="66"/>
      <c r="G596" s="66"/>
      <c r="H596" s="66"/>
      <c r="I596" s="66"/>
      <c r="J596" s="66"/>
      <c r="K596" s="66"/>
      <c r="L596" s="66"/>
      <c r="M596" s="66"/>
      <c r="N596" s="66"/>
      <c r="O596" s="66"/>
      <c r="P596" s="66"/>
      <c r="Q596" s="66"/>
      <c r="R596" s="66"/>
      <c r="S596" s="66"/>
      <c r="T596" s="66"/>
      <c r="U596" s="66"/>
      <c r="V596" s="66"/>
      <c r="W596" s="66"/>
      <c r="X596" s="66"/>
      <c r="Y596" s="66"/>
      <c r="Z596" s="66"/>
    </row>
    <row r="597" spans="1:26" ht="21" x14ac:dyDescent="0.65">
      <c r="A597" s="66"/>
      <c r="B597" s="66"/>
      <c r="C597" s="66"/>
      <c r="D597" s="66"/>
      <c r="E597" s="66"/>
      <c r="F597" s="66"/>
      <c r="G597" s="66"/>
      <c r="H597" s="66"/>
      <c r="I597" s="66"/>
      <c r="J597" s="66"/>
      <c r="K597" s="66"/>
      <c r="L597" s="66"/>
      <c r="M597" s="66"/>
      <c r="N597" s="66"/>
      <c r="O597" s="66"/>
      <c r="P597" s="66"/>
      <c r="Q597" s="66"/>
      <c r="R597" s="66"/>
      <c r="S597" s="66"/>
      <c r="T597" s="66"/>
      <c r="U597" s="66"/>
      <c r="V597" s="66"/>
      <c r="W597" s="66"/>
      <c r="X597" s="66"/>
      <c r="Y597" s="66"/>
      <c r="Z597" s="66"/>
    </row>
    <row r="598" spans="1:26" ht="21" x14ac:dyDescent="0.65">
      <c r="A598" s="66"/>
      <c r="B598" s="66"/>
      <c r="C598" s="66"/>
      <c r="D598" s="66"/>
      <c r="E598" s="66"/>
      <c r="F598" s="66"/>
      <c r="G598" s="66"/>
      <c r="H598" s="66"/>
      <c r="I598" s="66"/>
      <c r="J598" s="66"/>
      <c r="K598" s="66"/>
      <c r="L598" s="66"/>
      <c r="M598" s="66"/>
      <c r="N598" s="66"/>
      <c r="O598" s="66"/>
      <c r="P598" s="66"/>
      <c r="Q598" s="66"/>
      <c r="R598" s="66"/>
      <c r="S598" s="66"/>
      <c r="T598" s="66"/>
      <c r="U598" s="66"/>
      <c r="V598" s="66"/>
      <c r="W598" s="66"/>
      <c r="X598" s="66"/>
      <c r="Y598" s="66"/>
      <c r="Z598" s="66"/>
    </row>
    <row r="599" spans="1:26" ht="21" x14ac:dyDescent="0.65">
      <c r="A599" s="66"/>
      <c r="B599" s="66"/>
      <c r="C599" s="66"/>
      <c r="D599" s="66"/>
      <c r="E599" s="66"/>
      <c r="F599" s="66"/>
      <c r="G599" s="66"/>
      <c r="H599" s="66"/>
      <c r="I599" s="66"/>
      <c r="J599" s="66"/>
      <c r="K599" s="66"/>
      <c r="L599" s="66"/>
      <c r="M599" s="66"/>
      <c r="N599" s="66"/>
      <c r="O599" s="66"/>
      <c r="P599" s="66"/>
      <c r="Q599" s="66"/>
      <c r="R599" s="66"/>
      <c r="S599" s="66"/>
      <c r="T599" s="66"/>
      <c r="U599" s="66"/>
      <c r="V599" s="66"/>
      <c r="W599" s="66"/>
      <c r="X599" s="66"/>
      <c r="Y599" s="66"/>
      <c r="Z599" s="66"/>
    </row>
    <row r="600" spans="1:26" ht="21" x14ac:dyDescent="0.65">
      <c r="A600" s="66"/>
      <c r="B600" s="66"/>
      <c r="C600" s="66"/>
      <c r="D600" s="66"/>
      <c r="E600" s="66"/>
      <c r="F600" s="66"/>
      <c r="G600" s="66"/>
      <c r="H600" s="66"/>
      <c r="I600" s="66"/>
      <c r="J600" s="66"/>
      <c r="K600" s="66"/>
      <c r="L600" s="66"/>
      <c r="M600" s="66"/>
      <c r="N600" s="66"/>
      <c r="O600" s="66"/>
      <c r="P600" s="66"/>
      <c r="Q600" s="66"/>
      <c r="R600" s="66"/>
      <c r="S600" s="66"/>
      <c r="T600" s="66"/>
      <c r="U600" s="66"/>
      <c r="V600" s="66"/>
      <c r="W600" s="66"/>
      <c r="X600" s="66"/>
      <c r="Y600" s="66"/>
      <c r="Z600" s="66"/>
    </row>
    <row r="601" spans="1:26" ht="21" x14ac:dyDescent="0.65">
      <c r="A601" s="66"/>
      <c r="B601" s="66"/>
      <c r="C601" s="66"/>
      <c r="D601" s="66"/>
      <c r="E601" s="66"/>
      <c r="F601" s="66"/>
      <c r="G601" s="66"/>
      <c r="H601" s="66"/>
      <c r="I601" s="66"/>
      <c r="J601" s="66"/>
      <c r="K601" s="66"/>
      <c r="L601" s="66"/>
      <c r="M601" s="66"/>
      <c r="N601" s="66"/>
      <c r="O601" s="66"/>
      <c r="P601" s="66"/>
      <c r="Q601" s="66"/>
      <c r="R601" s="66"/>
      <c r="S601" s="66"/>
      <c r="T601" s="66"/>
      <c r="U601" s="66"/>
      <c r="V601" s="66"/>
      <c r="W601" s="66"/>
      <c r="X601" s="66"/>
      <c r="Y601" s="66"/>
      <c r="Z601" s="66"/>
    </row>
    <row r="602" spans="1:26" ht="21" x14ac:dyDescent="0.65">
      <c r="A602" s="66"/>
      <c r="B602" s="66"/>
      <c r="C602" s="66"/>
      <c r="D602" s="66"/>
      <c r="E602" s="66"/>
      <c r="F602" s="66"/>
      <c r="G602" s="66"/>
      <c r="H602" s="66"/>
      <c r="I602" s="66"/>
      <c r="J602" s="66"/>
      <c r="K602" s="66"/>
      <c r="L602" s="66"/>
      <c r="M602" s="66"/>
      <c r="N602" s="66"/>
      <c r="O602" s="66"/>
      <c r="P602" s="66"/>
      <c r="Q602" s="66"/>
      <c r="R602" s="66"/>
      <c r="S602" s="66"/>
      <c r="T602" s="66"/>
      <c r="U602" s="66"/>
      <c r="V602" s="66"/>
      <c r="W602" s="66"/>
      <c r="X602" s="66"/>
      <c r="Y602" s="66"/>
      <c r="Z602" s="66"/>
    </row>
    <row r="603" spans="1:26" ht="21" x14ac:dyDescent="0.65">
      <c r="A603" s="66"/>
      <c r="B603" s="66"/>
      <c r="C603" s="66"/>
      <c r="D603" s="66"/>
      <c r="E603" s="66"/>
      <c r="F603" s="66"/>
      <c r="G603" s="66"/>
      <c r="H603" s="66"/>
      <c r="I603" s="66"/>
      <c r="J603" s="66"/>
      <c r="K603" s="66"/>
      <c r="L603" s="66"/>
      <c r="M603" s="66"/>
      <c r="N603" s="66"/>
      <c r="O603" s="66"/>
      <c r="P603" s="66"/>
      <c r="Q603" s="66"/>
      <c r="R603" s="66"/>
      <c r="S603" s="66"/>
      <c r="T603" s="66"/>
      <c r="U603" s="66"/>
      <c r="V603" s="66"/>
      <c r="W603" s="66"/>
      <c r="X603" s="66"/>
      <c r="Y603" s="66"/>
      <c r="Z603" s="66"/>
    </row>
    <row r="604" spans="1:26" ht="21" x14ac:dyDescent="0.65">
      <c r="A604" s="66"/>
      <c r="B604" s="66"/>
      <c r="C604" s="66"/>
      <c r="D604" s="66"/>
      <c r="E604" s="66"/>
      <c r="F604" s="66"/>
      <c r="G604" s="66"/>
      <c r="H604" s="66"/>
      <c r="I604" s="66"/>
      <c r="J604" s="66"/>
      <c r="K604" s="66"/>
      <c r="L604" s="66"/>
      <c r="M604" s="66"/>
      <c r="N604" s="66"/>
      <c r="O604" s="66"/>
      <c r="P604" s="66"/>
      <c r="Q604" s="66"/>
      <c r="R604" s="66"/>
      <c r="S604" s="66"/>
      <c r="T604" s="66"/>
      <c r="U604" s="66"/>
      <c r="V604" s="66"/>
      <c r="W604" s="66"/>
      <c r="X604" s="66"/>
      <c r="Y604" s="66"/>
      <c r="Z604" s="66"/>
    </row>
    <row r="605" spans="1:26" ht="21" x14ac:dyDescent="0.65">
      <c r="A605" s="66"/>
      <c r="B605" s="66"/>
      <c r="C605" s="66"/>
      <c r="D605" s="66"/>
      <c r="E605" s="66"/>
      <c r="F605" s="66"/>
      <c r="G605" s="66"/>
      <c r="H605" s="66"/>
      <c r="I605" s="66"/>
      <c r="J605" s="66"/>
      <c r="K605" s="66"/>
      <c r="L605" s="66"/>
      <c r="M605" s="66"/>
      <c r="N605" s="66"/>
      <c r="O605" s="66"/>
      <c r="P605" s="66"/>
      <c r="Q605" s="66"/>
      <c r="R605" s="66"/>
      <c r="S605" s="66"/>
      <c r="T605" s="66"/>
      <c r="U605" s="66"/>
      <c r="V605" s="66"/>
      <c r="W605" s="66"/>
      <c r="X605" s="66"/>
      <c r="Y605" s="66"/>
      <c r="Z605" s="66"/>
    </row>
    <row r="606" spans="1:26" ht="21" x14ac:dyDescent="0.65">
      <c r="A606" s="66"/>
      <c r="B606" s="66"/>
      <c r="C606" s="66"/>
      <c r="D606" s="66"/>
      <c r="E606" s="66"/>
      <c r="F606" s="66"/>
      <c r="G606" s="66"/>
      <c r="H606" s="66"/>
      <c r="I606" s="66"/>
      <c r="J606" s="66"/>
      <c r="K606" s="66"/>
      <c r="L606" s="66"/>
      <c r="M606" s="66"/>
      <c r="N606" s="66"/>
      <c r="O606" s="66"/>
      <c r="P606" s="66"/>
      <c r="Q606" s="66"/>
      <c r="R606" s="66"/>
      <c r="S606" s="66"/>
      <c r="T606" s="66"/>
      <c r="U606" s="66"/>
      <c r="V606" s="66"/>
      <c r="W606" s="66"/>
      <c r="X606" s="66"/>
      <c r="Y606" s="66"/>
      <c r="Z606" s="66"/>
    </row>
    <row r="607" spans="1:26" ht="21" x14ac:dyDescent="0.65">
      <c r="A607" s="66"/>
      <c r="B607" s="66"/>
      <c r="C607" s="66"/>
      <c r="D607" s="66"/>
      <c r="E607" s="66"/>
      <c r="F607" s="66"/>
      <c r="G607" s="66"/>
      <c r="H607" s="66"/>
      <c r="I607" s="66"/>
      <c r="J607" s="66"/>
      <c r="K607" s="66"/>
      <c r="L607" s="66"/>
      <c r="M607" s="66"/>
      <c r="N607" s="66"/>
      <c r="O607" s="66"/>
      <c r="P607" s="66"/>
      <c r="Q607" s="66"/>
      <c r="R607" s="66"/>
      <c r="S607" s="66"/>
      <c r="T607" s="66"/>
      <c r="U607" s="66"/>
      <c r="V607" s="66"/>
      <c r="W607" s="66"/>
      <c r="X607" s="66"/>
      <c r="Y607" s="66"/>
      <c r="Z607" s="66"/>
    </row>
    <row r="608" spans="1:26" ht="21" x14ac:dyDescent="0.65">
      <c r="A608" s="66"/>
      <c r="B608" s="66"/>
      <c r="C608" s="66"/>
      <c r="D608" s="66"/>
      <c r="E608" s="66"/>
      <c r="F608" s="66"/>
      <c r="G608" s="66"/>
      <c r="H608" s="66"/>
      <c r="I608" s="66"/>
      <c r="J608" s="66"/>
      <c r="K608" s="66"/>
      <c r="L608" s="66"/>
      <c r="M608" s="66"/>
      <c r="N608" s="66"/>
      <c r="O608" s="66"/>
      <c r="P608" s="66"/>
      <c r="Q608" s="66"/>
      <c r="R608" s="66"/>
      <c r="S608" s="66"/>
      <c r="T608" s="66"/>
      <c r="U608" s="66"/>
      <c r="V608" s="66"/>
      <c r="W608" s="66"/>
      <c r="X608" s="66"/>
      <c r="Y608" s="66"/>
      <c r="Z608" s="66"/>
    </row>
    <row r="609" spans="1:26" ht="21" x14ac:dyDescent="0.65">
      <c r="A609" s="66"/>
      <c r="B609" s="66"/>
      <c r="C609" s="66"/>
      <c r="D609" s="66"/>
      <c r="E609" s="66"/>
      <c r="F609" s="66"/>
      <c r="G609" s="66"/>
      <c r="H609" s="66"/>
      <c r="I609" s="66"/>
      <c r="J609" s="66"/>
      <c r="K609" s="66"/>
      <c r="L609" s="66"/>
      <c r="M609" s="66"/>
      <c r="N609" s="66"/>
      <c r="O609" s="66"/>
      <c r="P609" s="66"/>
      <c r="Q609" s="66"/>
      <c r="R609" s="66"/>
      <c r="S609" s="66"/>
      <c r="T609" s="66"/>
      <c r="U609" s="66"/>
      <c r="V609" s="66"/>
      <c r="W609" s="66"/>
      <c r="X609" s="66"/>
      <c r="Y609" s="66"/>
      <c r="Z609" s="66"/>
    </row>
    <row r="610" spans="1:26" ht="21" x14ac:dyDescent="0.65">
      <c r="A610" s="66"/>
      <c r="B610" s="66"/>
      <c r="C610" s="66"/>
      <c r="D610" s="66"/>
      <c r="E610" s="66"/>
      <c r="F610" s="66"/>
      <c r="G610" s="66"/>
      <c r="H610" s="66"/>
      <c r="I610" s="66"/>
      <c r="J610" s="66"/>
      <c r="K610" s="66"/>
      <c r="L610" s="66"/>
      <c r="M610" s="66"/>
      <c r="N610" s="66"/>
      <c r="O610" s="66"/>
      <c r="P610" s="66"/>
      <c r="Q610" s="66"/>
      <c r="R610" s="66"/>
      <c r="S610" s="66"/>
      <c r="T610" s="66"/>
      <c r="U610" s="66"/>
      <c r="V610" s="66"/>
      <c r="W610" s="66"/>
      <c r="X610" s="66"/>
      <c r="Y610" s="66"/>
      <c r="Z610" s="66"/>
    </row>
    <row r="611" spans="1:26" ht="21" x14ac:dyDescent="0.65">
      <c r="A611" s="66"/>
      <c r="B611" s="66"/>
      <c r="C611" s="66"/>
      <c r="D611" s="66"/>
      <c r="E611" s="66"/>
      <c r="F611" s="66"/>
      <c r="G611" s="66"/>
      <c r="H611" s="66"/>
      <c r="I611" s="66"/>
      <c r="J611" s="66"/>
      <c r="K611" s="66"/>
      <c r="L611" s="66"/>
      <c r="M611" s="66"/>
      <c r="N611" s="66"/>
      <c r="O611" s="66"/>
      <c r="P611" s="66"/>
      <c r="Q611" s="66"/>
      <c r="R611" s="66"/>
      <c r="S611" s="66"/>
      <c r="T611" s="66"/>
      <c r="U611" s="66"/>
      <c r="V611" s="66"/>
      <c r="W611" s="66"/>
      <c r="X611" s="66"/>
      <c r="Y611" s="66"/>
      <c r="Z611" s="66"/>
    </row>
    <row r="612" spans="1:26" ht="21" x14ac:dyDescent="0.65">
      <c r="A612" s="66"/>
      <c r="B612" s="66"/>
      <c r="C612" s="66"/>
      <c r="D612" s="66"/>
      <c r="E612" s="66"/>
      <c r="F612" s="66"/>
      <c r="G612" s="66"/>
      <c r="H612" s="66"/>
      <c r="I612" s="66"/>
      <c r="J612" s="66"/>
      <c r="K612" s="66"/>
      <c r="L612" s="66"/>
      <c r="M612" s="66"/>
      <c r="N612" s="66"/>
      <c r="O612" s="66"/>
      <c r="P612" s="66"/>
      <c r="Q612" s="66"/>
      <c r="R612" s="66"/>
      <c r="S612" s="66"/>
      <c r="T612" s="66"/>
      <c r="U612" s="66"/>
      <c r="V612" s="66"/>
      <c r="W612" s="66"/>
      <c r="X612" s="66"/>
      <c r="Y612" s="66"/>
      <c r="Z612" s="66"/>
    </row>
    <row r="613" spans="1:26" ht="21" x14ac:dyDescent="0.65">
      <c r="A613" s="66"/>
      <c r="B613" s="66"/>
      <c r="C613" s="66"/>
      <c r="D613" s="66"/>
      <c r="E613" s="66"/>
      <c r="F613" s="66"/>
      <c r="G613" s="66"/>
      <c r="H613" s="66"/>
      <c r="I613" s="66"/>
      <c r="J613" s="66"/>
      <c r="K613" s="66"/>
      <c r="L613" s="66"/>
      <c r="M613" s="66"/>
      <c r="N613" s="66"/>
      <c r="O613" s="66"/>
      <c r="P613" s="66"/>
      <c r="Q613" s="66"/>
      <c r="R613" s="66"/>
      <c r="S613" s="66"/>
      <c r="T613" s="66"/>
      <c r="U613" s="66"/>
      <c r="V613" s="66"/>
      <c r="W613" s="66"/>
      <c r="X613" s="66"/>
      <c r="Y613" s="66"/>
      <c r="Z613" s="66"/>
    </row>
    <row r="614" spans="1:26" ht="21" x14ac:dyDescent="0.65">
      <c r="A614" s="66"/>
      <c r="B614" s="66"/>
      <c r="C614" s="66"/>
      <c r="D614" s="66"/>
      <c r="E614" s="66"/>
      <c r="F614" s="66"/>
      <c r="G614" s="66"/>
      <c r="H614" s="66"/>
      <c r="I614" s="66"/>
      <c r="J614" s="66"/>
      <c r="K614" s="66"/>
      <c r="L614" s="66"/>
      <c r="M614" s="66"/>
      <c r="N614" s="66"/>
      <c r="O614" s="66"/>
      <c r="P614" s="66"/>
      <c r="Q614" s="66"/>
      <c r="R614" s="66"/>
      <c r="S614" s="66"/>
      <c r="T614" s="66"/>
      <c r="U614" s="66"/>
      <c r="V614" s="66"/>
      <c r="W614" s="66"/>
      <c r="X614" s="66"/>
      <c r="Y614" s="66"/>
      <c r="Z614" s="66"/>
    </row>
    <row r="615" spans="1:26" ht="21" x14ac:dyDescent="0.65">
      <c r="A615" s="66"/>
      <c r="B615" s="66"/>
      <c r="C615" s="66"/>
      <c r="D615" s="66"/>
      <c r="E615" s="66"/>
      <c r="F615" s="66"/>
      <c r="G615" s="66"/>
      <c r="H615" s="66"/>
      <c r="I615" s="66"/>
      <c r="J615" s="66"/>
      <c r="K615" s="66"/>
      <c r="L615" s="66"/>
      <c r="M615" s="66"/>
      <c r="N615" s="66"/>
      <c r="O615" s="66"/>
      <c r="P615" s="66"/>
      <c r="Q615" s="66"/>
      <c r="R615" s="66"/>
      <c r="S615" s="66"/>
      <c r="T615" s="66"/>
      <c r="U615" s="66"/>
      <c r="V615" s="66"/>
      <c r="W615" s="66"/>
      <c r="X615" s="66"/>
      <c r="Y615" s="66"/>
      <c r="Z615" s="66"/>
    </row>
    <row r="616" spans="1:26" ht="21" x14ac:dyDescent="0.65">
      <c r="A616" s="66"/>
      <c r="B616" s="66"/>
      <c r="C616" s="66"/>
      <c r="D616" s="66"/>
      <c r="E616" s="66"/>
      <c r="F616" s="66"/>
      <c r="G616" s="66"/>
      <c r="H616" s="66"/>
      <c r="I616" s="66"/>
      <c r="J616" s="66"/>
      <c r="K616" s="66"/>
      <c r="L616" s="66"/>
      <c r="M616" s="66"/>
      <c r="N616" s="66"/>
      <c r="O616" s="66"/>
      <c r="P616" s="66"/>
      <c r="Q616" s="66"/>
      <c r="R616" s="66"/>
      <c r="S616" s="66"/>
      <c r="T616" s="66"/>
      <c r="U616" s="66"/>
      <c r="V616" s="66"/>
      <c r="W616" s="66"/>
      <c r="X616" s="66"/>
      <c r="Y616" s="66"/>
      <c r="Z616" s="66"/>
    </row>
    <row r="617" spans="1:26" ht="21" x14ac:dyDescent="0.65">
      <c r="A617" s="66"/>
      <c r="B617" s="66"/>
      <c r="C617" s="66"/>
      <c r="D617" s="66"/>
      <c r="E617" s="66"/>
      <c r="F617" s="66"/>
      <c r="G617" s="66"/>
      <c r="H617" s="66"/>
      <c r="I617" s="66"/>
      <c r="J617" s="66"/>
      <c r="K617" s="66"/>
      <c r="L617" s="66"/>
      <c r="M617" s="66"/>
      <c r="N617" s="66"/>
      <c r="O617" s="66"/>
      <c r="P617" s="66"/>
      <c r="Q617" s="66"/>
      <c r="R617" s="66"/>
      <c r="S617" s="66"/>
      <c r="T617" s="66"/>
      <c r="U617" s="66"/>
      <c r="V617" s="66"/>
      <c r="W617" s="66"/>
      <c r="X617" s="66"/>
      <c r="Y617" s="66"/>
      <c r="Z617" s="66"/>
    </row>
    <row r="618" spans="1:26" ht="21" x14ac:dyDescent="0.65">
      <c r="A618" s="66"/>
      <c r="B618" s="66"/>
      <c r="C618" s="66"/>
      <c r="D618" s="66"/>
      <c r="E618" s="66"/>
      <c r="F618" s="66"/>
      <c r="G618" s="66"/>
      <c r="H618" s="66"/>
      <c r="I618" s="66"/>
      <c r="J618" s="66"/>
      <c r="K618" s="66"/>
      <c r="L618" s="66"/>
      <c r="M618" s="66"/>
      <c r="N618" s="66"/>
      <c r="O618" s="66"/>
      <c r="P618" s="66"/>
      <c r="Q618" s="66"/>
      <c r="R618" s="66"/>
      <c r="S618" s="66"/>
      <c r="T618" s="66"/>
      <c r="U618" s="66"/>
      <c r="V618" s="66"/>
      <c r="W618" s="66"/>
      <c r="X618" s="66"/>
      <c r="Y618" s="66"/>
      <c r="Z618" s="66"/>
    </row>
    <row r="619" spans="1:26" ht="21" x14ac:dyDescent="0.65">
      <c r="A619" s="66"/>
      <c r="B619" s="66"/>
      <c r="C619" s="66"/>
      <c r="D619" s="66"/>
      <c r="E619" s="66"/>
      <c r="F619" s="66"/>
      <c r="G619" s="66"/>
      <c r="H619" s="66"/>
      <c r="I619" s="66"/>
      <c r="J619" s="66"/>
      <c r="K619" s="66"/>
      <c r="L619" s="66"/>
      <c r="M619" s="66"/>
      <c r="N619" s="66"/>
      <c r="O619" s="66"/>
      <c r="P619" s="66"/>
      <c r="Q619" s="66"/>
      <c r="R619" s="66"/>
      <c r="S619" s="66"/>
      <c r="T619" s="66"/>
      <c r="U619" s="66"/>
      <c r="V619" s="66"/>
      <c r="W619" s="66"/>
      <c r="X619" s="66"/>
      <c r="Y619" s="66"/>
      <c r="Z619" s="66"/>
    </row>
    <row r="620" spans="1:26" ht="21" x14ac:dyDescent="0.65">
      <c r="A620" s="66"/>
      <c r="B620" s="66"/>
      <c r="C620" s="66"/>
      <c r="D620" s="66"/>
      <c r="E620" s="66"/>
      <c r="F620" s="66"/>
      <c r="G620" s="66"/>
      <c r="H620" s="66"/>
      <c r="I620" s="66"/>
      <c r="J620" s="66"/>
      <c r="K620" s="66"/>
      <c r="L620" s="66"/>
      <c r="M620" s="66"/>
      <c r="N620" s="66"/>
      <c r="O620" s="66"/>
      <c r="P620" s="66"/>
      <c r="Q620" s="66"/>
      <c r="R620" s="66"/>
      <c r="S620" s="66"/>
      <c r="T620" s="66"/>
      <c r="U620" s="66"/>
      <c r="V620" s="66"/>
      <c r="W620" s="66"/>
      <c r="X620" s="66"/>
      <c r="Y620" s="66"/>
      <c r="Z620" s="66"/>
    </row>
    <row r="621" spans="1:26" ht="21" x14ac:dyDescent="0.65">
      <c r="A621" s="66"/>
      <c r="B621" s="66"/>
      <c r="C621" s="66"/>
      <c r="D621" s="66"/>
      <c r="E621" s="66"/>
      <c r="F621" s="66"/>
      <c r="G621" s="66"/>
      <c r="H621" s="66"/>
      <c r="I621" s="66"/>
      <c r="J621" s="66"/>
      <c r="K621" s="66"/>
      <c r="L621" s="66"/>
      <c r="M621" s="66"/>
      <c r="N621" s="66"/>
      <c r="O621" s="66"/>
      <c r="P621" s="66"/>
      <c r="Q621" s="66"/>
      <c r="R621" s="66"/>
      <c r="S621" s="66"/>
      <c r="T621" s="66"/>
      <c r="U621" s="66"/>
      <c r="V621" s="66"/>
      <c r="W621" s="66"/>
      <c r="X621" s="66"/>
      <c r="Y621" s="66"/>
      <c r="Z621" s="66"/>
    </row>
    <row r="622" spans="1:26" ht="21" x14ac:dyDescent="0.65">
      <c r="A622" s="66"/>
      <c r="B622" s="66"/>
      <c r="C622" s="66"/>
      <c r="D622" s="66"/>
      <c r="E622" s="66"/>
      <c r="F622" s="66"/>
      <c r="G622" s="66"/>
      <c r="H622" s="66"/>
      <c r="I622" s="66"/>
      <c r="J622" s="66"/>
      <c r="K622" s="66"/>
      <c r="L622" s="66"/>
      <c r="M622" s="66"/>
      <c r="N622" s="66"/>
      <c r="O622" s="66"/>
      <c r="P622" s="66"/>
      <c r="Q622" s="66"/>
      <c r="R622" s="66"/>
      <c r="S622" s="66"/>
      <c r="T622" s="66"/>
      <c r="U622" s="66"/>
      <c r="V622" s="66"/>
      <c r="W622" s="66"/>
      <c r="X622" s="66"/>
      <c r="Y622" s="66"/>
      <c r="Z622" s="66"/>
    </row>
    <row r="623" spans="1:26" ht="21" x14ac:dyDescent="0.65">
      <c r="A623" s="66"/>
      <c r="B623" s="66"/>
      <c r="C623" s="66"/>
      <c r="D623" s="66"/>
      <c r="E623" s="66"/>
      <c r="F623" s="66"/>
      <c r="G623" s="66"/>
      <c r="H623" s="66"/>
      <c r="I623" s="66"/>
      <c r="J623" s="66"/>
      <c r="K623" s="66"/>
      <c r="L623" s="66"/>
      <c r="M623" s="66"/>
      <c r="N623" s="66"/>
      <c r="O623" s="66"/>
      <c r="P623" s="66"/>
      <c r="Q623" s="66"/>
      <c r="R623" s="66"/>
      <c r="S623" s="66"/>
      <c r="T623" s="66"/>
      <c r="U623" s="66"/>
      <c r="V623" s="66"/>
      <c r="W623" s="66"/>
      <c r="X623" s="66"/>
      <c r="Y623" s="66"/>
      <c r="Z623" s="66"/>
    </row>
    <row r="624" spans="1:26" ht="21" x14ac:dyDescent="0.65">
      <c r="A624" s="66"/>
      <c r="B624" s="66"/>
      <c r="C624" s="66"/>
      <c r="D624" s="66"/>
      <c r="E624" s="66"/>
      <c r="F624" s="66"/>
      <c r="G624" s="66"/>
      <c r="H624" s="66"/>
      <c r="I624" s="66"/>
      <c r="J624" s="66"/>
      <c r="K624" s="66"/>
      <c r="L624" s="66"/>
      <c r="M624" s="66"/>
      <c r="N624" s="66"/>
      <c r="O624" s="66"/>
      <c r="P624" s="66"/>
      <c r="Q624" s="66"/>
      <c r="R624" s="66"/>
      <c r="S624" s="66"/>
      <c r="T624" s="66"/>
      <c r="U624" s="66"/>
      <c r="V624" s="66"/>
      <c r="W624" s="66"/>
      <c r="X624" s="66"/>
      <c r="Y624" s="66"/>
      <c r="Z624" s="66"/>
    </row>
    <row r="625" spans="1:26" ht="21" x14ac:dyDescent="0.65">
      <c r="A625" s="66"/>
      <c r="B625" s="66"/>
      <c r="C625" s="66"/>
      <c r="D625" s="66"/>
      <c r="E625" s="66"/>
      <c r="F625" s="66"/>
      <c r="G625" s="66"/>
      <c r="H625" s="66"/>
      <c r="I625" s="66"/>
      <c r="J625" s="66"/>
      <c r="K625" s="66"/>
      <c r="L625" s="66"/>
      <c r="M625" s="66"/>
      <c r="N625" s="66"/>
      <c r="O625" s="66"/>
      <c r="P625" s="66"/>
      <c r="Q625" s="66"/>
      <c r="R625" s="66"/>
      <c r="S625" s="66"/>
      <c r="T625" s="66"/>
      <c r="U625" s="66"/>
      <c r="V625" s="66"/>
      <c r="W625" s="66"/>
      <c r="X625" s="66"/>
      <c r="Y625" s="66"/>
      <c r="Z625" s="66"/>
    </row>
    <row r="626" spans="1:26" ht="21" x14ac:dyDescent="0.65">
      <c r="A626" s="66"/>
      <c r="B626" s="66"/>
      <c r="C626" s="66"/>
      <c r="D626" s="66"/>
      <c r="E626" s="66"/>
      <c r="F626" s="66"/>
      <c r="G626" s="66"/>
      <c r="H626" s="66"/>
      <c r="I626" s="66"/>
      <c r="J626" s="66"/>
      <c r="K626" s="66"/>
      <c r="L626" s="66"/>
      <c r="M626" s="66"/>
      <c r="N626" s="66"/>
      <c r="O626" s="66"/>
      <c r="P626" s="66"/>
      <c r="Q626" s="66"/>
      <c r="R626" s="66"/>
      <c r="S626" s="66"/>
      <c r="T626" s="66"/>
      <c r="U626" s="66"/>
      <c r="V626" s="66"/>
      <c r="W626" s="66"/>
      <c r="X626" s="66"/>
      <c r="Y626" s="66"/>
      <c r="Z626" s="66"/>
    </row>
    <row r="627" spans="1:26" ht="21" x14ac:dyDescent="0.65">
      <c r="A627" s="66"/>
      <c r="B627" s="66"/>
      <c r="C627" s="66"/>
      <c r="D627" s="66"/>
      <c r="E627" s="66"/>
      <c r="F627" s="66"/>
      <c r="G627" s="66"/>
      <c r="H627" s="66"/>
      <c r="I627" s="66"/>
      <c r="J627" s="66"/>
      <c r="K627" s="66"/>
      <c r="L627" s="66"/>
      <c r="M627" s="66"/>
      <c r="N627" s="66"/>
      <c r="O627" s="66"/>
      <c r="P627" s="66"/>
      <c r="Q627" s="66"/>
      <c r="R627" s="66"/>
      <c r="S627" s="66"/>
      <c r="T627" s="66"/>
      <c r="U627" s="66"/>
      <c r="V627" s="66"/>
      <c r="W627" s="66"/>
      <c r="X627" s="66"/>
      <c r="Y627" s="66"/>
      <c r="Z627" s="66"/>
    </row>
    <row r="628" spans="1:26" ht="21" x14ac:dyDescent="0.65">
      <c r="A628" s="66"/>
      <c r="B628" s="66"/>
      <c r="C628" s="66"/>
      <c r="D628" s="66"/>
      <c r="E628" s="66"/>
      <c r="F628" s="66"/>
      <c r="G628" s="66"/>
      <c r="H628" s="66"/>
      <c r="I628" s="66"/>
      <c r="J628" s="66"/>
      <c r="K628" s="66"/>
      <c r="L628" s="66"/>
      <c r="M628" s="66"/>
      <c r="N628" s="66"/>
      <c r="O628" s="66"/>
      <c r="P628" s="66"/>
      <c r="Q628" s="66"/>
      <c r="R628" s="66"/>
      <c r="S628" s="66"/>
      <c r="T628" s="66"/>
      <c r="U628" s="66"/>
      <c r="V628" s="66"/>
      <c r="W628" s="66"/>
      <c r="X628" s="66"/>
      <c r="Y628" s="66"/>
      <c r="Z628" s="66"/>
    </row>
    <row r="629" spans="1:26" ht="21" x14ac:dyDescent="0.65">
      <c r="A629" s="66"/>
      <c r="B629" s="66"/>
      <c r="C629" s="66"/>
      <c r="D629" s="66"/>
      <c r="E629" s="66"/>
      <c r="F629" s="66"/>
      <c r="G629" s="66"/>
      <c r="H629" s="66"/>
      <c r="I629" s="66"/>
      <c r="J629" s="66"/>
      <c r="K629" s="66"/>
      <c r="L629" s="66"/>
      <c r="M629" s="66"/>
      <c r="N629" s="66"/>
      <c r="O629" s="66"/>
      <c r="P629" s="66"/>
      <c r="Q629" s="66"/>
      <c r="R629" s="66"/>
      <c r="S629" s="66"/>
      <c r="T629" s="66"/>
      <c r="U629" s="66"/>
      <c r="V629" s="66"/>
      <c r="W629" s="66"/>
      <c r="X629" s="66"/>
      <c r="Y629" s="66"/>
      <c r="Z629" s="66"/>
    </row>
    <row r="630" spans="1:26" ht="21" x14ac:dyDescent="0.65">
      <c r="A630" s="66"/>
      <c r="B630" s="66"/>
      <c r="C630" s="66"/>
      <c r="D630" s="66"/>
      <c r="E630" s="66"/>
      <c r="F630" s="66"/>
      <c r="G630" s="66"/>
      <c r="H630" s="66"/>
      <c r="I630" s="66"/>
      <c r="J630" s="66"/>
      <c r="K630" s="66"/>
      <c r="L630" s="66"/>
      <c r="M630" s="66"/>
      <c r="N630" s="66"/>
      <c r="O630" s="66"/>
      <c r="P630" s="66"/>
      <c r="Q630" s="66"/>
      <c r="R630" s="66"/>
      <c r="S630" s="66"/>
      <c r="T630" s="66"/>
      <c r="U630" s="66"/>
      <c r="V630" s="66"/>
      <c r="W630" s="66"/>
      <c r="X630" s="66"/>
      <c r="Y630" s="66"/>
      <c r="Z630" s="66"/>
    </row>
    <row r="631" spans="1:26" ht="21" x14ac:dyDescent="0.65">
      <c r="A631" s="66"/>
      <c r="B631" s="66"/>
      <c r="C631" s="66"/>
      <c r="D631" s="66"/>
      <c r="E631" s="66"/>
      <c r="F631" s="66"/>
      <c r="G631" s="66"/>
      <c r="H631" s="66"/>
      <c r="I631" s="66"/>
      <c r="J631" s="66"/>
      <c r="K631" s="66"/>
      <c r="L631" s="66"/>
      <c r="M631" s="66"/>
      <c r="N631" s="66"/>
      <c r="O631" s="66"/>
      <c r="P631" s="66"/>
      <c r="Q631" s="66"/>
      <c r="R631" s="66"/>
      <c r="S631" s="66"/>
      <c r="T631" s="66"/>
      <c r="U631" s="66"/>
      <c r="V631" s="66"/>
      <c r="W631" s="66"/>
      <c r="X631" s="66"/>
      <c r="Y631" s="66"/>
      <c r="Z631" s="66"/>
    </row>
    <row r="632" spans="1:26" ht="21" x14ac:dyDescent="0.65">
      <c r="A632" s="66"/>
      <c r="B632" s="66"/>
      <c r="C632" s="66"/>
      <c r="D632" s="66"/>
      <c r="E632" s="66"/>
      <c r="F632" s="66"/>
      <c r="G632" s="66"/>
      <c r="H632" s="66"/>
      <c r="I632" s="66"/>
      <c r="J632" s="66"/>
      <c r="K632" s="66"/>
      <c r="L632" s="66"/>
      <c r="M632" s="66"/>
      <c r="N632" s="66"/>
      <c r="O632" s="66"/>
      <c r="P632" s="66"/>
      <c r="Q632" s="66"/>
      <c r="R632" s="66"/>
      <c r="S632" s="66"/>
      <c r="T632" s="66"/>
      <c r="U632" s="66"/>
      <c r="V632" s="66"/>
      <c r="W632" s="66"/>
      <c r="X632" s="66"/>
      <c r="Y632" s="66"/>
      <c r="Z632" s="66"/>
    </row>
    <row r="633" spans="1:26" ht="21" x14ac:dyDescent="0.65">
      <c r="A633" s="66"/>
      <c r="B633" s="66"/>
      <c r="C633" s="66"/>
      <c r="D633" s="66"/>
      <c r="E633" s="66"/>
      <c r="F633" s="66"/>
      <c r="G633" s="66"/>
      <c r="H633" s="66"/>
      <c r="I633" s="66"/>
      <c r="J633" s="66"/>
      <c r="K633" s="66"/>
      <c r="L633" s="66"/>
      <c r="M633" s="66"/>
      <c r="N633" s="66"/>
      <c r="O633" s="66"/>
      <c r="P633" s="66"/>
      <c r="Q633" s="66"/>
      <c r="R633" s="66"/>
      <c r="S633" s="66"/>
      <c r="T633" s="66"/>
      <c r="U633" s="66"/>
      <c r="V633" s="66"/>
      <c r="W633" s="66"/>
      <c r="X633" s="66"/>
      <c r="Y633" s="66"/>
      <c r="Z633" s="66"/>
    </row>
    <row r="634" spans="1:26" ht="21" x14ac:dyDescent="0.65">
      <c r="A634" s="66"/>
      <c r="B634" s="66"/>
      <c r="C634" s="66"/>
      <c r="D634" s="66"/>
      <c r="E634" s="66"/>
      <c r="F634" s="66"/>
      <c r="G634" s="66"/>
      <c r="H634" s="66"/>
      <c r="I634" s="66"/>
      <c r="J634" s="66"/>
      <c r="K634" s="66"/>
      <c r="L634" s="66"/>
      <c r="M634" s="66"/>
      <c r="N634" s="66"/>
      <c r="O634" s="66"/>
      <c r="P634" s="66"/>
      <c r="Q634" s="66"/>
      <c r="R634" s="66"/>
      <c r="S634" s="66"/>
      <c r="T634" s="66"/>
      <c r="U634" s="66"/>
      <c r="V634" s="66"/>
      <c r="W634" s="66"/>
      <c r="X634" s="66"/>
      <c r="Y634" s="66"/>
      <c r="Z634" s="66"/>
    </row>
    <row r="635" spans="1:26" ht="21" x14ac:dyDescent="0.65">
      <c r="A635" s="66"/>
      <c r="B635" s="66"/>
      <c r="C635" s="66"/>
      <c r="D635" s="66"/>
      <c r="E635" s="66"/>
      <c r="F635" s="66"/>
      <c r="G635" s="66"/>
      <c r="H635" s="66"/>
      <c r="I635" s="66"/>
      <c r="J635" s="66"/>
      <c r="K635" s="66"/>
      <c r="L635" s="66"/>
      <c r="M635" s="66"/>
      <c r="N635" s="66"/>
      <c r="O635" s="66"/>
      <c r="P635" s="66"/>
      <c r="Q635" s="66"/>
      <c r="R635" s="66"/>
      <c r="S635" s="66"/>
      <c r="T635" s="66"/>
      <c r="U635" s="66"/>
      <c r="V635" s="66"/>
      <c r="W635" s="66"/>
      <c r="X635" s="66"/>
      <c r="Y635" s="66"/>
      <c r="Z635" s="66"/>
    </row>
    <row r="636" spans="1:26" ht="21" x14ac:dyDescent="0.65">
      <c r="A636" s="66"/>
      <c r="B636" s="66"/>
      <c r="C636" s="66"/>
      <c r="D636" s="66"/>
      <c r="E636" s="66"/>
      <c r="F636" s="66"/>
      <c r="G636" s="66"/>
      <c r="H636" s="66"/>
      <c r="I636" s="66"/>
      <c r="J636" s="66"/>
      <c r="K636" s="66"/>
      <c r="L636" s="66"/>
      <c r="M636" s="66"/>
      <c r="N636" s="66"/>
      <c r="O636" s="66"/>
      <c r="P636" s="66"/>
      <c r="Q636" s="66"/>
      <c r="R636" s="66"/>
      <c r="S636" s="66"/>
      <c r="T636" s="66"/>
      <c r="U636" s="66"/>
      <c r="V636" s="66"/>
      <c r="W636" s="66"/>
      <c r="X636" s="66"/>
      <c r="Y636" s="66"/>
      <c r="Z636" s="66"/>
    </row>
    <row r="637" spans="1:26" ht="21" x14ac:dyDescent="0.65">
      <c r="A637" s="66"/>
      <c r="B637" s="66"/>
      <c r="C637" s="66"/>
      <c r="D637" s="66"/>
      <c r="E637" s="66"/>
      <c r="F637" s="66"/>
      <c r="G637" s="66"/>
      <c r="H637" s="66"/>
      <c r="I637" s="66"/>
      <c r="J637" s="66"/>
      <c r="K637" s="66"/>
      <c r="L637" s="66"/>
      <c r="M637" s="66"/>
      <c r="N637" s="66"/>
      <c r="O637" s="66"/>
      <c r="P637" s="66"/>
      <c r="Q637" s="66"/>
      <c r="R637" s="66"/>
      <c r="S637" s="66"/>
      <c r="T637" s="66"/>
      <c r="U637" s="66"/>
      <c r="V637" s="66"/>
      <c r="W637" s="66"/>
      <c r="X637" s="66"/>
      <c r="Y637" s="66"/>
      <c r="Z637" s="66"/>
    </row>
    <row r="638" spans="1:26" ht="21" x14ac:dyDescent="0.65">
      <c r="A638" s="66"/>
      <c r="B638" s="66"/>
      <c r="C638" s="66"/>
      <c r="D638" s="66"/>
      <c r="E638" s="66"/>
      <c r="F638" s="66"/>
      <c r="G638" s="66"/>
      <c r="H638" s="66"/>
      <c r="I638" s="66"/>
      <c r="J638" s="66"/>
      <c r="K638" s="66"/>
      <c r="L638" s="66"/>
      <c r="M638" s="66"/>
      <c r="N638" s="66"/>
      <c r="O638" s="66"/>
      <c r="P638" s="66"/>
      <c r="Q638" s="66"/>
      <c r="R638" s="66"/>
      <c r="S638" s="66"/>
      <c r="T638" s="66"/>
      <c r="U638" s="66"/>
      <c r="V638" s="66"/>
      <c r="W638" s="66"/>
      <c r="X638" s="66"/>
      <c r="Y638" s="66"/>
      <c r="Z638" s="66"/>
    </row>
    <row r="639" spans="1:26" ht="21" x14ac:dyDescent="0.65">
      <c r="A639" s="66"/>
      <c r="B639" s="66"/>
      <c r="C639" s="66"/>
      <c r="D639" s="66"/>
      <c r="E639" s="66"/>
      <c r="F639" s="66"/>
      <c r="G639" s="66"/>
      <c r="H639" s="66"/>
      <c r="I639" s="66"/>
      <c r="J639" s="66"/>
      <c r="K639" s="66"/>
      <c r="L639" s="66"/>
      <c r="M639" s="66"/>
      <c r="N639" s="66"/>
      <c r="O639" s="66"/>
      <c r="P639" s="66"/>
      <c r="Q639" s="66"/>
      <c r="R639" s="66"/>
      <c r="S639" s="66"/>
      <c r="T639" s="66"/>
      <c r="U639" s="66"/>
      <c r="V639" s="66"/>
      <c r="W639" s="66"/>
      <c r="X639" s="66"/>
      <c r="Y639" s="66"/>
      <c r="Z639" s="66"/>
    </row>
    <row r="640" spans="1:26" ht="21" x14ac:dyDescent="0.65">
      <c r="A640" s="66"/>
      <c r="B640" s="66"/>
      <c r="C640" s="66"/>
      <c r="D640" s="66"/>
      <c r="E640" s="66"/>
      <c r="F640" s="66"/>
      <c r="G640" s="66"/>
      <c r="H640" s="66"/>
      <c r="I640" s="66"/>
      <c r="J640" s="66"/>
      <c r="K640" s="66"/>
      <c r="L640" s="66"/>
      <c r="M640" s="66"/>
      <c r="N640" s="66"/>
      <c r="O640" s="66"/>
      <c r="P640" s="66"/>
      <c r="Q640" s="66"/>
      <c r="R640" s="66"/>
      <c r="S640" s="66"/>
      <c r="T640" s="66"/>
      <c r="U640" s="66"/>
      <c r="V640" s="66"/>
      <c r="W640" s="66"/>
      <c r="X640" s="66"/>
      <c r="Y640" s="66"/>
      <c r="Z640" s="66"/>
    </row>
    <row r="641" spans="1:26" ht="21" x14ac:dyDescent="0.65">
      <c r="A641" s="66"/>
      <c r="B641" s="66"/>
      <c r="C641" s="66"/>
      <c r="D641" s="66"/>
      <c r="E641" s="66"/>
      <c r="F641" s="66"/>
      <c r="G641" s="66"/>
      <c r="H641" s="66"/>
      <c r="I641" s="66"/>
      <c r="J641" s="66"/>
      <c r="K641" s="66"/>
      <c r="L641" s="66"/>
      <c r="M641" s="66"/>
      <c r="N641" s="66"/>
      <c r="O641" s="66"/>
      <c r="P641" s="66"/>
      <c r="Q641" s="66"/>
      <c r="R641" s="66"/>
      <c r="S641" s="66"/>
      <c r="T641" s="66"/>
      <c r="U641" s="66"/>
      <c r="V641" s="66"/>
      <c r="W641" s="66"/>
      <c r="X641" s="66"/>
      <c r="Y641" s="66"/>
      <c r="Z641" s="66"/>
    </row>
    <row r="642" spans="1:26" ht="21" x14ac:dyDescent="0.65">
      <c r="A642" s="66"/>
      <c r="B642" s="66"/>
      <c r="C642" s="66"/>
      <c r="D642" s="66"/>
      <c r="E642" s="66"/>
      <c r="F642" s="66"/>
      <c r="G642" s="66"/>
      <c r="H642" s="66"/>
      <c r="I642" s="66"/>
      <c r="J642" s="66"/>
      <c r="K642" s="66"/>
      <c r="L642" s="66"/>
      <c r="M642" s="66"/>
      <c r="N642" s="66"/>
      <c r="O642" s="66"/>
      <c r="P642" s="66"/>
      <c r="Q642" s="66"/>
      <c r="R642" s="66"/>
      <c r="S642" s="66"/>
      <c r="T642" s="66"/>
      <c r="U642" s="66"/>
      <c r="V642" s="66"/>
      <c r="W642" s="66"/>
      <c r="X642" s="66"/>
      <c r="Y642" s="66"/>
      <c r="Z642" s="66"/>
    </row>
    <row r="643" spans="1:26" ht="21" x14ac:dyDescent="0.65">
      <c r="A643" s="66"/>
      <c r="B643" s="66"/>
      <c r="C643" s="66"/>
      <c r="D643" s="66"/>
      <c r="E643" s="66"/>
      <c r="F643" s="66"/>
      <c r="G643" s="66"/>
      <c r="H643" s="66"/>
      <c r="I643" s="66"/>
      <c r="J643" s="66"/>
      <c r="K643" s="66"/>
      <c r="L643" s="66"/>
      <c r="M643" s="66"/>
      <c r="N643" s="66"/>
      <c r="O643" s="66"/>
      <c r="P643" s="66"/>
      <c r="Q643" s="66"/>
      <c r="R643" s="66"/>
      <c r="S643" s="66"/>
      <c r="T643" s="66"/>
      <c r="U643" s="66"/>
      <c r="V643" s="66"/>
      <c r="W643" s="66"/>
      <c r="X643" s="66"/>
      <c r="Y643" s="66"/>
      <c r="Z643" s="66"/>
    </row>
    <row r="644" spans="1:26" ht="21" x14ac:dyDescent="0.65">
      <c r="A644" s="66"/>
      <c r="B644" s="66"/>
      <c r="C644" s="66"/>
      <c r="D644" s="66"/>
      <c r="E644" s="66"/>
      <c r="F644" s="66"/>
      <c r="G644" s="66"/>
      <c r="H644" s="66"/>
      <c r="I644" s="66"/>
      <c r="J644" s="66"/>
      <c r="K644" s="66"/>
      <c r="L644" s="66"/>
      <c r="M644" s="66"/>
      <c r="N644" s="66"/>
      <c r="O644" s="66"/>
      <c r="P644" s="66"/>
      <c r="Q644" s="66"/>
      <c r="R644" s="66"/>
      <c r="S644" s="66"/>
      <c r="T644" s="66"/>
      <c r="U644" s="66"/>
      <c r="V644" s="66"/>
      <c r="W644" s="66"/>
      <c r="X644" s="66"/>
      <c r="Y644" s="66"/>
      <c r="Z644" s="66"/>
    </row>
    <row r="645" spans="1:26" ht="21" x14ac:dyDescent="0.65">
      <c r="A645" s="66"/>
      <c r="B645" s="66"/>
      <c r="C645" s="66"/>
      <c r="D645" s="66"/>
      <c r="E645" s="66"/>
      <c r="F645" s="66"/>
      <c r="G645" s="66"/>
      <c r="H645" s="66"/>
      <c r="I645" s="66"/>
      <c r="J645" s="66"/>
      <c r="K645" s="66"/>
      <c r="L645" s="66"/>
      <c r="M645" s="66"/>
      <c r="N645" s="66"/>
      <c r="O645" s="66"/>
      <c r="P645" s="66"/>
      <c r="Q645" s="66"/>
      <c r="R645" s="66"/>
      <c r="S645" s="66"/>
      <c r="T645" s="66"/>
      <c r="U645" s="66"/>
      <c r="V645" s="66"/>
      <c r="W645" s="66"/>
      <c r="X645" s="66"/>
      <c r="Y645" s="66"/>
      <c r="Z645" s="66"/>
    </row>
    <row r="646" spans="1:26" ht="21" x14ac:dyDescent="0.65">
      <c r="A646" s="66"/>
      <c r="B646" s="66"/>
      <c r="C646" s="66"/>
      <c r="D646" s="66"/>
      <c r="E646" s="66"/>
      <c r="F646" s="66"/>
      <c r="G646" s="66"/>
      <c r="H646" s="66"/>
      <c r="I646" s="66"/>
      <c r="J646" s="66"/>
      <c r="K646" s="66"/>
      <c r="L646" s="66"/>
      <c r="M646" s="66"/>
      <c r="N646" s="66"/>
      <c r="O646" s="66"/>
      <c r="P646" s="66"/>
      <c r="Q646" s="66"/>
      <c r="R646" s="66"/>
      <c r="S646" s="66"/>
      <c r="T646" s="66"/>
      <c r="U646" s="66"/>
      <c r="V646" s="66"/>
      <c r="W646" s="66"/>
      <c r="X646" s="66"/>
      <c r="Y646" s="66"/>
      <c r="Z646" s="66"/>
    </row>
    <row r="647" spans="1:26" ht="21" x14ac:dyDescent="0.65">
      <c r="A647" s="66"/>
      <c r="B647" s="66"/>
      <c r="C647" s="66"/>
      <c r="D647" s="66"/>
      <c r="E647" s="66"/>
      <c r="F647" s="66"/>
      <c r="G647" s="66"/>
      <c r="H647" s="66"/>
      <c r="I647" s="66"/>
      <c r="J647" s="66"/>
      <c r="K647" s="66"/>
      <c r="L647" s="66"/>
      <c r="M647" s="66"/>
      <c r="N647" s="66"/>
      <c r="O647" s="66"/>
      <c r="P647" s="66"/>
      <c r="Q647" s="66"/>
      <c r="R647" s="66"/>
      <c r="S647" s="66"/>
      <c r="T647" s="66"/>
      <c r="U647" s="66"/>
      <c r="V647" s="66"/>
      <c r="W647" s="66"/>
      <c r="X647" s="66"/>
      <c r="Y647" s="66"/>
      <c r="Z647" s="66"/>
    </row>
    <row r="648" spans="1:26" ht="21" x14ac:dyDescent="0.65">
      <c r="A648" s="66"/>
      <c r="B648" s="66"/>
      <c r="C648" s="66"/>
      <c r="D648" s="66"/>
      <c r="E648" s="66"/>
      <c r="F648" s="66"/>
      <c r="G648" s="66"/>
      <c r="H648" s="66"/>
      <c r="I648" s="66"/>
      <c r="J648" s="66"/>
      <c r="K648" s="66"/>
      <c r="L648" s="66"/>
      <c r="M648" s="66"/>
      <c r="N648" s="66"/>
      <c r="O648" s="66"/>
      <c r="P648" s="66"/>
      <c r="Q648" s="66"/>
      <c r="R648" s="66"/>
      <c r="S648" s="66"/>
      <c r="T648" s="66"/>
      <c r="U648" s="66"/>
      <c r="V648" s="66"/>
      <c r="W648" s="66"/>
      <c r="X648" s="66"/>
      <c r="Y648" s="66"/>
      <c r="Z648" s="66"/>
    </row>
    <row r="649" spans="1:26" ht="21" x14ac:dyDescent="0.65">
      <c r="A649" s="66"/>
      <c r="B649" s="66"/>
      <c r="C649" s="66"/>
      <c r="D649" s="66"/>
      <c r="E649" s="66"/>
      <c r="F649" s="66"/>
      <c r="G649" s="66"/>
      <c r="H649" s="66"/>
      <c r="I649" s="66"/>
      <c r="J649" s="66"/>
      <c r="K649" s="66"/>
      <c r="L649" s="66"/>
      <c r="M649" s="66"/>
      <c r="N649" s="66"/>
      <c r="O649" s="66"/>
      <c r="P649" s="66"/>
      <c r="Q649" s="66"/>
      <c r="R649" s="66"/>
      <c r="S649" s="66"/>
      <c r="T649" s="66"/>
      <c r="U649" s="66"/>
      <c r="V649" s="66"/>
      <c r="W649" s="66"/>
      <c r="X649" s="66"/>
      <c r="Y649" s="66"/>
      <c r="Z649" s="66"/>
    </row>
    <row r="650" spans="1:26" ht="21" x14ac:dyDescent="0.65">
      <c r="A650" s="66"/>
      <c r="B650" s="66"/>
      <c r="C650" s="66"/>
      <c r="D650" s="66"/>
      <c r="E650" s="66"/>
      <c r="F650" s="66"/>
      <c r="G650" s="66"/>
      <c r="H650" s="66"/>
      <c r="I650" s="66"/>
      <c r="J650" s="66"/>
      <c r="K650" s="66"/>
      <c r="L650" s="66"/>
      <c r="M650" s="66"/>
      <c r="N650" s="66"/>
      <c r="O650" s="66"/>
      <c r="P650" s="66"/>
      <c r="Q650" s="66"/>
      <c r="R650" s="66"/>
      <c r="S650" s="66"/>
      <c r="T650" s="66"/>
      <c r="U650" s="66"/>
      <c r="V650" s="66"/>
      <c r="W650" s="66"/>
      <c r="X650" s="66"/>
      <c r="Y650" s="66"/>
      <c r="Z650" s="66"/>
    </row>
    <row r="651" spans="1:26" ht="21" x14ac:dyDescent="0.65">
      <c r="A651" s="66"/>
      <c r="B651" s="66"/>
      <c r="C651" s="66"/>
      <c r="D651" s="66"/>
      <c r="E651" s="66"/>
      <c r="F651" s="66"/>
      <c r="G651" s="66"/>
      <c r="H651" s="66"/>
      <c r="I651" s="66"/>
      <c r="J651" s="66"/>
      <c r="K651" s="66"/>
      <c r="L651" s="66"/>
      <c r="M651" s="66"/>
      <c r="N651" s="66"/>
      <c r="O651" s="66"/>
      <c r="P651" s="66"/>
      <c r="Q651" s="66"/>
      <c r="R651" s="66"/>
      <c r="S651" s="66"/>
      <c r="T651" s="66"/>
      <c r="U651" s="66"/>
      <c r="V651" s="66"/>
      <c r="W651" s="66"/>
      <c r="X651" s="66"/>
      <c r="Y651" s="66"/>
      <c r="Z651" s="66"/>
    </row>
    <row r="652" spans="1:26" ht="21" x14ac:dyDescent="0.65">
      <c r="A652" s="66"/>
      <c r="B652" s="66"/>
      <c r="C652" s="66"/>
      <c r="D652" s="66"/>
      <c r="E652" s="66"/>
      <c r="F652" s="66"/>
      <c r="G652" s="66"/>
      <c r="H652" s="66"/>
      <c r="I652" s="66"/>
      <c r="J652" s="66"/>
      <c r="K652" s="66"/>
      <c r="L652" s="66"/>
      <c r="M652" s="66"/>
      <c r="N652" s="66"/>
      <c r="O652" s="66"/>
      <c r="P652" s="66"/>
      <c r="Q652" s="66"/>
      <c r="R652" s="66"/>
      <c r="S652" s="66"/>
      <c r="T652" s="66"/>
      <c r="U652" s="66"/>
      <c r="V652" s="66"/>
      <c r="W652" s="66"/>
      <c r="X652" s="66"/>
      <c r="Y652" s="66"/>
      <c r="Z652" s="66"/>
    </row>
    <row r="653" spans="1:26" ht="21" x14ac:dyDescent="0.65">
      <c r="A653" s="66"/>
      <c r="B653" s="66"/>
      <c r="C653" s="66"/>
      <c r="D653" s="66"/>
      <c r="E653" s="66"/>
      <c r="F653" s="66"/>
      <c r="G653" s="66"/>
      <c r="H653" s="66"/>
      <c r="I653" s="66"/>
      <c r="J653" s="66"/>
      <c r="K653" s="66"/>
      <c r="L653" s="66"/>
      <c r="M653" s="66"/>
      <c r="N653" s="66"/>
      <c r="O653" s="66"/>
      <c r="P653" s="66"/>
      <c r="Q653" s="66"/>
      <c r="R653" s="66"/>
      <c r="S653" s="66"/>
      <c r="T653" s="66"/>
      <c r="U653" s="66"/>
      <c r="V653" s="66"/>
      <c r="W653" s="66"/>
      <c r="X653" s="66"/>
      <c r="Y653" s="66"/>
      <c r="Z653" s="66"/>
    </row>
    <row r="654" spans="1:26" ht="21" x14ac:dyDescent="0.65">
      <c r="A654" s="66"/>
      <c r="B654" s="66"/>
      <c r="C654" s="66"/>
      <c r="D654" s="66"/>
      <c r="E654" s="66"/>
      <c r="F654" s="66"/>
      <c r="G654" s="66"/>
      <c r="H654" s="66"/>
      <c r="I654" s="66"/>
      <c r="J654" s="66"/>
      <c r="K654" s="66"/>
      <c r="L654" s="66"/>
      <c r="M654" s="66"/>
      <c r="N654" s="66"/>
      <c r="O654" s="66"/>
      <c r="P654" s="66"/>
      <c r="Q654" s="66"/>
      <c r="R654" s="66"/>
      <c r="S654" s="66"/>
      <c r="T654" s="66"/>
      <c r="U654" s="66"/>
      <c r="V654" s="66"/>
      <c r="W654" s="66"/>
      <c r="X654" s="66"/>
      <c r="Y654" s="66"/>
      <c r="Z654" s="66"/>
    </row>
    <row r="655" spans="1:26" ht="21" x14ac:dyDescent="0.65">
      <c r="A655" s="66"/>
      <c r="B655" s="66"/>
      <c r="C655" s="66"/>
      <c r="D655" s="66"/>
      <c r="E655" s="66"/>
      <c r="F655" s="66"/>
      <c r="G655" s="66"/>
      <c r="H655" s="66"/>
      <c r="I655" s="66"/>
      <c r="J655" s="66"/>
      <c r="K655" s="66"/>
      <c r="L655" s="66"/>
      <c r="M655" s="66"/>
      <c r="N655" s="66"/>
      <c r="O655" s="66"/>
      <c r="P655" s="66"/>
      <c r="Q655" s="66"/>
      <c r="R655" s="66"/>
      <c r="S655" s="66"/>
      <c r="T655" s="66"/>
      <c r="U655" s="66"/>
      <c r="V655" s="66"/>
      <c r="W655" s="66"/>
      <c r="X655" s="66"/>
      <c r="Y655" s="66"/>
      <c r="Z655" s="66"/>
    </row>
    <row r="656" spans="1:26" ht="21" x14ac:dyDescent="0.65">
      <c r="A656" s="66"/>
      <c r="B656" s="66"/>
      <c r="C656" s="66"/>
      <c r="D656" s="66"/>
      <c r="E656" s="66"/>
      <c r="F656" s="66"/>
      <c r="G656" s="66"/>
      <c r="H656" s="66"/>
      <c r="I656" s="66"/>
      <c r="J656" s="66"/>
      <c r="K656" s="66"/>
      <c r="L656" s="66"/>
      <c r="M656" s="66"/>
      <c r="N656" s="66"/>
      <c r="O656" s="66"/>
      <c r="P656" s="66"/>
      <c r="Q656" s="66"/>
      <c r="R656" s="66"/>
      <c r="S656" s="66"/>
      <c r="T656" s="66"/>
      <c r="U656" s="66"/>
      <c r="V656" s="66"/>
      <c r="W656" s="66"/>
      <c r="X656" s="66"/>
      <c r="Y656" s="66"/>
      <c r="Z656" s="66"/>
    </row>
    <row r="657" spans="1:26" ht="21" x14ac:dyDescent="0.65">
      <c r="A657" s="66"/>
      <c r="B657" s="66"/>
      <c r="C657" s="66"/>
      <c r="D657" s="66"/>
      <c r="E657" s="66"/>
      <c r="F657" s="66"/>
      <c r="G657" s="66"/>
      <c r="H657" s="66"/>
      <c r="I657" s="66"/>
      <c r="J657" s="66"/>
      <c r="K657" s="66"/>
      <c r="L657" s="66"/>
      <c r="M657" s="66"/>
      <c r="N657" s="66"/>
      <c r="O657" s="66"/>
      <c r="P657" s="66"/>
      <c r="Q657" s="66"/>
      <c r="R657" s="66"/>
      <c r="S657" s="66"/>
      <c r="T657" s="66"/>
      <c r="U657" s="66"/>
      <c r="V657" s="66"/>
      <c r="W657" s="66"/>
      <c r="X657" s="66"/>
      <c r="Y657" s="66"/>
      <c r="Z657" s="66"/>
    </row>
    <row r="658" spans="1:26" ht="21" x14ac:dyDescent="0.65">
      <c r="A658" s="66"/>
      <c r="B658" s="66"/>
      <c r="C658" s="66"/>
      <c r="D658" s="66"/>
      <c r="E658" s="66"/>
      <c r="F658" s="66"/>
      <c r="G658" s="66"/>
      <c r="H658" s="66"/>
      <c r="I658" s="66"/>
      <c r="J658" s="66"/>
      <c r="K658" s="66"/>
      <c r="L658" s="66"/>
      <c r="M658" s="66"/>
      <c r="N658" s="66"/>
      <c r="O658" s="66"/>
      <c r="P658" s="66"/>
      <c r="Q658" s="66"/>
      <c r="R658" s="66"/>
      <c r="S658" s="66"/>
      <c r="T658" s="66"/>
      <c r="U658" s="66"/>
      <c r="V658" s="66"/>
      <c r="W658" s="66"/>
      <c r="X658" s="66"/>
      <c r="Y658" s="66"/>
      <c r="Z658" s="66"/>
    </row>
    <row r="659" spans="1:26" ht="21" x14ac:dyDescent="0.65">
      <c r="A659" s="66"/>
      <c r="B659" s="66"/>
      <c r="C659" s="66"/>
      <c r="D659" s="66"/>
      <c r="E659" s="66"/>
      <c r="F659" s="66"/>
      <c r="G659" s="66"/>
      <c r="H659" s="66"/>
      <c r="I659" s="66"/>
      <c r="J659" s="66"/>
      <c r="K659" s="66"/>
      <c r="L659" s="66"/>
      <c r="M659" s="66"/>
      <c r="N659" s="66"/>
      <c r="O659" s="66"/>
      <c r="P659" s="66"/>
      <c r="Q659" s="66"/>
      <c r="R659" s="66"/>
      <c r="S659" s="66"/>
      <c r="T659" s="66"/>
      <c r="U659" s="66"/>
      <c r="V659" s="66"/>
      <c r="W659" s="66"/>
      <c r="X659" s="66"/>
      <c r="Y659" s="66"/>
      <c r="Z659" s="66"/>
    </row>
    <row r="660" spans="1:26" ht="21" x14ac:dyDescent="0.65">
      <c r="A660" s="66"/>
      <c r="B660" s="66"/>
      <c r="C660" s="66"/>
      <c r="D660" s="66"/>
      <c r="E660" s="66"/>
      <c r="F660" s="66"/>
      <c r="G660" s="66"/>
      <c r="H660" s="66"/>
      <c r="I660" s="66"/>
      <c r="J660" s="66"/>
      <c r="K660" s="66"/>
      <c r="L660" s="66"/>
      <c r="M660" s="66"/>
      <c r="N660" s="66"/>
      <c r="O660" s="66"/>
      <c r="P660" s="66"/>
      <c r="Q660" s="66"/>
      <c r="R660" s="66"/>
      <c r="S660" s="66"/>
      <c r="T660" s="66"/>
      <c r="U660" s="66"/>
      <c r="V660" s="66"/>
      <c r="W660" s="66"/>
      <c r="X660" s="66"/>
      <c r="Y660" s="66"/>
      <c r="Z660" s="66"/>
    </row>
    <row r="661" spans="1:26" ht="21" x14ac:dyDescent="0.65">
      <c r="A661" s="66"/>
      <c r="B661" s="66"/>
      <c r="C661" s="66"/>
      <c r="D661" s="66"/>
      <c r="E661" s="66"/>
      <c r="F661" s="66"/>
      <c r="G661" s="66"/>
      <c r="H661" s="66"/>
      <c r="I661" s="66"/>
      <c r="J661" s="66"/>
      <c r="K661" s="66"/>
      <c r="L661" s="66"/>
      <c r="M661" s="66"/>
      <c r="N661" s="66"/>
      <c r="O661" s="66"/>
      <c r="P661" s="66"/>
      <c r="Q661" s="66"/>
      <c r="R661" s="66"/>
      <c r="S661" s="66"/>
      <c r="T661" s="66"/>
      <c r="U661" s="66"/>
      <c r="V661" s="66"/>
      <c r="W661" s="66"/>
      <c r="X661" s="66"/>
      <c r="Y661" s="66"/>
      <c r="Z661" s="66"/>
    </row>
    <row r="662" spans="1:26" ht="21" x14ac:dyDescent="0.65">
      <c r="A662" s="66"/>
      <c r="B662" s="66"/>
      <c r="C662" s="66"/>
      <c r="D662" s="66"/>
      <c r="E662" s="66"/>
      <c r="F662" s="66"/>
      <c r="G662" s="66"/>
      <c r="H662" s="66"/>
      <c r="I662" s="66"/>
      <c r="J662" s="66"/>
      <c r="K662" s="66"/>
      <c r="L662" s="66"/>
      <c r="M662" s="66"/>
      <c r="N662" s="66"/>
      <c r="O662" s="66"/>
      <c r="P662" s="66"/>
      <c r="Q662" s="66"/>
      <c r="R662" s="66"/>
      <c r="S662" s="66"/>
      <c r="T662" s="66"/>
      <c r="U662" s="66"/>
      <c r="V662" s="66"/>
      <c r="W662" s="66"/>
      <c r="X662" s="66"/>
      <c r="Y662" s="66"/>
      <c r="Z662" s="66"/>
    </row>
    <row r="663" spans="1:26" ht="21" x14ac:dyDescent="0.65">
      <c r="A663" s="66"/>
      <c r="B663" s="66"/>
      <c r="C663" s="66"/>
      <c r="D663" s="66"/>
      <c r="E663" s="66"/>
      <c r="F663" s="66"/>
      <c r="G663" s="66"/>
      <c r="H663" s="66"/>
      <c r="I663" s="66"/>
      <c r="J663" s="66"/>
      <c r="K663" s="66"/>
      <c r="L663" s="66"/>
      <c r="M663" s="66"/>
      <c r="N663" s="66"/>
      <c r="O663" s="66"/>
      <c r="P663" s="66"/>
      <c r="Q663" s="66"/>
      <c r="R663" s="66"/>
      <c r="S663" s="66"/>
      <c r="T663" s="66"/>
      <c r="U663" s="66"/>
      <c r="V663" s="66"/>
      <c r="W663" s="66"/>
      <c r="X663" s="66"/>
      <c r="Y663" s="66"/>
      <c r="Z663" s="66"/>
    </row>
    <row r="664" spans="1:26" ht="21" x14ac:dyDescent="0.65">
      <c r="A664" s="66"/>
      <c r="B664" s="66"/>
      <c r="C664" s="66"/>
      <c r="D664" s="66"/>
      <c r="E664" s="66"/>
      <c r="F664" s="66"/>
      <c r="G664" s="66"/>
      <c r="H664" s="66"/>
      <c r="I664" s="66"/>
      <c r="J664" s="66"/>
      <c r="K664" s="66"/>
      <c r="L664" s="66"/>
      <c r="M664" s="66"/>
      <c r="N664" s="66"/>
      <c r="O664" s="66"/>
      <c r="P664" s="66"/>
      <c r="Q664" s="66"/>
      <c r="R664" s="66"/>
      <c r="S664" s="66"/>
      <c r="T664" s="66"/>
      <c r="U664" s="66"/>
      <c r="V664" s="66"/>
      <c r="W664" s="66"/>
      <c r="X664" s="66"/>
      <c r="Y664" s="66"/>
      <c r="Z664" s="66"/>
    </row>
    <row r="665" spans="1:26" ht="21" x14ac:dyDescent="0.65">
      <c r="A665" s="66"/>
      <c r="B665" s="66"/>
      <c r="C665" s="66"/>
      <c r="D665" s="66"/>
      <c r="E665" s="66"/>
      <c r="F665" s="66"/>
      <c r="G665" s="66"/>
      <c r="H665" s="66"/>
      <c r="I665" s="66"/>
      <c r="J665" s="66"/>
      <c r="K665" s="66"/>
      <c r="L665" s="66"/>
      <c r="M665" s="66"/>
      <c r="N665" s="66"/>
      <c r="O665" s="66"/>
      <c r="P665" s="66"/>
      <c r="Q665" s="66"/>
      <c r="R665" s="66"/>
      <c r="S665" s="66"/>
      <c r="T665" s="66"/>
      <c r="U665" s="66"/>
      <c r="V665" s="66"/>
      <c r="W665" s="66"/>
      <c r="X665" s="66"/>
      <c r="Y665" s="66"/>
      <c r="Z665" s="66"/>
    </row>
    <row r="666" spans="1:26" ht="21" x14ac:dyDescent="0.65">
      <c r="A666" s="66"/>
      <c r="B666" s="66"/>
      <c r="C666" s="66"/>
      <c r="D666" s="66"/>
      <c r="E666" s="66"/>
      <c r="F666" s="66"/>
      <c r="G666" s="66"/>
      <c r="H666" s="66"/>
      <c r="I666" s="66"/>
      <c r="J666" s="66"/>
      <c r="K666" s="66"/>
      <c r="L666" s="66"/>
      <c r="M666" s="66"/>
      <c r="N666" s="66"/>
      <c r="O666" s="66"/>
      <c r="P666" s="66"/>
      <c r="Q666" s="66"/>
      <c r="R666" s="66"/>
      <c r="S666" s="66"/>
      <c r="T666" s="66"/>
      <c r="U666" s="66"/>
      <c r="V666" s="66"/>
      <c r="W666" s="66"/>
      <c r="X666" s="66"/>
      <c r="Y666" s="66"/>
      <c r="Z666" s="66"/>
    </row>
    <row r="667" spans="1:26" ht="21" x14ac:dyDescent="0.65">
      <c r="A667" s="66"/>
      <c r="B667" s="66"/>
      <c r="C667" s="66"/>
      <c r="D667" s="66"/>
      <c r="E667" s="66"/>
      <c r="F667" s="66"/>
      <c r="G667" s="66"/>
      <c r="H667" s="66"/>
      <c r="I667" s="66"/>
      <c r="J667" s="66"/>
      <c r="K667" s="66"/>
      <c r="L667" s="66"/>
      <c r="M667" s="66"/>
      <c r="N667" s="66"/>
      <c r="O667" s="66"/>
      <c r="P667" s="66"/>
      <c r="Q667" s="66"/>
      <c r="R667" s="66"/>
      <c r="S667" s="66"/>
      <c r="T667" s="66"/>
      <c r="U667" s="66"/>
      <c r="V667" s="66"/>
      <c r="W667" s="66"/>
      <c r="X667" s="66"/>
      <c r="Y667" s="66"/>
      <c r="Z667" s="66"/>
    </row>
    <row r="668" spans="1:26" ht="21" x14ac:dyDescent="0.65">
      <c r="A668" s="66"/>
      <c r="B668" s="66"/>
      <c r="C668" s="66"/>
      <c r="D668" s="66"/>
      <c r="E668" s="66"/>
      <c r="F668" s="66"/>
      <c r="G668" s="66"/>
      <c r="H668" s="66"/>
      <c r="I668" s="66"/>
      <c r="J668" s="66"/>
      <c r="K668" s="66"/>
      <c r="L668" s="66"/>
      <c r="M668" s="66"/>
      <c r="N668" s="66"/>
      <c r="O668" s="66"/>
      <c r="P668" s="66"/>
      <c r="Q668" s="66"/>
      <c r="R668" s="66"/>
      <c r="S668" s="66"/>
      <c r="T668" s="66"/>
      <c r="U668" s="66"/>
      <c r="V668" s="66"/>
      <c r="W668" s="66"/>
      <c r="X668" s="66"/>
      <c r="Y668" s="66"/>
      <c r="Z668" s="66"/>
    </row>
    <row r="669" spans="1:26" ht="21" x14ac:dyDescent="0.65">
      <c r="A669" s="66"/>
      <c r="B669" s="66"/>
      <c r="C669" s="66"/>
      <c r="D669" s="66"/>
      <c r="E669" s="66"/>
      <c r="F669" s="66"/>
      <c r="G669" s="66"/>
      <c r="H669" s="66"/>
      <c r="I669" s="66"/>
      <c r="J669" s="66"/>
      <c r="K669" s="66"/>
      <c r="L669" s="66"/>
      <c r="M669" s="66"/>
      <c r="N669" s="66"/>
      <c r="O669" s="66"/>
      <c r="P669" s="66"/>
      <c r="Q669" s="66"/>
      <c r="R669" s="66"/>
      <c r="S669" s="66"/>
      <c r="T669" s="66"/>
      <c r="U669" s="66"/>
      <c r="V669" s="66"/>
      <c r="W669" s="66"/>
      <c r="X669" s="66"/>
      <c r="Y669" s="66"/>
      <c r="Z669" s="66"/>
    </row>
    <row r="670" spans="1:26" ht="21" x14ac:dyDescent="0.65">
      <c r="A670" s="66"/>
      <c r="B670" s="66"/>
      <c r="C670" s="66"/>
      <c r="D670" s="66"/>
      <c r="E670" s="66"/>
      <c r="F670" s="66"/>
      <c r="G670" s="66"/>
      <c r="H670" s="66"/>
      <c r="I670" s="66"/>
      <c r="J670" s="66"/>
      <c r="K670" s="66"/>
      <c r="L670" s="66"/>
      <c r="M670" s="66"/>
      <c r="N670" s="66"/>
      <c r="O670" s="66"/>
      <c r="P670" s="66"/>
      <c r="Q670" s="66"/>
      <c r="R670" s="66"/>
      <c r="S670" s="66"/>
      <c r="T670" s="66"/>
      <c r="U670" s="66"/>
      <c r="V670" s="66"/>
      <c r="W670" s="66"/>
      <c r="X670" s="66"/>
      <c r="Y670" s="66"/>
      <c r="Z670" s="66"/>
    </row>
    <row r="671" spans="1:26" ht="21" x14ac:dyDescent="0.65">
      <c r="A671" s="66"/>
      <c r="B671" s="66"/>
      <c r="C671" s="66"/>
      <c r="D671" s="66"/>
      <c r="E671" s="66"/>
      <c r="F671" s="66"/>
      <c r="G671" s="66"/>
      <c r="H671" s="66"/>
      <c r="I671" s="66"/>
      <c r="J671" s="66"/>
      <c r="K671" s="66"/>
      <c r="L671" s="66"/>
      <c r="M671" s="66"/>
      <c r="N671" s="66"/>
      <c r="O671" s="66"/>
      <c r="P671" s="66"/>
      <c r="Q671" s="66"/>
      <c r="R671" s="66"/>
      <c r="S671" s="66"/>
      <c r="T671" s="66"/>
      <c r="U671" s="66"/>
      <c r="V671" s="66"/>
      <c r="W671" s="66"/>
      <c r="X671" s="66"/>
      <c r="Y671" s="66"/>
      <c r="Z671" s="66"/>
    </row>
    <row r="672" spans="1:26" ht="21" x14ac:dyDescent="0.65">
      <c r="A672" s="66"/>
      <c r="B672" s="66"/>
      <c r="C672" s="66"/>
      <c r="D672" s="66"/>
      <c r="E672" s="66"/>
      <c r="F672" s="66"/>
      <c r="G672" s="66"/>
      <c r="H672" s="66"/>
      <c r="I672" s="66"/>
      <c r="J672" s="66"/>
      <c r="K672" s="66"/>
      <c r="L672" s="66"/>
      <c r="M672" s="66"/>
      <c r="N672" s="66"/>
      <c r="O672" s="66"/>
      <c r="P672" s="66"/>
      <c r="Q672" s="66"/>
      <c r="R672" s="66"/>
      <c r="S672" s="66"/>
      <c r="T672" s="66"/>
      <c r="U672" s="66"/>
      <c r="V672" s="66"/>
      <c r="W672" s="66"/>
      <c r="X672" s="66"/>
      <c r="Y672" s="66"/>
      <c r="Z672" s="66"/>
    </row>
    <row r="673" spans="1:26" ht="21" x14ac:dyDescent="0.65">
      <c r="A673" s="66"/>
      <c r="B673" s="66"/>
      <c r="C673" s="66"/>
      <c r="D673" s="66"/>
      <c r="E673" s="66"/>
      <c r="F673" s="66"/>
      <c r="G673" s="66"/>
      <c r="H673" s="66"/>
      <c r="I673" s="66"/>
      <c r="J673" s="66"/>
      <c r="K673" s="66"/>
      <c r="L673" s="66"/>
      <c r="M673" s="66"/>
      <c r="N673" s="66"/>
      <c r="O673" s="66"/>
      <c r="P673" s="66"/>
      <c r="Q673" s="66"/>
      <c r="R673" s="66"/>
      <c r="S673" s="66"/>
      <c r="T673" s="66"/>
      <c r="U673" s="66"/>
      <c r="V673" s="66"/>
      <c r="W673" s="66"/>
      <c r="X673" s="66"/>
      <c r="Y673" s="66"/>
      <c r="Z673" s="66"/>
    </row>
    <row r="674" spans="1:26" ht="21" x14ac:dyDescent="0.65">
      <c r="A674" s="66"/>
      <c r="B674" s="66"/>
      <c r="C674" s="66"/>
      <c r="D674" s="66"/>
      <c r="E674" s="66"/>
      <c r="F674" s="66"/>
      <c r="G674" s="66"/>
      <c r="H674" s="66"/>
      <c r="I674" s="66"/>
      <c r="J674" s="66"/>
      <c r="K674" s="66"/>
      <c r="L674" s="66"/>
      <c r="M674" s="66"/>
      <c r="N674" s="66"/>
      <c r="O674" s="66"/>
      <c r="P674" s="66"/>
      <c r="Q674" s="66"/>
      <c r="R674" s="66"/>
      <c r="S674" s="66"/>
      <c r="T674" s="66"/>
      <c r="U674" s="66"/>
      <c r="V674" s="66"/>
      <c r="W674" s="66"/>
      <c r="X674" s="66"/>
      <c r="Y674" s="66"/>
      <c r="Z674" s="66"/>
    </row>
    <row r="675" spans="1:26" ht="21" x14ac:dyDescent="0.65">
      <c r="A675" s="66"/>
      <c r="B675" s="66"/>
      <c r="C675" s="66"/>
      <c r="D675" s="66"/>
      <c r="E675" s="66"/>
      <c r="F675" s="66"/>
      <c r="G675" s="66"/>
      <c r="H675" s="66"/>
      <c r="I675" s="66"/>
      <c r="J675" s="66"/>
      <c r="K675" s="66"/>
      <c r="L675" s="66"/>
      <c r="M675" s="66"/>
      <c r="N675" s="66"/>
      <c r="O675" s="66"/>
      <c r="P675" s="66"/>
      <c r="Q675" s="66"/>
      <c r="R675" s="66"/>
      <c r="S675" s="66"/>
      <c r="T675" s="66"/>
      <c r="U675" s="66"/>
      <c r="V675" s="66"/>
      <c r="W675" s="66"/>
      <c r="X675" s="66"/>
      <c r="Y675" s="66"/>
      <c r="Z675" s="66"/>
    </row>
    <row r="676" spans="1:26" ht="21" x14ac:dyDescent="0.65">
      <c r="A676" s="66"/>
      <c r="B676" s="66"/>
      <c r="C676" s="66"/>
      <c r="D676" s="66"/>
      <c r="E676" s="66"/>
      <c r="F676" s="66"/>
      <c r="G676" s="66"/>
      <c r="H676" s="66"/>
      <c r="I676" s="66"/>
      <c r="J676" s="66"/>
      <c r="K676" s="66"/>
      <c r="L676" s="66"/>
      <c r="M676" s="66"/>
      <c r="N676" s="66"/>
      <c r="O676" s="66"/>
      <c r="P676" s="66"/>
      <c r="Q676" s="66"/>
      <c r="R676" s="66"/>
      <c r="S676" s="66"/>
      <c r="T676" s="66"/>
      <c r="U676" s="66"/>
      <c r="V676" s="66"/>
      <c r="W676" s="66"/>
      <c r="X676" s="66"/>
      <c r="Y676" s="66"/>
      <c r="Z676" s="66"/>
    </row>
    <row r="677" spans="1:26" ht="21" x14ac:dyDescent="0.65">
      <c r="A677" s="66"/>
      <c r="B677" s="66"/>
      <c r="C677" s="66"/>
      <c r="D677" s="66"/>
      <c r="E677" s="66"/>
      <c r="F677" s="66"/>
      <c r="G677" s="66"/>
      <c r="H677" s="66"/>
      <c r="I677" s="66"/>
      <c r="J677" s="66"/>
      <c r="K677" s="66"/>
      <c r="L677" s="66"/>
      <c r="M677" s="66"/>
      <c r="N677" s="66"/>
      <c r="O677" s="66"/>
      <c r="P677" s="66"/>
      <c r="Q677" s="66"/>
      <c r="R677" s="66"/>
      <c r="S677" s="66"/>
      <c r="T677" s="66"/>
      <c r="U677" s="66"/>
      <c r="V677" s="66"/>
      <c r="W677" s="66"/>
      <c r="X677" s="66"/>
      <c r="Y677" s="66"/>
      <c r="Z677" s="66"/>
    </row>
    <row r="678" spans="1:26" ht="21" x14ac:dyDescent="0.65">
      <c r="A678" s="66"/>
      <c r="B678" s="66"/>
      <c r="C678" s="66"/>
      <c r="D678" s="66"/>
      <c r="E678" s="66"/>
      <c r="F678" s="66"/>
      <c r="G678" s="66"/>
      <c r="H678" s="66"/>
      <c r="I678" s="66"/>
      <c r="J678" s="66"/>
      <c r="K678" s="66"/>
      <c r="L678" s="66"/>
      <c r="M678" s="66"/>
      <c r="N678" s="66"/>
      <c r="O678" s="66"/>
      <c r="P678" s="66"/>
      <c r="Q678" s="66"/>
      <c r="R678" s="66"/>
      <c r="S678" s="66"/>
      <c r="T678" s="66"/>
      <c r="U678" s="66"/>
      <c r="V678" s="66"/>
      <c r="W678" s="66"/>
      <c r="X678" s="66"/>
      <c r="Y678" s="66"/>
      <c r="Z678" s="66"/>
    </row>
    <row r="679" spans="1:26" ht="21" x14ac:dyDescent="0.65">
      <c r="A679" s="66"/>
      <c r="B679" s="66"/>
      <c r="C679" s="66"/>
      <c r="D679" s="66"/>
      <c r="E679" s="66"/>
      <c r="F679" s="66"/>
      <c r="G679" s="66"/>
      <c r="H679" s="66"/>
      <c r="I679" s="66"/>
      <c r="J679" s="66"/>
      <c r="K679" s="66"/>
      <c r="L679" s="66"/>
      <c r="M679" s="66"/>
      <c r="N679" s="66"/>
      <c r="O679" s="66"/>
      <c r="P679" s="66"/>
      <c r="Q679" s="66"/>
      <c r="R679" s="66"/>
      <c r="S679" s="66"/>
      <c r="T679" s="66"/>
      <c r="U679" s="66"/>
      <c r="V679" s="66"/>
      <c r="W679" s="66"/>
      <c r="X679" s="66"/>
      <c r="Y679" s="66"/>
      <c r="Z679" s="66"/>
    </row>
    <row r="680" spans="1:26" ht="21" x14ac:dyDescent="0.65">
      <c r="A680" s="66"/>
      <c r="B680" s="66"/>
      <c r="C680" s="66"/>
      <c r="D680" s="66"/>
      <c r="E680" s="66"/>
      <c r="F680" s="66"/>
      <c r="G680" s="66"/>
      <c r="H680" s="66"/>
      <c r="I680" s="66"/>
      <c r="J680" s="66"/>
      <c r="K680" s="66"/>
      <c r="L680" s="66"/>
      <c r="M680" s="66"/>
      <c r="N680" s="66"/>
      <c r="O680" s="66"/>
      <c r="P680" s="66"/>
      <c r="Q680" s="66"/>
      <c r="R680" s="66"/>
      <c r="S680" s="66"/>
      <c r="T680" s="66"/>
      <c r="U680" s="66"/>
      <c r="V680" s="66"/>
      <c r="W680" s="66"/>
      <c r="X680" s="66"/>
      <c r="Y680" s="66"/>
      <c r="Z680" s="66"/>
    </row>
    <row r="681" spans="1:26" ht="21" x14ac:dyDescent="0.65">
      <c r="A681" s="66"/>
      <c r="B681" s="66"/>
      <c r="C681" s="66"/>
      <c r="D681" s="66"/>
      <c r="E681" s="66"/>
      <c r="F681" s="66"/>
      <c r="G681" s="66"/>
      <c r="H681" s="66"/>
      <c r="I681" s="66"/>
      <c r="J681" s="66"/>
      <c r="K681" s="66"/>
      <c r="L681" s="66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  <c r="X681" s="66"/>
      <c r="Y681" s="66"/>
      <c r="Z681" s="66"/>
    </row>
    <row r="682" spans="1:26" ht="21" x14ac:dyDescent="0.65">
      <c r="A682" s="66"/>
      <c r="B682" s="66"/>
      <c r="C682" s="66"/>
      <c r="D682" s="66"/>
      <c r="E682" s="66"/>
      <c r="F682" s="66"/>
      <c r="G682" s="66"/>
      <c r="H682" s="66"/>
      <c r="I682" s="66"/>
      <c r="J682" s="66"/>
      <c r="K682" s="66"/>
      <c r="L682" s="66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  <c r="X682" s="66"/>
      <c r="Y682" s="66"/>
      <c r="Z682" s="66"/>
    </row>
    <row r="683" spans="1:26" ht="21" x14ac:dyDescent="0.65">
      <c r="A683" s="66"/>
      <c r="B683" s="66"/>
      <c r="C683" s="66"/>
      <c r="D683" s="66"/>
      <c r="E683" s="66"/>
      <c r="F683" s="66"/>
      <c r="G683" s="66"/>
      <c r="H683" s="66"/>
      <c r="I683" s="66"/>
      <c r="J683" s="66"/>
      <c r="K683" s="66"/>
      <c r="L683" s="66"/>
      <c r="M683" s="66"/>
      <c r="N683" s="66"/>
      <c r="O683" s="66"/>
      <c r="P683" s="66"/>
      <c r="Q683" s="66"/>
      <c r="R683" s="66"/>
      <c r="S683" s="66"/>
      <c r="T683" s="66"/>
      <c r="U683" s="66"/>
      <c r="V683" s="66"/>
      <c r="W683" s="66"/>
      <c r="X683" s="66"/>
      <c r="Y683" s="66"/>
      <c r="Z683" s="66"/>
    </row>
    <row r="684" spans="1:26" ht="21" x14ac:dyDescent="0.65">
      <c r="A684" s="66"/>
      <c r="B684" s="66"/>
      <c r="C684" s="66"/>
      <c r="D684" s="66"/>
      <c r="E684" s="66"/>
      <c r="F684" s="66"/>
      <c r="G684" s="66"/>
      <c r="H684" s="66"/>
      <c r="I684" s="66"/>
      <c r="J684" s="66"/>
      <c r="K684" s="66"/>
      <c r="L684" s="66"/>
      <c r="M684" s="66"/>
      <c r="N684" s="66"/>
      <c r="O684" s="66"/>
      <c r="P684" s="66"/>
      <c r="Q684" s="66"/>
      <c r="R684" s="66"/>
      <c r="S684" s="66"/>
      <c r="T684" s="66"/>
      <c r="U684" s="66"/>
      <c r="V684" s="66"/>
      <c r="W684" s="66"/>
      <c r="X684" s="66"/>
      <c r="Y684" s="66"/>
      <c r="Z684" s="66"/>
    </row>
    <row r="685" spans="1:26" ht="21" x14ac:dyDescent="0.65">
      <c r="A685" s="66"/>
      <c r="B685" s="66"/>
      <c r="C685" s="66"/>
      <c r="D685" s="66"/>
      <c r="E685" s="66"/>
      <c r="F685" s="66"/>
      <c r="G685" s="66"/>
      <c r="H685" s="66"/>
      <c r="I685" s="66"/>
      <c r="J685" s="66"/>
      <c r="K685" s="66"/>
      <c r="L685" s="66"/>
      <c r="M685" s="66"/>
      <c r="N685" s="66"/>
      <c r="O685" s="66"/>
      <c r="P685" s="66"/>
      <c r="Q685" s="66"/>
      <c r="R685" s="66"/>
      <c r="S685" s="66"/>
      <c r="T685" s="66"/>
      <c r="U685" s="66"/>
      <c r="V685" s="66"/>
      <c r="W685" s="66"/>
      <c r="X685" s="66"/>
      <c r="Y685" s="66"/>
      <c r="Z685" s="66"/>
    </row>
    <row r="686" spans="1:26" ht="21" x14ac:dyDescent="0.65">
      <c r="A686" s="66"/>
      <c r="B686" s="66"/>
      <c r="C686" s="66"/>
      <c r="D686" s="66"/>
      <c r="E686" s="66"/>
      <c r="F686" s="66"/>
      <c r="G686" s="66"/>
      <c r="H686" s="66"/>
      <c r="I686" s="66"/>
      <c r="J686" s="66"/>
      <c r="K686" s="66"/>
      <c r="L686" s="66"/>
      <c r="M686" s="66"/>
      <c r="N686" s="66"/>
      <c r="O686" s="66"/>
      <c r="P686" s="66"/>
      <c r="Q686" s="66"/>
      <c r="R686" s="66"/>
      <c r="S686" s="66"/>
      <c r="T686" s="66"/>
      <c r="U686" s="66"/>
      <c r="V686" s="66"/>
      <c r="W686" s="66"/>
      <c r="X686" s="66"/>
      <c r="Y686" s="66"/>
      <c r="Z686" s="66"/>
    </row>
    <row r="687" spans="1:26" ht="21" x14ac:dyDescent="0.65">
      <c r="A687" s="66"/>
      <c r="B687" s="66"/>
      <c r="C687" s="66"/>
      <c r="D687" s="66"/>
      <c r="E687" s="66"/>
      <c r="F687" s="66"/>
      <c r="G687" s="66"/>
      <c r="H687" s="66"/>
      <c r="I687" s="66"/>
      <c r="J687" s="66"/>
      <c r="K687" s="66"/>
      <c r="L687" s="66"/>
      <c r="M687" s="66"/>
      <c r="N687" s="66"/>
      <c r="O687" s="66"/>
      <c r="P687" s="66"/>
      <c r="Q687" s="66"/>
      <c r="R687" s="66"/>
      <c r="S687" s="66"/>
      <c r="T687" s="66"/>
      <c r="U687" s="66"/>
      <c r="V687" s="66"/>
      <c r="W687" s="66"/>
      <c r="X687" s="66"/>
      <c r="Y687" s="66"/>
      <c r="Z687" s="66"/>
    </row>
    <row r="688" spans="1:26" ht="21" x14ac:dyDescent="0.65">
      <c r="A688" s="66"/>
      <c r="B688" s="66"/>
      <c r="C688" s="66"/>
      <c r="D688" s="66"/>
      <c r="E688" s="66"/>
      <c r="F688" s="66"/>
      <c r="G688" s="66"/>
      <c r="H688" s="66"/>
      <c r="I688" s="66"/>
      <c r="J688" s="66"/>
      <c r="K688" s="66"/>
      <c r="L688" s="66"/>
      <c r="M688" s="66"/>
      <c r="N688" s="66"/>
      <c r="O688" s="66"/>
      <c r="P688" s="66"/>
      <c r="Q688" s="66"/>
      <c r="R688" s="66"/>
      <c r="S688" s="66"/>
      <c r="T688" s="66"/>
      <c r="U688" s="66"/>
      <c r="V688" s="66"/>
      <c r="W688" s="66"/>
      <c r="X688" s="66"/>
      <c r="Y688" s="66"/>
      <c r="Z688" s="66"/>
    </row>
    <row r="689" spans="1:26" ht="21" x14ac:dyDescent="0.65">
      <c r="A689" s="66"/>
      <c r="B689" s="66"/>
      <c r="C689" s="66"/>
      <c r="D689" s="66"/>
      <c r="E689" s="66"/>
      <c r="F689" s="66"/>
      <c r="G689" s="66"/>
      <c r="H689" s="66"/>
      <c r="I689" s="66"/>
      <c r="J689" s="66"/>
      <c r="K689" s="66"/>
      <c r="L689" s="66"/>
      <c r="M689" s="66"/>
      <c r="N689" s="66"/>
      <c r="O689" s="66"/>
      <c r="P689" s="66"/>
      <c r="Q689" s="66"/>
      <c r="R689" s="66"/>
      <c r="S689" s="66"/>
      <c r="T689" s="66"/>
      <c r="U689" s="66"/>
      <c r="V689" s="66"/>
      <c r="W689" s="66"/>
      <c r="X689" s="66"/>
      <c r="Y689" s="66"/>
      <c r="Z689" s="66"/>
    </row>
    <row r="690" spans="1:26" ht="21" x14ac:dyDescent="0.65">
      <c r="A690" s="66"/>
      <c r="B690" s="66"/>
      <c r="C690" s="66"/>
      <c r="D690" s="66"/>
      <c r="E690" s="66"/>
      <c r="F690" s="66"/>
      <c r="G690" s="66"/>
      <c r="H690" s="66"/>
      <c r="I690" s="66"/>
      <c r="J690" s="66"/>
      <c r="K690" s="66"/>
      <c r="L690" s="66"/>
      <c r="M690" s="66"/>
      <c r="N690" s="66"/>
      <c r="O690" s="66"/>
      <c r="P690" s="66"/>
      <c r="Q690" s="66"/>
      <c r="R690" s="66"/>
      <c r="S690" s="66"/>
      <c r="T690" s="66"/>
      <c r="U690" s="66"/>
      <c r="V690" s="66"/>
      <c r="W690" s="66"/>
      <c r="X690" s="66"/>
      <c r="Y690" s="66"/>
      <c r="Z690" s="66"/>
    </row>
    <row r="691" spans="1:26" ht="21" x14ac:dyDescent="0.65">
      <c r="A691" s="66"/>
      <c r="B691" s="66"/>
      <c r="C691" s="66"/>
      <c r="D691" s="66"/>
      <c r="E691" s="66"/>
      <c r="F691" s="66"/>
      <c r="G691" s="66"/>
      <c r="H691" s="66"/>
      <c r="I691" s="66"/>
      <c r="J691" s="66"/>
      <c r="K691" s="66"/>
      <c r="L691" s="66"/>
      <c r="M691" s="66"/>
      <c r="N691" s="66"/>
      <c r="O691" s="66"/>
      <c r="P691" s="66"/>
      <c r="Q691" s="66"/>
      <c r="R691" s="66"/>
      <c r="S691" s="66"/>
      <c r="T691" s="66"/>
      <c r="U691" s="66"/>
      <c r="V691" s="66"/>
      <c r="W691" s="66"/>
      <c r="X691" s="66"/>
      <c r="Y691" s="66"/>
      <c r="Z691" s="66"/>
    </row>
    <row r="692" spans="1:26" ht="21" x14ac:dyDescent="0.65">
      <c r="A692" s="66"/>
      <c r="B692" s="66"/>
      <c r="C692" s="66"/>
      <c r="D692" s="66"/>
      <c r="E692" s="66"/>
      <c r="F692" s="66"/>
      <c r="G692" s="66"/>
      <c r="H692" s="66"/>
      <c r="I692" s="66"/>
      <c r="J692" s="66"/>
      <c r="K692" s="66"/>
      <c r="L692" s="66"/>
      <c r="M692" s="66"/>
      <c r="N692" s="66"/>
      <c r="O692" s="66"/>
      <c r="P692" s="66"/>
      <c r="Q692" s="66"/>
      <c r="R692" s="66"/>
      <c r="S692" s="66"/>
      <c r="T692" s="66"/>
      <c r="U692" s="66"/>
      <c r="V692" s="66"/>
      <c r="W692" s="66"/>
      <c r="X692" s="66"/>
      <c r="Y692" s="66"/>
      <c r="Z692" s="66"/>
    </row>
    <row r="693" spans="1:26" ht="21" x14ac:dyDescent="0.65">
      <c r="A693" s="66"/>
      <c r="B693" s="66"/>
      <c r="C693" s="66"/>
      <c r="D693" s="66"/>
      <c r="E693" s="66"/>
      <c r="F693" s="66"/>
      <c r="G693" s="66"/>
      <c r="H693" s="66"/>
      <c r="I693" s="66"/>
      <c r="J693" s="66"/>
      <c r="K693" s="66"/>
      <c r="L693" s="66"/>
      <c r="M693" s="66"/>
      <c r="N693" s="66"/>
      <c r="O693" s="66"/>
      <c r="P693" s="66"/>
      <c r="Q693" s="66"/>
      <c r="R693" s="66"/>
      <c r="S693" s="66"/>
      <c r="T693" s="66"/>
      <c r="U693" s="66"/>
      <c r="V693" s="66"/>
      <c r="W693" s="66"/>
      <c r="X693" s="66"/>
      <c r="Y693" s="66"/>
      <c r="Z693" s="66"/>
    </row>
    <row r="694" spans="1:26" ht="21" x14ac:dyDescent="0.65">
      <c r="A694" s="66"/>
      <c r="B694" s="66"/>
      <c r="C694" s="66"/>
      <c r="D694" s="66"/>
      <c r="E694" s="66"/>
      <c r="F694" s="66"/>
      <c r="G694" s="66"/>
      <c r="H694" s="66"/>
      <c r="I694" s="66"/>
      <c r="J694" s="66"/>
      <c r="K694" s="66"/>
      <c r="L694" s="66"/>
      <c r="M694" s="66"/>
      <c r="N694" s="66"/>
      <c r="O694" s="66"/>
      <c r="P694" s="66"/>
      <c r="Q694" s="66"/>
      <c r="R694" s="66"/>
      <c r="S694" s="66"/>
      <c r="T694" s="66"/>
      <c r="U694" s="66"/>
      <c r="V694" s="66"/>
      <c r="W694" s="66"/>
      <c r="X694" s="66"/>
      <c r="Y694" s="66"/>
      <c r="Z694" s="66"/>
    </row>
    <row r="695" spans="1:26" ht="21" x14ac:dyDescent="0.65">
      <c r="A695" s="66"/>
      <c r="B695" s="66"/>
      <c r="C695" s="66"/>
      <c r="D695" s="66"/>
      <c r="E695" s="66"/>
      <c r="F695" s="66"/>
      <c r="G695" s="66"/>
      <c r="H695" s="66"/>
      <c r="I695" s="66"/>
      <c r="J695" s="66"/>
      <c r="K695" s="66"/>
      <c r="L695" s="66"/>
      <c r="M695" s="66"/>
      <c r="N695" s="66"/>
      <c r="O695" s="66"/>
      <c r="P695" s="66"/>
      <c r="Q695" s="66"/>
      <c r="R695" s="66"/>
      <c r="S695" s="66"/>
      <c r="T695" s="66"/>
      <c r="U695" s="66"/>
      <c r="V695" s="66"/>
      <c r="W695" s="66"/>
      <c r="X695" s="66"/>
      <c r="Y695" s="66"/>
      <c r="Z695" s="66"/>
    </row>
    <row r="696" spans="1:26" ht="21" x14ac:dyDescent="0.65">
      <c r="A696" s="66"/>
      <c r="B696" s="66"/>
      <c r="C696" s="66"/>
      <c r="D696" s="66"/>
      <c r="E696" s="66"/>
      <c r="F696" s="66"/>
      <c r="G696" s="66"/>
      <c r="H696" s="66"/>
      <c r="I696" s="66"/>
      <c r="J696" s="66"/>
      <c r="K696" s="66"/>
      <c r="L696" s="66"/>
      <c r="M696" s="66"/>
      <c r="N696" s="66"/>
      <c r="O696" s="66"/>
      <c r="P696" s="66"/>
      <c r="Q696" s="66"/>
      <c r="R696" s="66"/>
      <c r="S696" s="66"/>
      <c r="T696" s="66"/>
      <c r="U696" s="66"/>
      <c r="V696" s="66"/>
      <c r="W696" s="66"/>
      <c r="X696" s="66"/>
      <c r="Y696" s="66"/>
      <c r="Z696" s="66"/>
    </row>
    <row r="697" spans="1:26" ht="21" x14ac:dyDescent="0.65">
      <c r="A697" s="66"/>
      <c r="B697" s="66"/>
      <c r="C697" s="66"/>
      <c r="D697" s="66"/>
      <c r="E697" s="66"/>
      <c r="F697" s="66"/>
      <c r="G697" s="66"/>
      <c r="H697" s="66"/>
      <c r="I697" s="66"/>
      <c r="J697" s="66"/>
      <c r="K697" s="66"/>
      <c r="L697" s="66"/>
      <c r="M697" s="66"/>
      <c r="N697" s="66"/>
      <c r="O697" s="66"/>
      <c r="P697" s="66"/>
      <c r="Q697" s="66"/>
      <c r="R697" s="66"/>
      <c r="S697" s="66"/>
      <c r="T697" s="66"/>
      <c r="U697" s="66"/>
      <c r="V697" s="66"/>
      <c r="W697" s="66"/>
      <c r="X697" s="66"/>
      <c r="Y697" s="66"/>
      <c r="Z697" s="66"/>
    </row>
    <row r="698" spans="1:26" ht="21" x14ac:dyDescent="0.65">
      <c r="A698" s="66"/>
      <c r="B698" s="66"/>
      <c r="C698" s="66"/>
      <c r="D698" s="66"/>
      <c r="E698" s="66"/>
      <c r="F698" s="66"/>
      <c r="G698" s="66"/>
      <c r="H698" s="66"/>
      <c r="I698" s="66"/>
      <c r="J698" s="66"/>
      <c r="K698" s="66"/>
      <c r="L698" s="66"/>
      <c r="M698" s="66"/>
      <c r="N698" s="66"/>
      <c r="O698" s="66"/>
      <c r="P698" s="66"/>
      <c r="Q698" s="66"/>
      <c r="R698" s="66"/>
      <c r="S698" s="66"/>
      <c r="T698" s="66"/>
      <c r="U698" s="66"/>
      <c r="V698" s="66"/>
      <c r="W698" s="66"/>
      <c r="X698" s="66"/>
      <c r="Y698" s="66"/>
      <c r="Z698" s="66"/>
    </row>
    <row r="699" spans="1:26" ht="21" x14ac:dyDescent="0.65">
      <c r="A699" s="66"/>
      <c r="B699" s="66"/>
      <c r="C699" s="66"/>
      <c r="D699" s="66"/>
      <c r="E699" s="66"/>
      <c r="F699" s="66"/>
      <c r="G699" s="66"/>
      <c r="H699" s="66"/>
      <c r="I699" s="66"/>
      <c r="J699" s="66"/>
      <c r="K699" s="66"/>
      <c r="L699" s="66"/>
      <c r="M699" s="66"/>
      <c r="N699" s="66"/>
      <c r="O699" s="66"/>
      <c r="P699" s="66"/>
      <c r="Q699" s="66"/>
      <c r="R699" s="66"/>
      <c r="S699" s="66"/>
      <c r="T699" s="66"/>
      <c r="U699" s="66"/>
      <c r="V699" s="66"/>
      <c r="W699" s="66"/>
      <c r="X699" s="66"/>
      <c r="Y699" s="66"/>
      <c r="Z699" s="66"/>
    </row>
    <row r="700" spans="1:26" ht="21" x14ac:dyDescent="0.65">
      <c r="A700" s="66"/>
      <c r="B700" s="66"/>
      <c r="C700" s="66"/>
      <c r="D700" s="66"/>
      <c r="E700" s="66"/>
      <c r="F700" s="66"/>
      <c r="G700" s="66"/>
      <c r="H700" s="66"/>
      <c r="I700" s="66"/>
      <c r="J700" s="66"/>
      <c r="K700" s="66"/>
      <c r="L700" s="66"/>
      <c r="M700" s="66"/>
      <c r="N700" s="66"/>
      <c r="O700" s="66"/>
      <c r="P700" s="66"/>
      <c r="Q700" s="66"/>
      <c r="R700" s="66"/>
      <c r="S700" s="66"/>
      <c r="T700" s="66"/>
      <c r="U700" s="66"/>
      <c r="V700" s="66"/>
      <c r="W700" s="66"/>
      <c r="X700" s="66"/>
      <c r="Y700" s="66"/>
      <c r="Z700" s="66"/>
    </row>
    <row r="701" spans="1:26" ht="21" x14ac:dyDescent="0.65">
      <c r="A701" s="66"/>
      <c r="B701" s="66"/>
      <c r="C701" s="66"/>
      <c r="D701" s="66"/>
      <c r="E701" s="66"/>
      <c r="F701" s="66"/>
      <c r="G701" s="66"/>
      <c r="H701" s="66"/>
      <c r="I701" s="66"/>
      <c r="J701" s="66"/>
      <c r="K701" s="66"/>
      <c r="L701" s="66"/>
      <c r="M701" s="66"/>
      <c r="N701" s="66"/>
      <c r="O701" s="66"/>
      <c r="P701" s="66"/>
      <c r="Q701" s="66"/>
      <c r="R701" s="66"/>
      <c r="S701" s="66"/>
      <c r="T701" s="66"/>
      <c r="U701" s="66"/>
      <c r="V701" s="66"/>
      <c r="W701" s="66"/>
      <c r="X701" s="66"/>
      <c r="Y701" s="66"/>
      <c r="Z701" s="66"/>
    </row>
    <row r="702" spans="1:26" ht="21" x14ac:dyDescent="0.65">
      <c r="A702" s="66"/>
      <c r="B702" s="66"/>
      <c r="C702" s="66"/>
      <c r="D702" s="66"/>
      <c r="E702" s="66"/>
      <c r="F702" s="66"/>
      <c r="G702" s="66"/>
      <c r="H702" s="66"/>
      <c r="I702" s="66"/>
      <c r="J702" s="66"/>
      <c r="K702" s="66"/>
      <c r="L702" s="66"/>
      <c r="M702" s="66"/>
      <c r="N702" s="66"/>
      <c r="O702" s="66"/>
      <c r="P702" s="66"/>
      <c r="Q702" s="66"/>
      <c r="R702" s="66"/>
      <c r="S702" s="66"/>
      <c r="T702" s="66"/>
      <c r="U702" s="66"/>
      <c r="V702" s="66"/>
      <c r="W702" s="66"/>
      <c r="X702" s="66"/>
      <c r="Y702" s="66"/>
      <c r="Z702" s="66"/>
    </row>
    <row r="703" spans="1:26" ht="21" x14ac:dyDescent="0.65">
      <c r="A703" s="66"/>
      <c r="B703" s="66"/>
      <c r="C703" s="66"/>
      <c r="D703" s="66"/>
      <c r="E703" s="66"/>
      <c r="F703" s="66"/>
      <c r="G703" s="66"/>
      <c r="H703" s="66"/>
      <c r="I703" s="66"/>
      <c r="J703" s="66"/>
      <c r="K703" s="66"/>
      <c r="L703" s="66"/>
      <c r="M703" s="66"/>
      <c r="N703" s="66"/>
      <c r="O703" s="66"/>
      <c r="P703" s="66"/>
      <c r="Q703" s="66"/>
      <c r="R703" s="66"/>
      <c r="S703" s="66"/>
      <c r="T703" s="66"/>
      <c r="U703" s="66"/>
      <c r="V703" s="66"/>
      <c r="W703" s="66"/>
      <c r="X703" s="66"/>
      <c r="Y703" s="66"/>
      <c r="Z703" s="66"/>
    </row>
    <row r="704" spans="1:26" ht="21" x14ac:dyDescent="0.65">
      <c r="A704" s="66"/>
      <c r="B704" s="66"/>
      <c r="C704" s="66"/>
      <c r="D704" s="66"/>
      <c r="E704" s="66"/>
      <c r="F704" s="66"/>
      <c r="G704" s="66"/>
      <c r="H704" s="66"/>
      <c r="I704" s="66"/>
      <c r="J704" s="66"/>
      <c r="K704" s="66"/>
      <c r="L704" s="66"/>
      <c r="M704" s="66"/>
      <c r="N704" s="66"/>
      <c r="O704" s="66"/>
      <c r="P704" s="66"/>
      <c r="Q704" s="66"/>
      <c r="R704" s="66"/>
      <c r="S704" s="66"/>
      <c r="T704" s="66"/>
      <c r="U704" s="66"/>
      <c r="V704" s="66"/>
      <c r="W704" s="66"/>
      <c r="X704" s="66"/>
      <c r="Y704" s="66"/>
      <c r="Z704" s="66"/>
    </row>
    <row r="705" spans="1:26" ht="21" x14ac:dyDescent="0.65">
      <c r="A705" s="66"/>
      <c r="B705" s="66"/>
      <c r="C705" s="66"/>
      <c r="D705" s="66"/>
      <c r="E705" s="66"/>
      <c r="F705" s="66"/>
      <c r="G705" s="66"/>
      <c r="H705" s="66"/>
      <c r="I705" s="66"/>
      <c r="J705" s="66"/>
      <c r="K705" s="66"/>
      <c r="L705" s="66"/>
      <c r="M705" s="66"/>
      <c r="N705" s="66"/>
      <c r="O705" s="66"/>
      <c r="P705" s="66"/>
      <c r="Q705" s="66"/>
      <c r="R705" s="66"/>
      <c r="S705" s="66"/>
      <c r="T705" s="66"/>
      <c r="U705" s="66"/>
      <c r="V705" s="66"/>
      <c r="W705" s="66"/>
      <c r="X705" s="66"/>
      <c r="Y705" s="66"/>
      <c r="Z705" s="66"/>
    </row>
    <row r="706" spans="1:26" ht="21" x14ac:dyDescent="0.65">
      <c r="A706" s="66"/>
      <c r="B706" s="66"/>
      <c r="C706" s="66"/>
      <c r="D706" s="66"/>
      <c r="E706" s="66"/>
      <c r="F706" s="66"/>
      <c r="G706" s="66"/>
      <c r="H706" s="66"/>
      <c r="I706" s="66"/>
      <c r="J706" s="66"/>
      <c r="K706" s="66"/>
      <c r="L706" s="66"/>
      <c r="M706" s="66"/>
      <c r="N706" s="66"/>
      <c r="O706" s="66"/>
      <c r="P706" s="66"/>
      <c r="Q706" s="66"/>
      <c r="R706" s="66"/>
      <c r="S706" s="66"/>
      <c r="T706" s="66"/>
      <c r="U706" s="66"/>
      <c r="V706" s="66"/>
      <c r="W706" s="66"/>
      <c r="X706" s="66"/>
      <c r="Y706" s="66"/>
      <c r="Z706" s="66"/>
    </row>
    <row r="707" spans="1:26" ht="21" x14ac:dyDescent="0.65">
      <c r="A707" s="66"/>
      <c r="B707" s="66"/>
      <c r="C707" s="66"/>
      <c r="D707" s="66"/>
      <c r="E707" s="66"/>
      <c r="F707" s="66"/>
      <c r="G707" s="66"/>
      <c r="H707" s="66"/>
      <c r="I707" s="66"/>
      <c r="J707" s="66"/>
      <c r="K707" s="66"/>
      <c r="L707" s="66"/>
      <c r="M707" s="66"/>
      <c r="N707" s="66"/>
      <c r="O707" s="66"/>
      <c r="P707" s="66"/>
      <c r="Q707" s="66"/>
      <c r="R707" s="66"/>
      <c r="S707" s="66"/>
      <c r="T707" s="66"/>
      <c r="U707" s="66"/>
      <c r="V707" s="66"/>
      <c r="W707" s="66"/>
      <c r="X707" s="66"/>
      <c r="Y707" s="66"/>
      <c r="Z707" s="66"/>
    </row>
    <row r="708" spans="1:26" ht="21" x14ac:dyDescent="0.65">
      <c r="A708" s="66"/>
      <c r="B708" s="66"/>
      <c r="C708" s="66"/>
      <c r="D708" s="66"/>
      <c r="E708" s="66"/>
      <c r="F708" s="66"/>
      <c r="G708" s="66"/>
      <c r="H708" s="66"/>
      <c r="I708" s="66"/>
      <c r="J708" s="66"/>
      <c r="K708" s="66"/>
      <c r="L708" s="66"/>
      <c r="M708" s="66"/>
      <c r="N708" s="66"/>
      <c r="O708" s="66"/>
      <c r="P708" s="66"/>
      <c r="Q708" s="66"/>
      <c r="R708" s="66"/>
      <c r="S708" s="66"/>
      <c r="T708" s="66"/>
      <c r="U708" s="66"/>
      <c r="V708" s="66"/>
      <c r="W708" s="66"/>
      <c r="X708" s="66"/>
      <c r="Y708" s="66"/>
      <c r="Z708" s="66"/>
    </row>
    <row r="709" spans="1:26" ht="21" x14ac:dyDescent="0.65">
      <c r="A709" s="66"/>
      <c r="B709" s="66"/>
      <c r="C709" s="66"/>
      <c r="D709" s="66"/>
      <c r="E709" s="66"/>
      <c r="F709" s="66"/>
      <c r="G709" s="66"/>
      <c r="H709" s="66"/>
      <c r="I709" s="66"/>
      <c r="J709" s="66"/>
      <c r="K709" s="66"/>
      <c r="L709" s="66"/>
      <c r="M709" s="66"/>
      <c r="N709" s="66"/>
      <c r="O709" s="66"/>
      <c r="P709" s="66"/>
      <c r="Q709" s="66"/>
      <c r="R709" s="66"/>
      <c r="S709" s="66"/>
      <c r="T709" s="66"/>
      <c r="U709" s="66"/>
      <c r="V709" s="66"/>
      <c r="W709" s="66"/>
      <c r="X709" s="66"/>
      <c r="Y709" s="66"/>
      <c r="Z709" s="66"/>
    </row>
    <row r="710" spans="1:26" ht="21" x14ac:dyDescent="0.65">
      <c r="A710" s="66"/>
      <c r="B710" s="66"/>
      <c r="C710" s="66"/>
      <c r="D710" s="66"/>
      <c r="E710" s="66"/>
      <c r="F710" s="66"/>
      <c r="G710" s="66"/>
      <c r="H710" s="66"/>
      <c r="I710" s="66"/>
      <c r="J710" s="66"/>
      <c r="K710" s="66"/>
      <c r="L710" s="66"/>
      <c r="M710" s="66"/>
      <c r="N710" s="66"/>
      <c r="O710" s="66"/>
      <c r="P710" s="66"/>
      <c r="Q710" s="66"/>
      <c r="R710" s="66"/>
      <c r="S710" s="66"/>
      <c r="T710" s="66"/>
      <c r="U710" s="66"/>
      <c r="V710" s="66"/>
      <c r="W710" s="66"/>
      <c r="X710" s="66"/>
      <c r="Y710" s="66"/>
      <c r="Z710" s="66"/>
    </row>
    <row r="711" spans="1:26" ht="21" x14ac:dyDescent="0.65">
      <c r="A711" s="66"/>
      <c r="B711" s="66"/>
      <c r="C711" s="66"/>
      <c r="D711" s="66"/>
      <c r="E711" s="66"/>
      <c r="F711" s="66"/>
      <c r="G711" s="66"/>
      <c r="H711" s="66"/>
      <c r="I711" s="66"/>
      <c r="J711" s="66"/>
      <c r="K711" s="66"/>
      <c r="L711" s="66"/>
      <c r="M711" s="66"/>
      <c r="N711" s="66"/>
      <c r="O711" s="66"/>
      <c r="P711" s="66"/>
      <c r="Q711" s="66"/>
      <c r="R711" s="66"/>
      <c r="S711" s="66"/>
      <c r="T711" s="66"/>
      <c r="U711" s="66"/>
      <c r="V711" s="66"/>
      <c r="W711" s="66"/>
      <c r="X711" s="66"/>
      <c r="Y711" s="66"/>
      <c r="Z711" s="66"/>
    </row>
    <row r="712" spans="1:26" ht="21" x14ac:dyDescent="0.65">
      <c r="A712" s="66"/>
      <c r="B712" s="66"/>
      <c r="C712" s="66"/>
      <c r="D712" s="66"/>
      <c r="E712" s="66"/>
      <c r="F712" s="66"/>
      <c r="G712" s="66"/>
      <c r="H712" s="66"/>
      <c r="I712" s="66"/>
      <c r="J712" s="66"/>
      <c r="K712" s="66"/>
      <c r="L712" s="66"/>
      <c r="M712" s="66"/>
      <c r="N712" s="66"/>
      <c r="O712" s="66"/>
      <c r="P712" s="66"/>
      <c r="Q712" s="66"/>
      <c r="R712" s="66"/>
      <c r="S712" s="66"/>
      <c r="T712" s="66"/>
      <c r="U712" s="66"/>
      <c r="V712" s="66"/>
      <c r="W712" s="66"/>
      <c r="X712" s="66"/>
      <c r="Y712" s="66"/>
      <c r="Z712" s="66"/>
    </row>
    <row r="713" spans="1:26" ht="21" x14ac:dyDescent="0.65">
      <c r="A713" s="66"/>
      <c r="B713" s="66"/>
      <c r="C713" s="66"/>
      <c r="D713" s="66"/>
      <c r="E713" s="66"/>
      <c r="F713" s="66"/>
      <c r="G713" s="66"/>
      <c r="H713" s="66"/>
      <c r="I713" s="66"/>
      <c r="J713" s="66"/>
      <c r="K713" s="66"/>
      <c r="L713" s="66"/>
      <c r="M713" s="66"/>
      <c r="N713" s="66"/>
      <c r="O713" s="66"/>
      <c r="P713" s="66"/>
      <c r="Q713" s="66"/>
      <c r="R713" s="66"/>
      <c r="S713" s="66"/>
      <c r="T713" s="66"/>
      <c r="U713" s="66"/>
      <c r="V713" s="66"/>
      <c r="W713" s="66"/>
      <c r="X713" s="66"/>
      <c r="Y713" s="66"/>
      <c r="Z713" s="66"/>
    </row>
    <row r="714" spans="1:26" ht="21" x14ac:dyDescent="0.65">
      <c r="A714" s="66"/>
      <c r="B714" s="66"/>
      <c r="C714" s="66"/>
      <c r="D714" s="66"/>
      <c r="E714" s="66"/>
      <c r="F714" s="66"/>
      <c r="G714" s="66"/>
      <c r="H714" s="66"/>
      <c r="I714" s="66"/>
      <c r="J714" s="66"/>
      <c r="K714" s="66"/>
      <c r="L714" s="66"/>
      <c r="M714" s="66"/>
      <c r="N714" s="66"/>
      <c r="O714" s="66"/>
      <c r="P714" s="66"/>
      <c r="Q714" s="66"/>
      <c r="R714" s="66"/>
      <c r="S714" s="66"/>
      <c r="T714" s="66"/>
      <c r="U714" s="66"/>
      <c r="V714" s="66"/>
      <c r="W714" s="66"/>
      <c r="X714" s="66"/>
      <c r="Y714" s="66"/>
      <c r="Z714" s="66"/>
    </row>
    <row r="715" spans="1:26" ht="21" x14ac:dyDescent="0.65">
      <c r="A715" s="66"/>
      <c r="B715" s="66"/>
      <c r="C715" s="66"/>
      <c r="D715" s="66"/>
      <c r="E715" s="66"/>
      <c r="F715" s="66"/>
      <c r="G715" s="66"/>
      <c r="H715" s="66"/>
      <c r="I715" s="66"/>
      <c r="J715" s="66"/>
      <c r="K715" s="66"/>
      <c r="L715" s="66"/>
      <c r="M715" s="66"/>
      <c r="N715" s="66"/>
      <c r="O715" s="66"/>
      <c r="P715" s="66"/>
      <c r="Q715" s="66"/>
      <c r="R715" s="66"/>
      <c r="S715" s="66"/>
      <c r="T715" s="66"/>
      <c r="U715" s="66"/>
      <c r="V715" s="66"/>
      <c r="W715" s="66"/>
      <c r="X715" s="66"/>
      <c r="Y715" s="66"/>
      <c r="Z715" s="66"/>
    </row>
    <row r="716" spans="1:26" ht="21" x14ac:dyDescent="0.65">
      <c r="A716" s="66"/>
      <c r="B716" s="66"/>
      <c r="C716" s="66"/>
      <c r="D716" s="66"/>
      <c r="E716" s="66"/>
      <c r="F716" s="66"/>
      <c r="G716" s="66"/>
      <c r="H716" s="66"/>
      <c r="I716" s="66"/>
      <c r="J716" s="66"/>
      <c r="K716" s="66"/>
      <c r="L716" s="66"/>
      <c r="M716" s="66"/>
      <c r="N716" s="66"/>
      <c r="O716" s="66"/>
      <c r="P716" s="66"/>
      <c r="Q716" s="66"/>
      <c r="R716" s="66"/>
      <c r="S716" s="66"/>
      <c r="T716" s="66"/>
      <c r="U716" s="66"/>
      <c r="V716" s="66"/>
      <c r="W716" s="66"/>
      <c r="X716" s="66"/>
      <c r="Y716" s="66"/>
      <c r="Z716" s="66"/>
    </row>
    <row r="717" spans="1:26" ht="21" x14ac:dyDescent="0.65">
      <c r="A717" s="66"/>
      <c r="B717" s="66"/>
      <c r="C717" s="66"/>
      <c r="D717" s="66"/>
      <c r="E717" s="66"/>
      <c r="F717" s="66"/>
      <c r="G717" s="66"/>
      <c r="H717" s="66"/>
      <c r="I717" s="66"/>
      <c r="J717" s="66"/>
      <c r="K717" s="66"/>
      <c r="L717" s="66"/>
      <c r="M717" s="66"/>
      <c r="N717" s="66"/>
      <c r="O717" s="66"/>
      <c r="P717" s="66"/>
      <c r="Q717" s="66"/>
      <c r="R717" s="66"/>
      <c r="S717" s="66"/>
      <c r="T717" s="66"/>
      <c r="U717" s="66"/>
      <c r="V717" s="66"/>
      <c r="W717" s="66"/>
      <c r="X717" s="66"/>
      <c r="Y717" s="66"/>
      <c r="Z717" s="66"/>
    </row>
    <row r="718" spans="1:26" ht="21" x14ac:dyDescent="0.65">
      <c r="A718" s="66"/>
      <c r="B718" s="66"/>
      <c r="C718" s="66"/>
      <c r="D718" s="66"/>
      <c r="E718" s="66"/>
      <c r="F718" s="66"/>
      <c r="G718" s="66"/>
      <c r="H718" s="66"/>
      <c r="I718" s="66"/>
      <c r="J718" s="66"/>
      <c r="K718" s="66"/>
      <c r="L718" s="66"/>
      <c r="M718" s="66"/>
      <c r="N718" s="66"/>
      <c r="O718" s="66"/>
      <c r="P718" s="66"/>
      <c r="Q718" s="66"/>
      <c r="R718" s="66"/>
      <c r="S718" s="66"/>
      <c r="T718" s="66"/>
      <c r="U718" s="66"/>
      <c r="V718" s="66"/>
      <c r="W718" s="66"/>
      <c r="X718" s="66"/>
      <c r="Y718" s="66"/>
      <c r="Z718" s="66"/>
    </row>
    <row r="719" spans="1:26" ht="21" x14ac:dyDescent="0.65">
      <c r="A719" s="66"/>
      <c r="B719" s="66"/>
      <c r="C719" s="66"/>
      <c r="D719" s="66"/>
      <c r="E719" s="66"/>
      <c r="F719" s="66"/>
      <c r="G719" s="66"/>
      <c r="H719" s="66"/>
      <c r="I719" s="66"/>
      <c r="J719" s="66"/>
      <c r="K719" s="66"/>
      <c r="L719" s="66"/>
      <c r="M719" s="66"/>
      <c r="N719" s="66"/>
      <c r="O719" s="66"/>
      <c r="P719" s="66"/>
      <c r="Q719" s="66"/>
      <c r="R719" s="66"/>
      <c r="S719" s="66"/>
      <c r="T719" s="66"/>
      <c r="U719" s="66"/>
      <c r="V719" s="66"/>
      <c r="W719" s="66"/>
      <c r="X719" s="66"/>
      <c r="Y719" s="66"/>
      <c r="Z719" s="66"/>
    </row>
    <row r="720" spans="1:26" ht="21" x14ac:dyDescent="0.65">
      <c r="A720" s="66"/>
      <c r="B720" s="66"/>
      <c r="C720" s="66"/>
      <c r="D720" s="66"/>
      <c r="E720" s="66"/>
      <c r="F720" s="66"/>
      <c r="G720" s="66"/>
      <c r="H720" s="66"/>
      <c r="I720" s="66"/>
      <c r="J720" s="66"/>
      <c r="K720" s="66"/>
      <c r="L720" s="66"/>
      <c r="M720" s="66"/>
      <c r="N720" s="66"/>
      <c r="O720" s="66"/>
      <c r="P720" s="66"/>
      <c r="Q720" s="66"/>
      <c r="R720" s="66"/>
      <c r="S720" s="66"/>
      <c r="T720" s="66"/>
      <c r="U720" s="66"/>
      <c r="V720" s="66"/>
      <c r="W720" s="66"/>
      <c r="X720" s="66"/>
      <c r="Y720" s="66"/>
      <c r="Z720" s="66"/>
    </row>
    <row r="721" spans="1:26" ht="21" x14ac:dyDescent="0.65">
      <c r="A721" s="66"/>
      <c r="B721" s="66"/>
      <c r="C721" s="66"/>
      <c r="D721" s="66"/>
      <c r="E721" s="66"/>
      <c r="F721" s="66"/>
      <c r="G721" s="66"/>
      <c r="H721" s="66"/>
      <c r="I721" s="66"/>
      <c r="J721" s="66"/>
      <c r="K721" s="66"/>
      <c r="L721" s="66"/>
      <c r="M721" s="66"/>
      <c r="N721" s="66"/>
      <c r="O721" s="66"/>
      <c r="P721" s="66"/>
      <c r="Q721" s="66"/>
      <c r="R721" s="66"/>
      <c r="S721" s="66"/>
      <c r="T721" s="66"/>
      <c r="U721" s="66"/>
      <c r="V721" s="66"/>
      <c r="W721" s="66"/>
      <c r="X721" s="66"/>
      <c r="Y721" s="66"/>
      <c r="Z721" s="66"/>
    </row>
    <row r="722" spans="1:26" ht="21" x14ac:dyDescent="0.65">
      <c r="A722" s="66"/>
      <c r="B722" s="66"/>
      <c r="C722" s="66"/>
      <c r="D722" s="66"/>
      <c r="E722" s="66"/>
      <c r="F722" s="66"/>
      <c r="G722" s="66"/>
      <c r="H722" s="66"/>
      <c r="I722" s="66"/>
      <c r="J722" s="66"/>
      <c r="K722" s="66"/>
      <c r="L722" s="66"/>
      <c r="M722" s="66"/>
      <c r="N722" s="66"/>
      <c r="O722" s="66"/>
      <c r="P722" s="66"/>
      <c r="Q722" s="66"/>
      <c r="R722" s="66"/>
      <c r="S722" s="66"/>
      <c r="T722" s="66"/>
      <c r="U722" s="66"/>
      <c r="V722" s="66"/>
      <c r="W722" s="66"/>
      <c r="X722" s="66"/>
      <c r="Y722" s="66"/>
      <c r="Z722" s="66"/>
    </row>
    <row r="723" spans="1:26" ht="21" x14ac:dyDescent="0.65">
      <c r="A723" s="66"/>
      <c r="B723" s="66"/>
      <c r="C723" s="66"/>
      <c r="D723" s="66"/>
      <c r="E723" s="66"/>
      <c r="F723" s="66"/>
      <c r="G723" s="66"/>
      <c r="H723" s="66"/>
      <c r="I723" s="66"/>
      <c r="J723" s="66"/>
      <c r="K723" s="66"/>
      <c r="L723" s="66"/>
      <c r="M723" s="66"/>
      <c r="N723" s="66"/>
      <c r="O723" s="66"/>
      <c r="P723" s="66"/>
      <c r="Q723" s="66"/>
      <c r="R723" s="66"/>
      <c r="S723" s="66"/>
      <c r="T723" s="66"/>
      <c r="U723" s="66"/>
      <c r="V723" s="66"/>
      <c r="W723" s="66"/>
      <c r="X723" s="66"/>
      <c r="Y723" s="66"/>
      <c r="Z723" s="66"/>
    </row>
    <row r="724" spans="1:26" ht="21" x14ac:dyDescent="0.65">
      <c r="A724" s="66"/>
      <c r="B724" s="66"/>
      <c r="C724" s="66"/>
      <c r="D724" s="66"/>
      <c r="E724" s="66"/>
      <c r="F724" s="66"/>
      <c r="G724" s="66"/>
      <c r="H724" s="66"/>
      <c r="I724" s="66"/>
      <c r="J724" s="66"/>
      <c r="K724" s="66"/>
      <c r="L724" s="66"/>
      <c r="M724" s="66"/>
      <c r="N724" s="66"/>
      <c r="O724" s="66"/>
      <c r="P724" s="66"/>
      <c r="Q724" s="66"/>
      <c r="R724" s="66"/>
      <c r="S724" s="66"/>
      <c r="T724" s="66"/>
      <c r="U724" s="66"/>
      <c r="V724" s="66"/>
      <c r="W724" s="66"/>
      <c r="X724" s="66"/>
      <c r="Y724" s="66"/>
      <c r="Z724" s="66"/>
    </row>
    <row r="725" spans="1:26" ht="21" x14ac:dyDescent="0.65">
      <c r="A725" s="66"/>
      <c r="B725" s="66"/>
      <c r="C725" s="66"/>
      <c r="D725" s="66"/>
      <c r="E725" s="66"/>
      <c r="F725" s="66"/>
      <c r="G725" s="66"/>
      <c r="H725" s="66"/>
      <c r="I725" s="66"/>
      <c r="J725" s="66"/>
      <c r="K725" s="66"/>
      <c r="L725" s="66"/>
      <c r="M725" s="66"/>
      <c r="N725" s="66"/>
      <c r="O725" s="66"/>
      <c r="P725" s="66"/>
      <c r="Q725" s="66"/>
      <c r="R725" s="66"/>
      <c r="S725" s="66"/>
      <c r="T725" s="66"/>
      <c r="U725" s="66"/>
      <c r="V725" s="66"/>
      <c r="W725" s="66"/>
      <c r="X725" s="66"/>
      <c r="Y725" s="66"/>
      <c r="Z725" s="66"/>
    </row>
    <row r="726" spans="1:26" ht="21" x14ac:dyDescent="0.65">
      <c r="A726" s="66"/>
      <c r="B726" s="66"/>
      <c r="C726" s="66"/>
      <c r="D726" s="66"/>
      <c r="E726" s="66"/>
      <c r="F726" s="66"/>
      <c r="G726" s="66"/>
      <c r="H726" s="66"/>
      <c r="I726" s="66"/>
      <c r="J726" s="66"/>
      <c r="K726" s="66"/>
      <c r="L726" s="66"/>
      <c r="M726" s="66"/>
      <c r="N726" s="66"/>
      <c r="O726" s="66"/>
      <c r="P726" s="66"/>
      <c r="Q726" s="66"/>
      <c r="R726" s="66"/>
      <c r="S726" s="66"/>
      <c r="T726" s="66"/>
      <c r="U726" s="66"/>
      <c r="V726" s="66"/>
      <c r="W726" s="66"/>
      <c r="X726" s="66"/>
      <c r="Y726" s="66"/>
      <c r="Z726" s="66"/>
    </row>
    <row r="727" spans="1:26" ht="21" x14ac:dyDescent="0.65">
      <c r="A727" s="66"/>
      <c r="B727" s="66"/>
      <c r="C727" s="66"/>
      <c r="D727" s="66"/>
      <c r="E727" s="66"/>
      <c r="F727" s="66"/>
      <c r="G727" s="66"/>
      <c r="H727" s="66"/>
      <c r="I727" s="66"/>
      <c r="J727" s="66"/>
      <c r="K727" s="66"/>
      <c r="L727" s="66"/>
      <c r="M727" s="66"/>
      <c r="N727" s="66"/>
      <c r="O727" s="66"/>
      <c r="P727" s="66"/>
      <c r="Q727" s="66"/>
      <c r="R727" s="66"/>
      <c r="S727" s="66"/>
      <c r="T727" s="66"/>
      <c r="U727" s="66"/>
      <c r="V727" s="66"/>
      <c r="W727" s="66"/>
      <c r="X727" s="66"/>
      <c r="Y727" s="66"/>
      <c r="Z727" s="66"/>
    </row>
    <row r="728" spans="1:26" ht="21" x14ac:dyDescent="0.65">
      <c r="A728" s="66"/>
      <c r="B728" s="66"/>
      <c r="C728" s="66"/>
      <c r="D728" s="66"/>
      <c r="E728" s="66"/>
      <c r="F728" s="66"/>
      <c r="G728" s="66"/>
      <c r="H728" s="66"/>
      <c r="I728" s="66"/>
      <c r="J728" s="66"/>
      <c r="K728" s="66"/>
      <c r="L728" s="66"/>
      <c r="M728" s="66"/>
      <c r="N728" s="66"/>
      <c r="O728" s="66"/>
      <c r="P728" s="66"/>
      <c r="Q728" s="66"/>
      <c r="R728" s="66"/>
      <c r="S728" s="66"/>
      <c r="T728" s="66"/>
      <c r="U728" s="66"/>
      <c r="V728" s="66"/>
      <c r="W728" s="66"/>
      <c r="X728" s="66"/>
      <c r="Y728" s="66"/>
      <c r="Z728" s="66"/>
    </row>
    <row r="729" spans="1:26" ht="21" x14ac:dyDescent="0.65">
      <c r="A729" s="66"/>
      <c r="B729" s="66"/>
      <c r="C729" s="66"/>
      <c r="D729" s="66"/>
      <c r="E729" s="66"/>
      <c r="F729" s="66"/>
      <c r="G729" s="66"/>
      <c r="H729" s="66"/>
      <c r="I729" s="66"/>
      <c r="J729" s="66"/>
      <c r="K729" s="66"/>
      <c r="L729" s="66"/>
      <c r="M729" s="66"/>
      <c r="N729" s="66"/>
      <c r="O729" s="66"/>
      <c r="P729" s="66"/>
      <c r="Q729" s="66"/>
      <c r="R729" s="66"/>
      <c r="S729" s="66"/>
      <c r="T729" s="66"/>
      <c r="U729" s="66"/>
      <c r="V729" s="66"/>
      <c r="W729" s="66"/>
      <c r="X729" s="66"/>
      <c r="Y729" s="66"/>
      <c r="Z729" s="66"/>
    </row>
    <row r="730" spans="1:26" ht="21" x14ac:dyDescent="0.65">
      <c r="A730" s="66"/>
      <c r="B730" s="66"/>
      <c r="C730" s="66"/>
      <c r="D730" s="66"/>
      <c r="E730" s="66"/>
      <c r="F730" s="66"/>
      <c r="G730" s="66"/>
      <c r="H730" s="66"/>
      <c r="I730" s="66"/>
      <c r="J730" s="66"/>
      <c r="K730" s="66"/>
      <c r="L730" s="66"/>
      <c r="M730" s="66"/>
      <c r="N730" s="66"/>
      <c r="O730" s="66"/>
      <c r="P730" s="66"/>
      <c r="Q730" s="66"/>
      <c r="R730" s="66"/>
      <c r="S730" s="66"/>
      <c r="T730" s="66"/>
      <c r="U730" s="66"/>
      <c r="V730" s="66"/>
      <c r="W730" s="66"/>
      <c r="X730" s="66"/>
      <c r="Y730" s="66"/>
      <c r="Z730" s="66"/>
    </row>
    <row r="731" spans="1:26" ht="21" x14ac:dyDescent="0.65">
      <c r="A731" s="66"/>
      <c r="B731" s="66"/>
      <c r="C731" s="66"/>
      <c r="D731" s="66"/>
      <c r="E731" s="66"/>
      <c r="F731" s="66"/>
      <c r="G731" s="66"/>
      <c r="H731" s="66"/>
      <c r="I731" s="66"/>
      <c r="J731" s="66"/>
      <c r="K731" s="66"/>
      <c r="L731" s="66"/>
      <c r="M731" s="66"/>
      <c r="N731" s="66"/>
      <c r="O731" s="66"/>
      <c r="P731" s="66"/>
      <c r="Q731" s="66"/>
      <c r="R731" s="66"/>
      <c r="S731" s="66"/>
      <c r="T731" s="66"/>
      <c r="U731" s="66"/>
      <c r="V731" s="66"/>
      <c r="W731" s="66"/>
      <c r="X731" s="66"/>
      <c r="Y731" s="66"/>
      <c r="Z731" s="66"/>
    </row>
    <row r="732" spans="1:26" ht="21" x14ac:dyDescent="0.65">
      <c r="A732" s="66"/>
      <c r="B732" s="66"/>
      <c r="C732" s="66"/>
      <c r="D732" s="66"/>
      <c r="E732" s="66"/>
      <c r="F732" s="66"/>
      <c r="G732" s="66"/>
      <c r="H732" s="66"/>
      <c r="I732" s="66"/>
      <c r="J732" s="66"/>
      <c r="K732" s="66"/>
      <c r="L732" s="66"/>
      <c r="M732" s="66"/>
      <c r="N732" s="66"/>
      <c r="O732" s="66"/>
      <c r="P732" s="66"/>
      <c r="Q732" s="66"/>
      <c r="R732" s="66"/>
      <c r="S732" s="66"/>
      <c r="T732" s="66"/>
      <c r="U732" s="66"/>
      <c r="V732" s="66"/>
      <c r="W732" s="66"/>
      <c r="X732" s="66"/>
      <c r="Y732" s="66"/>
      <c r="Z732" s="66"/>
    </row>
    <row r="733" spans="1:26" ht="21" x14ac:dyDescent="0.65">
      <c r="A733" s="66"/>
      <c r="B733" s="66"/>
      <c r="C733" s="66"/>
      <c r="D733" s="66"/>
      <c r="E733" s="66"/>
      <c r="F733" s="66"/>
      <c r="G733" s="66"/>
      <c r="H733" s="66"/>
      <c r="I733" s="66"/>
      <c r="J733" s="66"/>
      <c r="K733" s="66"/>
      <c r="L733" s="66"/>
      <c r="M733" s="66"/>
      <c r="N733" s="66"/>
      <c r="O733" s="66"/>
      <c r="P733" s="66"/>
      <c r="Q733" s="66"/>
      <c r="R733" s="66"/>
      <c r="S733" s="66"/>
      <c r="T733" s="66"/>
      <c r="U733" s="66"/>
      <c r="V733" s="66"/>
      <c r="W733" s="66"/>
      <c r="X733" s="66"/>
      <c r="Y733" s="66"/>
      <c r="Z733" s="66"/>
    </row>
    <row r="734" spans="1:26" ht="21" x14ac:dyDescent="0.65">
      <c r="A734" s="66"/>
      <c r="B734" s="66"/>
      <c r="C734" s="66"/>
      <c r="D734" s="66"/>
      <c r="E734" s="66"/>
      <c r="F734" s="66"/>
      <c r="G734" s="66"/>
      <c r="H734" s="66"/>
      <c r="I734" s="66"/>
      <c r="J734" s="66"/>
      <c r="K734" s="66"/>
      <c r="L734" s="66"/>
      <c r="M734" s="66"/>
      <c r="N734" s="66"/>
      <c r="O734" s="66"/>
      <c r="P734" s="66"/>
      <c r="Q734" s="66"/>
      <c r="R734" s="66"/>
      <c r="S734" s="66"/>
      <c r="T734" s="66"/>
      <c r="U734" s="66"/>
      <c r="V734" s="66"/>
      <c r="W734" s="66"/>
      <c r="X734" s="66"/>
      <c r="Y734" s="66"/>
      <c r="Z734" s="66"/>
    </row>
    <row r="735" spans="1:26" ht="21" x14ac:dyDescent="0.65">
      <c r="A735" s="66"/>
      <c r="B735" s="66"/>
      <c r="C735" s="66"/>
      <c r="D735" s="66"/>
      <c r="E735" s="66"/>
      <c r="F735" s="66"/>
      <c r="G735" s="66"/>
      <c r="H735" s="66"/>
      <c r="I735" s="66"/>
      <c r="J735" s="66"/>
      <c r="K735" s="66"/>
      <c r="L735" s="66"/>
      <c r="M735" s="66"/>
      <c r="N735" s="66"/>
      <c r="O735" s="66"/>
      <c r="P735" s="66"/>
      <c r="Q735" s="66"/>
      <c r="R735" s="66"/>
      <c r="S735" s="66"/>
      <c r="T735" s="66"/>
      <c r="U735" s="66"/>
      <c r="V735" s="66"/>
      <c r="W735" s="66"/>
      <c r="X735" s="66"/>
      <c r="Y735" s="66"/>
      <c r="Z735" s="66"/>
    </row>
    <row r="736" spans="1:26" ht="21" x14ac:dyDescent="0.65">
      <c r="A736" s="66"/>
      <c r="B736" s="66"/>
      <c r="C736" s="66"/>
      <c r="D736" s="66"/>
      <c r="E736" s="66"/>
      <c r="F736" s="66"/>
      <c r="G736" s="66"/>
      <c r="H736" s="66"/>
      <c r="I736" s="66"/>
      <c r="J736" s="66"/>
      <c r="K736" s="66"/>
      <c r="L736" s="66"/>
      <c r="M736" s="66"/>
      <c r="N736" s="66"/>
      <c r="O736" s="66"/>
      <c r="P736" s="66"/>
      <c r="Q736" s="66"/>
      <c r="R736" s="66"/>
      <c r="S736" s="66"/>
      <c r="T736" s="66"/>
      <c r="U736" s="66"/>
      <c r="V736" s="66"/>
      <c r="W736" s="66"/>
      <c r="X736" s="66"/>
      <c r="Y736" s="66"/>
      <c r="Z736" s="66"/>
    </row>
    <row r="737" spans="1:26" ht="21" x14ac:dyDescent="0.65">
      <c r="A737" s="66"/>
      <c r="B737" s="66"/>
      <c r="C737" s="66"/>
      <c r="D737" s="66"/>
      <c r="E737" s="66"/>
      <c r="F737" s="66"/>
      <c r="G737" s="66"/>
      <c r="H737" s="66"/>
      <c r="I737" s="66"/>
      <c r="J737" s="66"/>
      <c r="K737" s="66"/>
      <c r="L737" s="66"/>
      <c r="M737" s="66"/>
      <c r="N737" s="66"/>
      <c r="O737" s="66"/>
      <c r="P737" s="66"/>
      <c r="Q737" s="66"/>
      <c r="R737" s="66"/>
      <c r="S737" s="66"/>
      <c r="T737" s="66"/>
      <c r="U737" s="66"/>
      <c r="V737" s="66"/>
      <c r="W737" s="66"/>
      <c r="X737" s="66"/>
      <c r="Y737" s="66"/>
      <c r="Z737" s="66"/>
    </row>
    <row r="738" spans="1:26" ht="21" x14ac:dyDescent="0.65">
      <c r="A738" s="66"/>
      <c r="B738" s="66"/>
      <c r="C738" s="66"/>
      <c r="D738" s="66"/>
      <c r="E738" s="66"/>
      <c r="F738" s="66"/>
      <c r="G738" s="66"/>
      <c r="H738" s="66"/>
      <c r="I738" s="66"/>
      <c r="J738" s="66"/>
      <c r="K738" s="66"/>
      <c r="L738" s="66"/>
      <c r="M738" s="66"/>
      <c r="N738" s="66"/>
      <c r="O738" s="66"/>
      <c r="P738" s="66"/>
      <c r="Q738" s="66"/>
      <c r="R738" s="66"/>
      <c r="S738" s="66"/>
      <c r="T738" s="66"/>
      <c r="U738" s="66"/>
      <c r="V738" s="66"/>
      <c r="W738" s="66"/>
      <c r="X738" s="66"/>
      <c r="Y738" s="66"/>
      <c r="Z738" s="66"/>
    </row>
    <row r="739" spans="1:26" ht="21" x14ac:dyDescent="0.65">
      <c r="A739" s="66"/>
      <c r="B739" s="66"/>
      <c r="C739" s="66"/>
      <c r="D739" s="66"/>
      <c r="E739" s="66"/>
      <c r="F739" s="66"/>
      <c r="G739" s="66"/>
      <c r="H739" s="66"/>
      <c r="I739" s="66"/>
      <c r="J739" s="66"/>
      <c r="K739" s="66"/>
      <c r="L739" s="66"/>
      <c r="M739" s="66"/>
      <c r="N739" s="66"/>
      <c r="O739" s="66"/>
      <c r="P739" s="66"/>
      <c r="Q739" s="66"/>
      <c r="R739" s="66"/>
      <c r="S739" s="66"/>
      <c r="T739" s="66"/>
      <c r="U739" s="66"/>
      <c r="V739" s="66"/>
      <c r="W739" s="66"/>
      <c r="X739" s="66"/>
      <c r="Y739" s="66"/>
      <c r="Z739" s="66"/>
    </row>
    <row r="740" spans="1:26" ht="21" x14ac:dyDescent="0.65">
      <c r="A740" s="66"/>
      <c r="B740" s="66"/>
      <c r="C740" s="66"/>
      <c r="D740" s="66"/>
      <c r="E740" s="66"/>
      <c r="F740" s="66"/>
      <c r="G740" s="66"/>
      <c r="H740" s="66"/>
      <c r="I740" s="66"/>
      <c r="J740" s="66"/>
      <c r="K740" s="66"/>
      <c r="L740" s="66"/>
      <c r="M740" s="66"/>
      <c r="N740" s="66"/>
      <c r="O740" s="66"/>
      <c r="P740" s="66"/>
      <c r="Q740" s="66"/>
      <c r="R740" s="66"/>
      <c r="S740" s="66"/>
      <c r="T740" s="66"/>
      <c r="U740" s="66"/>
      <c r="V740" s="66"/>
      <c r="W740" s="66"/>
      <c r="X740" s="66"/>
      <c r="Y740" s="66"/>
      <c r="Z740" s="66"/>
    </row>
    <row r="741" spans="1:26" ht="21" x14ac:dyDescent="0.65">
      <c r="A741" s="66"/>
      <c r="B741" s="66"/>
      <c r="C741" s="66"/>
      <c r="D741" s="66"/>
      <c r="E741" s="66"/>
      <c r="F741" s="66"/>
      <c r="G741" s="66"/>
      <c r="H741" s="66"/>
      <c r="I741" s="66"/>
      <c r="J741" s="66"/>
      <c r="K741" s="66"/>
      <c r="L741" s="66"/>
      <c r="M741" s="66"/>
      <c r="N741" s="66"/>
      <c r="O741" s="66"/>
      <c r="P741" s="66"/>
      <c r="Q741" s="66"/>
      <c r="R741" s="66"/>
      <c r="S741" s="66"/>
      <c r="T741" s="66"/>
      <c r="U741" s="66"/>
      <c r="V741" s="66"/>
      <c r="W741" s="66"/>
      <c r="X741" s="66"/>
      <c r="Y741" s="66"/>
      <c r="Z741" s="66"/>
    </row>
    <row r="742" spans="1:26" ht="21" x14ac:dyDescent="0.65">
      <c r="A742" s="66"/>
      <c r="B742" s="66"/>
      <c r="C742" s="66"/>
      <c r="D742" s="66"/>
      <c r="E742" s="66"/>
      <c r="F742" s="66"/>
      <c r="G742" s="66"/>
      <c r="H742" s="66"/>
      <c r="I742" s="66"/>
      <c r="J742" s="66"/>
      <c r="K742" s="66"/>
      <c r="L742" s="66"/>
      <c r="M742" s="66"/>
      <c r="N742" s="66"/>
      <c r="O742" s="66"/>
      <c r="P742" s="66"/>
      <c r="Q742" s="66"/>
      <c r="R742" s="66"/>
      <c r="S742" s="66"/>
      <c r="T742" s="66"/>
      <c r="U742" s="66"/>
      <c r="V742" s="66"/>
      <c r="W742" s="66"/>
      <c r="X742" s="66"/>
      <c r="Y742" s="66"/>
      <c r="Z742" s="66"/>
    </row>
    <row r="743" spans="1:26" ht="21" x14ac:dyDescent="0.65">
      <c r="A743" s="66"/>
      <c r="B743" s="66"/>
      <c r="C743" s="66"/>
      <c r="D743" s="66"/>
      <c r="E743" s="66"/>
      <c r="F743" s="66"/>
      <c r="G743" s="66"/>
      <c r="H743" s="66"/>
      <c r="I743" s="66"/>
      <c r="J743" s="66"/>
      <c r="K743" s="66"/>
      <c r="L743" s="66"/>
      <c r="M743" s="66"/>
      <c r="N743" s="66"/>
      <c r="O743" s="66"/>
      <c r="P743" s="66"/>
      <c r="Q743" s="66"/>
      <c r="R743" s="66"/>
      <c r="S743" s="66"/>
      <c r="T743" s="66"/>
      <c r="U743" s="66"/>
      <c r="V743" s="66"/>
      <c r="W743" s="66"/>
      <c r="X743" s="66"/>
      <c r="Y743" s="66"/>
      <c r="Z743" s="66"/>
    </row>
    <row r="744" spans="1:26" ht="21" x14ac:dyDescent="0.65">
      <c r="A744" s="66"/>
      <c r="B744" s="66"/>
      <c r="C744" s="66"/>
      <c r="D744" s="66"/>
      <c r="E744" s="66"/>
      <c r="F744" s="66"/>
      <c r="G744" s="66"/>
      <c r="H744" s="66"/>
      <c r="I744" s="66"/>
      <c r="J744" s="66"/>
      <c r="K744" s="66"/>
      <c r="L744" s="66"/>
      <c r="M744" s="66"/>
      <c r="N744" s="66"/>
      <c r="O744" s="66"/>
      <c r="P744" s="66"/>
      <c r="Q744" s="66"/>
      <c r="R744" s="66"/>
      <c r="S744" s="66"/>
      <c r="T744" s="66"/>
      <c r="U744" s="66"/>
      <c r="V744" s="66"/>
      <c r="W744" s="66"/>
      <c r="X744" s="66"/>
      <c r="Y744" s="66"/>
      <c r="Z744" s="66"/>
    </row>
    <row r="745" spans="1:26" ht="21" x14ac:dyDescent="0.65">
      <c r="A745" s="66"/>
      <c r="B745" s="66"/>
      <c r="C745" s="66"/>
      <c r="D745" s="66"/>
      <c r="E745" s="66"/>
      <c r="F745" s="66"/>
      <c r="G745" s="66"/>
      <c r="H745" s="66"/>
      <c r="I745" s="66"/>
      <c r="J745" s="66"/>
      <c r="K745" s="66"/>
      <c r="L745" s="66"/>
      <c r="M745" s="66"/>
      <c r="N745" s="66"/>
      <c r="O745" s="66"/>
      <c r="P745" s="66"/>
      <c r="Q745" s="66"/>
      <c r="R745" s="66"/>
      <c r="S745" s="66"/>
      <c r="T745" s="66"/>
      <c r="U745" s="66"/>
      <c r="V745" s="66"/>
      <c r="W745" s="66"/>
      <c r="X745" s="66"/>
      <c r="Y745" s="66"/>
      <c r="Z745" s="66"/>
    </row>
    <row r="746" spans="1:26" ht="21" x14ac:dyDescent="0.65">
      <c r="A746" s="66"/>
      <c r="B746" s="66"/>
      <c r="C746" s="66"/>
      <c r="D746" s="66"/>
      <c r="E746" s="66"/>
      <c r="F746" s="66"/>
      <c r="G746" s="66"/>
      <c r="H746" s="66"/>
      <c r="I746" s="66"/>
      <c r="J746" s="66"/>
      <c r="K746" s="66"/>
      <c r="L746" s="66"/>
      <c r="M746" s="66"/>
      <c r="N746" s="66"/>
      <c r="O746" s="66"/>
      <c r="P746" s="66"/>
      <c r="Q746" s="66"/>
      <c r="R746" s="66"/>
      <c r="S746" s="66"/>
      <c r="T746" s="66"/>
      <c r="U746" s="66"/>
      <c r="V746" s="66"/>
      <c r="W746" s="66"/>
      <c r="X746" s="66"/>
      <c r="Y746" s="66"/>
      <c r="Z746" s="66"/>
    </row>
    <row r="747" spans="1:26" ht="21" x14ac:dyDescent="0.65">
      <c r="A747" s="66"/>
      <c r="B747" s="66"/>
      <c r="C747" s="66"/>
      <c r="D747" s="66"/>
      <c r="E747" s="66"/>
      <c r="F747" s="66"/>
      <c r="G747" s="66"/>
      <c r="H747" s="66"/>
      <c r="I747" s="66"/>
      <c r="J747" s="66"/>
      <c r="K747" s="66"/>
      <c r="L747" s="66"/>
      <c r="M747" s="66"/>
      <c r="N747" s="66"/>
      <c r="O747" s="66"/>
      <c r="P747" s="66"/>
      <c r="Q747" s="66"/>
      <c r="R747" s="66"/>
      <c r="S747" s="66"/>
      <c r="T747" s="66"/>
      <c r="U747" s="66"/>
      <c r="V747" s="66"/>
      <c r="W747" s="66"/>
      <c r="X747" s="66"/>
      <c r="Y747" s="66"/>
      <c r="Z747" s="66"/>
    </row>
    <row r="748" spans="1:26" ht="21" x14ac:dyDescent="0.65">
      <c r="A748" s="66"/>
      <c r="B748" s="66"/>
      <c r="C748" s="66"/>
      <c r="D748" s="66"/>
      <c r="E748" s="66"/>
      <c r="F748" s="66"/>
      <c r="G748" s="66"/>
      <c r="H748" s="66"/>
      <c r="I748" s="66"/>
      <c r="J748" s="66"/>
      <c r="K748" s="66"/>
      <c r="L748" s="66"/>
      <c r="M748" s="66"/>
      <c r="N748" s="66"/>
      <c r="O748" s="66"/>
      <c r="P748" s="66"/>
      <c r="Q748" s="66"/>
      <c r="R748" s="66"/>
      <c r="S748" s="66"/>
      <c r="T748" s="66"/>
      <c r="U748" s="66"/>
      <c r="V748" s="66"/>
      <c r="W748" s="66"/>
      <c r="X748" s="66"/>
      <c r="Y748" s="66"/>
      <c r="Z748" s="66"/>
    </row>
    <row r="749" spans="1:26" ht="21" x14ac:dyDescent="0.65">
      <c r="A749" s="66"/>
      <c r="B749" s="66"/>
      <c r="C749" s="66"/>
      <c r="D749" s="66"/>
      <c r="E749" s="66"/>
      <c r="F749" s="66"/>
      <c r="G749" s="66"/>
      <c r="H749" s="66"/>
      <c r="I749" s="66"/>
      <c r="J749" s="66"/>
      <c r="K749" s="66"/>
      <c r="L749" s="66"/>
      <c r="M749" s="66"/>
      <c r="N749" s="66"/>
      <c r="O749" s="66"/>
      <c r="P749" s="66"/>
      <c r="Q749" s="66"/>
      <c r="R749" s="66"/>
      <c r="S749" s="66"/>
      <c r="T749" s="66"/>
      <c r="U749" s="66"/>
      <c r="V749" s="66"/>
      <c r="W749" s="66"/>
      <c r="X749" s="66"/>
      <c r="Y749" s="66"/>
      <c r="Z749" s="66"/>
    </row>
    <row r="750" spans="1:26" ht="21" x14ac:dyDescent="0.65">
      <c r="A750" s="66"/>
      <c r="B750" s="66"/>
      <c r="C750" s="66"/>
      <c r="D750" s="66"/>
      <c r="E750" s="66"/>
      <c r="F750" s="66"/>
      <c r="G750" s="66"/>
      <c r="H750" s="66"/>
      <c r="I750" s="66"/>
      <c r="J750" s="66"/>
      <c r="K750" s="66"/>
      <c r="L750" s="66"/>
      <c r="M750" s="66"/>
      <c r="N750" s="66"/>
      <c r="O750" s="66"/>
      <c r="P750" s="66"/>
      <c r="Q750" s="66"/>
      <c r="R750" s="66"/>
      <c r="S750" s="66"/>
      <c r="T750" s="66"/>
      <c r="U750" s="66"/>
      <c r="V750" s="66"/>
      <c r="W750" s="66"/>
      <c r="X750" s="66"/>
      <c r="Y750" s="66"/>
      <c r="Z750" s="66"/>
    </row>
    <row r="751" spans="1:26" ht="21" x14ac:dyDescent="0.65">
      <c r="A751" s="66"/>
      <c r="B751" s="66"/>
      <c r="C751" s="66"/>
      <c r="D751" s="66"/>
      <c r="E751" s="66"/>
      <c r="F751" s="66"/>
      <c r="G751" s="66"/>
      <c r="H751" s="66"/>
      <c r="I751" s="66"/>
      <c r="J751" s="66"/>
      <c r="K751" s="66"/>
      <c r="L751" s="66"/>
      <c r="M751" s="66"/>
      <c r="N751" s="66"/>
      <c r="O751" s="66"/>
      <c r="P751" s="66"/>
      <c r="Q751" s="66"/>
      <c r="R751" s="66"/>
      <c r="S751" s="66"/>
      <c r="T751" s="66"/>
      <c r="U751" s="66"/>
      <c r="V751" s="66"/>
      <c r="W751" s="66"/>
      <c r="X751" s="66"/>
      <c r="Y751" s="66"/>
      <c r="Z751" s="66"/>
    </row>
    <row r="752" spans="1:26" ht="21" x14ac:dyDescent="0.65">
      <c r="A752" s="66"/>
      <c r="B752" s="66"/>
      <c r="C752" s="66"/>
      <c r="D752" s="66"/>
      <c r="E752" s="66"/>
      <c r="F752" s="66"/>
      <c r="G752" s="66"/>
      <c r="H752" s="66"/>
      <c r="I752" s="66"/>
      <c r="J752" s="66"/>
      <c r="K752" s="66"/>
      <c r="L752" s="66"/>
      <c r="M752" s="66"/>
      <c r="N752" s="66"/>
      <c r="O752" s="66"/>
      <c r="P752" s="66"/>
      <c r="Q752" s="66"/>
      <c r="R752" s="66"/>
      <c r="S752" s="66"/>
      <c r="T752" s="66"/>
      <c r="U752" s="66"/>
      <c r="V752" s="66"/>
      <c r="W752" s="66"/>
      <c r="X752" s="66"/>
      <c r="Y752" s="66"/>
      <c r="Z752" s="66"/>
    </row>
    <row r="753" spans="1:26" ht="21" x14ac:dyDescent="0.65">
      <c r="A753" s="66"/>
      <c r="B753" s="66"/>
      <c r="C753" s="66"/>
      <c r="D753" s="66"/>
      <c r="E753" s="66"/>
      <c r="F753" s="66"/>
      <c r="G753" s="66"/>
      <c r="H753" s="66"/>
      <c r="I753" s="66"/>
      <c r="J753" s="66"/>
      <c r="K753" s="66"/>
      <c r="L753" s="66"/>
      <c r="M753" s="66"/>
      <c r="N753" s="66"/>
      <c r="O753" s="66"/>
      <c r="P753" s="66"/>
      <c r="Q753" s="66"/>
      <c r="R753" s="66"/>
      <c r="S753" s="66"/>
      <c r="T753" s="66"/>
      <c r="U753" s="66"/>
      <c r="V753" s="66"/>
      <c r="W753" s="66"/>
      <c r="X753" s="66"/>
      <c r="Y753" s="66"/>
      <c r="Z753" s="66"/>
    </row>
    <row r="754" spans="1:26" ht="21" x14ac:dyDescent="0.65">
      <c r="A754" s="66"/>
      <c r="B754" s="66"/>
      <c r="C754" s="66"/>
      <c r="D754" s="66"/>
      <c r="E754" s="66"/>
      <c r="F754" s="66"/>
      <c r="G754" s="66"/>
      <c r="H754" s="66"/>
      <c r="I754" s="66"/>
      <c r="J754" s="66"/>
      <c r="K754" s="66"/>
      <c r="L754" s="66"/>
      <c r="M754" s="66"/>
      <c r="N754" s="66"/>
      <c r="O754" s="66"/>
      <c r="P754" s="66"/>
      <c r="Q754" s="66"/>
      <c r="R754" s="66"/>
      <c r="S754" s="66"/>
      <c r="T754" s="66"/>
      <c r="U754" s="66"/>
      <c r="V754" s="66"/>
      <c r="W754" s="66"/>
      <c r="X754" s="66"/>
      <c r="Y754" s="66"/>
      <c r="Z754" s="66"/>
    </row>
    <row r="755" spans="1:26" ht="21" x14ac:dyDescent="0.65">
      <c r="A755" s="66"/>
      <c r="B755" s="66"/>
      <c r="C755" s="66"/>
      <c r="D755" s="66"/>
      <c r="E755" s="66"/>
      <c r="F755" s="66"/>
      <c r="G755" s="66"/>
      <c r="H755" s="66"/>
      <c r="I755" s="66"/>
      <c r="J755" s="66"/>
      <c r="K755" s="66"/>
      <c r="L755" s="66"/>
      <c r="M755" s="66"/>
      <c r="N755" s="66"/>
      <c r="O755" s="66"/>
      <c r="P755" s="66"/>
      <c r="Q755" s="66"/>
      <c r="R755" s="66"/>
      <c r="S755" s="66"/>
      <c r="T755" s="66"/>
      <c r="U755" s="66"/>
      <c r="V755" s="66"/>
      <c r="W755" s="66"/>
      <c r="X755" s="66"/>
      <c r="Y755" s="66"/>
      <c r="Z755" s="66"/>
    </row>
    <row r="756" spans="1:26" ht="21" x14ac:dyDescent="0.65">
      <c r="A756" s="66"/>
      <c r="B756" s="66"/>
      <c r="C756" s="66"/>
      <c r="D756" s="66"/>
      <c r="E756" s="66"/>
      <c r="F756" s="66"/>
      <c r="G756" s="66"/>
      <c r="H756" s="66"/>
      <c r="I756" s="66"/>
      <c r="J756" s="66"/>
      <c r="K756" s="66"/>
      <c r="L756" s="66"/>
      <c r="M756" s="66"/>
      <c r="N756" s="66"/>
      <c r="O756" s="66"/>
      <c r="P756" s="66"/>
      <c r="Q756" s="66"/>
      <c r="R756" s="66"/>
      <c r="S756" s="66"/>
      <c r="T756" s="66"/>
      <c r="U756" s="66"/>
      <c r="V756" s="66"/>
      <c r="W756" s="66"/>
      <c r="X756" s="66"/>
      <c r="Y756" s="66"/>
      <c r="Z756" s="66"/>
    </row>
    <row r="757" spans="1:26" ht="21" x14ac:dyDescent="0.65">
      <c r="A757" s="66"/>
      <c r="B757" s="66"/>
      <c r="C757" s="66"/>
      <c r="D757" s="66"/>
      <c r="E757" s="66"/>
      <c r="F757" s="66"/>
      <c r="G757" s="66"/>
      <c r="H757" s="66"/>
      <c r="I757" s="66"/>
      <c r="J757" s="66"/>
      <c r="K757" s="66"/>
      <c r="L757" s="66"/>
      <c r="M757" s="66"/>
      <c r="N757" s="66"/>
      <c r="O757" s="66"/>
      <c r="P757" s="66"/>
      <c r="Q757" s="66"/>
      <c r="R757" s="66"/>
      <c r="S757" s="66"/>
      <c r="T757" s="66"/>
      <c r="U757" s="66"/>
      <c r="V757" s="66"/>
      <c r="W757" s="66"/>
      <c r="X757" s="66"/>
      <c r="Y757" s="66"/>
      <c r="Z757" s="66"/>
    </row>
    <row r="758" spans="1:26" ht="21" x14ac:dyDescent="0.65">
      <c r="A758" s="66"/>
      <c r="B758" s="66"/>
      <c r="C758" s="66"/>
      <c r="D758" s="66"/>
      <c r="E758" s="66"/>
      <c r="F758" s="66"/>
      <c r="G758" s="66"/>
      <c r="H758" s="66"/>
      <c r="I758" s="66"/>
      <c r="J758" s="66"/>
      <c r="K758" s="66"/>
      <c r="L758" s="66"/>
      <c r="M758" s="66"/>
      <c r="N758" s="66"/>
      <c r="O758" s="66"/>
      <c r="P758" s="66"/>
      <c r="Q758" s="66"/>
      <c r="R758" s="66"/>
      <c r="S758" s="66"/>
      <c r="T758" s="66"/>
      <c r="U758" s="66"/>
      <c r="V758" s="66"/>
      <c r="W758" s="66"/>
      <c r="X758" s="66"/>
      <c r="Y758" s="66"/>
      <c r="Z758" s="66"/>
    </row>
    <row r="759" spans="1:26" ht="21" x14ac:dyDescent="0.65">
      <c r="A759" s="66"/>
      <c r="B759" s="66"/>
      <c r="C759" s="66"/>
      <c r="D759" s="66"/>
      <c r="E759" s="66"/>
      <c r="F759" s="66"/>
      <c r="G759" s="66"/>
      <c r="H759" s="66"/>
      <c r="I759" s="66"/>
      <c r="J759" s="66"/>
      <c r="K759" s="66"/>
      <c r="L759" s="66"/>
      <c r="M759" s="66"/>
      <c r="N759" s="66"/>
      <c r="O759" s="66"/>
      <c r="P759" s="66"/>
      <c r="Q759" s="66"/>
      <c r="R759" s="66"/>
      <c r="S759" s="66"/>
      <c r="T759" s="66"/>
      <c r="U759" s="66"/>
      <c r="V759" s="66"/>
      <c r="W759" s="66"/>
      <c r="X759" s="66"/>
      <c r="Y759" s="66"/>
      <c r="Z759" s="66"/>
    </row>
    <row r="760" spans="1:26" ht="21" x14ac:dyDescent="0.65">
      <c r="A760" s="66"/>
      <c r="B760" s="66"/>
      <c r="C760" s="66"/>
      <c r="D760" s="66"/>
      <c r="E760" s="66"/>
      <c r="F760" s="66"/>
      <c r="G760" s="66"/>
      <c r="H760" s="66"/>
      <c r="I760" s="66"/>
      <c r="J760" s="66"/>
      <c r="K760" s="66"/>
      <c r="L760" s="66"/>
      <c r="M760" s="66"/>
      <c r="N760" s="66"/>
      <c r="O760" s="66"/>
      <c r="P760" s="66"/>
      <c r="Q760" s="66"/>
      <c r="R760" s="66"/>
      <c r="S760" s="66"/>
      <c r="T760" s="66"/>
      <c r="U760" s="66"/>
      <c r="V760" s="66"/>
      <c r="W760" s="66"/>
      <c r="X760" s="66"/>
      <c r="Y760" s="66"/>
      <c r="Z760" s="66"/>
    </row>
    <row r="761" spans="1:26" ht="21" x14ac:dyDescent="0.65">
      <c r="A761" s="66"/>
      <c r="B761" s="66"/>
      <c r="C761" s="66"/>
      <c r="D761" s="66"/>
      <c r="E761" s="66"/>
      <c r="F761" s="66"/>
      <c r="G761" s="66"/>
      <c r="H761" s="66"/>
      <c r="I761" s="66"/>
      <c r="J761" s="66"/>
      <c r="K761" s="66"/>
      <c r="L761" s="66"/>
      <c r="M761" s="66"/>
      <c r="N761" s="66"/>
      <c r="O761" s="66"/>
      <c r="P761" s="66"/>
      <c r="Q761" s="66"/>
      <c r="R761" s="66"/>
      <c r="S761" s="66"/>
      <c r="T761" s="66"/>
      <c r="U761" s="66"/>
      <c r="V761" s="66"/>
      <c r="W761" s="66"/>
      <c r="X761" s="66"/>
      <c r="Y761" s="66"/>
      <c r="Z761" s="66"/>
    </row>
    <row r="762" spans="1:26" ht="21" x14ac:dyDescent="0.65">
      <c r="A762" s="66"/>
      <c r="B762" s="66"/>
      <c r="C762" s="66"/>
      <c r="D762" s="66"/>
      <c r="E762" s="66"/>
      <c r="F762" s="66"/>
      <c r="G762" s="66"/>
      <c r="H762" s="66"/>
      <c r="I762" s="66"/>
      <c r="J762" s="66"/>
      <c r="K762" s="66"/>
      <c r="L762" s="66"/>
      <c r="M762" s="66"/>
      <c r="N762" s="66"/>
      <c r="O762" s="66"/>
      <c r="P762" s="66"/>
      <c r="Q762" s="66"/>
      <c r="R762" s="66"/>
      <c r="S762" s="66"/>
      <c r="T762" s="66"/>
      <c r="U762" s="66"/>
      <c r="V762" s="66"/>
      <c r="W762" s="66"/>
      <c r="X762" s="66"/>
      <c r="Y762" s="66"/>
      <c r="Z762" s="66"/>
    </row>
    <row r="763" spans="1:26" ht="21" x14ac:dyDescent="0.65">
      <c r="A763" s="66"/>
      <c r="B763" s="66"/>
      <c r="C763" s="66"/>
      <c r="D763" s="66"/>
      <c r="E763" s="66"/>
      <c r="F763" s="66"/>
      <c r="G763" s="66"/>
      <c r="H763" s="66"/>
      <c r="I763" s="66"/>
      <c r="J763" s="66"/>
      <c r="K763" s="66"/>
      <c r="L763" s="66"/>
      <c r="M763" s="66"/>
      <c r="N763" s="66"/>
      <c r="O763" s="66"/>
      <c r="P763" s="66"/>
      <c r="Q763" s="66"/>
      <c r="R763" s="66"/>
      <c r="S763" s="66"/>
      <c r="T763" s="66"/>
      <c r="U763" s="66"/>
      <c r="V763" s="66"/>
      <c r="W763" s="66"/>
      <c r="X763" s="66"/>
      <c r="Y763" s="66"/>
      <c r="Z763" s="66"/>
    </row>
    <row r="764" spans="1:26" ht="21" x14ac:dyDescent="0.65">
      <c r="A764" s="66"/>
      <c r="B764" s="66"/>
      <c r="C764" s="66"/>
      <c r="D764" s="66"/>
      <c r="E764" s="66"/>
      <c r="F764" s="66"/>
      <c r="G764" s="66"/>
      <c r="H764" s="66"/>
      <c r="I764" s="66"/>
      <c r="J764" s="66"/>
      <c r="K764" s="66"/>
      <c r="L764" s="66"/>
      <c r="M764" s="66"/>
      <c r="N764" s="66"/>
      <c r="O764" s="66"/>
      <c r="P764" s="66"/>
      <c r="Q764" s="66"/>
      <c r="R764" s="66"/>
      <c r="S764" s="66"/>
      <c r="T764" s="66"/>
      <c r="U764" s="66"/>
      <c r="V764" s="66"/>
      <c r="W764" s="66"/>
      <c r="X764" s="66"/>
      <c r="Y764" s="66"/>
      <c r="Z764" s="66"/>
    </row>
    <row r="765" spans="1:26" ht="21" x14ac:dyDescent="0.65">
      <c r="A765" s="66"/>
      <c r="B765" s="66"/>
      <c r="C765" s="66"/>
      <c r="D765" s="66"/>
      <c r="E765" s="66"/>
      <c r="F765" s="66"/>
      <c r="G765" s="66"/>
      <c r="H765" s="66"/>
      <c r="I765" s="66"/>
      <c r="J765" s="66"/>
      <c r="K765" s="66"/>
      <c r="L765" s="66"/>
      <c r="M765" s="66"/>
      <c r="N765" s="66"/>
      <c r="O765" s="66"/>
      <c r="P765" s="66"/>
      <c r="Q765" s="66"/>
      <c r="R765" s="66"/>
      <c r="S765" s="66"/>
      <c r="T765" s="66"/>
      <c r="U765" s="66"/>
      <c r="V765" s="66"/>
      <c r="W765" s="66"/>
      <c r="X765" s="66"/>
      <c r="Y765" s="66"/>
      <c r="Z765" s="66"/>
    </row>
    <row r="766" spans="1:26" ht="21" x14ac:dyDescent="0.65">
      <c r="A766" s="66"/>
      <c r="B766" s="66"/>
      <c r="C766" s="66"/>
      <c r="D766" s="66"/>
      <c r="E766" s="66"/>
      <c r="F766" s="66"/>
      <c r="G766" s="66"/>
      <c r="H766" s="66"/>
      <c r="I766" s="66"/>
      <c r="J766" s="66"/>
      <c r="K766" s="66"/>
      <c r="L766" s="66"/>
      <c r="M766" s="66"/>
      <c r="N766" s="66"/>
      <c r="O766" s="66"/>
      <c r="P766" s="66"/>
      <c r="Q766" s="66"/>
      <c r="R766" s="66"/>
      <c r="S766" s="66"/>
      <c r="T766" s="66"/>
      <c r="U766" s="66"/>
      <c r="V766" s="66"/>
      <c r="W766" s="66"/>
      <c r="X766" s="66"/>
      <c r="Y766" s="66"/>
      <c r="Z766" s="66"/>
    </row>
    <row r="767" spans="1:26" ht="21" x14ac:dyDescent="0.65">
      <c r="A767" s="66"/>
      <c r="B767" s="66"/>
      <c r="C767" s="66"/>
      <c r="D767" s="66"/>
      <c r="E767" s="66"/>
      <c r="F767" s="66"/>
      <c r="G767" s="66"/>
      <c r="H767" s="66"/>
      <c r="I767" s="66"/>
      <c r="J767" s="66"/>
      <c r="K767" s="66"/>
      <c r="L767" s="66"/>
      <c r="M767" s="66"/>
      <c r="N767" s="66"/>
      <c r="O767" s="66"/>
      <c r="P767" s="66"/>
      <c r="Q767" s="66"/>
      <c r="R767" s="66"/>
      <c r="S767" s="66"/>
      <c r="T767" s="66"/>
      <c r="U767" s="66"/>
      <c r="V767" s="66"/>
      <c r="W767" s="66"/>
      <c r="X767" s="66"/>
      <c r="Y767" s="66"/>
      <c r="Z767" s="66"/>
    </row>
    <row r="768" spans="1:26" ht="21" x14ac:dyDescent="0.65">
      <c r="A768" s="66"/>
      <c r="B768" s="66"/>
      <c r="C768" s="66"/>
      <c r="D768" s="66"/>
      <c r="E768" s="66"/>
      <c r="F768" s="66"/>
      <c r="G768" s="66"/>
      <c r="H768" s="66"/>
      <c r="I768" s="66"/>
      <c r="J768" s="66"/>
      <c r="K768" s="66"/>
      <c r="L768" s="66"/>
      <c r="M768" s="66"/>
      <c r="N768" s="66"/>
      <c r="O768" s="66"/>
      <c r="P768" s="66"/>
      <c r="Q768" s="66"/>
      <c r="R768" s="66"/>
      <c r="S768" s="66"/>
      <c r="T768" s="66"/>
      <c r="U768" s="66"/>
      <c r="V768" s="66"/>
      <c r="W768" s="66"/>
      <c r="X768" s="66"/>
      <c r="Y768" s="66"/>
      <c r="Z768" s="66"/>
    </row>
    <row r="769" spans="1:26" ht="21" x14ac:dyDescent="0.65">
      <c r="A769" s="66"/>
      <c r="B769" s="66"/>
      <c r="C769" s="66"/>
      <c r="D769" s="66"/>
      <c r="E769" s="66"/>
      <c r="F769" s="66"/>
      <c r="G769" s="66"/>
      <c r="H769" s="66"/>
      <c r="I769" s="66"/>
      <c r="J769" s="66"/>
      <c r="K769" s="66"/>
      <c r="L769" s="66"/>
      <c r="M769" s="66"/>
      <c r="N769" s="66"/>
      <c r="O769" s="66"/>
      <c r="P769" s="66"/>
      <c r="Q769" s="66"/>
      <c r="R769" s="66"/>
      <c r="S769" s="66"/>
      <c r="T769" s="66"/>
      <c r="U769" s="66"/>
      <c r="V769" s="66"/>
      <c r="W769" s="66"/>
      <c r="X769" s="66"/>
      <c r="Y769" s="66"/>
      <c r="Z769" s="66"/>
    </row>
    <row r="770" spans="1:26" ht="21" x14ac:dyDescent="0.65">
      <c r="A770" s="66"/>
      <c r="B770" s="66"/>
      <c r="C770" s="66"/>
      <c r="D770" s="66"/>
      <c r="E770" s="66"/>
      <c r="F770" s="66"/>
      <c r="G770" s="66"/>
      <c r="H770" s="66"/>
      <c r="I770" s="66"/>
      <c r="J770" s="66"/>
      <c r="K770" s="66"/>
      <c r="L770" s="66"/>
      <c r="M770" s="66"/>
      <c r="N770" s="66"/>
      <c r="O770" s="66"/>
      <c r="P770" s="66"/>
      <c r="Q770" s="66"/>
      <c r="R770" s="66"/>
      <c r="S770" s="66"/>
      <c r="T770" s="66"/>
      <c r="U770" s="66"/>
      <c r="V770" s="66"/>
      <c r="W770" s="66"/>
      <c r="X770" s="66"/>
      <c r="Y770" s="66"/>
      <c r="Z770" s="66"/>
    </row>
    <row r="771" spans="1:26" ht="21" x14ac:dyDescent="0.65">
      <c r="A771" s="66"/>
      <c r="B771" s="66"/>
      <c r="C771" s="66"/>
      <c r="D771" s="66"/>
      <c r="E771" s="66"/>
      <c r="F771" s="66"/>
      <c r="G771" s="66"/>
      <c r="H771" s="66"/>
      <c r="I771" s="66"/>
      <c r="J771" s="66"/>
      <c r="K771" s="66"/>
      <c r="L771" s="66"/>
      <c r="M771" s="66"/>
      <c r="N771" s="66"/>
      <c r="O771" s="66"/>
      <c r="P771" s="66"/>
      <c r="Q771" s="66"/>
      <c r="R771" s="66"/>
      <c r="S771" s="66"/>
      <c r="T771" s="66"/>
      <c r="U771" s="66"/>
      <c r="V771" s="66"/>
      <c r="W771" s="66"/>
      <c r="X771" s="66"/>
      <c r="Y771" s="66"/>
      <c r="Z771" s="66"/>
    </row>
    <row r="772" spans="1:26" ht="21" x14ac:dyDescent="0.65">
      <c r="A772" s="66"/>
      <c r="B772" s="66"/>
      <c r="C772" s="66"/>
      <c r="D772" s="66"/>
      <c r="E772" s="66"/>
      <c r="F772" s="66"/>
      <c r="G772" s="66"/>
      <c r="H772" s="66"/>
      <c r="I772" s="66"/>
      <c r="J772" s="66"/>
      <c r="K772" s="66"/>
      <c r="L772" s="66"/>
      <c r="M772" s="66"/>
      <c r="N772" s="66"/>
      <c r="O772" s="66"/>
      <c r="P772" s="66"/>
      <c r="Q772" s="66"/>
      <c r="R772" s="66"/>
      <c r="S772" s="66"/>
      <c r="T772" s="66"/>
      <c r="U772" s="66"/>
      <c r="V772" s="66"/>
      <c r="W772" s="66"/>
      <c r="X772" s="66"/>
      <c r="Y772" s="66"/>
      <c r="Z772" s="66"/>
    </row>
    <row r="773" spans="1:26" ht="21" x14ac:dyDescent="0.65">
      <c r="A773" s="66"/>
      <c r="B773" s="66"/>
      <c r="C773" s="66"/>
      <c r="D773" s="66"/>
      <c r="E773" s="66"/>
      <c r="F773" s="66"/>
      <c r="G773" s="66"/>
      <c r="H773" s="66"/>
      <c r="I773" s="66"/>
      <c r="J773" s="66"/>
      <c r="K773" s="66"/>
      <c r="L773" s="66"/>
      <c r="M773" s="66"/>
      <c r="N773" s="66"/>
      <c r="O773" s="66"/>
      <c r="P773" s="66"/>
      <c r="Q773" s="66"/>
      <c r="R773" s="66"/>
      <c r="S773" s="66"/>
      <c r="T773" s="66"/>
      <c r="U773" s="66"/>
      <c r="V773" s="66"/>
      <c r="W773" s="66"/>
      <c r="X773" s="66"/>
      <c r="Y773" s="66"/>
      <c r="Z773" s="66"/>
    </row>
    <row r="774" spans="1:26" ht="21" x14ac:dyDescent="0.65">
      <c r="A774" s="66"/>
      <c r="B774" s="66"/>
      <c r="C774" s="66"/>
      <c r="D774" s="66"/>
      <c r="E774" s="66"/>
      <c r="F774" s="66"/>
      <c r="G774" s="66"/>
      <c r="H774" s="66"/>
      <c r="I774" s="66"/>
      <c r="J774" s="66"/>
      <c r="K774" s="66"/>
      <c r="L774" s="66"/>
      <c r="M774" s="66"/>
      <c r="N774" s="66"/>
      <c r="O774" s="66"/>
      <c r="P774" s="66"/>
      <c r="Q774" s="66"/>
      <c r="R774" s="66"/>
      <c r="S774" s="66"/>
      <c r="T774" s="66"/>
      <c r="U774" s="66"/>
      <c r="V774" s="66"/>
      <c r="W774" s="66"/>
      <c r="X774" s="66"/>
      <c r="Y774" s="66"/>
      <c r="Z774" s="66"/>
    </row>
    <row r="775" spans="1:26" ht="21" x14ac:dyDescent="0.65">
      <c r="A775" s="66"/>
      <c r="B775" s="66"/>
      <c r="C775" s="66"/>
      <c r="D775" s="66"/>
      <c r="E775" s="66"/>
      <c r="F775" s="66"/>
      <c r="G775" s="66"/>
      <c r="H775" s="66"/>
      <c r="I775" s="66"/>
      <c r="J775" s="66"/>
      <c r="K775" s="66"/>
      <c r="L775" s="66"/>
      <c r="M775" s="66"/>
      <c r="N775" s="66"/>
      <c r="O775" s="66"/>
      <c r="P775" s="66"/>
      <c r="Q775" s="66"/>
      <c r="R775" s="66"/>
      <c r="S775" s="66"/>
      <c r="T775" s="66"/>
      <c r="U775" s="66"/>
      <c r="V775" s="66"/>
      <c r="W775" s="66"/>
      <c r="X775" s="66"/>
      <c r="Y775" s="66"/>
      <c r="Z775" s="66"/>
    </row>
    <row r="776" spans="1:26" ht="21" x14ac:dyDescent="0.65">
      <c r="A776" s="66"/>
      <c r="B776" s="66"/>
      <c r="C776" s="66"/>
      <c r="D776" s="66"/>
      <c r="E776" s="66"/>
      <c r="F776" s="66"/>
      <c r="G776" s="66"/>
      <c r="H776" s="66"/>
      <c r="I776" s="66"/>
      <c r="J776" s="66"/>
      <c r="K776" s="66"/>
      <c r="L776" s="66"/>
      <c r="M776" s="66"/>
      <c r="N776" s="66"/>
      <c r="O776" s="66"/>
      <c r="P776" s="66"/>
      <c r="Q776" s="66"/>
      <c r="R776" s="66"/>
      <c r="S776" s="66"/>
      <c r="T776" s="66"/>
      <c r="U776" s="66"/>
      <c r="V776" s="66"/>
      <c r="W776" s="66"/>
      <c r="X776" s="66"/>
      <c r="Y776" s="66"/>
      <c r="Z776" s="66"/>
    </row>
    <row r="777" spans="1:26" ht="21" x14ac:dyDescent="0.65">
      <c r="A777" s="66"/>
      <c r="B777" s="66"/>
      <c r="C777" s="66"/>
      <c r="D777" s="66"/>
      <c r="E777" s="66"/>
      <c r="F777" s="66"/>
      <c r="G777" s="66"/>
      <c r="H777" s="66"/>
      <c r="I777" s="66"/>
      <c r="J777" s="66"/>
      <c r="K777" s="66"/>
      <c r="L777" s="66"/>
      <c r="M777" s="66"/>
      <c r="N777" s="66"/>
      <c r="O777" s="66"/>
      <c r="P777" s="66"/>
      <c r="Q777" s="66"/>
      <c r="R777" s="66"/>
      <c r="S777" s="66"/>
      <c r="T777" s="66"/>
      <c r="U777" s="66"/>
      <c r="V777" s="66"/>
      <c r="W777" s="66"/>
      <c r="X777" s="66"/>
      <c r="Y777" s="66"/>
      <c r="Z777" s="66"/>
    </row>
    <row r="778" spans="1:26" ht="21" x14ac:dyDescent="0.65">
      <c r="A778" s="66"/>
      <c r="B778" s="66"/>
      <c r="C778" s="66"/>
      <c r="D778" s="66"/>
      <c r="E778" s="66"/>
      <c r="F778" s="66"/>
      <c r="G778" s="66"/>
      <c r="H778" s="66"/>
      <c r="I778" s="66"/>
      <c r="J778" s="66"/>
      <c r="K778" s="66"/>
      <c r="L778" s="66"/>
      <c r="M778" s="66"/>
      <c r="N778" s="66"/>
      <c r="O778" s="66"/>
      <c r="P778" s="66"/>
      <c r="Q778" s="66"/>
      <c r="R778" s="66"/>
      <c r="S778" s="66"/>
      <c r="T778" s="66"/>
      <c r="U778" s="66"/>
      <c r="V778" s="66"/>
      <c r="W778" s="66"/>
      <c r="X778" s="66"/>
      <c r="Y778" s="66"/>
      <c r="Z778" s="66"/>
    </row>
    <row r="779" spans="1:26" ht="21" x14ac:dyDescent="0.65">
      <c r="A779" s="66"/>
      <c r="B779" s="66"/>
      <c r="C779" s="66"/>
      <c r="D779" s="66"/>
      <c r="E779" s="66"/>
      <c r="F779" s="66"/>
      <c r="G779" s="66"/>
      <c r="H779" s="66"/>
      <c r="I779" s="66"/>
      <c r="J779" s="66"/>
      <c r="K779" s="66"/>
      <c r="L779" s="66"/>
      <c r="M779" s="66"/>
      <c r="N779" s="66"/>
      <c r="O779" s="66"/>
      <c r="P779" s="66"/>
      <c r="Q779" s="66"/>
      <c r="R779" s="66"/>
      <c r="S779" s="66"/>
      <c r="T779" s="66"/>
      <c r="U779" s="66"/>
      <c r="V779" s="66"/>
      <c r="W779" s="66"/>
      <c r="X779" s="66"/>
      <c r="Y779" s="66"/>
      <c r="Z779" s="66"/>
    </row>
    <row r="780" spans="1:26" ht="21" x14ac:dyDescent="0.65">
      <c r="A780" s="66"/>
      <c r="B780" s="66"/>
      <c r="C780" s="66"/>
      <c r="D780" s="66"/>
      <c r="E780" s="66"/>
      <c r="F780" s="66"/>
      <c r="G780" s="66"/>
      <c r="H780" s="66"/>
      <c r="I780" s="66"/>
      <c r="J780" s="66"/>
      <c r="K780" s="66"/>
      <c r="L780" s="66"/>
      <c r="M780" s="66"/>
      <c r="N780" s="66"/>
      <c r="O780" s="66"/>
      <c r="P780" s="66"/>
      <c r="Q780" s="66"/>
      <c r="R780" s="66"/>
      <c r="S780" s="66"/>
      <c r="T780" s="66"/>
      <c r="U780" s="66"/>
      <c r="V780" s="66"/>
      <c r="W780" s="66"/>
      <c r="X780" s="66"/>
      <c r="Y780" s="66"/>
      <c r="Z780" s="66"/>
    </row>
    <row r="781" spans="1:26" ht="21" x14ac:dyDescent="0.65">
      <c r="A781" s="66"/>
      <c r="B781" s="66"/>
      <c r="C781" s="66"/>
      <c r="D781" s="66"/>
      <c r="E781" s="66"/>
      <c r="F781" s="66"/>
      <c r="G781" s="66"/>
      <c r="H781" s="66"/>
      <c r="I781" s="66"/>
      <c r="J781" s="66"/>
      <c r="K781" s="66"/>
      <c r="L781" s="66"/>
      <c r="M781" s="66"/>
      <c r="N781" s="66"/>
      <c r="O781" s="66"/>
      <c r="P781" s="66"/>
      <c r="Q781" s="66"/>
      <c r="R781" s="66"/>
      <c r="S781" s="66"/>
      <c r="T781" s="66"/>
      <c r="U781" s="66"/>
      <c r="V781" s="66"/>
      <c r="W781" s="66"/>
      <c r="X781" s="66"/>
      <c r="Y781" s="66"/>
      <c r="Z781" s="66"/>
    </row>
    <row r="782" spans="1:26" ht="21" x14ac:dyDescent="0.65">
      <c r="A782" s="66"/>
      <c r="B782" s="66"/>
      <c r="C782" s="66"/>
      <c r="D782" s="66"/>
      <c r="E782" s="66"/>
      <c r="F782" s="66"/>
      <c r="G782" s="66"/>
      <c r="H782" s="66"/>
      <c r="I782" s="66"/>
      <c r="J782" s="66"/>
      <c r="K782" s="66"/>
      <c r="L782" s="66"/>
      <c r="M782" s="66"/>
      <c r="N782" s="66"/>
      <c r="O782" s="66"/>
      <c r="P782" s="66"/>
      <c r="Q782" s="66"/>
      <c r="R782" s="66"/>
      <c r="S782" s="66"/>
      <c r="T782" s="66"/>
      <c r="U782" s="66"/>
      <c r="V782" s="66"/>
      <c r="W782" s="66"/>
      <c r="X782" s="66"/>
      <c r="Y782" s="66"/>
      <c r="Z782" s="66"/>
    </row>
    <row r="783" spans="1:26" ht="21" x14ac:dyDescent="0.65">
      <c r="A783" s="66"/>
      <c r="B783" s="66"/>
      <c r="C783" s="66"/>
      <c r="D783" s="66"/>
      <c r="E783" s="66"/>
      <c r="F783" s="66"/>
      <c r="G783" s="66"/>
      <c r="H783" s="66"/>
      <c r="I783" s="66"/>
      <c r="J783" s="66"/>
      <c r="K783" s="66"/>
      <c r="L783" s="66"/>
      <c r="M783" s="66"/>
      <c r="N783" s="66"/>
      <c r="O783" s="66"/>
      <c r="P783" s="66"/>
      <c r="Q783" s="66"/>
      <c r="R783" s="66"/>
      <c r="S783" s="66"/>
      <c r="T783" s="66"/>
      <c r="U783" s="66"/>
      <c r="V783" s="66"/>
      <c r="W783" s="66"/>
      <c r="X783" s="66"/>
      <c r="Y783" s="66"/>
      <c r="Z783" s="66"/>
    </row>
    <row r="784" spans="1:26" ht="21" x14ac:dyDescent="0.65">
      <c r="A784" s="66"/>
      <c r="B784" s="66"/>
      <c r="C784" s="66"/>
      <c r="D784" s="66"/>
      <c r="E784" s="66"/>
      <c r="F784" s="66"/>
      <c r="G784" s="66"/>
      <c r="H784" s="66"/>
      <c r="I784" s="66"/>
      <c r="J784" s="66"/>
      <c r="K784" s="66"/>
      <c r="L784" s="66"/>
      <c r="M784" s="66"/>
      <c r="N784" s="66"/>
      <c r="O784" s="66"/>
      <c r="P784" s="66"/>
      <c r="Q784" s="66"/>
      <c r="R784" s="66"/>
      <c r="S784" s="66"/>
      <c r="T784" s="66"/>
      <c r="U784" s="66"/>
      <c r="V784" s="66"/>
      <c r="W784" s="66"/>
      <c r="X784" s="66"/>
      <c r="Y784" s="66"/>
      <c r="Z784" s="66"/>
    </row>
    <row r="785" spans="1:26" ht="21" x14ac:dyDescent="0.65">
      <c r="A785" s="66"/>
      <c r="B785" s="66"/>
      <c r="C785" s="66"/>
      <c r="D785" s="66"/>
      <c r="E785" s="66"/>
      <c r="F785" s="66"/>
      <c r="G785" s="66"/>
      <c r="H785" s="66"/>
      <c r="I785" s="66"/>
      <c r="J785" s="66"/>
      <c r="K785" s="66"/>
      <c r="L785" s="66"/>
      <c r="M785" s="66"/>
      <c r="N785" s="66"/>
      <c r="O785" s="66"/>
      <c r="P785" s="66"/>
      <c r="Q785" s="66"/>
      <c r="R785" s="66"/>
      <c r="S785" s="66"/>
      <c r="T785" s="66"/>
      <c r="U785" s="66"/>
      <c r="V785" s="66"/>
      <c r="W785" s="66"/>
      <c r="X785" s="66"/>
      <c r="Y785" s="66"/>
      <c r="Z785" s="66"/>
    </row>
    <row r="786" spans="1:26" ht="21" x14ac:dyDescent="0.65">
      <c r="A786" s="66"/>
      <c r="B786" s="66"/>
      <c r="C786" s="66"/>
      <c r="D786" s="66"/>
      <c r="E786" s="66"/>
      <c r="F786" s="66"/>
      <c r="G786" s="66"/>
      <c r="H786" s="66"/>
      <c r="I786" s="66"/>
      <c r="J786" s="66"/>
      <c r="K786" s="66"/>
      <c r="L786" s="66"/>
      <c r="M786" s="66"/>
      <c r="N786" s="66"/>
      <c r="O786" s="66"/>
      <c r="P786" s="66"/>
      <c r="Q786" s="66"/>
      <c r="R786" s="66"/>
      <c r="S786" s="66"/>
      <c r="T786" s="66"/>
      <c r="U786" s="66"/>
      <c r="V786" s="66"/>
      <c r="W786" s="66"/>
      <c r="X786" s="66"/>
      <c r="Y786" s="66"/>
      <c r="Z786" s="66"/>
    </row>
    <row r="787" spans="1:26" ht="21" x14ac:dyDescent="0.65">
      <c r="A787" s="66"/>
      <c r="B787" s="66"/>
      <c r="C787" s="66"/>
      <c r="D787" s="66"/>
      <c r="E787" s="66"/>
      <c r="F787" s="66"/>
      <c r="G787" s="66"/>
      <c r="H787" s="66"/>
      <c r="I787" s="66"/>
      <c r="J787" s="66"/>
      <c r="K787" s="66"/>
      <c r="L787" s="66"/>
      <c r="M787" s="66"/>
      <c r="N787" s="66"/>
      <c r="O787" s="66"/>
      <c r="P787" s="66"/>
      <c r="Q787" s="66"/>
      <c r="R787" s="66"/>
      <c r="S787" s="66"/>
      <c r="T787" s="66"/>
      <c r="U787" s="66"/>
      <c r="V787" s="66"/>
      <c r="W787" s="66"/>
      <c r="X787" s="66"/>
      <c r="Y787" s="66"/>
      <c r="Z787" s="66"/>
    </row>
    <row r="788" spans="1:26" ht="21" x14ac:dyDescent="0.65">
      <c r="A788" s="66"/>
      <c r="B788" s="66"/>
      <c r="C788" s="66"/>
      <c r="D788" s="66"/>
      <c r="E788" s="66"/>
      <c r="F788" s="66"/>
      <c r="G788" s="66"/>
      <c r="H788" s="66"/>
      <c r="I788" s="66"/>
      <c r="J788" s="66"/>
      <c r="K788" s="66"/>
      <c r="L788" s="66"/>
      <c r="M788" s="66"/>
      <c r="N788" s="66"/>
      <c r="O788" s="66"/>
      <c r="P788" s="66"/>
      <c r="Q788" s="66"/>
      <c r="R788" s="66"/>
      <c r="S788" s="66"/>
      <c r="T788" s="66"/>
      <c r="U788" s="66"/>
      <c r="V788" s="66"/>
      <c r="W788" s="66"/>
      <c r="X788" s="66"/>
      <c r="Y788" s="66"/>
      <c r="Z788" s="66"/>
    </row>
    <row r="789" spans="1:26" ht="21" x14ac:dyDescent="0.65">
      <c r="A789" s="66"/>
      <c r="B789" s="66"/>
      <c r="C789" s="66"/>
      <c r="D789" s="66"/>
      <c r="E789" s="66"/>
      <c r="F789" s="66"/>
      <c r="G789" s="66"/>
      <c r="H789" s="66"/>
      <c r="I789" s="66"/>
      <c r="J789" s="66"/>
      <c r="K789" s="66"/>
      <c r="L789" s="66"/>
      <c r="M789" s="66"/>
      <c r="N789" s="66"/>
      <c r="O789" s="66"/>
      <c r="P789" s="66"/>
      <c r="Q789" s="66"/>
      <c r="R789" s="66"/>
      <c r="S789" s="66"/>
      <c r="T789" s="66"/>
      <c r="U789" s="66"/>
      <c r="V789" s="66"/>
      <c r="W789" s="66"/>
      <c r="X789" s="66"/>
      <c r="Y789" s="66"/>
      <c r="Z789" s="66"/>
    </row>
    <row r="790" spans="1:26" ht="21" x14ac:dyDescent="0.65">
      <c r="A790" s="66"/>
      <c r="B790" s="66"/>
      <c r="C790" s="66"/>
      <c r="D790" s="66"/>
      <c r="E790" s="66"/>
      <c r="F790" s="66"/>
      <c r="G790" s="66"/>
      <c r="H790" s="66"/>
      <c r="I790" s="66"/>
      <c r="J790" s="66"/>
      <c r="K790" s="66"/>
      <c r="L790" s="66"/>
      <c r="M790" s="66"/>
      <c r="N790" s="66"/>
      <c r="O790" s="66"/>
      <c r="P790" s="66"/>
      <c r="Q790" s="66"/>
      <c r="R790" s="66"/>
      <c r="S790" s="66"/>
      <c r="T790" s="66"/>
      <c r="U790" s="66"/>
      <c r="V790" s="66"/>
      <c r="W790" s="66"/>
      <c r="X790" s="66"/>
      <c r="Y790" s="66"/>
      <c r="Z790" s="66"/>
    </row>
    <row r="791" spans="1:26" ht="21" x14ac:dyDescent="0.65">
      <c r="A791" s="66"/>
      <c r="B791" s="66"/>
      <c r="C791" s="66"/>
      <c r="D791" s="66"/>
      <c r="E791" s="66"/>
      <c r="F791" s="66"/>
      <c r="G791" s="66"/>
      <c r="H791" s="66"/>
      <c r="I791" s="66"/>
      <c r="J791" s="66"/>
      <c r="K791" s="66"/>
      <c r="L791" s="66"/>
      <c r="M791" s="66"/>
      <c r="N791" s="66"/>
      <c r="O791" s="66"/>
      <c r="P791" s="66"/>
      <c r="Q791" s="66"/>
      <c r="R791" s="66"/>
      <c r="S791" s="66"/>
      <c r="T791" s="66"/>
      <c r="U791" s="66"/>
      <c r="V791" s="66"/>
      <c r="W791" s="66"/>
      <c r="X791" s="66"/>
      <c r="Y791" s="66"/>
      <c r="Z791" s="66"/>
    </row>
    <row r="792" spans="1:26" ht="21" x14ac:dyDescent="0.65">
      <c r="A792" s="66"/>
      <c r="B792" s="66"/>
      <c r="C792" s="66"/>
      <c r="D792" s="66"/>
      <c r="E792" s="66"/>
      <c r="F792" s="66"/>
      <c r="G792" s="66"/>
      <c r="H792" s="66"/>
      <c r="I792" s="66"/>
      <c r="J792" s="66"/>
      <c r="K792" s="66"/>
      <c r="L792" s="66"/>
      <c r="M792" s="66"/>
      <c r="N792" s="66"/>
      <c r="O792" s="66"/>
      <c r="P792" s="66"/>
      <c r="Q792" s="66"/>
      <c r="R792" s="66"/>
      <c r="S792" s="66"/>
      <c r="T792" s="66"/>
      <c r="U792" s="66"/>
      <c r="V792" s="66"/>
      <c r="W792" s="66"/>
      <c r="X792" s="66"/>
      <c r="Y792" s="66"/>
      <c r="Z792" s="66"/>
    </row>
    <row r="793" spans="1:26" ht="21" x14ac:dyDescent="0.65">
      <c r="A793" s="66"/>
      <c r="B793" s="66"/>
      <c r="C793" s="66"/>
      <c r="D793" s="66"/>
      <c r="E793" s="66"/>
      <c r="F793" s="66"/>
      <c r="G793" s="66"/>
      <c r="H793" s="66"/>
      <c r="I793" s="66"/>
      <c r="J793" s="66"/>
      <c r="K793" s="66"/>
      <c r="L793" s="66"/>
      <c r="M793" s="66"/>
      <c r="N793" s="66"/>
      <c r="O793" s="66"/>
      <c r="P793" s="66"/>
      <c r="Q793" s="66"/>
      <c r="R793" s="66"/>
      <c r="S793" s="66"/>
      <c r="T793" s="66"/>
      <c r="U793" s="66"/>
      <c r="V793" s="66"/>
      <c r="W793" s="66"/>
      <c r="X793" s="66"/>
      <c r="Y793" s="66"/>
      <c r="Z793" s="66"/>
    </row>
    <row r="794" spans="1:26" ht="21" x14ac:dyDescent="0.65">
      <c r="A794" s="66"/>
      <c r="B794" s="66"/>
      <c r="C794" s="66"/>
      <c r="D794" s="66"/>
      <c r="E794" s="66"/>
      <c r="F794" s="66"/>
      <c r="G794" s="66"/>
      <c r="H794" s="66"/>
      <c r="I794" s="66"/>
      <c r="J794" s="66"/>
      <c r="K794" s="66"/>
      <c r="L794" s="66"/>
      <c r="M794" s="66"/>
      <c r="N794" s="66"/>
      <c r="O794" s="66"/>
      <c r="P794" s="66"/>
      <c r="Q794" s="66"/>
      <c r="R794" s="66"/>
      <c r="S794" s="66"/>
      <c r="T794" s="66"/>
      <c r="U794" s="66"/>
      <c r="V794" s="66"/>
      <c r="W794" s="66"/>
      <c r="X794" s="66"/>
      <c r="Y794" s="66"/>
      <c r="Z794" s="66"/>
    </row>
    <row r="795" spans="1:26" ht="21" x14ac:dyDescent="0.65">
      <c r="A795" s="66"/>
      <c r="B795" s="66"/>
      <c r="C795" s="66"/>
      <c r="D795" s="66"/>
      <c r="E795" s="66"/>
      <c r="F795" s="66"/>
      <c r="G795" s="66"/>
      <c r="H795" s="66"/>
      <c r="I795" s="66"/>
      <c r="J795" s="66"/>
      <c r="K795" s="66"/>
      <c r="L795" s="66"/>
      <c r="M795" s="66"/>
      <c r="N795" s="66"/>
      <c r="O795" s="66"/>
      <c r="P795" s="66"/>
      <c r="Q795" s="66"/>
      <c r="R795" s="66"/>
      <c r="S795" s="66"/>
      <c r="T795" s="66"/>
      <c r="U795" s="66"/>
      <c r="V795" s="66"/>
      <c r="W795" s="66"/>
      <c r="X795" s="66"/>
      <c r="Y795" s="66"/>
      <c r="Z795" s="66"/>
    </row>
    <row r="796" spans="1:26" ht="21" x14ac:dyDescent="0.65">
      <c r="A796" s="66"/>
      <c r="B796" s="66"/>
      <c r="C796" s="66"/>
      <c r="D796" s="66"/>
      <c r="E796" s="66"/>
      <c r="F796" s="66"/>
      <c r="G796" s="66"/>
      <c r="H796" s="66"/>
      <c r="I796" s="66"/>
      <c r="J796" s="66"/>
      <c r="K796" s="66"/>
      <c r="L796" s="66"/>
      <c r="M796" s="66"/>
      <c r="N796" s="66"/>
      <c r="O796" s="66"/>
      <c r="P796" s="66"/>
      <c r="Q796" s="66"/>
      <c r="R796" s="66"/>
      <c r="S796" s="66"/>
      <c r="T796" s="66"/>
      <c r="U796" s="66"/>
      <c r="V796" s="66"/>
      <c r="W796" s="66"/>
      <c r="X796" s="66"/>
      <c r="Y796" s="66"/>
      <c r="Z796" s="66"/>
    </row>
    <row r="797" spans="1:26" ht="21" x14ac:dyDescent="0.65">
      <c r="A797" s="66"/>
      <c r="B797" s="66"/>
      <c r="C797" s="66"/>
      <c r="D797" s="66"/>
      <c r="E797" s="66"/>
      <c r="F797" s="66"/>
      <c r="G797" s="66"/>
      <c r="H797" s="66"/>
      <c r="I797" s="66"/>
      <c r="J797" s="66"/>
      <c r="K797" s="66"/>
      <c r="L797" s="66"/>
      <c r="M797" s="66"/>
      <c r="N797" s="66"/>
      <c r="O797" s="66"/>
      <c r="P797" s="66"/>
      <c r="Q797" s="66"/>
      <c r="R797" s="66"/>
      <c r="S797" s="66"/>
      <c r="T797" s="66"/>
      <c r="U797" s="66"/>
      <c r="V797" s="66"/>
      <c r="W797" s="66"/>
      <c r="X797" s="66"/>
      <c r="Y797" s="66"/>
      <c r="Z797" s="66"/>
    </row>
    <row r="798" spans="1:26" ht="21" x14ac:dyDescent="0.65">
      <c r="A798" s="66"/>
      <c r="B798" s="66"/>
      <c r="C798" s="66"/>
      <c r="D798" s="66"/>
      <c r="E798" s="66"/>
      <c r="F798" s="66"/>
      <c r="G798" s="66"/>
      <c r="H798" s="66"/>
      <c r="I798" s="66"/>
      <c r="J798" s="66"/>
      <c r="K798" s="66"/>
      <c r="L798" s="66"/>
      <c r="M798" s="66"/>
      <c r="N798" s="66"/>
      <c r="O798" s="66"/>
      <c r="P798" s="66"/>
      <c r="Q798" s="66"/>
      <c r="R798" s="66"/>
      <c r="S798" s="66"/>
      <c r="T798" s="66"/>
      <c r="U798" s="66"/>
      <c r="V798" s="66"/>
      <c r="W798" s="66"/>
      <c r="X798" s="66"/>
      <c r="Y798" s="66"/>
      <c r="Z798" s="66"/>
    </row>
    <row r="799" spans="1:26" ht="21" x14ac:dyDescent="0.65">
      <c r="A799" s="66"/>
      <c r="B799" s="66"/>
      <c r="C799" s="66"/>
      <c r="D799" s="66"/>
      <c r="E799" s="66"/>
      <c r="F799" s="66"/>
      <c r="G799" s="66"/>
      <c r="H799" s="66"/>
      <c r="I799" s="66"/>
      <c r="J799" s="66"/>
      <c r="K799" s="66"/>
      <c r="L799" s="66"/>
      <c r="M799" s="66"/>
      <c r="N799" s="66"/>
      <c r="O799" s="66"/>
      <c r="P799" s="66"/>
      <c r="Q799" s="66"/>
      <c r="R799" s="66"/>
      <c r="S799" s="66"/>
      <c r="T799" s="66"/>
      <c r="U799" s="66"/>
      <c r="V799" s="66"/>
      <c r="W799" s="66"/>
      <c r="X799" s="66"/>
      <c r="Y799" s="66"/>
      <c r="Z799" s="66"/>
    </row>
    <row r="800" spans="1:26" ht="21" x14ac:dyDescent="0.65">
      <c r="A800" s="66"/>
      <c r="B800" s="66"/>
      <c r="C800" s="66"/>
      <c r="D800" s="66"/>
      <c r="E800" s="66"/>
      <c r="F800" s="66"/>
      <c r="G800" s="66"/>
      <c r="H800" s="66"/>
      <c r="I800" s="66"/>
      <c r="J800" s="66"/>
      <c r="K800" s="66"/>
      <c r="L800" s="66"/>
      <c r="M800" s="66"/>
      <c r="N800" s="66"/>
      <c r="O800" s="66"/>
      <c r="P800" s="66"/>
      <c r="Q800" s="66"/>
      <c r="R800" s="66"/>
      <c r="S800" s="66"/>
      <c r="T800" s="66"/>
      <c r="U800" s="66"/>
      <c r="V800" s="66"/>
      <c r="W800" s="66"/>
      <c r="X800" s="66"/>
      <c r="Y800" s="66"/>
      <c r="Z800" s="66"/>
    </row>
    <row r="801" spans="1:26" ht="21" x14ac:dyDescent="0.65">
      <c r="A801" s="66"/>
      <c r="B801" s="66"/>
      <c r="C801" s="66"/>
      <c r="D801" s="66"/>
      <c r="E801" s="66"/>
      <c r="F801" s="66"/>
      <c r="G801" s="66"/>
      <c r="H801" s="66"/>
      <c r="I801" s="66"/>
      <c r="J801" s="66"/>
      <c r="K801" s="66"/>
      <c r="L801" s="66"/>
      <c r="M801" s="66"/>
      <c r="N801" s="66"/>
      <c r="O801" s="66"/>
      <c r="P801" s="66"/>
      <c r="Q801" s="66"/>
      <c r="R801" s="66"/>
      <c r="S801" s="66"/>
      <c r="T801" s="66"/>
      <c r="U801" s="66"/>
      <c r="V801" s="66"/>
      <c r="W801" s="66"/>
      <c r="X801" s="66"/>
      <c r="Y801" s="66"/>
      <c r="Z801" s="66"/>
    </row>
    <row r="802" spans="1:26" ht="21" x14ac:dyDescent="0.65">
      <c r="A802" s="66"/>
      <c r="B802" s="66"/>
      <c r="C802" s="66"/>
      <c r="D802" s="66"/>
      <c r="E802" s="66"/>
      <c r="F802" s="66"/>
      <c r="G802" s="66"/>
      <c r="H802" s="66"/>
      <c r="I802" s="66"/>
      <c r="J802" s="66"/>
      <c r="K802" s="66"/>
      <c r="L802" s="66"/>
      <c r="M802" s="66"/>
      <c r="N802" s="66"/>
      <c r="O802" s="66"/>
      <c r="P802" s="66"/>
      <c r="Q802" s="66"/>
      <c r="R802" s="66"/>
      <c r="S802" s="66"/>
      <c r="T802" s="66"/>
      <c r="U802" s="66"/>
      <c r="V802" s="66"/>
      <c r="W802" s="66"/>
      <c r="X802" s="66"/>
      <c r="Y802" s="66"/>
      <c r="Z802" s="66"/>
    </row>
    <row r="803" spans="1:26" ht="21" x14ac:dyDescent="0.65">
      <c r="A803" s="66"/>
      <c r="B803" s="66"/>
      <c r="C803" s="66"/>
      <c r="D803" s="66"/>
      <c r="E803" s="66"/>
      <c r="F803" s="66"/>
      <c r="G803" s="66"/>
      <c r="H803" s="66"/>
      <c r="I803" s="66"/>
      <c r="J803" s="66"/>
      <c r="K803" s="66"/>
      <c r="L803" s="66"/>
      <c r="M803" s="66"/>
      <c r="N803" s="66"/>
      <c r="O803" s="66"/>
      <c r="P803" s="66"/>
      <c r="Q803" s="66"/>
      <c r="R803" s="66"/>
      <c r="S803" s="66"/>
      <c r="T803" s="66"/>
      <c r="U803" s="66"/>
      <c r="V803" s="66"/>
      <c r="W803" s="66"/>
      <c r="X803" s="66"/>
      <c r="Y803" s="66"/>
      <c r="Z803" s="66"/>
    </row>
    <row r="804" spans="1:26" ht="21" x14ac:dyDescent="0.65">
      <c r="A804" s="66"/>
      <c r="B804" s="66"/>
      <c r="C804" s="66"/>
      <c r="D804" s="66"/>
      <c r="E804" s="66"/>
      <c r="F804" s="66"/>
      <c r="G804" s="66"/>
      <c r="H804" s="66"/>
      <c r="I804" s="66"/>
      <c r="J804" s="66"/>
      <c r="K804" s="66"/>
      <c r="L804" s="66"/>
      <c r="M804" s="66"/>
      <c r="N804" s="66"/>
      <c r="O804" s="66"/>
      <c r="P804" s="66"/>
      <c r="Q804" s="66"/>
      <c r="R804" s="66"/>
      <c r="S804" s="66"/>
      <c r="T804" s="66"/>
      <c r="U804" s="66"/>
      <c r="V804" s="66"/>
      <c r="W804" s="66"/>
      <c r="X804" s="66"/>
      <c r="Y804" s="66"/>
      <c r="Z804" s="66"/>
    </row>
    <row r="805" spans="1:26" ht="21" x14ac:dyDescent="0.65">
      <c r="A805" s="66"/>
      <c r="B805" s="66"/>
      <c r="C805" s="66"/>
      <c r="D805" s="66"/>
      <c r="E805" s="66"/>
      <c r="F805" s="66"/>
      <c r="G805" s="66"/>
      <c r="H805" s="66"/>
      <c r="I805" s="66"/>
      <c r="J805" s="66"/>
      <c r="K805" s="66"/>
      <c r="L805" s="66"/>
      <c r="M805" s="66"/>
      <c r="N805" s="66"/>
      <c r="O805" s="66"/>
      <c r="P805" s="66"/>
      <c r="Q805" s="66"/>
      <c r="R805" s="66"/>
      <c r="S805" s="66"/>
      <c r="T805" s="66"/>
      <c r="U805" s="66"/>
      <c r="V805" s="66"/>
      <c r="W805" s="66"/>
      <c r="X805" s="66"/>
      <c r="Y805" s="66"/>
      <c r="Z805" s="66"/>
    </row>
    <row r="806" spans="1:26" ht="21" x14ac:dyDescent="0.65">
      <c r="A806" s="66"/>
      <c r="B806" s="66"/>
      <c r="C806" s="66"/>
      <c r="D806" s="66"/>
      <c r="E806" s="66"/>
      <c r="F806" s="66"/>
      <c r="G806" s="66"/>
      <c r="H806" s="66"/>
      <c r="I806" s="66"/>
      <c r="J806" s="66"/>
      <c r="K806" s="66"/>
      <c r="L806" s="66"/>
      <c r="M806" s="66"/>
      <c r="N806" s="66"/>
      <c r="O806" s="66"/>
      <c r="P806" s="66"/>
      <c r="Q806" s="66"/>
      <c r="R806" s="66"/>
      <c r="S806" s="66"/>
      <c r="T806" s="66"/>
      <c r="U806" s="66"/>
      <c r="V806" s="66"/>
      <c r="W806" s="66"/>
      <c r="X806" s="66"/>
      <c r="Y806" s="66"/>
      <c r="Z806" s="66"/>
    </row>
    <row r="807" spans="1:26" ht="21" x14ac:dyDescent="0.65">
      <c r="A807" s="66"/>
      <c r="B807" s="66"/>
      <c r="C807" s="66"/>
      <c r="D807" s="66"/>
      <c r="E807" s="66"/>
      <c r="F807" s="66"/>
      <c r="G807" s="66"/>
      <c r="H807" s="66"/>
      <c r="I807" s="66"/>
      <c r="J807" s="66"/>
      <c r="K807" s="66"/>
      <c r="L807" s="66"/>
      <c r="M807" s="66"/>
      <c r="N807" s="66"/>
      <c r="O807" s="66"/>
      <c r="P807" s="66"/>
      <c r="Q807" s="66"/>
      <c r="R807" s="66"/>
      <c r="S807" s="66"/>
      <c r="T807" s="66"/>
      <c r="U807" s="66"/>
      <c r="V807" s="66"/>
      <c r="W807" s="66"/>
      <c r="X807" s="66"/>
      <c r="Y807" s="66"/>
      <c r="Z807" s="66"/>
    </row>
    <row r="808" spans="1:26" ht="21" x14ac:dyDescent="0.65">
      <c r="A808" s="66"/>
      <c r="B808" s="66"/>
      <c r="C808" s="66"/>
      <c r="D808" s="66"/>
      <c r="E808" s="66"/>
      <c r="F808" s="66"/>
      <c r="G808" s="66"/>
      <c r="H808" s="66"/>
      <c r="I808" s="66"/>
      <c r="J808" s="66"/>
      <c r="K808" s="66"/>
      <c r="L808" s="66"/>
      <c r="M808" s="66"/>
      <c r="N808" s="66"/>
      <c r="O808" s="66"/>
      <c r="P808" s="66"/>
      <c r="Q808" s="66"/>
      <c r="R808" s="66"/>
      <c r="S808" s="66"/>
      <c r="T808" s="66"/>
      <c r="U808" s="66"/>
      <c r="V808" s="66"/>
      <c r="W808" s="66"/>
      <c r="X808" s="66"/>
      <c r="Y808" s="66"/>
      <c r="Z808" s="66"/>
    </row>
    <row r="809" spans="1:26" ht="21" x14ac:dyDescent="0.65">
      <c r="A809" s="66"/>
      <c r="B809" s="66"/>
      <c r="C809" s="66"/>
      <c r="D809" s="66"/>
      <c r="E809" s="66"/>
      <c r="F809" s="66"/>
      <c r="G809" s="66"/>
      <c r="H809" s="66"/>
      <c r="I809" s="66"/>
      <c r="J809" s="66"/>
      <c r="K809" s="66"/>
      <c r="L809" s="66"/>
      <c r="M809" s="66"/>
      <c r="N809" s="66"/>
      <c r="O809" s="66"/>
      <c r="P809" s="66"/>
      <c r="Q809" s="66"/>
      <c r="R809" s="66"/>
      <c r="S809" s="66"/>
      <c r="T809" s="66"/>
      <c r="U809" s="66"/>
      <c r="V809" s="66"/>
      <c r="W809" s="66"/>
      <c r="X809" s="66"/>
      <c r="Y809" s="66"/>
      <c r="Z809" s="66"/>
    </row>
    <row r="810" spans="1:26" ht="21" x14ac:dyDescent="0.65">
      <c r="A810" s="66"/>
      <c r="B810" s="66"/>
      <c r="C810" s="66"/>
      <c r="D810" s="66"/>
      <c r="E810" s="66"/>
      <c r="F810" s="66"/>
      <c r="G810" s="66"/>
      <c r="H810" s="66"/>
      <c r="I810" s="66"/>
      <c r="J810" s="66"/>
      <c r="K810" s="66"/>
      <c r="L810" s="66"/>
      <c r="M810" s="66"/>
      <c r="N810" s="66"/>
      <c r="O810" s="66"/>
      <c r="P810" s="66"/>
      <c r="Q810" s="66"/>
      <c r="R810" s="66"/>
      <c r="S810" s="66"/>
      <c r="T810" s="66"/>
      <c r="U810" s="66"/>
      <c r="V810" s="66"/>
      <c r="W810" s="66"/>
      <c r="X810" s="66"/>
      <c r="Y810" s="66"/>
      <c r="Z810" s="66"/>
    </row>
    <row r="811" spans="1:26" ht="21" x14ac:dyDescent="0.65">
      <c r="A811" s="66"/>
      <c r="B811" s="66"/>
      <c r="C811" s="66"/>
      <c r="D811" s="66"/>
      <c r="E811" s="66"/>
      <c r="F811" s="66"/>
      <c r="G811" s="66"/>
      <c r="H811" s="66"/>
      <c r="I811" s="66"/>
      <c r="J811" s="66"/>
      <c r="K811" s="66"/>
      <c r="L811" s="66"/>
      <c r="M811" s="66"/>
      <c r="N811" s="66"/>
      <c r="O811" s="66"/>
      <c r="P811" s="66"/>
      <c r="Q811" s="66"/>
      <c r="R811" s="66"/>
      <c r="S811" s="66"/>
      <c r="T811" s="66"/>
      <c r="U811" s="66"/>
      <c r="V811" s="66"/>
      <c r="W811" s="66"/>
      <c r="X811" s="66"/>
      <c r="Y811" s="66"/>
      <c r="Z811" s="66"/>
    </row>
    <row r="812" spans="1:26" ht="21" x14ac:dyDescent="0.65">
      <c r="A812" s="66"/>
      <c r="B812" s="66"/>
      <c r="C812" s="66"/>
      <c r="D812" s="66"/>
      <c r="E812" s="66"/>
      <c r="F812" s="66"/>
      <c r="G812" s="66"/>
      <c r="H812" s="66"/>
      <c r="I812" s="66"/>
      <c r="J812" s="66"/>
      <c r="K812" s="66"/>
      <c r="L812" s="66"/>
      <c r="M812" s="66"/>
      <c r="N812" s="66"/>
      <c r="O812" s="66"/>
      <c r="P812" s="66"/>
      <c r="Q812" s="66"/>
      <c r="R812" s="66"/>
      <c r="S812" s="66"/>
      <c r="T812" s="66"/>
      <c r="U812" s="66"/>
      <c r="V812" s="66"/>
      <c r="W812" s="66"/>
      <c r="X812" s="66"/>
      <c r="Y812" s="66"/>
      <c r="Z812" s="66"/>
    </row>
    <row r="813" spans="1:26" ht="21" x14ac:dyDescent="0.65">
      <c r="A813" s="66"/>
      <c r="B813" s="66"/>
      <c r="C813" s="66"/>
      <c r="D813" s="66"/>
      <c r="E813" s="66"/>
      <c r="F813" s="66"/>
      <c r="G813" s="66"/>
      <c r="H813" s="66"/>
      <c r="I813" s="66"/>
      <c r="J813" s="66"/>
      <c r="K813" s="66"/>
      <c r="L813" s="66"/>
      <c r="M813" s="66"/>
      <c r="N813" s="66"/>
      <c r="O813" s="66"/>
      <c r="P813" s="66"/>
      <c r="Q813" s="66"/>
      <c r="R813" s="66"/>
      <c r="S813" s="66"/>
      <c r="T813" s="66"/>
      <c r="U813" s="66"/>
      <c r="V813" s="66"/>
      <c r="W813" s="66"/>
      <c r="X813" s="66"/>
      <c r="Y813" s="66"/>
      <c r="Z813" s="66"/>
    </row>
    <row r="814" spans="1:26" ht="21" x14ac:dyDescent="0.65">
      <c r="A814" s="66"/>
      <c r="B814" s="66"/>
      <c r="C814" s="66"/>
      <c r="D814" s="66"/>
      <c r="E814" s="66"/>
      <c r="F814" s="66"/>
      <c r="G814" s="66"/>
      <c r="H814" s="66"/>
      <c r="I814" s="66"/>
      <c r="J814" s="66"/>
      <c r="K814" s="66"/>
      <c r="L814" s="66"/>
      <c r="M814" s="66"/>
      <c r="N814" s="66"/>
      <c r="O814" s="66"/>
      <c r="P814" s="66"/>
      <c r="Q814" s="66"/>
      <c r="R814" s="66"/>
      <c r="S814" s="66"/>
      <c r="T814" s="66"/>
      <c r="U814" s="66"/>
      <c r="V814" s="66"/>
      <c r="W814" s="66"/>
      <c r="X814" s="66"/>
      <c r="Y814" s="66"/>
      <c r="Z814" s="66"/>
    </row>
    <row r="815" spans="1:26" ht="21" x14ac:dyDescent="0.65">
      <c r="A815" s="66"/>
      <c r="B815" s="66"/>
      <c r="C815" s="66"/>
      <c r="D815" s="66"/>
      <c r="E815" s="66"/>
      <c r="F815" s="66"/>
      <c r="G815" s="66"/>
      <c r="H815" s="66"/>
      <c r="I815" s="66"/>
      <c r="J815" s="66"/>
      <c r="K815" s="66"/>
      <c r="L815" s="66"/>
      <c r="M815" s="66"/>
      <c r="N815" s="66"/>
      <c r="O815" s="66"/>
      <c r="P815" s="66"/>
      <c r="Q815" s="66"/>
      <c r="R815" s="66"/>
      <c r="S815" s="66"/>
      <c r="T815" s="66"/>
      <c r="U815" s="66"/>
      <c r="V815" s="66"/>
      <c r="W815" s="66"/>
      <c r="X815" s="66"/>
      <c r="Y815" s="66"/>
      <c r="Z815" s="66"/>
    </row>
    <row r="816" spans="1:26" ht="21" x14ac:dyDescent="0.65">
      <c r="A816" s="66"/>
      <c r="B816" s="66"/>
      <c r="C816" s="66"/>
      <c r="D816" s="66"/>
      <c r="E816" s="66"/>
      <c r="F816" s="66"/>
      <c r="G816" s="66"/>
      <c r="H816" s="66"/>
      <c r="I816" s="66"/>
      <c r="J816" s="66"/>
      <c r="K816" s="66"/>
      <c r="L816" s="66"/>
      <c r="M816" s="66"/>
      <c r="N816" s="66"/>
      <c r="O816" s="66"/>
      <c r="P816" s="66"/>
      <c r="Q816" s="66"/>
      <c r="R816" s="66"/>
      <c r="S816" s="66"/>
      <c r="T816" s="66"/>
      <c r="U816" s="66"/>
      <c r="V816" s="66"/>
      <c r="W816" s="66"/>
      <c r="X816" s="66"/>
      <c r="Y816" s="66"/>
      <c r="Z816" s="66"/>
    </row>
    <row r="817" spans="1:26" ht="21" x14ac:dyDescent="0.65">
      <c r="A817" s="66"/>
      <c r="B817" s="66"/>
      <c r="C817" s="66"/>
      <c r="D817" s="66"/>
      <c r="E817" s="66"/>
      <c r="F817" s="66"/>
      <c r="G817" s="66"/>
      <c r="H817" s="66"/>
      <c r="I817" s="66"/>
      <c r="J817" s="66"/>
      <c r="K817" s="66"/>
      <c r="L817" s="66"/>
      <c r="M817" s="66"/>
      <c r="N817" s="66"/>
      <c r="O817" s="66"/>
      <c r="P817" s="66"/>
      <c r="Q817" s="66"/>
      <c r="R817" s="66"/>
      <c r="S817" s="66"/>
      <c r="T817" s="66"/>
      <c r="U817" s="66"/>
      <c r="V817" s="66"/>
      <c r="W817" s="66"/>
      <c r="X817" s="66"/>
      <c r="Y817" s="66"/>
      <c r="Z817" s="66"/>
    </row>
    <row r="818" spans="1:26" ht="21" x14ac:dyDescent="0.65">
      <c r="A818" s="66"/>
      <c r="B818" s="66"/>
      <c r="C818" s="66"/>
      <c r="D818" s="66"/>
      <c r="E818" s="66"/>
      <c r="F818" s="66"/>
      <c r="G818" s="66"/>
      <c r="H818" s="66"/>
      <c r="I818" s="66"/>
      <c r="J818" s="66"/>
      <c r="K818" s="66"/>
      <c r="L818" s="66"/>
      <c r="M818" s="66"/>
      <c r="N818" s="66"/>
      <c r="O818" s="66"/>
      <c r="P818" s="66"/>
      <c r="Q818" s="66"/>
      <c r="R818" s="66"/>
      <c r="S818" s="66"/>
      <c r="T818" s="66"/>
      <c r="U818" s="66"/>
      <c r="V818" s="66"/>
      <c r="W818" s="66"/>
      <c r="X818" s="66"/>
      <c r="Y818" s="66"/>
      <c r="Z818" s="66"/>
    </row>
    <row r="819" spans="1:26" ht="21" x14ac:dyDescent="0.65">
      <c r="A819" s="66"/>
      <c r="B819" s="66"/>
      <c r="C819" s="66"/>
      <c r="D819" s="66"/>
      <c r="E819" s="66"/>
      <c r="F819" s="66"/>
      <c r="G819" s="66"/>
      <c r="H819" s="66"/>
      <c r="I819" s="66"/>
      <c r="J819" s="66"/>
      <c r="K819" s="66"/>
      <c r="L819" s="66"/>
      <c r="M819" s="66"/>
      <c r="N819" s="66"/>
      <c r="O819" s="66"/>
      <c r="P819" s="66"/>
      <c r="Q819" s="66"/>
      <c r="R819" s="66"/>
      <c r="S819" s="66"/>
      <c r="T819" s="66"/>
      <c r="U819" s="66"/>
      <c r="V819" s="66"/>
      <c r="W819" s="66"/>
      <c r="X819" s="66"/>
      <c r="Y819" s="66"/>
      <c r="Z819" s="66"/>
    </row>
    <row r="820" spans="1:26" ht="21" x14ac:dyDescent="0.65">
      <c r="A820" s="66"/>
      <c r="B820" s="66"/>
      <c r="C820" s="66"/>
      <c r="D820" s="66"/>
      <c r="E820" s="66"/>
      <c r="F820" s="66"/>
      <c r="G820" s="66"/>
      <c r="H820" s="66"/>
      <c r="I820" s="66"/>
      <c r="J820" s="66"/>
      <c r="K820" s="66"/>
      <c r="L820" s="66"/>
      <c r="M820" s="66"/>
      <c r="N820" s="66"/>
      <c r="O820" s="66"/>
      <c r="P820" s="66"/>
      <c r="Q820" s="66"/>
      <c r="R820" s="66"/>
      <c r="S820" s="66"/>
      <c r="T820" s="66"/>
      <c r="U820" s="66"/>
      <c r="V820" s="66"/>
      <c r="W820" s="66"/>
      <c r="X820" s="66"/>
      <c r="Y820" s="66"/>
      <c r="Z820" s="66"/>
    </row>
    <row r="821" spans="1:26" ht="21" x14ac:dyDescent="0.65">
      <c r="A821" s="66"/>
      <c r="B821" s="66"/>
      <c r="C821" s="66"/>
      <c r="D821" s="66"/>
      <c r="E821" s="66"/>
      <c r="F821" s="66"/>
      <c r="G821" s="66"/>
      <c r="H821" s="66"/>
      <c r="I821" s="66"/>
      <c r="J821" s="66"/>
      <c r="K821" s="66"/>
      <c r="L821" s="66"/>
      <c r="M821" s="66"/>
      <c r="N821" s="66"/>
      <c r="O821" s="66"/>
      <c r="P821" s="66"/>
      <c r="Q821" s="66"/>
      <c r="R821" s="66"/>
      <c r="S821" s="66"/>
      <c r="T821" s="66"/>
      <c r="U821" s="66"/>
      <c r="V821" s="66"/>
      <c r="W821" s="66"/>
      <c r="X821" s="66"/>
      <c r="Y821" s="66"/>
      <c r="Z821" s="66"/>
    </row>
    <row r="822" spans="1:26" ht="21" x14ac:dyDescent="0.65">
      <c r="A822" s="66"/>
      <c r="B822" s="66"/>
      <c r="C822" s="66"/>
      <c r="D822" s="66"/>
      <c r="E822" s="66"/>
      <c r="F822" s="66"/>
      <c r="G822" s="66"/>
      <c r="H822" s="66"/>
      <c r="I822" s="66"/>
      <c r="J822" s="66"/>
      <c r="K822" s="66"/>
      <c r="L822" s="66"/>
      <c r="M822" s="66"/>
      <c r="N822" s="66"/>
      <c r="O822" s="66"/>
      <c r="P822" s="66"/>
      <c r="Q822" s="66"/>
      <c r="R822" s="66"/>
      <c r="S822" s="66"/>
      <c r="T822" s="66"/>
      <c r="U822" s="66"/>
      <c r="V822" s="66"/>
      <c r="W822" s="66"/>
      <c r="X822" s="66"/>
      <c r="Y822" s="66"/>
      <c r="Z822" s="66"/>
    </row>
    <row r="823" spans="1:26" ht="21" x14ac:dyDescent="0.65">
      <c r="A823" s="66"/>
      <c r="B823" s="66"/>
      <c r="C823" s="66"/>
      <c r="D823" s="66"/>
      <c r="E823" s="66"/>
      <c r="F823" s="66"/>
      <c r="G823" s="66"/>
      <c r="H823" s="66"/>
      <c r="I823" s="66"/>
      <c r="J823" s="66"/>
      <c r="K823" s="66"/>
      <c r="L823" s="66"/>
      <c r="M823" s="66"/>
      <c r="N823" s="66"/>
      <c r="O823" s="66"/>
      <c r="P823" s="66"/>
      <c r="Q823" s="66"/>
      <c r="R823" s="66"/>
      <c r="S823" s="66"/>
      <c r="T823" s="66"/>
      <c r="U823" s="66"/>
      <c r="V823" s="66"/>
      <c r="W823" s="66"/>
      <c r="X823" s="66"/>
      <c r="Y823" s="66"/>
      <c r="Z823" s="66"/>
    </row>
    <row r="824" spans="1:26" ht="21" x14ac:dyDescent="0.65">
      <c r="A824" s="66"/>
      <c r="B824" s="66"/>
      <c r="C824" s="66"/>
      <c r="D824" s="66"/>
      <c r="E824" s="66"/>
      <c r="F824" s="66"/>
      <c r="G824" s="66"/>
      <c r="H824" s="66"/>
      <c r="I824" s="66"/>
      <c r="J824" s="66"/>
      <c r="K824" s="66"/>
      <c r="L824" s="66"/>
      <c r="M824" s="66"/>
      <c r="N824" s="66"/>
      <c r="O824" s="66"/>
      <c r="P824" s="66"/>
      <c r="Q824" s="66"/>
      <c r="R824" s="66"/>
      <c r="S824" s="66"/>
      <c r="T824" s="66"/>
      <c r="U824" s="66"/>
      <c r="V824" s="66"/>
      <c r="W824" s="66"/>
      <c r="X824" s="66"/>
      <c r="Y824" s="66"/>
      <c r="Z824" s="66"/>
    </row>
    <row r="825" spans="1:26" ht="21" x14ac:dyDescent="0.65">
      <c r="A825" s="66"/>
      <c r="B825" s="66"/>
      <c r="C825" s="66"/>
      <c r="D825" s="66"/>
      <c r="E825" s="66"/>
      <c r="F825" s="66"/>
      <c r="G825" s="66"/>
      <c r="H825" s="66"/>
      <c r="I825" s="66"/>
      <c r="J825" s="66"/>
      <c r="K825" s="66"/>
      <c r="L825" s="66"/>
      <c r="M825" s="66"/>
      <c r="N825" s="66"/>
      <c r="O825" s="66"/>
      <c r="P825" s="66"/>
      <c r="Q825" s="66"/>
      <c r="R825" s="66"/>
      <c r="S825" s="66"/>
      <c r="T825" s="66"/>
      <c r="U825" s="66"/>
      <c r="V825" s="66"/>
      <c r="W825" s="66"/>
      <c r="X825" s="66"/>
      <c r="Y825" s="66"/>
      <c r="Z825" s="66"/>
    </row>
    <row r="826" spans="1:26" ht="21" x14ac:dyDescent="0.65">
      <c r="A826" s="66"/>
      <c r="B826" s="66"/>
      <c r="C826" s="66"/>
      <c r="D826" s="66"/>
      <c r="E826" s="66"/>
      <c r="F826" s="66"/>
      <c r="G826" s="66"/>
      <c r="H826" s="66"/>
      <c r="I826" s="66"/>
      <c r="J826" s="66"/>
      <c r="K826" s="66"/>
      <c r="L826" s="66"/>
      <c r="M826" s="66"/>
      <c r="N826" s="66"/>
      <c r="O826" s="66"/>
      <c r="P826" s="66"/>
      <c r="Q826" s="66"/>
      <c r="R826" s="66"/>
      <c r="S826" s="66"/>
      <c r="T826" s="66"/>
      <c r="U826" s="66"/>
      <c r="V826" s="66"/>
      <c r="W826" s="66"/>
      <c r="X826" s="66"/>
      <c r="Y826" s="66"/>
      <c r="Z826" s="66"/>
    </row>
    <row r="827" spans="1:26" ht="21" x14ac:dyDescent="0.65">
      <c r="A827" s="66"/>
      <c r="B827" s="66"/>
      <c r="C827" s="66"/>
      <c r="D827" s="66"/>
      <c r="E827" s="66"/>
      <c r="F827" s="66"/>
      <c r="G827" s="66"/>
      <c r="H827" s="66"/>
      <c r="I827" s="66"/>
      <c r="J827" s="66"/>
      <c r="K827" s="66"/>
      <c r="L827" s="66"/>
      <c r="M827" s="66"/>
      <c r="N827" s="66"/>
      <c r="O827" s="66"/>
      <c r="P827" s="66"/>
      <c r="Q827" s="66"/>
      <c r="R827" s="66"/>
      <c r="S827" s="66"/>
      <c r="T827" s="66"/>
      <c r="U827" s="66"/>
      <c r="V827" s="66"/>
      <c r="W827" s="66"/>
      <c r="X827" s="66"/>
      <c r="Y827" s="66"/>
      <c r="Z827" s="66"/>
    </row>
    <row r="828" spans="1:26" ht="21" x14ac:dyDescent="0.65">
      <c r="A828" s="66"/>
      <c r="B828" s="66"/>
      <c r="C828" s="66"/>
      <c r="D828" s="66"/>
      <c r="E828" s="66"/>
      <c r="F828" s="66"/>
      <c r="G828" s="66"/>
      <c r="H828" s="66"/>
      <c r="I828" s="66"/>
      <c r="J828" s="66"/>
      <c r="K828" s="66"/>
      <c r="L828" s="66"/>
      <c r="M828" s="66"/>
      <c r="N828" s="66"/>
      <c r="O828" s="66"/>
      <c r="P828" s="66"/>
      <c r="Q828" s="66"/>
      <c r="R828" s="66"/>
      <c r="S828" s="66"/>
      <c r="T828" s="66"/>
      <c r="U828" s="66"/>
      <c r="V828" s="66"/>
      <c r="W828" s="66"/>
      <c r="X828" s="66"/>
      <c r="Y828" s="66"/>
      <c r="Z828" s="66"/>
    </row>
    <row r="829" spans="1:26" ht="21" x14ac:dyDescent="0.65">
      <c r="A829" s="66"/>
      <c r="B829" s="66"/>
      <c r="C829" s="66"/>
      <c r="D829" s="66"/>
      <c r="E829" s="66"/>
      <c r="F829" s="66"/>
      <c r="G829" s="66"/>
      <c r="H829" s="66"/>
      <c r="I829" s="66"/>
      <c r="J829" s="66"/>
      <c r="K829" s="66"/>
      <c r="L829" s="66"/>
      <c r="M829" s="66"/>
      <c r="N829" s="66"/>
      <c r="O829" s="66"/>
      <c r="P829" s="66"/>
      <c r="Q829" s="66"/>
      <c r="R829" s="66"/>
      <c r="S829" s="66"/>
      <c r="T829" s="66"/>
      <c r="U829" s="66"/>
      <c r="V829" s="66"/>
      <c r="W829" s="66"/>
      <c r="X829" s="66"/>
      <c r="Y829" s="66"/>
      <c r="Z829" s="66"/>
    </row>
    <row r="830" spans="1:26" ht="21" x14ac:dyDescent="0.65">
      <c r="A830" s="66"/>
      <c r="B830" s="66"/>
      <c r="C830" s="66"/>
      <c r="D830" s="66"/>
      <c r="E830" s="66"/>
      <c r="F830" s="66"/>
      <c r="G830" s="66"/>
      <c r="H830" s="66"/>
      <c r="I830" s="66"/>
      <c r="J830" s="66"/>
      <c r="K830" s="66"/>
      <c r="L830" s="66"/>
      <c r="M830" s="66"/>
      <c r="N830" s="66"/>
      <c r="O830" s="66"/>
      <c r="P830" s="66"/>
      <c r="Q830" s="66"/>
      <c r="R830" s="66"/>
      <c r="S830" s="66"/>
      <c r="T830" s="66"/>
      <c r="U830" s="66"/>
      <c r="V830" s="66"/>
      <c r="W830" s="66"/>
      <c r="X830" s="66"/>
      <c r="Y830" s="66"/>
      <c r="Z830" s="66"/>
    </row>
    <row r="831" spans="1:26" ht="21" x14ac:dyDescent="0.65">
      <c r="A831" s="66"/>
      <c r="B831" s="66"/>
      <c r="C831" s="66"/>
      <c r="D831" s="66"/>
      <c r="E831" s="66"/>
      <c r="F831" s="66"/>
      <c r="G831" s="66"/>
      <c r="H831" s="66"/>
      <c r="I831" s="66"/>
      <c r="J831" s="66"/>
      <c r="K831" s="66"/>
      <c r="L831" s="66"/>
      <c r="M831" s="66"/>
      <c r="N831" s="66"/>
      <c r="O831" s="66"/>
      <c r="P831" s="66"/>
      <c r="Q831" s="66"/>
      <c r="R831" s="66"/>
      <c r="S831" s="66"/>
      <c r="T831" s="66"/>
      <c r="U831" s="66"/>
      <c r="V831" s="66"/>
      <c r="W831" s="66"/>
      <c r="X831" s="66"/>
      <c r="Y831" s="66"/>
      <c r="Z831" s="66"/>
    </row>
    <row r="832" spans="1:26" ht="21" x14ac:dyDescent="0.65">
      <c r="A832" s="66"/>
      <c r="B832" s="66"/>
      <c r="C832" s="66"/>
      <c r="D832" s="66"/>
      <c r="E832" s="66"/>
      <c r="F832" s="66"/>
      <c r="G832" s="66"/>
      <c r="H832" s="66"/>
      <c r="I832" s="66"/>
      <c r="J832" s="66"/>
      <c r="K832" s="66"/>
      <c r="L832" s="66"/>
      <c r="M832" s="66"/>
      <c r="N832" s="66"/>
      <c r="O832" s="66"/>
      <c r="P832" s="66"/>
      <c r="Q832" s="66"/>
      <c r="R832" s="66"/>
      <c r="S832" s="66"/>
      <c r="T832" s="66"/>
      <c r="U832" s="66"/>
      <c r="V832" s="66"/>
      <c r="W832" s="66"/>
      <c r="X832" s="66"/>
      <c r="Y832" s="66"/>
      <c r="Z832" s="66"/>
    </row>
    <row r="833" spans="1:26" ht="21" x14ac:dyDescent="0.65">
      <c r="A833" s="66"/>
      <c r="B833" s="66"/>
      <c r="C833" s="66"/>
      <c r="D833" s="66"/>
      <c r="E833" s="66"/>
      <c r="F833" s="66"/>
      <c r="G833" s="66"/>
      <c r="H833" s="66"/>
      <c r="I833" s="66"/>
      <c r="J833" s="66"/>
      <c r="K833" s="66"/>
      <c r="L833" s="66"/>
      <c r="M833" s="66"/>
      <c r="N833" s="66"/>
      <c r="O833" s="66"/>
      <c r="P833" s="66"/>
      <c r="Q833" s="66"/>
      <c r="R833" s="66"/>
      <c r="S833" s="66"/>
      <c r="T833" s="66"/>
      <c r="U833" s="66"/>
      <c r="V833" s="66"/>
      <c r="W833" s="66"/>
      <c r="X833" s="66"/>
      <c r="Y833" s="66"/>
      <c r="Z833" s="66"/>
    </row>
    <row r="834" spans="1:26" ht="21" x14ac:dyDescent="0.65">
      <c r="A834" s="66"/>
      <c r="B834" s="66"/>
      <c r="C834" s="66"/>
      <c r="D834" s="66"/>
      <c r="E834" s="66"/>
      <c r="F834" s="66"/>
      <c r="G834" s="66"/>
      <c r="H834" s="66"/>
      <c r="I834" s="66"/>
      <c r="J834" s="66"/>
      <c r="K834" s="66"/>
      <c r="L834" s="66"/>
      <c r="M834" s="66"/>
      <c r="N834" s="66"/>
      <c r="O834" s="66"/>
      <c r="P834" s="66"/>
      <c r="Q834" s="66"/>
      <c r="R834" s="66"/>
      <c r="S834" s="66"/>
      <c r="T834" s="66"/>
      <c r="U834" s="66"/>
      <c r="V834" s="66"/>
      <c r="W834" s="66"/>
      <c r="X834" s="66"/>
      <c r="Y834" s="66"/>
      <c r="Z834" s="66"/>
    </row>
    <row r="835" spans="1:26" ht="21" x14ac:dyDescent="0.65">
      <c r="A835" s="66"/>
      <c r="B835" s="66"/>
      <c r="C835" s="66"/>
      <c r="D835" s="66"/>
      <c r="E835" s="66"/>
      <c r="F835" s="66"/>
      <c r="G835" s="66"/>
      <c r="H835" s="66"/>
      <c r="I835" s="66"/>
      <c r="J835" s="66"/>
      <c r="K835" s="66"/>
      <c r="L835" s="66"/>
      <c r="M835" s="66"/>
      <c r="N835" s="66"/>
      <c r="O835" s="66"/>
      <c r="P835" s="66"/>
      <c r="Q835" s="66"/>
      <c r="R835" s="66"/>
      <c r="S835" s="66"/>
      <c r="T835" s="66"/>
      <c r="U835" s="66"/>
      <c r="V835" s="66"/>
      <c r="W835" s="66"/>
      <c r="X835" s="66"/>
      <c r="Y835" s="66"/>
      <c r="Z835" s="66"/>
    </row>
    <row r="836" spans="1:26" ht="21" x14ac:dyDescent="0.65">
      <c r="A836" s="66"/>
      <c r="B836" s="66"/>
      <c r="C836" s="66"/>
      <c r="D836" s="66"/>
      <c r="E836" s="66"/>
      <c r="F836" s="66"/>
      <c r="G836" s="66"/>
      <c r="H836" s="66"/>
      <c r="I836" s="66"/>
      <c r="J836" s="66"/>
      <c r="K836" s="66"/>
      <c r="L836" s="66"/>
      <c r="M836" s="66"/>
      <c r="N836" s="66"/>
      <c r="O836" s="66"/>
      <c r="P836" s="66"/>
      <c r="Q836" s="66"/>
      <c r="R836" s="66"/>
      <c r="S836" s="66"/>
      <c r="T836" s="66"/>
      <c r="U836" s="66"/>
      <c r="V836" s="66"/>
      <c r="W836" s="66"/>
      <c r="X836" s="66"/>
      <c r="Y836" s="66"/>
      <c r="Z836" s="66"/>
    </row>
    <row r="837" spans="1:26" ht="21" x14ac:dyDescent="0.65">
      <c r="A837" s="66"/>
      <c r="B837" s="66"/>
      <c r="C837" s="66"/>
      <c r="D837" s="66"/>
      <c r="E837" s="66"/>
      <c r="F837" s="66"/>
      <c r="G837" s="66"/>
      <c r="H837" s="66"/>
      <c r="I837" s="66"/>
      <c r="J837" s="66"/>
      <c r="K837" s="66"/>
      <c r="L837" s="66"/>
      <c r="M837" s="66"/>
      <c r="N837" s="66"/>
      <c r="O837" s="66"/>
      <c r="P837" s="66"/>
      <c r="Q837" s="66"/>
      <c r="R837" s="66"/>
      <c r="S837" s="66"/>
      <c r="T837" s="66"/>
      <c r="U837" s="66"/>
      <c r="V837" s="66"/>
      <c r="W837" s="66"/>
      <c r="X837" s="66"/>
      <c r="Y837" s="66"/>
      <c r="Z837" s="66"/>
    </row>
    <row r="838" spans="1:26" ht="21" x14ac:dyDescent="0.65">
      <c r="A838" s="66"/>
      <c r="B838" s="66"/>
      <c r="C838" s="66"/>
      <c r="D838" s="66"/>
      <c r="E838" s="66"/>
      <c r="F838" s="66"/>
      <c r="G838" s="66"/>
      <c r="H838" s="66"/>
      <c r="I838" s="66"/>
      <c r="J838" s="66"/>
      <c r="K838" s="66"/>
      <c r="L838" s="66"/>
      <c r="M838" s="66"/>
      <c r="N838" s="66"/>
      <c r="O838" s="66"/>
      <c r="P838" s="66"/>
      <c r="Q838" s="66"/>
      <c r="R838" s="66"/>
      <c r="S838" s="66"/>
      <c r="T838" s="66"/>
      <c r="U838" s="66"/>
      <c r="V838" s="66"/>
      <c r="W838" s="66"/>
      <c r="X838" s="66"/>
      <c r="Y838" s="66"/>
      <c r="Z838" s="66"/>
    </row>
    <row r="839" spans="1:26" ht="21" x14ac:dyDescent="0.65">
      <c r="A839" s="66"/>
      <c r="B839" s="66"/>
      <c r="C839" s="66"/>
      <c r="D839" s="66"/>
      <c r="E839" s="66"/>
      <c r="F839" s="66"/>
      <c r="G839" s="66"/>
      <c r="H839" s="66"/>
      <c r="I839" s="66"/>
      <c r="J839" s="66"/>
      <c r="K839" s="66"/>
      <c r="L839" s="66"/>
      <c r="M839" s="66"/>
      <c r="N839" s="66"/>
      <c r="O839" s="66"/>
      <c r="P839" s="66"/>
      <c r="Q839" s="66"/>
      <c r="R839" s="66"/>
      <c r="S839" s="66"/>
      <c r="T839" s="66"/>
      <c r="U839" s="66"/>
      <c r="V839" s="66"/>
      <c r="W839" s="66"/>
      <c r="X839" s="66"/>
      <c r="Y839" s="66"/>
      <c r="Z839" s="66"/>
    </row>
    <row r="840" spans="1:26" ht="21" x14ac:dyDescent="0.65">
      <c r="A840" s="66"/>
      <c r="B840" s="66"/>
      <c r="C840" s="66"/>
      <c r="D840" s="66"/>
      <c r="E840" s="66"/>
      <c r="F840" s="66"/>
      <c r="G840" s="66"/>
      <c r="H840" s="66"/>
      <c r="I840" s="66"/>
      <c r="J840" s="66"/>
      <c r="K840" s="66"/>
      <c r="L840" s="66"/>
      <c r="M840" s="66"/>
      <c r="N840" s="66"/>
      <c r="O840" s="66"/>
      <c r="P840" s="66"/>
      <c r="Q840" s="66"/>
      <c r="R840" s="66"/>
      <c r="S840" s="66"/>
      <c r="T840" s="66"/>
      <c r="U840" s="66"/>
      <c r="V840" s="66"/>
      <c r="W840" s="66"/>
      <c r="X840" s="66"/>
      <c r="Y840" s="66"/>
      <c r="Z840" s="66"/>
    </row>
    <row r="841" spans="1:26" ht="21" x14ac:dyDescent="0.65">
      <c r="A841" s="66"/>
      <c r="B841" s="66"/>
      <c r="C841" s="66"/>
      <c r="D841" s="66"/>
      <c r="E841" s="66"/>
      <c r="F841" s="66"/>
      <c r="G841" s="66"/>
      <c r="H841" s="66"/>
      <c r="I841" s="66"/>
      <c r="J841" s="66"/>
      <c r="K841" s="66"/>
      <c r="L841" s="66"/>
      <c r="M841" s="66"/>
      <c r="N841" s="66"/>
      <c r="O841" s="66"/>
      <c r="P841" s="66"/>
      <c r="Q841" s="66"/>
      <c r="R841" s="66"/>
      <c r="S841" s="66"/>
      <c r="T841" s="66"/>
      <c r="U841" s="66"/>
      <c r="V841" s="66"/>
      <c r="W841" s="66"/>
      <c r="X841" s="66"/>
      <c r="Y841" s="66"/>
      <c r="Z841" s="66"/>
    </row>
    <row r="842" spans="1:26" ht="21" x14ac:dyDescent="0.65">
      <c r="A842" s="66"/>
      <c r="B842" s="66"/>
      <c r="C842" s="66"/>
      <c r="D842" s="66"/>
      <c r="E842" s="66"/>
      <c r="F842" s="66"/>
      <c r="G842" s="66"/>
      <c r="H842" s="66"/>
      <c r="I842" s="66"/>
      <c r="J842" s="66"/>
      <c r="K842" s="66"/>
      <c r="L842" s="66"/>
      <c r="M842" s="66"/>
      <c r="N842" s="66"/>
      <c r="O842" s="66"/>
      <c r="P842" s="66"/>
      <c r="Q842" s="66"/>
      <c r="R842" s="66"/>
      <c r="S842" s="66"/>
      <c r="T842" s="66"/>
      <c r="U842" s="66"/>
      <c r="V842" s="66"/>
      <c r="W842" s="66"/>
      <c r="X842" s="66"/>
      <c r="Y842" s="66"/>
      <c r="Z842" s="66"/>
    </row>
    <row r="843" spans="1:26" ht="21" x14ac:dyDescent="0.65">
      <c r="A843" s="66"/>
      <c r="B843" s="66"/>
      <c r="C843" s="66"/>
      <c r="D843" s="66"/>
      <c r="E843" s="66"/>
      <c r="F843" s="66"/>
      <c r="G843" s="66"/>
      <c r="H843" s="66"/>
      <c r="I843" s="66"/>
      <c r="J843" s="66"/>
      <c r="K843" s="66"/>
      <c r="L843" s="66"/>
      <c r="M843" s="66"/>
      <c r="N843" s="66"/>
      <c r="O843" s="66"/>
      <c r="P843" s="66"/>
      <c r="Q843" s="66"/>
      <c r="R843" s="66"/>
      <c r="S843" s="66"/>
      <c r="T843" s="66"/>
      <c r="U843" s="66"/>
      <c r="V843" s="66"/>
      <c r="W843" s="66"/>
      <c r="X843" s="66"/>
      <c r="Y843" s="66"/>
      <c r="Z843" s="66"/>
    </row>
    <row r="844" spans="1:26" ht="21" x14ac:dyDescent="0.65">
      <c r="A844" s="66"/>
      <c r="B844" s="66"/>
      <c r="C844" s="66"/>
      <c r="D844" s="66"/>
      <c r="E844" s="66"/>
      <c r="F844" s="66"/>
      <c r="G844" s="66"/>
      <c r="H844" s="66"/>
      <c r="I844" s="66"/>
      <c r="J844" s="66"/>
      <c r="K844" s="66"/>
      <c r="L844" s="66"/>
      <c r="M844" s="66"/>
      <c r="N844" s="66"/>
      <c r="O844" s="66"/>
      <c r="P844" s="66"/>
      <c r="Q844" s="66"/>
      <c r="R844" s="66"/>
      <c r="S844" s="66"/>
      <c r="T844" s="66"/>
      <c r="U844" s="66"/>
      <c r="V844" s="66"/>
      <c r="W844" s="66"/>
      <c r="X844" s="66"/>
      <c r="Y844" s="66"/>
      <c r="Z844" s="66"/>
    </row>
    <row r="845" spans="1:26" ht="21" x14ac:dyDescent="0.65">
      <c r="A845" s="66"/>
      <c r="B845" s="66"/>
      <c r="C845" s="66"/>
      <c r="D845" s="66"/>
      <c r="E845" s="66"/>
      <c r="F845" s="66"/>
      <c r="G845" s="66"/>
      <c r="H845" s="66"/>
      <c r="I845" s="66"/>
      <c r="J845" s="66"/>
      <c r="K845" s="66"/>
      <c r="L845" s="66"/>
      <c r="M845" s="66"/>
      <c r="N845" s="66"/>
      <c r="O845" s="66"/>
      <c r="P845" s="66"/>
      <c r="Q845" s="66"/>
      <c r="R845" s="66"/>
      <c r="S845" s="66"/>
      <c r="T845" s="66"/>
      <c r="U845" s="66"/>
      <c r="V845" s="66"/>
      <c r="W845" s="66"/>
      <c r="X845" s="66"/>
      <c r="Y845" s="66"/>
      <c r="Z845" s="66"/>
    </row>
    <row r="846" spans="1:26" ht="21" x14ac:dyDescent="0.65">
      <c r="A846" s="66"/>
      <c r="B846" s="66"/>
      <c r="C846" s="66"/>
      <c r="D846" s="66"/>
      <c r="E846" s="66"/>
      <c r="F846" s="66"/>
      <c r="G846" s="66"/>
      <c r="H846" s="66"/>
      <c r="I846" s="66"/>
      <c r="J846" s="66"/>
      <c r="K846" s="66"/>
      <c r="L846" s="66"/>
      <c r="M846" s="66"/>
      <c r="N846" s="66"/>
      <c r="O846" s="66"/>
      <c r="P846" s="66"/>
      <c r="Q846" s="66"/>
      <c r="R846" s="66"/>
      <c r="S846" s="66"/>
      <c r="T846" s="66"/>
      <c r="U846" s="66"/>
      <c r="V846" s="66"/>
      <c r="W846" s="66"/>
      <c r="X846" s="66"/>
      <c r="Y846" s="66"/>
      <c r="Z846" s="66"/>
    </row>
    <row r="847" spans="1:26" ht="21" x14ac:dyDescent="0.65">
      <c r="A847" s="66"/>
      <c r="B847" s="66"/>
      <c r="C847" s="66"/>
      <c r="D847" s="66"/>
      <c r="E847" s="66"/>
      <c r="F847" s="66"/>
      <c r="G847" s="66"/>
      <c r="H847" s="66"/>
      <c r="I847" s="66"/>
      <c r="J847" s="66"/>
      <c r="K847" s="66"/>
      <c r="L847" s="66"/>
      <c r="M847" s="66"/>
      <c r="N847" s="66"/>
      <c r="O847" s="66"/>
      <c r="P847" s="66"/>
      <c r="Q847" s="66"/>
      <c r="R847" s="66"/>
      <c r="S847" s="66"/>
      <c r="T847" s="66"/>
      <c r="U847" s="66"/>
      <c r="V847" s="66"/>
      <c r="W847" s="66"/>
      <c r="X847" s="66"/>
      <c r="Y847" s="66"/>
      <c r="Z847" s="66"/>
    </row>
    <row r="848" spans="1:26" ht="21" x14ac:dyDescent="0.65">
      <c r="A848" s="66"/>
      <c r="B848" s="66"/>
      <c r="C848" s="66"/>
      <c r="D848" s="66"/>
      <c r="E848" s="66"/>
      <c r="F848" s="66"/>
      <c r="G848" s="66"/>
      <c r="H848" s="66"/>
      <c r="I848" s="66"/>
      <c r="J848" s="66"/>
      <c r="K848" s="66"/>
      <c r="L848" s="66"/>
      <c r="M848" s="66"/>
      <c r="N848" s="66"/>
      <c r="O848" s="66"/>
      <c r="P848" s="66"/>
      <c r="Q848" s="66"/>
      <c r="R848" s="66"/>
      <c r="S848" s="66"/>
      <c r="T848" s="66"/>
      <c r="U848" s="66"/>
      <c r="V848" s="66"/>
      <c r="W848" s="66"/>
      <c r="X848" s="66"/>
      <c r="Y848" s="66"/>
      <c r="Z848" s="66"/>
    </row>
    <row r="849" spans="1:26" ht="21" x14ac:dyDescent="0.65">
      <c r="A849" s="66"/>
      <c r="B849" s="66"/>
      <c r="C849" s="66"/>
      <c r="D849" s="66"/>
      <c r="E849" s="66"/>
      <c r="F849" s="66"/>
      <c r="G849" s="66"/>
      <c r="H849" s="66"/>
      <c r="I849" s="66"/>
      <c r="J849" s="66"/>
      <c r="K849" s="66"/>
      <c r="L849" s="66"/>
      <c r="M849" s="66"/>
      <c r="N849" s="66"/>
      <c r="O849" s="66"/>
      <c r="P849" s="66"/>
      <c r="Q849" s="66"/>
      <c r="R849" s="66"/>
      <c r="S849" s="66"/>
      <c r="T849" s="66"/>
      <c r="U849" s="66"/>
      <c r="V849" s="66"/>
      <c r="W849" s="66"/>
      <c r="X849" s="66"/>
      <c r="Y849" s="66"/>
      <c r="Z849" s="66"/>
    </row>
    <row r="850" spans="1:26" ht="21" x14ac:dyDescent="0.65">
      <c r="A850" s="66"/>
      <c r="B850" s="66"/>
      <c r="C850" s="66"/>
      <c r="D850" s="66"/>
      <c r="E850" s="66"/>
      <c r="F850" s="66"/>
      <c r="G850" s="66"/>
      <c r="H850" s="66"/>
      <c r="I850" s="66"/>
      <c r="J850" s="66"/>
      <c r="K850" s="66"/>
      <c r="L850" s="66"/>
      <c r="M850" s="66"/>
      <c r="N850" s="66"/>
      <c r="O850" s="66"/>
      <c r="P850" s="66"/>
      <c r="Q850" s="66"/>
      <c r="R850" s="66"/>
      <c r="S850" s="66"/>
      <c r="T850" s="66"/>
      <c r="U850" s="66"/>
      <c r="V850" s="66"/>
      <c r="W850" s="66"/>
      <c r="X850" s="66"/>
      <c r="Y850" s="66"/>
      <c r="Z850" s="66"/>
    </row>
    <row r="851" spans="1:26" ht="21" x14ac:dyDescent="0.65">
      <c r="A851" s="66"/>
      <c r="B851" s="66"/>
      <c r="C851" s="66"/>
      <c r="D851" s="66"/>
      <c r="E851" s="66"/>
      <c r="F851" s="66"/>
      <c r="G851" s="66"/>
      <c r="H851" s="66"/>
      <c r="I851" s="66"/>
      <c r="J851" s="66"/>
      <c r="K851" s="66"/>
      <c r="L851" s="66"/>
      <c r="M851" s="66"/>
      <c r="N851" s="66"/>
      <c r="O851" s="66"/>
      <c r="P851" s="66"/>
      <c r="Q851" s="66"/>
      <c r="R851" s="66"/>
      <c r="S851" s="66"/>
      <c r="T851" s="66"/>
      <c r="U851" s="66"/>
      <c r="V851" s="66"/>
      <c r="W851" s="66"/>
      <c r="X851" s="66"/>
      <c r="Y851" s="66"/>
      <c r="Z851" s="66"/>
    </row>
    <row r="852" spans="1:26" ht="21" x14ac:dyDescent="0.65">
      <c r="A852" s="66"/>
      <c r="B852" s="66"/>
      <c r="C852" s="66"/>
      <c r="D852" s="66"/>
      <c r="E852" s="66"/>
      <c r="F852" s="66"/>
      <c r="G852" s="66"/>
      <c r="H852" s="66"/>
      <c r="I852" s="66"/>
      <c r="J852" s="66"/>
      <c r="K852" s="66"/>
      <c r="L852" s="66"/>
      <c r="M852" s="66"/>
      <c r="N852" s="66"/>
      <c r="O852" s="66"/>
      <c r="P852" s="66"/>
      <c r="Q852" s="66"/>
      <c r="R852" s="66"/>
      <c r="S852" s="66"/>
      <c r="T852" s="66"/>
      <c r="U852" s="66"/>
      <c r="V852" s="66"/>
      <c r="W852" s="66"/>
      <c r="X852" s="66"/>
      <c r="Y852" s="66"/>
      <c r="Z852" s="66"/>
    </row>
    <row r="853" spans="1:26" ht="21" x14ac:dyDescent="0.65">
      <c r="A853" s="66"/>
      <c r="B853" s="66"/>
      <c r="C853" s="66"/>
      <c r="D853" s="66"/>
      <c r="E853" s="66"/>
      <c r="F853" s="66"/>
      <c r="G853" s="66"/>
      <c r="H853" s="66"/>
      <c r="I853" s="66"/>
      <c r="J853" s="66"/>
      <c r="K853" s="66"/>
      <c r="L853" s="66"/>
      <c r="M853" s="66"/>
      <c r="N853" s="66"/>
      <c r="O853" s="66"/>
      <c r="P853" s="66"/>
      <c r="Q853" s="66"/>
      <c r="R853" s="66"/>
      <c r="S853" s="66"/>
      <c r="T853" s="66"/>
      <c r="U853" s="66"/>
      <c r="V853" s="66"/>
      <c r="W853" s="66"/>
      <c r="X853" s="66"/>
      <c r="Y853" s="66"/>
      <c r="Z853" s="66"/>
    </row>
    <row r="854" spans="1:26" ht="21" x14ac:dyDescent="0.65">
      <c r="A854" s="66"/>
      <c r="B854" s="66"/>
      <c r="C854" s="66"/>
      <c r="D854" s="66"/>
      <c r="E854" s="66"/>
      <c r="F854" s="66"/>
      <c r="G854" s="66"/>
      <c r="H854" s="66"/>
      <c r="I854" s="66"/>
      <c r="J854" s="66"/>
      <c r="K854" s="66"/>
      <c r="L854" s="66"/>
      <c r="M854" s="66"/>
      <c r="N854" s="66"/>
      <c r="O854" s="66"/>
      <c r="P854" s="66"/>
      <c r="Q854" s="66"/>
      <c r="R854" s="66"/>
      <c r="S854" s="66"/>
      <c r="T854" s="66"/>
      <c r="U854" s="66"/>
      <c r="V854" s="66"/>
      <c r="W854" s="66"/>
      <c r="X854" s="66"/>
      <c r="Y854" s="66"/>
      <c r="Z854" s="66"/>
    </row>
    <row r="855" spans="1:26" ht="21" x14ac:dyDescent="0.65">
      <c r="A855" s="66"/>
      <c r="B855" s="66"/>
      <c r="C855" s="66"/>
      <c r="D855" s="66"/>
      <c r="E855" s="66"/>
      <c r="F855" s="66"/>
      <c r="G855" s="66"/>
      <c r="H855" s="66"/>
      <c r="I855" s="66"/>
      <c r="J855" s="66"/>
      <c r="K855" s="66"/>
      <c r="L855" s="66"/>
      <c r="M855" s="66"/>
      <c r="N855" s="66"/>
      <c r="O855" s="66"/>
      <c r="P855" s="66"/>
      <c r="Q855" s="66"/>
      <c r="R855" s="66"/>
      <c r="S855" s="66"/>
      <c r="T855" s="66"/>
      <c r="U855" s="66"/>
      <c r="V855" s="66"/>
      <c r="W855" s="66"/>
      <c r="X855" s="66"/>
      <c r="Y855" s="66"/>
      <c r="Z855" s="66"/>
    </row>
    <row r="856" spans="1:26" ht="21" x14ac:dyDescent="0.65">
      <c r="A856" s="66"/>
      <c r="B856" s="66"/>
      <c r="C856" s="66"/>
      <c r="D856" s="66"/>
      <c r="E856" s="66"/>
      <c r="F856" s="66"/>
      <c r="G856" s="66"/>
      <c r="H856" s="66"/>
      <c r="I856" s="66"/>
      <c r="J856" s="66"/>
      <c r="K856" s="66"/>
      <c r="L856" s="66"/>
      <c r="M856" s="66"/>
      <c r="N856" s="66"/>
      <c r="O856" s="66"/>
      <c r="P856" s="66"/>
      <c r="Q856" s="66"/>
      <c r="R856" s="66"/>
      <c r="S856" s="66"/>
      <c r="T856" s="66"/>
      <c r="U856" s="66"/>
      <c r="V856" s="66"/>
      <c r="W856" s="66"/>
      <c r="X856" s="66"/>
      <c r="Y856" s="66"/>
      <c r="Z856" s="66"/>
    </row>
    <row r="857" spans="1:26" ht="21" x14ac:dyDescent="0.65">
      <c r="A857" s="66"/>
      <c r="B857" s="66"/>
      <c r="C857" s="66"/>
      <c r="D857" s="66"/>
      <c r="E857" s="66"/>
      <c r="F857" s="66"/>
      <c r="G857" s="66"/>
      <c r="H857" s="66"/>
      <c r="I857" s="66"/>
      <c r="J857" s="66"/>
      <c r="K857" s="66"/>
      <c r="L857" s="66"/>
      <c r="M857" s="66"/>
      <c r="N857" s="66"/>
      <c r="O857" s="66"/>
      <c r="P857" s="66"/>
      <c r="Q857" s="66"/>
      <c r="R857" s="66"/>
      <c r="S857" s="66"/>
      <c r="T857" s="66"/>
      <c r="U857" s="66"/>
      <c r="V857" s="66"/>
      <c r="W857" s="66"/>
      <c r="X857" s="66"/>
      <c r="Y857" s="66"/>
      <c r="Z857" s="66"/>
    </row>
    <row r="858" spans="1:26" ht="21" x14ac:dyDescent="0.65">
      <c r="A858" s="66"/>
      <c r="B858" s="66"/>
      <c r="C858" s="66"/>
      <c r="D858" s="66"/>
      <c r="E858" s="66"/>
      <c r="F858" s="66"/>
      <c r="G858" s="66"/>
      <c r="H858" s="66"/>
      <c r="I858" s="66"/>
      <c r="J858" s="66"/>
      <c r="K858" s="66"/>
      <c r="L858" s="66"/>
      <c r="M858" s="66"/>
      <c r="N858" s="66"/>
      <c r="O858" s="66"/>
      <c r="P858" s="66"/>
      <c r="Q858" s="66"/>
      <c r="R858" s="66"/>
      <c r="S858" s="66"/>
      <c r="T858" s="66"/>
      <c r="U858" s="66"/>
      <c r="V858" s="66"/>
      <c r="W858" s="66"/>
      <c r="X858" s="66"/>
      <c r="Y858" s="66"/>
      <c r="Z858" s="66"/>
    </row>
    <row r="859" spans="1:26" ht="21" x14ac:dyDescent="0.65">
      <c r="A859" s="66"/>
      <c r="B859" s="66"/>
      <c r="C859" s="66"/>
      <c r="D859" s="66"/>
      <c r="E859" s="66"/>
      <c r="F859" s="66"/>
      <c r="G859" s="66"/>
      <c r="H859" s="66"/>
      <c r="I859" s="66"/>
      <c r="J859" s="66"/>
      <c r="K859" s="66"/>
      <c r="L859" s="66"/>
      <c r="M859" s="66"/>
      <c r="N859" s="66"/>
      <c r="O859" s="66"/>
      <c r="P859" s="66"/>
      <c r="Q859" s="66"/>
      <c r="R859" s="66"/>
      <c r="S859" s="66"/>
      <c r="T859" s="66"/>
      <c r="U859" s="66"/>
      <c r="V859" s="66"/>
      <c r="W859" s="66"/>
      <c r="X859" s="66"/>
      <c r="Y859" s="66"/>
      <c r="Z859" s="66"/>
    </row>
    <row r="860" spans="1:26" ht="21" x14ac:dyDescent="0.65">
      <c r="A860" s="66"/>
      <c r="B860" s="66"/>
      <c r="C860" s="66"/>
      <c r="D860" s="66"/>
      <c r="E860" s="66"/>
      <c r="F860" s="66"/>
      <c r="G860" s="66"/>
      <c r="H860" s="66"/>
      <c r="I860" s="66"/>
      <c r="J860" s="66"/>
      <c r="K860" s="66"/>
      <c r="L860" s="66"/>
      <c r="M860" s="66"/>
      <c r="N860" s="66"/>
      <c r="O860" s="66"/>
      <c r="P860" s="66"/>
      <c r="Q860" s="66"/>
      <c r="R860" s="66"/>
      <c r="S860" s="66"/>
      <c r="T860" s="66"/>
      <c r="U860" s="66"/>
      <c r="V860" s="66"/>
      <c r="W860" s="66"/>
      <c r="X860" s="66"/>
      <c r="Y860" s="66"/>
      <c r="Z860" s="66"/>
    </row>
    <row r="861" spans="1:26" ht="21" x14ac:dyDescent="0.65">
      <c r="A861" s="66"/>
      <c r="B861" s="66"/>
      <c r="C861" s="66"/>
      <c r="D861" s="66"/>
      <c r="E861" s="66"/>
      <c r="F861" s="66"/>
      <c r="G861" s="66"/>
      <c r="H861" s="66"/>
      <c r="I861" s="66"/>
      <c r="J861" s="66"/>
      <c r="K861" s="66"/>
      <c r="L861" s="66"/>
      <c r="M861" s="66"/>
      <c r="N861" s="66"/>
      <c r="O861" s="66"/>
      <c r="P861" s="66"/>
      <c r="Q861" s="66"/>
      <c r="R861" s="66"/>
      <c r="S861" s="66"/>
      <c r="T861" s="66"/>
      <c r="U861" s="66"/>
      <c r="V861" s="66"/>
      <c r="W861" s="66"/>
      <c r="X861" s="66"/>
      <c r="Y861" s="66"/>
      <c r="Z861" s="66"/>
    </row>
    <row r="862" spans="1:26" ht="21" x14ac:dyDescent="0.65">
      <c r="A862" s="66"/>
      <c r="B862" s="66"/>
      <c r="C862" s="66"/>
      <c r="D862" s="66"/>
      <c r="E862" s="66"/>
      <c r="F862" s="66"/>
      <c r="G862" s="66"/>
      <c r="H862" s="66"/>
      <c r="I862" s="66"/>
      <c r="J862" s="66"/>
      <c r="K862" s="66"/>
      <c r="L862" s="66"/>
      <c r="M862" s="66"/>
      <c r="N862" s="66"/>
      <c r="O862" s="66"/>
      <c r="P862" s="66"/>
      <c r="Q862" s="66"/>
      <c r="R862" s="66"/>
      <c r="S862" s="66"/>
      <c r="T862" s="66"/>
      <c r="U862" s="66"/>
      <c r="V862" s="66"/>
      <c r="W862" s="66"/>
      <c r="X862" s="66"/>
      <c r="Y862" s="66"/>
      <c r="Z862" s="66"/>
    </row>
    <row r="863" spans="1:26" ht="21" x14ac:dyDescent="0.65">
      <c r="A863" s="66"/>
      <c r="B863" s="66"/>
      <c r="C863" s="66"/>
      <c r="D863" s="66"/>
      <c r="E863" s="66"/>
      <c r="F863" s="66"/>
      <c r="G863" s="66"/>
      <c r="H863" s="66"/>
      <c r="I863" s="66"/>
      <c r="J863" s="66"/>
      <c r="K863" s="66"/>
      <c r="L863" s="66"/>
      <c r="M863" s="66"/>
      <c r="N863" s="66"/>
      <c r="O863" s="66"/>
      <c r="P863" s="66"/>
      <c r="Q863" s="66"/>
      <c r="R863" s="66"/>
      <c r="S863" s="66"/>
      <c r="T863" s="66"/>
      <c r="U863" s="66"/>
      <c r="V863" s="66"/>
      <c r="W863" s="66"/>
      <c r="X863" s="66"/>
      <c r="Y863" s="66"/>
      <c r="Z863" s="66"/>
    </row>
    <row r="864" spans="1:26" ht="21" x14ac:dyDescent="0.65">
      <c r="A864" s="66"/>
      <c r="B864" s="66"/>
      <c r="C864" s="66"/>
      <c r="D864" s="66"/>
      <c r="E864" s="66"/>
      <c r="F864" s="66"/>
      <c r="G864" s="66"/>
      <c r="H864" s="66"/>
      <c r="I864" s="66"/>
      <c r="J864" s="66"/>
      <c r="K864" s="66"/>
      <c r="L864" s="66"/>
      <c r="M864" s="66"/>
      <c r="N864" s="66"/>
      <c r="O864" s="66"/>
      <c r="P864" s="66"/>
      <c r="Q864" s="66"/>
      <c r="R864" s="66"/>
      <c r="S864" s="66"/>
      <c r="T864" s="66"/>
      <c r="U864" s="66"/>
      <c r="V864" s="66"/>
      <c r="W864" s="66"/>
      <c r="X864" s="66"/>
      <c r="Y864" s="66"/>
      <c r="Z864" s="66"/>
    </row>
    <row r="865" spans="1:26" ht="21" x14ac:dyDescent="0.65">
      <c r="A865" s="66"/>
      <c r="B865" s="66"/>
      <c r="C865" s="66"/>
      <c r="D865" s="66"/>
      <c r="E865" s="66"/>
      <c r="F865" s="66"/>
      <c r="G865" s="66"/>
      <c r="H865" s="66"/>
      <c r="I865" s="66"/>
      <c r="J865" s="66"/>
      <c r="K865" s="66"/>
      <c r="L865" s="66"/>
      <c r="M865" s="66"/>
      <c r="N865" s="66"/>
      <c r="O865" s="66"/>
      <c r="P865" s="66"/>
      <c r="Q865" s="66"/>
      <c r="R865" s="66"/>
      <c r="S865" s="66"/>
      <c r="T865" s="66"/>
      <c r="U865" s="66"/>
      <c r="V865" s="66"/>
      <c r="W865" s="66"/>
      <c r="X865" s="66"/>
      <c r="Y865" s="66"/>
      <c r="Z865" s="66"/>
    </row>
    <row r="866" spans="1:26" ht="21" x14ac:dyDescent="0.65">
      <c r="A866" s="66"/>
      <c r="B866" s="66"/>
      <c r="C866" s="66"/>
      <c r="D866" s="66"/>
      <c r="E866" s="66"/>
      <c r="F866" s="66"/>
      <c r="G866" s="66"/>
      <c r="H866" s="66"/>
      <c r="I866" s="66"/>
      <c r="J866" s="66"/>
      <c r="K866" s="66"/>
      <c r="L866" s="66"/>
      <c r="M866" s="66"/>
      <c r="N866" s="66"/>
      <c r="O866" s="66"/>
      <c r="P866" s="66"/>
      <c r="Q866" s="66"/>
      <c r="R866" s="66"/>
      <c r="S866" s="66"/>
      <c r="T866" s="66"/>
      <c r="U866" s="66"/>
      <c r="V866" s="66"/>
      <c r="W866" s="66"/>
      <c r="X866" s="66"/>
      <c r="Y866" s="66"/>
      <c r="Z866" s="66"/>
    </row>
    <row r="867" spans="1:26" ht="21" x14ac:dyDescent="0.65">
      <c r="A867" s="66"/>
      <c r="B867" s="66"/>
      <c r="C867" s="66"/>
      <c r="D867" s="66"/>
      <c r="E867" s="66"/>
      <c r="F867" s="66"/>
      <c r="G867" s="66"/>
      <c r="H867" s="66"/>
      <c r="I867" s="66"/>
      <c r="J867" s="66"/>
      <c r="K867" s="66"/>
      <c r="L867" s="66"/>
      <c r="M867" s="66"/>
      <c r="N867" s="66"/>
      <c r="O867" s="66"/>
      <c r="P867" s="66"/>
      <c r="Q867" s="66"/>
      <c r="R867" s="66"/>
      <c r="S867" s="66"/>
      <c r="T867" s="66"/>
      <c r="U867" s="66"/>
      <c r="V867" s="66"/>
      <c r="W867" s="66"/>
      <c r="X867" s="66"/>
      <c r="Y867" s="66"/>
      <c r="Z867" s="66"/>
    </row>
    <row r="868" spans="1:26" ht="21" x14ac:dyDescent="0.65">
      <c r="A868" s="66"/>
      <c r="B868" s="66"/>
      <c r="C868" s="66"/>
      <c r="D868" s="66"/>
      <c r="E868" s="66"/>
      <c r="F868" s="66"/>
      <c r="G868" s="66"/>
      <c r="H868" s="66"/>
      <c r="I868" s="66"/>
      <c r="J868" s="66"/>
      <c r="K868" s="66"/>
      <c r="L868" s="66"/>
      <c r="M868" s="66"/>
      <c r="N868" s="66"/>
      <c r="O868" s="66"/>
      <c r="P868" s="66"/>
      <c r="Q868" s="66"/>
      <c r="R868" s="66"/>
      <c r="S868" s="66"/>
      <c r="T868" s="66"/>
      <c r="U868" s="66"/>
      <c r="V868" s="66"/>
      <c r="W868" s="66"/>
      <c r="X868" s="66"/>
      <c r="Y868" s="66"/>
      <c r="Z868" s="66"/>
    </row>
    <row r="869" spans="1:26" ht="21" x14ac:dyDescent="0.65">
      <c r="A869" s="66"/>
      <c r="B869" s="66"/>
      <c r="C869" s="66"/>
      <c r="D869" s="66"/>
      <c r="E869" s="66"/>
      <c r="F869" s="66"/>
      <c r="G869" s="66"/>
      <c r="H869" s="66"/>
      <c r="I869" s="66"/>
      <c r="J869" s="66"/>
      <c r="K869" s="66"/>
      <c r="L869" s="66"/>
      <c r="M869" s="66"/>
      <c r="N869" s="66"/>
      <c r="O869" s="66"/>
      <c r="P869" s="66"/>
      <c r="Q869" s="66"/>
      <c r="R869" s="66"/>
      <c r="S869" s="66"/>
      <c r="T869" s="66"/>
      <c r="U869" s="66"/>
      <c r="V869" s="66"/>
      <c r="W869" s="66"/>
      <c r="X869" s="66"/>
      <c r="Y869" s="66"/>
      <c r="Z869" s="66"/>
    </row>
    <row r="870" spans="1:26" ht="21" x14ac:dyDescent="0.65">
      <c r="A870" s="66"/>
      <c r="B870" s="66"/>
      <c r="C870" s="66"/>
      <c r="D870" s="66"/>
      <c r="E870" s="66"/>
      <c r="F870" s="66"/>
      <c r="G870" s="66"/>
      <c r="H870" s="66"/>
      <c r="I870" s="66"/>
      <c r="J870" s="66"/>
      <c r="K870" s="66"/>
      <c r="L870" s="66"/>
      <c r="M870" s="66"/>
      <c r="N870" s="66"/>
      <c r="O870" s="66"/>
      <c r="P870" s="66"/>
      <c r="Q870" s="66"/>
      <c r="R870" s="66"/>
      <c r="S870" s="66"/>
      <c r="T870" s="66"/>
      <c r="U870" s="66"/>
      <c r="V870" s="66"/>
      <c r="W870" s="66"/>
      <c r="X870" s="66"/>
      <c r="Y870" s="66"/>
      <c r="Z870" s="66"/>
    </row>
    <row r="871" spans="1:26" ht="21" x14ac:dyDescent="0.65">
      <c r="A871" s="66"/>
      <c r="B871" s="66"/>
      <c r="C871" s="66"/>
      <c r="D871" s="66"/>
      <c r="E871" s="66"/>
      <c r="F871" s="66"/>
      <c r="G871" s="66"/>
      <c r="H871" s="66"/>
      <c r="I871" s="66"/>
      <c r="J871" s="66"/>
      <c r="K871" s="66"/>
      <c r="L871" s="66"/>
      <c r="M871" s="66"/>
      <c r="N871" s="66"/>
      <c r="O871" s="66"/>
      <c r="P871" s="66"/>
      <c r="Q871" s="66"/>
      <c r="R871" s="66"/>
      <c r="S871" s="66"/>
      <c r="T871" s="66"/>
      <c r="U871" s="66"/>
      <c r="V871" s="66"/>
      <c r="W871" s="66"/>
      <c r="X871" s="66"/>
      <c r="Y871" s="66"/>
      <c r="Z871" s="66"/>
    </row>
    <row r="872" spans="1:26" ht="21" x14ac:dyDescent="0.65">
      <c r="A872" s="66"/>
      <c r="B872" s="66"/>
      <c r="C872" s="66"/>
      <c r="D872" s="66"/>
      <c r="E872" s="66"/>
      <c r="F872" s="66"/>
      <c r="G872" s="66"/>
      <c r="H872" s="66"/>
      <c r="I872" s="66"/>
      <c r="J872" s="66"/>
      <c r="K872" s="66"/>
      <c r="L872" s="66"/>
      <c r="M872" s="66"/>
      <c r="N872" s="66"/>
      <c r="O872" s="66"/>
      <c r="P872" s="66"/>
      <c r="Q872" s="66"/>
      <c r="R872" s="66"/>
      <c r="S872" s="66"/>
      <c r="T872" s="66"/>
      <c r="U872" s="66"/>
      <c r="V872" s="66"/>
      <c r="W872" s="66"/>
      <c r="X872" s="66"/>
      <c r="Y872" s="66"/>
      <c r="Z872" s="66"/>
    </row>
    <row r="873" spans="1:26" ht="21" x14ac:dyDescent="0.65">
      <c r="A873" s="66"/>
      <c r="B873" s="66"/>
      <c r="C873" s="66"/>
      <c r="D873" s="66"/>
      <c r="E873" s="66"/>
      <c r="F873" s="66"/>
      <c r="G873" s="66"/>
      <c r="H873" s="66"/>
      <c r="I873" s="66"/>
      <c r="J873" s="66"/>
      <c r="K873" s="66"/>
      <c r="L873" s="66"/>
      <c r="M873" s="66"/>
      <c r="N873" s="66"/>
      <c r="O873" s="66"/>
      <c r="P873" s="66"/>
      <c r="Q873" s="66"/>
      <c r="R873" s="66"/>
      <c r="S873" s="66"/>
      <c r="T873" s="66"/>
      <c r="U873" s="66"/>
      <c r="V873" s="66"/>
      <c r="W873" s="66"/>
      <c r="X873" s="66"/>
      <c r="Y873" s="66"/>
      <c r="Z873" s="66"/>
    </row>
    <row r="874" spans="1:26" ht="21" x14ac:dyDescent="0.65">
      <c r="A874" s="66"/>
      <c r="B874" s="66"/>
      <c r="C874" s="66"/>
      <c r="D874" s="66"/>
      <c r="E874" s="66"/>
      <c r="F874" s="66"/>
      <c r="G874" s="66"/>
      <c r="H874" s="66"/>
      <c r="I874" s="66"/>
      <c r="J874" s="66"/>
      <c r="K874" s="66"/>
      <c r="L874" s="66"/>
      <c r="M874" s="66"/>
      <c r="N874" s="66"/>
      <c r="O874" s="66"/>
      <c r="P874" s="66"/>
      <c r="Q874" s="66"/>
      <c r="R874" s="66"/>
      <c r="S874" s="66"/>
      <c r="T874" s="66"/>
      <c r="U874" s="66"/>
      <c r="V874" s="66"/>
      <c r="W874" s="66"/>
      <c r="X874" s="66"/>
      <c r="Y874" s="66"/>
      <c r="Z874" s="66"/>
    </row>
    <row r="875" spans="1:26" ht="21" x14ac:dyDescent="0.65">
      <c r="A875" s="66"/>
      <c r="B875" s="66"/>
      <c r="C875" s="66"/>
      <c r="D875" s="66"/>
      <c r="E875" s="66"/>
      <c r="F875" s="66"/>
      <c r="G875" s="66"/>
      <c r="H875" s="66"/>
      <c r="I875" s="66"/>
      <c r="J875" s="66"/>
      <c r="K875" s="66"/>
      <c r="L875" s="66"/>
      <c r="M875" s="66"/>
      <c r="N875" s="66"/>
      <c r="O875" s="66"/>
      <c r="P875" s="66"/>
      <c r="Q875" s="66"/>
      <c r="R875" s="66"/>
      <c r="S875" s="66"/>
      <c r="T875" s="66"/>
      <c r="U875" s="66"/>
      <c r="V875" s="66"/>
      <c r="W875" s="66"/>
      <c r="X875" s="66"/>
      <c r="Y875" s="66"/>
      <c r="Z875" s="66"/>
    </row>
    <row r="876" spans="1:26" ht="21" x14ac:dyDescent="0.65">
      <c r="A876" s="66"/>
      <c r="B876" s="66"/>
      <c r="C876" s="66"/>
      <c r="D876" s="66"/>
      <c r="E876" s="66"/>
      <c r="F876" s="66"/>
      <c r="G876" s="66"/>
      <c r="H876" s="66"/>
      <c r="I876" s="66"/>
      <c r="J876" s="66"/>
      <c r="K876" s="66"/>
      <c r="L876" s="66"/>
      <c r="M876" s="66"/>
      <c r="N876" s="66"/>
      <c r="O876" s="66"/>
      <c r="P876" s="66"/>
      <c r="Q876" s="66"/>
      <c r="R876" s="66"/>
      <c r="S876" s="66"/>
      <c r="T876" s="66"/>
      <c r="U876" s="66"/>
      <c r="V876" s="66"/>
      <c r="W876" s="66"/>
      <c r="X876" s="66"/>
      <c r="Y876" s="66"/>
      <c r="Z876" s="66"/>
    </row>
    <row r="877" spans="1:26" ht="21" x14ac:dyDescent="0.65">
      <c r="A877" s="66"/>
      <c r="B877" s="66"/>
      <c r="C877" s="66"/>
      <c r="D877" s="66"/>
      <c r="E877" s="66"/>
      <c r="F877" s="66"/>
      <c r="G877" s="66"/>
      <c r="H877" s="66"/>
      <c r="I877" s="66"/>
      <c r="J877" s="66"/>
      <c r="K877" s="66"/>
      <c r="L877" s="66"/>
      <c r="M877" s="66"/>
      <c r="N877" s="66"/>
      <c r="O877" s="66"/>
      <c r="P877" s="66"/>
      <c r="Q877" s="66"/>
      <c r="R877" s="66"/>
      <c r="S877" s="66"/>
      <c r="T877" s="66"/>
      <c r="U877" s="66"/>
      <c r="V877" s="66"/>
      <c r="W877" s="66"/>
      <c r="X877" s="66"/>
      <c r="Y877" s="66"/>
      <c r="Z877" s="66"/>
    </row>
    <row r="878" spans="1:26" ht="21" x14ac:dyDescent="0.65">
      <c r="A878" s="66"/>
      <c r="B878" s="66"/>
      <c r="C878" s="66"/>
      <c r="D878" s="66"/>
      <c r="E878" s="66"/>
      <c r="F878" s="66"/>
      <c r="G878" s="66"/>
      <c r="H878" s="66"/>
      <c r="I878" s="66"/>
      <c r="J878" s="66"/>
      <c r="K878" s="66"/>
      <c r="L878" s="66"/>
      <c r="M878" s="66"/>
      <c r="N878" s="66"/>
      <c r="O878" s="66"/>
      <c r="P878" s="66"/>
      <c r="Q878" s="66"/>
      <c r="R878" s="66"/>
      <c r="S878" s="66"/>
      <c r="T878" s="66"/>
      <c r="U878" s="66"/>
      <c r="V878" s="66"/>
      <c r="W878" s="66"/>
      <c r="X878" s="66"/>
      <c r="Y878" s="66"/>
      <c r="Z878" s="66"/>
    </row>
    <row r="879" spans="1:26" ht="21" x14ac:dyDescent="0.65">
      <c r="A879" s="66"/>
      <c r="B879" s="66"/>
      <c r="C879" s="66"/>
      <c r="D879" s="66"/>
      <c r="E879" s="66"/>
      <c r="F879" s="66"/>
      <c r="G879" s="66"/>
      <c r="H879" s="66"/>
      <c r="I879" s="66"/>
      <c r="J879" s="66"/>
      <c r="K879" s="66"/>
      <c r="L879" s="66"/>
      <c r="M879" s="66"/>
      <c r="N879" s="66"/>
      <c r="O879" s="66"/>
      <c r="P879" s="66"/>
      <c r="Q879" s="66"/>
      <c r="R879" s="66"/>
      <c r="S879" s="66"/>
      <c r="T879" s="66"/>
      <c r="U879" s="66"/>
      <c r="V879" s="66"/>
      <c r="W879" s="66"/>
      <c r="X879" s="66"/>
      <c r="Y879" s="66"/>
      <c r="Z879" s="66"/>
    </row>
    <row r="880" spans="1:26" ht="21" x14ac:dyDescent="0.65">
      <c r="A880" s="66"/>
      <c r="B880" s="66"/>
      <c r="C880" s="66"/>
      <c r="D880" s="66"/>
      <c r="E880" s="66"/>
      <c r="F880" s="66"/>
      <c r="G880" s="66"/>
      <c r="H880" s="66"/>
      <c r="I880" s="66"/>
      <c r="J880" s="66"/>
      <c r="K880" s="66"/>
      <c r="L880" s="66"/>
      <c r="M880" s="66"/>
      <c r="N880" s="66"/>
      <c r="O880" s="66"/>
      <c r="P880" s="66"/>
      <c r="Q880" s="66"/>
      <c r="R880" s="66"/>
      <c r="S880" s="66"/>
      <c r="T880" s="66"/>
      <c r="U880" s="66"/>
      <c r="V880" s="66"/>
      <c r="W880" s="66"/>
      <c r="X880" s="66"/>
      <c r="Y880" s="66"/>
      <c r="Z880" s="66"/>
    </row>
    <row r="881" spans="1:26" ht="21" x14ac:dyDescent="0.65">
      <c r="A881" s="66"/>
      <c r="B881" s="66"/>
      <c r="C881" s="66"/>
      <c r="D881" s="66"/>
      <c r="E881" s="66"/>
      <c r="F881" s="66"/>
      <c r="G881" s="66"/>
      <c r="H881" s="66"/>
      <c r="I881" s="66"/>
      <c r="J881" s="66"/>
      <c r="K881" s="66"/>
      <c r="L881" s="66"/>
      <c r="M881" s="66"/>
      <c r="N881" s="66"/>
      <c r="O881" s="66"/>
      <c r="P881" s="66"/>
      <c r="Q881" s="66"/>
      <c r="R881" s="66"/>
      <c r="S881" s="66"/>
      <c r="T881" s="66"/>
      <c r="U881" s="66"/>
      <c r="V881" s="66"/>
      <c r="W881" s="66"/>
      <c r="X881" s="66"/>
      <c r="Y881" s="66"/>
      <c r="Z881" s="66"/>
    </row>
    <row r="882" spans="1:26" ht="21" x14ac:dyDescent="0.65">
      <c r="A882" s="66"/>
      <c r="B882" s="66"/>
      <c r="C882" s="66"/>
      <c r="D882" s="66"/>
      <c r="E882" s="66"/>
      <c r="F882" s="66"/>
      <c r="G882" s="66"/>
      <c r="H882" s="66"/>
      <c r="I882" s="66"/>
      <c r="J882" s="66"/>
      <c r="K882" s="66"/>
      <c r="L882" s="66"/>
      <c r="M882" s="66"/>
      <c r="N882" s="66"/>
      <c r="O882" s="66"/>
      <c r="P882" s="66"/>
      <c r="Q882" s="66"/>
      <c r="R882" s="66"/>
      <c r="S882" s="66"/>
      <c r="T882" s="66"/>
      <c r="U882" s="66"/>
      <c r="V882" s="66"/>
      <c r="W882" s="66"/>
      <c r="X882" s="66"/>
      <c r="Y882" s="66"/>
      <c r="Z882" s="66"/>
    </row>
    <row r="883" spans="1:26" ht="21" x14ac:dyDescent="0.65">
      <c r="A883" s="66"/>
      <c r="B883" s="66"/>
      <c r="C883" s="66"/>
      <c r="D883" s="66"/>
      <c r="E883" s="66"/>
      <c r="F883" s="66"/>
      <c r="G883" s="66"/>
      <c r="H883" s="66"/>
      <c r="I883" s="66"/>
      <c r="J883" s="66"/>
      <c r="K883" s="66"/>
      <c r="L883" s="66"/>
      <c r="M883" s="66"/>
      <c r="N883" s="66"/>
      <c r="O883" s="66"/>
      <c r="P883" s="66"/>
      <c r="Q883" s="66"/>
      <c r="R883" s="66"/>
      <c r="S883" s="66"/>
      <c r="T883" s="66"/>
      <c r="U883" s="66"/>
      <c r="V883" s="66"/>
      <c r="W883" s="66"/>
      <c r="X883" s="66"/>
      <c r="Y883" s="66"/>
      <c r="Z883" s="66"/>
    </row>
    <row r="884" spans="1:26" ht="21" x14ac:dyDescent="0.65">
      <c r="A884" s="66"/>
      <c r="B884" s="66"/>
      <c r="C884" s="66"/>
      <c r="D884" s="66"/>
      <c r="E884" s="66"/>
      <c r="F884" s="66"/>
      <c r="G884" s="66"/>
      <c r="H884" s="66"/>
      <c r="I884" s="66"/>
      <c r="J884" s="66"/>
      <c r="K884" s="66"/>
      <c r="L884" s="66"/>
      <c r="M884" s="66"/>
      <c r="N884" s="66"/>
      <c r="O884" s="66"/>
      <c r="P884" s="66"/>
      <c r="Q884" s="66"/>
      <c r="R884" s="66"/>
      <c r="S884" s="66"/>
      <c r="T884" s="66"/>
      <c r="U884" s="66"/>
      <c r="V884" s="66"/>
      <c r="W884" s="66"/>
      <c r="X884" s="66"/>
      <c r="Y884" s="66"/>
      <c r="Z884" s="66"/>
    </row>
    <row r="885" spans="1:26" ht="21" x14ac:dyDescent="0.65">
      <c r="A885" s="66"/>
      <c r="B885" s="66"/>
      <c r="C885" s="66"/>
      <c r="D885" s="66"/>
      <c r="E885" s="66"/>
      <c r="F885" s="66"/>
      <c r="G885" s="66"/>
      <c r="H885" s="66"/>
      <c r="I885" s="66"/>
      <c r="J885" s="66"/>
      <c r="K885" s="66"/>
      <c r="L885" s="66"/>
      <c r="M885" s="66"/>
      <c r="N885" s="66"/>
      <c r="O885" s="66"/>
      <c r="P885" s="66"/>
      <c r="Q885" s="66"/>
      <c r="R885" s="66"/>
      <c r="S885" s="66"/>
      <c r="T885" s="66"/>
      <c r="U885" s="66"/>
      <c r="V885" s="66"/>
      <c r="W885" s="66"/>
      <c r="X885" s="66"/>
      <c r="Y885" s="66"/>
      <c r="Z885" s="66"/>
    </row>
    <row r="886" spans="1:26" ht="21" x14ac:dyDescent="0.65">
      <c r="A886" s="66"/>
      <c r="B886" s="66"/>
      <c r="C886" s="66"/>
      <c r="D886" s="66"/>
      <c r="E886" s="66"/>
      <c r="F886" s="66"/>
      <c r="G886" s="66"/>
      <c r="H886" s="66"/>
      <c r="I886" s="66"/>
      <c r="J886" s="66"/>
      <c r="K886" s="66"/>
      <c r="L886" s="66"/>
      <c r="M886" s="66"/>
      <c r="N886" s="66"/>
      <c r="O886" s="66"/>
      <c r="P886" s="66"/>
      <c r="Q886" s="66"/>
      <c r="R886" s="66"/>
      <c r="S886" s="66"/>
      <c r="T886" s="66"/>
      <c r="U886" s="66"/>
      <c r="V886" s="66"/>
      <c r="W886" s="66"/>
      <c r="X886" s="66"/>
      <c r="Y886" s="66"/>
      <c r="Z886" s="66"/>
    </row>
    <row r="887" spans="1:26" ht="21" x14ac:dyDescent="0.65">
      <c r="A887" s="66"/>
      <c r="B887" s="66"/>
      <c r="C887" s="66"/>
      <c r="D887" s="66"/>
      <c r="E887" s="66"/>
      <c r="F887" s="66"/>
      <c r="G887" s="66"/>
      <c r="H887" s="66"/>
      <c r="I887" s="66"/>
      <c r="J887" s="66"/>
      <c r="K887" s="66"/>
      <c r="L887" s="66"/>
      <c r="M887" s="66"/>
      <c r="N887" s="66"/>
      <c r="O887" s="66"/>
      <c r="P887" s="66"/>
      <c r="Q887" s="66"/>
      <c r="R887" s="66"/>
      <c r="S887" s="66"/>
      <c r="T887" s="66"/>
      <c r="U887" s="66"/>
      <c r="V887" s="66"/>
      <c r="W887" s="66"/>
      <c r="X887" s="66"/>
      <c r="Y887" s="66"/>
      <c r="Z887" s="66"/>
    </row>
    <row r="888" spans="1:26" ht="21" x14ac:dyDescent="0.65">
      <c r="A888" s="66"/>
      <c r="B888" s="66"/>
      <c r="C888" s="66"/>
      <c r="D888" s="66"/>
      <c r="E888" s="66"/>
      <c r="F888" s="66"/>
      <c r="G888" s="66"/>
      <c r="H888" s="66"/>
      <c r="I888" s="66"/>
      <c r="J888" s="66"/>
      <c r="K888" s="66"/>
      <c r="L888" s="66"/>
      <c r="M888" s="66"/>
      <c r="N888" s="66"/>
      <c r="O888" s="66"/>
      <c r="P888" s="66"/>
      <c r="Q888" s="66"/>
      <c r="R888" s="66"/>
      <c r="S888" s="66"/>
      <c r="T888" s="66"/>
      <c r="U888" s="66"/>
      <c r="V888" s="66"/>
      <c r="W888" s="66"/>
      <c r="X888" s="66"/>
      <c r="Y888" s="66"/>
      <c r="Z888" s="66"/>
    </row>
    <row r="889" spans="1:26" ht="21" x14ac:dyDescent="0.65">
      <c r="A889" s="66"/>
      <c r="B889" s="66"/>
      <c r="C889" s="66"/>
      <c r="D889" s="66"/>
      <c r="E889" s="66"/>
      <c r="F889" s="66"/>
      <c r="G889" s="66"/>
      <c r="H889" s="66"/>
      <c r="I889" s="66"/>
      <c r="J889" s="66"/>
      <c r="K889" s="66"/>
      <c r="L889" s="66"/>
      <c r="M889" s="66"/>
      <c r="N889" s="66"/>
      <c r="O889" s="66"/>
      <c r="P889" s="66"/>
      <c r="Q889" s="66"/>
      <c r="R889" s="66"/>
      <c r="S889" s="66"/>
      <c r="T889" s="66"/>
      <c r="U889" s="66"/>
      <c r="V889" s="66"/>
      <c r="W889" s="66"/>
      <c r="X889" s="66"/>
      <c r="Y889" s="66"/>
      <c r="Z889" s="66"/>
    </row>
    <row r="890" spans="1:26" ht="21" x14ac:dyDescent="0.65">
      <c r="A890" s="66"/>
      <c r="B890" s="66"/>
      <c r="C890" s="66"/>
      <c r="D890" s="66"/>
      <c r="E890" s="66"/>
      <c r="F890" s="66"/>
      <c r="G890" s="66"/>
      <c r="H890" s="66"/>
      <c r="I890" s="66"/>
      <c r="J890" s="66"/>
      <c r="K890" s="66"/>
      <c r="L890" s="66"/>
      <c r="M890" s="66"/>
      <c r="N890" s="66"/>
      <c r="O890" s="66"/>
      <c r="P890" s="66"/>
      <c r="Q890" s="66"/>
      <c r="R890" s="66"/>
      <c r="S890" s="66"/>
      <c r="T890" s="66"/>
      <c r="U890" s="66"/>
      <c r="V890" s="66"/>
      <c r="W890" s="66"/>
      <c r="X890" s="66"/>
      <c r="Y890" s="66"/>
      <c r="Z890" s="66"/>
    </row>
    <row r="891" spans="1:26" ht="21" x14ac:dyDescent="0.65">
      <c r="A891" s="66"/>
      <c r="B891" s="66"/>
      <c r="C891" s="66"/>
      <c r="D891" s="66"/>
      <c r="E891" s="66"/>
      <c r="F891" s="66"/>
      <c r="G891" s="66"/>
      <c r="H891" s="66"/>
      <c r="I891" s="66"/>
      <c r="J891" s="66"/>
      <c r="K891" s="66"/>
      <c r="L891" s="66"/>
      <c r="M891" s="66"/>
      <c r="N891" s="66"/>
      <c r="O891" s="66"/>
      <c r="P891" s="66"/>
      <c r="Q891" s="66"/>
      <c r="R891" s="66"/>
      <c r="S891" s="66"/>
      <c r="T891" s="66"/>
      <c r="U891" s="66"/>
      <c r="V891" s="66"/>
      <c r="W891" s="66"/>
      <c r="X891" s="66"/>
      <c r="Y891" s="66"/>
      <c r="Z891" s="66"/>
    </row>
    <row r="892" spans="1:26" ht="21" x14ac:dyDescent="0.65">
      <c r="A892" s="66"/>
      <c r="B892" s="66"/>
      <c r="C892" s="66"/>
      <c r="D892" s="66"/>
      <c r="E892" s="66"/>
      <c r="F892" s="66"/>
      <c r="G892" s="66"/>
      <c r="H892" s="66"/>
      <c r="I892" s="66"/>
      <c r="J892" s="66"/>
      <c r="K892" s="66"/>
      <c r="L892" s="66"/>
      <c r="M892" s="66"/>
      <c r="N892" s="66"/>
      <c r="O892" s="66"/>
      <c r="P892" s="66"/>
      <c r="Q892" s="66"/>
      <c r="R892" s="66"/>
      <c r="S892" s="66"/>
      <c r="T892" s="66"/>
      <c r="U892" s="66"/>
      <c r="V892" s="66"/>
      <c r="W892" s="66"/>
      <c r="X892" s="66"/>
      <c r="Y892" s="66"/>
      <c r="Z892" s="66"/>
    </row>
    <row r="893" spans="1:26" ht="21" x14ac:dyDescent="0.65">
      <c r="A893" s="66"/>
      <c r="B893" s="66"/>
      <c r="C893" s="66"/>
      <c r="D893" s="66"/>
      <c r="E893" s="66"/>
      <c r="F893" s="66"/>
      <c r="G893" s="66"/>
      <c r="H893" s="66"/>
      <c r="I893" s="66"/>
      <c r="J893" s="66"/>
      <c r="K893" s="66"/>
      <c r="L893" s="66"/>
      <c r="M893" s="66"/>
      <c r="N893" s="66"/>
      <c r="O893" s="66"/>
      <c r="P893" s="66"/>
      <c r="Q893" s="66"/>
      <c r="R893" s="66"/>
      <c r="S893" s="66"/>
      <c r="T893" s="66"/>
      <c r="U893" s="66"/>
      <c r="V893" s="66"/>
      <c r="W893" s="66"/>
      <c r="X893" s="66"/>
      <c r="Y893" s="66"/>
      <c r="Z893" s="66"/>
    </row>
    <row r="894" spans="1:26" ht="21" x14ac:dyDescent="0.65">
      <c r="A894" s="66"/>
      <c r="B894" s="66"/>
      <c r="C894" s="66"/>
      <c r="D894" s="66"/>
      <c r="E894" s="66"/>
      <c r="F894" s="66"/>
      <c r="G894" s="66"/>
      <c r="H894" s="66"/>
      <c r="I894" s="66"/>
      <c r="J894" s="66"/>
      <c r="K894" s="66"/>
      <c r="L894" s="66"/>
      <c r="M894" s="66"/>
      <c r="N894" s="66"/>
      <c r="O894" s="66"/>
      <c r="P894" s="66"/>
      <c r="Q894" s="66"/>
      <c r="R894" s="66"/>
      <c r="S894" s="66"/>
      <c r="T894" s="66"/>
      <c r="U894" s="66"/>
      <c r="V894" s="66"/>
      <c r="W894" s="66"/>
      <c r="X894" s="66"/>
      <c r="Y894" s="66"/>
      <c r="Z894" s="66"/>
    </row>
    <row r="895" spans="1:26" ht="21" x14ac:dyDescent="0.65">
      <c r="A895" s="66"/>
      <c r="B895" s="66"/>
      <c r="C895" s="66"/>
      <c r="D895" s="66"/>
      <c r="E895" s="66"/>
      <c r="F895" s="66"/>
      <c r="G895" s="66"/>
      <c r="H895" s="66"/>
      <c r="I895" s="66"/>
      <c r="J895" s="66"/>
      <c r="K895" s="66"/>
      <c r="L895" s="66"/>
      <c r="M895" s="66"/>
      <c r="N895" s="66"/>
      <c r="O895" s="66"/>
      <c r="P895" s="66"/>
      <c r="Q895" s="66"/>
      <c r="R895" s="66"/>
      <c r="S895" s="66"/>
      <c r="T895" s="66"/>
      <c r="U895" s="66"/>
      <c r="V895" s="66"/>
      <c r="W895" s="66"/>
      <c r="X895" s="66"/>
      <c r="Y895" s="66"/>
      <c r="Z895" s="66"/>
    </row>
    <row r="896" spans="1:26" ht="21" x14ac:dyDescent="0.65">
      <c r="A896" s="66"/>
      <c r="B896" s="66"/>
      <c r="C896" s="66"/>
      <c r="D896" s="66"/>
      <c r="E896" s="66"/>
      <c r="F896" s="66"/>
      <c r="G896" s="66"/>
      <c r="H896" s="66"/>
      <c r="I896" s="66"/>
      <c r="J896" s="66"/>
      <c r="K896" s="66"/>
      <c r="L896" s="66"/>
      <c r="M896" s="66"/>
      <c r="N896" s="66"/>
      <c r="O896" s="66"/>
      <c r="P896" s="66"/>
      <c r="Q896" s="66"/>
      <c r="R896" s="66"/>
      <c r="S896" s="66"/>
      <c r="T896" s="66"/>
      <c r="U896" s="66"/>
      <c r="V896" s="66"/>
      <c r="W896" s="66"/>
      <c r="X896" s="66"/>
      <c r="Y896" s="66"/>
      <c r="Z896" s="66"/>
    </row>
    <row r="897" spans="1:26" ht="21" x14ac:dyDescent="0.65">
      <c r="A897" s="66"/>
      <c r="B897" s="66"/>
      <c r="C897" s="66"/>
      <c r="D897" s="66"/>
      <c r="E897" s="66"/>
      <c r="F897" s="66"/>
      <c r="G897" s="66"/>
      <c r="H897" s="66"/>
      <c r="I897" s="66"/>
      <c r="J897" s="66"/>
      <c r="K897" s="66"/>
      <c r="L897" s="66"/>
      <c r="M897" s="66"/>
      <c r="N897" s="66"/>
      <c r="O897" s="66"/>
      <c r="P897" s="66"/>
      <c r="Q897" s="66"/>
      <c r="R897" s="66"/>
      <c r="S897" s="66"/>
      <c r="T897" s="66"/>
      <c r="U897" s="66"/>
      <c r="V897" s="66"/>
      <c r="W897" s="66"/>
      <c r="X897" s="66"/>
      <c r="Y897" s="66"/>
      <c r="Z897" s="66"/>
    </row>
    <row r="898" spans="1:26" ht="21" x14ac:dyDescent="0.65">
      <c r="A898" s="66"/>
      <c r="B898" s="66"/>
      <c r="C898" s="66"/>
      <c r="D898" s="66"/>
      <c r="E898" s="66"/>
      <c r="F898" s="66"/>
      <c r="G898" s="66"/>
      <c r="H898" s="66"/>
      <c r="I898" s="66"/>
      <c r="J898" s="66"/>
      <c r="K898" s="66"/>
      <c r="L898" s="66"/>
      <c r="M898" s="66"/>
      <c r="N898" s="66"/>
      <c r="O898" s="66"/>
      <c r="P898" s="66"/>
      <c r="Q898" s="66"/>
      <c r="R898" s="66"/>
      <c r="S898" s="66"/>
      <c r="T898" s="66"/>
      <c r="U898" s="66"/>
      <c r="V898" s="66"/>
      <c r="W898" s="66"/>
      <c r="X898" s="66"/>
      <c r="Y898" s="66"/>
      <c r="Z898" s="66"/>
    </row>
    <row r="899" spans="1:26" ht="21" x14ac:dyDescent="0.65">
      <c r="A899" s="66"/>
      <c r="B899" s="66"/>
      <c r="C899" s="66"/>
      <c r="D899" s="66"/>
      <c r="E899" s="66"/>
      <c r="F899" s="66"/>
      <c r="G899" s="66"/>
      <c r="H899" s="66"/>
      <c r="I899" s="66"/>
      <c r="J899" s="66"/>
      <c r="K899" s="66"/>
      <c r="L899" s="66"/>
      <c r="M899" s="66"/>
      <c r="N899" s="66"/>
      <c r="O899" s="66"/>
      <c r="P899" s="66"/>
      <c r="Q899" s="66"/>
      <c r="R899" s="66"/>
      <c r="S899" s="66"/>
      <c r="T899" s="66"/>
      <c r="U899" s="66"/>
      <c r="V899" s="66"/>
      <c r="W899" s="66"/>
      <c r="X899" s="66"/>
      <c r="Y899" s="66"/>
      <c r="Z899" s="66"/>
    </row>
    <row r="900" spans="1:26" ht="21" x14ac:dyDescent="0.65">
      <c r="A900" s="66"/>
      <c r="B900" s="66"/>
      <c r="C900" s="66"/>
      <c r="D900" s="66"/>
      <c r="E900" s="66"/>
      <c r="F900" s="66"/>
      <c r="G900" s="66"/>
      <c r="H900" s="66"/>
      <c r="I900" s="66"/>
      <c r="J900" s="66"/>
      <c r="K900" s="66"/>
      <c r="L900" s="66"/>
      <c r="M900" s="66"/>
      <c r="N900" s="66"/>
      <c r="O900" s="66"/>
      <c r="P900" s="66"/>
      <c r="Q900" s="66"/>
      <c r="R900" s="66"/>
      <c r="S900" s="66"/>
      <c r="T900" s="66"/>
      <c r="U900" s="66"/>
      <c r="V900" s="66"/>
      <c r="W900" s="66"/>
      <c r="X900" s="66"/>
      <c r="Y900" s="66"/>
      <c r="Z900" s="66"/>
    </row>
    <row r="901" spans="1:26" ht="21" x14ac:dyDescent="0.65">
      <c r="A901" s="66"/>
      <c r="B901" s="66"/>
      <c r="C901" s="66"/>
      <c r="D901" s="66"/>
      <c r="E901" s="66"/>
      <c r="F901" s="66"/>
      <c r="G901" s="66"/>
      <c r="H901" s="66"/>
      <c r="I901" s="66"/>
      <c r="J901" s="66"/>
      <c r="K901" s="66"/>
      <c r="L901" s="66"/>
      <c r="M901" s="66"/>
      <c r="N901" s="66"/>
      <c r="O901" s="66"/>
      <c r="P901" s="66"/>
      <c r="Q901" s="66"/>
      <c r="R901" s="66"/>
      <c r="S901" s="66"/>
      <c r="T901" s="66"/>
      <c r="U901" s="66"/>
      <c r="V901" s="66"/>
      <c r="W901" s="66"/>
      <c r="X901" s="66"/>
      <c r="Y901" s="66"/>
      <c r="Z901" s="66"/>
    </row>
    <row r="902" spans="1:26" ht="21" x14ac:dyDescent="0.65">
      <c r="A902" s="66"/>
      <c r="B902" s="66"/>
      <c r="C902" s="66"/>
      <c r="D902" s="66"/>
      <c r="E902" s="66"/>
      <c r="F902" s="66"/>
      <c r="G902" s="66"/>
      <c r="H902" s="66"/>
      <c r="I902" s="66"/>
      <c r="J902" s="66"/>
      <c r="K902" s="66"/>
      <c r="L902" s="66"/>
      <c r="M902" s="66"/>
      <c r="N902" s="66"/>
      <c r="O902" s="66"/>
      <c r="P902" s="66"/>
      <c r="Q902" s="66"/>
      <c r="R902" s="66"/>
      <c r="S902" s="66"/>
      <c r="T902" s="66"/>
      <c r="U902" s="66"/>
      <c r="V902" s="66"/>
      <c r="W902" s="66"/>
      <c r="X902" s="66"/>
      <c r="Y902" s="66"/>
      <c r="Z902" s="66"/>
    </row>
    <row r="903" spans="1:26" ht="21" x14ac:dyDescent="0.65">
      <c r="A903" s="66"/>
      <c r="B903" s="66"/>
      <c r="C903" s="66"/>
      <c r="D903" s="66"/>
      <c r="E903" s="66"/>
      <c r="F903" s="66"/>
      <c r="G903" s="66"/>
      <c r="H903" s="66"/>
      <c r="I903" s="66"/>
      <c r="J903" s="66"/>
      <c r="K903" s="66"/>
      <c r="L903" s="66"/>
      <c r="M903" s="66"/>
      <c r="N903" s="66"/>
      <c r="O903" s="66"/>
      <c r="P903" s="66"/>
      <c r="Q903" s="66"/>
      <c r="R903" s="66"/>
      <c r="S903" s="66"/>
      <c r="T903" s="66"/>
      <c r="U903" s="66"/>
      <c r="V903" s="66"/>
      <c r="W903" s="66"/>
      <c r="X903" s="66"/>
      <c r="Y903" s="66"/>
      <c r="Z903" s="66"/>
    </row>
    <row r="904" spans="1:26" ht="21" x14ac:dyDescent="0.65">
      <c r="A904" s="66"/>
      <c r="B904" s="66"/>
      <c r="C904" s="66"/>
      <c r="D904" s="66"/>
      <c r="E904" s="66"/>
      <c r="F904" s="66"/>
      <c r="G904" s="66"/>
      <c r="H904" s="66"/>
      <c r="I904" s="66"/>
      <c r="J904" s="66"/>
      <c r="K904" s="66"/>
      <c r="L904" s="66"/>
      <c r="M904" s="66"/>
      <c r="N904" s="66"/>
      <c r="O904" s="66"/>
      <c r="P904" s="66"/>
      <c r="Q904" s="66"/>
      <c r="R904" s="66"/>
      <c r="S904" s="66"/>
      <c r="T904" s="66"/>
      <c r="U904" s="66"/>
      <c r="V904" s="66"/>
      <c r="W904" s="66"/>
      <c r="X904" s="66"/>
      <c r="Y904" s="66"/>
      <c r="Z904" s="66"/>
    </row>
    <row r="905" spans="1:26" ht="21" x14ac:dyDescent="0.65">
      <c r="A905" s="66"/>
      <c r="B905" s="66"/>
      <c r="C905" s="66"/>
      <c r="D905" s="66"/>
      <c r="E905" s="66"/>
      <c r="F905" s="66"/>
      <c r="G905" s="66"/>
      <c r="H905" s="66"/>
      <c r="I905" s="66"/>
      <c r="J905" s="66"/>
      <c r="K905" s="66"/>
      <c r="L905" s="66"/>
      <c r="M905" s="66"/>
      <c r="N905" s="66"/>
      <c r="O905" s="66"/>
      <c r="P905" s="66"/>
      <c r="Q905" s="66"/>
      <c r="R905" s="66"/>
      <c r="S905" s="66"/>
      <c r="T905" s="66"/>
      <c r="U905" s="66"/>
      <c r="V905" s="66"/>
      <c r="W905" s="66"/>
      <c r="X905" s="66"/>
      <c r="Y905" s="66"/>
      <c r="Z905" s="66"/>
    </row>
    <row r="906" spans="1:26" ht="21" x14ac:dyDescent="0.65">
      <c r="A906" s="66"/>
      <c r="B906" s="66"/>
      <c r="C906" s="66"/>
      <c r="D906" s="66"/>
      <c r="E906" s="66"/>
      <c r="F906" s="66"/>
      <c r="G906" s="66"/>
      <c r="H906" s="66"/>
      <c r="I906" s="66"/>
      <c r="J906" s="66"/>
      <c r="K906" s="66"/>
      <c r="L906" s="66"/>
      <c r="M906" s="66"/>
      <c r="N906" s="66"/>
      <c r="O906" s="66"/>
      <c r="P906" s="66"/>
      <c r="Q906" s="66"/>
      <c r="R906" s="66"/>
      <c r="S906" s="66"/>
      <c r="T906" s="66"/>
      <c r="U906" s="66"/>
      <c r="V906" s="66"/>
      <c r="W906" s="66"/>
      <c r="X906" s="66"/>
      <c r="Y906" s="66"/>
      <c r="Z906" s="66"/>
    </row>
    <row r="907" spans="1:26" ht="21" x14ac:dyDescent="0.65">
      <c r="A907" s="66"/>
      <c r="B907" s="66"/>
      <c r="C907" s="66"/>
      <c r="D907" s="66"/>
      <c r="E907" s="66"/>
      <c r="F907" s="66"/>
      <c r="G907" s="66"/>
      <c r="H907" s="66"/>
      <c r="I907" s="66"/>
      <c r="J907" s="66"/>
      <c r="K907" s="66"/>
      <c r="L907" s="66"/>
      <c r="M907" s="66"/>
      <c r="N907" s="66"/>
      <c r="O907" s="66"/>
      <c r="P907" s="66"/>
      <c r="Q907" s="66"/>
      <c r="R907" s="66"/>
      <c r="S907" s="66"/>
      <c r="T907" s="66"/>
      <c r="U907" s="66"/>
      <c r="V907" s="66"/>
      <c r="W907" s="66"/>
      <c r="X907" s="66"/>
      <c r="Y907" s="66"/>
      <c r="Z907" s="66"/>
    </row>
    <row r="908" spans="1:26" ht="21" x14ac:dyDescent="0.65">
      <c r="A908" s="66"/>
      <c r="B908" s="66"/>
      <c r="C908" s="66"/>
      <c r="D908" s="66"/>
      <c r="E908" s="66"/>
      <c r="F908" s="66"/>
      <c r="G908" s="66"/>
      <c r="H908" s="66"/>
      <c r="I908" s="66"/>
      <c r="J908" s="66"/>
      <c r="K908" s="66"/>
      <c r="L908" s="66"/>
      <c r="M908" s="66"/>
      <c r="N908" s="66"/>
      <c r="O908" s="66"/>
      <c r="P908" s="66"/>
      <c r="Q908" s="66"/>
      <c r="R908" s="66"/>
      <c r="S908" s="66"/>
      <c r="T908" s="66"/>
      <c r="U908" s="66"/>
      <c r="V908" s="66"/>
      <c r="W908" s="66"/>
      <c r="X908" s="66"/>
      <c r="Y908" s="66"/>
      <c r="Z908" s="66"/>
    </row>
    <row r="909" spans="1:26" ht="21" x14ac:dyDescent="0.65">
      <c r="A909" s="66"/>
      <c r="B909" s="66"/>
      <c r="C909" s="66"/>
      <c r="D909" s="66"/>
      <c r="E909" s="66"/>
      <c r="F909" s="66"/>
      <c r="G909" s="66"/>
      <c r="H909" s="66"/>
      <c r="I909" s="66"/>
      <c r="J909" s="66"/>
      <c r="K909" s="66"/>
      <c r="L909" s="66"/>
      <c r="M909" s="66"/>
      <c r="N909" s="66"/>
      <c r="O909" s="66"/>
      <c r="P909" s="66"/>
      <c r="Q909" s="66"/>
      <c r="R909" s="66"/>
      <c r="S909" s="66"/>
      <c r="T909" s="66"/>
      <c r="U909" s="66"/>
      <c r="V909" s="66"/>
      <c r="W909" s="66"/>
      <c r="X909" s="66"/>
      <c r="Y909" s="66"/>
      <c r="Z909" s="66"/>
    </row>
    <row r="910" spans="1:26" ht="21" x14ac:dyDescent="0.65">
      <c r="A910" s="66"/>
      <c r="B910" s="66"/>
      <c r="C910" s="66"/>
      <c r="D910" s="66"/>
      <c r="E910" s="66"/>
      <c r="F910" s="66"/>
      <c r="G910" s="66"/>
      <c r="H910" s="66"/>
      <c r="I910" s="66"/>
      <c r="J910" s="66"/>
      <c r="K910" s="66"/>
      <c r="L910" s="66"/>
      <c r="M910" s="66"/>
      <c r="N910" s="66"/>
      <c r="O910" s="66"/>
      <c r="P910" s="66"/>
      <c r="Q910" s="66"/>
      <c r="R910" s="66"/>
      <c r="S910" s="66"/>
      <c r="T910" s="66"/>
      <c r="U910" s="66"/>
      <c r="V910" s="66"/>
      <c r="W910" s="66"/>
      <c r="X910" s="66"/>
      <c r="Y910" s="66"/>
      <c r="Z910" s="66"/>
    </row>
    <row r="911" spans="1:26" ht="21" x14ac:dyDescent="0.65">
      <c r="A911" s="66"/>
      <c r="B911" s="66"/>
      <c r="C911" s="66"/>
      <c r="D911" s="66"/>
      <c r="E911" s="66"/>
      <c r="F911" s="66"/>
      <c r="G911" s="66"/>
      <c r="H911" s="66"/>
      <c r="I911" s="66"/>
      <c r="J911" s="66"/>
      <c r="K911" s="66"/>
      <c r="L911" s="66"/>
      <c r="M911" s="66"/>
      <c r="N911" s="66"/>
      <c r="O911" s="66"/>
      <c r="P911" s="66"/>
      <c r="Q911" s="66"/>
      <c r="R911" s="66"/>
      <c r="S911" s="66"/>
      <c r="T911" s="66"/>
      <c r="U911" s="66"/>
      <c r="V911" s="66"/>
      <c r="W911" s="66"/>
      <c r="X911" s="66"/>
      <c r="Y911" s="66"/>
      <c r="Z911" s="66"/>
    </row>
    <row r="912" spans="1:26" ht="21" x14ac:dyDescent="0.65">
      <c r="A912" s="66"/>
      <c r="B912" s="66"/>
      <c r="C912" s="66"/>
      <c r="D912" s="66"/>
      <c r="E912" s="66"/>
      <c r="F912" s="66"/>
      <c r="G912" s="66"/>
      <c r="H912" s="66"/>
      <c r="I912" s="66"/>
      <c r="J912" s="66"/>
      <c r="K912" s="66"/>
      <c r="L912" s="66"/>
      <c r="M912" s="66"/>
      <c r="N912" s="66"/>
      <c r="O912" s="66"/>
      <c r="P912" s="66"/>
      <c r="Q912" s="66"/>
      <c r="R912" s="66"/>
      <c r="S912" s="66"/>
      <c r="T912" s="66"/>
      <c r="U912" s="66"/>
      <c r="V912" s="66"/>
      <c r="W912" s="66"/>
      <c r="X912" s="66"/>
      <c r="Y912" s="66"/>
      <c r="Z912" s="66"/>
    </row>
    <row r="913" spans="1:26" ht="21" x14ac:dyDescent="0.65">
      <c r="A913" s="66"/>
      <c r="B913" s="66"/>
      <c r="C913" s="66"/>
      <c r="D913" s="66"/>
      <c r="E913" s="66"/>
      <c r="F913" s="66"/>
      <c r="G913" s="66"/>
      <c r="H913" s="66"/>
      <c r="I913" s="66"/>
      <c r="J913" s="66"/>
      <c r="K913" s="66"/>
      <c r="L913" s="66"/>
      <c r="M913" s="66"/>
      <c r="N913" s="66"/>
      <c r="O913" s="66"/>
      <c r="P913" s="66"/>
      <c r="Q913" s="66"/>
      <c r="R913" s="66"/>
      <c r="S913" s="66"/>
      <c r="T913" s="66"/>
      <c r="U913" s="66"/>
      <c r="V913" s="66"/>
      <c r="W913" s="66"/>
      <c r="X913" s="66"/>
      <c r="Y913" s="66"/>
      <c r="Z913" s="66"/>
    </row>
    <row r="914" spans="1:26" ht="21" x14ac:dyDescent="0.65">
      <c r="A914" s="66"/>
      <c r="B914" s="66"/>
      <c r="C914" s="66"/>
      <c r="D914" s="66"/>
      <c r="E914" s="66"/>
      <c r="F914" s="66"/>
      <c r="G914" s="66"/>
      <c r="H914" s="66"/>
      <c r="I914" s="66"/>
      <c r="J914" s="66"/>
      <c r="K914" s="66"/>
      <c r="L914" s="66"/>
      <c r="M914" s="66"/>
      <c r="N914" s="66"/>
      <c r="O914" s="66"/>
      <c r="P914" s="66"/>
      <c r="Q914" s="66"/>
      <c r="R914" s="66"/>
      <c r="S914" s="66"/>
      <c r="T914" s="66"/>
      <c r="U914" s="66"/>
      <c r="V914" s="66"/>
      <c r="W914" s="66"/>
      <c r="X914" s="66"/>
      <c r="Y914" s="66"/>
      <c r="Z914" s="66"/>
    </row>
    <row r="915" spans="1:26" ht="21" x14ac:dyDescent="0.65">
      <c r="A915" s="66"/>
      <c r="B915" s="66"/>
      <c r="C915" s="66"/>
      <c r="D915" s="66"/>
      <c r="E915" s="66"/>
      <c r="F915" s="66"/>
      <c r="G915" s="66"/>
      <c r="H915" s="66"/>
      <c r="I915" s="66"/>
      <c r="J915" s="66"/>
      <c r="K915" s="66"/>
      <c r="L915" s="66"/>
      <c r="M915" s="66"/>
      <c r="N915" s="66"/>
      <c r="O915" s="66"/>
      <c r="P915" s="66"/>
      <c r="Q915" s="66"/>
      <c r="R915" s="66"/>
      <c r="S915" s="66"/>
      <c r="T915" s="66"/>
      <c r="U915" s="66"/>
      <c r="V915" s="66"/>
      <c r="W915" s="66"/>
      <c r="X915" s="66"/>
      <c r="Y915" s="66"/>
      <c r="Z915" s="66"/>
    </row>
    <row r="916" spans="1:26" ht="21" x14ac:dyDescent="0.65">
      <c r="A916" s="66"/>
      <c r="B916" s="66"/>
      <c r="C916" s="66"/>
      <c r="D916" s="66"/>
      <c r="E916" s="66"/>
      <c r="F916" s="66"/>
      <c r="G916" s="66"/>
      <c r="H916" s="66"/>
      <c r="I916" s="66"/>
      <c r="J916" s="66"/>
      <c r="K916" s="66"/>
      <c r="L916" s="66"/>
      <c r="M916" s="66"/>
      <c r="N916" s="66"/>
      <c r="O916" s="66"/>
      <c r="P916" s="66"/>
      <c r="Q916" s="66"/>
      <c r="R916" s="66"/>
      <c r="S916" s="66"/>
      <c r="T916" s="66"/>
      <c r="U916" s="66"/>
      <c r="V916" s="66"/>
      <c r="W916" s="66"/>
      <c r="X916" s="66"/>
      <c r="Y916" s="66"/>
      <c r="Z916" s="66"/>
    </row>
    <row r="917" spans="1:26" ht="21" x14ac:dyDescent="0.65">
      <c r="A917" s="66"/>
      <c r="B917" s="66"/>
      <c r="C917" s="66"/>
      <c r="D917" s="66"/>
      <c r="E917" s="66"/>
      <c r="F917" s="66"/>
      <c r="G917" s="66"/>
      <c r="H917" s="66"/>
      <c r="I917" s="66"/>
      <c r="J917" s="66"/>
      <c r="K917" s="66"/>
      <c r="L917" s="66"/>
      <c r="M917" s="66"/>
      <c r="N917" s="66"/>
      <c r="O917" s="66"/>
      <c r="P917" s="66"/>
      <c r="Q917" s="66"/>
      <c r="R917" s="66"/>
      <c r="S917" s="66"/>
      <c r="T917" s="66"/>
      <c r="U917" s="66"/>
      <c r="V917" s="66"/>
      <c r="W917" s="66"/>
      <c r="X917" s="66"/>
      <c r="Y917" s="66"/>
      <c r="Z917" s="66"/>
    </row>
    <row r="918" spans="1:26" ht="21" x14ac:dyDescent="0.65">
      <c r="A918" s="66"/>
      <c r="B918" s="66"/>
      <c r="C918" s="66"/>
      <c r="D918" s="66"/>
      <c r="E918" s="66"/>
      <c r="F918" s="66"/>
      <c r="G918" s="66"/>
      <c r="H918" s="66"/>
      <c r="I918" s="66"/>
      <c r="J918" s="66"/>
      <c r="K918" s="66"/>
      <c r="L918" s="66"/>
      <c r="M918" s="66"/>
      <c r="N918" s="66"/>
      <c r="O918" s="66"/>
      <c r="P918" s="66"/>
      <c r="Q918" s="66"/>
      <c r="R918" s="66"/>
      <c r="S918" s="66"/>
      <c r="T918" s="66"/>
      <c r="U918" s="66"/>
      <c r="V918" s="66"/>
      <c r="W918" s="66"/>
      <c r="X918" s="66"/>
      <c r="Y918" s="66"/>
      <c r="Z918" s="66"/>
    </row>
    <row r="919" spans="1:26" ht="21" x14ac:dyDescent="0.65">
      <c r="A919" s="66"/>
      <c r="B919" s="66"/>
      <c r="C919" s="66"/>
      <c r="D919" s="66"/>
      <c r="E919" s="66"/>
      <c r="F919" s="66"/>
      <c r="G919" s="66"/>
      <c r="H919" s="66"/>
      <c r="I919" s="66"/>
      <c r="J919" s="66"/>
      <c r="K919" s="66"/>
      <c r="L919" s="66"/>
      <c r="M919" s="66"/>
      <c r="N919" s="66"/>
      <c r="O919" s="66"/>
      <c r="P919" s="66"/>
      <c r="Q919" s="66"/>
      <c r="R919" s="66"/>
      <c r="S919" s="66"/>
      <c r="T919" s="66"/>
      <c r="U919" s="66"/>
      <c r="V919" s="66"/>
      <c r="W919" s="66"/>
      <c r="X919" s="66"/>
      <c r="Y919" s="66"/>
      <c r="Z919" s="66"/>
    </row>
    <row r="920" spans="1:26" ht="21" x14ac:dyDescent="0.65">
      <c r="A920" s="66"/>
      <c r="B920" s="66"/>
      <c r="C920" s="66"/>
      <c r="D920" s="66"/>
      <c r="E920" s="66"/>
      <c r="F920" s="66"/>
      <c r="G920" s="66"/>
      <c r="H920" s="66"/>
      <c r="I920" s="66"/>
      <c r="J920" s="66"/>
      <c r="K920" s="66"/>
      <c r="L920" s="66"/>
      <c r="M920" s="66"/>
      <c r="N920" s="66"/>
      <c r="O920" s="66"/>
      <c r="P920" s="66"/>
      <c r="Q920" s="66"/>
      <c r="R920" s="66"/>
      <c r="S920" s="66"/>
      <c r="T920" s="66"/>
      <c r="U920" s="66"/>
      <c r="V920" s="66"/>
      <c r="W920" s="66"/>
      <c r="X920" s="66"/>
      <c r="Y920" s="66"/>
      <c r="Z920" s="66"/>
    </row>
    <row r="921" spans="1:26" ht="21" x14ac:dyDescent="0.65">
      <c r="A921" s="66"/>
      <c r="B921" s="66"/>
      <c r="C921" s="66"/>
      <c r="D921" s="66"/>
      <c r="E921" s="66"/>
      <c r="F921" s="66"/>
      <c r="G921" s="66"/>
      <c r="H921" s="66"/>
      <c r="I921" s="66"/>
      <c r="J921" s="66"/>
      <c r="K921" s="66"/>
      <c r="L921" s="66"/>
      <c r="M921" s="66"/>
      <c r="N921" s="66"/>
      <c r="O921" s="66"/>
      <c r="P921" s="66"/>
      <c r="Q921" s="66"/>
      <c r="R921" s="66"/>
      <c r="S921" s="66"/>
      <c r="T921" s="66"/>
      <c r="U921" s="66"/>
      <c r="V921" s="66"/>
      <c r="W921" s="66"/>
      <c r="X921" s="66"/>
      <c r="Y921" s="66"/>
      <c r="Z921" s="66"/>
    </row>
    <row r="922" spans="1:26" ht="21" x14ac:dyDescent="0.65">
      <c r="A922" s="66"/>
      <c r="B922" s="66"/>
      <c r="C922" s="66"/>
      <c r="D922" s="66"/>
      <c r="E922" s="66"/>
      <c r="F922" s="66"/>
      <c r="G922" s="66"/>
      <c r="H922" s="66"/>
      <c r="I922" s="66"/>
      <c r="J922" s="66"/>
      <c r="K922" s="66"/>
      <c r="L922" s="66"/>
      <c r="M922" s="66"/>
      <c r="N922" s="66"/>
      <c r="O922" s="66"/>
      <c r="P922" s="66"/>
      <c r="Q922" s="66"/>
      <c r="R922" s="66"/>
      <c r="S922" s="66"/>
      <c r="T922" s="66"/>
      <c r="U922" s="66"/>
      <c r="V922" s="66"/>
      <c r="W922" s="66"/>
      <c r="X922" s="66"/>
      <c r="Y922" s="66"/>
      <c r="Z922" s="66"/>
    </row>
    <row r="923" spans="1:26" ht="21" x14ac:dyDescent="0.65">
      <c r="A923" s="66"/>
      <c r="B923" s="66"/>
      <c r="C923" s="66"/>
      <c r="D923" s="66"/>
      <c r="E923" s="66"/>
      <c r="F923" s="66"/>
      <c r="G923" s="66"/>
      <c r="H923" s="66"/>
      <c r="I923" s="66"/>
      <c r="J923" s="66"/>
      <c r="K923" s="66"/>
      <c r="L923" s="66"/>
      <c r="M923" s="66"/>
      <c r="N923" s="66"/>
      <c r="O923" s="66"/>
      <c r="P923" s="66"/>
      <c r="Q923" s="66"/>
      <c r="R923" s="66"/>
      <c r="S923" s="66"/>
      <c r="T923" s="66"/>
      <c r="U923" s="66"/>
      <c r="V923" s="66"/>
      <c r="W923" s="66"/>
      <c r="X923" s="66"/>
      <c r="Y923" s="66"/>
      <c r="Z923" s="66"/>
    </row>
    <row r="924" spans="1:26" ht="21" x14ac:dyDescent="0.65">
      <c r="A924" s="66"/>
      <c r="B924" s="66"/>
      <c r="C924" s="66"/>
      <c r="D924" s="66"/>
      <c r="E924" s="66"/>
      <c r="F924" s="66"/>
      <c r="G924" s="66"/>
      <c r="H924" s="66"/>
      <c r="I924" s="66"/>
      <c r="J924" s="66"/>
      <c r="K924" s="66"/>
      <c r="L924" s="66"/>
      <c r="M924" s="66"/>
      <c r="N924" s="66"/>
      <c r="O924" s="66"/>
      <c r="P924" s="66"/>
      <c r="Q924" s="66"/>
      <c r="R924" s="66"/>
      <c r="S924" s="66"/>
      <c r="T924" s="66"/>
      <c r="U924" s="66"/>
      <c r="V924" s="66"/>
      <c r="W924" s="66"/>
      <c r="X924" s="66"/>
      <c r="Y924" s="66"/>
      <c r="Z924" s="66"/>
    </row>
    <row r="925" spans="1:26" ht="21" x14ac:dyDescent="0.65">
      <c r="A925" s="66"/>
      <c r="B925" s="66"/>
      <c r="C925" s="66"/>
      <c r="D925" s="66"/>
      <c r="E925" s="66"/>
      <c r="F925" s="66"/>
      <c r="G925" s="66"/>
      <c r="H925" s="66"/>
      <c r="I925" s="66"/>
      <c r="J925" s="66"/>
      <c r="K925" s="66"/>
      <c r="L925" s="66"/>
      <c r="M925" s="66"/>
      <c r="N925" s="66"/>
      <c r="O925" s="66"/>
      <c r="P925" s="66"/>
      <c r="Q925" s="66"/>
      <c r="R925" s="66"/>
      <c r="S925" s="66"/>
      <c r="T925" s="66"/>
      <c r="U925" s="66"/>
      <c r="V925" s="66"/>
      <c r="W925" s="66"/>
      <c r="X925" s="66"/>
      <c r="Y925" s="66"/>
      <c r="Z925" s="66"/>
    </row>
    <row r="926" spans="1:26" ht="21" x14ac:dyDescent="0.65">
      <c r="A926" s="66"/>
      <c r="B926" s="66"/>
      <c r="C926" s="66"/>
      <c r="D926" s="66"/>
      <c r="E926" s="66"/>
      <c r="F926" s="66"/>
      <c r="G926" s="66"/>
      <c r="H926" s="66"/>
      <c r="I926" s="66"/>
      <c r="J926" s="66"/>
      <c r="K926" s="66"/>
      <c r="L926" s="66"/>
      <c r="M926" s="66"/>
      <c r="N926" s="66"/>
      <c r="O926" s="66"/>
      <c r="P926" s="66"/>
      <c r="Q926" s="66"/>
      <c r="R926" s="66"/>
      <c r="S926" s="66"/>
      <c r="T926" s="66"/>
      <c r="U926" s="66"/>
      <c r="V926" s="66"/>
      <c r="W926" s="66"/>
      <c r="X926" s="66"/>
      <c r="Y926" s="66"/>
      <c r="Z926" s="66"/>
    </row>
    <row r="927" spans="1:26" ht="21" x14ac:dyDescent="0.65">
      <c r="A927" s="66"/>
      <c r="B927" s="66"/>
      <c r="C927" s="66"/>
      <c r="D927" s="66"/>
      <c r="E927" s="66"/>
      <c r="F927" s="66"/>
      <c r="G927" s="66"/>
      <c r="H927" s="66"/>
      <c r="I927" s="66"/>
      <c r="J927" s="66"/>
      <c r="K927" s="66"/>
      <c r="L927" s="66"/>
      <c r="M927" s="66"/>
      <c r="N927" s="66"/>
      <c r="O927" s="66"/>
      <c r="P927" s="66"/>
      <c r="Q927" s="66"/>
      <c r="R927" s="66"/>
      <c r="S927" s="66"/>
      <c r="T927" s="66"/>
      <c r="U927" s="66"/>
      <c r="V927" s="66"/>
      <c r="W927" s="66"/>
      <c r="X927" s="66"/>
      <c r="Y927" s="66"/>
      <c r="Z927" s="66"/>
    </row>
    <row r="928" spans="1:26" ht="21" x14ac:dyDescent="0.65">
      <c r="A928" s="66"/>
      <c r="B928" s="66"/>
      <c r="C928" s="66"/>
      <c r="D928" s="66"/>
      <c r="E928" s="66"/>
      <c r="F928" s="66"/>
      <c r="G928" s="66"/>
      <c r="H928" s="66"/>
      <c r="I928" s="66"/>
      <c r="J928" s="66"/>
      <c r="K928" s="66"/>
      <c r="L928" s="66"/>
      <c r="M928" s="66"/>
      <c r="N928" s="66"/>
      <c r="O928" s="66"/>
      <c r="P928" s="66"/>
      <c r="Q928" s="66"/>
      <c r="R928" s="66"/>
      <c r="S928" s="66"/>
      <c r="T928" s="66"/>
      <c r="U928" s="66"/>
      <c r="V928" s="66"/>
      <c r="W928" s="66"/>
      <c r="X928" s="66"/>
      <c r="Y928" s="66"/>
      <c r="Z928" s="66"/>
    </row>
    <row r="929" spans="1:26" ht="21" x14ac:dyDescent="0.65">
      <c r="A929" s="66"/>
      <c r="B929" s="66"/>
      <c r="C929" s="66"/>
      <c r="D929" s="66"/>
      <c r="E929" s="66"/>
      <c r="F929" s="66"/>
      <c r="G929" s="66"/>
      <c r="H929" s="66"/>
      <c r="I929" s="66"/>
      <c r="J929" s="66"/>
      <c r="K929" s="66"/>
      <c r="L929" s="66"/>
      <c r="M929" s="66"/>
      <c r="N929" s="66"/>
      <c r="O929" s="66"/>
      <c r="P929" s="66"/>
      <c r="Q929" s="66"/>
      <c r="R929" s="66"/>
      <c r="S929" s="66"/>
      <c r="T929" s="66"/>
      <c r="U929" s="66"/>
      <c r="V929" s="66"/>
      <c r="W929" s="66"/>
      <c r="X929" s="66"/>
      <c r="Y929" s="66"/>
      <c r="Z929" s="66"/>
    </row>
    <row r="930" spans="1:26" ht="21" x14ac:dyDescent="0.65">
      <c r="A930" s="66"/>
      <c r="B930" s="66"/>
      <c r="C930" s="66"/>
      <c r="D930" s="66"/>
      <c r="E930" s="66"/>
      <c r="F930" s="66"/>
      <c r="G930" s="66"/>
      <c r="H930" s="66"/>
      <c r="I930" s="66"/>
      <c r="J930" s="66"/>
      <c r="K930" s="66"/>
      <c r="L930" s="66"/>
      <c r="M930" s="66"/>
      <c r="N930" s="66"/>
      <c r="O930" s="66"/>
      <c r="P930" s="66"/>
      <c r="Q930" s="66"/>
      <c r="R930" s="66"/>
      <c r="S930" s="66"/>
      <c r="T930" s="66"/>
      <c r="U930" s="66"/>
      <c r="V930" s="66"/>
      <c r="W930" s="66"/>
      <c r="X930" s="66"/>
      <c r="Y930" s="66"/>
      <c r="Z930" s="66"/>
    </row>
    <row r="931" spans="1:26" ht="21" x14ac:dyDescent="0.65">
      <c r="A931" s="66"/>
      <c r="B931" s="66"/>
      <c r="C931" s="66"/>
      <c r="D931" s="66"/>
      <c r="E931" s="66"/>
      <c r="F931" s="66"/>
      <c r="G931" s="66"/>
      <c r="H931" s="66"/>
      <c r="I931" s="66"/>
      <c r="J931" s="66"/>
      <c r="K931" s="66"/>
      <c r="L931" s="66"/>
      <c r="M931" s="66"/>
      <c r="N931" s="66"/>
      <c r="O931" s="66"/>
      <c r="P931" s="66"/>
      <c r="Q931" s="66"/>
      <c r="R931" s="66"/>
      <c r="S931" s="66"/>
      <c r="T931" s="66"/>
      <c r="U931" s="66"/>
      <c r="V931" s="66"/>
      <c r="W931" s="66"/>
      <c r="X931" s="66"/>
      <c r="Y931" s="66"/>
      <c r="Z931" s="66"/>
    </row>
    <row r="932" spans="1:26" ht="21" x14ac:dyDescent="0.65">
      <c r="A932" s="66"/>
      <c r="B932" s="66"/>
      <c r="C932" s="66"/>
      <c r="D932" s="66"/>
      <c r="E932" s="66"/>
      <c r="F932" s="66"/>
      <c r="G932" s="66"/>
      <c r="H932" s="66"/>
      <c r="I932" s="66"/>
      <c r="J932" s="66"/>
      <c r="K932" s="66"/>
      <c r="L932" s="66"/>
      <c r="M932" s="66"/>
      <c r="N932" s="66"/>
      <c r="O932" s="66"/>
      <c r="P932" s="66"/>
      <c r="Q932" s="66"/>
      <c r="R932" s="66"/>
      <c r="S932" s="66"/>
      <c r="T932" s="66"/>
      <c r="U932" s="66"/>
      <c r="V932" s="66"/>
      <c r="W932" s="66"/>
      <c r="X932" s="66"/>
      <c r="Y932" s="66"/>
      <c r="Z932" s="66"/>
    </row>
    <row r="933" spans="1:26" ht="21" x14ac:dyDescent="0.65">
      <c r="A933" s="66"/>
      <c r="B933" s="66"/>
      <c r="C933" s="66"/>
      <c r="D933" s="66"/>
      <c r="E933" s="66"/>
      <c r="F933" s="66"/>
      <c r="G933" s="66"/>
      <c r="H933" s="66"/>
      <c r="I933" s="66"/>
      <c r="J933" s="66"/>
      <c r="K933" s="66"/>
      <c r="L933" s="66"/>
      <c r="M933" s="66"/>
      <c r="N933" s="66"/>
      <c r="O933" s="66"/>
      <c r="P933" s="66"/>
      <c r="Q933" s="66"/>
      <c r="R933" s="66"/>
      <c r="S933" s="66"/>
      <c r="T933" s="66"/>
      <c r="U933" s="66"/>
      <c r="V933" s="66"/>
      <c r="W933" s="66"/>
      <c r="X933" s="66"/>
      <c r="Y933" s="66"/>
      <c r="Z933" s="66"/>
    </row>
    <row r="934" spans="1:26" ht="21" x14ac:dyDescent="0.65">
      <c r="A934" s="66"/>
      <c r="B934" s="66"/>
      <c r="C934" s="66"/>
      <c r="D934" s="66"/>
      <c r="E934" s="66"/>
      <c r="F934" s="66"/>
      <c r="G934" s="66"/>
      <c r="H934" s="66"/>
      <c r="I934" s="66"/>
      <c r="J934" s="66"/>
      <c r="K934" s="66"/>
      <c r="L934" s="66"/>
      <c r="M934" s="66"/>
      <c r="N934" s="66"/>
      <c r="O934" s="66"/>
      <c r="P934" s="66"/>
      <c r="Q934" s="66"/>
      <c r="R934" s="66"/>
      <c r="S934" s="66"/>
      <c r="T934" s="66"/>
      <c r="U934" s="66"/>
      <c r="V934" s="66"/>
      <c r="W934" s="66"/>
      <c r="X934" s="66"/>
      <c r="Y934" s="66"/>
      <c r="Z934" s="66"/>
    </row>
    <row r="935" spans="1:26" ht="21" x14ac:dyDescent="0.65">
      <c r="A935" s="66"/>
      <c r="B935" s="66"/>
      <c r="C935" s="66"/>
      <c r="D935" s="66"/>
      <c r="E935" s="66"/>
      <c r="F935" s="66"/>
      <c r="G935" s="66"/>
      <c r="H935" s="66"/>
      <c r="I935" s="66"/>
      <c r="J935" s="66"/>
      <c r="K935" s="66"/>
      <c r="L935" s="66"/>
      <c r="M935" s="66"/>
      <c r="N935" s="66"/>
      <c r="O935" s="66"/>
      <c r="P935" s="66"/>
      <c r="Q935" s="66"/>
      <c r="R935" s="66"/>
      <c r="S935" s="66"/>
      <c r="T935" s="66"/>
      <c r="U935" s="66"/>
      <c r="V935" s="66"/>
      <c r="W935" s="66"/>
      <c r="X935" s="66"/>
      <c r="Y935" s="66"/>
      <c r="Z935" s="66"/>
    </row>
    <row r="936" spans="1:26" ht="21" x14ac:dyDescent="0.65">
      <c r="A936" s="66"/>
      <c r="B936" s="66"/>
      <c r="C936" s="66"/>
      <c r="D936" s="66"/>
      <c r="E936" s="66"/>
      <c r="F936" s="66"/>
      <c r="G936" s="66"/>
      <c r="H936" s="66"/>
      <c r="I936" s="66"/>
      <c r="J936" s="66"/>
      <c r="K936" s="66"/>
      <c r="L936" s="66"/>
      <c r="M936" s="66"/>
      <c r="N936" s="66"/>
      <c r="O936" s="66"/>
      <c r="P936" s="66"/>
      <c r="Q936" s="66"/>
      <c r="R936" s="66"/>
      <c r="S936" s="66"/>
      <c r="T936" s="66"/>
      <c r="U936" s="66"/>
      <c r="V936" s="66"/>
      <c r="W936" s="66"/>
      <c r="X936" s="66"/>
      <c r="Y936" s="66"/>
      <c r="Z936" s="66"/>
    </row>
    <row r="937" spans="1:26" ht="21" x14ac:dyDescent="0.65">
      <c r="A937" s="66"/>
      <c r="B937" s="66"/>
      <c r="C937" s="66"/>
      <c r="D937" s="66"/>
      <c r="E937" s="66"/>
      <c r="F937" s="66"/>
      <c r="G937" s="66"/>
      <c r="H937" s="66"/>
      <c r="I937" s="66"/>
      <c r="J937" s="66"/>
      <c r="K937" s="66"/>
      <c r="L937" s="66"/>
      <c r="M937" s="66"/>
      <c r="N937" s="66"/>
      <c r="O937" s="66"/>
      <c r="P937" s="66"/>
      <c r="Q937" s="66"/>
      <c r="R937" s="66"/>
      <c r="S937" s="66"/>
      <c r="T937" s="66"/>
      <c r="U937" s="66"/>
      <c r="V937" s="66"/>
      <c r="W937" s="66"/>
      <c r="X937" s="66"/>
      <c r="Y937" s="66"/>
      <c r="Z937" s="66"/>
    </row>
    <row r="938" spans="1:26" ht="21" x14ac:dyDescent="0.65">
      <c r="A938" s="66"/>
      <c r="B938" s="66"/>
      <c r="C938" s="66"/>
      <c r="D938" s="66"/>
      <c r="E938" s="66"/>
      <c r="F938" s="66"/>
      <c r="G938" s="66"/>
      <c r="H938" s="66"/>
      <c r="I938" s="66"/>
      <c r="J938" s="66"/>
      <c r="K938" s="66"/>
      <c r="L938" s="66"/>
      <c r="M938" s="66"/>
      <c r="N938" s="66"/>
      <c r="O938" s="66"/>
      <c r="P938" s="66"/>
      <c r="Q938" s="66"/>
      <c r="R938" s="66"/>
      <c r="S938" s="66"/>
      <c r="T938" s="66"/>
      <c r="U938" s="66"/>
      <c r="V938" s="66"/>
      <c r="W938" s="66"/>
      <c r="X938" s="66"/>
      <c r="Y938" s="66"/>
      <c r="Z938" s="66"/>
    </row>
    <row r="939" spans="1:26" ht="21" x14ac:dyDescent="0.65">
      <c r="A939" s="66"/>
      <c r="B939" s="66"/>
      <c r="C939" s="66"/>
      <c r="D939" s="66"/>
      <c r="E939" s="66"/>
      <c r="F939" s="66"/>
      <c r="G939" s="66"/>
      <c r="H939" s="66"/>
      <c r="I939" s="66"/>
      <c r="J939" s="66"/>
      <c r="K939" s="66"/>
      <c r="L939" s="66"/>
      <c r="M939" s="66"/>
      <c r="N939" s="66"/>
      <c r="O939" s="66"/>
      <c r="P939" s="66"/>
      <c r="Q939" s="66"/>
      <c r="R939" s="66"/>
      <c r="S939" s="66"/>
      <c r="T939" s="66"/>
      <c r="U939" s="66"/>
      <c r="V939" s="66"/>
      <c r="W939" s="66"/>
      <c r="X939" s="66"/>
      <c r="Y939" s="66"/>
      <c r="Z939" s="66"/>
    </row>
    <row r="940" spans="1:26" ht="21" x14ac:dyDescent="0.65">
      <c r="A940" s="66"/>
      <c r="B940" s="66"/>
      <c r="C940" s="66"/>
      <c r="D940" s="66"/>
      <c r="E940" s="66"/>
      <c r="F940" s="66"/>
      <c r="G940" s="66"/>
      <c r="H940" s="66"/>
      <c r="I940" s="66"/>
      <c r="J940" s="66"/>
      <c r="K940" s="66"/>
      <c r="L940" s="66"/>
      <c r="M940" s="66"/>
      <c r="N940" s="66"/>
      <c r="O940" s="66"/>
      <c r="P940" s="66"/>
      <c r="Q940" s="66"/>
      <c r="R940" s="66"/>
      <c r="S940" s="66"/>
      <c r="T940" s="66"/>
      <c r="U940" s="66"/>
      <c r="V940" s="66"/>
      <c r="W940" s="66"/>
      <c r="X940" s="66"/>
      <c r="Y940" s="66"/>
      <c r="Z940" s="66"/>
    </row>
    <row r="941" spans="1:26" ht="21" x14ac:dyDescent="0.65">
      <c r="A941" s="66"/>
      <c r="B941" s="66"/>
      <c r="C941" s="66"/>
      <c r="D941" s="66"/>
      <c r="E941" s="66"/>
      <c r="F941" s="66"/>
      <c r="G941" s="66"/>
      <c r="H941" s="66"/>
      <c r="I941" s="66"/>
      <c r="J941" s="66"/>
      <c r="K941" s="66"/>
      <c r="L941" s="66"/>
      <c r="M941" s="66"/>
      <c r="N941" s="66"/>
      <c r="O941" s="66"/>
      <c r="P941" s="66"/>
      <c r="Q941" s="66"/>
      <c r="R941" s="66"/>
      <c r="S941" s="66"/>
      <c r="T941" s="66"/>
      <c r="U941" s="66"/>
      <c r="V941" s="66"/>
      <c r="W941" s="66"/>
      <c r="X941" s="66"/>
      <c r="Y941" s="66"/>
      <c r="Z941" s="66"/>
    </row>
    <row r="942" spans="1:26" ht="21" x14ac:dyDescent="0.65">
      <c r="A942" s="66"/>
      <c r="B942" s="66"/>
      <c r="C942" s="66"/>
      <c r="D942" s="66"/>
      <c r="E942" s="66"/>
      <c r="F942" s="66"/>
      <c r="G942" s="66"/>
      <c r="H942" s="66"/>
      <c r="I942" s="66"/>
      <c r="J942" s="66"/>
      <c r="K942" s="66"/>
      <c r="L942" s="66"/>
      <c r="M942" s="66"/>
      <c r="N942" s="66"/>
      <c r="O942" s="66"/>
      <c r="P942" s="66"/>
      <c r="Q942" s="66"/>
      <c r="R942" s="66"/>
      <c r="S942" s="66"/>
      <c r="T942" s="66"/>
      <c r="U942" s="66"/>
      <c r="V942" s="66"/>
      <c r="W942" s="66"/>
      <c r="X942" s="66"/>
      <c r="Y942" s="66"/>
      <c r="Z942" s="66"/>
    </row>
    <row r="943" spans="1:26" ht="21" x14ac:dyDescent="0.65">
      <c r="A943" s="66"/>
      <c r="B943" s="66"/>
      <c r="C943" s="66"/>
      <c r="D943" s="66"/>
      <c r="E943" s="66"/>
      <c r="F943" s="66"/>
      <c r="G943" s="66"/>
      <c r="H943" s="66"/>
      <c r="I943" s="66"/>
      <c r="J943" s="66"/>
      <c r="K943" s="66"/>
      <c r="L943" s="66"/>
      <c r="M943" s="66"/>
      <c r="N943" s="66"/>
      <c r="O943" s="66"/>
      <c r="P943" s="66"/>
      <c r="Q943" s="66"/>
      <c r="R943" s="66"/>
      <c r="S943" s="66"/>
      <c r="T943" s="66"/>
      <c r="U943" s="66"/>
      <c r="V943" s="66"/>
      <c r="W943" s="66"/>
      <c r="X943" s="66"/>
      <c r="Y943" s="66"/>
      <c r="Z943" s="66"/>
    </row>
    <row r="944" spans="1:26" ht="21" x14ac:dyDescent="0.65">
      <c r="A944" s="66"/>
      <c r="B944" s="66"/>
      <c r="C944" s="66"/>
      <c r="D944" s="66"/>
      <c r="E944" s="66"/>
      <c r="F944" s="66"/>
      <c r="G944" s="66"/>
      <c r="H944" s="66"/>
      <c r="I944" s="66"/>
      <c r="J944" s="66"/>
      <c r="K944" s="66"/>
      <c r="L944" s="66"/>
      <c r="M944" s="66"/>
      <c r="N944" s="66"/>
      <c r="O944" s="66"/>
      <c r="P944" s="66"/>
      <c r="Q944" s="66"/>
      <c r="R944" s="66"/>
      <c r="S944" s="66"/>
      <c r="T944" s="66"/>
      <c r="U944" s="66"/>
      <c r="V944" s="66"/>
      <c r="W944" s="66"/>
      <c r="X944" s="66"/>
      <c r="Y944" s="66"/>
      <c r="Z944" s="66"/>
    </row>
    <row r="945" spans="1:26" ht="21" x14ac:dyDescent="0.65">
      <c r="A945" s="66"/>
      <c r="B945" s="66"/>
      <c r="C945" s="66"/>
      <c r="D945" s="66"/>
      <c r="E945" s="66"/>
      <c r="F945" s="66"/>
      <c r="G945" s="66"/>
      <c r="H945" s="66"/>
      <c r="I945" s="66"/>
      <c r="J945" s="66"/>
      <c r="K945" s="66"/>
      <c r="L945" s="66"/>
      <c r="M945" s="66"/>
      <c r="N945" s="66"/>
      <c r="O945" s="66"/>
      <c r="P945" s="66"/>
      <c r="Q945" s="66"/>
      <c r="R945" s="66"/>
      <c r="S945" s="66"/>
      <c r="T945" s="66"/>
      <c r="U945" s="66"/>
      <c r="V945" s="66"/>
      <c r="W945" s="66"/>
      <c r="X945" s="66"/>
      <c r="Y945" s="66"/>
      <c r="Z945" s="66"/>
    </row>
    <row r="946" spans="1:26" ht="21" x14ac:dyDescent="0.65">
      <c r="A946" s="66"/>
      <c r="B946" s="66"/>
      <c r="C946" s="66"/>
      <c r="D946" s="66"/>
      <c r="E946" s="66"/>
      <c r="F946" s="66"/>
      <c r="G946" s="66"/>
      <c r="H946" s="66"/>
      <c r="I946" s="66"/>
      <c r="J946" s="66"/>
      <c r="K946" s="66"/>
      <c r="L946" s="66"/>
      <c r="M946" s="66"/>
      <c r="N946" s="66"/>
      <c r="O946" s="66"/>
      <c r="P946" s="66"/>
      <c r="Q946" s="66"/>
      <c r="R946" s="66"/>
      <c r="S946" s="66"/>
      <c r="T946" s="66"/>
      <c r="U946" s="66"/>
      <c r="V946" s="66"/>
      <c r="W946" s="66"/>
      <c r="X946" s="66"/>
      <c r="Y946" s="66"/>
      <c r="Z946" s="66"/>
    </row>
    <row r="947" spans="1:26" ht="21" x14ac:dyDescent="0.65">
      <c r="A947" s="66"/>
      <c r="B947" s="66"/>
      <c r="C947" s="66"/>
      <c r="D947" s="66"/>
      <c r="E947" s="66"/>
      <c r="F947" s="66"/>
      <c r="G947" s="66"/>
      <c r="H947" s="66"/>
      <c r="I947" s="66"/>
      <c r="J947" s="66"/>
      <c r="K947" s="66"/>
      <c r="L947" s="66"/>
      <c r="M947" s="66"/>
      <c r="N947" s="66"/>
      <c r="O947" s="66"/>
      <c r="P947" s="66"/>
      <c r="Q947" s="66"/>
      <c r="R947" s="66"/>
      <c r="S947" s="66"/>
      <c r="T947" s="66"/>
      <c r="U947" s="66"/>
      <c r="V947" s="66"/>
      <c r="W947" s="66"/>
      <c r="X947" s="66"/>
      <c r="Y947" s="66"/>
      <c r="Z947" s="66"/>
    </row>
    <row r="948" spans="1:26" ht="21" x14ac:dyDescent="0.65">
      <c r="A948" s="66"/>
      <c r="B948" s="66"/>
      <c r="C948" s="66"/>
      <c r="D948" s="66"/>
      <c r="E948" s="66"/>
      <c r="F948" s="66"/>
      <c r="G948" s="66"/>
      <c r="H948" s="66"/>
      <c r="I948" s="66"/>
      <c r="J948" s="66"/>
      <c r="K948" s="66"/>
      <c r="L948" s="66"/>
      <c r="M948" s="66"/>
      <c r="N948" s="66"/>
      <c r="O948" s="66"/>
      <c r="P948" s="66"/>
      <c r="Q948" s="66"/>
      <c r="R948" s="66"/>
      <c r="S948" s="66"/>
      <c r="T948" s="66"/>
      <c r="U948" s="66"/>
      <c r="V948" s="66"/>
      <c r="W948" s="66"/>
      <c r="X948" s="66"/>
      <c r="Y948" s="66"/>
      <c r="Z948" s="66"/>
    </row>
    <row r="949" spans="1:26" ht="21" x14ac:dyDescent="0.65">
      <c r="A949" s="66"/>
      <c r="B949" s="66"/>
      <c r="C949" s="66"/>
      <c r="D949" s="66"/>
      <c r="E949" s="66"/>
      <c r="F949" s="66"/>
      <c r="G949" s="66"/>
      <c r="H949" s="66"/>
      <c r="I949" s="66"/>
      <c r="J949" s="66"/>
      <c r="K949" s="66"/>
      <c r="L949" s="66"/>
      <c r="M949" s="66"/>
      <c r="N949" s="66"/>
      <c r="O949" s="66"/>
      <c r="P949" s="66"/>
      <c r="Q949" s="66"/>
      <c r="R949" s="66"/>
      <c r="S949" s="66"/>
      <c r="T949" s="66"/>
      <c r="U949" s="66"/>
      <c r="V949" s="66"/>
      <c r="W949" s="66"/>
      <c r="X949" s="66"/>
      <c r="Y949" s="66"/>
      <c r="Z949" s="66"/>
    </row>
    <row r="950" spans="1:26" ht="21" x14ac:dyDescent="0.65">
      <c r="A950" s="66"/>
      <c r="B950" s="66"/>
      <c r="C950" s="66"/>
      <c r="D950" s="66"/>
      <c r="E950" s="66"/>
      <c r="F950" s="66"/>
      <c r="G950" s="66"/>
      <c r="H950" s="66"/>
      <c r="I950" s="66"/>
      <c r="J950" s="66"/>
      <c r="K950" s="66"/>
      <c r="L950" s="66"/>
      <c r="M950" s="66"/>
      <c r="N950" s="66"/>
      <c r="O950" s="66"/>
      <c r="P950" s="66"/>
      <c r="Q950" s="66"/>
      <c r="R950" s="66"/>
      <c r="S950" s="66"/>
      <c r="T950" s="66"/>
      <c r="U950" s="66"/>
      <c r="V950" s="66"/>
      <c r="W950" s="66"/>
      <c r="X950" s="66"/>
      <c r="Y950" s="66"/>
      <c r="Z950" s="66"/>
    </row>
    <row r="951" spans="1:26" ht="21" x14ac:dyDescent="0.65">
      <c r="A951" s="66"/>
      <c r="B951" s="66"/>
      <c r="C951" s="66"/>
      <c r="D951" s="66"/>
      <c r="E951" s="66"/>
      <c r="F951" s="66"/>
      <c r="G951" s="66"/>
      <c r="H951" s="66"/>
      <c r="I951" s="66"/>
      <c r="J951" s="66"/>
      <c r="K951" s="66"/>
      <c r="L951" s="66"/>
      <c r="M951" s="66"/>
      <c r="N951" s="66"/>
      <c r="O951" s="66"/>
      <c r="P951" s="66"/>
      <c r="Q951" s="66"/>
      <c r="R951" s="66"/>
      <c r="S951" s="66"/>
      <c r="T951" s="66"/>
      <c r="U951" s="66"/>
      <c r="V951" s="66"/>
      <c r="W951" s="66"/>
      <c r="X951" s="66"/>
      <c r="Y951" s="66"/>
      <c r="Z951" s="66"/>
    </row>
    <row r="952" spans="1:26" ht="21" x14ac:dyDescent="0.65">
      <c r="A952" s="66"/>
      <c r="B952" s="66"/>
      <c r="C952" s="66"/>
      <c r="D952" s="66"/>
      <c r="E952" s="66"/>
      <c r="F952" s="66"/>
      <c r="G952" s="66"/>
      <c r="H952" s="66"/>
      <c r="I952" s="66"/>
      <c r="J952" s="66"/>
      <c r="K952" s="66"/>
      <c r="L952" s="66"/>
      <c r="M952" s="66"/>
      <c r="N952" s="66"/>
      <c r="O952" s="66"/>
      <c r="P952" s="66"/>
      <c r="Q952" s="66"/>
      <c r="R952" s="66"/>
      <c r="S952" s="66"/>
      <c r="T952" s="66"/>
      <c r="U952" s="66"/>
      <c r="V952" s="66"/>
      <c r="W952" s="66"/>
      <c r="X952" s="66"/>
      <c r="Y952" s="66"/>
      <c r="Z952" s="66"/>
    </row>
    <row r="953" spans="1:26" ht="21" x14ac:dyDescent="0.65">
      <c r="A953" s="66"/>
      <c r="B953" s="66"/>
      <c r="C953" s="66"/>
      <c r="D953" s="66"/>
      <c r="E953" s="66"/>
      <c r="F953" s="66"/>
      <c r="G953" s="66"/>
      <c r="H953" s="66"/>
      <c r="I953" s="66"/>
      <c r="J953" s="66"/>
      <c r="K953" s="66"/>
      <c r="L953" s="66"/>
      <c r="M953" s="66"/>
      <c r="N953" s="66"/>
      <c r="O953" s="66"/>
      <c r="P953" s="66"/>
      <c r="Q953" s="66"/>
      <c r="R953" s="66"/>
      <c r="S953" s="66"/>
      <c r="T953" s="66"/>
      <c r="U953" s="66"/>
      <c r="V953" s="66"/>
      <c r="W953" s="66"/>
      <c r="X953" s="66"/>
      <c r="Y953" s="66"/>
      <c r="Z953" s="66"/>
    </row>
    <row r="954" spans="1:26" ht="21" x14ac:dyDescent="0.65">
      <c r="A954" s="66"/>
      <c r="B954" s="66"/>
      <c r="C954" s="66"/>
      <c r="D954" s="66"/>
      <c r="E954" s="66"/>
      <c r="F954" s="66"/>
      <c r="G954" s="66"/>
      <c r="H954" s="66"/>
      <c r="I954" s="66"/>
      <c r="J954" s="66"/>
      <c r="K954" s="66"/>
      <c r="L954" s="66"/>
      <c r="M954" s="66"/>
      <c r="N954" s="66"/>
      <c r="O954" s="66"/>
      <c r="P954" s="66"/>
      <c r="Q954" s="66"/>
      <c r="R954" s="66"/>
      <c r="S954" s="66"/>
      <c r="T954" s="66"/>
      <c r="U954" s="66"/>
      <c r="V954" s="66"/>
      <c r="W954" s="66"/>
      <c r="X954" s="66"/>
      <c r="Y954" s="66"/>
      <c r="Z954" s="66"/>
    </row>
    <row r="955" spans="1:26" ht="21" x14ac:dyDescent="0.65">
      <c r="A955" s="66"/>
      <c r="B955" s="66"/>
      <c r="C955" s="66"/>
      <c r="D955" s="66"/>
      <c r="E955" s="66"/>
      <c r="F955" s="66"/>
      <c r="G955" s="66"/>
      <c r="H955" s="66"/>
      <c r="I955" s="66"/>
      <c r="J955" s="66"/>
      <c r="K955" s="66"/>
      <c r="L955" s="66"/>
      <c r="M955" s="66"/>
      <c r="N955" s="66"/>
      <c r="O955" s="66"/>
      <c r="P955" s="66"/>
      <c r="Q955" s="66"/>
      <c r="R955" s="66"/>
      <c r="S955" s="66"/>
      <c r="T955" s="66"/>
      <c r="U955" s="66"/>
      <c r="V955" s="66"/>
      <c r="W955" s="66"/>
      <c r="X955" s="66"/>
      <c r="Y955" s="66"/>
      <c r="Z955" s="66"/>
    </row>
    <row r="956" spans="1:26" ht="21" x14ac:dyDescent="0.65">
      <c r="A956" s="66"/>
      <c r="B956" s="66"/>
      <c r="C956" s="66"/>
      <c r="D956" s="66"/>
      <c r="E956" s="66"/>
      <c r="F956" s="66"/>
      <c r="G956" s="66"/>
      <c r="H956" s="66"/>
      <c r="I956" s="66"/>
      <c r="J956" s="66"/>
      <c r="K956" s="66"/>
      <c r="L956" s="66"/>
      <c r="M956" s="66"/>
      <c r="N956" s="66"/>
      <c r="O956" s="66"/>
      <c r="P956" s="66"/>
      <c r="Q956" s="66"/>
      <c r="R956" s="66"/>
      <c r="S956" s="66"/>
      <c r="T956" s="66"/>
      <c r="U956" s="66"/>
      <c r="V956" s="66"/>
      <c r="W956" s="66"/>
      <c r="X956" s="66"/>
      <c r="Y956" s="66"/>
      <c r="Z956" s="66"/>
    </row>
    <row r="957" spans="1:26" ht="21" x14ac:dyDescent="0.65">
      <c r="A957" s="66"/>
      <c r="B957" s="66"/>
      <c r="C957" s="66"/>
      <c r="D957" s="66"/>
      <c r="E957" s="66"/>
      <c r="F957" s="66"/>
      <c r="G957" s="66"/>
      <c r="H957" s="66"/>
      <c r="I957" s="66"/>
      <c r="J957" s="66"/>
      <c r="K957" s="66"/>
      <c r="L957" s="66"/>
      <c r="M957" s="66"/>
      <c r="N957" s="66"/>
      <c r="O957" s="66"/>
      <c r="P957" s="66"/>
      <c r="Q957" s="66"/>
      <c r="R957" s="66"/>
      <c r="S957" s="66"/>
      <c r="T957" s="66"/>
      <c r="U957" s="66"/>
      <c r="V957" s="66"/>
      <c r="W957" s="66"/>
      <c r="X957" s="66"/>
      <c r="Y957" s="66"/>
      <c r="Z957" s="66"/>
    </row>
    <row r="958" spans="1:26" ht="21" x14ac:dyDescent="0.65">
      <c r="A958" s="66"/>
      <c r="B958" s="66"/>
      <c r="C958" s="66"/>
      <c r="D958" s="66"/>
      <c r="E958" s="66"/>
      <c r="F958" s="66"/>
      <c r="G958" s="66"/>
      <c r="H958" s="66"/>
      <c r="I958" s="66"/>
      <c r="J958" s="66"/>
      <c r="K958" s="66"/>
      <c r="L958" s="66"/>
      <c r="M958" s="66"/>
      <c r="N958" s="66"/>
      <c r="O958" s="66"/>
      <c r="P958" s="66"/>
      <c r="Q958" s="66"/>
      <c r="R958" s="66"/>
      <c r="S958" s="66"/>
      <c r="T958" s="66"/>
      <c r="U958" s="66"/>
      <c r="V958" s="66"/>
      <c r="W958" s="66"/>
      <c r="X958" s="66"/>
      <c r="Y958" s="66"/>
      <c r="Z958" s="66"/>
    </row>
    <row r="959" spans="1:26" ht="21" x14ac:dyDescent="0.65">
      <c r="A959" s="66"/>
      <c r="B959" s="66"/>
      <c r="C959" s="66"/>
      <c r="D959" s="66"/>
      <c r="E959" s="66"/>
      <c r="F959" s="66"/>
      <c r="G959" s="66"/>
      <c r="H959" s="66"/>
      <c r="I959" s="66"/>
      <c r="J959" s="66"/>
      <c r="K959" s="66"/>
      <c r="L959" s="66"/>
      <c r="M959" s="66"/>
      <c r="N959" s="66"/>
      <c r="O959" s="66"/>
      <c r="P959" s="66"/>
      <c r="Q959" s="66"/>
      <c r="R959" s="66"/>
      <c r="S959" s="66"/>
      <c r="T959" s="66"/>
      <c r="U959" s="66"/>
      <c r="V959" s="66"/>
      <c r="W959" s="66"/>
      <c r="X959" s="66"/>
      <c r="Y959" s="66"/>
      <c r="Z959" s="66"/>
    </row>
    <row r="960" spans="1:26" ht="21" x14ac:dyDescent="0.65">
      <c r="A960" s="66"/>
      <c r="B960" s="66"/>
      <c r="C960" s="66"/>
      <c r="D960" s="66"/>
      <c r="E960" s="66"/>
      <c r="F960" s="66"/>
      <c r="G960" s="66"/>
      <c r="H960" s="66"/>
      <c r="I960" s="66"/>
      <c r="J960" s="66"/>
      <c r="K960" s="66"/>
      <c r="L960" s="66"/>
      <c r="M960" s="66"/>
      <c r="N960" s="66"/>
      <c r="O960" s="66"/>
      <c r="P960" s="66"/>
      <c r="Q960" s="66"/>
      <c r="R960" s="66"/>
      <c r="S960" s="66"/>
      <c r="T960" s="66"/>
      <c r="U960" s="66"/>
      <c r="V960" s="66"/>
      <c r="W960" s="66"/>
      <c r="X960" s="66"/>
      <c r="Y960" s="66"/>
      <c r="Z960" s="66"/>
    </row>
    <row r="961" spans="1:26" ht="21" x14ac:dyDescent="0.65">
      <c r="A961" s="66"/>
      <c r="B961" s="66"/>
      <c r="C961" s="66"/>
      <c r="D961" s="66"/>
      <c r="E961" s="66"/>
      <c r="F961" s="66"/>
      <c r="G961" s="66"/>
      <c r="H961" s="66"/>
      <c r="I961" s="66"/>
      <c r="J961" s="66"/>
      <c r="K961" s="66"/>
      <c r="L961" s="66"/>
      <c r="M961" s="66"/>
      <c r="N961" s="66"/>
      <c r="O961" s="66"/>
      <c r="P961" s="66"/>
      <c r="Q961" s="66"/>
      <c r="R961" s="66"/>
      <c r="S961" s="66"/>
      <c r="T961" s="66"/>
      <c r="U961" s="66"/>
      <c r="V961" s="66"/>
      <c r="W961" s="66"/>
      <c r="X961" s="66"/>
      <c r="Y961" s="66"/>
      <c r="Z961" s="66"/>
    </row>
    <row r="962" spans="1:26" ht="21" x14ac:dyDescent="0.65">
      <c r="A962" s="66"/>
      <c r="B962" s="66"/>
      <c r="C962" s="66"/>
      <c r="D962" s="66"/>
      <c r="E962" s="66"/>
      <c r="F962" s="66"/>
      <c r="G962" s="66"/>
      <c r="H962" s="66"/>
      <c r="I962" s="66"/>
      <c r="J962" s="66"/>
      <c r="K962" s="66"/>
      <c r="L962" s="66"/>
      <c r="M962" s="66"/>
      <c r="N962" s="66"/>
      <c r="O962" s="66"/>
      <c r="P962" s="66"/>
      <c r="Q962" s="66"/>
      <c r="R962" s="66"/>
      <c r="S962" s="66"/>
      <c r="T962" s="66"/>
      <c r="U962" s="66"/>
      <c r="V962" s="66"/>
      <c r="W962" s="66"/>
      <c r="X962" s="66"/>
      <c r="Y962" s="66"/>
      <c r="Z962" s="66"/>
    </row>
    <row r="963" spans="1:26" ht="21" x14ac:dyDescent="0.65">
      <c r="A963" s="66"/>
      <c r="B963" s="66"/>
      <c r="C963" s="66"/>
      <c r="D963" s="66"/>
      <c r="E963" s="66"/>
      <c r="F963" s="66"/>
      <c r="G963" s="66"/>
      <c r="H963" s="66"/>
      <c r="I963" s="66"/>
      <c r="J963" s="66"/>
      <c r="K963" s="66"/>
      <c r="L963" s="66"/>
      <c r="M963" s="66"/>
      <c r="N963" s="66"/>
      <c r="O963" s="66"/>
      <c r="P963" s="66"/>
      <c r="Q963" s="66"/>
      <c r="R963" s="66"/>
      <c r="S963" s="66"/>
      <c r="T963" s="66"/>
      <c r="U963" s="66"/>
      <c r="V963" s="66"/>
      <c r="W963" s="66"/>
      <c r="X963" s="66"/>
      <c r="Y963" s="66"/>
      <c r="Z963" s="66"/>
    </row>
    <row r="964" spans="1:26" ht="21" x14ac:dyDescent="0.65">
      <c r="A964" s="66"/>
      <c r="B964" s="66"/>
      <c r="C964" s="66"/>
      <c r="D964" s="66"/>
      <c r="E964" s="66"/>
      <c r="F964" s="66"/>
      <c r="G964" s="66"/>
      <c r="H964" s="66"/>
      <c r="I964" s="66"/>
      <c r="J964" s="66"/>
      <c r="K964" s="66"/>
      <c r="L964" s="66"/>
      <c r="M964" s="66"/>
      <c r="N964" s="66"/>
      <c r="O964" s="66"/>
      <c r="P964" s="66"/>
      <c r="Q964" s="66"/>
      <c r="R964" s="66"/>
      <c r="S964" s="66"/>
      <c r="T964" s="66"/>
      <c r="U964" s="66"/>
      <c r="V964" s="66"/>
      <c r="W964" s="66"/>
      <c r="X964" s="66"/>
      <c r="Y964" s="66"/>
      <c r="Z964" s="66"/>
    </row>
    <row r="965" spans="1:26" ht="21" x14ac:dyDescent="0.65">
      <c r="A965" s="66"/>
      <c r="B965" s="66"/>
      <c r="C965" s="66"/>
      <c r="D965" s="66"/>
      <c r="E965" s="66"/>
      <c r="F965" s="66"/>
      <c r="G965" s="66"/>
      <c r="H965" s="66"/>
      <c r="I965" s="66"/>
      <c r="J965" s="66"/>
      <c r="K965" s="66"/>
      <c r="L965" s="66"/>
      <c r="M965" s="66"/>
      <c r="N965" s="66"/>
      <c r="O965" s="66"/>
      <c r="P965" s="66"/>
      <c r="Q965" s="66"/>
      <c r="R965" s="66"/>
      <c r="S965" s="66"/>
      <c r="T965" s="66"/>
      <c r="U965" s="66"/>
      <c r="V965" s="66"/>
      <c r="W965" s="66"/>
      <c r="X965" s="66"/>
      <c r="Y965" s="66"/>
      <c r="Z965" s="66"/>
    </row>
    <row r="966" spans="1:26" ht="21" x14ac:dyDescent="0.65">
      <c r="A966" s="66"/>
      <c r="B966" s="66"/>
      <c r="C966" s="66"/>
      <c r="D966" s="66"/>
      <c r="E966" s="66"/>
      <c r="F966" s="66"/>
      <c r="G966" s="66"/>
      <c r="H966" s="66"/>
      <c r="I966" s="66"/>
      <c r="J966" s="66"/>
      <c r="K966" s="66"/>
      <c r="L966" s="66"/>
      <c r="M966" s="66"/>
      <c r="N966" s="66"/>
      <c r="O966" s="66"/>
      <c r="P966" s="66"/>
      <c r="Q966" s="66"/>
      <c r="R966" s="66"/>
      <c r="S966" s="66"/>
      <c r="T966" s="66"/>
      <c r="U966" s="66"/>
      <c r="V966" s="66"/>
      <c r="W966" s="66"/>
      <c r="X966" s="66"/>
      <c r="Y966" s="66"/>
      <c r="Z966" s="66"/>
    </row>
    <row r="967" spans="1:26" ht="21" x14ac:dyDescent="0.65">
      <c r="A967" s="66"/>
      <c r="B967" s="66"/>
      <c r="C967" s="66"/>
      <c r="D967" s="66"/>
      <c r="E967" s="66"/>
      <c r="F967" s="66"/>
      <c r="G967" s="66"/>
      <c r="H967" s="66"/>
      <c r="I967" s="66"/>
      <c r="J967" s="66"/>
      <c r="K967" s="66"/>
      <c r="L967" s="66"/>
      <c r="M967" s="66"/>
      <c r="N967" s="66"/>
      <c r="O967" s="66"/>
      <c r="P967" s="66"/>
      <c r="Q967" s="66"/>
      <c r="R967" s="66"/>
      <c r="S967" s="66"/>
      <c r="T967" s="66"/>
      <c r="U967" s="66"/>
      <c r="V967" s="66"/>
      <c r="W967" s="66"/>
      <c r="X967" s="66"/>
      <c r="Y967" s="66"/>
      <c r="Z967" s="66"/>
    </row>
    <row r="968" spans="1:26" ht="21" x14ac:dyDescent="0.65">
      <c r="A968" s="66"/>
      <c r="B968" s="66"/>
      <c r="C968" s="66"/>
      <c r="D968" s="66"/>
      <c r="E968" s="66"/>
      <c r="F968" s="66"/>
      <c r="G968" s="66"/>
      <c r="H968" s="66"/>
      <c r="I968" s="66"/>
      <c r="J968" s="66"/>
      <c r="K968" s="66"/>
      <c r="L968" s="66"/>
      <c r="M968" s="66"/>
      <c r="N968" s="66"/>
      <c r="O968" s="66"/>
      <c r="P968" s="66"/>
      <c r="Q968" s="66"/>
      <c r="R968" s="66"/>
      <c r="S968" s="66"/>
      <c r="T968" s="66"/>
      <c r="U968" s="66"/>
      <c r="V968" s="66"/>
      <c r="W968" s="66"/>
      <c r="X968" s="66"/>
      <c r="Y968" s="66"/>
      <c r="Z968" s="66"/>
    </row>
    <row r="969" spans="1:26" ht="21" x14ac:dyDescent="0.65">
      <c r="A969" s="66"/>
      <c r="B969" s="66"/>
      <c r="C969" s="66"/>
      <c r="D969" s="66"/>
      <c r="E969" s="66"/>
      <c r="F969" s="66"/>
      <c r="G969" s="66"/>
      <c r="H969" s="66"/>
      <c r="I969" s="66"/>
      <c r="J969" s="66"/>
      <c r="K969" s="66"/>
      <c r="L969" s="66"/>
      <c r="M969" s="66"/>
      <c r="N969" s="66"/>
      <c r="O969" s="66"/>
      <c r="P969" s="66"/>
      <c r="Q969" s="66"/>
      <c r="R969" s="66"/>
      <c r="S969" s="66"/>
      <c r="T969" s="66"/>
      <c r="U969" s="66"/>
      <c r="V969" s="66"/>
      <c r="W969" s="66"/>
      <c r="X969" s="66"/>
      <c r="Y969" s="66"/>
      <c r="Z969" s="66"/>
    </row>
    <row r="970" spans="1:26" ht="21" x14ac:dyDescent="0.65">
      <c r="A970" s="66"/>
      <c r="B970" s="66"/>
      <c r="C970" s="66"/>
      <c r="D970" s="66"/>
      <c r="E970" s="66"/>
      <c r="F970" s="66"/>
      <c r="G970" s="66"/>
      <c r="H970" s="66"/>
      <c r="I970" s="66"/>
      <c r="J970" s="66"/>
      <c r="K970" s="66"/>
      <c r="L970" s="66"/>
      <c r="M970" s="66"/>
      <c r="N970" s="66"/>
      <c r="O970" s="66"/>
      <c r="P970" s="66"/>
      <c r="Q970" s="66"/>
      <c r="R970" s="66"/>
      <c r="S970" s="66"/>
      <c r="T970" s="66"/>
      <c r="U970" s="66"/>
      <c r="V970" s="66"/>
      <c r="W970" s="66"/>
      <c r="X970" s="66"/>
      <c r="Y970" s="66"/>
      <c r="Z970" s="66"/>
    </row>
    <row r="971" spans="1:26" ht="21" x14ac:dyDescent="0.65">
      <c r="A971" s="66"/>
      <c r="B971" s="66"/>
      <c r="C971" s="66"/>
      <c r="D971" s="66"/>
      <c r="E971" s="66"/>
      <c r="F971" s="66"/>
      <c r="G971" s="66"/>
      <c r="H971" s="66"/>
      <c r="I971" s="66"/>
      <c r="J971" s="66"/>
      <c r="K971" s="66"/>
      <c r="L971" s="66"/>
      <c r="M971" s="66"/>
      <c r="N971" s="66"/>
      <c r="O971" s="66"/>
      <c r="P971" s="66"/>
      <c r="Q971" s="66"/>
      <c r="R971" s="66"/>
      <c r="S971" s="66"/>
      <c r="T971" s="66"/>
      <c r="U971" s="66"/>
      <c r="V971" s="66"/>
      <c r="W971" s="66"/>
      <c r="X971" s="66"/>
      <c r="Y971" s="66"/>
      <c r="Z971" s="66"/>
    </row>
    <row r="972" spans="1:26" ht="21" x14ac:dyDescent="0.65">
      <c r="A972" s="66"/>
      <c r="B972" s="66"/>
      <c r="C972" s="66"/>
      <c r="D972" s="66"/>
      <c r="E972" s="66"/>
      <c r="F972" s="66"/>
      <c r="G972" s="66"/>
      <c r="H972" s="66"/>
      <c r="I972" s="66"/>
      <c r="J972" s="66"/>
      <c r="K972" s="66"/>
      <c r="L972" s="66"/>
      <c r="M972" s="66"/>
      <c r="N972" s="66"/>
      <c r="O972" s="66"/>
      <c r="P972" s="66"/>
      <c r="Q972" s="66"/>
      <c r="R972" s="66"/>
      <c r="S972" s="66"/>
      <c r="T972" s="66"/>
      <c r="U972" s="66"/>
      <c r="V972" s="66"/>
      <c r="W972" s="66"/>
      <c r="X972" s="66"/>
      <c r="Y972" s="66"/>
      <c r="Z972" s="66"/>
    </row>
    <row r="973" spans="1:26" ht="21" x14ac:dyDescent="0.65">
      <c r="A973" s="66"/>
      <c r="B973" s="66"/>
      <c r="C973" s="66"/>
      <c r="D973" s="66"/>
      <c r="E973" s="66"/>
      <c r="F973" s="66"/>
      <c r="G973" s="66"/>
      <c r="H973" s="66"/>
      <c r="I973" s="66"/>
      <c r="J973" s="66"/>
      <c r="K973" s="66"/>
      <c r="L973" s="66"/>
      <c r="M973" s="66"/>
      <c r="N973" s="66"/>
      <c r="O973" s="66"/>
      <c r="P973" s="66"/>
      <c r="Q973" s="66"/>
      <c r="R973" s="66"/>
      <c r="S973" s="66"/>
      <c r="T973" s="66"/>
      <c r="U973" s="66"/>
      <c r="V973" s="66"/>
      <c r="W973" s="66"/>
      <c r="X973" s="66"/>
      <c r="Y973" s="66"/>
      <c r="Z973" s="66"/>
    </row>
    <row r="974" spans="1:26" ht="21" x14ac:dyDescent="0.65">
      <c r="A974" s="66"/>
      <c r="B974" s="66"/>
      <c r="C974" s="66"/>
      <c r="D974" s="66"/>
      <c r="E974" s="66"/>
      <c r="F974" s="66"/>
      <c r="G974" s="66"/>
      <c r="H974" s="66"/>
      <c r="I974" s="66"/>
      <c r="J974" s="66"/>
      <c r="K974" s="66"/>
      <c r="L974" s="66"/>
      <c r="M974" s="66"/>
      <c r="N974" s="66"/>
      <c r="O974" s="66"/>
      <c r="P974" s="66"/>
      <c r="Q974" s="66"/>
      <c r="R974" s="66"/>
      <c r="S974" s="66"/>
      <c r="T974" s="66"/>
      <c r="U974" s="66"/>
      <c r="V974" s="66"/>
      <c r="W974" s="66"/>
      <c r="X974" s="66"/>
      <c r="Y974" s="66"/>
      <c r="Z974" s="66"/>
    </row>
    <row r="975" spans="1:26" ht="21" x14ac:dyDescent="0.65">
      <c r="A975" s="66"/>
      <c r="B975" s="66"/>
      <c r="C975" s="66"/>
      <c r="D975" s="66"/>
      <c r="E975" s="66"/>
      <c r="F975" s="66"/>
      <c r="G975" s="66"/>
      <c r="H975" s="66"/>
      <c r="I975" s="66"/>
      <c r="J975" s="66"/>
      <c r="K975" s="66"/>
      <c r="L975" s="66"/>
      <c r="M975" s="66"/>
      <c r="N975" s="66"/>
      <c r="O975" s="66"/>
      <c r="P975" s="66"/>
      <c r="Q975" s="66"/>
      <c r="R975" s="66"/>
      <c r="S975" s="66"/>
      <c r="T975" s="66"/>
      <c r="U975" s="66"/>
      <c r="V975" s="66"/>
      <c r="W975" s="66"/>
      <c r="X975" s="66"/>
      <c r="Y975" s="66"/>
      <c r="Z975" s="66"/>
    </row>
    <row r="976" spans="1:26" ht="21" x14ac:dyDescent="0.65">
      <c r="A976" s="66"/>
      <c r="B976" s="66"/>
      <c r="C976" s="66"/>
      <c r="D976" s="66"/>
      <c r="E976" s="66"/>
      <c r="F976" s="66"/>
      <c r="G976" s="66"/>
      <c r="H976" s="66"/>
      <c r="I976" s="66"/>
      <c r="J976" s="66"/>
      <c r="K976" s="66"/>
      <c r="L976" s="66"/>
      <c r="M976" s="66"/>
      <c r="N976" s="66"/>
      <c r="O976" s="66"/>
      <c r="P976" s="66"/>
      <c r="Q976" s="66"/>
      <c r="R976" s="66"/>
      <c r="S976" s="66"/>
      <c r="T976" s="66"/>
      <c r="U976" s="66"/>
      <c r="V976" s="66"/>
      <c r="W976" s="66"/>
      <c r="X976" s="66"/>
      <c r="Y976" s="66"/>
      <c r="Z976" s="66"/>
    </row>
    <row r="977" spans="1:26" ht="21" x14ac:dyDescent="0.65">
      <c r="A977" s="66"/>
      <c r="B977" s="66"/>
      <c r="C977" s="66"/>
      <c r="D977" s="66"/>
      <c r="E977" s="66"/>
      <c r="F977" s="66"/>
      <c r="G977" s="66"/>
      <c r="H977" s="66"/>
      <c r="I977" s="66"/>
      <c r="J977" s="66"/>
      <c r="K977" s="66"/>
      <c r="L977" s="66"/>
      <c r="M977" s="66"/>
      <c r="N977" s="66"/>
      <c r="O977" s="66"/>
      <c r="P977" s="66"/>
      <c r="Q977" s="66"/>
      <c r="R977" s="66"/>
      <c r="S977" s="66"/>
      <c r="T977" s="66"/>
      <c r="U977" s="66"/>
      <c r="V977" s="66"/>
      <c r="W977" s="66"/>
      <c r="X977" s="66"/>
      <c r="Y977" s="66"/>
      <c r="Z977" s="66"/>
    </row>
    <row r="978" spans="1:26" ht="21" x14ac:dyDescent="0.65">
      <c r="A978" s="66"/>
      <c r="B978" s="66"/>
      <c r="C978" s="66"/>
      <c r="D978" s="66"/>
      <c r="E978" s="66"/>
      <c r="F978" s="66"/>
      <c r="G978" s="66"/>
      <c r="H978" s="66"/>
      <c r="I978" s="66"/>
      <c r="J978" s="66"/>
      <c r="K978" s="66"/>
      <c r="L978" s="66"/>
      <c r="M978" s="66"/>
      <c r="N978" s="66"/>
      <c r="O978" s="66"/>
      <c r="P978" s="66"/>
      <c r="Q978" s="66"/>
      <c r="R978" s="66"/>
      <c r="S978" s="66"/>
      <c r="T978" s="66"/>
      <c r="U978" s="66"/>
      <c r="V978" s="66"/>
      <c r="W978" s="66"/>
      <c r="X978" s="66"/>
      <c r="Y978" s="66"/>
      <c r="Z978" s="66"/>
    </row>
    <row r="979" spans="1:26" ht="21" x14ac:dyDescent="0.65">
      <c r="A979" s="66"/>
      <c r="B979" s="66"/>
      <c r="C979" s="66"/>
      <c r="D979" s="66"/>
      <c r="E979" s="66"/>
      <c r="F979" s="66"/>
      <c r="G979" s="66"/>
      <c r="H979" s="66"/>
      <c r="I979" s="66"/>
      <c r="J979" s="66"/>
      <c r="K979" s="66"/>
      <c r="L979" s="66"/>
      <c r="M979" s="66"/>
      <c r="N979" s="66"/>
      <c r="O979" s="66"/>
      <c r="P979" s="66"/>
      <c r="Q979" s="66"/>
      <c r="R979" s="66"/>
      <c r="S979" s="66"/>
      <c r="T979" s="66"/>
      <c r="U979" s="66"/>
      <c r="V979" s="66"/>
      <c r="W979" s="66"/>
      <c r="X979" s="66"/>
      <c r="Y979" s="66"/>
      <c r="Z979" s="66"/>
    </row>
    <row r="980" spans="1:26" ht="21" x14ac:dyDescent="0.65">
      <c r="A980" s="66"/>
      <c r="B980" s="66"/>
      <c r="C980" s="66"/>
      <c r="D980" s="66"/>
      <c r="E980" s="66"/>
      <c r="F980" s="66"/>
      <c r="G980" s="66"/>
      <c r="H980" s="66"/>
      <c r="I980" s="66"/>
      <c r="J980" s="66"/>
      <c r="K980" s="66"/>
      <c r="L980" s="66"/>
      <c r="M980" s="66"/>
      <c r="N980" s="66"/>
      <c r="O980" s="66"/>
      <c r="P980" s="66"/>
      <c r="Q980" s="66"/>
      <c r="R980" s="66"/>
      <c r="S980" s="66"/>
      <c r="T980" s="66"/>
      <c r="U980" s="66"/>
      <c r="V980" s="66"/>
      <c r="W980" s="66"/>
      <c r="X980" s="66"/>
      <c r="Y980" s="66"/>
      <c r="Z980" s="66"/>
    </row>
    <row r="981" spans="1:26" ht="21" x14ac:dyDescent="0.65">
      <c r="A981" s="66"/>
      <c r="B981" s="66"/>
      <c r="C981" s="66"/>
      <c r="D981" s="66"/>
      <c r="E981" s="66"/>
      <c r="F981" s="66"/>
      <c r="G981" s="66"/>
      <c r="H981" s="66"/>
      <c r="I981" s="66"/>
      <c r="J981" s="66"/>
      <c r="K981" s="66"/>
      <c r="L981" s="66"/>
      <c r="M981" s="66"/>
      <c r="N981" s="66"/>
      <c r="O981" s="66"/>
      <c r="P981" s="66"/>
      <c r="Q981" s="66"/>
      <c r="R981" s="66"/>
      <c r="S981" s="66"/>
      <c r="T981" s="66"/>
      <c r="U981" s="66"/>
      <c r="V981" s="66"/>
      <c r="W981" s="66"/>
      <c r="X981" s="66"/>
      <c r="Y981" s="66"/>
      <c r="Z981" s="66"/>
    </row>
    <row r="982" spans="1:26" ht="21" x14ac:dyDescent="0.65">
      <c r="A982" s="66"/>
      <c r="B982" s="66"/>
      <c r="C982" s="66"/>
      <c r="D982" s="66"/>
      <c r="E982" s="66"/>
      <c r="F982" s="66"/>
      <c r="G982" s="66"/>
      <c r="H982" s="66"/>
      <c r="I982" s="66"/>
      <c r="J982" s="66"/>
      <c r="K982" s="66"/>
      <c r="L982" s="66"/>
      <c r="M982" s="66"/>
      <c r="N982" s="66"/>
      <c r="O982" s="66"/>
      <c r="P982" s="66"/>
      <c r="Q982" s="66"/>
      <c r="R982" s="66"/>
      <c r="S982" s="66"/>
      <c r="T982" s="66"/>
      <c r="U982" s="66"/>
      <c r="V982" s="66"/>
      <c r="W982" s="66"/>
      <c r="X982" s="66"/>
      <c r="Y982" s="66"/>
      <c r="Z982" s="66"/>
    </row>
    <row r="983" spans="1:26" ht="21" x14ac:dyDescent="0.65">
      <c r="A983" s="66"/>
      <c r="B983" s="66"/>
      <c r="C983" s="66"/>
      <c r="D983" s="66"/>
      <c r="E983" s="66"/>
      <c r="F983" s="66"/>
      <c r="G983" s="66"/>
      <c r="H983" s="66"/>
      <c r="I983" s="66"/>
      <c r="J983" s="66"/>
      <c r="K983" s="66"/>
      <c r="L983" s="66"/>
      <c r="M983" s="66"/>
      <c r="N983" s="66"/>
      <c r="O983" s="66"/>
      <c r="P983" s="66"/>
      <c r="Q983" s="66"/>
      <c r="R983" s="66"/>
      <c r="S983" s="66"/>
      <c r="T983" s="66"/>
      <c r="U983" s="66"/>
      <c r="V983" s="66"/>
      <c r="W983" s="66"/>
      <c r="X983" s="66"/>
      <c r="Y983" s="66"/>
      <c r="Z983" s="66"/>
    </row>
    <row r="984" spans="1:26" ht="21" x14ac:dyDescent="0.65">
      <c r="A984" s="66"/>
      <c r="B984" s="66"/>
      <c r="C984" s="66"/>
      <c r="D984" s="66"/>
      <c r="E984" s="66"/>
      <c r="F984" s="66"/>
      <c r="G984" s="66"/>
      <c r="H984" s="66"/>
      <c r="I984" s="66"/>
      <c r="J984" s="66"/>
      <c r="K984" s="66"/>
      <c r="L984" s="66"/>
      <c r="M984" s="66"/>
      <c r="N984" s="66"/>
      <c r="O984" s="66"/>
      <c r="P984" s="66"/>
      <c r="Q984" s="66"/>
      <c r="R984" s="66"/>
      <c r="S984" s="66"/>
      <c r="T984" s="66"/>
      <c r="U984" s="66"/>
      <c r="V984" s="66"/>
      <c r="W984" s="66"/>
      <c r="X984" s="66"/>
      <c r="Y984" s="66"/>
      <c r="Z984" s="66"/>
    </row>
    <row r="985" spans="1:26" ht="21" x14ac:dyDescent="0.65">
      <c r="A985" s="66"/>
      <c r="B985" s="66"/>
      <c r="C985" s="66"/>
      <c r="D985" s="66"/>
      <c r="E985" s="66"/>
      <c r="F985" s="66"/>
      <c r="G985" s="66"/>
      <c r="H985" s="66"/>
      <c r="I985" s="66"/>
      <c r="J985" s="66"/>
      <c r="K985" s="66"/>
      <c r="L985" s="66"/>
      <c r="M985" s="66"/>
      <c r="N985" s="66"/>
      <c r="O985" s="66"/>
      <c r="P985" s="66"/>
      <c r="Q985" s="66"/>
      <c r="R985" s="66"/>
      <c r="S985" s="66"/>
      <c r="T985" s="66"/>
      <c r="U985" s="66"/>
      <c r="V985" s="66"/>
      <c r="W985" s="66"/>
      <c r="X985" s="66"/>
      <c r="Y985" s="66"/>
      <c r="Z985" s="66"/>
    </row>
    <row r="986" spans="1:26" ht="21" x14ac:dyDescent="0.65">
      <c r="A986" s="66"/>
      <c r="B986" s="66"/>
      <c r="C986" s="66"/>
      <c r="D986" s="66"/>
      <c r="E986" s="66"/>
      <c r="F986" s="66"/>
      <c r="G986" s="66"/>
      <c r="H986" s="66"/>
      <c r="I986" s="66"/>
      <c r="J986" s="66"/>
      <c r="K986" s="66"/>
      <c r="L986" s="66"/>
      <c r="M986" s="66"/>
      <c r="N986" s="66"/>
      <c r="O986" s="66"/>
      <c r="P986" s="66"/>
      <c r="Q986" s="66"/>
      <c r="R986" s="66"/>
      <c r="S986" s="66"/>
      <c r="T986" s="66"/>
      <c r="U986" s="66"/>
      <c r="V986" s="66"/>
      <c r="W986" s="66"/>
      <c r="X986" s="66"/>
      <c r="Y986" s="66"/>
      <c r="Z986" s="66"/>
    </row>
    <row r="987" spans="1:26" ht="21" x14ac:dyDescent="0.65">
      <c r="A987" s="66"/>
      <c r="B987" s="66"/>
      <c r="C987" s="66"/>
      <c r="D987" s="66"/>
      <c r="E987" s="66"/>
      <c r="F987" s="66"/>
      <c r="G987" s="66"/>
      <c r="H987" s="66"/>
      <c r="I987" s="66"/>
      <c r="J987" s="66"/>
      <c r="K987" s="66"/>
      <c r="L987" s="66"/>
      <c r="M987" s="66"/>
      <c r="N987" s="66"/>
      <c r="O987" s="66"/>
      <c r="P987" s="66"/>
      <c r="Q987" s="66"/>
      <c r="R987" s="66"/>
      <c r="S987" s="66"/>
      <c r="T987" s="66"/>
      <c r="U987" s="66"/>
      <c r="V987" s="66"/>
      <c r="W987" s="66"/>
      <c r="X987" s="66"/>
      <c r="Y987" s="66"/>
      <c r="Z987" s="66"/>
    </row>
    <row r="988" spans="1:26" ht="21" x14ac:dyDescent="0.65">
      <c r="A988" s="66"/>
      <c r="B988" s="66"/>
      <c r="C988" s="66"/>
      <c r="D988" s="66"/>
      <c r="E988" s="66"/>
      <c r="F988" s="66"/>
      <c r="G988" s="66"/>
      <c r="H988" s="66"/>
      <c r="I988" s="66"/>
      <c r="J988" s="66"/>
      <c r="K988" s="66"/>
      <c r="L988" s="66"/>
      <c r="M988" s="66"/>
      <c r="N988" s="66"/>
      <c r="O988" s="66"/>
      <c r="P988" s="66"/>
      <c r="Q988" s="66"/>
      <c r="R988" s="66"/>
      <c r="S988" s="66"/>
      <c r="T988" s="66"/>
      <c r="U988" s="66"/>
      <c r="V988" s="66"/>
      <c r="W988" s="66"/>
      <c r="X988" s="66"/>
      <c r="Y988" s="66"/>
      <c r="Z988" s="66"/>
    </row>
    <row r="989" spans="1:26" ht="21" x14ac:dyDescent="0.65">
      <c r="A989" s="66"/>
      <c r="B989" s="66"/>
      <c r="C989" s="66"/>
      <c r="D989" s="66"/>
      <c r="E989" s="66"/>
      <c r="F989" s="66"/>
      <c r="G989" s="66"/>
      <c r="H989" s="66"/>
      <c r="I989" s="66"/>
      <c r="J989" s="66"/>
      <c r="K989" s="66"/>
      <c r="L989" s="66"/>
      <c r="M989" s="66"/>
      <c r="N989" s="66"/>
      <c r="O989" s="66"/>
      <c r="P989" s="66"/>
      <c r="Q989" s="66"/>
      <c r="R989" s="66"/>
      <c r="S989" s="66"/>
      <c r="T989" s="66"/>
      <c r="U989" s="66"/>
      <c r="V989" s="66"/>
      <c r="W989" s="66"/>
      <c r="X989" s="66"/>
      <c r="Y989" s="66"/>
      <c r="Z989" s="66"/>
    </row>
    <row r="990" spans="1:26" ht="21" x14ac:dyDescent="0.65">
      <c r="A990" s="66"/>
      <c r="B990" s="66"/>
      <c r="C990" s="66"/>
      <c r="D990" s="66"/>
      <c r="E990" s="66"/>
      <c r="F990" s="66"/>
      <c r="G990" s="66"/>
      <c r="H990" s="66"/>
      <c r="I990" s="66"/>
      <c r="J990" s="66"/>
      <c r="K990" s="66"/>
      <c r="L990" s="66"/>
      <c r="M990" s="66"/>
      <c r="N990" s="66"/>
      <c r="O990" s="66"/>
      <c r="P990" s="66"/>
      <c r="Q990" s="66"/>
      <c r="R990" s="66"/>
      <c r="S990" s="66"/>
      <c r="T990" s="66"/>
      <c r="U990" s="66"/>
      <c r="V990" s="66"/>
      <c r="W990" s="66"/>
      <c r="X990" s="66"/>
      <c r="Y990" s="66"/>
      <c r="Z990" s="66"/>
    </row>
    <row r="991" spans="1:26" ht="21" x14ac:dyDescent="0.65">
      <c r="A991" s="66"/>
      <c r="B991" s="66"/>
      <c r="C991" s="66"/>
      <c r="D991" s="66"/>
      <c r="E991" s="66"/>
      <c r="F991" s="66"/>
      <c r="G991" s="66"/>
      <c r="H991" s="66"/>
      <c r="I991" s="66"/>
      <c r="J991" s="66"/>
      <c r="K991" s="66"/>
      <c r="L991" s="66"/>
      <c r="M991" s="66"/>
      <c r="N991" s="66"/>
      <c r="O991" s="66"/>
      <c r="P991" s="66"/>
      <c r="Q991" s="66"/>
      <c r="R991" s="66"/>
      <c r="S991" s="66"/>
      <c r="T991" s="66"/>
      <c r="U991" s="66"/>
      <c r="V991" s="66"/>
      <c r="W991" s="66"/>
      <c r="X991" s="66"/>
      <c r="Y991" s="66"/>
      <c r="Z991" s="66"/>
    </row>
    <row r="992" spans="1:26" ht="21" x14ac:dyDescent="0.65">
      <c r="A992" s="66"/>
      <c r="B992" s="66"/>
      <c r="C992" s="66"/>
      <c r="D992" s="66"/>
      <c r="E992" s="66"/>
      <c r="F992" s="66"/>
      <c r="G992" s="66"/>
      <c r="H992" s="66"/>
      <c r="I992" s="66"/>
      <c r="J992" s="66"/>
      <c r="K992" s="66"/>
      <c r="L992" s="66"/>
      <c r="M992" s="66"/>
      <c r="N992" s="66"/>
      <c r="O992" s="66"/>
      <c r="P992" s="66"/>
      <c r="Q992" s="66"/>
      <c r="R992" s="66"/>
      <c r="S992" s="66"/>
      <c r="T992" s="66"/>
      <c r="U992" s="66"/>
      <c r="V992" s="66"/>
      <c r="W992" s="66"/>
      <c r="X992" s="66"/>
      <c r="Y992" s="66"/>
      <c r="Z992" s="66"/>
    </row>
    <row r="993" spans="1:26" ht="21" x14ac:dyDescent="0.65">
      <c r="A993" s="66"/>
      <c r="B993" s="66"/>
      <c r="C993" s="66"/>
      <c r="D993" s="66"/>
      <c r="E993" s="66"/>
      <c r="F993" s="66"/>
      <c r="G993" s="66"/>
      <c r="H993" s="66"/>
      <c r="I993" s="66"/>
      <c r="J993" s="66"/>
      <c r="K993" s="66"/>
      <c r="L993" s="66"/>
      <c r="M993" s="66"/>
      <c r="N993" s="66"/>
      <c r="O993" s="66"/>
      <c r="P993" s="66"/>
      <c r="Q993" s="66"/>
      <c r="R993" s="66"/>
      <c r="S993" s="66"/>
      <c r="T993" s="66"/>
      <c r="U993" s="66"/>
      <c r="V993" s="66"/>
      <c r="W993" s="66"/>
      <c r="X993" s="66"/>
      <c r="Y993" s="66"/>
      <c r="Z993" s="66"/>
    </row>
    <row r="994" spans="1:26" ht="21" x14ac:dyDescent="0.65">
      <c r="A994" s="66"/>
      <c r="B994" s="66"/>
      <c r="C994" s="66"/>
      <c r="D994" s="66"/>
      <c r="E994" s="66"/>
      <c r="F994" s="66"/>
      <c r="G994" s="66"/>
      <c r="H994" s="66"/>
      <c r="I994" s="66"/>
      <c r="J994" s="66"/>
      <c r="K994" s="66"/>
      <c r="L994" s="66"/>
      <c r="M994" s="66"/>
      <c r="N994" s="66"/>
      <c r="O994" s="66"/>
      <c r="P994" s="66"/>
      <c r="Q994" s="66"/>
      <c r="R994" s="66"/>
      <c r="S994" s="66"/>
      <c r="T994" s="66"/>
      <c r="U994" s="66"/>
      <c r="V994" s="66"/>
      <c r="W994" s="66"/>
      <c r="X994" s="66"/>
      <c r="Y994" s="66"/>
      <c r="Z994" s="66"/>
    </row>
    <row r="995" spans="1:26" ht="21" x14ac:dyDescent="0.65">
      <c r="A995" s="66"/>
      <c r="B995" s="66"/>
      <c r="C995" s="66"/>
      <c r="D995" s="66"/>
      <c r="E995" s="66"/>
      <c r="F995" s="66"/>
      <c r="G995" s="66"/>
      <c r="H995" s="66"/>
      <c r="I995" s="66"/>
      <c r="J995" s="66"/>
      <c r="K995" s="66"/>
      <c r="L995" s="66"/>
      <c r="M995" s="66"/>
      <c r="N995" s="66"/>
      <c r="O995" s="66"/>
      <c r="P995" s="66"/>
      <c r="Q995" s="66"/>
      <c r="R995" s="66"/>
      <c r="S995" s="66"/>
      <c r="T995" s="66"/>
      <c r="U995" s="66"/>
      <c r="V995" s="66"/>
      <c r="W995" s="66"/>
      <c r="X995" s="66"/>
      <c r="Y995" s="66"/>
      <c r="Z995" s="66"/>
    </row>
    <row r="996" spans="1:26" ht="21" x14ac:dyDescent="0.65">
      <c r="A996" s="66"/>
      <c r="B996" s="66"/>
      <c r="C996" s="66"/>
      <c r="D996" s="66"/>
      <c r="E996" s="66"/>
      <c r="F996" s="66"/>
      <c r="G996" s="66"/>
      <c r="H996" s="66"/>
      <c r="I996" s="66"/>
      <c r="J996" s="66"/>
      <c r="K996" s="66"/>
      <c r="L996" s="66"/>
      <c r="M996" s="66"/>
      <c r="N996" s="66"/>
      <c r="O996" s="66"/>
      <c r="P996" s="66"/>
      <c r="Q996" s="66"/>
      <c r="R996" s="66"/>
      <c r="S996" s="66"/>
      <c r="T996" s="66"/>
      <c r="U996" s="66"/>
      <c r="V996" s="66"/>
      <c r="W996" s="66"/>
      <c r="X996" s="66"/>
      <c r="Y996" s="66"/>
      <c r="Z996" s="66"/>
    </row>
    <row r="997" spans="1:26" ht="21" x14ac:dyDescent="0.65">
      <c r="A997" s="66"/>
      <c r="B997" s="66"/>
      <c r="C997" s="66"/>
      <c r="D997" s="66"/>
      <c r="E997" s="66"/>
      <c r="F997" s="66"/>
      <c r="G997" s="66"/>
      <c r="H997" s="66"/>
      <c r="I997" s="66"/>
      <c r="J997" s="66"/>
      <c r="K997" s="66"/>
      <c r="L997" s="66"/>
      <c r="M997" s="66"/>
      <c r="N997" s="66"/>
      <c r="O997" s="66"/>
      <c r="P997" s="66"/>
      <c r="Q997" s="66"/>
      <c r="R997" s="66"/>
      <c r="S997" s="66"/>
      <c r="T997" s="66"/>
      <c r="U997" s="66"/>
      <c r="V997" s="66"/>
      <c r="W997" s="66"/>
      <c r="X997" s="66"/>
      <c r="Y997" s="66"/>
      <c r="Z997" s="66"/>
    </row>
    <row r="998" spans="1:26" ht="21" x14ac:dyDescent="0.65">
      <c r="A998" s="66"/>
      <c r="B998" s="66"/>
      <c r="C998" s="66"/>
      <c r="D998" s="66"/>
      <c r="E998" s="66"/>
      <c r="F998" s="66"/>
      <c r="G998" s="66"/>
      <c r="H998" s="66"/>
      <c r="I998" s="66"/>
      <c r="J998" s="66"/>
      <c r="K998" s="66"/>
      <c r="L998" s="66"/>
      <c r="M998" s="66"/>
      <c r="N998" s="66"/>
      <c r="O998" s="66"/>
      <c r="P998" s="66"/>
      <c r="Q998" s="66"/>
      <c r="R998" s="66"/>
      <c r="S998" s="66"/>
      <c r="T998" s="66"/>
      <c r="U998" s="66"/>
      <c r="V998" s="66"/>
      <c r="W998" s="66"/>
      <c r="X998" s="66"/>
      <c r="Y998" s="66"/>
      <c r="Z998" s="66"/>
    </row>
    <row r="999" spans="1:26" ht="21" x14ac:dyDescent="0.65">
      <c r="A999" s="66"/>
      <c r="B999" s="66"/>
      <c r="C999" s="66"/>
      <c r="D999" s="66"/>
      <c r="E999" s="66"/>
      <c r="F999" s="66"/>
      <c r="G999" s="66"/>
      <c r="H999" s="66"/>
      <c r="I999" s="66"/>
      <c r="J999" s="66"/>
      <c r="K999" s="66"/>
      <c r="L999" s="66"/>
      <c r="M999" s="66"/>
      <c r="N999" s="66"/>
      <c r="O999" s="66"/>
      <c r="P999" s="66"/>
      <c r="Q999" s="66"/>
      <c r="R999" s="66"/>
      <c r="S999" s="66"/>
      <c r="T999" s="66"/>
      <c r="U999" s="66"/>
      <c r="V999" s="66"/>
      <c r="W999" s="66"/>
      <c r="X999" s="66"/>
      <c r="Y999" s="66"/>
      <c r="Z999" s="66"/>
    </row>
    <row r="1000" spans="1:26" ht="21" x14ac:dyDescent="0.65">
      <c r="A1000" s="66"/>
      <c r="B1000" s="66"/>
      <c r="C1000" s="66"/>
      <c r="D1000" s="66"/>
      <c r="E1000" s="66"/>
      <c r="F1000" s="66"/>
      <c r="G1000" s="66"/>
      <c r="H1000" s="66"/>
      <c r="I1000" s="66"/>
      <c r="J1000" s="66"/>
      <c r="K1000" s="66"/>
      <c r="L1000" s="66"/>
      <c r="M1000" s="66"/>
      <c r="N1000" s="66"/>
      <c r="O1000" s="66"/>
      <c r="P1000" s="66"/>
      <c r="Q1000" s="66"/>
      <c r="R1000" s="66"/>
      <c r="S1000" s="66"/>
      <c r="T1000" s="66"/>
      <c r="U1000" s="66"/>
      <c r="V1000" s="66"/>
      <c r="W1000" s="66"/>
      <c r="X1000" s="66"/>
      <c r="Y1000" s="66"/>
      <c r="Z1000" s="66"/>
    </row>
  </sheetData>
  <mergeCells count="7">
    <mergeCell ref="B35:C35"/>
    <mergeCell ref="G35:H35"/>
    <mergeCell ref="A1:I1"/>
    <mergeCell ref="B3:C3"/>
    <mergeCell ref="G3:H3"/>
    <mergeCell ref="B19:C19"/>
    <mergeCell ref="G19:H19"/>
  </mergeCells>
  <printOptions horizontalCentered="1"/>
  <pageMargins left="0.7" right="0.7" top="0.75" bottom="0.75" header="0" footer="0"/>
  <pageSetup fitToHeight="0" pageOrder="overThenDown" orientation="portrait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  <pageSetUpPr fitToPage="1"/>
  </sheetPr>
  <dimension ref="A1:BI803"/>
  <sheetViews>
    <sheetView tabSelected="1" workbookViewId="0">
      <pane ySplit="6" topLeftCell="A7" activePane="bottomLeft" state="frozen"/>
      <selection pane="bottomLeft" activeCell="B8" sqref="B8"/>
    </sheetView>
  </sheetViews>
  <sheetFormatPr defaultColWidth="14.42578125" defaultRowHeight="15.75" customHeight="1" x14ac:dyDescent="0.4"/>
  <cols>
    <col min="1" max="1" width="15.85546875" customWidth="1"/>
    <col min="2" max="2" width="7.140625" customWidth="1"/>
    <col min="3" max="3" width="8.7109375" hidden="1" customWidth="1"/>
    <col min="4" max="4" width="15.85546875" hidden="1" customWidth="1"/>
    <col min="5" max="5" width="7.140625" hidden="1" customWidth="1"/>
    <col min="6" max="6" width="6.42578125" hidden="1" customWidth="1"/>
    <col min="7" max="7" width="30.140625" customWidth="1"/>
    <col min="8" max="8" width="29.28515625" customWidth="1"/>
    <col min="9" max="9" width="10.140625" customWidth="1"/>
    <col min="10" max="10" width="18.85546875" customWidth="1"/>
    <col min="11" max="11" width="5.28515625" customWidth="1"/>
    <col min="12" max="12" width="11.7109375" hidden="1" customWidth="1"/>
    <col min="13" max="13" width="8" hidden="1" customWidth="1"/>
    <col min="14" max="15" width="4.85546875" hidden="1" customWidth="1"/>
    <col min="16" max="16" width="10.28515625" hidden="1" customWidth="1"/>
    <col min="17" max="17" width="6.28515625" hidden="1" customWidth="1"/>
    <col min="18" max="18" width="10.28515625" hidden="1" customWidth="1"/>
    <col min="19" max="19" width="9.85546875" hidden="1" customWidth="1"/>
    <col min="20" max="20" width="14.140625" customWidth="1"/>
    <col min="21" max="21" width="7" hidden="1" customWidth="1"/>
    <col min="22" max="22" width="9.42578125" hidden="1" customWidth="1"/>
    <col min="23" max="23" width="2.42578125" hidden="1" customWidth="1"/>
    <col min="24" max="24" width="8.140625" customWidth="1"/>
    <col min="25" max="25" width="11.7109375" customWidth="1"/>
    <col min="26" max="31" width="3.42578125" customWidth="1"/>
    <col min="32" max="32" width="3.5703125" customWidth="1"/>
    <col min="33" max="33" width="4.7109375" customWidth="1"/>
    <col min="34" max="34" width="3.42578125" customWidth="1"/>
    <col min="35" max="35" width="3.85546875" customWidth="1"/>
    <col min="36" max="36" width="4.85546875" customWidth="1"/>
    <col min="37" max="38" width="5.140625" customWidth="1"/>
    <col min="39" max="39" width="3.85546875" customWidth="1"/>
    <col min="40" max="40" width="3.42578125" customWidth="1"/>
    <col min="41" max="42" width="3.85546875" customWidth="1"/>
    <col min="43" max="43" width="3.5703125" customWidth="1"/>
    <col min="44" max="44" width="4.140625" customWidth="1"/>
    <col min="45" max="46" width="3.85546875" customWidth="1"/>
    <col min="47" max="49" width="4.85546875" customWidth="1"/>
    <col min="50" max="50" width="5" customWidth="1"/>
    <col min="51" max="51" width="5.140625" customWidth="1"/>
    <col min="52" max="52" width="4.85546875" customWidth="1"/>
    <col min="53" max="55" width="3.85546875" customWidth="1"/>
    <col min="56" max="56" width="4" customWidth="1"/>
    <col min="57" max="58" width="5" customWidth="1"/>
    <col min="59" max="59" width="6" customWidth="1"/>
    <col min="60" max="61" width="5.7109375" customWidth="1"/>
  </cols>
  <sheetData>
    <row r="1" spans="1:61" ht="13.15" x14ac:dyDescent="0.4">
      <c r="A1" s="104" t="s">
        <v>715</v>
      </c>
      <c r="B1" s="105" t="e">
        <f ca="1">SUMIF(P:X,"1 Orig",X:X)</f>
        <v>#REF!</v>
      </c>
      <c r="C1" s="23" t="s">
        <v>105</v>
      </c>
      <c r="D1" s="23" t="s">
        <v>105</v>
      </c>
      <c r="E1" s="106" t="s">
        <v>105</v>
      </c>
      <c r="F1" s="27" t="s">
        <v>105</v>
      </c>
      <c r="G1" s="24">
        <f>COUNTIF(P:P,"1 Orig")</f>
        <v>4</v>
      </c>
      <c r="H1" s="22" t="s">
        <v>107</v>
      </c>
      <c r="I1" s="26">
        <f ca="1">TODAY()</f>
        <v>46240</v>
      </c>
      <c r="J1" s="8" t="s">
        <v>716</v>
      </c>
      <c r="K1" s="107"/>
      <c r="L1" s="23" t="s">
        <v>105</v>
      </c>
      <c r="M1" s="23" t="s">
        <v>105</v>
      </c>
      <c r="N1" s="23" t="s">
        <v>105</v>
      </c>
      <c r="O1" s="23" t="s">
        <v>105</v>
      </c>
      <c r="P1" s="27" t="s">
        <v>105</v>
      </c>
      <c r="Q1" s="23" t="s">
        <v>105</v>
      </c>
      <c r="R1" s="23" t="s">
        <v>105</v>
      </c>
      <c r="S1" s="23" t="s">
        <v>105</v>
      </c>
      <c r="T1" s="39" t="s">
        <v>717</v>
      </c>
      <c r="U1" s="23" t="s">
        <v>105</v>
      </c>
      <c r="V1" s="23" t="s">
        <v>105</v>
      </c>
      <c r="W1" s="23" t="s">
        <v>105</v>
      </c>
      <c r="X1" s="22" t="s">
        <v>718</v>
      </c>
      <c r="Y1" s="25">
        <f>SUM(L:L)</f>
        <v>260120</v>
      </c>
      <c r="Z1" s="504" t="s">
        <v>719</v>
      </c>
      <c r="AA1" s="504" t="s">
        <v>720</v>
      </c>
      <c r="AB1" s="504" t="s">
        <v>721</v>
      </c>
      <c r="AC1" s="506" t="s">
        <v>722</v>
      </c>
      <c r="AD1" s="506" t="s">
        <v>723</v>
      </c>
      <c r="AE1" s="506" t="s">
        <v>724</v>
      </c>
      <c r="AF1" s="507" t="s">
        <v>26</v>
      </c>
      <c r="AG1" s="23" t="e">
        <f>#REF!</f>
        <v>#REF!</v>
      </c>
      <c r="AH1" s="23" t="e">
        <f>#REF!</f>
        <v>#REF!</v>
      </c>
      <c r="AI1" s="23" t="e">
        <f>#REF!</f>
        <v>#REF!</v>
      </c>
      <c r="AJ1" s="108" t="e">
        <f>#REF!</f>
        <v>#REF!</v>
      </c>
      <c r="AK1" s="109" t="e">
        <f>#REF!</f>
        <v>#REF!</v>
      </c>
      <c r="AL1" s="23" t="e">
        <f>#REF!</f>
        <v>#REF!</v>
      </c>
      <c r="AM1" s="23" t="e">
        <f>#REF!</f>
        <v>#REF!</v>
      </c>
      <c r="AN1" s="23" t="e">
        <f>#REF!</f>
        <v>#REF!</v>
      </c>
      <c r="AO1" s="23" t="e">
        <f>#REF!</f>
        <v>#REF!</v>
      </c>
      <c r="AP1" s="23" t="e">
        <f>#REF!</f>
        <v>#REF!</v>
      </c>
      <c r="AQ1" s="108" t="e">
        <f>#REF!</f>
        <v>#REF!</v>
      </c>
      <c r="AR1" s="110" t="e">
        <f>#REF!</f>
        <v>#REF!</v>
      </c>
      <c r="AS1" s="23" t="e">
        <f>#REF!</f>
        <v>#REF!</v>
      </c>
      <c r="AT1" s="23" t="e">
        <f>#REF!</f>
        <v>#REF!</v>
      </c>
      <c r="AU1" s="23" t="e">
        <f>#REF!</f>
        <v>#REF!</v>
      </c>
      <c r="AV1" s="23" t="e">
        <f>#REF!</f>
        <v>#REF!</v>
      </c>
      <c r="AW1" s="23" t="e">
        <f>#REF!</f>
        <v>#REF!</v>
      </c>
      <c r="AX1" s="108" t="e">
        <f>#REF!</f>
        <v>#REF!</v>
      </c>
      <c r="AY1" s="110" t="e">
        <f>#REF!</f>
        <v>#REF!</v>
      </c>
      <c r="AZ1" s="23" t="e">
        <f>#REF!</f>
        <v>#REF!</v>
      </c>
      <c r="BA1" s="23" t="e">
        <f>#REF!</f>
        <v>#REF!</v>
      </c>
      <c r="BB1" s="23" t="e">
        <f>#REF!</f>
        <v>#REF!</v>
      </c>
      <c r="BC1" s="23" t="e">
        <f>#REF!</f>
        <v>#REF!</v>
      </c>
      <c r="BD1" s="108" t="e">
        <f>#REF!</f>
        <v>#REF!</v>
      </c>
      <c r="BE1" s="110" t="e">
        <f>#REF!</f>
        <v>#REF!</v>
      </c>
      <c r="BF1" s="108" t="e">
        <f>#REF!</f>
        <v>#REF!</v>
      </c>
      <c r="BG1" s="110" t="e">
        <f>#REF!</f>
        <v>#REF!</v>
      </c>
      <c r="BH1" s="23" t="e">
        <f>#REF!</f>
        <v>#REF!</v>
      </c>
      <c r="BI1" s="23"/>
    </row>
    <row r="2" spans="1:61" ht="13.15" x14ac:dyDescent="0.4">
      <c r="A2" s="22" t="s">
        <v>115</v>
      </c>
      <c r="B2" s="105" t="e">
        <f ca="1">SUMIF(P:X,"2 3D",X:X)+SUMIF(P:X,"2 3D Lim",X:X)+SUMIF(P:X,"2 3D Open",X:X)</f>
        <v>#REF!</v>
      </c>
      <c r="E2" s="111"/>
      <c r="F2" s="112"/>
      <c r="G2" s="24">
        <f>COUNTIF(P:P,"2 3D")+COUNTIF(P:P,"2 3D Lim")+COUNTIF(P:P,"2 3D Open")</f>
        <v>12</v>
      </c>
      <c r="H2" s="22" t="s">
        <v>117</v>
      </c>
      <c r="I2" s="30" t="e">
        <f>SUM(X:X)</f>
        <v>#REF!</v>
      </c>
      <c r="K2" s="113"/>
      <c r="M2" s="28"/>
      <c r="N2" s="29"/>
      <c r="O2" s="29"/>
      <c r="P2" s="31"/>
      <c r="Q2" s="32"/>
      <c r="R2" s="32"/>
      <c r="S2" s="32"/>
      <c r="T2" s="39" t="s">
        <v>726</v>
      </c>
      <c r="U2" s="33"/>
      <c r="V2" s="23"/>
      <c r="Y2" s="33"/>
      <c r="Z2" s="498"/>
      <c r="AA2" s="498"/>
      <c r="AB2" s="498"/>
      <c r="AC2" s="498"/>
      <c r="AD2" s="498"/>
      <c r="AE2" s="498"/>
      <c r="AF2" s="503"/>
      <c r="AG2" s="500" t="s">
        <v>715</v>
      </c>
      <c r="AH2" s="498"/>
      <c r="AI2" s="498"/>
      <c r="AJ2" s="498"/>
      <c r="AK2" s="109"/>
      <c r="AL2" s="501" t="s">
        <v>29</v>
      </c>
      <c r="AM2" s="498"/>
      <c r="AN2" s="498"/>
      <c r="AO2" s="498"/>
      <c r="AP2" s="498"/>
      <c r="AQ2" s="498"/>
      <c r="AR2" s="502" t="s">
        <v>32</v>
      </c>
      <c r="AS2" s="498"/>
      <c r="AT2" s="498"/>
      <c r="AU2" s="498"/>
      <c r="AV2" s="498"/>
      <c r="AW2" s="498"/>
      <c r="AX2" s="503"/>
      <c r="AY2" s="502" t="s">
        <v>727</v>
      </c>
      <c r="AZ2" s="498"/>
      <c r="BA2" s="498"/>
      <c r="BB2" s="498"/>
      <c r="BC2" s="498"/>
      <c r="BD2" s="498"/>
      <c r="BE2" s="502" t="s">
        <v>726</v>
      </c>
      <c r="BF2" s="498"/>
      <c r="BG2" s="110"/>
      <c r="BH2" s="23"/>
      <c r="BI2" s="23"/>
    </row>
    <row r="3" spans="1:61" ht="13.15" x14ac:dyDescent="0.4">
      <c r="A3" s="22" t="s">
        <v>120</v>
      </c>
      <c r="B3" s="105" t="e">
        <f ca="1">SUMIF(P:X,"3 Canv",X:X)</f>
        <v>#REF!</v>
      </c>
      <c r="E3" s="111"/>
      <c r="F3" s="112"/>
      <c r="G3" s="24">
        <f>COUNTIF(P:P,"3 Canv")</f>
        <v>8</v>
      </c>
      <c r="H3" s="22" t="s">
        <v>122</v>
      </c>
      <c r="I3" s="34" t="e">
        <f>I2*24/40</f>
        <v>#REF!</v>
      </c>
      <c r="K3" s="114"/>
      <c r="M3" s="25"/>
      <c r="N3" s="29"/>
      <c r="O3" s="29"/>
      <c r="P3" s="31"/>
      <c r="Q3" s="32"/>
      <c r="R3" s="29"/>
      <c r="S3" s="29"/>
      <c r="T3" s="39" t="s">
        <v>142</v>
      </c>
      <c r="U3" s="22"/>
      <c r="V3" s="23"/>
      <c r="W3" s="29"/>
      <c r="X3" s="29"/>
      <c r="Y3" s="22"/>
      <c r="Z3" s="498"/>
      <c r="AA3" s="498"/>
      <c r="AB3" s="498"/>
      <c r="AC3" s="498"/>
      <c r="AD3" s="498"/>
      <c r="AE3" s="498"/>
      <c r="AF3" s="503"/>
      <c r="AG3" s="509" t="s">
        <v>728</v>
      </c>
      <c r="AH3" s="509" t="s">
        <v>729</v>
      </c>
      <c r="AI3" s="509" t="s">
        <v>730</v>
      </c>
      <c r="AJ3" s="510" t="s">
        <v>731</v>
      </c>
      <c r="AK3" s="511" t="s">
        <v>732</v>
      </c>
      <c r="AL3" s="509" t="s">
        <v>733</v>
      </c>
      <c r="AM3" s="509" t="s">
        <v>734</v>
      </c>
      <c r="AN3" s="509" t="s">
        <v>736</v>
      </c>
      <c r="AO3" s="509" t="s">
        <v>729</v>
      </c>
      <c r="AP3" s="509" t="s">
        <v>737</v>
      </c>
      <c r="AQ3" s="510" t="s">
        <v>738</v>
      </c>
      <c r="AR3" s="513" t="s">
        <v>739</v>
      </c>
      <c r="AS3" s="509" t="s">
        <v>734</v>
      </c>
      <c r="AT3" s="509" t="s">
        <v>740</v>
      </c>
      <c r="AU3" s="509" t="s">
        <v>728</v>
      </c>
      <c r="AV3" s="509" t="s">
        <v>741</v>
      </c>
      <c r="AW3" s="509" t="s">
        <v>730</v>
      </c>
      <c r="AX3" s="510" t="s">
        <v>742</v>
      </c>
      <c r="AY3" s="513" t="s">
        <v>743</v>
      </c>
      <c r="AZ3" s="509" t="s">
        <v>744</v>
      </c>
      <c r="BA3" s="509" t="s">
        <v>729</v>
      </c>
      <c r="BB3" s="509" t="s">
        <v>745</v>
      </c>
      <c r="BC3" s="509" t="s">
        <v>746</v>
      </c>
      <c r="BD3" s="510" t="s">
        <v>747</v>
      </c>
      <c r="BE3" s="513" t="s">
        <v>748</v>
      </c>
      <c r="BF3" s="510" t="s">
        <v>749</v>
      </c>
      <c r="BG3" s="513" t="s">
        <v>750</v>
      </c>
      <c r="BH3" s="509" t="s">
        <v>751</v>
      </c>
      <c r="BI3" s="115"/>
    </row>
    <row r="4" spans="1:61" ht="13.15" x14ac:dyDescent="0.4">
      <c r="B4" s="116"/>
      <c r="C4" s="29"/>
      <c r="D4" s="29"/>
      <c r="E4" s="106"/>
      <c r="F4" s="37"/>
      <c r="G4" s="35"/>
      <c r="H4" s="22" t="s">
        <v>125</v>
      </c>
      <c r="I4" s="36">
        <f>COUNTA(H:H)-4</f>
        <v>47</v>
      </c>
      <c r="K4" s="117"/>
      <c r="M4" s="25"/>
      <c r="N4" s="29"/>
      <c r="O4" s="29"/>
      <c r="P4" s="37"/>
      <c r="Q4" s="38"/>
      <c r="R4" s="22"/>
      <c r="S4" s="22"/>
      <c r="T4" s="39" t="s">
        <v>752</v>
      </c>
      <c r="U4" s="22"/>
      <c r="V4" s="23"/>
      <c r="W4" s="29"/>
      <c r="X4" s="29"/>
      <c r="Y4" s="22"/>
      <c r="Z4" s="498"/>
      <c r="AA4" s="498"/>
      <c r="AB4" s="498"/>
      <c r="AC4" s="498"/>
      <c r="AD4" s="498"/>
      <c r="AE4" s="498"/>
      <c r="AF4" s="503"/>
      <c r="AG4" s="498"/>
      <c r="AH4" s="498"/>
      <c r="AI4" s="498"/>
      <c r="AJ4" s="503"/>
      <c r="AK4" s="512"/>
      <c r="AL4" s="498"/>
      <c r="AM4" s="498"/>
      <c r="AN4" s="498"/>
      <c r="AO4" s="498"/>
      <c r="AP4" s="498"/>
      <c r="AQ4" s="503"/>
      <c r="AR4" s="514"/>
      <c r="AS4" s="498"/>
      <c r="AT4" s="498"/>
      <c r="AU4" s="498"/>
      <c r="AV4" s="498"/>
      <c r="AW4" s="498"/>
      <c r="AX4" s="503"/>
      <c r="AY4" s="514"/>
      <c r="AZ4" s="498"/>
      <c r="BA4" s="498"/>
      <c r="BB4" s="498"/>
      <c r="BC4" s="498"/>
      <c r="BD4" s="503"/>
      <c r="BE4" s="514"/>
      <c r="BF4" s="503"/>
      <c r="BG4" s="514"/>
      <c r="BH4" s="498"/>
      <c r="BI4" s="115"/>
    </row>
    <row r="5" spans="1:61" ht="15" customHeight="1" x14ac:dyDescent="0.4">
      <c r="A5" s="29"/>
      <c r="B5" s="116"/>
      <c r="C5" s="29"/>
      <c r="D5" s="29"/>
      <c r="E5" s="23"/>
      <c r="F5" s="37"/>
      <c r="G5" s="35"/>
      <c r="H5" s="29"/>
      <c r="I5" s="29"/>
      <c r="J5" s="29"/>
      <c r="K5" s="118"/>
      <c r="L5" s="25"/>
      <c r="M5" s="25"/>
      <c r="N5" s="29"/>
      <c r="O5" s="29"/>
      <c r="P5" s="37"/>
      <c r="Q5" s="38"/>
      <c r="R5" s="22"/>
      <c r="S5" s="22"/>
      <c r="T5" s="29" t="s">
        <v>753</v>
      </c>
      <c r="U5" s="22"/>
      <c r="V5" s="23"/>
      <c r="W5" s="29"/>
      <c r="X5" s="29"/>
      <c r="Y5" s="22"/>
      <c r="Z5" s="498"/>
      <c r="AA5" s="498"/>
      <c r="AB5" s="498"/>
      <c r="AC5" s="498"/>
      <c r="AD5" s="498"/>
      <c r="AE5" s="498"/>
      <c r="AF5" s="503"/>
      <c r="AG5" s="498"/>
      <c r="AH5" s="498"/>
      <c r="AI5" s="498"/>
      <c r="AJ5" s="503"/>
      <c r="AK5" s="512"/>
      <c r="AL5" s="498"/>
      <c r="AM5" s="498"/>
      <c r="AN5" s="498"/>
      <c r="AO5" s="498"/>
      <c r="AP5" s="498"/>
      <c r="AQ5" s="503"/>
      <c r="AR5" s="514"/>
      <c r="AS5" s="498"/>
      <c r="AT5" s="498"/>
      <c r="AU5" s="498"/>
      <c r="AV5" s="498"/>
      <c r="AW5" s="498"/>
      <c r="AX5" s="503"/>
      <c r="AY5" s="514"/>
      <c r="AZ5" s="498"/>
      <c r="BA5" s="498"/>
      <c r="BB5" s="498"/>
      <c r="BC5" s="498"/>
      <c r="BD5" s="503"/>
      <c r="BE5" s="514"/>
      <c r="BF5" s="503"/>
      <c r="BG5" s="514"/>
      <c r="BH5" s="498"/>
      <c r="BI5" s="115"/>
    </row>
    <row r="6" spans="1:61" ht="26.25" customHeight="1" x14ac:dyDescent="0.4">
      <c r="A6" s="119" t="s">
        <v>754</v>
      </c>
      <c r="B6" s="120" t="s">
        <v>25</v>
      </c>
      <c r="C6" s="119" t="s">
        <v>130</v>
      </c>
      <c r="D6" s="119" t="s">
        <v>12</v>
      </c>
      <c r="E6" s="121" t="s">
        <v>132</v>
      </c>
      <c r="F6" s="122" t="s">
        <v>133</v>
      </c>
      <c r="G6" s="123" t="s">
        <v>2</v>
      </c>
      <c r="H6" s="119" t="s">
        <v>134</v>
      </c>
      <c r="I6" s="119" t="s">
        <v>20</v>
      </c>
      <c r="J6" s="119" t="s">
        <v>11</v>
      </c>
      <c r="K6" s="121" t="s">
        <v>135</v>
      </c>
      <c r="L6" s="124" t="s">
        <v>4</v>
      </c>
      <c r="M6" s="124" t="s">
        <v>136</v>
      </c>
      <c r="N6" s="119" t="s">
        <v>8</v>
      </c>
      <c r="O6" s="119" t="s">
        <v>10</v>
      </c>
      <c r="P6" s="122" t="s">
        <v>7</v>
      </c>
      <c r="Q6" s="125" t="s">
        <v>102</v>
      </c>
      <c r="R6" s="126" t="s">
        <v>21</v>
      </c>
      <c r="S6" s="126" t="s">
        <v>138</v>
      </c>
      <c r="T6" s="119" t="s">
        <v>139</v>
      </c>
      <c r="U6" s="126" t="s">
        <v>19</v>
      </c>
      <c r="V6" s="121" t="s">
        <v>141</v>
      </c>
      <c r="W6" s="119" t="s">
        <v>716</v>
      </c>
      <c r="X6" s="119" t="s">
        <v>143</v>
      </c>
      <c r="Y6" s="126" t="s">
        <v>14</v>
      </c>
      <c r="Z6" s="505"/>
      <c r="AA6" s="505"/>
      <c r="AB6" s="505"/>
      <c r="AC6" s="505"/>
      <c r="AD6" s="505"/>
      <c r="AE6" s="505"/>
      <c r="AF6" s="508"/>
      <c r="AG6" s="498"/>
      <c r="AH6" s="498"/>
      <c r="AI6" s="498"/>
      <c r="AJ6" s="503"/>
      <c r="AK6" s="512"/>
      <c r="AL6" s="498"/>
      <c r="AM6" s="498"/>
      <c r="AN6" s="498"/>
      <c r="AO6" s="498"/>
      <c r="AP6" s="498"/>
      <c r="AQ6" s="503"/>
      <c r="AR6" s="514"/>
      <c r="AS6" s="498"/>
      <c r="AT6" s="498"/>
      <c r="AU6" s="498"/>
      <c r="AV6" s="498"/>
      <c r="AW6" s="498"/>
      <c r="AX6" s="503"/>
      <c r="AY6" s="514"/>
      <c r="AZ6" s="498"/>
      <c r="BA6" s="498"/>
      <c r="BB6" s="498"/>
      <c r="BC6" s="498"/>
      <c r="BD6" s="503"/>
      <c r="BE6" s="514"/>
      <c r="BF6" s="503"/>
      <c r="BG6" s="514"/>
      <c r="BH6" s="498"/>
      <c r="BI6" s="115"/>
    </row>
    <row r="7" spans="1:61" ht="13.15" x14ac:dyDescent="0.4">
      <c r="A7" s="127">
        <v>46245</v>
      </c>
      <c r="B7" s="128">
        <f t="shared" ref="B7:B52" ca="1" si="0">A7-TODAY()</f>
        <v>5</v>
      </c>
      <c r="C7" s="129"/>
      <c r="D7" s="130">
        <f t="shared" ref="D7:D52" si="1">A7-14</f>
        <v>46231</v>
      </c>
      <c r="E7" s="42"/>
      <c r="F7" s="131"/>
      <c r="G7" s="42" t="s">
        <v>757</v>
      </c>
      <c r="H7" s="42" t="s">
        <v>308</v>
      </c>
      <c r="I7" s="42" t="str">
        <f>MIN(N7:O7)&amp;" x "&amp;MAX(N7:O7)</f>
        <v>36 x 48</v>
      </c>
      <c r="J7" s="132" t="s">
        <v>1</v>
      </c>
      <c r="K7" s="133">
        <v>15</v>
      </c>
      <c r="L7" s="134">
        <v>4080</v>
      </c>
      <c r="M7" s="134">
        <v>0</v>
      </c>
      <c r="N7" s="135">
        <v>36</v>
      </c>
      <c r="O7" s="135">
        <v>48</v>
      </c>
      <c r="P7" s="131" t="s">
        <v>241</v>
      </c>
      <c r="Q7" s="136">
        <f t="shared" ref="Q7:Q52" si="2">N7*O7</f>
        <v>1728</v>
      </c>
      <c r="R7" s="137" t="e">
        <f>IF(J7="Rolled","N/A",IF(P7="4 Paper",MIN(N7:O7)+VLOOKUP("Picture "&amp;J7,#REF!,2,FALSE),IF(J7="Rolled","N/A",IF(J7="Roll","N/A",MIN(N7:O7)+VLOOKUP(J7,#REF!,2,FALSE)))))</f>
        <v>#REF!</v>
      </c>
      <c r="S7" s="137" t="e">
        <f>IF(J7="Rolled","N/A",IF(P7="4 Paper",MAX(N7:O7)+VLOOKUP("Picture "&amp;J7,#REF!,2,FALSE),IF(J7="Rolled","N/A",IF(J7="Roll","N/A",MAX(N7:O7)+VLOOKUP(J7,#REF!,2,FALSE)))))</f>
        <v>#REF!</v>
      </c>
      <c r="T7" s="138" t="e">
        <f t="shared" ref="T7:T52" si="3">IF(J7="Roll","N/A",IF(J7="Rolled","N/A",ROUNDUP((MIN(R7:S7)+4.25)*25.4,0)+5&amp;" x "&amp;ROUNDUP((MAX(R7:S7)+4.25)*25.4,0)+5))</f>
        <v>#REF!</v>
      </c>
      <c r="U7" s="135" t="e">
        <f t="shared" ref="U7:U52" si="4">ROUNDUP(MAX(R7:S7)+5,0)+ROUNDUP((MIN(R7:S7)+5),0)*2+12</f>
        <v>#REF!</v>
      </c>
      <c r="V7" s="42"/>
      <c r="W7" s="42"/>
      <c r="X7" s="139" t="e">
        <f t="shared" ref="X7:X52" si="5">SUM(AG7:BH7)/1440</f>
        <v>#REF!</v>
      </c>
      <c r="Y7" s="135" t="e">
        <f>IF(U7&gt;165,"CRATE",IF(J7="Rolled",IF((MIN(N7:O7)+5)&lt;22,"S-14048",IF((MIN(N7:O7)+5)&lt;34,"S-14049",IF((MIN(N7:O7)+5)&lt;54,"S-5574"))),"CNC"))</f>
        <v>#REF!</v>
      </c>
      <c r="Z7" s="140"/>
      <c r="AA7" s="141"/>
      <c r="AB7" s="140"/>
      <c r="AC7" s="140"/>
      <c r="AD7" s="142"/>
      <c r="AE7" s="142"/>
      <c r="AF7" s="143"/>
      <c r="AG7" s="133" t="str">
        <f>IF(P7="0 Cnvs",CS,"X")</f>
        <v>X</v>
      </c>
      <c r="AH7" s="133" t="str">
        <f>IF(P7="0 Cnvs",JS,"X")</f>
        <v>X</v>
      </c>
      <c r="AI7" s="133" t="str">
        <f>IF(P7="0 Cnvs",SC,"X")</f>
        <v>X</v>
      </c>
      <c r="AJ7" s="144" t="s">
        <v>105</v>
      </c>
      <c r="AK7" s="145" t="e">
        <f>IF(P7="1 Orig","X",IF(P7="0 Cnvs","X",PT))</f>
        <v>#REF!</v>
      </c>
      <c r="AL7" s="133" t="e">
        <f>IF(P7="2 3D Lim",TDF,"X")</f>
        <v>#REF!</v>
      </c>
      <c r="AM7" s="133" t="e">
        <f>IF(P7="2 3D Lim",S3DP,"X")</f>
        <v>#REF!</v>
      </c>
      <c r="AN7" s="133" t="e">
        <f>IF(P7="2 3D Lim",CB,"X")</f>
        <v>#REF!</v>
      </c>
      <c r="AO7" s="133" t="e">
        <f>IF(P7="2 3D Lim",JB,"X")</f>
        <v>#REF!</v>
      </c>
      <c r="AP7" s="133" t="e">
        <f>IF(P7="2 3D Lim",PB,"X")</f>
        <v>#REF!</v>
      </c>
      <c r="AQ7" s="144" t="e">
        <f>IF(P7="2 3D Lim",M3D,"X")</f>
        <v>#REF!</v>
      </c>
      <c r="AR7" s="146" t="str">
        <f>IF(P7="3 Canv",DF,IF(P7="4 Free",DF,"X"))</f>
        <v>X</v>
      </c>
      <c r="AS7" s="133" t="str">
        <f>IF(P7="3 Canv",PCP,"X")</f>
        <v>X</v>
      </c>
      <c r="AT7" s="133" t="str">
        <f>IF(Q7="3 Canv",PCP,"X")</f>
        <v>X</v>
      </c>
      <c r="AU7" s="133" t="e">
        <f>IF(P7="0 Cnvs","X",IF(P7="1 Orig","X",IF(P7="2 3D","X",IF(P7="1 Orig","X",IF(J7="Rolled","X",CCS)))))</f>
        <v>#REF!</v>
      </c>
      <c r="AV7" s="133" t="e">
        <f>IF(P7="0 Cnvs","X",IF(P7="1 Orig","X",IF(P7="2 3D","X",IF(P7="1 Orig","X",IF(J7="Rolled","X",JCS)))))</f>
        <v>#REF!</v>
      </c>
      <c r="AW7" s="133" t="e">
        <f t="shared" ref="AW7:AW13" si="6">IF(P7="0 Cnvs","X",IF(P7="1 Orig","X",IF(P7="2 3D","X",IF(P7="1 Orig","X",IF(J7="Rolled","X",SCP)))))</f>
        <v>#REF!</v>
      </c>
      <c r="AX7" s="144" t="str">
        <f>IF(P7="3 Canv",IF(J7="Rolled","X",PBC),"X")</f>
        <v>X</v>
      </c>
      <c r="AY7" s="146" t="e">
        <f>IF(J7="None","X",IF(J7="Stretched","X",IF(J7="Rolled","X",IF(J7="KoF","X",IF(J7="N/A","X",CF)))))</f>
        <v>#REF!</v>
      </c>
      <c r="AZ7" s="133" t="e">
        <f>IF(J7="None","X",IF(J7="Stretched","X",IF(J7="Rolled","X",IF(J7="KoF","X",IF(J7="N/A","X",DFC)))))</f>
        <v>#REF!</v>
      </c>
      <c r="BA7" s="133" t="e">
        <f>IF(J7="None","X",IF(J7="Stretched","X",IF(J7="Rolled","X",IF(J7="KoF","X",IF(J7="N/A","X",JF)))))</f>
        <v>#REF!</v>
      </c>
      <c r="BB7" s="133" t="e">
        <f>IF(J7="None","X",IF(J7="Stretched","X",IF(J7="Rolled","X",IF(J7="KoF","X",IF(J7="N/A","X",SIF)))))</f>
        <v>#REF!</v>
      </c>
      <c r="BC7" s="133" t="e">
        <f>IF(P7="0 Cnvs","X",IF(J7="Rolled","X",WP))</f>
        <v>#REF!</v>
      </c>
      <c r="BD7" s="144" t="e">
        <f>IF(J7="None","X",IF(J7="Rolled","X",IF(J7="Stretched","X",IF(J7="N/A","X",CFC))))</f>
        <v>#REF!</v>
      </c>
      <c r="BE7" s="146" t="e">
        <f>IF(P7="2 3D Lim",COA,"X")</f>
        <v>#REF!</v>
      </c>
      <c r="BF7" s="144" t="e">
        <f>IF(P7="2 3D Lim",S3D,"X")</f>
        <v>#REF!</v>
      </c>
      <c r="BG7" s="146" t="e">
        <f>IF(Y7="DELIVERY",5,IF(Y7="CNC",ROUND(AVERAGEIF(#REF!,"CNC",#REF!),1),IF(Y7="CRATE",300,IF(Y7="GALLERY","X",IF(Y7="PICKUP","X",IF(J7="Rolled",AVERAGEIF(#REF!,"Rolled",#REF!),PP))))))</f>
        <v>#REF!</v>
      </c>
      <c r="BH7" s="133" t="e">
        <f>IF(J7="Rolled",ROUND(AVERAGEIF(#REF!,"Rolled",#REF!),1),IF(Y7="GALLERY","X",IF(Y7="PICKUP","X",IF(P7="0 Canv","X",SP))))</f>
        <v>#REF!</v>
      </c>
      <c r="BI7" s="133"/>
    </row>
    <row r="8" spans="1:61" ht="13.15" x14ac:dyDescent="0.4">
      <c r="A8" s="147">
        <v>46246</v>
      </c>
      <c r="B8" s="148">
        <f t="shared" ca="1" si="0"/>
        <v>6</v>
      </c>
      <c r="C8" s="149"/>
      <c r="D8" s="150">
        <f t="shared" si="1"/>
        <v>46232</v>
      </c>
      <c r="E8" s="149"/>
      <c r="F8" s="151"/>
      <c r="G8" s="152" t="s">
        <v>324</v>
      </c>
      <c r="H8" s="152" t="s">
        <v>325</v>
      </c>
      <c r="I8" s="152" t="s">
        <v>326</v>
      </c>
      <c r="J8" s="153" t="s">
        <v>59</v>
      </c>
      <c r="K8" s="154" t="s">
        <v>38</v>
      </c>
      <c r="L8" s="155">
        <v>0</v>
      </c>
      <c r="M8" s="155">
        <v>0</v>
      </c>
      <c r="N8" s="152">
        <v>14</v>
      </c>
      <c r="O8" s="46">
        <v>11</v>
      </c>
      <c r="P8" s="152" t="s">
        <v>241</v>
      </c>
      <c r="Q8" s="156">
        <f t="shared" si="2"/>
        <v>154</v>
      </c>
      <c r="R8" s="157" t="e">
        <f>IF(J8="Rolled","N/A",IF(P8="4 Paper",MIN(N8:O8)+VLOOKUP("Picture "&amp;J8,#REF!,2,FALSE),IF(J8="Rolled","N/A",IF(J8="Roll","N/A",MIN(N8:O8)+VLOOKUP(J8,#REF!,2,FALSE)))))</f>
        <v>#REF!</v>
      </c>
      <c r="S8" s="157" t="e">
        <f>IF(J8="Rolled","N/A",IF(P8="4 Paper",MAX(N8:O8)+VLOOKUP("Picture "&amp;J8,#REF!,2,FALSE),IF(J8="Rolled","N/A",IF(J8="Roll","N/A",MAX(N8:O8)+VLOOKUP(J8,#REF!,2,FALSE)))))</f>
        <v>#REF!</v>
      </c>
      <c r="T8" s="158" t="e">
        <f t="shared" si="3"/>
        <v>#REF!</v>
      </c>
      <c r="U8" s="47" t="e">
        <f t="shared" si="4"/>
        <v>#REF!</v>
      </c>
      <c r="V8" s="47"/>
      <c r="W8" s="47"/>
      <c r="X8" s="159" t="e">
        <f t="shared" si="5"/>
        <v>#REF!</v>
      </c>
      <c r="Y8" s="48" t="s">
        <v>41</v>
      </c>
      <c r="Z8" s="140"/>
      <c r="AA8" s="140"/>
      <c r="AB8" s="140"/>
      <c r="AC8" s="140"/>
      <c r="AD8" s="140"/>
      <c r="AE8" s="140"/>
      <c r="AF8" s="140"/>
      <c r="AG8" s="154"/>
      <c r="AH8" s="154"/>
      <c r="AI8" s="154"/>
      <c r="AJ8" s="160"/>
      <c r="AK8" s="161"/>
      <c r="AL8" s="154"/>
      <c r="AM8" s="154"/>
      <c r="AN8" s="154"/>
      <c r="AO8" s="154"/>
      <c r="AP8" s="154"/>
      <c r="AQ8" s="160"/>
      <c r="AR8" s="162"/>
      <c r="AS8" s="154"/>
      <c r="AT8" s="154"/>
      <c r="AU8" s="154"/>
      <c r="AV8" s="154"/>
      <c r="AW8" s="154" t="e">
        <f t="shared" si="6"/>
        <v>#REF!</v>
      </c>
      <c r="AX8" s="160"/>
      <c r="AY8" s="162"/>
      <c r="AZ8" s="154"/>
      <c r="BA8" s="154"/>
      <c r="BB8" s="154"/>
      <c r="BC8" s="154"/>
      <c r="BD8" s="160"/>
      <c r="BE8" s="162"/>
      <c r="BF8" s="160"/>
      <c r="BG8" s="162">
        <v>5</v>
      </c>
      <c r="BH8" s="154">
        <v>5</v>
      </c>
      <c r="BI8" s="154"/>
    </row>
    <row r="9" spans="1:61" ht="13.15" x14ac:dyDescent="0.4">
      <c r="A9" s="163">
        <v>46247</v>
      </c>
      <c r="B9" s="164">
        <f t="shared" ca="1" si="0"/>
        <v>7</v>
      </c>
      <c r="C9" s="165"/>
      <c r="D9" s="166">
        <f t="shared" si="1"/>
        <v>46233</v>
      </c>
      <c r="E9" s="167"/>
      <c r="F9" s="168"/>
      <c r="G9" s="167" t="s">
        <v>768</v>
      </c>
      <c r="H9" s="167" t="s">
        <v>769</v>
      </c>
      <c r="I9" s="167" t="str">
        <f t="shared" ref="I9:I16" si="7">MIN(N9:O9)&amp;" x "&amp;MAX(N9:O9)</f>
        <v>32 x 48</v>
      </c>
      <c r="J9" s="169" t="s">
        <v>82</v>
      </c>
      <c r="K9" s="170">
        <v>8</v>
      </c>
      <c r="L9" s="171">
        <v>26000</v>
      </c>
      <c r="M9" s="171">
        <v>0</v>
      </c>
      <c r="N9" s="172">
        <v>32</v>
      </c>
      <c r="O9" s="172">
        <v>48</v>
      </c>
      <c r="P9" s="168" t="s">
        <v>42</v>
      </c>
      <c r="Q9" s="173">
        <f t="shared" si="2"/>
        <v>1536</v>
      </c>
      <c r="R9" s="174" t="e">
        <f>IF(J9="Rolled","N/A",IF(P9="4 Paper",MIN(N9:O9)+VLOOKUP("Picture "&amp;J9,#REF!,2,FALSE),IF(J9="Rolled","N/A",IF(J9="Roll","N/A",MIN(N9:O9)+VLOOKUP(J9,#REF!,2,FALSE)))))</f>
        <v>#REF!</v>
      </c>
      <c r="S9" s="174" t="e">
        <f>IF(J9="Rolled","N/A",IF(P9="4 Paper",MAX(N9:O9)+VLOOKUP("Picture "&amp;J9,#REF!,2,FALSE),IF(J9="Rolled","N/A",IF(J9="Roll","N/A",MAX(N9:O9)+VLOOKUP(J9,#REF!,2,FALSE)))))</f>
        <v>#REF!</v>
      </c>
      <c r="T9" s="175" t="e">
        <f t="shared" si="3"/>
        <v>#REF!</v>
      </c>
      <c r="U9" s="172" t="e">
        <f t="shared" si="4"/>
        <v>#REF!</v>
      </c>
      <c r="V9" s="167"/>
      <c r="W9" s="167"/>
      <c r="X9" s="176" t="e">
        <f t="shared" si="5"/>
        <v>#REF!</v>
      </c>
      <c r="Y9" s="172" t="e">
        <f>IF(U9&gt;165,"CRATE",IF(J9="Rolled",IF((MIN(N9:O9)+5)&lt;22,"S-14048",IF((MIN(N9:O9)+5)&lt;34,"S-14049",IF((MIN(N9:O9)+5)&lt;54,"S-5574"))),"CNC"))</f>
        <v>#REF!</v>
      </c>
      <c r="Z9" s="140"/>
      <c r="AA9" s="140" t="s">
        <v>771</v>
      </c>
      <c r="AB9" s="140"/>
      <c r="AC9" s="140"/>
      <c r="AD9" s="140"/>
      <c r="AE9" s="140"/>
      <c r="AF9" s="140"/>
      <c r="AG9" s="170" t="str">
        <f>IF(P9="0 Cnvs",CS,"X")</f>
        <v>X</v>
      </c>
      <c r="AH9" s="170" t="str">
        <f>IF(P9="0 Cnvs",JS,"X")</f>
        <v>X</v>
      </c>
      <c r="AI9" s="170" t="str">
        <f>IF(P9="0 Cnvs",SC,"X")</f>
        <v>X</v>
      </c>
      <c r="AJ9" s="177" t="s">
        <v>105</v>
      </c>
      <c r="AK9" s="178" t="str">
        <f>IF(P9="1 Orig","X",IF(P9="0 Cnvs","X",PT))</f>
        <v>X</v>
      </c>
      <c r="AL9" s="170" t="str">
        <f>IF(P9="2 3D Lim",TDF,"X")</f>
        <v>X</v>
      </c>
      <c r="AM9" s="170" t="str">
        <f>IF(P9="2 3D Lim",S3DP,"X")</f>
        <v>X</v>
      </c>
      <c r="AN9" s="170" t="str">
        <f>IF(P9="2 3D Lim",CB,"X")</f>
        <v>X</v>
      </c>
      <c r="AO9" s="170" t="str">
        <f>IF(P9="2 3D Lim",JB,"X")</f>
        <v>X</v>
      </c>
      <c r="AP9" s="170" t="str">
        <f>IF(P9="2 3D Lim",PB,"X")</f>
        <v>X</v>
      </c>
      <c r="AQ9" s="177" t="str">
        <f>IF(P9="2 3D Lim",M3D,"X")</f>
        <v>X</v>
      </c>
      <c r="AR9" s="179" t="str">
        <f>IF(P9="3 Canv",DF,IF(P9="4 Free",DF,"X"))</f>
        <v>X</v>
      </c>
      <c r="AS9" s="170" t="str">
        <f t="shared" ref="AS9:AT13" si="8">IF(P9="3 Canv",PCP,"X")</f>
        <v>X</v>
      </c>
      <c r="AT9" s="170" t="str">
        <f t="shared" si="8"/>
        <v>X</v>
      </c>
      <c r="AU9" s="170" t="str">
        <f>IF(P9="0 Cnvs","X",IF(P9="1 Orig","X",IF(P9="2 3D","X",IF(P9="1 Orig","X",IF(J9="Rolled","X",CCS)))))</f>
        <v>X</v>
      </c>
      <c r="AV9" s="170" t="str">
        <f>IF(P9="0 Cnvs","X",IF(P9="1 Orig","X",IF(P9="2 3D","X",IF(P9="1 Orig","X",IF(J9="Rolled","X",JCS)))))</f>
        <v>X</v>
      </c>
      <c r="AW9" s="170" t="str">
        <f t="shared" si="6"/>
        <v>X</v>
      </c>
      <c r="AX9" s="177" t="str">
        <f>IF(P9="3 Canv",IF(J9="Rolled","X",PBC),"X")</f>
        <v>X</v>
      </c>
      <c r="AY9" s="179" t="e">
        <f>IF(J9="None","X",IF(J9="Stretched","X",IF(J9="Rolled","X",IF(J9="KoF","X",IF(J9="N/A","X",CF)))))</f>
        <v>#REF!</v>
      </c>
      <c r="AZ9" s="170" t="e">
        <f>IF(J9="None","X",IF(J9="Stretched","X",IF(J9="Rolled","X",IF(J9="KoF","X",IF(J9="N/A","X",DFC)))))</f>
        <v>#REF!</v>
      </c>
      <c r="BA9" s="170" t="e">
        <f>IF(J9="None","X",IF(J9="Stretched","X",IF(J9="Rolled","X",IF(J9="KoF","X",IF(J9="N/A","X",JF)))))</f>
        <v>#REF!</v>
      </c>
      <c r="BB9" s="170" t="e">
        <f>IF(J9="None","X",IF(J9="Stretched","X",IF(J9="Rolled","X",IF(J9="KoF","X",IF(J9="N/A","X",SIF)))))</f>
        <v>#REF!</v>
      </c>
      <c r="BC9" s="170" t="e">
        <f>IF(P9="0 Cnvs","X",IF(J9="Rolled","X",WP))</f>
        <v>#REF!</v>
      </c>
      <c r="BD9" s="177" t="e">
        <f>IF(J9="None","X",IF(J9="Rolled","X",IF(J9="Stretched","X",IF(J9="N/A","X",CFC))))</f>
        <v>#REF!</v>
      </c>
      <c r="BE9" s="179" t="str">
        <f>IF(P9="2 3D Lim",COA,"X")</f>
        <v>X</v>
      </c>
      <c r="BF9" s="177" t="str">
        <f>IF(P9="2 3D Lim",S3D,"X")</f>
        <v>X</v>
      </c>
      <c r="BG9" s="179" t="e">
        <f>IF(Y9="DELIVERY",5,IF(Y9="CNC",ROUND(AVERAGEIF(#REF!,"CNC",#REF!),1),IF(Y9="CRATE",300,IF(Y9="GALLERY","X",IF(Y9="PICKUP","X",IF(J9="Rolled",AVERAGEIF(#REF!,"Rolled",#REF!),PP))))))</f>
        <v>#REF!</v>
      </c>
      <c r="BH9" s="170" t="e">
        <f>IF(J9="Rolled",ROUND(AVERAGEIF(#REF!,"Rolled",#REF!),1),IF(Y9="GALLERY","X",IF(Y9="PICKUP","X",IF(P9="0 Canv","X",SP))))</f>
        <v>#REF!</v>
      </c>
      <c r="BI9" s="170"/>
    </row>
    <row r="10" spans="1:61" ht="13.15" x14ac:dyDescent="0.4">
      <c r="A10" s="163">
        <v>46247</v>
      </c>
      <c r="B10" s="164">
        <f t="shared" ca="1" si="0"/>
        <v>7</v>
      </c>
      <c r="C10" s="165"/>
      <c r="D10" s="166">
        <f t="shared" si="1"/>
        <v>46233</v>
      </c>
      <c r="E10" s="167"/>
      <c r="F10" s="168"/>
      <c r="G10" s="167" t="s">
        <v>773</v>
      </c>
      <c r="H10" s="167" t="s">
        <v>774</v>
      </c>
      <c r="I10" s="167" t="str">
        <f t="shared" si="7"/>
        <v>72 x 96</v>
      </c>
      <c r="J10" s="169" t="s">
        <v>82</v>
      </c>
      <c r="K10" s="170"/>
      <c r="L10" s="171">
        <v>138000</v>
      </c>
      <c r="M10" s="171">
        <v>0</v>
      </c>
      <c r="N10" s="172">
        <v>72</v>
      </c>
      <c r="O10" s="172">
        <v>96</v>
      </c>
      <c r="P10" s="168" t="s">
        <v>42</v>
      </c>
      <c r="Q10" s="173">
        <f t="shared" si="2"/>
        <v>6912</v>
      </c>
      <c r="R10" s="174" t="e">
        <f>IF(J10="Rolled","N/A",IF(P10="4 Paper",MIN(N10:O10)+VLOOKUP("Picture "&amp;J10,#REF!,2,FALSE),IF(J10="Rolled","N/A",IF(J10="Roll","N/A",MIN(N10:O10)+VLOOKUP(J10,#REF!,2,FALSE)))))</f>
        <v>#REF!</v>
      </c>
      <c r="S10" s="174" t="e">
        <f>IF(J10="Rolled","N/A",IF(P10="4 Paper",MAX(N10:O10)+VLOOKUP("Picture "&amp;J10,#REF!,2,FALSE),IF(J10="Rolled","N/A",IF(J10="Roll","N/A",MAX(N10:O10)+VLOOKUP(J10,#REF!,2,FALSE)))))</f>
        <v>#REF!</v>
      </c>
      <c r="T10" s="175" t="e">
        <f t="shared" si="3"/>
        <v>#REF!</v>
      </c>
      <c r="U10" s="172" t="e">
        <f t="shared" si="4"/>
        <v>#REF!</v>
      </c>
      <c r="V10" s="167"/>
      <c r="W10" s="167"/>
      <c r="X10" s="176" t="e">
        <f t="shared" si="5"/>
        <v>#REF!</v>
      </c>
      <c r="Y10" s="172" t="s">
        <v>48</v>
      </c>
      <c r="Z10" s="140"/>
      <c r="AA10" s="140" t="s">
        <v>771</v>
      </c>
      <c r="AB10" s="140"/>
      <c r="AC10" s="140"/>
      <c r="AD10" s="180"/>
      <c r="AE10" s="180"/>
      <c r="AF10" s="181"/>
      <c r="AG10" s="170" t="str">
        <f>IF(P10="0 Cnvs",CS,"X")</f>
        <v>X</v>
      </c>
      <c r="AH10" s="170" t="str">
        <f>IF(P10="0 Cnvs",JS,"X")</f>
        <v>X</v>
      </c>
      <c r="AI10" s="170" t="str">
        <f>IF(P10="0 Cnvs",SC,"X")</f>
        <v>X</v>
      </c>
      <c r="AJ10" s="177" t="s">
        <v>105</v>
      </c>
      <c r="AK10" s="178" t="str">
        <f>IF(P10="1 Orig","X",IF(P10="0 Cnvs","X",PT))</f>
        <v>X</v>
      </c>
      <c r="AL10" s="170" t="str">
        <f>IF(P10="2 3D Lim",TDF,"X")</f>
        <v>X</v>
      </c>
      <c r="AM10" s="170" t="str">
        <f>IF(P10="2 3D Lim",S3DP,"X")</f>
        <v>X</v>
      </c>
      <c r="AN10" s="170" t="str">
        <f>IF(P10="2 3D Lim",CB,"X")</f>
        <v>X</v>
      </c>
      <c r="AO10" s="170" t="str">
        <f>IF(P10="2 3D Lim",JB,"X")</f>
        <v>X</v>
      </c>
      <c r="AP10" s="170" t="str">
        <f>IF(P10="2 3D Lim",PB,"X")</f>
        <v>X</v>
      </c>
      <c r="AQ10" s="177" t="str">
        <f>IF(P10="2 3D Lim",M3D,"X")</f>
        <v>X</v>
      </c>
      <c r="AR10" s="179" t="str">
        <f>IF(P10="3 Canv",DF,IF(P10="4 Free",DF,"X"))</f>
        <v>X</v>
      </c>
      <c r="AS10" s="170" t="str">
        <f t="shared" si="8"/>
        <v>X</v>
      </c>
      <c r="AT10" s="170" t="str">
        <f t="shared" si="8"/>
        <v>X</v>
      </c>
      <c r="AU10" s="170" t="str">
        <f>IF(P10="0 Cnvs","X",IF(P10="1 Orig","X",IF(P10="2 3D","X",IF(P10="1 Orig","X",IF(J10="Rolled","X",CCS)))))</f>
        <v>X</v>
      </c>
      <c r="AV10" s="170" t="str">
        <f>IF(P10="0 Cnvs","X",IF(P10="1 Orig","X",IF(P10="2 3D","X",IF(P10="1 Orig","X",IF(J10="Rolled","X",JCS)))))</f>
        <v>X</v>
      </c>
      <c r="AW10" s="170" t="str">
        <f t="shared" si="6"/>
        <v>X</v>
      </c>
      <c r="AX10" s="177" t="str">
        <f>IF(P10="3 Canv",IF(J10="Rolled","X",PBC),"X")</f>
        <v>X</v>
      </c>
      <c r="AY10" s="179" t="e">
        <f>IF(J10="None","X",IF(J10="Stretched","X",IF(J10="Rolled","X",IF(J10="KoF","X",IF(J10="N/A","X",CF)))))</f>
        <v>#REF!</v>
      </c>
      <c r="AZ10" s="170" t="e">
        <f>IF(J10="None","X",IF(J10="Stretched","X",IF(J10="Rolled","X",IF(J10="KoF","X",IF(J10="N/A","X",DFC)))))</f>
        <v>#REF!</v>
      </c>
      <c r="BA10" s="170" t="e">
        <f>IF(J10="None","X",IF(J10="Stretched","X",IF(J10="Rolled","X",IF(J10="KoF","X",IF(J10="N/A","X",JF)))))</f>
        <v>#REF!</v>
      </c>
      <c r="BB10" s="170" t="e">
        <f>IF(J10="None","X",IF(J10="Stretched","X",IF(J10="Rolled","X",IF(J10="KoF","X",IF(J10="N/A","X",SIF)))))</f>
        <v>#REF!</v>
      </c>
      <c r="BC10" s="170" t="e">
        <f>IF(P10="0 Cnvs","X",IF(J10="Rolled","X",WP))</f>
        <v>#REF!</v>
      </c>
      <c r="BD10" s="177" t="e">
        <f>IF(J10="None","X",IF(J10="Rolled","X",IF(J10="Stretched","X",IF(J10="N/A","X",CFC))))</f>
        <v>#REF!</v>
      </c>
      <c r="BE10" s="179" t="str">
        <f>IF(P10="2 3D Lim",COA,"X")</f>
        <v>X</v>
      </c>
      <c r="BF10" s="177" t="str">
        <f>IF(P10="2 3D Lim",S3D,"X")</f>
        <v>X</v>
      </c>
      <c r="BG10" s="179" t="str">
        <f>IF(Y10="DELIVERY",5,IF(Y10="CNC",ROUND(AVERAGEIF(#REF!,"CNC",#REF!),1),IF(Y10="CRATE",300,IF(Y10="GALLERY","X",IF(Y10="PICKUP","X",IF(J10="Rolled",AVERAGEIF(#REF!,"Rolled",#REF!),PP))))))</f>
        <v>X</v>
      </c>
      <c r="BH10" s="170" t="str">
        <f>IF(J10="Rolled",ROUND(AVERAGEIF(#REF!,"Rolled",#REF!),1),IF(Y10="GALLERY","X",IF(Y10="PICKUP","X",IF(P10="0 Canv","X",SP))))</f>
        <v>X</v>
      </c>
      <c r="BI10" s="170"/>
    </row>
    <row r="11" spans="1:61" ht="13.15" x14ac:dyDescent="0.4">
      <c r="A11" s="163">
        <v>46247</v>
      </c>
      <c r="B11" s="164">
        <f t="shared" ca="1" si="0"/>
        <v>7</v>
      </c>
      <c r="C11" s="165"/>
      <c r="D11" s="166">
        <f t="shared" si="1"/>
        <v>46233</v>
      </c>
      <c r="E11" s="167"/>
      <c r="F11" s="168"/>
      <c r="G11" s="167" t="s">
        <v>773</v>
      </c>
      <c r="H11" s="167" t="s">
        <v>776</v>
      </c>
      <c r="I11" s="167" t="str">
        <f t="shared" si="7"/>
        <v>40 x 50</v>
      </c>
      <c r="J11" s="169" t="s">
        <v>82</v>
      </c>
      <c r="K11" s="170"/>
      <c r="L11" s="171">
        <v>34000</v>
      </c>
      <c r="M11" s="171">
        <v>0</v>
      </c>
      <c r="N11" s="172">
        <v>40</v>
      </c>
      <c r="O11" s="172">
        <v>50</v>
      </c>
      <c r="P11" s="168" t="s">
        <v>42</v>
      </c>
      <c r="Q11" s="173">
        <f t="shared" si="2"/>
        <v>2000</v>
      </c>
      <c r="R11" s="174" t="e">
        <f>IF(J11="Rolled","N/A",IF(P11="4 Paper",MIN(N11:O11)+VLOOKUP("Picture "&amp;J11,#REF!,2,FALSE),IF(J11="Rolled","N/A",IF(J11="Roll","N/A",MIN(N11:O11)+VLOOKUP(J11,#REF!,2,FALSE)))))</f>
        <v>#REF!</v>
      </c>
      <c r="S11" s="174" t="e">
        <f>IF(J11="Rolled","N/A",IF(P11="4 Paper",MAX(N11:O11)+VLOOKUP("Picture "&amp;J11,#REF!,2,FALSE),IF(J11="Rolled","N/A",IF(J11="Roll","N/A",MAX(N11:O11)+VLOOKUP(J11,#REF!,2,FALSE)))))</f>
        <v>#REF!</v>
      </c>
      <c r="T11" s="175" t="e">
        <f t="shared" si="3"/>
        <v>#REF!</v>
      </c>
      <c r="U11" s="172" t="e">
        <f t="shared" si="4"/>
        <v>#REF!</v>
      </c>
      <c r="V11" s="167"/>
      <c r="W11" s="167"/>
      <c r="X11" s="176" t="e">
        <f t="shared" si="5"/>
        <v>#REF!</v>
      </c>
      <c r="Y11" s="172" t="s">
        <v>48</v>
      </c>
      <c r="Z11" s="140"/>
      <c r="AA11" s="140" t="s">
        <v>771</v>
      </c>
      <c r="AB11" s="140"/>
      <c r="AC11" s="140"/>
      <c r="AD11" s="182"/>
      <c r="AE11" s="182"/>
      <c r="AF11" s="182"/>
      <c r="AG11" s="170" t="str">
        <f>IF(P11="0 Cnvs",CS,"X")</f>
        <v>X</v>
      </c>
      <c r="AH11" s="170" t="str">
        <f>IF(P11="0 Cnvs",JS,"X")</f>
        <v>X</v>
      </c>
      <c r="AI11" s="170" t="str">
        <f>IF(P11="0 Cnvs",SC,"X")</f>
        <v>X</v>
      </c>
      <c r="AJ11" s="177" t="s">
        <v>105</v>
      </c>
      <c r="AK11" s="178" t="str">
        <f>IF(P11="1 Orig","X",IF(P11="0 Cnvs","X",PT))</f>
        <v>X</v>
      </c>
      <c r="AL11" s="170" t="str">
        <f>IF(P11="2 3D Lim",TDF,"X")</f>
        <v>X</v>
      </c>
      <c r="AM11" s="170" t="str">
        <f>IF(P11="2 3D Lim",S3DP,"X")</f>
        <v>X</v>
      </c>
      <c r="AN11" s="170" t="str">
        <f>IF(P11="2 3D Lim",CB,"X")</f>
        <v>X</v>
      </c>
      <c r="AO11" s="170" t="str">
        <f>IF(P11="2 3D Lim",JB,"X")</f>
        <v>X</v>
      </c>
      <c r="AP11" s="170" t="str">
        <f>IF(P11="2 3D Lim",PB,"X")</f>
        <v>X</v>
      </c>
      <c r="AQ11" s="177" t="str">
        <f>IF(P11="2 3D Lim",M3D,"X")</f>
        <v>X</v>
      </c>
      <c r="AR11" s="179" t="str">
        <f>IF(P11="3 Canv",DF,IF(P11="4 Free",DF,"X"))</f>
        <v>X</v>
      </c>
      <c r="AS11" s="170" t="str">
        <f t="shared" si="8"/>
        <v>X</v>
      </c>
      <c r="AT11" s="170" t="str">
        <f t="shared" si="8"/>
        <v>X</v>
      </c>
      <c r="AU11" s="170" t="str">
        <f>IF(P11="0 Cnvs","X",IF(P11="1 Orig","X",IF(P11="2 3D","X",IF(P11="1 Orig","X",IF(J11="Rolled","X",CCS)))))</f>
        <v>X</v>
      </c>
      <c r="AV11" s="170" t="str">
        <f>IF(P11="0 Cnvs","X",IF(P11="1 Orig","X",IF(P11="2 3D","X",IF(P11="1 Orig","X",IF(J11="Rolled","X",JCS)))))</f>
        <v>X</v>
      </c>
      <c r="AW11" s="170" t="str">
        <f t="shared" si="6"/>
        <v>X</v>
      </c>
      <c r="AX11" s="177" t="str">
        <f>IF(P11="3 Canv",IF(J11="Rolled","X",PBC),"X")</f>
        <v>X</v>
      </c>
      <c r="AY11" s="179" t="e">
        <f>IF(J11="None","X",IF(J11="Stretched","X",IF(J11="Rolled","X",IF(J11="KoF","X",IF(J11="N/A","X",CF)))))</f>
        <v>#REF!</v>
      </c>
      <c r="AZ11" s="170" t="e">
        <f>IF(J11="None","X",IF(J11="Stretched","X",IF(J11="Rolled","X",IF(J11="KoF","X",IF(J11="N/A","X",DFC)))))</f>
        <v>#REF!</v>
      </c>
      <c r="BA11" s="170" t="e">
        <f>IF(J11="None","X",IF(J11="Stretched","X",IF(J11="Rolled","X",IF(J11="KoF","X",IF(J11="N/A","X",JF)))))</f>
        <v>#REF!</v>
      </c>
      <c r="BB11" s="170" t="e">
        <f>IF(J11="None","X",IF(J11="Stretched","X",IF(J11="Rolled","X",IF(J11="KoF","X",IF(J11="N/A","X",SIF)))))</f>
        <v>#REF!</v>
      </c>
      <c r="BC11" s="170" t="e">
        <f>IF(P11="0 Cnvs","X",IF(J11="Rolled","X",WP))</f>
        <v>#REF!</v>
      </c>
      <c r="BD11" s="177" t="e">
        <f>IF(J11="None","X",IF(J11="Rolled","X",IF(J11="Stretched","X",IF(J11="N/A","X",CFC))))</f>
        <v>#REF!</v>
      </c>
      <c r="BE11" s="179" t="str">
        <f>IF(P11="2 3D Lim",COA,"X")</f>
        <v>X</v>
      </c>
      <c r="BF11" s="177" t="str">
        <f>IF(P11="2 3D Lim",S3D,"X")</f>
        <v>X</v>
      </c>
      <c r="BG11" s="179" t="str">
        <f>IF(Y11="DELIVERY",5,IF(Y11="CNC",ROUND(AVERAGEIF(#REF!,"CNC",#REF!),1),IF(Y11="CRATE",300,IF(Y11="GALLERY","X",IF(Y11="PICKUP","X",IF(J11="Rolled",AVERAGEIF(#REF!,"Rolled",#REF!),PP))))))</f>
        <v>X</v>
      </c>
      <c r="BH11" s="170" t="str">
        <f>IF(J11="Rolled",ROUND(AVERAGEIF(#REF!,"Rolled",#REF!),1),IF(Y11="GALLERY","X",IF(Y11="PICKUP","X",IF(P11="0 Canv","X",SP))))</f>
        <v>X</v>
      </c>
      <c r="BI11" s="170"/>
    </row>
    <row r="12" spans="1:61" ht="13.15" x14ac:dyDescent="0.4">
      <c r="A12" s="163">
        <v>46247</v>
      </c>
      <c r="B12" s="164">
        <f t="shared" ca="1" si="0"/>
        <v>7</v>
      </c>
      <c r="C12" s="165"/>
      <c r="D12" s="166">
        <f t="shared" si="1"/>
        <v>46233</v>
      </c>
      <c r="E12" s="167"/>
      <c r="F12" s="168"/>
      <c r="G12" s="167" t="s">
        <v>773</v>
      </c>
      <c r="H12" s="167" t="s">
        <v>780</v>
      </c>
      <c r="I12" s="167" t="str">
        <f t="shared" si="7"/>
        <v>48 x 60</v>
      </c>
      <c r="J12" s="169" t="s">
        <v>40</v>
      </c>
      <c r="K12" s="170"/>
      <c r="L12" s="171">
        <v>48900</v>
      </c>
      <c r="M12" s="171">
        <v>0</v>
      </c>
      <c r="N12" s="172">
        <v>48</v>
      </c>
      <c r="O12" s="172">
        <v>60</v>
      </c>
      <c r="P12" s="168" t="s">
        <v>42</v>
      </c>
      <c r="Q12" s="173">
        <f t="shared" si="2"/>
        <v>2880</v>
      </c>
      <c r="R12" s="174" t="e">
        <f>IF(J12="Rolled","N/A",IF(P12="4 Paper",MIN(N12:O12)+VLOOKUP("Picture "&amp;J12,#REF!,2,FALSE),IF(J12="Rolled","N/A",IF(J12="Roll","N/A",MIN(N12:O12)+VLOOKUP(J12,#REF!,2,FALSE)))))</f>
        <v>#REF!</v>
      </c>
      <c r="S12" s="174" t="e">
        <f>IF(J12="Rolled","N/A",IF(P12="4 Paper",MAX(N12:O12)+VLOOKUP("Picture "&amp;J12,#REF!,2,FALSE),IF(J12="Rolled","N/A",IF(J12="Roll","N/A",MAX(N12:O12)+VLOOKUP(J12,#REF!,2,FALSE)))))</f>
        <v>#REF!</v>
      </c>
      <c r="T12" s="175" t="e">
        <f t="shared" si="3"/>
        <v>#REF!</v>
      </c>
      <c r="U12" s="172" t="e">
        <f t="shared" si="4"/>
        <v>#REF!</v>
      </c>
      <c r="V12" s="167"/>
      <c r="W12" s="167"/>
      <c r="X12" s="176" t="e">
        <f t="shared" si="5"/>
        <v>#REF!</v>
      </c>
      <c r="Y12" s="172" t="s">
        <v>48</v>
      </c>
      <c r="Z12" s="140"/>
      <c r="AA12" s="140" t="s">
        <v>771</v>
      </c>
      <c r="AB12" s="140"/>
      <c r="AC12" s="140"/>
      <c r="AD12" s="182"/>
      <c r="AE12" s="182"/>
      <c r="AF12" s="182"/>
      <c r="AG12" s="170" t="str">
        <f>IF(P12="0 Cnvs",CS,"X")</f>
        <v>X</v>
      </c>
      <c r="AH12" s="170" t="str">
        <f>IF(P12="0 Cnvs",JS,"X")</f>
        <v>X</v>
      </c>
      <c r="AI12" s="170" t="str">
        <f>IF(P12="0 Cnvs",SC,"X")</f>
        <v>X</v>
      </c>
      <c r="AJ12" s="177" t="s">
        <v>105</v>
      </c>
      <c r="AK12" s="178" t="str">
        <f>IF(P12="1 Orig","X",IF(P12="0 Cnvs","X",PT))</f>
        <v>X</v>
      </c>
      <c r="AL12" s="170" t="str">
        <f>IF(P12="2 3D Lim",TDF,"X")</f>
        <v>X</v>
      </c>
      <c r="AM12" s="170" t="str">
        <f>IF(P12="2 3D Lim",S3DP,"X")</f>
        <v>X</v>
      </c>
      <c r="AN12" s="170" t="str">
        <f>IF(P12="2 3D Lim",CB,"X")</f>
        <v>X</v>
      </c>
      <c r="AO12" s="170" t="str">
        <f>IF(P12="2 3D Lim",JB,"X")</f>
        <v>X</v>
      </c>
      <c r="AP12" s="170" t="str">
        <f>IF(P12="2 3D Lim",PB,"X")</f>
        <v>X</v>
      </c>
      <c r="AQ12" s="177" t="str">
        <f>IF(P12="2 3D Lim",M3D,"X")</f>
        <v>X</v>
      </c>
      <c r="AR12" s="179" t="str">
        <f>IF(P12="3 Canv",DF,IF(P12="4 Free",DF,"X"))</f>
        <v>X</v>
      </c>
      <c r="AS12" s="170" t="str">
        <f t="shared" si="8"/>
        <v>X</v>
      </c>
      <c r="AT12" s="170" t="str">
        <f t="shared" si="8"/>
        <v>X</v>
      </c>
      <c r="AU12" s="170" t="str">
        <f>IF(P12="0 Cnvs","X",IF(P12="1 Orig","X",IF(P12="2 3D","X",IF(P12="1 Orig","X",IF(J12="Rolled","X",CCS)))))</f>
        <v>X</v>
      </c>
      <c r="AV12" s="170" t="str">
        <f>IF(P12="0 Cnvs","X",IF(P12="1 Orig","X",IF(P12="2 3D","X",IF(P12="1 Orig","X",IF(J12="Rolled","X",JCS)))))</f>
        <v>X</v>
      </c>
      <c r="AW12" s="170" t="str">
        <f t="shared" si="6"/>
        <v>X</v>
      </c>
      <c r="AX12" s="177" t="str">
        <f>IF(P12="3 Canv",IF(J12="Rolled","X",PBC),"X")</f>
        <v>X</v>
      </c>
      <c r="AY12" s="179" t="e">
        <f>IF(J12="None","X",IF(J12="Stretched","X",IF(J12="Rolled","X",IF(J12="KoF","X",IF(J12="N/A","X",CF)))))</f>
        <v>#REF!</v>
      </c>
      <c r="AZ12" s="170" t="e">
        <f>IF(J12="None","X",IF(J12="Stretched","X",IF(J12="Rolled","X",IF(J12="KoF","X",IF(J12="N/A","X",DFC)))))</f>
        <v>#REF!</v>
      </c>
      <c r="BA12" s="170" t="e">
        <f>IF(J12="None","X",IF(J12="Stretched","X",IF(J12="Rolled","X",IF(J12="KoF","X",IF(J12="N/A","X",JF)))))</f>
        <v>#REF!</v>
      </c>
      <c r="BB12" s="170" t="e">
        <f>IF(J12="None","X",IF(J12="Stretched","X",IF(J12="Rolled","X",IF(J12="KoF","X",IF(J12="N/A","X",SIF)))))</f>
        <v>#REF!</v>
      </c>
      <c r="BC12" s="170" t="e">
        <f>IF(P12="0 Cnvs","X",IF(J12="Rolled","X",WP))</f>
        <v>#REF!</v>
      </c>
      <c r="BD12" s="177" t="e">
        <f>IF(J12="None","X",IF(J12="Rolled","X",IF(J12="Stretched","X",IF(J12="N/A","X",CFC))))</f>
        <v>#REF!</v>
      </c>
      <c r="BE12" s="179" t="str">
        <f>IF(P12="2 3D Lim",COA,"X")</f>
        <v>X</v>
      </c>
      <c r="BF12" s="177" t="str">
        <f>IF(P12="2 3D Lim",S3D,"X")</f>
        <v>X</v>
      </c>
      <c r="BG12" s="179" t="str">
        <f>IF(Y12="DELIVERY",5,IF(Y12="CNC",ROUND(AVERAGEIF(#REF!,"CNC",#REF!),1),IF(Y12="CRATE",300,IF(Y12="GALLERY","X",IF(Y12="PICKUP","X",IF(J12="Rolled",AVERAGEIF(#REF!,"Rolled",#REF!),PP))))))</f>
        <v>X</v>
      </c>
      <c r="BH12" s="170" t="str">
        <f>IF(J12="Rolled",ROUND(AVERAGEIF(#REF!,"Rolled",#REF!),1),IF(Y12="GALLERY","X",IF(Y12="PICKUP","X",IF(P12="0 Canv","X",SP))))</f>
        <v>X</v>
      </c>
      <c r="BI12" s="170"/>
    </row>
    <row r="13" spans="1:61" ht="13.15" x14ac:dyDescent="0.4">
      <c r="A13" s="183">
        <v>46248</v>
      </c>
      <c r="B13" s="184">
        <f t="shared" ca="1" si="0"/>
        <v>8</v>
      </c>
      <c r="C13" s="50"/>
      <c r="D13" s="185">
        <f t="shared" si="1"/>
        <v>46234</v>
      </c>
      <c r="E13" s="40"/>
      <c r="F13" s="55"/>
      <c r="G13" s="186" t="s">
        <v>785</v>
      </c>
      <c r="H13" s="40" t="s">
        <v>786</v>
      </c>
      <c r="I13" s="40" t="str">
        <f t="shared" si="7"/>
        <v>30 x 46</v>
      </c>
      <c r="J13" s="53" t="s">
        <v>50</v>
      </c>
      <c r="K13" s="187">
        <v>211</v>
      </c>
      <c r="L13" s="54"/>
      <c r="M13" s="54">
        <v>0</v>
      </c>
      <c r="N13" s="49">
        <v>30</v>
      </c>
      <c r="O13" s="49">
        <v>46</v>
      </c>
      <c r="P13" s="55" t="s">
        <v>66</v>
      </c>
      <c r="Q13" s="188">
        <f t="shared" si="2"/>
        <v>1380</v>
      </c>
      <c r="R13" s="189" t="e">
        <f>IF(J13="Rolled","N/A",IF(J13="Roll","N/A",MIN(N13:O13)+VLOOKUP(J13,#REF!,2,FALSE)))</f>
        <v>#REF!</v>
      </c>
      <c r="S13" s="189" t="e">
        <f>IF(R13="N/A","N/A",MAX(N13:O13)+VLOOKUP(J13,#REF!,2,FALSE))</f>
        <v>#REF!</v>
      </c>
      <c r="T13" s="190" t="e">
        <f t="shared" si="3"/>
        <v>#REF!</v>
      </c>
      <c r="U13" s="49" t="e">
        <f t="shared" si="4"/>
        <v>#REF!</v>
      </c>
      <c r="V13" s="40"/>
      <c r="W13" s="40"/>
      <c r="X13" s="191" t="e">
        <f t="shared" si="5"/>
        <v>#REF!</v>
      </c>
      <c r="Y13" s="49" t="s">
        <v>48</v>
      </c>
      <c r="Z13" s="192"/>
      <c r="AA13" s="193"/>
      <c r="AB13" s="193"/>
      <c r="AC13" s="192"/>
      <c r="AD13" s="182"/>
      <c r="AE13" s="192"/>
      <c r="AF13" s="194"/>
      <c r="AG13" s="187" t="str">
        <f>IF(P13="0 Cnvs",CS,"X")</f>
        <v>X</v>
      </c>
      <c r="AH13" s="187" t="str">
        <f>IF(P13="0 Cnvs",JS,"X")</f>
        <v>X</v>
      </c>
      <c r="AI13" s="187" t="str">
        <f>IF(P13="0 Cnvs",SC,"X")</f>
        <v>X</v>
      </c>
      <c r="AJ13" s="195" t="s">
        <v>105</v>
      </c>
      <c r="AK13" s="196" t="e">
        <f>IF(P13="1 Orig","X",IF(P13="0 Cnvs","X",PT))</f>
        <v>#REF!</v>
      </c>
      <c r="AL13" s="187" t="str">
        <f>IF(P13="2 3D Lim",TDF,"X")</f>
        <v>X</v>
      </c>
      <c r="AM13" s="187" t="str">
        <f>IF(P13="2 3D Lim",S3DP,"X")</f>
        <v>X</v>
      </c>
      <c r="AN13" s="187" t="str">
        <f>IF(P13="2 3D Lim",CB,"X")</f>
        <v>X</v>
      </c>
      <c r="AO13" s="187" t="str">
        <f>IF(P13="2 3D Lim",JB,"X")</f>
        <v>X</v>
      </c>
      <c r="AP13" s="187" t="str">
        <f>IF(P13="2 3D Lim",PB,"X")</f>
        <v>X</v>
      </c>
      <c r="AQ13" s="195" t="str">
        <f>IF(P13="2 3D Lim",M3D,"X")</f>
        <v>X</v>
      </c>
      <c r="AR13" s="197" t="e">
        <f>IF(P13="3 Canv",DF,IF(P13="4 Free",DF,"X"))</f>
        <v>#REF!</v>
      </c>
      <c r="AS13" s="187" t="e">
        <f t="shared" si="8"/>
        <v>#REF!</v>
      </c>
      <c r="AT13" s="187" t="str">
        <f t="shared" si="8"/>
        <v>X</v>
      </c>
      <c r="AU13" s="187" t="e">
        <f>IF(P13="0 Cnvs","X",IF(P13="1 Orig","X",IF(P13="2 3D","X",IF(P13="1 Orig","X",IF(J13="Rolled","X",CCS)))))</f>
        <v>#REF!</v>
      </c>
      <c r="AV13" s="187" t="e">
        <f>IF(P13="0 Cnvs","X",IF(P13="1 Orig","X",IF(P13="2 3D","X",IF(P13="1 Orig","X",IF(J13="Rolled","X",JCS)))))</f>
        <v>#REF!</v>
      </c>
      <c r="AW13" s="187" t="e">
        <f t="shared" si="6"/>
        <v>#REF!</v>
      </c>
      <c r="AX13" s="195" t="e">
        <f>IF(P13="3 Canv",IF(J13="Rolled","X",PBC),"X")</f>
        <v>#REF!</v>
      </c>
      <c r="AY13" s="197" t="str">
        <f>IF(J13="None","X",IF(J13="Stretched","X",IF(J13="Rolled","X",IF(J13="KoF","X",IF(J13="N/A","X",CF)))))</f>
        <v>X</v>
      </c>
      <c r="AZ13" s="187" t="str">
        <f>IF(J13="None","X",IF(J13="Stretched","X",IF(J13="Rolled","X",IF(J13="KoF","X",IF(J13="N/A","X",DFC)))))</f>
        <v>X</v>
      </c>
      <c r="BA13" s="187" t="str">
        <f>IF(J13="None","X",IF(J13="Stretched","X",IF(J13="Rolled","X",IF(J13="KoF","X",IF(J13="N/A","X",JF)))))</f>
        <v>X</v>
      </c>
      <c r="BB13" s="187" t="str">
        <f>IF(J13="None","X",IF(J13="Stretched","X",IF(J13="Rolled","X",IF(J13="KoF","X",IF(J13="N/A","X",SIF)))))</f>
        <v>X</v>
      </c>
      <c r="BC13" s="187" t="e">
        <f>IF(P13="0 Cnvs","X",IF(J13="Rolled","X",WP))</f>
        <v>#REF!</v>
      </c>
      <c r="BD13" s="195" t="str">
        <f>IF(J13="None","X",IF(J13="Rolled","X",IF(J13="Stretched","X",IF(J13="N/A","X",CFC))))</f>
        <v>X</v>
      </c>
      <c r="BE13" s="197" t="str">
        <f>IF(P13="2 3D Lim",COA,"X")</f>
        <v>X</v>
      </c>
      <c r="BF13" s="195" t="str">
        <f>IF(P13="2 3D Lim",S3D,"X")</f>
        <v>X</v>
      </c>
      <c r="BG13" s="197" t="str">
        <f>IF(Y13="DELIVERY",5,IF(Y13="CNC",ROUND(AVERAGEIF(#REF!,"CNC",#REF!),1),IF(Y13="CRATE",300,IF(Y13="GALLERY","X",IF(Y13="PICKUP","X",IF(J13="Rolled",AVERAGEIF(#REF!,"Rolled",#REF!),PP))))))</f>
        <v>X</v>
      </c>
      <c r="BH13" s="187" t="str">
        <f>IF(J13="Rolled",ROUND(AVERAGEIF(#REF!,"Rolled",#REF!),1),IF(Y13="GALLERY","X",IF(Y13="PICKUP","X",IF(P13="0 Canv","X",SP))))</f>
        <v>X</v>
      </c>
      <c r="BI13" s="187"/>
    </row>
    <row r="14" spans="1:61" ht="13.15" x14ac:dyDescent="0.4">
      <c r="A14" s="183">
        <v>46249</v>
      </c>
      <c r="B14" s="184">
        <f t="shared" ca="1" si="0"/>
        <v>9</v>
      </c>
      <c r="C14" s="50"/>
      <c r="D14" s="185">
        <f t="shared" si="1"/>
        <v>46235</v>
      </c>
      <c r="E14" s="40"/>
      <c r="F14" s="55"/>
      <c r="G14" s="186" t="s">
        <v>789</v>
      </c>
      <c r="H14" s="40" t="s">
        <v>790</v>
      </c>
      <c r="I14" s="40" t="str">
        <f t="shared" si="7"/>
        <v>15 x 23</v>
      </c>
      <c r="J14" s="53" t="s">
        <v>64</v>
      </c>
      <c r="K14" s="187">
        <v>211</v>
      </c>
      <c r="L14" s="54"/>
      <c r="M14" s="54" t="s">
        <v>792</v>
      </c>
      <c r="N14" s="49">
        <v>23</v>
      </c>
      <c r="O14" s="49">
        <v>15</v>
      </c>
      <c r="P14" s="55" t="s">
        <v>66</v>
      </c>
      <c r="Q14" s="188">
        <f t="shared" si="2"/>
        <v>345</v>
      </c>
      <c r="R14" s="189" t="str">
        <f>IF(J14="Rolled","N/A",IF(J14="Roll","N/A",MIN(N14:O14)+VLOOKUP(J14,#REF!,2,FALSE)))</f>
        <v>N/A</v>
      </c>
      <c r="S14" s="189" t="str">
        <f>IF(R14="N/A","N/A",MAX(N14:O14)+VLOOKUP(J14,#REF!,2,FALSE))</f>
        <v>N/A</v>
      </c>
      <c r="T14" s="190" t="str">
        <f t="shared" si="3"/>
        <v>N/A</v>
      </c>
      <c r="U14" s="49">
        <f t="shared" si="4"/>
        <v>27</v>
      </c>
      <c r="V14" s="40"/>
      <c r="W14" s="40"/>
      <c r="X14" s="191">
        <f t="shared" si="5"/>
        <v>4.4444444444444446E-2</v>
      </c>
      <c r="Y14" s="49" t="s">
        <v>48</v>
      </c>
      <c r="Z14" s="192"/>
      <c r="AA14" s="193"/>
      <c r="AB14" s="182"/>
      <c r="AC14" s="182"/>
      <c r="AD14" s="182"/>
      <c r="AE14" s="182"/>
      <c r="AF14" s="194"/>
      <c r="AG14" s="187"/>
      <c r="AH14" s="187"/>
      <c r="AI14" s="187"/>
      <c r="AJ14" s="195"/>
      <c r="AK14" s="196"/>
      <c r="AL14" s="187"/>
      <c r="AM14" s="187"/>
      <c r="AN14" s="187"/>
      <c r="AO14" s="187"/>
      <c r="AP14" s="187"/>
      <c r="AQ14" s="195"/>
      <c r="AR14" s="197"/>
      <c r="AS14" s="187"/>
      <c r="AT14" s="187"/>
      <c r="AU14" s="187"/>
      <c r="AV14" s="187"/>
      <c r="AW14" s="187"/>
      <c r="AX14" s="195"/>
      <c r="AY14" s="197">
        <v>7.8</v>
      </c>
      <c r="AZ14" s="187">
        <v>11.3</v>
      </c>
      <c r="BA14" s="187">
        <v>9.4</v>
      </c>
      <c r="BB14" s="187">
        <v>11.3</v>
      </c>
      <c r="BC14" s="187">
        <v>7.5</v>
      </c>
      <c r="BD14" s="195">
        <v>6.7</v>
      </c>
      <c r="BE14" s="197"/>
      <c r="BF14" s="195"/>
      <c r="BG14" s="197">
        <v>5</v>
      </c>
      <c r="BH14" s="187">
        <v>5</v>
      </c>
      <c r="BI14" s="187"/>
    </row>
    <row r="15" spans="1:61" ht="13.15" x14ac:dyDescent="0.4">
      <c r="A15" s="183">
        <v>46249</v>
      </c>
      <c r="B15" s="184">
        <f t="shared" ca="1" si="0"/>
        <v>9</v>
      </c>
      <c r="C15" s="50"/>
      <c r="D15" s="185">
        <f t="shared" si="1"/>
        <v>46235</v>
      </c>
      <c r="E15" s="40"/>
      <c r="F15" s="55"/>
      <c r="G15" s="186" t="s">
        <v>789</v>
      </c>
      <c r="H15" s="40" t="s">
        <v>472</v>
      </c>
      <c r="I15" s="40" t="str">
        <f t="shared" si="7"/>
        <v>15 x 25</v>
      </c>
      <c r="J15" s="53" t="s">
        <v>64</v>
      </c>
      <c r="K15" s="187">
        <v>211</v>
      </c>
      <c r="L15" s="54"/>
      <c r="M15" s="54" t="s">
        <v>792</v>
      </c>
      <c r="N15" s="49">
        <v>15</v>
      </c>
      <c r="O15" s="49">
        <v>25</v>
      </c>
      <c r="P15" s="55" t="s">
        <v>66</v>
      </c>
      <c r="Q15" s="188">
        <f t="shared" si="2"/>
        <v>375</v>
      </c>
      <c r="R15" s="189" t="str">
        <f>IF(J15="Rolled","N/A",IF(J15="Roll","N/A",MIN(N15:O15)+VLOOKUP(J15,#REF!,2,FALSE)))</f>
        <v>N/A</v>
      </c>
      <c r="S15" s="189" t="str">
        <f>IF(R15="N/A","N/A",MAX(N15:O15)+VLOOKUP(J15,#REF!,2,FALSE))</f>
        <v>N/A</v>
      </c>
      <c r="T15" s="190" t="str">
        <f t="shared" si="3"/>
        <v>N/A</v>
      </c>
      <c r="U15" s="49">
        <f t="shared" si="4"/>
        <v>27</v>
      </c>
      <c r="V15" s="40"/>
      <c r="W15" s="40"/>
      <c r="X15" s="191">
        <f t="shared" si="5"/>
        <v>4.4444444444444446E-2</v>
      </c>
      <c r="Y15" s="49" t="s">
        <v>48</v>
      </c>
      <c r="Z15" s="192"/>
      <c r="AA15" s="193"/>
      <c r="AB15" s="182"/>
      <c r="AC15" s="182"/>
      <c r="AD15" s="182"/>
      <c r="AE15" s="182"/>
      <c r="AF15" s="194"/>
      <c r="AG15" s="187"/>
      <c r="AH15" s="187"/>
      <c r="AI15" s="187"/>
      <c r="AJ15" s="195"/>
      <c r="AK15" s="196"/>
      <c r="AL15" s="187"/>
      <c r="AM15" s="187"/>
      <c r="AN15" s="187"/>
      <c r="AO15" s="187"/>
      <c r="AP15" s="187"/>
      <c r="AQ15" s="195"/>
      <c r="AR15" s="197"/>
      <c r="AS15" s="187"/>
      <c r="AT15" s="187"/>
      <c r="AU15" s="187"/>
      <c r="AV15" s="187"/>
      <c r="AW15" s="187"/>
      <c r="AX15" s="195"/>
      <c r="AY15" s="197">
        <v>7.8</v>
      </c>
      <c r="AZ15" s="187">
        <v>11.3</v>
      </c>
      <c r="BA15" s="187">
        <v>9.4</v>
      </c>
      <c r="BB15" s="187">
        <v>11.3</v>
      </c>
      <c r="BC15" s="187">
        <v>7.5</v>
      </c>
      <c r="BD15" s="195">
        <v>6.7</v>
      </c>
      <c r="BE15" s="197"/>
      <c r="BF15" s="195"/>
      <c r="BG15" s="197">
        <v>5</v>
      </c>
      <c r="BH15" s="187">
        <v>5</v>
      </c>
      <c r="BI15" s="187"/>
    </row>
    <row r="16" spans="1:61" ht="13.15" x14ac:dyDescent="0.4">
      <c r="A16" s="183">
        <v>46250</v>
      </c>
      <c r="B16" s="184">
        <f t="shared" ca="1" si="0"/>
        <v>10</v>
      </c>
      <c r="C16" s="50"/>
      <c r="D16" s="185">
        <f t="shared" si="1"/>
        <v>46236</v>
      </c>
      <c r="E16" s="40"/>
      <c r="F16" s="55"/>
      <c r="G16" s="186" t="s">
        <v>794</v>
      </c>
      <c r="H16" s="40" t="s">
        <v>313</v>
      </c>
      <c r="I16" s="40" t="str">
        <f t="shared" si="7"/>
        <v>30 x 39</v>
      </c>
      <c r="J16" s="53" t="s">
        <v>50</v>
      </c>
      <c r="K16" s="187">
        <v>211</v>
      </c>
      <c r="L16" s="54"/>
      <c r="M16" s="54">
        <v>0</v>
      </c>
      <c r="N16" s="49">
        <v>39</v>
      </c>
      <c r="O16" s="49">
        <v>30</v>
      </c>
      <c r="P16" s="55" t="s">
        <v>66</v>
      </c>
      <c r="Q16" s="188">
        <f t="shared" si="2"/>
        <v>1170</v>
      </c>
      <c r="R16" s="189" t="e">
        <f>IF(J16="Rolled","N/A",IF(J16="Roll","N/A",MIN(N16:O16)+VLOOKUP(J16,#REF!,2,FALSE)))</f>
        <v>#REF!</v>
      </c>
      <c r="S16" s="189" t="e">
        <f>IF(R16="N/A","N/A",MAX(N16:O16)+VLOOKUP(J16,#REF!,2,FALSE))</f>
        <v>#REF!</v>
      </c>
      <c r="T16" s="190" t="e">
        <f t="shared" si="3"/>
        <v>#REF!</v>
      </c>
      <c r="U16" s="49" t="e">
        <f t="shared" si="4"/>
        <v>#REF!</v>
      </c>
      <c r="V16" s="40"/>
      <c r="W16" s="40"/>
      <c r="X16" s="191" t="e">
        <f t="shared" si="5"/>
        <v>#REF!</v>
      </c>
      <c r="Y16" s="49" t="s">
        <v>48</v>
      </c>
      <c r="Z16" s="192"/>
      <c r="AA16" s="193"/>
      <c r="AB16" s="193"/>
      <c r="AC16" s="192"/>
      <c r="AD16" s="182"/>
      <c r="AE16" s="192"/>
      <c r="AF16" s="194"/>
      <c r="AG16" s="187" t="str">
        <f>IF(P16="0 Cnvs",CS,"X")</f>
        <v>X</v>
      </c>
      <c r="AH16" s="187" t="str">
        <f>IF(P16="0 Cnvs",JS,"X")</f>
        <v>X</v>
      </c>
      <c r="AI16" s="187" t="str">
        <f>IF(P16="0 Cnvs",SC,"X")</f>
        <v>X</v>
      </c>
      <c r="AJ16" s="195" t="s">
        <v>105</v>
      </c>
      <c r="AK16" s="196" t="e">
        <f>IF(P16="1 Orig","X",IF(P16="0 Cnvs","X",PT))</f>
        <v>#REF!</v>
      </c>
      <c r="AL16" s="187" t="str">
        <f>IF(P16="2 3D Lim",TDF,"X")</f>
        <v>X</v>
      </c>
      <c r="AM16" s="187" t="str">
        <f>IF(P16="2 3D Lim",S3DP,"X")</f>
        <v>X</v>
      </c>
      <c r="AN16" s="187" t="str">
        <f>IF(P16="2 3D Lim",CB,"X")</f>
        <v>X</v>
      </c>
      <c r="AO16" s="187" t="str">
        <f>IF(P16="2 3D Lim",JB,"X")</f>
        <v>X</v>
      </c>
      <c r="AP16" s="187" t="str">
        <f>IF(P16="2 3D Lim",PB,"X")</f>
        <v>X</v>
      </c>
      <c r="AQ16" s="195" t="str">
        <f>IF(P16="2 3D Lim",M3D,"X")</f>
        <v>X</v>
      </c>
      <c r="AR16" s="197" t="e">
        <f>IF(P16="3 Canv",DF,IF(P16="4 Free",DF,"X"))</f>
        <v>#REF!</v>
      </c>
      <c r="AS16" s="187" t="e">
        <f>IF(P16="3 Canv",PCP,"X")</f>
        <v>#REF!</v>
      </c>
      <c r="AT16" s="187" t="str">
        <f>IF(Q16="3 Canv",PCP,"X")</f>
        <v>X</v>
      </c>
      <c r="AU16" s="187" t="e">
        <f>IF(P16="0 Cnvs","X",IF(P16="1 Orig","X",IF(P16="2 3D","X",IF(P16="1 Orig","X",IF(J16="Rolled","X",CCS)))))</f>
        <v>#REF!</v>
      </c>
      <c r="AV16" s="187" t="e">
        <f>IF(P16="0 Cnvs","X",IF(P16="1 Orig","X",IF(P16="2 3D","X",IF(P16="1 Orig","X",IF(J16="Rolled","X",JCS)))))</f>
        <v>#REF!</v>
      </c>
      <c r="AW16" s="187" t="e">
        <f>IF(P16="0 Cnvs","X",IF(P16="1 Orig","X",IF(P16="2 3D","X",IF(P16="1 Orig","X",IF(J16="Rolled","X",SCP)))))</f>
        <v>#REF!</v>
      </c>
      <c r="AX16" s="195" t="e">
        <f>IF(P16="3 Canv",IF(J16="Rolled","X",PBC),"X")</f>
        <v>#REF!</v>
      </c>
      <c r="AY16" s="197" t="str">
        <f>IF(J16="None","X",IF(J16="Stretched","X",IF(J16="Rolled","X",IF(J16="KoF","X",IF(J16="N/A","X",CF)))))</f>
        <v>X</v>
      </c>
      <c r="AZ16" s="187" t="str">
        <f>IF(J16="None","X",IF(J16="Stretched","X",IF(J16="Rolled","X",IF(J16="KoF","X",IF(J16="N/A","X",DFC)))))</f>
        <v>X</v>
      </c>
      <c r="BA16" s="187" t="str">
        <f>IF(J16="None","X",IF(J16="Stretched","X",IF(J16="Rolled","X",IF(J16="KoF","X",IF(J16="N/A","X",JF)))))</f>
        <v>X</v>
      </c>
      <c r="BB16" s="187" t="str">
        <f>IF(J16="None","X",IF(J16="Stretched","X",IF(J16="Rolled","X",IF(J16="KoF","X",IF(J16="N/A","X",SIF)))))</f>
        <v>X</v>
      </c>
      <c r="BC16" s="187" t="e">
        <f>IF(P16="0 Cnvs","X",IF(J16="Rolled","X",WP))</f>
        <v>#REF!</v>
      </c>
      <c r="BD16" s="195" t="str">
        <f>IF(J16="None","X",IF(J16="Rolled","X",IF(J16="Stretched","X",IF(J16="N/A","X",CFC))))</f>
        <v>X</v>
      </c>
      <c r="BE16" s="197" t="str">
        <f>IF(P16="2 3D Lim",COA,"X")</f>
        <v>X</v>
      </c>
      <c r="BF16" s="195" t="str">
        <f>IF(P16="2 3D Lim",S3D,"X")</f>
        <v>X</v>
      </c>
      <c r="BG16" s="197" t="str">
        <f>IF(Y16="DELIVERY",5,IF(Y16="CNC",ROUND(AVERAGEIF(#REF!,"CNC",#REF!),1),IF(Y16="CRATE",300,IF(Y16="GALLERY","X",IF(Y16="PICKUP","X",IF(J16="Rolled",AVERAGEIF(#REF!,"Rolled",#REF!),PP))))))</f>
        <v>X</v>
      </c>
      <c r="BH16" s="187" t="str">
        <f>IF(J16="Rolled",ROUND(AVERAGEIF(#REF!,"Rolled",#REF!),1),IF(Y16="GALLERY","X",IF(Y16="PICKUP","X",IF(P16="0 Canv","X",SP))))</f>
        <v>X</v>
      </c>
      <c r="BI16" s="187"/>
    </row>
    <row r="17" spans="1:61" ht="13.15" x14ac:dyDescent="0.4">
      <c r="A17" s="183">
        <v>46252</v>
      </c>
      <c r="B17" s="184">
        <f t="shared" ca="1" si="0"/>
        <v>12</v>
      </c>
      <c r="C17" s="198"/>
      <c r="D17" s="199">
        <f t="shared" si="1"/>
        <v>46238</v>
      </c>
      <c r="E17" s="198"/>
      <c r="F17" s="200"/>
      <c r="G17" s="201" t="s">
        <v>149</v>
      </c>
      <c r="H17" s="201" t="s">
        <v>175</v>
      </c>
      <c r="I17" s="201" t="s">
        <v>176</v>
      </c>
      <c r="J17" s="202" t="s">
        <v>64</v>
      </c>
      <c r="K17" s="187">
        <v>211</v>
      </c>
      <c r="L17" s="203">
        <v>0</v>
      </c>
      <c r="M17" s="203">
        <v>0</v>
      </c>
      <c r="N17" s="201">
        <v>30</v>
      </c>
      <c r="O17" s="40">
        <v>36</v>
      </c>
      <c r="P17" s="201" t="s">
        <v>66</v>
      </c>
      <c r="Q17" s="188">
        <f t="shared" si="2"/>
        <v>1080</v>
      </c>
      <c r="R17" s="189" t="str">
        <f>IF(J17="Rolled","N/A",IF(P17="4 Paper",MIN(N17:O17)+VLOOKUP("Picture "&amp;J17,#REF!,2,FALSE),IF(J17="Rolled","N/A",IF(J17="Roll","N/A",MIN(N17:O17)+VLOOKUP(J17,#REF!,2,FALSE)))))</f>
        <v>N/A</v>
      </c>
      <c r="S17" s="189" t="str">
        <f>IF(J17="Rolled","N/A",IF(P17="4 Paper",MAX(N17:O17)+VLOOKUP("Picture "&amp;J17,#REF!,2,FALSE),IF(J17="Rolled","N/A",IF(J17="Roll","N/A",MAX(N17:O17)+VLOOKUP(J17,#REF!,2,FALSE)))))</f>
        <v>N/A</v>
      </c>
      <c r="T17" s="190" t="str">
        <f t="shared" si="3"/>
        <v>N/A</v>
      </c>
      <c r="U17" s="41">
        <f t="shared" si="4"/>
        <v>27</v>
      </c>
      <c r="V17" s="41"/>
      <c r="W17" s="41"/>
      <c r="X17" s="191">
        <f t="shared" si="5"/>
        <v>4.4444444444444446E-2</v>
      </c>
      <c r="Y17" s="49" t="str">
        <f t="shared" ref="Y17:Y30" si="9">IF(U17&gt;165,"CRATE",IF(J17="Rolled",IF((MIN(N17:O17)+5)&lt;22,"S-14048",IF((MIN(N17:O17)+5)&lt;34,"S-14049",IF((MIN(N17:O17)+5)&lt;54,"S-5574"))),"CNC"))</f>
        <v>S-5574</v>
      </c>
      <c r="Z17" s="204"/>
      <c r="AA17" s="204"/>
      <c r="AB17" s="182"/>
      <c r="AC17" s="182"/>
      <c r="AD17" s="182"/>
      <c r="AE17" s="182"/>
      <c r="AF17" s="205"/>
      <c r="AG17" s="187"/>
      <c r="AH17" s="187"/>
      <c r="AI17" s="187"/>
      <c r="AJ17" s="195"/>
      <c r="AK17" s="196"/>
      <c r="AL17" s="187"/>
      <c r="AM17" s="187"/>
      <c r="AN17" s="187"/>
      <c r="AO17" s="187"/>
      <c r="AP17" s="187"/>
      <c r="AQ17" s="195"/>
      <c r="AR17" s="197"/>
      <c r="AS17" s="187"/>
      <c r="AT17" s="187"/>
      <c r="AU17" s="187"/>
      <c r="AV17" s="187"/>
      <c r="AW17" s="187"/>
      <c r="AX17" s="195"/>
      <c r="AY17" s="197">
        <v>7.8</v>
      </c>
      <c r="AZ17" s="187">
        <v>11.3</v>
      </c>
      <c r="BA17" s="187">
        <v>9.4</v>
      </c>
      <c r="BB17" s="187">
        <v>11.3</v>
      </c>
      <c r="BC17" s="187">
        <v>7.5</v>
      </c>
      <c r="BD17" s="195">
        <v>6.7</v>
      </c>
      <c r="BE17" s="197"/>
      <c r="BF17" s="195"/>
      <c r="BG17" s="197">
        <v>5</v>
      </c>
      <c r="BH17" s="187">
        <v>5</v>
      </c>
      <c r="BI17" s="187"/>
    </row>
    <row r="18" spans="1:61" ht="13.15" x14ac:dyDescent="0.4">
      <c r="A18" s="183">
        <v>46252</v>
      </c>
      <c r="B18" s="184">
        <f t="shared" ca="1" si="0"/>
        <v>12</v>
      </c>
      <c r="C18" s="198"/>
      <c r="D18" s="199">
        <f t="shared" si="1"/>
        <v>46238</v>
      </c>
      <c r="E18" s="198"/>
      <c r="F18" s="200"/>
      <c r="G18" s="201" t="s">
        <v>149</v>
      </c>
      <c r="H18" s="201" t="s">
        <v>150</v>
      </c>
      <c r="I18" s="201" t="s">
        <v>56</v>
      </c>
      <c r="J18" s="202" t="s">
        <v>64</v>
      </c>
      <c r="K18" s="187">
        <v>211</v>
      </c>
      <c r="L18" s="203">
        <v>0</v>
      </c>
      <c r="M18" s="203">
        <v>0</v>
      </c>
      <c r="N18" s="201">
        <v>36</v>
      </c>
      <c r="O18" s="40">
        <v>45</v>
      </c>
      <c r="P18" s="201" t="s">
        <v>66</v>
      </c>
      <c r="Q18" s="188">
        <f t="shared" si="2"/>
        <v>1620</v>
      </c>
      <c r="R18" s="189" t="str">
        <f>IF(J18="Rolled","N/A",IF(P18="4 Paper",MIN(N18:O18)+VLOOKUP("Picture "&amp;J18,#REF!,2,FALSE),IF(J18="Rolled","N/A",IF(J18="Roll","N/A",MIN(N18:O18)+VLOOKUP(J18,#REF!,2,FALSE)))))</f>
        <v>N/A</v>
      </c>
      <c r="S18" s="189" t="str">
        <f>IF(J18="Rolled","N/A",IF(P18="4 Paper",MAX(N18:O18)+VLOOKUP("Picture "&amp;J18,#REF!,2,FALSE),IF(J18="Rolled","N/A",IF(J18="Roll","N/A",MAX(N18:O18)+VLOOKUP(J18,#REF!,2,FALSE)))))</f>
        <v>N/A</v>
      </c>
      <c r="T18" s="190" t="str">
        <f t="shared" si="3"/>
        <v>N/A</v>
      </c>
      <c r="U18" s="41">
        <f t="shared" si="4"/>
        <v>27</v>
      </c>
      <c r="V18" s="41"/>
      <c r="W18" s="41"/>
      <c r="X18" s="191">
        <f t="shared" si="5"/>
        <v>4.4444444444444446E-2</v>
      </c>
      <c r="Y18" s="49" t="str">
        <f t="shared" si="9"/>
        <v>S-5574</v>
      </c>
      <c r="Z18" s="204"/>
      <c r="AA18" s="204"/>
      <c r="AB18" s="182"/>
      <c r="AC18" s="182"/>
      <c r="AD18" s="182"/>
      <c r="AE18" s="182"/>
      <c r="AF18" s="205"/>
      <c r="AG18" s="187"/>
      <c r="AH18" s="187"/>
      <c r="AI18" s="187"/>
      <c r="AJ18" s="195"/>
      <c r="AK18" s="196"/>
      <c r="AL18" s="187"/>
      <c r="AM18" s="187"/>
      <c r="AN18" s="187"/>
      <c r="AO18" s="187"/>
      <c r="AP18" s="187"/>
      <c r="AQ18" s="195"/>
      <c r="AR18" s="197"/>
      <c r="AS18" s="187"/>
      <c r="AT18" s="187"/>
      <c r="AU18" s="187"/>
      <c r="AV18" s="187"/>
      <c r="AW18" s="187"/>
      <c r="AX18" s="195"/>
      <c r="AY18" s="197">
        <v>7.8</v>
      </c>
      <c r="AZ18" s="187">
        <v>11.3</v>
      </c>
      <c r="BA18" s="187">
        <v>9.4</v>
      </c>
      <c r="BB18" s="187">
        <v>11.3</v>
      </c>
      <c r="BC18" s="187">
        <v>7.5</v>
      </c>
      <c r="BD18" s="195">
        <v>6.7</v>
      </c>
      <c r="BE18" s="197"/>
      <c r="BF18" s="195"/>
      <c r="BG18" s="197">
        <v>5</v>
      </c>
      <c r="BH18" s="187">
        <v>5</v>
      </c>
      <c r="BI18" s="187"/>
    </row>
    <row r="19" spans="1:61" ht="13.15" x14ac:dyDescent="0.4">
      <c r="A19" s="183">
        <v>46252</v>
      </c>
      <c r="B19" s="184">
        <f t="shared" ca="1" si="0"/>
        <v>12</v>
      </c>
      <c r="C19" s="198"/>
      <c r="D19" s="199">
        <f t="shared" si="1"/>
        <v>46238</v>
      </c>
      <c r="E19" s="198"/>
      <c r="F19" s="200"/>
      <c r="G19" s="201" t="s">
        <v>149</v>
      </c>
      <c r="H19" s="201" t="s">
        <v>199</v>
      </c>
      <c r="I19" s="201" t="s">
        <v>200</v>
      </c>
      <c r="J19" s="202" t="s">
        <v>64</v>
      </c>
      <c r="K19" s="187">
        <v>211</v>
      </c>
      <c r="L19" s="203">
        <v>0</v>
      </c>
      <c r="M19" s="203">
        <v>0</v>
      </c>
      <c r="N19" s="201">
        <v>46</v>
      </c>
      <c r="O19" s="40">
        <v>30</v>
      </c>
      <c r="P19" s="201" t="s">
        <v>66</v>
      </c>
      <c r="Q19" s="188">
        <f t="shared" si="2"/>
        <v>1380</v>
      </c>
      <c r="R19" s="189" t="str">
        <f>IF(J19="Rolled","N/A",IF(P19="4 Paper",MIN(N19:O19)+VLOOKUP("Picture "&amp;J19,#REF!,2,FALSE),IF(J19="Rolled","N/A",IF(J19="Roll","N/A",MIN(N19:O19)+VLOOKUP(J19,#REF!,2,FALSE)))))</f>
        <v>N/A</v>
      </c>
      <c r="S19" s="189" t="str">
        <f>IF(J19="Rolled","N/A",IF(P19="4 Paper",MAX(N19:O19)+VLOOKUP("Picture "&amp;J19,#REF!,2,FALSE),IF(J19="Rolled","N/A",IF(J19="Roll","N/A",MAX(N19:O19)+VLOOKUP(J19,#REF!,2,FALSE)))))</f>
        <v>N/A</v>
      </c>
      <c r="T19" s="190" t="str">
        <f t="shared" si="3"/>
        <v>N/A</v>
      </c>
      <c r="U19" s="41">
        <f t="shared" si="4"/>
        <v>27</v>
      </c>
      <c r="V19" s="41"/>
      <c r="W19" s="41"/>
      <c r="X19" s="191">
        <f t="shared" si="5"/>
        <v>4.4444444444444446E-2</v>
      </c>
      <c r="Y19" s="49" t="str">
        <f t="shared" si="9"/>
        <v>S-5574</v>
      </c>
      <c r="Z19" s="204"/>
      <c r="AA19" s="204"/>
      <c r="AB19" s="182"/>
      <c r="AC19" s="182"/>
      <c r="AD19" s="182"/>
      <c r="AE19" s="182"/>
      <c r="AF19" s="205"/>
      <c r="AG19" s="187"/>
      <c r="AH19" s="187"/>
      <c r="AI19" s="187"/>
      <c r="AJ19" s="195"/>
      <c r="AK19" s="196"/>
      <c r="AL19" s="187"/>
      <c r="AM19" s="187"/>
      <c r="AN19" s="187"/>
      <c r="AO19" s="187"/>
      <c r="AP19" s="187"/>
      <c r="AQ19" s="195"/>
      <c r="AR19" s="197"/>
      <c r="AS19" s="187"/>
      <c r="AT19" s="187"/>
      <c r="AU19" s="187"/>
      <c r="AV19" s="187"/>
      <c r="AW19" s="187"/>
      <c r="AX19" s="195"/>
      <c r="AY19" s="197">
        <v>7.8</v>
      </c>
      <c r="AZ19" s="187">
        <v>11.3</v>
      </c>
      <c r="BA19" s="187">
        <v>9.4</v>
      </c>
      <c r="BB19" s="187">
        <v>11.3</v>
      </c>
      <c r="BC19" s="187">
        <v>7.5</v>
      </c>
      <c r="BD19" s="195">
        <v>6.7</v>
      </c>
      <c r="BE19" s="197"/>
      <c r="BF19" s="195"/>
      <c r="BG19" s="197">
        <v>5</v>
      </c>
      <c r="BH19" s="187">
        <v>5</v>
      </c>
      <c r="BI19" s="187"/>
    </row>
    <row r="20" spans="1:61" ht="13.15" x14ac:dyDescent="0.4">
      <c r="A20" s="183">
        <v>46252</v>
      </c>
      <c r="B20" s="184">
        <f t="shared" ca="1" si="0"/>
        <v>12</v>
      </c>
      <c r="C20" s="198"/>
      <c r="D20" s="199">
        <f t="shared" si="1"/>
        <v>46238</v>
      </c>
      <c r="E20" s="198"/>
      <c r="F20" s="200"/>
      <c r="G20" s="201" t="s">
        <v>226</v>
      </c>
      <c r="H20" s="201" t="s">
        <v>227</v>
      </c>
      <c r="I20" s="201" t="s">
        <v>228</v>
      </c>
      <c r="J20" s="202" t="s">
        <v>64</v>
      </c>
      <c r="K20" s="187">
        <v>211</v>
      </c>
      <c r="L20" s="203">
        <v>0</v>
      </c>
      <c r="M20" s="203">
        <v>0</v>
      </c>
      <c r="N20" s="201">
        <v>26</v>
      </c>
      <c r="O20" s="40">
        <v>48</v>
      </c>
      <c r="P20" s="201" t="s">
        <v>66</v>
      </c>
      <c r="Q20" s="188">
        <f t="shared" si="2"/>
        <v>1248</v>
      </c>
      <c r="R20" s="189" t="str">
        <f>IF(J20="Rolled","N/A",IF(P20="4 Paper",MIN(N20:O20)+VLOOKUP("Picture "&amp;J20,#REF!,2,FALSE),IF(J20="Rolled","N/A",IF(J20="Roll","N/A",MIN(N20:O20)+VLOOKUP(J20,#REF!,2,FALSE)))))</f>
        <v>N/A</v>
      </c>
      <c r="S20" s="189" t="str">
        <f>IF(J20="Rolled","N/A",IF(P20="4 Paper",MAX(N20:O20)+VLOOKUP("Picture "&amp;J20,#REF!,2,FALSE),IF(J20="Rolled","N/A",IF(J20="Roll","N/A",MAX(N20:O20)+VLOOKUP(J20,#REF!,2,FALSE)))))</f>
        <v>N/A</v>
      </c>
      <c r="T20" s="190" t="str">
        <f t="shared" si="3"/>
        <v>N/A</v>
      </c>
      <c r="U20" s="41">
        <f t="shared" si="4"/>
        <v>27</v>
      </c>
      <c r="V20" s="41"/>
      <c r="W20" s="41"/>
      <c r="X20" s="191">
        <f t="shared" si="5"/>
        <v>4.4444444444444446E-2</v>
      </c>
      <c r="Y20" s="49" t="str">
        <f t="shared" si="9"/>
        <v>S-14049</v>
      </c>
      <c r="Z20" s="204"/>
      <c r="AA20" s="204"/>
      <c r="AB20" s="182"/>
      <c r="AC20" s="182"/>
      <c r="AD20" s="182"/>
      <c r="AE20" s="182"/>
      <c r="AF20" s="205"/>
      <c r="AG20" s="187"/>
      <c r="AH20" s="187"/>
      <c r="AI20" s="187"/>
      <c r="AJ20" s="195"/>
      <c r="AK20" s="196"/>
      <c r="AL20" s="187"/>
      <c r="AM20" s="187"/>
      <c r="AN20" s="187"/>
      <c r="AO20" s="187"/>
      <c r="AP20" s="187"/>
      <c r="AQ20" s="195"/>
      <c r="AR20" s="197"/>
      <c r="AS20" s="187"/>
      <c r="AT20" s="187"/>
      <c r="AU20" s="187"/>
      <c r="AV20" s="187"/>
      <c r="AW20" s="187"/>
      <c r="AX20" s="195"/>
      <c r="AY20" s="197">
        <v>7.8</v>
      </c>
      <c r="AZ20" s="187">
        <v>11.3</v>
      </c>
      <c r="BA20" s="187">
        <v>9.4</v>
      </c>
      <c r="BB20" s="187">
        <v>11.3</v>
      </c>
      <c r="BC20" s="187">
        <v>7.5</v>
      </c>
      <c r="BD20" s="195">
        <v>6.7</v>
      </c>
      <c r="BE20" s="197"/>
      <c r="BF20" s="195"/>
      <c r="BG20" s="197">
        <v>5</v>
      </c>
      <c r="BH20" s="187">
        <v>5</v>
      </c>
      <c r="BI20" s="187"/>
    </row>
    <row r="21" spans="1:61" ht="13.15" x14ac:dyDescent="0.4">
      <c r="A21" s="127">
        <v>46252</v>
      </c>
      <c r="B21" s="128">
        <f t="shared" ca="1" si="0"/>
        <v>12</v>
      </c>
      <c r="C21" s="206"/>
      <c r="D21" s="130">
        <f t="shared" si="1"/>
        <v>46238</v>
      </c>
      <c r="E21" s="206"/>
      <c r="F21" s="207"/>
      <c r="G21" s="208" t="s">
        <v>149</v>
      </c>
      <c r="H21" s="208" t="s">
        <v>240</v>
      </c>
      <c r="I21" s="208" t="s">
        <v>114</v>
      </c>
      <c r="J21" s="209" t="s">
        <v>75</v>
      </c>
      <c r="K21" s="133">
        <v>10</v>
      </c>
      <c r="L21" s="210">
        <v>0</v>
      </c>
      <c r="M21" s="210">
        <v>0</v>
      </c>
      <c r="N21" s="208">
        <v>30</v>
      </c>
      <c r="O21" s="42">
        <v>40</v>
      </c>
      <c r="P21" s="208" t="s">
        <v>241</v>
      </c>
      <c r="Q21" s="136">
        <f t="shared" si="2"/>
        <v>1200</v>
      </c>
      <c r="R21" s="137" t="e">
        <f>IF(J21="Rolled","N/A",IF(P21="4 Paper",MIN(N21:O21)+VLOOKUP("Picture "&amp;J21,#REF!,2,FALSE),IF(J21="Rolled","N/A",IF(J21="Roll","N/A",MIN(N21:O21)+VLOOKUP(J21,#REF!,2,FALSE)))))</f>
        <v>#REF!</v>
      </c>
      <c r="S21" s="137" t="e">
        <f>IF(J21="Rolled","N/A",IF(P21="4 Paper",MAX(N21:O21)+VLOOKUP("Picture "&amp;J21,#REF!,2,FALSE),IF(J21="Rolled","N/A",IF(J21="Roll","N/A",MAX(N21:O21)+VLOOKUP(J21,#REF!,2,FALSE)))))</f>
        <v>#REF!</v>
      </c>
      <c r="T21" s="138" t="e">
        <f t="shared" si="3"/>
        <v>#REF!</v>
      </c>
      <c r="U21" s="43" t="e">
        <f t="shared" si="4"/>
        <v>#REF!</v>
      </c>
      <c r="V21" s="43"/>
      <c r="W21" s="43"/>
      <c r="X21" s="139" t="e">
        <f t="shared" si="5"/>
        <v>#REF!</v>
      </c>
      <c r="Y21" s="135" t="e">
        <f t="shared" si="9"/>
        <v>#REF!</v>
      </c>
      <c r="Z21" s="211"/>
      <c r="AA21" s="211"/>
      <c r="AB21" s="211"/>
      <c r="AC21" s="211"/>
      <c r="AD21" s="211"/>
      <c r="AE21" s="211"/>
      <c r="AF21" s="212"/>
      <c r="AG21" s="133" t="str">
        <f t="shared" ref="AG21:AG26" si="10">IF(P21="0 Cnvs",CS,"X")</f>
        <v>X</v>
      </c>
      <c r="AH21" s="133" t="str">
        <f t="shared" ref="AH21:AH26" si="11">IF(P21="0 Cnvs",JS,"X")</f>
        <v>X</v>
      </c>
      <c r="AI21" s="133" t="str">
        <f t="shared" ref="AI21:AI26" si="12">IF(P21="0 Cnvs",SC,"X")</f>
        <v>X</v>
      </c>
      <c r="AJ21" s="144" t="s">
        <v>105</v>
      </c>
      <c r="AK21" s="145" t="e">
        <f t="shared" ref="AK21:AK26" si="13">IF(P21="1 Orig","X",IF(P21="0 Cnvs","X",PT))</f>
        <v>#REF!</v>
      </c>
      <c r="AL21" s="133" t="e">
        <f t="shared" ref="AL21:AL26" si="14">IF(P21="2 3D Lim",TDF,"X")</f>
        <v>#REF!</v>
      </c>
      <c r="AM21" s="133" t="e">
        <f t="shared" ref="AM21:AM26" si="15">IF(P21="2 3D Lim",S3DP,"X")</f>
        <v>#REF!</v>
      </c>
      <c r="AN21" s="133" t="e">
        <f t="shared" ref="AN21:AN26" si="16">IF(P21="2 3D Lim",CB,"X")</f>
        <v>#REF!</v>
      </c>
      <c r="AO21" s="133" t="e">
        <f t="shared" ref="AO21:AO26" si="17">IF(P21="2 3D Lim",JB,"X")</f>
        <v>#REF!</v>
      </c>
      <c r="AP21" s="133" t="e">
        <f t="shared" ref="AP21:AP26" si="18">IF(P21="2 3D Lim",PB,"X")</f>
        <v>#REF!</v>
      </c>
      <c r="AQ21" s="144" t="e">
        <f t="shared" ref="AQ21:AQ26" si="19">IF(P21="2 3D Lim",M3D,"X")</f>
        <v>#REF!</v>
      </c>
      <c r="AR21" s="146" t="str">
        <f t="shared" ref="AR21:AR26" si="20">IF(P21="3 Canv",DF,IF(P21="4 Free",DF,"X"))</f>
        <v>X</v>
      </c>
      <c r="AS21" s="133" t="str">
        <f t="shared" ref="AS21:AT26" si="21">IF(P21="3 Canv",PCP,"X")</f>
        <v>X</v>
      </c>
      <c r="AT21" s="133" t="str">
        <f t="shared" si="21"/>
        <v>X</v>
      </c>
      <c r="AU21" s="133" t="e">
        <f t="shared" ref="AU21:AU26" si="22">IF(P21="0 Cnvs","X",IF(P21="1 Orig","X",IF(P21="2 3D","X",IF(P21="1 Orig","X",IF(J21="Rolled","X",CCS)))))</f>
        <v>#REF!</v>
      </c>
      <c r="AV21" s="133" t="e">
        <f t="shared" ref="AV21:AV26" si="23">IF(P21="0 Cnvs","X",IF(P21="1 Orig","X",IF(P21="2 3D","X",IF(P21="1 Orig","X",IF(J21="Rolled","X",JCS)))))</f>
        <v>#REF!</v>
      </c>
      <c r="AW21" s="133" t="e">
        <f t="shared" ref="AW21:AW26" si="24">IF(P21="0 Cnvs","X",IF(P21="1 Orig","X",IF(P21="2 3D","X",IF(P21="1 Orig","X",IF(J21="Rolled","X",SCP)))))</f>
        <v>#REF!</v>
      </c>
      <c r="AX21" s="144" t="str">
        <f t="shared" ref="AX21:AX26" si="25">IF(P21="3 Canv",IF(J21="Rolled","X",PBC),"X")</f>
        <v>X</v>
      </c>
      <c r="AY21" s="146" t="e">
        <f t="shared" ref="AY21:AY26" si="26">IF(J21="None","X",IF(J21="Stretched","X",IF(J21="Rolled","X",IF(J21="KoF","X",IF(J21="N/A","X",CF)))))</f>
        <v>#REF!</v>
      </c>
      <c r="AZ21" s="133" t="e">
        <f t="shared" ref="AZ21:AZ26" si="27">IF(J21="None","X",IF(J21="Stretched","X",IF(J21="Rolled","X",IF(J21="KoF","X",IF(J21="N/A","X",DFC)))))</f>
        <v>#REF!</v>
      </c>
      <c r="BA21" s="133" t="e">
        <f t="shared" ref="BA21:BA26" si="28">IF(J21="None","X",IF(J21="Stretched","X",IF(J21="Rolled","X",IF(J21="KoF","X",IF(J21="N/A","X",JF)))))</f>
        <v>#REF!</v>
      </c>
      <c r="BB21" s="133" t="e">
        <f t="shared" ref="BB21:BB26" si="29">IF(J21="None","X",IF(J21="Stretched","X",IF(J21="Rolled","X",IF(J21="KoF","X",IF(J21="N/A","X",SIF)))))</f>
        <v>#REF!</v>
      </c>
      <c r="BC21" s="133" t="e">
        <f t="shared" ref="BC21:BC26" si="30">IF(P21="0 Cnvs","X",IF(J21="Rolled","X",WP))</f>
        <v>#REF!</v>
      </c>
      <c r="BD21" s="144" t="e">
        <f t="shared" ref="BD21:BD26" si="31">IF(J21="None","X",IF(J21="Rolled","X",IF(J21="Stretched","X",IF(J21="N/A","X",CFC))))</f>
        <v>#REF!</v>
      </c>
      <c r="BE21" s="146" t="e">
        <f t="shared" ref="BE21:BE26" si="32">IF(P21="2 3D Lim",COA,"X")</f>
        <v>#REF!</v>
      </c>
      <c r="BF21" s="144" t="e">
        <f t="shared" ref="BF21:BF26" si="33">IF(P21="2 3D Lim",S3D,"X")</f>
        <v>#REF!</v>
      </c>
      <c r="BG21" s="146" t="e">
        <f>IF(Y21="DELIVERY",5,IF(Y21="CNC",ROUND(AVERAGEIF(#REF!,"CNC",#REF!),1),IF(Y21="CRATE",300,IF(Y21="GALLERY","X",IF(Y21="PICKUP","X",IF(J21="Rolled",AVERAGEIF(#REF!,"Rolled",#REF!),PP))))))</f>
        <v>#REF!</v>
      </c>
      <c r="BH21" s="133" t="e">
        <f>IF(J21="Rolled",ROUND(AVERAGEIF(#REF!,"Rolled",#REF!),1),IF(Y21="GALLERY","X",IF(Y21="PICKUP","X",IF(P21="0 Canv","X",SP))))</f>
        <v>#REF!</v>
      </c>
      <c r="BI21" s="133"/>
    </row>
    <row r="22" spans="1:61" ht="13.15" x14ac:dyDescent="0.4">
      <c r="A22" s="127">
        <v>46252</v>
      </c>
      <c r="B22" s="128">
        <f t="shared" ca="1" si="0"/>
        <v>12</v>
      </c>
      <c r="C22" s="206"/>
      <c r="D22" s="130">
        <f t="shared" si="1"/>
        <v>46238</v>
      </c>
      <c r="E22" s="206"/>
      <c r="F22" s="207"/>
      <c r="G22" s="208" t="s">
        <v>149</v>
      </c>
      <c r="H22" s="208" t="s">
        <v>249</v>
      </c>
      <c r="I22" s="208" t="s">
        <v>230</v>
      </c>
      <c r="J22" s="209" t="s">
        <v>75</v>
      </c>
      <c r="K22" s="133">
        <v>22</v>
      </c>
      <c r="L22" s="210">
        <v>0</v>
      </c>
      <c r="M22" s="210">
        <v>0</v>
      </c>
      <c r="N22" s="208">
        <v>28</v>
      </c>
      <c r="O22" s="42">
        <v>40</v>
      </c>
      <c r="P22" s="208" t="s">
        <v>241</v>
      </c>
      <c r="Q22" s="136">
        <f t="shared" si="2"/>
        <v>1120</v>
      </c>
      <c r="R22" s="137" t="e">
        <f>IF(J22="Rolled","N/A",IF(P22="4 Paper",MIN(N22:O22)+VLOOKUP("Picture "&amp;J22,#REF!,2,FALSE),IF(J22="Rolled","N/A",IF(J22="Roll","N/A",MIN(N22:O22)+VLOOKUP(J22,#REF!,2,FALSE)))))</f>
        <v>#REF!</v>
      </c>
      <c r="S22" s="137" t="e">
        <f>IF(J22="Rolled","N/A",IF(P22="4 Paper",MAX(N22:O22)+VLOOKUP("Picture "&amp;J22,#REF!,2,FALSE),IF(J22="Rolled","N/A",IF(J22="Roll","N/A",MAX(N22:O22)+VLOOKUP(J22,#REF!,2,FALSE)))))</f>
        <v>#REF!</v>
      </c>
      <c r="T22" s="138" t="e">
        <f t="shared" si="3"/>
        <v>#REF!</v>
      </c>
      <c r="U22" s="43" t="e">
        <f t="shared" si="4"/>
        <v>#REF!</v>
      </c>
      <c r="V22" s="43"/>
      <c r="W22" s="43"/>
      <c r="X22" s="139" t="e">
        <f t="shared" si="5"/>
        <v>#REF!</v>
      </c>
      <c r="Y22" s="135" t="e">
        <f t="shared" si="9"/>
        <v>#REF!</v>
      </c>
      <c r="Z22" s="182"/>
      <c r="AA22" s="211"/>
      <c r="AB22" s="211"/>
      <c r="AC22" s="211"/>
      <c r="AD22" s="211"/>
      <c r="AE22" s="211"/>
      <c r="AF22" s="212"/>
      <c r="AG22" s="133" t="str">
        <f t="shared" si="10"/>
        <v>X</v>
      </c>
      <c r="AH22" s="133" t="str">
        <f t="shared" si="11"/>
        <v>X</v>
      </c>
      <c r="AI22" s="133" t="str">
        <f t="shared" si="12"/>
        <v>X</v>
      </c>
      <c r="AJ22" s="144" t="s">
        <v>105</v>
      </c>
      <c r="AK22" s="145" t="e">
        <f t="shared" si="13"/>
        <v>#REF!</v>
      </c>
      <c r="AL22" s="133" t="e">
        <f t="shared" si="14"/>
        <v>#REF!</v>
      </c>
      <c r="AM22" s="133" t="e">
        <f t="shared" si="15"/>
        <v>#REF!</v>
      </c>
      <c r="AN22" s="133" t="e">
        <f t="shared" si="16"/>
        <v>#REF!</v>
      </c>
      <c r="AO22" s="133" t="e">
        <f t="shared" si="17"/>
        <v>#REF!</v>
      </c>
      <c r="AP22" s="133" t="e">
        <f t="shared" si="18"/>
        <v>#REF!</v>
      </c>
      <c r="AQ22" s="144" t="e">
        <f t="shared" si="19"/>
        <v>#REF!</v>
      </c>
      <c r="AR22" s="146" t="str">
        <f t="shared" si="20"/>
        <v>X</v>
      </c>
      <c r="AS22" s="133" t="str">
        <f t="shared" si="21"/>
        <v>X</v>
      </c>
      <c r="AT22" s="133" t="str">
        <f t="shared" si="21"/>
        <v>X</v>
      </c>
      <c r="AU22" s="133" t="e">
        <f t="shared" si="22"/>
        <v>#REF!</v>
      </c>
      <c r="AV22" s="133" t="e">
        <f t="shared" si="23"/>
        <v>#REF!</v>
      </c>
      <c r="AW22" s="133" t="e">
        <f t="shared" si="24"/>
        <v>#REF!</v>
      </c>
      <c r="AX22" s="144" t="str">
        <f t="shared" si="25"/>
        <v>X</v>
      </c>
      <c r="AY22" s="146" t="e">
        <f t="shared" si="26"/>
        <v>#REF!</v>
      </c>
      <c r="AZ22" s="133" t="e">
        <f t="shared" si="27"/>
        <v>#REF!</v>
      </c>
      <c r="BA22" s="133" t="e">
        <f t="shared" si="28"/>
        <v>#REF!</v>
      </c>
      <c r="BB22" s="133" t="e">
        <f t="shared" si="29"/>
        <v>#REF!</v>
      </c>
      <c r="BC22" s="133" t="e">
        <f t="shared" si="30"/>
        <v>#REF!</v>
      </c>
      <c r="BD22" s="144" t="e">
        <f t="shared" si="31"/>
        <v>#REF!</v>
      </c>
      <c r="BE22" s="146" t="e">
        <f t="shared" si="32"/>
        <v>#REF!</v>
      </c>
      <c r="BF22" s="144" t="e">
        <f t="shared" si="33"/>
        <v>#REF!</v>
      </c>
      <c r="BG22" s="146" t="e">
        <f>IF(Y22="DELIVERY",5,IF(Y22="CNC",ROUND(AVERAGEIF(#REF!,"CNC",#REF!),1),IF(Y22="CRATE",300,IF(Y22="GALLERY","X",IF(Y22="PICKUP","X",IF(J22="Rolled",AVERAGEIF(#REF!,"Rolled",#REF!),PP))))))</f>
        <v>#REF!</v>
      </c>
      <c r="BH22" s="133" t="e">
        <f>IF(J22="Rolled",ROUND(AVERAGEIF(#REF!,"Rolled",#REF!),1),IF(Y22="GALLERY","X",IF(Y22="PICKUP","X",IF(P22="0 Canv","X",SP))))</f>
        <v>#REF!</v>
      </c>
      <c r="BI22" s="133"/>
    </row>
    <row r="23" spans="1:61" ht="13.15" x14ac:dyDescent="0.4">
      <c r="A23" s="127">
        <v>46252</v>
      </c>
      <c r="B23" s="128">
        <f t="shared" ca="1" si="0"/>
        <v>12</v>
      </c>
      <c r="C23" s="206"/>
      <c r="D23" s="130">
        <f t="shared" si="1"/>
        <v>46238</v>
      </c>
      <c r="E23" s="206"/>
      <c r="F23" s="207"/>
      <c r="G23" s="208" t="s">
        <v>149</v>
      </c>
      <c r="H23" s="208" t="s">
        <v>262</v>
      </c>
      <c r="I23" s="208" t="s">
        <v>263</v>
      </c>
      <c r="J23" s="209" t="s">
        <v>75</v>
      </c>
      <c r="K23" s="133">
        <v>1</v>
      </c>
      <c r="L23" s="210">
        <v>0</v>
      </c>
      <c r="M23" s="210">
        <v>0</v>
      </c>
      <c r="N23" s="208">
        <v>28</v>
      </c>
      <c r="O23" s="42">
        <v>37</v>
      </c>
      <c r="P23" s="208" t="s">
        <v>241</v>
      </c>
      <c r="Q23" s="136">
        <f t="shared" si="2"/>
        <v>1036</v>
      </c>
      <c r="R23" s="137" t="e">
        <f>IF(J23="Rolled","N/A",IF(P23="4 Paper",MIN(N23:O23)+VLOOKUP("Picture "&amp;J23,#REF!,2,FALSE),IF(J23="Rolled","N/A",IF(J23="Roll","N/A",MIN(N23:O23)+VLOOKUP(J23,#REF!,2,FALSE)))))</f>
        <v>#REF!</v>
      </c>
      <c r="S23" s="137" t="e">
        <f>IF(J23="Rolled","N/A",IF(P23="4 Paper",MAX(N23:O23)+VLOOKUP("Picture "&amp;J23,#REF!,2,FALSE),IF(J23="Rolled","N/A",IF(J23="Roll","N/A",MAX(N23:O23)+VLOOKUP(J23,#REF!,2,FALSE)))))</f>
        <v>#REF!</v>
      </c>
      <c r="T23" s="138" t="e">
        <f t="shared" si="3"/>
        <v>#REF!</v>
      </c>
      <c r="U23" s="43" t="e">
        <f t="shared" si="4"/>
        <v>#REF!</v>
      </c>
      <c r="V23" s="43"/>
      <c r="W23" s="43"/>
      <c r="X23" s="139" t="e">
        <f t="shared" si="5"/>
        <v>#REF!</v>
      </c>
      <c r="Y23" s="135" t="e">
        <f t="shared" si="9"/>
        <v>#REF!</v>
      </c>
      <c r="Z23" s="211"/>
      <c r="AA23" s="211"/>
      <c r="AB23" s="211"/>
      <c r="AC23" s="211"/>
      <c r="AD23" s="211"/>
      <c r="AE23" s="211"/>
      <c r="AF23" s="212"/>
      <c r="AG23" s="133" t="str">
        <f t="shared" si="10"/>
        <v>X</v>
      </c>
      <c r="AH23" s="133" t="str">
        <f t="shared" si="11"/>
        <v>X</v>
      </c>
      <c r="AI23" s="133" t="str">
        <f t="shared" si="12"/>
        <v>X</v>
      </c>
      <c r="AJ23" s="144" t="s">
        <v>105</v>
      </c>
      <c r="AK23" s="145" t="e">
        <f t="shared" si="13"/>
        <v>#REF!</v>
      </c>
      <c r="AL23" s="133" t="e">
        <f t="shared" si="14"/>
        <v>#REF!</v>
      </c>
      <c r="AM23" s="133" t="e">
        <f t="shared" si="15"/>
        <v>#REF!</v>
      </c>
      <c r="AN23" s="133" t="e">
        <f t="shared" si="16"/>
        <v>#REF!</v>
      </c>
      <c r="AO23" s="133" t="e">
        <f t="shared" si="17"/>
        <v>#REF!</v>
      </c>
      <c r="AP23" s="133" t="e">
        <f t="shared" si="18"/>
        <v>#REF!</v>
      </c>
      <c r="AQ23" s="144" t="e">
        <f t="shared" si="19"/>
        <v>#REF!</v>
      </c>
      <c r="AR23" s="146" t="str">
        <f t="shared" si="20"/>
        <v>X</v>
      </c>
      <c r="AS23" s="133" t="str">
        <f t="shared" si="21"/>
        <v>X</v>
      </c>
      <c r="AT23" s="133" t="str">
        <f t="shared" si="21"/>
        <v>X</v>
      </c>
      <c r="AU23" s="133" t="e">
        <f t="shared" si="22"/>
        <v>#REF!</v>
      </c>
      <c r="AV23" s="133" t="e">
        <f t="shared" si="23"/>
        <v>#REF!</v>
      </c>
      <c r="AW23" s="133" t="e">
        <f t="shared" si="24"/>
        <v>#REF!</v>
      </c>
      <c r="AX23" s="144" t="str">
        <f t="shared" si="25"/>
        <v>X</v>
      </c>
      <c r="AY23" s="146" t="e">
        <f t="shared" si="26"/>
        <v>#REF!</v>
      </c>
      <c r="AZ23" s="133" t="e">
        <f t="shared" si="27"/>
        <v>#REF!</v>
      </c>
      <c r="BA23" s="133" t="e">
        <f t="shared" si="28"/>
        <v>#REF!</v>
      </c>
      <c r="BB23" s="133" t="e">
        <f t="shared" si="29"/>
        <v>#REF!</v>
      </c>
      <c r="BC23" s="133" t="e">
        <f t="shared" si="30"/>
        <v>#REF!</v>
      </c>
      <c r="BD23" s="144" t="e">
        <f t="shared" si="31"/>
        <v>#REF!</v>
      </c>
      <c r="BE23" s="146" t="e">
        <f t="shared" si="32"/>
        <v>#REF!</v>
      </c>
      <c r="BF23" s="144" t="e">
        <f t="shared" si="33"/>
        <v>#REF!</v>
      </c>
      <c r="BG23" s="146" t="e">
        <f>IF(Y23="DELIVERY",5,IF(Y23="CNC",ROUND(AVERAGEIF(#REF!,"CNC",#REF!),1),IF(Y23="CRATE",300,IF(Y23="GALLERY","X",IF(Y23="PICKUP","X",IF(J23="Rolled",AVERAGEIF(#REF!,"Rolled",#REF!),PP))))))</f>
        <v>#REF!</v>
      </c>
      <c r="BH23" s="133" t="e">
        <f>IF(J23="Rolled",ROUND(AVERAGEIF(#REF!,"Rolled",#REF!),1),IF(Y23="GALLERY","X",IF(Y23="PICKUP","X",IF(P23="0 Canv","X",SP))))</f>
        <v>#REF!</v>
      </c>
      <c r="BI23" s="133"/>
    </row>
    <row r="24" spans="1:61" ht="13.15" x14ac:dyDescent="0.4">
      <c r="A24" s="127">
        <v>46252</v>
      </c>
      <c r="B24" s="128">
        <f t="shared" ca="1" si="0"/>
        <v>12</v>
      </c>
      <c r="C24" s="206"/>
      <c r="D24" s="130">
        <f t="shared" si="1"/>
        <v>46238</v>
      </c>
      <c r="E24" s="206"/>
      <c r="F24" s="207"/>
      <c r="G24" s="208" t="s">
        <v>277</v>
      </c>
      <c r="H24" s="208" t="s">
        <v>278</v>
      </c>
      <c r="I24" s="208" t="s">
        <v>279</v>
      </c>
      <c r="J24" s="132" t="s">
        <v>78</v>
      </c>
      <c r="K24" s="133">
        <v>4</v>
      </c>
      <c r="L24" s="210">
        <v>0</v>
      </c>
      <c r="M24" s="210">
        <v>0</v>
      </c>
      <c r="N24" s="208">
        <v>40</v>
      </c>
      <c r="O24" s="42">
        <v>32</v>
      </c>
      <c r="P24" s="208" t="s">
        <v>241</v>
      </c>
      <c r="Q24" s="136">
        <f t="shared" si="2"/>
        <v>1280</v>
      </c>
      <c r="R24" s="137" t="e">
        <f>IF(J24="Rolled","N/A",IF(P24="4 Paper",MIN(N24:O24)+VLOOKUP("Picture "&amp;J24,#REF!,2,FALSE),IF(J24="Rolled","N/A",IF(J24="Roll","N/A",MIN(N24:O24)+VLOOKUP(J24,#REF!,2,FALSE)))))</f>
        <v>#REF!</v>
      </c>
      <c r="S24" s="137" t="e">
        <f>IF(J24="Rolled","N/A",IF(P24="4 Paper",MAX(N24:O24)+VLOOKUP("Picture "&amp;J24,#REF!,2,FALSE),IF(J24="Rolled","N/A",IF(J24="Roll","N/A",MAX(N24:O24)+VLOOKUP(J24,#REF!,2,FALSE)))))</f>
        <v>#REF!</v>
      </c>
      <c r="T24" s="138" t="e">
        <f t="shared" si="3"/>
        <v>#REF!</v>
      </c>
      <c r="U24" s="43" t="e">
        <f t="shared" si="4"/>
        <v>#REF!</v>
      </c>
      <c r="V24" s="43"/>
      <c r="W24" s="43"/>
      <c r="X24" s="139" t="e">
        <f t="shared" si="5"/>
        <v>#REF!</v>
      </c>
      <c r="Y24" s="135" t="e">
        <f t="shared" si="9"/>
        <v>#REF!</v>
      </c>
      <c r="Z24" s="140"/>
      <c r="AA24" s="211"/>
      <c r="AB24" s="211"/>
      <c r="AC24" s="211"/>
      <c r="AD24" s="211"/>
      <c r="AE24" s="211"/>
      <c r="AF24" s="212"/>
      <c r="AG24" s="133" t="str">
        <f t="shared" si="10"/>
        <v>X</v>
      </c>
      <c r="AH24" s="133" t="str">
        <f t="shared" si="11"/>
        <v>X</v>
      </c>
      <c r="AI24" s="133" t="str">
        <f t="shared" si="12"/>
        <v>X</v>
      </c>
      <c r="AJ24" s="144" t="s">
        <v>105</v>
      </c>
      <c r="AK24" s="145" t="e">
        <f t="shared" si="13"/>
        <v>#REF!</v>
      </c>
      <c r="AL24" s="133" t="e">
        <f t="shared" si="14"/>
        <v>#REF!</v>
      </c>
      <c r="AM24" s="133" t="e">
        <f t="shared" si="15"/>
        <v>#REF!</v>
      </c>
      <c r="AN24" s="133" t="e">
        <f t="shared" si="16"/>
        <v>#REF!</v>
      </c>
      <c r="AO24" s="133" t="e">
        <f t="shared" si="17"/>
        <v>#REF!</v>
      </c>
      <c r="AP24" s="133" t="e">
        <f t="shared" si="18"/>
        <v>#REF!</v>
      </c>
      <c r="AQ24" s="144" t="e">
        <f t="shared" si="19"/>
        <v>#REF!</v>
      </c>
      <c r="AR24" s="146" t="str">
        <f t="shared" si="20"/>
        <v>X</v>
      </c>
      <c r="AS24" s="133" t="str">
        <f t="shared" si="21"/>
        <v>X</v>
      </c>
      <c r="AT24" s="133" t="str">
        <f t="shared" si="21"/>
        <v>X</v>
      </c>
      <c r="AU24" s="133" t="e">
        <f t="shared" si="22"/>
        <v>#REF!</v>
      </c>
      <c r="AV24" s="133" t="e">
        <f t="shared" si="23"/>
        <v>#REF!</v>
      </c>
      <c r="AW24" s="133" t="e">
        <f t="shared" si="24"/>
        <v>#REF!</v>
      </c>
      <c r="AX24" s="144" t="str">
        <f t="shared" si="25"/>
        <v>X</v>
      </c>
      <c r="AY24" s="146" t="e">
        <f t="shared" si="26"/>
        <v>#REF!</v>
      </c>
      <c r="AZ24" s="133" t="e">
        <f t="shared" si="27"/>
        <v>#REF!</v>
      </c>
      <c r="BA24" s="133" t="e">
        <f t="shared" si="28"/>
        <v>#REF!</v>
      </c>
      <c r="BB24" s="133" t="e">
        <f t="shared" si="29"/>
        <v>#REF!</v>
      </c>
      <c r="BC24" s="133" t="e">
        <f t="shared" si="30"/>
        <v>#REF!</v>
      </c>
      <c r="BD24" s="144" t="e">
        <f t="shared" si="31"/>
        <v>#REF!</v>
      </c>
      <c r="BE24" s="146" t="e">
        <f t="shared" si="32"/>
        <v>#REF!</v>
      </c>
      <c r="BF24" s="144" t="e">
        <f t="shared" si="33"/>
        <v>#REF!</v>
      </c>
      <c r="BG24" s="146" t="e">
        <f>IF(Y24="DELIVERY",5,IF(Y24="CNC",ROUND(AVERAGEIF(#REF!,"CNC",#REF!),1),IF(Y24="CRATE",300,IF(Y24="GALLERY","X",IF(Y24="PICKUP","X",IF(J24="Rolled",AVERAGEIF(#REF!,"Rolled",#REF!),PP))))))</f>
        <v>#REF!</v>
      </c>
      <c r="BH24" s="133" t="e">
        <f>IF(J24="Rolled",ROUND(AVERAGEIF(#REF!,"Rolled",#REF!),1),IF(Y24="GALLERY","X",IF(Y24="PICKUP","X",IF(P24="0 Canv","X",SP))))</f>
        <v>#REF!</v>
      </c>
      <c r="BI24" s="133"/>
    </row>
    <row r="25" spans="1:61" ht="13.15" x14ac:dyDescent="0.4">
      <c r="A25" s="127">
        <v>46252</v>
      </c>
      <c r="B25" s="128">
        <f t="shared" ca="1" si="0"/>
        <v>12</v>
      </c>
      <c r="C25" s="206"/>
      <c r="D25" s="130">
        <f t="shared" si="1"/>
        <v>46238</v>
      </c>
      <c r="E25" s="206"/>
      <c r="F25" s="207"/>
      <c r="G25" s="208" t="s">
        <v>35</v>
      </c>
      <c r="H25" s="208" t="s">
        <v>292</v>
      </c>
      <c r="I25" s="208" t="s">
        <v>61</v>
      </c>
      <c r="J25" s="132" t="s">
        <v>78</v>
      </c>
      <c r="K25" s="133">
        <v>1</v>
      </c>
      <c r="L25" s="210">
        <v>0</v>
      </c>
      <c r="M25" s="210">
        <v>0</v>
      </c>
      <c r="N25" s="208">
        <v>30</v>
      </c>
      <c r="O25" s="42">
        <v>48</v>
      </c>
      <c r="P25" s="208" t="s">
        <v>241</v>
      </c>
      <c r="Q25" s="136">
        <f t="shared" si="2"/>
        <v>1440</v>
      </c>
      <c r="R25" s="137" t="e">
        <f>IF(J25="Rolled","N/A",IF(P25="4 Paper",MIN(N25:O25)+VLOOKUP("Picture "&amp;J25,#REF!,2,FALSE),IF(J25="Rolled","N/A",IF(J25="Roll","N/A",MIN(N25:O25)+VLOOKUP(J25,#REF!,2,FALSE)))))</f>
        <v>#REF!</v>
      </c>
      <c r="S25" s="137" t="e">
        <f>IF(J25="Rolled","N/A",IF(P25="4 Paper",MAX(N25:O25)+VLOOKUP("Picture "&amp;J25,#REF!,2,FALSE),IF(J25="Rolled","N/A",IF(J25="Roll","N/A",MAX(N25:O25)+VLOOKUP(J25,#REF!,2,FALSE)))))</f>
        <v>#REF!</v>
      </c>
      <c r="T25" s="138" t="e">
        <f t="shared" si="3"/>
        <v>#REF!</v>
      </c>
      <c r="U25" s="43" t="e">
        <f t="shared" si="4"/>
        <v>#REF!</v>
      </c>
      <c r="V25" s="43"/>
      <c r="W25" s="43"/>
      <c r="X25" s="139" t="e">
        <f t="shared" si="5"/>
        <v>#REF!</v>
      </c>
      <c r="Y25" s="135" t="e">
        <f t="shared" si="9"/>
        <v>#REF!</v>
      </c>
      <c r="Z25" s="211"/>
      <c r="AA25" s="211"/>
      <c r="AB25" s="211"/>
      <c r="AC25" s="211"/>
      <c r="AD25" s="211"/>
      <c r="AE25" s="211"/>
      <c r="AF25" s="212"/>
      <c r="AG25" s="133" t="str">
        <f t="shared" si="10"/>
        <v>X</v>
      </c>
      <c r="AH25" s="133" t="str">
        <f t="shared" si="11"/>
        <v>X</v>
      </c>
      <c r="AI25" s="133" t="str">
        <f t="shared" si="12"/>
        <v>X</v>
      </c>
      <c r="AJ25" s="144" t="s">
        <v>105</v>
      </c>
      <c r="AK25" s="145" t="e">
        <f t="shared" si="13"/>
        <v>#REF!</v>
      </c>
      <c r="AL25" s="133" t="e">
        <f t="shared" si="14"/>
        <v>#REF!</v>
      </c>
      <c r="AM25" s="133" t="e">
        <f t="shared" si="15"/>
        <v>#REF!</v>
      </c>
      <c r="AN25" s="133" t="e">
        <f t="shared" si="16"/>
        <v>#REF!</v>
      </c>
      <c r="AO25" s="133" t="e">
        <f t="shared" si="17"/>
        <v>#REF!</v>
      </c>
      <c r="AP25" s="133" t="e">
        <f t="shared" si="18"/>
        <v>#REF!</v>
      </c>
      <c r="AQ25" s="144" t="e">
        <f t="shared" si="19"/>
        <v>#REF!</v>
      </c>
      <c r="AR25" s="146" t="str">
        <f t="shared" si="20"/>
        <v>X</v>
      </c>
      <c r="AS25" s="133" t="str">
        <f t="shared" si="21"/>
        <v>X</v>
      </c>
      <c r="AT25" s="133" t="str">
        <f t="shared" si="21"/>
        <v>X</v>
      </c>
      <c r="AU25" s="133" t="e">
        <f t="shared" si="22"/>
        <v>#REF!</v>
      </c>
      <c r="AV25" s="133" t="e">
        <f t="shared" si="23"/>
        <v>#REF!</v>
      </c>
      <c r="AW25" s="133" t="e">
        <f t="shared" si="24"/>
        <v>#REF!</v>
      </c>
      <c r="AX25" s="144" t="str">
        <f t="shared" si="25"/>
        <v>X</v>
      </c>
      <c r="AY25" s="146" t="e">
        <f t="shared" si="26"/>
        <v>#REF!</v>
      </c>
      <c r="AZ25" s="133" t="e">
        <f t="shared" si="27"/>
        <v>#REF!</v>
      </c>
      <c r="BA25" s="133" t="e">
        <f t="shared" si="28"/>
        <v>#REF!</v>
      </c>
      <c r="BB25" s="133" t="e">
        <f t="shared" si="29"/>
        <v>#REF!</v>
      </c>
      <c r="BC25" s="133" t="e">
        <f t="shared" si="30"/>
        <v>#REF!</v>
      </c>
      <c r="BD25" s="144" t="e">
        <f t="shared" si="31"/>
        <v>#REF!</v>
      </c>
      <c r="BE25" s="146" t="e">
        <f t="shared" si="32"/>
        <v>#REF!</v>
      </c>
      <c r="BF25" s="144" t="e">
        <f t="shared" si="33"/>
        <v>#REF!</v>
      </c>
      <c r="BG25" s="146" t="e">
        <f>IF(Y25="DELIVERY",5,IF(Y25="CNC",ROUND(AVERAGEIF(#REF!,"CNC",#REF!),1),IF(Y25="CRATE",300,IF(Y25="GALLERY","X",IF(Y25="PICKUP","X",IF(J25="Rolled",AVERAGEIF(#REF!,"Rolled",#REF!),PP))))))</f>
        <v>#REF!</v>
      </c>
      <c r="BH25" s="133" t="e">
        <f>IF(J25="Rolled",ROUND(AVERAGEIF(#REF!,"Rolled",#REF!),1),IF(Y25="GALLERY","X",IF(Y25="PICKUP","X",IF(P25="0 Canv","X",SP))))</f>
        <v>#REF!</v>
      </c>
      <c r="BI25" s="133"/>
    </row>
    <row r="26" spans="1:61" ht="13.15" x14ac:dyDescent="0.4">
      <c r="A26" s="127">
        <v>46253</v>
      </c>
      <c r="B26" s="128">
        <f t="shared" ca="1" si="0"/>
        <v>13</v>
      </c>
      <c r="C26" s="206"/>
      <c r="D26" s="130">
        <f t="shared" si="1"/>
        <v>46239</v>
      </c>
      <c r="E26" s="206"/>
      <c r="F26" s="207"/>
      <c r="G26" s="208" t="s">
        <v>297</v>
      </c>
      <c r="H26" s="208" t="s">
        <v>299</v>
      </c>
      <c r="I26" s="208" t="s">
        <v>300</v>
      </c>
      <c r="J26" s="132" t="s">
        <v>78</v>
      </c>
      <c r="K26" s="133">
        <v>1</v>
      </c>
      <c r="L26" s="210">
        <v>0</v>
      </c>
      <c r="M26" s="210">
        <v>0</v>
      </c>
      <c r="N26" s="208">
        <v>30</v>
      </c>
      <c r="O26" s="42">
        <v>24</v>
      </c>
      <c r="P26" s="208" t="s">
        <v>241</v>
      </c>
      <c r="Q26" s="136">
        <f t="shared" si="2"/>
        <v>720</v>
      </c>
      <c r="R26" s="137" t="e">
        <f>IF(J26="Rolled","N/A",IF(P26="4 Paper",MIN(N26:O26)+VLOOKUP("Picture "&amp;J26,#REF!,2,FALSE),IF(J26="Rolled","N/A",IF(J26="Roll","N/A",MIN(N26:O26)+VLOOKUP(J26,#REF!,2,FALSE)))))</f>
        <v>#REF!</v>
      </c>
      <c r="S26" s="137" t="e">
        <f>IF(J26="Rolled","N/A",IF(P26="4 Paper",MAX(N26:O26)+VLOOKUP("Picture "&amp;J26,#REF!,2,FALSE),IF(J26="Rolled","N/A",IF(J26="Roll","N/A",MAX(N26:O26)+VLOOKUP(J26,#REF!,2,FALSE)))))</f>
        <v>#REF!</v>
      </c>
      <c r="T26" s="138" t="e">
        <f t="shared" si="3"/>
        <v>#REF!</v>
      </c>
      <c r="U26" s="43" t="e">
        <f t="shared" si="4"/>
        <v>#REF!</v>
      </c>
      <c r="V26" s="43"/>
      <c r="W26" s="43"/>
      <c r="X26" s="139" t="e">
        <f t="shared" si="5"/>
        <v>#REF!</v>
      </c>
      <c r="Y26" s="135" t="e">
        <f t="shared" si="9"/>
        <v>#REF!</v>
      </c>
      <c r="Z26" s="211"/>
      <c r="AA26" s="211"/>
      <c r="AB26" s="211"/>
      <c r="AC26" s="211"/>
      <c r="AD26" s="211"/>
      <c r="AE26" s="211"/>
      <c r="AF26" s="212"/>
      <c r="AG26" s="133" t="str">
        <f t="shared" si="10"/>
        <v>X</v>
      </c>
      <c r="AH26" s="133" t="str">
        <f t="shared" si="11"/>
        <v>X</v>
      </c>
      <c r="AI26" s="133" t="str">
        <f t="shared" si="12"/>
        <v>X</v>
      </c>
      <c r="AJ26" s="144" t="s">
        <v>105</v>
      </c>
      <c r="AK26" s="145" t="e">
        <f t="shared" si="13"/>
        <v>#REF!</v>
      </c>
      <c r="AL26" s="133" t="e">
        <f t="shared" si="14"/>
        <v>#REF!</v>
      </c>
      <c r="AM26" s="133" t="e">
        <f t="shared" si="15"/>
        <v>#REF!</v>
      </c>
      <c r="AN26" s="133" t="e">
        <f t="shared" si="16"/>
        <v>#REF!</v>
      </c>
      <c r="AO26" s="133" t="e">
        <f t="shared" si="17"/>
        <v>#REF!</v>
      </c>
      <c r="AP26" s="133" t="e">
        <f t="shared" si="18"/>
        <v>#REF!</v>
      </c>
      <c r="AQ26" s="144" t="e">
        <f t="shared" si="19"/>
        <v>#REF!</v>
      </c>
      <c r="AR26" s="146" t="str">
        <f t="shared" si="20"/>
        <v>X</v>
      </c>
      <c r="AS26" s="133" t="str">
        <f t="shared" si="21"/>
        <v>X</v>
      </c>
      <c r="AT26" s="133" t="str">
        <f t="shared" si="21"/>
        <v>X</v>
      </c>
      <c r="AU26" s="133" t="e">
        <f t="shared" si="22"/>
        <v>#REF!</v>
      </c>
      <c r="AV26" s="133" t="e">
        <f t="shared" si="23"/>
        <v>#REF!</v>
      </c>
      <c r="AW26" s="133" t="e">
        <f t="shared" si="24"/>
        <v>#REF!</v>
      </c>
      <c r="AX26" s="144" t="str">
        <f t="shared" si="25"/>
        <v>X</v>
      </c>
      <c r="AY26" s="146" t="e">
        <f t="shared" si="26"/>
        <v>#REF!</v>
      </c>
      <c r="AZ26" s="133" t="e">
        <f t="shared" si="27"/>
        <v>#REF!</v>
      </c>
      <c r="BA26" s="133" t="e">
        <f t="shared" si="28"/>
        <v>#REF!</v>
      </c>
      <c r="BB26" s="133" t="e">
        <f t="shared" si="29"/>
        <v>#REF!</v>
      </c>
      <c r="BC26" s="133" t="e">
        <f t="shared" si="30"/>
        <v>#REF!</v>
      </c>
      <c r="BD26" s="144" t="e">
        <f t="shared" si="31"/>
        <v>#REF!</v>
      </c>
      <c r="BE26" s="146" t="e">
        <f t="shared" si="32"/>
        <v>#REF!</v>
      </c>
      <c r="BF26" s="144" t="e">
        <f t="shared" si="33"/>
        <v>#REF!</v>
      </c>
      <c r="BG26" s="146" t="e">
        <f>IF(Y26="DELIVERY",5,IF(Y26="CNC",ROUND(AVERAGEIF(#REF!,"CNC",#REF!),1),IF(Y26="CRATE",300,IF(Y26="GALLERY","X",IF(Y26="PICKUP","X",IF(J26="Rolled",AVERAGEIF(#REF!,"Rolled",#REF!),PP))))))</f>
        <v>#REF!</v>
      </c>
      <c r="BH26" s="133" t="e">
        <f>IF(J26="Rolled",ROUND(AVERAGEIF(#REF!,"Rolled",#REF!),1),IF(Y26="GALLERY","X",IF(Y26="PICKUP","X",IF(P26="0 Canv","X",SP))))</f>
        <v>#REF!</v>
      </c>
      <c r="BI26" s="133"/>
    </row>
    <row r="27" spans="1:61" ht="13.15" x14ac:dyDescent="0.4">
      <c r="A27" s="213">
        <v>46253</v>
      </c>
      <c r="B27" s="214">
        <f t="shared" ca="1" si="0"/>
        <v>13</v>
      </c>
      <c r="C27" s="215"/>
      <c r="D27" s="216">
        <f t="shared" si="1"/>
        <v>46239</v>
      </c>
      <c r="E27" s="215"/>
      <c r="F27" s="217"/>
      <c r="G27" s="218" t="s">
        <v>314</v>
      </c>
      <c r="H27" s="218" t="s">
        <v>262</v>
      </c>
      <c r="I27" s="218" t="s">
        <v>112</v>
      </c>
      <c r="J27" s="219" t="s">
        <v>64</v>
      </c>
      <c r="K27" s="220" t="s">
        <v>38</v>
      </c>
      <c r="L27" s="221">
        <v>0</v>
      </c>
      <c r="M27" s="221">
        <v>0</v>
      </c>
      <c r="N27" s="218">
        <v>16</v>
      </c>
      <c r="O27" s="44">
        <v>20</v>
      </c>
      <c r="P27" s="218" t="s">
        <v>316</v>
      </c>
      <c r="Q27" s="222">
        <f t="shared" si="2"/>
        <v>320</v>
      </c>
      <c r="R27" s="223" t="str">
        <f>IF(J27="Rolled","N/A",IF(P27="4 Paper",MIN(N27:O27)+VLOOKUP("Picture "&amp;J27,#REF!,2,FALSE),IF(J27="Rolled","N/A",IF(J27="Roll","N/A",MIN(N27:O27)+VLOOKUP(J27,#REF!,2,FALSE)))))</f>
        <v>N/A</v>
      </c>
      <c r="S27" s="223" t="str">
        <f>IF(J27="Rolled","N/A",IF(P27="4 Paper",MAX(N27:O27)+VLOOKUP("Picture "&amp;J27,#REF!,2,FALSE),IF(J27="Rolled","N/A",IF(J27="Roll","N/A",MAX(N27:O27)+VLOOKUP(J27,#REF!,2,FALSE)))))</f>
        <v>N/A</v>
      </c>
      <c r="T27" s="224" t="str">
        <f t="shared" si="3"/>
        <v>N/A</v>
      </c>
      <c r="U27" s="45">
        <f t="shared" si="4"/>
        <v>27</v>
      </c>
      <c r="V27" s="45"/>
      <c r="W27" s="45"/>
      <c r="X27" s="225">
        <f t="shared" si="5"/>
        <v>0</v>
      </c>
      <c r="Y27" s="226" t="str">
        <f t="shared" si="9"/>
        <v>S-14048</v>
      </c>
      <c r="Z27" s="140"/>
      <c r="AA27" s="140"/>
      <c r="AB27" s="140"/>
      <c r="AC27" s="140"/>
      <c r="AD27" s="140"/>
      <c r="AE27" s="140"/>
      <c r="AF27" s="227"/>
      <c r="AG27" s="228"/>
      <c r="AH27" s="228"/>
      <c r="AI27" s="228"/>
      <c r="AJ27" s="229"/>
      <c r="AK27" s="230"/>
      <c r="AL27" s="228"/>
      <c r="AM27" s="228"/>
      <c r="AN27" s="228"/>
      <c r="AO27" s="228"/>
      <c r="AP27" s="228"/>
      <c r="AQ27" s="229"/>
      <c r="AR27" s="231"/>
      <c r="AS27" s="228"/>
      <c r="AT27" s="228"/>
      <c r="AU27" s="228"/>
      <c r="AV27" s="228"/>
      <c r="AW27" s="228"/>
      <c r="AX27" s="229"/>
      <c r="AY27" s="231"/>
      <c r="AZ27" s="228"/>
      <c r="BA27" s="228"/>
      <c r="BB27" s="228"/>
      <c r="BC27" s="228"/>
      <c r="BD27" s="229"/>
      <c r="BE27" s="231"/>
      <c r="BF27" s="229"/>
      <c r="BG27" s="231"/>
      <c r="BH27" s="228"/>
      <c r="BI27" s="228"/>
    </row>
    <row r="28" spans="1:61" ht="13.15" x14ac:dyDescent="0.4">
      <c r="A28" s="127">
        <v>46265</v>
      </c>
      <c r="B28" s="128">
        <f t="shared" ca="1" si="0"/>
        <v>25</v>
      </c>
      <c r="C28" s="129"/>
      <c r="D28" s="130">
        <f t="shared" si="1"/>
        <v>46251</v>
      </c>
      <c r="E28" s="42"/>
      <c r="F28" s="131"/>
      <c r="G28" s="42" t="s">
        <v>824</v>
      </c>
      <c r="H28" s="42" t="s">
        <v>825</v>
      </c>
      <c r="I28" s="42" t="str">
        <f t="shared" ref="I28:I52" si="34">MIN(N28:O28)&amp;" x "&amp;MAX(N28:O28)</f>
        <v>24 x 29</v>
      </c>
      <c r="J28" s="132" t="s">
        <v>78</v>
      </c>
      <c r="K28" s="133">
        <v>8</v>
      </c>
      <c r="L28" s="134">
        <v>1840</v>
      </c>
      <c r="M28" s="134">
        <v>0</v>
      </c>
      <c r="N28" s="135">
        <v>24</v>
      </c>
      <c r="O28" s="135">
        <v>29</v>
      </c>
      <c r="P28" s="131" t="s">
        <v>241</v>
      </c>
      <c r="Q28" s="136">
        <f t="shared" si="2"/>
        <v>696</v>
      </c>
      <c r="R28" s="137" t="e">
        <f>IF(J28="Rolled","N/A",IF(P28="4 Paper",MIN(N28:O28)+VLOOKUP("Picture "&amp;J28,#REF!,2,FALSE),IF(J28="Rolled","N/A",IF(J28="Roll","N/A",MIN(N28:O28)+VLOOKUP(J28,#REF!,2,FALSE)))))</f>
        <v>#REF!</v>
      </c>
      <c r="S28" s="137" t="e">
        <f>IF(J28="Rolled","N/A",IF(P28="4 Paper",MAX(N28:O28)+VLOOKUP("Picture "&amp;J28,#REF!,2,FALSE),IF(J28="Rolled","N/A",IF(J28="Roll","N/A",MAX(N28:O28)+VLOOKUP(J28,#REF!,2,FALSE)))))</f>
        <v>#REF!</v>
      </c>
      <c r="T28" s="138" t="e">
        <f t="shared" si="3"/>
        <v>#REF!</v>
      </c>
      <c r="U28" s="135" t="e">
        <f t="shared" si="4"/>
        <v>#REF!</v>
      </c>
      <c r="V28" s="42"/>
      <c r="W28" s="42"/>
      <c r="X28" s="139" t="e">
        <f t="shared" si="5"/>
        <v>#REF!</v>
      </c>
      <c r="Y28" s="135" t="e">
        <f t="shared" si="9"/>
        <v>#REF!</v>
      </c>
      <c r="Z28" s="140"/>
      <c r="AA28" s="141"/>
      <c r="AB28" s="140"/>
      <c r="AC28" s="182"/>
      <c r="AD28" s="182"/>
      <c r="AE28" s="182"/>
      <c r="AF28" s="143"/>
      <c r="AG28" s="133" t="str">
        <f>IF(P28="0 Cnvs",CS,"X")</f>
        <v>X</v>
      </c>
      <c r="AH28" s="133" t="str">
        <f>IF(P28="0 Cnvs",JS,"X")</f>
        <v>X</v>
      </c>
      <c r="AI28" s="133" t="str">
        <f>IF(P28="0 Cnvs",SC,"X")</f>
        <v>X</v>
      </c>
      <c r="AJ28" s="144" t="s">
        <v>105</v>
      </c>
      <c r="AK28" s="145" t="e">
        <f>IF(P28="1 Orig","X",IF(P28="0 Cnvs","X",PT))</f>
        <v>#REF!</v>
      </c>
      <c r="AL28" s="133" t="e">
        <f>IF(P28="2 3D Lim",TDF,"X")</f>
        <v>#REF!</v>
      </c>
      <c r="AM28" s="133" t="e">
        <f>IF(P28="2 3D Lim",S3DP,"X")</f>
        <v>#REF!</v>
      </c>
      <c r="AN28" s="133" t="e">
        <f>IF(P28="2 3D Lim",CB,"X")</f>
        <v>#REF!</v>
      </c>
      <c r="AO28" s="133" t="e">
        <f>IF(P28="2 3D Lim",JB,"X")</f>
        <v>#REF!</v>
      </c>
      <c r="AP28" s="133" t="e">
        <f>IF(P28="2 3D Lim",PB,"X")</f>
        <v>#REF!</v>
      </c>
      <c r="AQ28" s="144" t="e">
        <f>IF(P28="2 3D Lim",M3D,"X")</f>
        <v>#REF!</v>
      </c>
      <c r="AR28" s="146" t="str">
        <f>IF(P28="3 Canv",DF,IF(P28="4 Free",DF,"X"))</f>
        <v>X</v>
      </c>
      <c r="AS28" s="133" t="str">
        <f t="shared" ref="AS28:AT30" si="35">IF(P28="3 Canv",PCP,"X")</f>
        <v>X</v>
      </c>
      <c r="AT28" s="133" t="str">
        <f t="shared" si="35"/>
        <v>X</v>
      </c>
      <c r="AU28" s="133" t="e">
        <f>IF(P28="0 Cnvs","X",IF(P28="1 Orig","X",IF(P28="2 3D","X",IF(P28="1 Orig","X",IF(J28="Rolled","X",CCS)))))</f>
        <v>#REF!</v>
      </c>
      <c r="AV28" s="133" t="e">
        <f>IF(P28="0 Cnvs","X",IF(P28="1 Orig","X",IF(P28="2 3D","X",IF(P28="1 Orig","X",IF(J28="Rolled","X",JCS)))))</f>
        <v>#REF!</v>
      </c>
      <c r="AW28" s="133" t="e">
        <f t="shared" ref="AW28:AW39" si="36">IF(P28="0 Cnvs","X",IF(P28="1 Orig","X",IF(P28="2 3D","X",IF(P28="1 Orig","X",IF(J28="Rolled","X",SCP)))))</f>
        <v>#REF!</v>
      </c>
      <c r="AX28" s="144" t="str">
        <f>IF(P28="3 Canv",IF(J28="Rolled","X",PBC),"X")</f>
        <v>X</v>
      </c>
      <c r="AY28" s="146" t="e">
        <f>IF(J28="None","X",IF(J28="Stretched","X",IF(J28="Rolled","X",IF(J28="KoF","X",IF(J28="N/A","X",CF)))))</f>
        <v>#REF!</v>
      </c>
      <c r="AZ28" s="133" t="e">
        <f>IF(J28="None","X",IF(J28="Stretched","X",IF(J28="Rolled","X",IF(J28="KoF","X",IF(J28="N/A","X",DFC)))))</f>
        <v>#REF!</v>
      </c>
      <c r="BA28" s="133" t="e">
        <f>IF(J28="None","X",IF(J28="Stretched","X",IF(J28="Rolled","X",IF(J28="KoF","X",IF(J28="N/A","X",JF)))))</f>
        <v>#REF!</v>
      </c>
      <c r="BB28" s="133" t="e">
        <f>IF(J28="None","X",IF(J28="Stretched","X",IF(J28="Rolled","X",IF(J28="KoF","X",IF(J28="N/A","X",SIF)))))</f>
        <v>#REF!</v>
      </c>
      <c r="BC28" s="133" t="e">
        <f>IF(P28="0 Cnvs","X",IF(J28="Rolled","X",WP))</f>
        <v>#REF!</v>
      </c>
      <c r="BD28" s="144" t="e">
        <f>IF(J28="None","X",IF(J28="Rolled","X",IF(J28="Stretched","X",IF(J28="N/A","X",CFC))))</f>
        <v>#REF!</v>
      </c>
      <c r="BE28" s="146" t="e">
        <f>IF(P28="2 3D Lim",COA,"X")</f>
        <v>#REF!</v>
      </c>
      <c r="BF28" s="144" t="e">
        <f>IF(P28="2 3D Lim",S3D,"X")</f>
        <v>#REF!</v>
      </c>
      <c r="BG28" s="146" t="e">
        <f>IF(Y28="DELIVERY",5,IF(Y28="CNC",ROUND(AVERAGEIF(#REF!,"CNC",#REF!),1),IF(Y28="CRATE",300,IF(Y28="GALLERY","X",IF(Y28="PICKUP","X",IF(J28="Rolled",AVERAGEIF(#REF!,"Rolled",#REF!),PP))))))</f>
        <v>#REF!</v>
      </c>
      <c r="BH28" s="133" t="e">
        <f>IF(J28="Rolled",ROUND(AVERAGEIF(#REF!,"Rolled",#REF!),1),IF(Y28="GALLERY","X",IF(Y28="PICKUP","X",IF(P28="0 Canv","X",SP))))</f>
        <v>#REF!</v>
      </c>
      <c r="BI28" s="133"/>
    </row>
    <row r="29" spans="1:61" ht="13.15" x14ac:dyDescent="0.4">
      <c r="A29" s="127">
        <v>46265</v>
      </c>
      <c r="B29" s="128">
        <f t="shared" ca="1" si="0"/>
        <v>25</v>
      </c>
      <c r="C29" s="129"/>
      <c r="D29" s="130">
        <f t="shared" si="1"/>
        <v>46251</v>
      </c>
      <c r="E29" s="42"/>
      <c r="F29" s="131"/>
      <c r="G29" s="42" t="s">
        <v>830</v>
      </c>
      <c r="H29" s="42" t="s">
        <v>831</v>
      </c>
      <c r="I29" s="42" t="str">
        <f t="shared" si="34"/>
        <v>38 x 50</v>
      </c>
      <c r="J29" s="132" t="s">
        <v>78</v>
      </c>
      <c r="K29" s="133">
        <v>8</v>
      </c>
      <c r="L29" s="134">
        <v>0</v>
      </c>
      <c r="M29" s="134">
        <v>0</v>
      </c>
      <c r="N29" s="135">
        <v>38</v>
      </c>
      <c r="O29" s="135">
        <v>50</v>
      </c>
      <c r="P29" s="131" t="s">
        <v>241</v>
      </c>
      <c r="Q29" s="136">
        <f t="shared" si="2"/>
        <v>1900</v>
      </c>
      <c r="R29" s="137" t="e">
        <f>IF(J29="Rolled","N/A",IF(P29="4 Paper",MIN(N29:O29)+VLOOKUP("Picture "&amp;J29,#REF!,2,FALSE),IF(J29="Rolled","N/A",IF(J29="Roll","N/A",MIN(N29:O29)+VLOOKUP(J29,#REF!,2,FALSE)))))</f>
        <v>#REF!</v>
      </c>
      <c r="S29" s="137" t="e">
        <f>IF(J29="Rolled","N/A",IF(P29="4 Paper",MAX(N29:O29)+VLOOKUP("Picture "&amp;J29,#REF!,2,FALSE),IF(J29="Rolled","N/A",IF(J29="Roll","N/A",MAX(N29:O29)+VLOOKUP(J29,#REF!,2,FALSE)))))</f>
        <v>#REF!</v>
      </c>
      <c r="T29" s="138" t="e">
        <f t="shared" si="3"/>
        <v>#REF!</v>
      </c>
      <c r="U29" s="135" t="e">
        <f t="shared" si="4"/>
        <v>#REF!</v>
      </c>
      <c r="V29" s="42"/>
      <c r="W29" s="42"/>
      <c r="X29" s="139" t="e">
        <f t="shared" si="5"/>
        <v>#REF!</v>
      </c>
      <c r="Y29" s="135" t="e">
        <f t="shared" si="9"/>
        <v>#REF!</v>
      </c>
      <c r="Z29" s="140"/>
      <c r="AA29" s="140"/>
      <c r="AB29" s="140"/>
      <c r="AC29" s="140"/>
      <c r="AD29" s="140"/>
      <c r="AE29" s="140"/>
      <c r="AF29" s="143"/>
      <c r="AG29" s="133" t="str">
        <f>IF(P29="0 Cnvs",CS,"X")</f>
        <v>X</v>
      </c>
      <c r="AH29" s="133" t="str">
        <f>IF(P29="0 Cnvs",JS,"X")</f>
        <v>X</v>
      </c>
      <c r="AI29" s="133" t="str">
        <f>IF(P29="0 Cnvs",SC,"X")</f>
        <v>X</v>
      </c>
      <c r="AJ29" s="144" t="s">
        <v>105</v>
      </c>
      <c r="AK29" s="145" t="e">
        <f>IF(P29="1 Orig","X",IF(P29="0 Cnvs","X",PT))</f>
        <v>#REF!</v>
      </c>
      <c r="AL29" s="133" t="e">
        <f>IF(P29="2 3D Lim",TDF,"X")</f>
        <v>#REF!</v>
      </c>
      <c r="AM29" s="133" t="e">
        <f>IF(P29="2 3D Lim",S3DP,"X")</f>
        <v>#REF!</v>
      </c>
      <c r="AN29" s="133" t="e">
        <f>IF(P29="2 3D Lim",CB,"X")</f>
        <v>#REF!</v>
      </c>
      <c r="AO29" s="133" t="e">
        <f>IF(P29="2 3D Lim",JB,"X")</f>
        <v>#REF!</v>
      </c>
      <c r="AP29" s="133" t="e">
        <f>IF(P29="2 3D Lim",PB,"X")</f>
        <v>#REF!</v>
      </c>
      <c r="AQ29" s="144" t="e">
        <f>IF(P29="2 3D Lim",M3D,"X")</f>
        <v>#REF!</v>
      </c>
      <c r="AR29" s="146" t="str">
        <f>IF(P29="3 Canv",DF,IF(P29="4 Free",DF,"X"))</f>
        <v>X</v>
      </c>
      <c r="AS29" s="133" t="str">
        <f t="shared" si="35"/>
        <v>X</v>
      </c>
      <c r="AT29" s="133" t="str">
        <f t="shared" si="35"/>
        <v>X</v>
      </c>
      <c r="AU29" s="133" t="e">
        <f>IF(P29="0 Cnvs","X",IF(P29="1 Orig","X",IF(P29="2 3D","X",IF(P29="1 Orig","X",IF(J29="Rolled","X",CCS)))))</f>
        <v>#REF!</v>
      </c>
      <c r="AV29" s="133" t="e">
        <f>IF(P29="0 Cnvs","X",IF(P29="1 Orig","X",IF(P29="2 3D","X",IF(P29="1 Orig","X",IF(J29="Rolled","X",JCS)))))</f>
        <v>#REF!</v>
      </c>
      <c r="AW29" s="133" t="e">
        <f t="shared" si="36"/>
        <v>#REF!</v>
      </c>
      <c r="AX29" s="144" t="str">
        <f>IF(P29="3 Canv",IF(J29="Rolled","X",PBC),"X")</f>
        <v>X</v>
      </c>
      <c r="AY29" s="146" t="e">
        <f>IF(J29="None","X",IF(J29="Stretched","X",IF(J29="Rolled","X",IF(J29="KoF","X",IF(J29="N/A","X",CF)))))</f>
        <v>#REF!</v>
      </c>
      <c r="AZ29" s="133" t="e">
        <f>IF(J29="None","X",IF(J29="Stretched","X",IF(J29="Rolled","X",IF(J29="KoF","X",IF(J29="N/A","X",DFC)))))</f>
        <v>#REF!</v>
      </c>
      <c r="BA29" s="133" t="e">
        <f>IF(J29="None","X",IF(J29="Stretched","X",IF(J29="Rolled","X",IF(J29="KoF","X",IF(J29="N/A","X",JF)))))</f>
        <v>#REF!</v>
      </c>
      <c r="BB29" s="133" t="e">
        <f>IF(J29="None","X",IF(J29="Stretched","X",IF(J29="Rolled","X",IF(J29="KoF","X",IF(J29="N/A","X",SIF)))))</f>
        <v>#REF!</v>
      </c>
      <c r="BC29" s="133" t="e">
        <f>IF(P29="0 Cnvs","X",IF(J29="Rolled","X",WP))</f>
        <v>#REF!</v>
      </c>
      <c r="BD29" s="144" t="e">
        <f>IF(J29="None","X",IF(J29="Rolled","X",IF(J29="Stretched","X",IF(J29="N/A","X",CFC))))</f>
        <v>#REF!</v>
      </c>
      <c r="BE29" s="146" t="e">
        <f>IF(P29="2 3D Lim",COA,"X")</f>
        <v>#REF!</v>
      </c>
      <c r="BF29" s="144" t="e">
        <f>IF(P29="2 3D Lim",S3D,"X")</f>
        <v>#REF!</v>
      </c>
      <c r="BG29" s="146" t="e">
        <f>IF(Y29="DELIVERY",5,IF(Y29="CNC",ROUND(AVERAGEIF(#REF!,"CNC",#REF!),1),IF(Y29="CRATE",300,IF(Y29="GALLERY","X",IF(Y29="PICKUP","X",IF(J29="Rolled",AVERAGEIF(#REF!,"Rolled",#REF!),PP))))))</f>
        <v>#REF!</v>
      </c>
      <c r="BH29" s="133" t="e">
        <f>IF(J29="Rolled",ROUND(AVERAGEIF(#REF!,"Rolled",#REF!),1),IF(Y29="GALLERY","X",IF(Y29="PICKUP","X",IF(P29="0 Canv","X",SP))))</f>
        <v>#REF!</v>
      </c>
      <c r="BI29" s="133"/>
    </row>
    <row r="30" spans="1:61" ht="13.15" x14ac:dyDescent="0.4">
      <c r="A30" s="127">
        <v>46265</v>
      </c>
      <c r="B30" s="128">
        <f t="shared" ca="1" si="0"/>
        <v>25</v>
      </c>
      <c r="C30" s="129"/>
      <c r="D30" s="130">
        <f t="shared" si="1"/>
        <v>46251</v>
      </c>
      <c r="E30" s="42"/>
      <c r="F30" s="131"/>
      <c r="G30" s="42" t="s">
        <v>830</v>
      </c>
      <c r="H30" s="42" t="s">
        <v>409</v>
      </c>
      <c r="I30" s="42" t="str">
        <f t="shared" si="34"/>
        <v>14 x 19</v>
      </c>
      <c r="J30" s="132" t="s">
        <v>78</v>
      </c>
      <c r="K30" s="133">
        <v>8</v>
      </c>
      <c r="L30" s="134">
        <v>2800</v>
      </c>
      <c r="M30" s="134">
        <v>0</v>
      </c>
      <c r="N30" s="135">
        <v>14</v>
      </c>
      <c r="O30" s="135">
        <v>19</v>
      </c>
      <c r="P30" s="131" t="s">
        <v>241</v>
      </c>
      <c r="Q30" s="136">
        <f t="shared" si="2"/>
        <v>266</v>
      </c>
      <c r="R30" s="137" t="e">
        <f>IF(J30="Rolled","N/A",IF(P30="4 Paper",MIN(N30:O30)+VLOOKUP("Picture "&amp;J30,#REF!,2,FALSE),IF(J30="Rolled","N/A",IF(J30="Roll","N/A",MIN(N30:O30)+VLOOKUP(J30,#REF!,2,FALSE)))))</f>
        <v>#REF!</v>
      </c>
      <c r="S30" s="137" t="e">
        <f>IF(J30="Rolled","N/A",IF(P30="4 Paper",MAX(N30:O30)+VLOOKUP("Picture "&amp;J30,#REF!,2,FALSE),IF(J30="Rolled","N/A",IF(J30="Roll","N/A",MAX(N30:O30)+VLOOKUP(J30,#REF!,2,FALSE)))))</f>
        <v>#REF!</v>
      </c>
      <c r="T30" s="138" t="e">
        <f t="shared" si="3"/>
        <v>#REF!</v>
      </c>
      <c r="U30" s="135" t="e">
        <f t="shared" si="4"/>
        <v>#REF!</v>
      </c>
      <c r="V30" s="42"/>
      <c r="W30" s="42"/>
      <c r="X30" s="139" t="e">
        <f t="shared" si="5"/>
        <v>#REF!</v>
      </c>
      <c r="Y30" s="135" t="e">
        <f t="shared" si="9"/>
        <v>#REF!</v>
      </c>
      <c r="Z30" s="140"/>
      <c r="AA30" s="140"/>
      <c r="AB30" s="140"/>
      <c r="AC30" s="140"/>
      <c r="AD30" s="140"/>
      <c r="AE30" s="140"/>
      <c r="AF30" s="143"/>
      <c r="AG30" s="133" t="str">
        <f>IF(P30="0 Cnvs",CS,"X")</f>
        <v>X</v>
      </c>
      <c r="AH30" s="133" t="str">
        <f>IF(P30="0 Cnvs",JS,"X")</f>
        <v>X</v>
      </c>
      <c r="AI30" s="133" t="str">
        <f>IF(P30="0 Cnvs",SC,"X")</f>
        <v>X</v>
      </c>
      <c r="AJ30" s="144" t="s">
        <v>105</v>
      </c>
      <c r="AK30" s="145" t="e">
        <f>IF(P30="1 Orig","X",IF(P30="0 Cnvs","X",PT))</f>
        <v>#REF!</v>
      </c>
      <c r="AL30" s="133" t="e">
        <f>IF(P30="2 3D Lim",TDF,"X")</f>
        <v>#REF!</v>
      </c>
      <c r="AM30" s="133" t="e">
        <f>IF(P30="2 3D Lim",S3DP,"X")</f>
        <v>#REF!</v>
      </c>
      <c r="AN30" s="133" t="e">
        <f>IF(P30="2 3D Lim",CB,"X")</f>
        <v>#REF!</v>
      </c>
      <c r="AO30" s="133" t="e">
        <f>IF(P30="2 3D Lim",JB,"X")</f>
        <v>#REF!</v>
      </c>
      <c r="AP30" s="133" t="e">
        <f>IF(P30="2 3D Lim",PB,"X")</f>
        <v>#REF!</v>
      </c>
      <c r="AQ30" s="144" t="e">
        <f>IF(P30="2 3D Lim",M3D,"X")</f>
        <v>#REF!</v>
      </c>
      <c r="AR30" s="146" t="str">
        <f>IF(P30="3 Canv",DF,IF(P30="4 Free",DF,"X"))</f>
        <v>X</v>
      </c>
      <c r="AS30" s="133" t="str">
        <f t="shared" si="35"/>
        <v>X</v>
      </c>
      <c r="AT30" s="133" t="str">
        <f t="shared" si="35"/>
        <v>X</v>
      </c>
      <c r="AU30" s="133" t="e">
        <f>IF(P30="0 Cnvs","X",IF(P30="1 Orig","X",IF(P30="2 3D","X",IF(P30="1 Orig","X",IF(J30="Rolled","X",CCS)))))</f>
        <v>#REF!</v>
      </c>
      <c r="AV30" s="133" t="e">
        <f>IF(P30="0 Cnvs","X",IF(P30="1 Orig","X",IF(P30="2 3D","X",IF(P30="1 Orig","X",IF(J30="Rolled","X",JCS)))))</f>
        <v>#REF!</v>
      </c>
      <c r="AW30" s="133" t="e">
        <f t="shared" si="36"/>
        <v>#REF!</v>
      </c>
      <c r="AX30" s="144" t="str">
        <f>IF(P30="3 Canv",IF(J30="Rolled","X",PBC),"X")</f>
        <v>X</v>
      </c>
      <c r="AY30" s="146" t="e">
        <f>IF(J30="None","X",IF(J30="Stretched","X",IF(J30="Rolled","X",IF(J30="KoF","X",IF(J30="N/A","X",CF)))))</f>
        <v>#REF!</v>
      </c>
      <c r="AZ30" s="133" t="e">
        <f>IF(J30="None","X",IF(J30="Stretched","X",IF(J30="Rolled","X",IF(J30="KoF","X",IF(J30="N/A","X",DFC)))))</f>
        <v>#REF!</v>
      </c>
      <c r="BA30" s="133" t="e">
        <f>IF(J30="None","X",IF(J30="Stretched","X",IF(J30="Rolled","X",IF(J30="KoF","X",IF(J30="N/A","X",JF)))))</f>
        <v>#REF!</v>
      </c>
      <c r="BB30" s="133" t="e">
        <f>IF(J30="None","X",IF(J30="Stretched","X",IF(J30="Rolled","X",IF(J30="KoF","X",IF(J30="N/A","X",SIF)))))</f>
        <v>#REF!</v>
      </c>
      <c r="BC30" s="133" t="e">
        <f>IF(P30="0 Cnvs","X",IF(J30="Rolled","X",WP))</f>
        <v>#REF!</v>
      </c>
      <c r="BD30" s="144" t="e">
        <f>IF(J30="None","X",IF(J30="Rolled","X",IF(J30="Stretched","X",IF(J30="N/A","X",CFC))))</f>
        <v>#REF!</v>
      </c>
      <c r="BE30" s="146" t="e">
        <f>IF(P30="2 3D Lim",COA,"X")</f>
        <v>#REF!</v>
      </c>
      <c r="BF30" s="144" t="e">
        <f>IF(P30="2 3D Lim",S3D,"X")</f>
        <v>#REF!</v>
      </c>
      <c r="BG30" s="146" t="e">
        <f>IF(Y30="DELIVERY",5,IF(Y30="CNC",ROUND(AVERAGEIF(#REF!,"CNC",#REF!),1),IF(Y30="CRATE",300,IF(Y30="GALLERY","X",IF(Y30="PICKUP","X",IF(J30="Rolled",AVERAGEIF(#REF!,"Rolled",#REF!),PP))))))</f>
        <v>#REF!</v>
      </c>
      <c r="BH30" s="133" t="e">
        <f>IF(J30="Rolled",ROUND(AVERAGEIF(#REF!,"Rolled",#REF!),1),IF(Y30="GALLERY","X",IF(Y30="PICKUP","X",IF(P30="0 Canv","X",SP))))</f>
        <v>#REF!</v>
      </c>
      <c r="BI30" s="133"/>
    </row>
    <row r="31" spans="1:61" ht="13.15" x14ac:dyDescent="0.4">
      <c r="A31" s="232">
        <v>46265</v>
      </c>
      <c r="B31" s="233">
        <f t="shared" ca="1" si="0"/>
        <v>25</v>
      </c>
      <c r="C31" s="234"/>
      <c r="D31" s="235">
        <f t="shared" si="1"/>
        <v>46251</v>
      </c>
      <c r="E31" s="32"/>
      <c r="F31" s="65"/>
      <c r="G31" s="32" t="s">
        <v>35</v>
      </c>
      <c r="H31" s="32" t="s">
        <v>36</v>
      </c>
      <c r="I31" s="32" t="str">
        <f t="shared" si="34"/>
        <v>30 x 60</v>
      </c>
      <c r="J31" s="29" t="s">
        <v>37</v>
      </c>
      <c r="K31" s="106" t="s">
        <v>38</v>
      </c>
      <c r="L31" s="28">
        <v>0</v>
      </c>
      <c r="M31" s="28">
        <v>0</v>
      </c>
      <c r="N31" s="33">
        <v>30</v>
      </c>
      <c r="O31" s="33">
        <v>60</v>
      </c>
      <c r="P31" s="65" t="s">
        <v>39</v>
      </c>
      <c r="Q31" s="236">
        <f t="shared" si="2"/>
        <v>1800</v>
      </c>
      <c r="R31" s="237" t="e">
        <f>IF(J31="Rolled","N/A",IF(P31="4 Paper",MIN(N31:O31)+VLOOKUP("Picture "&amp;J31,#REF!,2,FALSE),IF(J31="Rolled","N/A",IF(J31="Roll","N/A",MIN(N31:O31)+VLOOKUP(J31,#REF!,2,FALSE)))))</f>
        <v>#REF!</v>
      </c>
      <c r="S31" s="237" t="e">
        <f>IF(J31="Rolled","N/A",IF(P31="4 Paper",MAX(N31:O31)+VLOOKUP("Picture "&amp;J31,#REF!,2,FALSE),IF(J31="Rolled","N/A",IF(J31="Roll","N/A",MAX(N31:O31)+VLOOKUP(J31,#REF!,2,FALSE)))))</f>
        <v>#REF!</v>
      </c>
      <c r="T31" s="238" t="e">
        <f t="shared" si="3"/>
        <v>#REF!</v>
      </c>
      <c r="U31" s="33" t="e">
        <f t="shared" si="4"/>
        <v>#REF!</v>
      </c>
      <c r="V31" s="32"/>
      <c r="W31" s="32"/>
      <c r="X31" s="239" t="e">
        <f t="shared" si="5"/>
        <v>#REF!</v>
      </c>
      <c r="Y31" s="33" t="s">
        <v>48</v>
      </c>
      <c r="Z31" s="140"/>
      <c r="AA31" s="140"/>
      <c r="AB31" s="140"/>
      <c r="AC31" s="240"/>
      <c r="AD31" s="140"/>
      <c r="AE31" s="140"/>
      <c r="AF31" s="241"/>
      <c r="AG31" s="106"/>
      <c r="AH31" s="106"/>
      <c r="AI31" s="106"/>
      <c r="AJ31" s="242"/>
      <c r="AK31" s="243"/>
      <c r="AL31" s="106"/>
      <c r="AM31" s="106"/>
      <c r="AN31" s="106"/>
      <c r="AO31" s="106"/>
      <c r="AP31" s="106"/>
      <c r="AQ31" s="242"/>
      <c r="AR31" s="244"/>
      <c r="AS31" s="106"/>
      <c r="AT31" s="106"/>
      <c r="AU31" s="106"/>
      <c r="AV31" s="106"/>
      <c r="AW31" s="106" t="e">
        <f t="shared" si="36"/>
        <v>#REF!</v>
      </c>
      <c r="AX31" s="242"/>
      <c r="AY31" s="244"/>
      <c r="AZ31" s="106"/>
      <c r="BA31" s="106"/>
      <c r="BB31" s="106"/>
      <c r="BC31" s="106"/>
      <c r="BD31" s="242"/>
      <c r="BE31" s="244"/>
      <c r="BF31" s="242"/>
      <c r="BG31" s="244">
        <v>5</v>
      </c>
      <c r="BH31" s="106">
        <v>5</v>
      </c>
      <c r="BI31" s="106"/>
    </row>
    <row r="32" spans="1:61" ht="13.15" x14ac:dyDescent="0.4">
      <c r="A32" s="232">
        <v>46265</v>
      </c>
      <c r="B32" s="233">
        <f t="shared" ca="1" si="0"/>
        <v>25</v>
      </c>
      <c r="C32" s="234"/>
      <c r="D32" s="235">
        <f t="shared" si="1"/>
        <v>46251</v>
      </c>
      <c r="E32" s="32"/>
      <c r="F32" s="65"/>
      <c r="G32" s="32" t="s">
        <v>35</v>
      </c>
      <c r="H32" s="32" t="s">
        <v>36</v>
      </c>
      <c r="I32" s="32" t="str">
        <f t="shared" si="34"/>
        <v>36 x 48</v>
      </c>
      <c r="J32" s="29" t="s">
        <v>37</v>
      </c>
      <c r="K32" s="106" t="s">
        <v>38</v>
      </c>
      <c r="L32" s="28">
        <v>0</v>
      </c>
      <c r="M32" s="28">
        <v>0</v>
      </c>
      <c r="N32" s="33">
        <v>36</v>
      </c>
      <c r="O32" s="33">
        <v>48</v>
      </c>
      <c r="P32" s="65" t="s">
        <v>39</v>
      </c>
      <c r="Q32" s="236">
        <f t="shared" si="2"/>
        <v>1728</v>
      </c>
      <c r="R32" s="237" t="e">
        <f>IF(J32="Rolled","N/A",IF(P32="4 Paper",MIN(N32:O32)+VLOOKUP("Picture "&amp;J32,#REF!,2,FALSE),IF(J32="Rolled","N/A",IF(J32="Roll","N/A",MIN(N32:O32)+VLOOKUP(J32,#REF!,2,FALSE)))))</f>
        <v>#REF!</v>
      </c>
      <c r="S32" s="237" t="e">
        <f>IF(J32="Rolled","N/A",IF(P32="4 Paper",MAX(N32:O32)+VLOOKUP("Picture "&amp;J32,#REF!,2,FALSE),IF(J32="Rolled","N/A",IF(J32="Roll","N/A",MAX(N32:O32)+VLOOKUP(J32,#REF!,2,FALSE)))))</f>
        <v>#REF!</v>
      </c>
      <c r="T32" s="238" t="e">
        <f t="shared" si="3"/>
        <v>#REF!</v>
      </c>
      <c r="U32" s="33" t="e">
        <f t="shared" si="4"/>
        <v>#REF!</v>
      </c>
      <c r="V32" s="32"/>
      <c r="W32" s="32"/>
      <c r="X32" s="239" t="e">
        <f t="shared" si="5"/>
        <v>#REF!</v>
      </c>
      <c r="Y32" s="33" t="s">
        <v>48</v>
      </c>
      <c r="Z32" s="140"/>
      <c r="AA32" s="140"/>
      <c r="AB32" s="140"/>
      <c r="AC32" s="240"/>
      <c r="AD32" s="140"/>
      <c r="AE32" s="140"/>
      <c r="AF32" s="241"/>
      <c r="AG32" s="106"/>
      <c r="AH32" s="106"/>
      <c r="AI32" s="106"/>
      <c r="AJ32" s="242"/>
      <c r="AK32" s="243"/>
      <c r="AL32" s="106"/>
      <c r="AM32" s="106"/>
      <c r="AN32" s="106"/>
      <c r="AO32" s="106"/>
      <c r="AP32" s="106"/>
      <c r="AQ32" s="242"/>
      <c r="AR32" s="244"/>
      <c r="AS32" s="106"/>
      <c r="AT32" s="106"/>
      <c r="AU32" s="106"/>
      <c r="AV32" s="106"/>
      <c r="AW32" s="106" t="e">
        <f t="shared" si="36"/>
        <v>#REF!</v>
      </c>
      <c r="AX32" s="242"/>
      <c r="AY32" s="244"/>
      <c r="AZ32" s="106"/>
      <c r="BA32" s="106"/>
      <c r="BB32" s="106"/>
      <c r="BC32" s="106"/>
      <c r="BD32" s="242"/>
      <c r="BE32" s="244"/>
      <c r="BF32" s="242"/>
      <c r="BG32" s="244">
        <v>5</v>
      </c>
      <c r="BH32" s="106">
        <v>5</v>
      </c>
      <c r="BI32" s="106"/>
    </row>
    <row r="33" spans="1:61" ht="13.15" x14ac:dyDescent="0.4">
      <c r="A33" s="232">
        <v>46265</v>
      </c>
      <c r="B33" s="233">
        <f t="shared" ca="1" si="0"/>
        <v>25</v>
      </c>
      <c r="C33" s="234"/>
      <c r="D33" s="235">
        <f t="shared" si="1"/>
        <v>46251</v>
      </c>
      <c r="E33" s="32"/>
      <c r="F33" s="65"/>
      <c r="G33" s="32" t="s">
        <v>35</v>
      </c>
      <c r="H33" s="32" t="s">
        <v>36</v>
      </c>
      <c r="I33" s="32" t="str">
        <f t="shared" si="34"/>
        <v>36 x 48</v>
      </c>
      <c r="J33" s="29" t="s">
        <v>37</v>
      </c>
      <c r="K33" s="106" t="s">
        <v>38</v>
      </c>
      <c r="L33" s="28">
        <v>0</v>
      </c>
      <c r="M33" s="28">
        <v>0</v>
      </c>
      <c r="N33" s="33">
        <v>36</v>
      </c>
      <c r="O33" s="33">
        <v>48</v>
      </c>
      <c r="P33" s="65" t="s">
        <v>39</v>
      </c>
      <c r="Q33" s="236">
        <f t="shared" si="2"/>
        <v>1728</v>
      </c>
      <c r="R33" s="237" t="e">
        <f>IF(J33="Rolled","N/A",IF(P33="4 Paper",MIN(N33:O33)+VLOOKUP("Picture "&amp;J33,#REF!,2,FALSE),IF(J33="Rolled","N/A",IF(J33="Roll","N/A",MIN(N33:O33)+VLOOKUP(J33,#REF!,2,FALSE)))))</f>
        <v>#REF!</v>
      </c>
      <c r="S33" s="237" t="e">
        <f>IF(J33="Rolled","N/A",IF(P33="4 Paper",MAX(N33:O33)+VLOOKUP("Picture "&amp;J33,#REF!,2,FALSE),IF(J33="Rolled","N/A",IF(J33="Roll","N/A",MAX(N33:O33)+VLOOKUP(J33,#REF!,2,FALSE)))))</f>
        <v>#REF!</v>
      </c>
      <c r="T33" s="238" t="e">
        <f t="shared" si="3"/>
        <v>#REF!</v>
      </c>
      <c r="U33" s="33" t="e">
        <f t="shared" si="4"/>
        <v>#REF!</v>
      </c>
      <c r="V33" s="32"/>
      <c r="W33" s="32"/>
      <c r="X33" s="239" t="e">
        <f t="shared" si="5"/>
        <v>#REF!</v>
      </c>
      <c r="Y33" s="33" t="s">
        <v>48</v>
      </c>
      <c r="Z33" s="140"/>
      <c r="AA33" s="140"/>
      <c r="AB33" s="140"/>
      <c r="AC33" s="240"/>
      <c r="AD33" s="140"/>
      <c r="AE33" s="140"/>
      <c r="AF33" s="241"/>
      <c r="AG33" s="106"/>
      <c r="AH33" s="106"/>
      <c r="AI33" s="106"/>
      <c r="AJ33" s="242"/>
      <c r="AK33" s="243"/>
      <c r="AL33" s="106"/>
      <c r="AM33" s="106"/>
      <c r="AN33" s="106"/>
      <c r="AO33" s="106"/>
      <c r="AP33" s="106"/>
      <c r="AQ33" s="242"/>
      <c r="AR33" s="244"/>
      <c r="AS33" s="106"/>
      <c r="AT33" s="106"/>
      <c r="AU33" s="106"/>
      <c r="AV33" s="106"/>
      <c r="AW33" s="106" t="e">
        <f t="shared" si="36"/>
        <v>#REF!</v>
      </c>
      <c r="AX33" s="242"/>
      <c r="AY33" s="244"/>
      <c r="AZ33" s="106"/>
      <c r="BA33" s="106"/>
      <c r="BB33" s="106"/>
      <c r="BC33" s="106"/>
      <c r="BD33" s="242"/>
      <c r="BE33" s="244"/>
      <c r="BF33" s="242"/>
      <c r="BG33" s="244">
        <v>5</v>
      </c>
      <c r="BH33" s="106">
        <v>5</v>
      </c>
      <c r="BI33" s="106"/>
    </row>
    <row r="34" spans="1:61" ht="13.15" x14ac:dyDescent="0.4">
      <c r="A34" s="232">
        <v>46265</v>
      </c>
      <c r="B34" s="233">
        <f t="shared" ca="1" si="0"/>
        <v>25</v>
      </c>
      <c r="C34" s="234"/>
      <c r="D34" s="235">
        <f t="shared" si="1"/>
        <v>46251</v>
      </c>
      <c r="E34" s="32"/>
      <c r="F34" s="65"/>
      <c r="G34" s="32" t="s">
        <v>35</v>
      </c>
      <c r="H34" s="32" t="s">
        <v>36</v>
      </c>
      <c r="I34" s="32" t="str">
        <f t="shared" si="34"/>
        <v>30 x 48</v>
      </c>
      <c r="J34" s="29" t="s">
        <v>37</v>
      </c>
      <c r="K34" s="106" t="s">
        <v>38</v>
      </c>
      <c r="L34" s="28">
        <v>0</v>
      </c>
      <c r="M34" s="28">
        <v>0</v>
      </c>
      <c r="N34" s="33">
        <v>30</v>
      </c>
      <c r="O34" s="33">
        <v>48</v>
      </c>
      <c r="P34" s="65" t="s">
        <v>39</v>
      </c>
      <c r="Q34" s="236">
        <f t="shared" si="2"/>
        <v>1440</v>
      </c>
      <c r="R34" s="237" t="e">
        <f>IF(J34="Rolled","N/A",IF(P34="4 Paper",MIN(N34:O34)+VLOOKUP("Picture "&amp;J34,#REF!,2,FALSE),IF(J34="Rolled","N/A",IF(J34="Roll","N/A",MIN(N34:O34)+VLOOKUP(J34,#REF!,2,FALSE)))))</f>
        <v>#REF!</v>
      </c>
      <c r="S34" s="237" t="e">
        <f>IF(J34="Rolled","N/A",IF(P34="4 Paper",MAX(N34:O34)+VLOOKUP("Picture "&amp;J34,#REF!,2,FALSE),IF(J34="Rolled","N/A",IF(J34="Roll","N/A",MAX(N34:O34)+VLOOKUP(J34,#REF!,2,FALSE)))))</f>
        <v>#REF!</v>
      </c>
      <c r="T34" s="238" t="e">
        <f t="shared" si="3"/>
        <v>#REF!</v>
      </c>
      <c r="U34" s="33" t="e">
        <f t="shared" si="4"/>
        <v>#REF!</v>
      </c>
      <c r="V34" s="32"/>
      <c r="W34" s="32"/>
      <c r="X34" s="239" t="e">
        <f t="shared" si="5"/>
        <v>#REF!</v>
      </c>
      <c r="Y34" s="33" t="s">
        <v>48</v>
      </c>
      <c r="Z34" s="140"/>
      <c r="AA34" s="140"/>
      <c r="AB34" s="140"/>
      <c r="AC34" s="240"/>
      <c r="AD34" s="140"/>
      <c r="AE34" s="140"/>
      <c r="AF34" s="241"/>
      <c r="AG34" s="106"/>
      <c r="AH34" s="106"/>
      <c r="AI34" s="106"/>
      <c r="AJ34" s="242"/>
      <c r="AK34" s="243"/>
      <c r="AL34" s="106"/>
      <c r="AM34" s="106"/>
      <c r="AN34" s="106"/>
      <c r="AO34" s="106"/>
      <c r="AP34" s="106"/>
      <c r="AQ34" s="242"/>
      <c r="AR34" s="244"/>
      <c r="AS34" s="106"/>
      <c r="AT34" s="106"/>
      <c r="AU34" s="106"/>
      <c r="AV34" s="106"/>
      <c r="AW34" s="106" t="e">
        <f t="shared" si="36"/>
        <v>#REF!</v>
      </c>
      <c r="AX34" s="242"/>
      <c r="AY34" s="244"/>
      <c r="AZ34" s="106"/>
      <c r="BA34" s="106"/>
      <c r="BB34" s="106"/>
      <c r="BC34" s="106"/>
      <c r="BD34" s="242"/>
      <c r="BE34" s="244"/>
      <c r="BF34" s="242"/>
      <c r="BG34" s="244">
        <v>5</v>
      </c>
      <c r="BH34" s="106">
        <v>5</v>
      </c>
      <c r="BI34" s="106"/>
    </row>
    <row r="35" spans="1:61" ht="13.15" x14ac:dyDescent="0.4">
      <c r="A35" s="232">
        <v>46265</v>
      </c>
      <c r="B35" s="233">
        <f t="shared" ca="1" si="0"/>
        <v>25</v>
      </c>
      <c r="C35" s="234"/>
      <c r="D35" s="235">
        <f t="shared" si="1"/>
        <v>46251</v>
      </c>
      <c r="E35" s="32"/>
      <c r="F35" s="65"/>
      <c r="G35" s="32" t="s">
        <v>35</v>
      </c>
      <c r="H35" s="32" t="s">
        <v>36</v>
      </c>
      <c r="I35" s="32" t="str">
        <f t="shared" si="34"/>
        <v>30 x 48</v>
      </c>
      <c r="J35" s="29" t="s">
        <v>37</v>
      </c>
      <c r="K35" s="106" t="s">
        <v>38</v>
      </c>
      <c r="L35" s="28">
        <v>0</v>
      </c>
      <c r="M35" s="28">
        <v>0</v>
      </c>
      <c r="N35" s="33">
        <v>30</v>
      </c>
      <c r="O35" s="33">
        <v>48</v>
      </c>
      <c r="P35" s="65" t="s">
        <v>39</v>
      </c>
      <c r="Q35" s="236">
        <f t="shared" si="2"/>
        <v>1440</v>
      </c>
      <c r="R35" s="237" t="e">
        <f>IF(J35="Rolled","N/A",IF(P35="4 Paper",MIN(N35:O35)+VLOOKUP("Picture "&amp;J35,#REF!,2,FALSE),IF(J35="Rolled","N/A",IF(J35="Roll","N/A",MIN(N35:O35)+VLOOKUP(J35,#REF!,2,FALSE)))))</f>
        <v>#REF!</v>
      </c>
      <c r="S35" s="237" t="e">
        <f>IF(J35="Rolled","N/A",IF(P35="4 Paper",MAX(N35:O35)+VLOOKUP("Picture "&amp;J35,#REF!,2,FALSE),IF(J35="Rolled","N/A",IF(J35="Roll","N/A",MAX(N35:O35)+VLOOKUP(J35,#REF!,2,FALSE)))))</f>
        <v>#REF!</v>
      </c>
      <c r="T35" s="238" t="e">
        <f t="shared" si="3"/>
        <v>#REF!</v>
      </c>
      <c r="U35" s="33" t="e">
        <f t="shared" si="4"/>
        <v>#REF!</v>
      </c>
      <c r="V35" s="32"/>
      <c r="W35" s="32"/>
      <c r="X35" s="239" t="e">
        <f t="shared" si="5"/>
        <v>#REF!</v>
      </c>
      <c r="Y35" s="33" t="s">
        <v>48</v>
      </c>
      <c r="Z35" s="140"/>
      <c r="AA35" s="140"/>
      <c r="AB35" s="140"/>
      <c r="AC35" s="240"/>
      <c r="AD35" s="140"/>
      <c r="AE35" s="140"/>
      <c r="AF35" s="241"/>
      <c r="AG35" s="106"/>
      <c r="AH35" s="106"/>
      <c r="AI35" s="106"/>
      <c r="AJ35" s="242"/>
      <c r="AK35" s="243"/>
      <c r="AL35" s="106"/>
      <c r="AM35" s="106"/>
      <c r="AN35" s="106"/>
      <c r="AO35" s="106"/>
      <c r="AP35" s="106"/>
      <c r="AQ35" s="242"/>
      <c r="AR35" s="244"/>
      <c r="AS35" s="106"/>
      <c r="AT35" s="106"/>
      <c r="AU35" s="106"/>
      <c r="AV35" s="106"/>
      <c r="AW35" s="106" t="e">
        <f t="shared" si="36"/>
        <v>#REF!</v>
      </c>
      <c r="AX35" s="242"/>
      <c r="AY35" s="244"/>
      <c r="AZ35" s="106"/>
      <c r="BA35" s="106"/>
      <c r="BB35" s="106"/>
      <c r="BC35" s="106"/>
      <c r="BD35" s="242"/>
      <c r="BE35" s="244"/>
      <c r="BF35" s="242"/>
      <c r="BG35" s="244">
        <v>5</v>
      </c>
      <c r="BH35" s="106">
        <v>5</v>
      </c>
      <c r="BI35" s="106"/>
    </row>
    <row r="36" spans="1:61" ht="13.15" x14ac:dyDescent="0.4">
      <c r="A36" s="232">
        <v>46265</v>
      </c>
      <c r="B36" s="233">
        <f t="shared" ca="1" si="0"/>
        <v>25</v>
      </c>
      <c r="C36" s="234"/>
      <c r="D36" s="235">
        <f t="shared" si="1"/>
        <v>46251</v>
      </c>
      <c r="E36" s="32"/>
      <c r="F36" s="65"/>
      <c r="G36" s="32" t="s">
        <v>35</v>
      </c>
      <c r="H36" s="32" t="s">
        <v>36</v>
      </c>
      <c r="I36" s="32" t="str">
        <f t="shared" si="34"/>
        <v>30 x 48</v>
      </c>
      <c r="J36" s="29" t="s">
        <v>37</v>
      </c>
      <c r="K36" s="106" t="s">
        <v>38</v>
      </c>
      <c r="L36" s="28">
        <v>0</v>
      </c>
      <c r="M36" s="28">
        <v>0</v>
      </c>
      <c r="N36" s="33">
        <v>30</v>
      </c>
      <c r="O36" s="33">
        <v>48</v>
      </c>
      <c r="P36" s="65" t="s">
        <v>39</v>
      </c>
      <c r="Q36" s="236">
        <f t="shared" si="2"/>
        <v>1440</v>
      </c>
      <c r="R36" s="237" t="e">
        <f>IF(J36="Rolled","N/A",IF(P36="4 Paper",MIN(N36:O36)+VLOOKUP("Picture "&amp;J36,#REF!,2,FALSE),IF(J36="Rolled","N/A",IF(J36="Roll","N/A",MIN(N36:O36)+VLOOKUP(J36,#REF!,2,FALSE)))))</f>
        <v>#REF!</v>
      </c>
      <c r="S36" s="237" t="e">
        <f>IF(J36="Rolled","N/A",IF(P36="4 Paper",MAX(N36:O36)+VLOOKUP("Picture "&amp;J36,#REF!,2,FALSE),IF(J36="Rolled","N/A",IF(J36="Roll","N/A",MAX(N36:O36)+VLOOKUP(J36,#REF!,2,FALSE)))))</f>
        <v>#REF!</v>
      </c>
      <c r="T36" s="238" t="e">
        <f t="shared" si="3"/>
        <v>#REF!</v>
      </c>
      <c r="U36" s="33" t="e">
        <f t="shared" si="4"/>
        <v>#REF!</v>
      </c>
      <c r="V36" s="32"/>
      <c r="W36" s="32"/>
      <c r="X36" s="239" t="e">
        <f t="shared" si="5"/>
        <v>#REF!</v>
      </c>
      <c r="Y36" s="33" t="s">
        <v>48</v>
      </c>
      <c r="Z36" s="140"/>
      <c r="AA36" s="140"/>
      <c r="AB36" s="140"/>
      <c r="AC36" s="240"/>
      <c r="AD36" s="140"/>
      <c r="AE36" s="140"/>
      <c r="AF36" s="241"/>
      <c r="AG36" s="106"/>
      <c r="AH36" s="106"/>
      <c r="AI36" s="106"/>
      <c r="AJ36" s="242"/>
      <c r="AK36" s="243"/>
      <c r="AL36" s="106"/>
      <c r="AM36" s="106"/>
      <c r="AN36" s="106"/>
      <c r="AO36" s="106"/>
      <c r="AP36" s="106"/>
      <c r="AQ36" s="242"/>
      <c r="AR36" s="244"/>
      <c r="AS36" s="106"/>
      <c r="AT36" s="106"/>
      <c r="AU36" s="106"/>
      <c r="AV36" s="106"/>
      <c r="AW36" s="106" t="e">
        <f t="shared" si="36"/>
        <v>#REF!</v>
      </c>
      <c r="AX36" s="242"/>
      <c r="AY36" s="244"/>
      <c r="AZ36" s="106"/>
      <c r="BA36" s="106"/>
      <c r="BB36" s="106"/>
      <c r="BC36" s="106"/>
      <c r="BD36" s="242"/>
      <c r="BE36" s="244"/>
      <c r="BF36" s="242"/>
      <c r="BG36" s="244">
        <v>5</v>
      </c>
      <c r="BH36" s="106">
        <v>5</v>
      </c>
      <c r="BI36" s="106"/>
    </row>
    <row r="37" spans="1:61" ht="13.15" x14ac:dyDescent="0.4">
      <c r="A37" s="232">
        <v>46265</v>
      </c>
      <c r="B37" s="233">
        <f t="shared" ca="1" si="0"/>
        <v>25</v>
      </c>
      <c r="C37" s="234"/>
      <c r="D37" s="235">
        <f t="shared" si="1"/>
        <v>46251</v>
      </c>
      <c r="E37" s="32"/>
      <c r="F37" s="65"/>
      <c r="G37" s="32" t="s">
        <v>35</v>
      </c>
      <c r="H37" s="32" t="s">
        <v>36</v>
      </c>
      <c r="I37" s="32" t="str">
        <f t="shared" si="34"/>
        <v>30 x 48</v>
      </c>
      <c r="J37" s="29" t="s">
        <v>37</v>
      </c>
      <c r="K37" s="106" t="s">
        <v>38</v>
      </c>
      <c r="L37" s="28">
        <v>0</v>
      </c>
      <c r="M37" s="28">
        <v>0</v>
      </c>
      <c r="N37" s="33">
        <v>30</v>
      </c>
      <c r="O37" s="33">
        <v>48</v>
      </c>
      <c r="P37" s="65" t="s">
        <v>39</v>
      </c>
      <c r="Q37" s="236">
        <f t="shared" si="2"/>
        <v>1440</v>
      </c>
      <c r="R37" s="237" t="e">
        <f>IF(J37="Rolled","N/A",IF(P37="4 Paper",MIN(N37:O37)+VLOOKUP("Picture "&amp;J37,#REF!,2,FALSE),IF(J37="Rolled","N/A",IF(J37="Roll","N/A",MIN(N37:O37)+VLOOKUP(J37,#REF!,2,FALSE)))))</f>
        <v>#REF!</v>
      </c>
      <c r="S37" s="237" t="e">
        <f>IF(J37="Rolled","N/A",IF(P37="4 Paper",MAX(N37:O37)+VLOOKUP("Picture "&amp;J37,#REF!,2,FALSE),IF(J37="Rolled","N/A",IF(J37="Roll","N/A",MAX(N37:O37)+VLOOKUP(J37,#REF!,2,FALSE)))))</f>
        <v>#REF!</v>
      </c>
      <c r="T37" s="238" t="e">
        <f t="shared" si="3"/>
        <v>#REF!</v>
      </c>
      <c r="U37" s="33" t="e">
        <f t="shared" si="4"/>
        <v>#REF!</v>
      </c>
      <c r="V37" s="32"/>
      <c r="W37" s="32"/>
      <c r="X37" s="239" t="e">
        <f t="shared" si="5"/>
        <v>#REF!</v>
      </c>
      <c r="Y37" s="33" t="s">
        <v>48</v>
      </c>
      <c r="Z37" s="140"/>
      <c r="AA37" s="140"/>
      <c r="AB37" s="140"/>
      <c r="AC37" s="240"/>
      <c r="AD37" s="140"/>
      <c r="AE37" s="140"/>
      <c r="AF37" s="241"/>
      <c r="AG37" s="106"/>
      <c r="AH37" s="106"/>
      <c r="AI37" s="106"/>
      <c r="AJ37" s="242"/>
      <c r="AK37" s="243"/>
      <c r="AL37" s="106"/>
      <c r="AM37" s="106"/>
      <c r="AN37" s="106"/>
      <c r="AO37" s="106"/>
      <c r="AP37" s="106"/>
      <c r="AQ37" s="242"/>
      <c r="AR37" s="244"/>
      <c r="AS37" s="106"/>
      <c r="AT37" s="106"/>
      <c r="AU37" s="106"/>
      <c r="AV37" s="106"/>
      <c r="AW37" s="106" t="e">
        <f t="shared" si="36"/>
        <v>#REF!</v>
      </c>
      <c r="AX37" s="242"/>
      <c r="AY37" s="244"/>
      <c r="AZ37" s="106"/>
      <c r="BA37" s="106"/>
      <c r="BB37" s="106"/>
      <c r="BC37" s="106"/>
      <c r="BD37" s="242"/>
      <c r="BE37" s="244"/>
      <c r="BF37" s="242"/>
      <c r="BG37" s="244">
        <v>5</v>
      </c>
      <c r="BH37" s="106">
        <v>5</v>
      </c>
      <c r="BI37" s="106"/>
    </row>
    <row r="38" spans="1:61" ht="13.15" x14ac:dyDescent="0.4">
      <c r="A38" s="232">
        <v>46265</v>
      </c>
      <c r="B38" s="233">
        <f t="shared" ca="1" si="0"/>
        <v>25</v>
      </c>
      <c r="C38" s="234"/>
      <c r="D38" s="235">
        <f t="shared" si="1"/>
        <v>46251</v>
      </c>
      <c r="E38" s="32"/>
      <c r="F38" s="65"/>
      <c r="G38" s="32" t="s">
        <v>35</v>
      </c>
      <c r="H38" s="32" t="s">
        <v>36</v>
      </c>
      <c r="I38" s="32" t="str">
        <f t="shared" si="34"/>
        <v>28 x 36</v>
      </c>
      <c r="J38" s="29" t="s">
        <v>37</v>
      </c>
      <c r="K38" s="106" t="s">
        <v>38</v>
      </c>
      <c r="L38" s="28">
        <v>0</v>
      </c>
      <c r="M38" s="28">
        <v>0</v>
      </c>
      <c r="N38" s="33">
        <v>28</v>
      </c>
      <c r="O38" s="33">
        <v>36</v>
      </c>
      <c r="P38" s="65" t="s">
        <v>39</v>
      </c>
      <c r="Q38" s="236">
        <f t="shared" si="2"/>
        <v>1008</v>
      </c>
      <c r="R38" s="237" t="e">
        <f>IF(J38="Rolled","N/A",IF(P38="4 Paper",MIN(N38:O38)+VLOOKUP("Picture "&amp;J38,#REF!,2,FALSE),IF(J38="Rolled","N/A",IF(J38="Roll","N/A",MIN(N38:O38)+VLOOKUP(J38,#REF!,2,FALSE)))))</f>
        <v>#REF!</v>
      </c>
      <c r="S38" s="237" t="e">
        <f>IF(J38="Rolled","N/A",IF(P38="4 Paper",MAX(N38:O38)+VLOOKUP("Picture "&amp;J38,#REF!,2,FALSE),IF(J38="Rolled","N/A",IF(J38="Roll","N/A",MAX(N38:O38)+VLOOKUP(J38,#REF!,2,FALSE)))))</f>
        <v>#REF!</v>
      </c>
      <c r="T38" s="238" t="e">
        <f t="shared" si="3"/>
        <v>#REF!</v>
      </c>
      <c r="U38" s="33" t="e">
        <f t="shared" si="4"/>
        <v>#REF!</v>
      </c>
      <c r="V38" s="32"/>
      <c r="W38" s="32"/>
      <c r="X38" s="239" t="e">
        <f t="shared" si="5"/>
        <v>#REF!</v>
      </c>
      <c r="Y38" s="33" t="s">
        <v>48</v>
      </c>
      <c r="Z38" s="140"/>
      <c r="AA38" s="140"/>
      <c r="AB38" s="140"/>
      <c r="AC38" s="240"/>
      <c r="AD38" s="140"/>
      <c r="AE38" s="140"/>
      <c r="AF38" s="241"/>
      <c r="AG38" s="106"/>
      <c r="AH38" s="106"/>
      <c r="AI38" s="106"/>
      <c r="AJ38" s="242"/>
      <c r="AK38" s="243"/>
      <c r="AL38" s="106"/>
      <c r="AM38" s="106"/>
      <c r="AN38" s="106"/>
      <c r="AO38" s="106"/>
      <c r="AP38" s="106"/>
      <c r="AQ38" s="242"/>
      <c r="AR38" s="244"/>
      <c r="AS38" s="106"/>
      <c r="AT38" s="106"/>
      <c r="AU38" s="106"/>
      <c r="AV38" s="106"/>
      <c r="AW38" s="106" t="e">
        <f t="shared" si="36"/>
        <v>#REF!</v>
      </c>
      <c r="AX38" s="242"/>
      <c r="AY38" s="244"/>
      <c r="AZ38" s="106"/>
      <c r="BA38" s="106"/>
      <c r="BB38" s="106"/>
      <c r="BC38" s="106"/>
      <c r="BD38" s="242"/>
      <c r="BE38" s="244"/>
      <c r="BF38" s="242"/>
      <c r="BG38" s="244">
        <v>5</v>
      </c>
      <c r="BH38" s="106">
        <v>5</v>
      </c>
      <c r="BI38" s="106"/>
    </row>
    <row r="39" spans="1:61" ht="13.15" x14ac:dyDescent="0.4">
      <c r="A39" s="232">
        <v>46265</v>
      </c>
      <c r="B39" s="233">
        <f t="shared" ca="1" si="0"/>
        <v>25</v>
      </c>
      <c r="C39" s="234"/>
      <c r="D39" s="235">
        <f t="shared" si="1"/>
        <v>46251</v>
      </c>
      <c r="E39" s="32"/>
      <c r="F39" s="65"/>
      <c r="G39" s="32" t="s">
        <v>35</v>
      </c>
      <c r="H39" s="32" t="s">
        <v>36</v>
      </c>
      <c r="I39" s="32" t="str">
        <f t="shared" si="34"/>
        <v>28 x 36</v>
      </c>
      <c r="J39" s="29" t="s">
        <v>37</v>
      </c>
      <c r="K39" s="106" t="s">
        <v>38</v>
      </c>
      <c r="L39" s="28">
        <v>0</v>
      </c>
      <c r="M39" s="28">
        <v>0</v>
      </c>
      <c r="N39" s="33">
        <v>28</v>
      </c>
      <c r="O39" s="33">
        <v>36</v>
      </c>
      <c r="P39" s="65" t="s">
        <v>39</v>
      </c>
      <c r="Q39" s="236">
        <f t="shared" si="2"/>
        <v>1008</v>
      </c>
      <c r="R39" s="237" t="e">
        <f>IF(J39="Rolled","N/A",IF(P39="4 Paper",MIN(N39:O39)+VLOOKUP("Picture "&amp;J39,#REF!,2,FALSE),IF(J39="Rolled","N/A",IF(J39="Roll","N/A",MIN(N39:O39)+VLOOKUP(J39,#REF!,2,FALSE)))))</f>
        <v>#REF!</v>
      </c>
      <c r="S39" s="237" t="e">
        <f>IF(J39="Rolled","N/A",IF(P39="4 Paper",MAX(N39:O39)+VLOOKUP("Picture "&amp;J39,#REF!,2,FALSE),IF(J39="Rolled","N/A",IF(J39="Roll","N/A",MAX(N39:O39)+VLOOKUP(J39,#REF!,2,FALSE)))))</f>
        <v>#REF!</v>
      </c>
      <c r="T39" s="238" t="e">
        <f t="shared" si="3"/>
        <v>#REF!</v>
      </c>
      <c r="U39" s="33" t="e">
        <f t="shared" si="4"/>
        <v>#REF!</v>
      </c>
      <c r="V39" s="32"/>
      <c r="W39" s="32"/>
      <c r="X39" s="239" t="e">
        <f t="shared" si="5"/>
        <v>#REF!</v>
      </c>
      <c r="Y39" s="33" t="s">
        <v>48</v>
      </c>
      <c r="Z39" s="140"/>
      <c r="AA39" s="140"/>
      <c r="AB39" s="140"/>
      <c r="AC39" s="240"/>
      <c r="AD39" s="140"/>
      <c r="AE39" s="140"/>
      <c r="AF39" s="241"/>
      <c r="AG39" s="106"/>
      <c r="AH39" s="106"/>
      <c r="AI39" s="106"/>
      <c r="AJ39" s="242"/>
      <c r="AK39" s="243"/>
      <c r="AL39" s="106"/>
      <c r="AM39" s="106"/>
      <c r="AN39" s="106"/>
      <c r="AO39" s="106"/>
      <c r="AP39" s="106"/>
      <c r="AQ39" s="242"/>
      <c r="AR39" s="244"/>
      <c r="AS39" s="106"/>
      <c r="AT39" s="106"/>
      <c r="AU39" s="106"/>
      <c r="AV39" s="106"/>
      <c r="AW39" s="106" t="e">
        <f t="shared" si="36"/>
        <v>#REF!</v>
      </c>
      <c r="AX39" s="242"/>
      <c r="AY39" s="244"/>
      <c r="AZ39" s="106"/>
      <c r="BA39" s="106"/>
      <c r="BB39" s="106"/>
      <c r="BC39" s="106"/>
      <c r="BD39" s="242"/>
      <c r="BE39" s="244"/>
      <c r="BF39" s="242"/>
      <c r="BG39" s="244">
        <v>5</v>
      </c>
      <c r="BH39" s="106">
        <v>5</v>
      </c>
      <c r="BI39" s="106"/>
    </row>
    <row r="40" spans="1:61" ht="13.15" x14ac:dyDescent="0.4">
      <c r="A40" s="232">
        <v>46265</v>
      </c>
      <c r="B40" s="233">
        <f t="shared" ca="1" si="0"/>
        <v>25</v>
      </c>
      <c r="C40" s="234"/>
      <c r="D40" s="235">
        <f t="shared" si="1"/>
        <v>46251</v>
      </c>
      <c r="E40" s="32"/>
      <c r="F40" s="65"/>
      <c r="G40" s="32" t="s">
        <v>856</v>
      </c>
      <c r="H40" s="32" t="s">
        <v>36</v>
      </c>
      <c r="I40" s="32" t="str">
        <f t="shared" si="34"/>
        <v>24 x 30</v>
      </c>
      <c r="J40" s="29" t="s">
        <v>37</v>
      </c>
      <c r="K40" s="106" t="s">
        <v>38</v>
      </c>
      <c r="L40" s="28">
        <v>0</v>
      </c>
      <c r="M40" s="28">
        <v>0</v>
      </c>
      <c r="N40" s="33">
        <v>24</v>
      </c>
      <c r="O40" s="33">
        <v>30</v>
      </c>
      <c r="P40" s="65" t="s">
        <v>39</v>
      </c>
      <c r="Q40" s="236">
        <f t="shared" si="2"/>
        <v>720</v>
      </c>
      <c r="R40" s="245" t="e">
        <f>IF(J40="Rolled","N/A",IF(J40="Roll","N/A",MIN(N40:O40)+VLOOKUP(J40,#REF!,2,FALSE)))</f>
        <v>#REF!</v>
      </c>
      <c r="S40" s="245" t="e">
        <f>IF(R40="N/A","N/A",MAX(N40:O40)+VLOOKUP(J40,#REF!,2,FALSE))</f>
        <v>#REF!</v>
      </c>
      <c r="T40" s="238" t="e">
        <f t="shared" si="3"/>
        <v>#REF!</v>
      </c>
      <c r="U40" s="33" t="e">
        <f t="shared" si="4"/>
        <v>#REF!</v>
      </c>
      <c r="V40" s="23"/>
      <c r="W40" s="32"/>
      <c r="X40" s="239">
        <f t="shared" si="5"/>
        <v>4.4444444444444446E-2</v>
      </c>
      <c r="Y40" s="33" t="s">
        <v>48</v>
      </c>
      <c r="Z40" s="140"/>
      <c r="AA40" s="140"/>
      <c r="AB40" s="246"/>
      <c r="AC40" s="246"/>
      <c r="AD40" s="140"/>
      <c r="AE40" s="140"/>
      <c r="AF40" s="247"/>
      <c r="AG40" s="106"/>
      <c r="AH40" s="106"/>
      <c r="AI40" s="106"/>
      <c r="AJ40" s="242"/>
      <c r="AK40" s="243"/>
      <c r="AL40" s="106"/>
      <c r="AM40" s="106"/>
      <c r="AN40" s="106"/>
      <c r="AO40" s="106"/>
      <c r="AP40" s="106"/>
      <c r="AQ40" s="242"/>
      <c r="AR40" s="244"/>
      <c r="AS40" s="106"/>
      <c r="AT40" s="106"/>
      <c r="AU40" s="106"/>
      <c r="AV40" s="106"/>
      <c r="AW40" s="106"/>
      <c r="AX40" s="242"/>
      <c r="AY40" s="244">
        <v>7.8</v>
      </c>
      <c r="AZ40" s="106">
        <v>11.3</v>
      </c>
      <c r="BA40" s="106">
        <v>9.4</v>
      </c>
      <c r="BB40" s="106">
        <v>11.3</v>
      </c>
      <c r="BC40" s="106">
        <v>7.5</v>
      </c>
      <c r="BD40" s="242">
        <v>6.7</v>
      </c>
      <c r="BE40" s="244"/>
      <c r="BF40" s="242"/>
      <c r="BG40" s="244">
        <v>5</v>
      </c>
      <c r="BH40" s="106">
        <v>5</v>
      </c>
      <c r="BI40" s="106"/>
    </row>
    <row r="41" spans="1:61" ht="13.15" x14ac:dyDescent="0.4">
      <c r="A41" s="232">
        <v>46265</v>
      </c>
      <c r="B41" s="233">
        <f t="shared" ca="1" si="0"/>
        <v>25</v>
      </c>
      <c r="C41" s="32"/>
      <c r="D41" s="235">
        <f t="shared" si="1"/>
        <v>46251</v>
      </c>
      <c r="E41" s="106"/>
      <c r="F41" s="65"/>
      <c r="G41" s="32" t="s">
        <v>35</v>
      </c>
      <c r="H41" s="32" t="s">
        <v>36</v>
      </c>
      <c r="I41" s="32" t="str">
        <f t="shared" si="34"/>
        <v>24 x 37</v>
      </c>
      <c r="J41" s="29" t="s">
        <v>53</v>
      </c>
      <c r="K41" s="106" t="s">
        <v>38</v>
      </c>
      <c r="L41" s="28">
        <v>0</v>
      </c>
      <c r="M41" s="28">
        <v>0</v>
      </c>
      <c r="N41" s="32">
        <v>24</v>
      </c>
      <c r="O41" s="32">
        <v>37</v>
      </c>
      <c r="P41" s="65" t="s">
        <v>39</v>
      </c>
      <c r="Q41" s="236">
        <f t="shared" si="2"/>
        <v>888</v>
      </c>
      <c r="R41" s="237" t="e">
        <f>IF(J41="Rolled","N/A",IF(P41="4 Paper",MIN(N41:O41)+VLOOKUP("Picture "&amp;J41,#REF!,2,FALSE),IF(J41="Rolled","N/A",IF(J41="Roll","N/A",MIN(N41:O41)+VLOOKUP(J41,#REF!,2,FALSE)))))</f>
        <v>#REF!</v>
      </c>
      <c r="S41" s="237" t="e">
        <f>IF(J41="Rolled","N/A",IF(P41="4 Paper",MAX(N41:O41)+VLOOKUP("Picture "&amp;J41,#REF!,2,FALSE),IF(J41="Rolled","N/A",IF(J41="Roll","N/A",MAX(N41:O41)+VLOOKUP(J41,#REF!,2,FALSE)))))</f>
        <v>#REF!</v>
      </c>
      <c r="T41" s="238" t="e">
        <f t="shared" si="3"/>
        <v>#REF!</v>
      </c>
      <c r="U41" s="33" t="e">
        <f t="shared" si="4"/>
        <v>#REF!</v>
      </c>
      <c r="V41" s="32"/>
      <c r="W41" s="32"/>
      <c r="X41" s="239" t="e">
        <f t="shared" si="5"/>
        <v>#REF!</v>
      </c>
      <c r="Y41" s="33" t="s">
        <v>48</v>
      </c>
      <c r="Z41" s="140"/>
      <c r="AA41" s="140"/>
      <c r="AB41" s="140"/>
      <c r="AC41" s="240"/>
      <c r="AD41" s="140"/>
      <c r="AE41" s="140"/>
      <c r="AF41" s="241"/>
      <c r="AG41" s="106"/>
      <c r="AH41" s="106"/>
      <c r="AI41" s="106"/>
      <c r="AJ41" s="242"/>
      <c r="AK41" s="243"/>
      <c r="AL41" s="106"/>
      <c r="AM41" s="106"/>
      <c r="AN41" s="106"/>
      <c r="AO41" s="106"/>
      <c r="AP41" s="106"/>
      <c r="AQ41" s="242"/>
      <c r="AR41" s="244"/>
      <c r="AS41" s="106"/>
      <c r="AT41" s="106"/>
      <c r="AU41" s="106"/>
      <c r="AV41" s="106"/>
      <c r="AW41" s="106" t="e">
        <f t="shared" ref="AW41:AW51" si="37">IF(P41="0 Cnvs","X",IF(P41="1 Orig","X",IF(P41="2 3D","X",IF(P41="1 Orig","X",IF(J41="Rolled","X",SCP)))))</f>
        <v>#REF!</v>
      </c>
      <c r="AX41" s="242"/>
      <c r="AY41" s="244"/>
      <c r="AZ41" s="106"/>
      <c r="BA41" s="106"/>
      <c r="BB41" s="106"/>
      <c r="BC41" s="106"/>
      <c r="BD41" s="242"/>
      <c r="BE41" s="244"/>
      <c r="BF41" s="242"/>
      <c r="BG41" s="244">
        <v>5</v>
      </c>
      <c r="BH41" s="106">
        <v>5</v>
      </c>
      <c r="BI41" s="106"/>
    </row>
    <row r="42" spans="1:61" ht="13.15" x14ac:dyDescent="0.4">
      <c r="A42" s="232">
        <v>46265</v>
      </c>
      <c r="B42" s="233">
        <f t="shared" ca="1" si="0"/>
        <v>25</v>
      </c>
      <c r="C42" s="32"/>
      <c r="D42" s="235">
        <f t="shared" si="1"/>
        <v>46251</v>
      </c>
      <c r="E42" s="106"/>
      <c r="F42" s="65"/>
      <c r="G42" s="32" t="s">
        <v>35</v>
      </c>
      <c r="H42" s="32" t="s">
        <v>36</v>
      </c>
      <c r="I42" s="32" t="str">
        <f t="shared" si="34"/>
        <v>24 x 48</v>
      </c>
      <c r="J42" s="29" t="s">
        <v>53</v>
      </c>
      <c r="K42" s="106" t="s">
        <v>38</v>
      </c>
      <c r="L42" s="28">
        <v>0</v>
      </c>
      <c r="M42" s="28">
        <v>0</v>
      </c>
      <c r="N42" s="32">
        <v>24</v>
      </c>
      <c r="O42" s="32">
        <v>48</v>
      </c>
      <c r="P42" s="65" t="s">
        <v>39</v>
      </c>
      <c r="Q42" s="236">
        <f t="shared" si="2"/>
        <v>1152</v>
      </c>
      <c r="R42" s="237" t="e">
        <f>IF(J42="Rolled","N/A",IF(P42="4 Paper",MIN(N42:O42)+VLOOKUP("Picture "&amp;J42,#REF!,2,FALSE),IF(J42="Rolled","N/A",IF(J42="Roll","N/A",MIN(N42:O42)+VLOOKUP(J42,#REF!,2,FALSE)))))</f>
        <v>#REF!</v>
      </c>
      <c r="S42" s="237" t="e">
        <f>IF(J42="Rolled","N/A",IF(P42="4 Paper",MAX(N42:O42)+VLOOKUP("Picture "&amp;J42,#REF!,2,FALSE),IF(J42="Rolled","N/A",IF(J42="Roll","N/A",MAX(N42:O42)+VLOOKUP(J42,#REF!,2,FALSE)))))</f>
        <v>#REF!</v>
      </c>
      <c r="T42" s="238" t="e">
        <f t="shared" si="3"/>
        <v>#REF!</v>
      </c>
      <c r="U42" s="33" t="e">
        <f t="shared" si="4"/>
        <v>#REF!</v>
      </c>
      <c r="V42" s="32"/>
      <c r="W42" s="32"/>
      <c r="X42" s="239" t="e">
        <f t="shared" si="5"/>
        <v>#REF!</v>
      </c>
      <c r="Y42" s="33" t="s">
        <v>48</v>
      </c>
      <c r="Z42" s="140"/>
      <c r="AA42" s="140"/>
      <c r="AB42" s="140"/>
      <c r="AC42" s="240"/>
      <c r="AD42" s="140"/>
      <c r="AE42" s="140"/>
      <c r="AF42" s="241"/>
      <c r="AG42" s="106"/>
      <c r="AH42" s="106"/>
      <c r="AI42" s="106"/>
      <c r="AJ42" s="242"/>
      <c r="AK42" s="243"/>
      <c r="AL42" s="106"/>
      <c r="AM42" s="106"/>
      <c r="AN42" s="106"/>
      <c r="AO42" s="106"/>
      <c r="AP42" s="106"/>
      <c r="AQ42" s="242"/>
      <c r="AR42" s="244"/>
      <c r="AS42" s="106"/>
      <c r="AT42" s="106"/>
      <c r="AU42" s="106"/>
      <c r="AV42" s="106"/>
      <c r="AW42" s="106" t="e">
        <f t="shared" si="37"/>
        <v>#REF!</v>
      </c>
      <c r="AX42" s="242"/>
      <c r="AY42" s="244"/>
      <c r="AZ42" s="106"/>
      <c r="BA42" s="106"/>
      <c r="BB42" s="106"/>
      <c r="BC42" s="106"/>
      <c r="BD42" s="242"/>
      <c r="BE42" s="244"/>
      <c r="BF42" s="242"/>
      <c r="BG42" s="244">
        <v>5</v>
      </c>
      <c r="BH42" s="106">
        <v>5</v>
      </c>
      <c r="BI42" s="106"/>
    </row>
    <row r="43" spans="1:61" ht="13.15" x14ac:dyDescent="0.4">
      <c r="A43" s="232">
        <v>46265</v>
      </c>
      <c r="B43" s="233">
        <f t="shared" ca="1" si="0"/>
        <v>25</v>
      </c>
      <c r="C43" s="32"/>
      <c r="D43" s="235">
        <f t="shared" si="1"/>
        <v>46251</v>
      </c>
      <c r="E43" s="106"/>
      <c r="F43" s="65"/>
      <c r="G43" s="32" t="s">
        <v>35</v>
      </c>
      <c r="H43" s="32" t="s">
        <v>36</v>
      </c>
      <c r="I43" s="32" t="str">
        <f t="shared" si="34"/>
        <v>22 x 36</v>
      </c>
      <c r="J43" s="29" t="s">
        <v>53</v>
      </c>
      <c r="K43" s="106" t="s">
        <v>38</v>
      </c>
      <c r="L43" s="28">
        <v>0</v>
      </c>
      <c r="M43" s="28">
        <v>0</v>
      </c>
      <c r="N43" s="32">
        <v>22</v>
      </c>
      <c r="O43" s="32">
        <v>36</v>
      </c>
      <c r="P43" s="65" t="s">
        <v>39</v>
      </c>
      <c r="Q43" s="236">
        <f t="shared" si="2"/>
        <v>792</v>
      </c>
      <c r="R43" s="237" t="e">
        <f>IF(J43="Rolled","N/A",IF(P43="4 Paper",MIN(N43:O43)+VLOOKUP("Picture "&amp;J43,#REF!,2,FALSE),IF(J43="Rolled","N/A",IF(J43="Roll","N/A",MIN(N43:O43)+VLOOKUP(J43,#REF!,2,FALSE)))))</f>
        <v>#REF!</v>
      </c>
      <c r="S43" s="237" t="e">
        <f>IF(J43="Rolled","N/A",IF(P43="4 Paper",MAX(N43:O43)+VLOOKUP("Picture "&amp;J43,#REF!,2,FALSE),IF(J43="Rolled","N/A",IF(J43="Roll","N/A",MAX(N43:O43)+VLOOKUP(J43,#REF!,2,FALSE)))))</f>
        <v>#REF!</v>
      </c>
      <c r="T43" s="238" t="e">
        <f t="shared" si="3"/>
        <v>#REF!</v>
      </c>
      <c r="U43" s="33" t="e">
        <f t="shared" si="4"/>
        <v>#REF!</v>
      </c>
      <c r="V43" s="32"/>
      <c r="W43" s="32"/>
      <c r="X43" s="239" t="e">
        <f t="shared" si="5"/>
        <v>#REF!</v>
      </c>
      <c r="Y43" s="33" t="s">
        <v>48</v>
      </c>
      <c r="Z43" s="140"/>
      <c r="AA43" s="140"/>
      <c r="AB43" s="140"/>
      <c r="AC43" s="240"/>
      <c r="AD43" s="140"/>
      <c r="AE43" s="140"/>
      <c r="AF43" s="241"/>
      <c r="AG43" s="106"/>
      <c r="AH43" s="106"/>
      <c r="AI43" s="106"/>
      <c r="AJ43" s="242"/>
      <c r="AK43" s="243"/>
      <c r="AL43" s="106"/>
      <c r="AM43" s="106"/>
      <c r="AN43" s="106"/>
      <c r="AO43" s="106"/>
      <c r="AP43" s="106"/>
      <c r="AQ43" s="242"/>
      <c r="AR43" s="244"/>
      <c r="AS43" s="106"/>
      <c r="AT43" s="106"/>
      <c r="AU43" s="106"/>
      <c r="AV43" s="106"/>
      <c r="AW43" s="106" t="e">
        <f t="shared" si="37"/>
        <v>#REF!</v>
      </c>
      <c r="AX43" s="242"/>
      <c r="AY43" s="244"/>
      <c r="AZ43" s="106"/>
      <c r="BA43" s="106"/>
      <c r="BB43" s="106"/>
      <c r="BC43" s="106"/>
      <c r="BD43" s="242"/>
      <c r="BE43" s="244"/>
      <c r="BF43" s="242"/>
      <c r="BG43" s="244">
        <v>5</v>
      </c>
      <c r="BH43" s="106">
        <v>5</v>
      </c>
      <c r="BI43" s="106"/>
    </row>
    <row r="44" spans="1:61" ht="13.15" x14ac:dyDescent="0.4">
      <c r="A44" s="232">
        <v>46265</v>
      </c>
      <c r="B44" s="233">
        <f t="shared" ca="1" si="0"/>
        <v>25</v>
      </c>
      <c r="C44" s="32"/>
      <c r="D44" s="235">
        <f t="shared" si="1"/>
        <v>46251</v>
      </c>
      <c r="E44" s="106"/>
      <c r="F44" s="65"/>
      <c r="G44" s="32" t="s">
        <v>35</v>
      </c>
      <c r="H44" s="32" t="s">
        <v>36</v>
      </c>
      <c r="I44" s="32" t="str">
        <f t="shared" si="34"/>
        <v>24 x 28</v>
      </c>
      <c r="J44" s="29" t="s">
        <v>53</v>
      </c>
      <c r="K44" s="106" t="s">
        <v>38</v>
      </c>
      <c r="L44" s="28">
        <v>0</v>
      </c>
      <c r="M44" s="28">
        <v>0</v>
      </c>
      <c r="N44" s="32">
        <v>24</v>
      </c>
      <c r="O44" s="32">
        <v>28</v>
      </c>
      <c r="P44" s="65" t="s">
        <v>39</v>
      </c>
      <c r="Q44" s="236">
        <f t="shared" si="2"/>
        <v>672</v>
      </c>
      <c r="R44" s="237" t="e">
        <f>IF(J44="Rolled","N/A",IF(P44="4 Paper",MIN(N44:O44)+VLOOKUP("Picture "&amp;J44,#REF!,2,FALSE),IF(J44="Rolled","N/A",IF(J44="Roll","N/A",MIN(N44:O44)+VLOOKUP(J44,#REF!,2,FALSE)))))</f>
        <v>#REF!</v>
      </c>
      <c r="S44" s="237" t="e">
        <f>IF(J44="Rolled","N/A",IF(P44="4 Paper",MAX(N44:O44)+VLOOKUP("Picture "&amp;J44,#REF!,2,FALSE),IF(J44="Rolled","N/A",IF(J44="Roll","N/A",MAX(N44:O44)+VLOOKUP(J44,#REF!,2,FALSE)))))</f>
        <v>#REF!</v>
      </c>
      <c r="T44" s="238" t="e">
        <f t="shared" si="3"/>
        <v>#REF!</v>
      </c>
      <c r="U44" s="33" t="e">
        <f t="shared" si="4"/>
        <v>#REF!</v>
      </c>
      <c r="V44" s="32"/>
      <c r="W44" s="32"/>
      <c r="X44" s="239" t="e">
        <f t="shared" si="5"/>
        <v>#REF!</v>
      </c>
      <c r="Y44" s="33" t="s">
        <v>48</v>
      </c>
      <c r="Z44" s="140"/>
      <c r="AA44" s="140"/>
      <c r="AB44" s="140"/>
      <c r="AC44" s="240"/>
      <c r="AD44" s="140"/>
      <c r="AE44" s="140"/>
      <c r="AF44" s="241"/>
      <c r="AG44" s="106"/>
      <c r="AH44" s="106"/>
      <c r="AI44" s="106"/>
      <c r="AJ44" s="242"/>
      <c r="AK44" s="243"/>
      <c r="AL44" s="106"/>
      <c r="AM44" s="106"/>
      <c r="AN44" s="106"/>
      <c r="AO44" s="106"/>
      <c r="AP44" s="106"/>
      <c r="AQ44" s="242"/>
      <c r="AR44" s="244"/>
      <c r="AS44" s="106"/>
      <c r="AT44" s="106"/>
      <c r="AU44" s="106"/>
      <c r="AV44" s="106"/>
      <c r="AW44" s="106" t="e">
        <f t="shared" si="37"/>
        <v>#REF!</v>
      </c>
      <c r="AX44" s="242"/>
      <c r="AY44" s="244"/>
      <c r="AZ44" s="106"/>
      <c r="BA44" s="106"/>
      <c r="BB44" s="106"/>
      <c r="BC44" s="106"/>
      <c r="BD44" s="242"/>
      <c r="BE44" s="244"/>
      <c r="BF44" s="242"/>
      <c r="BG44" s="244">
        <v>5</v>
      </c>
      <c r="BH44" s="106">
        <v>5</v>
      </c>
      <c r="BI44" s="106"/>
    </row>
    <row r="45" spans="1:61" ht="13.15" x14ac:dyDescent="0.4">
      <c r="A45" s="232">
        <v>46265</v>
      </c>
      <c r="B45" s="233">
        <f t="shared" ca="1" si="0"/>
        <v>25</v>
      </c>
      <c r="C45" s="32"/>
      <c r="D45" s="235">
        <f t="shared" si="1"/>
        <v>46251</v>
      </c>
      <c r="E45" s="106"/>
      <c r="F45" s="65"/>
      <c r="G45" s="32" t="s">
        <v>35</v>
      </c>
      <c r="H45" s="32" t="s">
        <v>36</v>
      </c>
      <c r="I45" s="32" t="str">
        <f t="shared" si="34"/>
        <v>21 x 28</v>
      </c>
      <c r="J45" s="29" t="s">
        <v>53</v>
      </c>
      <c r="K45" s="106" t="s">
        <v>38</v>
      </c>
      <c r="L45" s="28">
        <v>0</v>
      </c>
      <c r="M45" s="28">
        <v>0</v>
      </c>
      <c r="N45" s="32">
        <v>21</v>
      </c>
      <c r="O45" s="32">
        <v>28</v>
      </c>
      <c r="P45" s="65" t="s">
        <v>39</v>
      </c>
      <c r="Q45" s="236">
        <f t="shared" si="2"/>
        <v>588</v>
      </c>
      <c r="R45" s="237" t="e">
        <f>IF(J45="Rolled","N/A",IF(P45="4 Paper",MIN(N45:O45)+VLOOKUP("Picture "&amp;J45,#REF!,2,FALSE),IF(J45="Rolled","N/A",IF(J45="Roll","N/A",MIN(N45:O45)+VLOOKUP(J45,#REF!,2,FALSE)))))</f>
        <v>#REF!</v>
      </c>
      <c r="S45" s="237" t="e">
        <f>IF(J45="Rolled","N/A",IF(P45="4 Paper",MAX(N45:O45)+VLOOKUP("Picture "&amp;J45,#REF!,2,FALSE),IF(J45="Rolled","N/A",IF(J45="Roll","N/A",MAX(N45:O45)+VLOOKUP(J45,#REF!,2,FALSE)))))</f>
        <v>#REF!</v>
      </c>
      <c r="T45" s="238" t="e">
        <f t="shared" si="3"/>
        <v>#REF!</v>
      </c>
      <c r="U45" s="33" t="e">
        <f t="shared" si="4"/>
        <v>#REF!</v>
      </c>
      <c r="V45" s="32"/>
      <c r="W45" s="32"/>
      <c r="X45" s="239" t="e">
        <f t="shared" si="5"/>
        <v>#REF!</v>
      </c>
      <c r="Y45" s="33" t="s">
        <v>48</v>
      </c>
      <c r="Z45" s="140"/>
      <c r="AA45" s="140"/>
      <c r="AB45" s="140"/>
      <c r="AC45" s="240"/>
      <c r="AD45" s="140"/>
      <c r="AE45" s="140"/>
      <c r="AF45" s="241"/>
      <c r="AG45" s="106"/>
      <c r="AH45" s="106"/>
      <c r="AI45" s="106"/>
      <c r="AJ45" s="242"/>
      <c r="AK45" s="243"/>
      <c r="AL45" s="106"/>
      <c r="AM45" s="106"/>
      <c r="AN45" s="106"/>
      <c r="AO45" s="106"/>
      <c r="AP45" s="106"/>
      <c r="AQ45" s="242"/>
      <c r="AR45" s="244"/>
      <c r="AS45" s="106"/>
      <c r="AT45" s="106"/>
      <c r="AU45" s="106"/>
      <c r="AV45" s="106"/>
      <c r="AW45" s="106" t="e">
        <f t="shared" si="37"/>
        <v>#REF!</v>
      </c>
      <c r="AX45" s="242"/>
      <c r="AY45" s="244"/>
      <c r="AZ45" s="106"/>
      <c r="BA45" s="106"/>
      <c r="BB45" s="106"/>
      <c r="BC45" s="106"/>
      <c r="BD45" s="242"/>
      <c r="BE45" s="244"/>
      <c r="BF45" s="242"/>
      <c r="BG45" s="244">
        <v>5</v>
      </c>
      <c r="BH45" s="106">
        <v>5</v>
      </c>
      <c r="BI45" s="106"/>
    </row>
    <row r="46" spans="1:61" ht="13.15" x14ac:dyDescent="0.4">
      <c r="A46" s="232">
        <v>46265</v>
      </c>
      <c r="B46" s="233">
        <f t="shared" ca="1" si="0"/>
        <v>25</v>
      </c>
      <c r="C46" s="32"/>
      <c r="D46" s="235">
        <f t="shared" si="1"/>
        <v>46251</v>
      </c>
      <c r="E46" s="106"/>
      <c r="F46" s="65"/>
      <c r="G46" s="32" t="s">
        <v>35</v>
      </c>
      <c r="H46" s="32" t="s">
        <v>36</v>
      </c>
      <c r="I46" s="32" t="str">
        <f t="shared" si="34"/>
        <v>26 x 34</v>
      </c>
      <c r="J46" s="29" t="s">
        <v>53</v>
      </c>
      <c r="K46" s="106" t="s">
        <v>38</v>
      </c>
      <c r="L46" s="28">
        <v>0</v>
      </c>
      <c r="M46" s="28">
        <v>0</v>
      </c>
      <c r="N46" s="32">
        <v>26</v>
      </c>
      <c r="O46" s="32">
        <v>34</v>
      </c>
      <c r="P46" s="65" t="s">
        <v>39</v>
      </c>
      <c r="Q46" s="236">
        <f t="shared" si="2"/>
        <v>884</v>
      </c>
      <c r="R46" s="237" t="e">
        <f>IF(J46="Rolled","N/A",IF(P46="4 Paper",MIN(N46:O46)+VLOOKUP("Picture "&amp;J46,#REF!,2,FALSE),IF(J46="Rolled","N/A",IF(J46="Roll","N/A",MIN(N46:O46)+VLOOKUP(J46,#REF!,2,FALSE)))))</f>
        <v>#REF!</v>
      </c>
      <c r="S46" s="237" t="e">
        <f>IF(J46="Rolled","N/A",IF(P46="4 Paper",MAX(N46:O46)+VLOOKUP("Picture "&amp;J46,#REF!,2,FALSE),IF(J46="Rolled","N/A",IF(J46="Roll","N/A",MAX(N46:O46)+VLOOKUP(J46,#REF!,2,FALSE)))))</f>
        <v>#REF!</v>
      </c>
      <c r="T46" s="238" t="e">
        <f t="shared" si="3"/>
        <v>#REF!</v>
      </c>
      <c r="U46" s="33" t="e">
        <f t="shared" si="4"/>
        <v>#REF!</v>
      </c>
      <c r="V46" s="32"/>
      <c r="W46" s="32"/>
      <c r="X46" s="239" t="e">
        <f t="shared" si="5"/>
        <v>#REF!</v>
      </c>
      <c r="Y46" s="33" t="s">
        <v>48</v>
      </c>
      <c r="Z46" s="140"/>
      <c r="AA46" s="140"/>
      <c r="AB46" s="140"/>
      <c r="AC46" s="240"/>
      <c r="AD46" s="140"/>
      <c r="AE46" s="140"/>
      <c r="AF46" s="241"/>
      <c r="AG46" s="106"/>
      <c r="AH46" s="106"/>
      <c r="AI46" s="106"/>
      <c r="AJ46" s="242"/>
      <c r="AK46" s="243"/>
      <c r="AL46" s="106"/>
      <c r="AM46" s="106"/>
      <c r="AN46" s="106"/>
      <c r="AO46" s="106"/>
      <c r="AP46" s="106"/>
      <c r="AQ46" s="242"/>
      <c r="AR46" s="244"/>
      <c r="AS46" s="106"/>
      <c r="AT46" s="106"/>
      <c r="AU46" s="106"/>
      <c r="AV46" s="106"/>
      <c r="AW46" s="106" t="e">
        <f t="shared" si="37"/>
        <v>#REF!</v>
      </c>
      <c r="AX46" s="242"/>
      <c r="AY46" s="244"/>
      <c r="AZ46" s="106"/>
      <c r="BA46" s="106"/>
      <c r="BB46" s="106"/>
      <c r="BC46" s="106"/>
      <c r="BD46" s="242"/>
      <c r="BE46" s="244"/>
      <c r="BF46" s="242"/>
      <c r="BG46" s="244">
        <v>5</v>
      </c>
      <c r="BH46" s="106">
        <v>5</v>
      </c>
      <c r="BI46" s="106"/>
    </row>
    <row r="47" spans="1:61" ht="13.15" x14ac:dyDescent="0.4">
      <c r="A47" s="232">
        <v>46265</v>
      </c>
      <c r="B47" s="233">
        <f t="shared" ca="1" si="0"/>
        <v>25</v>
      </c>
      <c r="C47" s="32"/>
      <c r="D47" s="235">
        <f t="shared" si="1"/>
        <v>46251</v>
      </c>
      <c r="E47" s="106"/>
      <c r="F47" s="65"/>
      <c r="G47" s="32" t="s">
        <v>35</v>
      </c>
      <c r="H47" s="32" t="s">
        <v>36</v>
      </c>
      <c r="I47" s="32" t="str">
        <f t="shared" si="34"/>
        <v>26 x 38</v>
      </c>
      <c r="J47" s="29" t="s">
        <v>53</v>
      </c>
      <c r="K47" s="106" t="s">
        <v>38</v>
      </c>
      <c r="L47" s="28">
        <v>0</v>
      </c>
      <c r="M47" s="28">
        <v>0</v>
      </c>
      <c r="N47" s="32">
        <v>26</v>
      </c>
      <c r="O47" s="32">
        <v>38</v>
      </c>
      <c r="P47" s="65" t="s">
        <v>39</v>
      </c>
      <c r="Q47" s="236">
        <f t="shared" si="2"/>
        <v>988</v>
      </c>
      <c r="R47" s="237" t="e">
        <f>IF(J47="Rolled","N/A",IF(P47="4 Paper",MIN(N47:O47)+VLOOKUP("Picture "&amp;J47,#REF!,2,FALSE),IF(J47="Rolled","N/A",IF(J47="Roll","N/A",MIN(N47:O47)+VLOOKUP(J47,#REF!,2,FALSE)))))</f>
        <v>#REF!</v>
      </c>
      <c r="S47" s="237" t="e">
        <f>IF(J47="Rolled","N/A",IF(P47="4 Paper",MAX(N47:O47)+VLOOKUP("Picture "&amp;J47,#REF!,2,FALSE),IF(J47="Rolled","N/A",IF(J47="Roll","N/A",MAX(N47:O47)+VLOOKUP(J47,#REF!,2,FALSE)))))</f>
        <v>#REF!</v>
      </c>
      <c r="T47" s="238" t="e">
        <f t="shared" si="3"/>
        <v>#REF!</v>
      </c>
      <c r="U47" s="33" t="e">
        <f t="shared" si="4"/>
        <v>#REF!</v>
      </c>
      <c r="V47" s="32"/>
      <c r="W47" s="32"/>
      <c r="X47" s="239" t="e">
        <f t="shared" si="5"/>
        <v>#REF!</v>
      </c>
      <c r="Y47" s="33" t="s">
        <v>48</v>
      </c>
      <c r="Z47" s="140"/>
      <c r="AA47" s="140"/>
      <c r="AB47" s="140"/>
      <c r="AC47" s="240"/>
      <c r="AD47" s="140"/>
      <c r="AE47" s="140"/>
      <c r="AF47" s="241"/>
      <c r="AG47" s="106"/>
      <c r="AH47" s="106"/>
      <c r="AI47" s="106"/>
      <c r="AJ47" s="242"/>
      <c r="AK47" s="243"/>
      <c r="AL47" s="106"/>
      <c r="AM47" s="106"/>
      <c r="AN47" s="106"/>
      <c r="AO47" s="106"/>
      <c r="AP47" s="106"/>
      <c r="AQ47" s="242"/>
      <c r="AR47" s="244"/>
      <c r="AS47" s="106"/>
      <c r="AT47" s="106"/>
      <c r="AU47" s="106"/>
      <c r="AV47" s="106"/>
      <c r="AW47" s="106" t="e">
        <f t="shared" si="37"/>
        <v>#REF!</v>
      </c>
      <c r="AX47" s="242"/>
      <c r="AY47" s="244"/>
      <c r="AZ47" s="106"/>
      <c r="BA47" s="106"/>
      <c r="BB47" s="106"/>
      <c r="BC47" s="106"/>
      <c r="BD47" s="242"/>
      <c r="BE47" s="244"/>
      <c r="BF47" s="242"/>
      <c r="BG47" s="244">
        <v>5</v>
      </c>
      <c r="BH47" s="106">
        <v>5</v>
      </c>
      <c r="BI47" s="106"/>
    </row>
    <row r="48" spans="1:61" ht="13.15" x14ac:dyDescent="0.4">
      <c r="A48" s="232">
        <v>46265</v>
      </c>
      <c r="B48" s="233">
        <f t="shared" ca="1" si="0"/>
        <v>25</v>
      </c>
      <c r="C48" s="32"/>
      <c r="D48" s="235">
        <f t="shared" si="1"/>
        <v>46251</v>
      </c>
      <c r="E48" s="106"/>
      <c r="F48" s="65"/>
      <c r="G48" s="32" t="s">
        <v>35</v>
      </c>
      <c r="H48" s="32" t="s">
        <v>36</v>
      </c>
      <c r="I48" s="32" t="str">
        <f t="shared" si="34"/>
        <v>36 x 60</v>
      </c>
      <c r="J48" s="29" t="s">
        <v>53</v>
      </c>
      <c r="K48" s="106" t="s">
        <v>38</v>
      </c>
      <c r="L48" s="28">
        <v>0</v>
      </c>
      <c r="M48" s="28">
        <v>0</v>
      </c>
      <c r="N48" s="32">
        <v>36</v>
      </c>
      <c r="O48" s="32">
        <v>60</v>
      </c>
      <c r="P48" s="65" t="s">
        <v>39</v>
      </c>
      <c r="Q48" s="236">
        <f t="shared" si="2"/>
        <v>2160</v>
      </c>
      <c r="R48" s="237" t="e">
        <f>IF(J48="Rolled","N/A",IF(P48="4 Paper",MIN(N48:O48)+VLOOKUP("Picture "&amp;J48,#REF!,2,FALSE),IF(J48="Rolled","N/A",IF(J48="Roll","N/A",MIN(N48:O48)+VLOOKUP(J48,#REF!,2,FALSE)))))</f>
        <v>#REF!</v>
      </c>
      <c r="S48" s="237" t="e">
        <f>IF(J48="Rolled","N/A",IF(P48="4 Paper",MAX(N48:O48)+VLOOKUP("Picture "&amp;J48,#REF!,2,FALSE),IF(J48="Rolled","N/A",IF(J48="Roll","N/A",MAX(N48:O48)+VLOOKUP(J48,#REF!,2,FALSE)))))</f>
        <v>#REF!</v>
      </c>
      <c r="T48" s="238" t="e">
        <f t="shared" si="3"/>
        <v>#REF!</v>
      </c>
      <c r="U48" s="33" t="e">
        <f t="shared" si="4"/>
        <v>#REF!</v>
      </c>
      <c r="V48" s="32"/>
      <c r="W48" s="32"/>
      <c r="X48" s="239" t="e">
        <f t="shared" si="5"/>
        <v>#REF!</v>
      </c>
      <c r="Y48" s="33" t="s">
        <v>48</v>
      </c>
      <c r="Z48" s="140"/>
      <c r="AA48" s="140"/>
      <c r="AB48" s="140"/>
      <c r="AC48" s="240"/>
      <c r="AD48" s="140"/>
      <c r="AE48" s="140"/>
      <c r="AF48" s="241"/>
      <c r="AG48" s="106"/>
      <c r="AH48" s="106"/>
      <c r="AI48" s="106"/>
      <c r="AJ48" s="242"/>
      <c r="AK48" s="243"/>
      <c r="AL48" s="106"/>
      <c r="AM48" s="106"/>
      <c r="AN48" s="106"/>
      <c r="AO48" s="106"/>
      <c r="AP48" s="106"/>
      <c r="AQ48" s="242"/>
      <c r="AR48" s="244"/>
      <c r="AS48" s="106"/>
      <c r="AT48" s="106"/>
      <c r="AU48" s="106"/>
      <c r="AV48" s="106"/>
      <c r="AW48" s="106" t="e">
        <f t="shared" si="37"/>
        <v>#REF!</v>
      </c>
      <c r="AX48" s="242"/>
      <c r="AY48" s="244"/>
      <c r="AZ48" s="106"/>
      <c r="BA48" s="106"/>
      <c r="BB48" s="106"/>
      <c r="BC48" s="106"/>
      <c r="BD48" s="242"/>
      <c r="BE48" s="244"/>
      <c r="BF48" s="242"/>
      <c r="BG48" s="244">
        <v>5</v>
      </c>
      <c r="BH48" s="106">
        <v>5</v>
      </c>
      <c r="BI48" s="106"/>
    </row>
    <row r="49" spans="1:61" ht="13.15" x14ac:dyDescent="0.4">
      <c r="A49" s="232">
        <v>46265</v>
      </c>
      <c r="B49" s="233">
        <f t="shared" ca="1" si="0"/>
        <v>25</v>
      </c>
      <c r="C49" s="32"/>
      <c r="D49" s="235">
        <f t="shared" si="1"/>
        <v>46251</v>
      </c>
      <c r="E49" s="106"/>
      <c r="F49" s="65"/>
      <c r="G49" s="32" t="s">
        <v>35</v>
      </c>
      <c r="H49" s="32" t="s">
        <v>36</v>
      </c>
      <c r="I49" s="32" t="str">
        <f t="shared" si="34"/>
        <v>39 x 39</v>
      </c>
      <c r="J49" s="29" t="s">
        <v>53</v>
      </c>
      <c r="K49" s="106" t="s">
        <v>38</v>
      </c>
      <c r="L49" s="28">
        <v>0</v>
      </c>
      <c r="M49" s="28">
        <v>0</v>
      </c>
      <c r="N49" s="32">
        <v>39</v>
      </c>
      <c r="O49" s="32">
        <v>39</v>
      </c>
      <c r="P49" s="65" t="s">
        <v>39</v>
      </c>
      <c r="Q49" s="236">
        <f t="shared" si="2"/>
        <v>1521</v>
      </c>
      <c r="R49" s="237" t="e">
        <f>IF(J49="Rolled","N/A",IF(P49="4 Paper",MIN(N49:O49)+VLOOKUP("Picture "&amp;J49,#REF!,2,FALSE),IF(J49="Rolled","N/A",IF(J49="Roll","N/A",MIN(N49:O49)+VLOOKUP(J49,#REF!,2,FALSE)))))</f>
        <v>#REF!</v>
      </c>
      <c r="S49" s="237" t="e">
        <f>IF(J49="Rolled","N/A",IF(P49="4 Paper",MAX(N49:O49)+VLOOKUP("Picture "&amp;J49,#REF!,2,FALSE),IF(J49="Rolled","N/A",IF(J49="Roll","N/A",MAX(N49:O49)+VLOOKUP(J49,#REF!,2,FALSE)))))</f>
        <v>#REF!</v>
      </c>
      <c r="T49" s="238" t="e">
        <f t="shared" si="3"/>
        <v>#REF!</v>
      </c>
      <c r="U49" s="33" t="e">
        <f t="shared" si="4"/>
        <v>#REF!</v>
      </c>
      <c r="V49" s="32"/>
      <c r="W49" s="32"/>
      <c r="X49" s="239" t="e">
        <f t="shared" si="5"/>
        <v>#REF!</v>
      </c>
      <c r="Y49" s="33" t="s">
        <v>48</v>
      </c>
      <c r="Z49" s="140"/>
      <c r="AA49" s="140"/>
      <c r="AB49" s="140"/>
      <c r="AC49" s="240"/>
      <c r="AD49" s="140"/>
      <c r="AE49" s="140"/>
      <c r="AF49" s="241"/>
      <c r="AG49" s="106"/>
      <c r="AH49" s="106"/>
      <c r="AI49" s="106"/>
      <c r="AJ49" s="242"/>
      <c r="AK49" s="243"/>
      <c r="AL49" s="106"/>
      <c r="AM49" s="106"/>
      <c r="AN49" s="106"/>
      <c r="AO49" s="106"/>
      <c r="AP49" s="106"/>
      <c r="AQ49" s="242"/>
      <c r="AR49" s="244"/>
      <c r="AS49" s="106"/>
      <c r="AT49" s="106"/>
      <c r="AU49" s="106"/>
      <c r="AV49" s="106"/>
      <c r="AW49" s="106" t="e">
        <f t="shared" si="37"/>
        <v>#REF!</v>
      </c>
      <c r="AX49" s="242"/>
      <c r="AY49" s="244"/>
      <c r="AZ49" s="106"/>
      <c r="BA49" s="106"/>
      <c r="BB49" s="106"/>
      <c r="BC49" s="106"/>
      <c r="BD49" s="242"/>
      <c r="BE49" s="244"/>
      <c r="BF49" s="242"/>
      <c r="BG49" s="244">
        <v>5</v>
      </c>
      <c r="BH49" s="106">
        <v>5</v>
      </c>
      <c r="BI49" s="106"/>
    </row>
    <row r="50" spans="1:61" ht="13.15" x14ac:dyDescent="0.4">
      <c r="A50" s="232">
        <v>46265</v>
      </c>
      <c r="B50" s="233">
        <f t="shared" ca="1" si="0"/>
        <v>25</v>
      </c>
      <c r="C50" s="32"/>
      <c r="D50" s="235">
        <f t="shared" si="1"/>
        <v>46251</v>
      </c>
      <c r="E50" s="106"/>
      <c r="F50" s="65"/>
      <c r="G50" s="32" t="s">
        <v>35</v>
      </c>
      <c r="H50" s="32" t="s">
        <v>36</v>
      </c>
      <c r="I50" s="32" t="str">
        <f t="shared" si="34"/>
        <v>23 x 30</v>
      </c>
      <c r="J50" s="29" t="s">
        <v>40</v>
      </c>
      <c r="K50" s="106" t="s">
        <v>38</v>
      </c>
      <c r="L50" s="28">
        <v>0</v>
      </c>
      <c r="M50" s="28">
        <v>0</v>
      </c>
      <c r="N50" s="32">
        <v>23</v>
      </c>
      <c r="O50" s="32">
        <v>30</v>
      </c>
      <c r="P50" s="65" t="s">
        <v>39</v>
      </c>
      <c r="Q50" s="236">
        <f t="shared" si="2"/>
        <v>690</v>
      </c>
      <c r="R50" s="237" t="e">
        <f>IF(J50="Rolled","N/A",IF(P50="4 Paper",MIN(N50:O50)+VLOOKUP("Picture "&amp;J50,#REF!,2,FALSE),IF(J50="Rolled","N/A",IF(J50="Roll","N/A",MIN(N50:O50)+VLOOKUP(J50,#REF!,2,FALSE)))))</f>
        <v>#REF!</v>
      </c>
      <c r="S50" s="237" t="e">
        <f>IF(J50="Rolled","N/A",IF(P50="4 Paper",MAX(N50:O50)+VLOOKUP("Picture "&amp;J50,#REF!,2,FALSE),IF(J50="Rolled","N/A",IF(J50="Roll","N/A",MAX(N50:O50)+VLOOKUP(J50,#REF!,2,FALSE)))))</f>
        <v>#REF!</v>
      </c>
      <c r="T50" s="238" t="e">
        <f t="shared" si="3"/>
        <v>#REF!</v>
      </c>
      <c r="U50" s="33" t="e">
        <f t="shared" si="4"/>
        <v>#REF!</v>
      </c>
      <c r="V50" s="32"/>
      <c r="W50" s="32"/>
      <c r="X50" s="239" t="e">
        <f t="shared" si="5"/>
        <v>#REF!</v>
      </c>
      <c r="Y50" s="33" t="s">
        <v>48</v>
      </c>
      <c r="Z50" s="140"/>
      <c r="AA50" s="140"/>
      <c r="AB50" s="140"/>
      <c r="AC50" s="240"/>
      <c r="AD50" s="140"/>
      <c r="AE50" s="140"/>
      <c r="AF50" s="241"/>
      <c r="AG50" s="106"/>
      <c r="AH50" s="106"/>
      <c r="AI50" s="106"/>
      <c r="AJ50" s="242"/>
      <c r="AK50" s="243"/>
      <c r="AL50" s="106"/>
      <c r="AM50" s="106"/>
      <c r="AN50" s="106"/>
      <c r="AO50" s="106"/>
      <c r="AP50" s="106"/>
      <c r="AQ50" s="242"/>
      <c r="AR50" s="244"/>
      <c r="AS50" s="106"/>
      <c r="AT50" s="106"/>
      <c r="AU50" s="106"/>
      <c r="AV50" s="106"/>
      <c r="AW50" s="106" t="e">
        <f t="shared" si="37"/>
        <v>#REF!</v>
      </c>
      <c r="AX50" s="242"/>
      <c r="AY50" s="244"/>
      <c r="AZ50" s="106"/>
      <c r="BA50" s="106"/>
      <c r="BB50" s="106"/>
      <c r="BC50" s="106"/>
      <c r="BD50" s="242"/>
      <c r="BE50" s="244"/>
      <c r="BF50" s="242"/>
      <c r="BG50" s="244">
        <v>5</v>
      </c>
      <c r="BH50" s="106">
        <v>5</v>
      </c>
      <c r="BI50" s="106"/>
    </row>
    <row r="51" spans="1:61" ht="13.15" x14ac:dyDescent="0.4">
      <c r="A51" s="232">
        <v>46265</v>
      </c>
      <c r="B51" s="233">
        <f t="shared" ca="1" si="0"/>
        <v>25</v>
      </c>
      <c r="C51" s="32"/>
      <c r="D51" s="235">
        <f t="shared" si="1"/>
        <v>46251</v>
      </c>
      <c r="E51" s="106"/>
      <c r="F51" s="65"/>
      <c r="G51" s="32" t="s">
        <v>35</v>
      </c>
      <c r="H51" s="32" t="s">
        <v>36</v>
      </c>
      <c r="I51" s="32" t="str">
        <f t="shared" si="34"/>
        <v>24 x 32</v>
      </c>
      <c r="J51" s="29" t="s">
        <v>40</v>
      </c>
      <c r="K51" s="106" t="s">
        <v>38</v>
      </c>
      <c r="L51" s="28">
        <v>0</v>
      </c>
      <c r="M51" s="28">
        <v>0</v>
      </c>
      <c r="N51" s="32">
        <v>24</v>
      </c>
      <c r="O51" s="32">
        <v>32</v>
      </c>
      <c r="P51" s="65" t="s">
        <v>39</v>
      </c>
      <c r="Q51" s="236">
        <f t="shared" si="2"/>
        <v>768</v>
      </c>
      <c r="R51" s="237" t="e">
        <f>IF(J51="Rolled","N/A",IF(P51="4 Paper",MIN(N51:O51)+VLOOKUP("Picture "&amp;J51,#REF!,2,FALSE),IF(J51="Rolled","N/A",IF(J51="Roll","N/A",MIN(N51:O51)+VLOOKUP(J51,#REF!,2,FALSE)))))</f>
        <v>#REF!</v>
      </c>
      <c r="S51" s="237" t="e">
        <f>IF(J51="Rolled","N/A",IF(P51="4 Paper",MAX(N51:O51)+VLOOKUP("Picture "&amp;J51,#REF!,2,FALSE),IF(J51="Rolled","N/A",IF(J51="Roll","N/A",MAX(N51:O51)+VLOOKUP(J51,#REF!,2,FALSE)))))</f>
        <v>#REF!</v>
      </c>
      <c r="T51" s="238" t="e">
        <f t="shared" si="3"/>
        <v>#REF!</v>
      </c>
      <c r="U51" s="33" t="e">
        <f t="shared" si="4"/>
        <v>#REF!</v>
      </c>
      <c r="V51" s="32"/>
      <c r="W51" s="32"/>
      <c r="X51" s="239" t="e">
        <f t="shared" si="5"/>
        <v>#REF!</v>
      </c>
      <c r="Y51" s="33" t="s">
        <v>48</v>
      </c>
      <c r="Z51" s="140"/>
      <c r="AA51" s="140"/>
      <c r="AB51" s="140"/>
      <c r="AC51" s="240"/>
      <c r="AD51" s="140"/>
      <c r="AE51" s="140"/>
      <c r="AF51" s="241"/>
      <c r="AG51" s="106"/>
      <c r="AH51" s="106"/>
      <c r="AI51" s="106"/>
      <c r="AJ51" s="242"/>
      <c r="AK51" s="243"/>
      <c r="AL51" s="106"/>
      <c r="AM51" s="106"/>
      <c r="AN51" s="106"/>
      <c r="AO51" s="106"/>
      <c r="AP51" s="106"/>
      <c r="AQ51" s="242"/>
      <c r="AR51" s="244"/>
      <c r="AS51" s="106"/>
      <c r="AT51" s="106"/>
      <c r="AU51" s="106"/>
      <c r="AV51" s="106"/>
      <c r="AW51" s="106" t="e">
        <f t="shared" si="37"/>
        <v>#REF!</v>
      </c>
      <c r="AX51" s="242"/>
      <c r="AY51" s="244"/>
      <c r="AZ51" s="106"/>
      <c r="BA51" s="106"/>
      <c r="BB51" s="106"/>
      <c r="BC51" s="106"/>
      <c r="BD51" s="242"/>
      <c r="BE51" s="244"/>
      <c r="BF51" s="242"/>
      <c r="BG51" s="244">
        <v>5</v>
      </c>
      <c r="BH51" s="106">
        <v>5</v>
      </c>
      <c r="BI51" s="106"/>
    </row>
    <row r="52" spans="1:61" ht="13.15" x14ac:dyDescent="0.4">
      <c r="A52" s="127">
        <v>46273</v>
      </c>
      <c r="B52" s="128">
        <f t="shared" ca="1" si="0"/>
        <v>33</v>
      </c>
      <c r="C52" s="129"/>
      <c r="D52" s="130">
        <f t="shared" si="1"/>
        <v>46259</v>
      </c>
      <c r="E52" s="42"/>
      <c r="F52" s="131"/>
      <c r="G52" s="42" t="s">
        <v>867</v>
      </c>
      <c r="H52" s="42" t="s">
        <v>868</v>
      </c>
      <c r="I52" s="42" t="str">
        <f t="shared" si="34"/>
        <v>40 x 40</v>
      </c>
      <c r="J52" s="209" t="s">
        <v>75</v>
      </c>
      <c r="K52" s="133">
        <v>5</v>
      </c>
      <c r="L52" s="134">
        <v>4500</v>
      </c>
      <c r="M52" s="134">
        <v>0</v>
      </c>
      <c r="N52" s="135">
        <v>40</v>
      </c>
      <c r="O52" s="135">
        <v>40</v>
      </c>
      <c r="P52" s="131" t="s">
        <v>241</v>
      </c>
      <c r="Q52" s="136">
        <f t="shared" si="2"/>
        <v>1600</v>
      </c>
      <c r="R52" s="137" t="e">
        <f>IF(J52="Rolled","N/A",IF(J52="Roll","N/A",MIN(N52:O52)+VLOOKUP(J52,#REF!,2,FALSE)))</f>
        <v>#REF!</v>
      </c>
      <c r="S52" s="137" t="e">
        <f>IF(R52="N/A","N/A",MAX(N52:O52)+VLOOKUP(J52,#REF!,2,FALSE))</f>
        <v>#REF!</v>
      </c>
      <c r="T52" s="138" t="e">
        <f t="shared" si="3"/>
        <v>#REF!</v>
      </c>
      <c r="U52" s="135" t="e">
        <f t="shared" si="4"/>
        <v>#REF!</v>
      </c>
      <c r="V52" s="42"/>
      <c r="W52" s="42"/>
      <c r="X52" s="139">
        <f t="shared" si="5"/>
        <v>4.4444444444444446E-2</v>
      </c>
      <c r="Y52" s="135" t="s">
        <v>48</v>
      </c>
      <c r="Z52" s="140"/>
      <c r="AA52" s="142"/>
      <c r="AB52" s="142"/>
      <c r="AC52" s="142"/>
      <c r="AD52" s="142"/>
      <c r="AE52" s="142"/>
      <c r="AF52" s="143"/>
      <c r="AG52" s="133"/>
      <c r="AH52" s="133"/>
      <c r="AI52" s="133"/>
      <c r="AJ52" s="144"/>
      <c r="AK52" s="145"/>
      <c r="AL52" s="133"/>
      <c r="AM52" s="133"/>
      <c r="AN52" s="133"/>
      <c r="AO52" s="133"/>
      <c r="AP52" s="133"/>
      <c r="AQ52" s="144"/>
      <c r="AR52" s="146"/>
      <c r="AS52" s="133"/>
      <c r="AT52" s="133"/>
      <c r="AU52" s="133"/>
      <c r="AV52" s="133"/>
      <c r="AW52" s="133"/>
      <c r="AX52" s="144"/>
      <c r="AY52" s="146">
        <v>7.8</v>
      </c>
      <c r="AZ52" s="133">
        <v>11.3</v>
      </c>
      <c r="BA52" s="133">
        <v>9.4</v>
      </c>
      <c r="BB52" s="133">
        <v>11.3</v>
      </c>
      <c r="BC52" s="133">
        <v>7.5</v>
      </c>
      <c r="BD52" s="144">
        <v>6.7</v>
      </c>
      <c r="BE52" s="146"/>
      <c r="BF52" s="144"/>
      <c r="BG52" s="146">
        <v>5</v>
      </c>
      <c r="BH52" s="133">
        <v>5</v>
      </c>
      <c r="BI52" s="133"/>
    </row>
    <row r="53" spans="1:61" ht="13.15" x14ac:dyDescent="0.4">
      <c r="A53" s="248"/>
      <c r="B53" s="249"/>
      <c r="C53" s="248"/>
      <c r="D53" s="248"/>
      <c r="E53" s="248"/>
      <c r="F53" s="250"/>
      <c r="G53" s="248"/>
      <c r="H53" s="32"/>
      <c r="I53" s="248"/>
      <c r="J53" s="248"/>
      <c r="K53" s="251"/>
      <c r="L53" s="238"/>
      <c r="M53" s="248"/>
      <c r="N53" s="248"/>
      <c r="O53" s="248"/>
      <c r="P53" s="250"/>
      <c r="Q53" s="252"/>
      <c r="R53" s="248"/>
      <c r="S53" s="248"/>
      <c r="T53" s="248"/>
      <c r="U53" s="248"/>
      <c r="V53" s="248"/>
      <c r="W53" s="248"/>
      <c r="X53" s="248"/>
      <c r="Y53" s="248"/>
      <c r="Z53" s="253"/>
      <c r="AA53" s="253"/>
      <c r="AB53" s="253"/>
      <c r="AC53" s="253"/>
      <c r="AD53" s="253"/>
      <c r="AE53" s="253"/>
      <c r="AF53" s="254"/>
      <c r="AG53" s="106"/>
      <c r="AH53" s="106"/>
      <c r="AI53" s="106"/>
      <c r="AJ53" s="242"/>
      <c r="AK53" s="243"/>
      <c r="AL53" s="106"/>
      <c r="AM53" s="106"/>
      <c r="AN53" s="106"/>
      <c r="AO53" s="106"/>
      <c r="AP53" s="106"/>
      <c r="AQ53" s="242"/>
      <c r="AR53" s="244"/>
      <c r="AS53" s="106"/>
      <c r="AT53" s="106"/>
      <c r="AU53" s="106"/>
      <c r="AV53" s="106"/>
      <c r="AW53" s="106"/>
      <c r="AX53" s="242"/>
      <c r="AY53" s="244"/>
      <c r="AZ53" s="106"/>
      <c r="BA53" s="106"/>
      <c r="BB53" s="106"/>
      <c r="BC53" s="106"/>
      <c r="BD53" s="242"/>
      <c r="BE53" s="244"/>
      <c r="BF53" s="242"/>
      <c r="BG53" s="244"/>
      <c r="BH53" s="106"/>
      <c r="BI53" s="106"/>
    </row>
    <row r="54" spans="1:61" ht="13.15" x14ac:dyDescent="0.4">
      <c r="A54" s="248"/>
      <c r="B54" s="249"/>
      <c r="C54" s="248"/>
      <c r="D54" s="248"/>
      <c r="E54" s="248"/>
      <c r="F54" s="250"/>
      <c r="G54" s="248"/>
      <c r="H54" s="32"/>
      <c r="I54" s="248"/>
      <c r="J54" s="248"/>
      <c r="K54" s="251"/>
      <c r="L54" s="238"/>
      <c r="M54" s="248"/>
      <c r="N54" s="248"/>
      <c r="O54" s="248"/>
      <c r="P54" s="250"/>
      <c r="Q54" s="252"/>
      <c r="R54" s="248"/>
      <c r="S54" s="248"/>
      <c r="T54" s="248"/>
      <c r="U54" s="248"/>
      <c r="V54" s="248"/>
      <c r="W54" s="248"/>
      <c r="X54" s="248"/>
      <c r="Y54" s="248"/>
      <c r="Z54" s="253"/>
      <c r="AA54" s="253"/>
      <c r="AB54" s="253"/>
      <c r="AC54" s="253"/>
      <c r="AD54" s="253"/>
      <c r="AE54" s="253"/>
      <c r="AF54" s="254"/>
      <c r="AG54" s="106"/>
      <c r="AH54" s="106"/>
      <c r="AI54" s="106"/>
      <c r="AJ54" s="242"/>
      <c r="AK54" s="243"/>
      <c r="AL54" s="106"/>
      <c r="AM54" s="106"/>
      <c r="AN54" s="106"/>
      <c r="AO54" s="106"/>
      <c r="AP54" s="106"/>
      <c r="AQ54" s="242"/>
      <c r="AR54" s="244"/>
      <c r="AS54" s="106"/>
      <c r="AT54" s="106"/>
      <c r="AU54" s="106"/>
      <c r="AV54" s="106"/>
      <c r="AW54" s="106"/>
      <c r="AX54" s="242"/>
      <c r="AY54" s="244"/>
      <c r="AZ54" s="106"/>
      <c r="BA54" s="106"/>
      <c r="BB54" s="106"/>
      <c r="BC54" s="106"/>
      <c r="BD54" s="242"/>
      <c r="BE54" s="244"/>
      <c r="BF54" s="242"/>
      <c r="BG54" s="244"/>
      <c r="BH54" s="106"/>
      <c r="BI54" s="32"/>
    </row>
    <row r="55" spans="1:61" ht="13.15" x14ac:dyDescent="0.4">
      <c r="A55" s="248"/>
      <c r="B55" s="249"/>
      <c r="C55" s="248"/>
      <c r="D55" s="248"/>
      <c r="E55" s="248"/>
      <c r="F55" s="250"/>
      <c r="G55" s="248"/>
      <c r="H55" s="32"/>
      <c r="I55" s="248"/>
      <c r="J55" s="248"/>
      <c r="K55" s="251"/>
      <c r="L55" s="238"/>
      <c r="M55" s="248"/>
      <c r="N55" s="248"/>
      <c r="O55" s="248"/>
      <c r="P55" s="250"/>
      <c r="Q55" s="252"/>
      <c r="R55" s="248"/>
      <c r="S55" s="248"/>
      <c r="T55" s="248"/>
      <c r="U55" s="248"/>
      <c r="V55" s="248"/>
      <c r="W55" s="248"/>
      <c r="X55" s="248"/>
      <c r="Y55" s="248"/>
      <c r="Z55" s="253"/>
      <c r="AA55" s="253"/>
      <c r="AB55" s="253"/>
      <c r="AC55" s="253"/>
      <c r="AD55" s="253"/>
      <c r="AE55" s="253"/>
      <c r="AF55" s="254"/>
      <c r="AG55" s="106"/>
      <c r="AH55" s="106"/>
      <c r="AI55" s="106"/>
      <c r="AJ55" s="242"/>
      <c r="AK55" s="243"/>
      <c r="AL55" s="106"/>
      <c r="AM55" s="106"/>
      <c r="AN55" s="106"/>
      <c r="AO55" s="106"/>
      <c r="AP55" s="106"/>
      <c r="AQ55" s="242"/>
      <c r="AR55" s="244"/>
      <c r="AS55" s="106"/>
      <c r="AT55" s="106"/>
      <c r="AU55" s="106"/>
      <c r="AV55" s="106"/>
      <c r="AW55" s="106"/>
      <c r="AX55" s="242"/>
      <c r="AY55" s="244"/>
      <c r="AZ55" s="106"/>
      <c r="BA55" s="106"/>
      <c r="BB55" s="106"/>
      <c r="BC55" s="106"/>
      <c r="BD55" s="242"/>
      <c r="BE55" s="244"/>
      <c r="BF55" s="242"/>
      <c r="BG55" s="244"/>
      <c r="BH55" s="106"/>
      <c r="BI55" s="32"/>
    </row>
    <row r="56" spans="1:61" ht="13.15" x14ac:dyDescent="0.4">
      <c r="A56" s="248"/>
      <c r="B56" s="255"/>
      <c r="C56" s="248"/>
      <c r="D56" s="248"/>
      <c r="E56" s="248"/>
      <c r="F56" s="250"/>
      <c r="G56" s="248"/>
      <c r="H56" s="32"/>
      <c r="I56" s="248"/>
      <c r="J56" s="248"/>
      <c r="K56" s="251"/>
      <c r="L56" s="238"/>
      <c r="M56" s="248"/>
      <c r="N56" s="248"/>
      <c r="O56" s="248"/>
      <c r="P56" s="250"/>
      <c r="Q56" s="252"/>
      <c r="R56" s="248"/>
      <c r="S56" s="248"/>
      <c r="T56" s="248"/>
      <c r="U56" s="248"/>
      <c r="V56" s="248"/>
      <c r="W56" s="248"/>
      <c r="X56" s="248"/>
      <c r="Y56" s="248"/>
      <c r="Z56" s="253"/>
      <c r="AA56" s="253"/>
      <c r="AB56" s="253"/>
      <c r="AC56" s="253"/>
      <c r="AD56" s="253"/>
      <c r="AE56" s="253"/>
      <c r="AF56" s="254"/>
      <c r="AG56" s="106"/>
      <c r="AH56" s="106"/>
      <c r="AI56" s="106"/>
      <c r="AJ56" s="242"/>
      <c r="AK56" s="243"/>
      <c r="AL56" s="106"/>
      <c r="AM56" s="106"/>
      <c r="AN56" s="106"/>
      <c r="AO56" s="106"/>
      <c r="AP56" s="106"/>
      <c r="AQ56" s="242"/>
      <c r="AR56" s="244"/>
      <c r="AS56" s="106"/>
      <c r="AT56" s="106"/>
      <c r="AU56" s="106"/>
      <c r="AV56" s="106"/>
      <c r="AW56" s="106"/>
      <c r="AX56" s="242"/>
      <c r="AY56" s="244"/>
      <c r="AZ56" s="106"/>
      <c r="BA56" s="106"/>
      <c r="BB56" s="106"/>
      <c r="BC56" s="106"/>
      <c r="BD56" s="242"/>
      <c r="BE56" s="244"/>
      <c r="BF56" s="242"/>
      <c r="BG56" s="244"/>
      <c r="BH56" s="106"/>
      <c r="BI56" s="32"/>
    </row>
    <row r="57" spans="1:61" ht="13.15" x14ac:dyDescent="0.4">
      <c r="A57" s="248"/>
      <c r="B57" s="255"/>
      <c r="C57" s="248"/>
      <c r="D57" s="248"/>
      <c r="E57" s="248"/>
      <c r="F57" s="250"/>
      <c r="G57" s="248"/>
      <c r="H57" s="32"/>
      <c r="I57" s="248"/>
      <c r="J57" s="248"/>
      <c r="K57" s="251"/>
      <c r="L57" s="238"/>
      <c r="M57" s="248"/>
      <c r="N57" s="248"/>
      <c r="O57" s="248"/>
      <c r="P57" s="250"/>
      <c r="Q57" s="252"/>
      <c r="R57" s="248"/>
      <c r="S57" s="248"/>
      <c r="T57" s="248"/>
      <c r="U57" s="248"/>
      <c r="V57" s="248"/>
      <c r="W57" s="248"/>
      <c r="X57" s="248"/>
      <c r="Y57" s="248"/>
      <c r="Z57" s="253"/>
      <c r="AA57" s="253"/>
      <c r="AB57" s="253"/>
      <c r="AC57" s="253"/>
      <c r="AD57" s="253"/>
      <c r="AE57" s="253"/>
      <c r="AF57" s="254"/>
      <c r="AG57" s="106"/>
      <c r="AH57" s="106"/>
      <c r="AI57" s="106"/>
      <c r="AJ57" s="242"/>
      <c r="AK57" s="243"/>
      <c r="AL57" s="106"/>
      <c r="AM57" s="106"/>
      <c r="AN57" s="106"/>
      <c r="AO57" s="106"/>
      <c r="AP57" s="106"/>
      <c r="AQ57" s="242"/>
      <c r="AR57" s="244"/>
      <c r="AS57" s="106"/>
      <c r="AT57" s="106"/>
      <c r="AU57" s="106"/>
      <c r="AV57" s="106"/>
      <c r="AW57" s="106"/>
      <c r="AX57" s="242"/>
      <c r="AY57" s="244"/>
      <c r="AZ57" s="106"/>
      <c r="BA57" s="106"/>
      <c r="BB57" s="106"/>
      <c r="BC57" s="106"/>
      <c r="BD57" s="242"/>
      <c r="BE57" s="244"/>
      <c r="BF57" s="242"/>
      <c r="BG57" s="244"/>
      <c r="BH57" s="106"/>
      <c r="BI57" s="32"/>
    </row>
    <row r="58" spans="1:61" ht="13.15" x14ac:dyDescent="0.4">
      <c r="A58" s="248"/>
      <c r="B58" s="255"/>
      <c r="C58" s="248"/>
      <c r="D58" s="248"/>
      <c r="E58" s="248"/>
      <c r="F58" s="250"/>
      <c r="G58" s="248"/>
      <c r="H58" s="32"/>
      <c r="I58" s="248"/>
      <c r="J58" s="248"/>
      <c r="K58" s="251"/>
      <c r="L58" s="238"/>
      <c r="M58" s="248"/>
      <c r="N58" s="248"/>
      <c r="O58" s="248"/>
      <c r="P58" s="250"/>
      <c r="Q58" s="252"/>
      <c r="R58" s="248"/>
      <c r="S58" s="248"/>
      <c r="T58" s="248"/>
      <c r="U58" s="248"/>
      <c r="V58" s="248"/>
      <c r="W58" s="248"/>
      <c r="X58" s="248"/>
      <c r="Y58" s="248"/>
      <c r="Z58" s="253"/>
      <c r="AA58" s="253"/>
      <c r="AB58" s="253"/>
      <c r="AC58" s="253"/>
      <c r="AD58" s="253"/>
      <c r="AE58" s="253"/>
      <c r="AF58" s="254"/>
      <c r="AG58" s="106"/>
      <c r="AH58" s="106"/>
      <c r="AI58" s="106"/>
      <c r="AJ58" s="242"/>
      <c r="AK58" s="243"/>
      <c r="AL58" s="106"/>
      <c r="AM58" s="106"/>
      <c r="AN58" s="106"/>
      <c r="AO58" s="106"/>
      <c r="AP58" s="106"/>
      <c r="AQ58" s="242"/>
      <c r="AR58" s="244"/>
      <c r="AS58" s="106"/>
      <c r="AT58" s="106"/>
      <c r="AU58" s="106"/>
      <c r="AV58" s="106"/>
      <c r="AW58" s="106"/>
      <c r="AX58" s="242"/>
      <c r="AY58" s="244"/>
      <c r="AZ58" s="106"/>
      <c r="BA58" s="106"/>
      <c r="BB58" s="106"/>
      <c r="BC58" s="106"/>
      <c r="BD58" s="242"/>
      <c r="BE58" s="244"/>
      <c r="BF58" s="242"/>
      <c r="BG58" s="244"/>
      <c r="BH58" s="106"/>
      <c r="BI58" s="32"/>
    </row>
    <row r="59" spans="1:61" ht="13.15" x14ac:dyDescent="0.4">
      <c r="A59" s="248"/>
      <c r="B59" s="255"/>
      <c r="C59" s="248"/>
      <c r="D59" s="248"/>
      <c r="E59" s="248"/>
      <c r="F59" s="250"/>
      <c r="G59" s="248"/>
      <c r="H59" s="32"/>
      <c r="I59" s="248"/>
      <c r="J59" s="248"/>
      <c r="K59" s="251"/>
      <c r="L59" s="238"/>
      <c r="M59" s="248"/>
      <c r="N59" s="248"/>
      <c r="O59" s="248"/>
      <c r="P59" s="250"/>
      <c r="Q59" s="252"/>
      <c r="R59" s="248"/>
      <c r="S59" s="248"/>
      <c r="T59" s="248"/>
      <c r="U59" s="248"/>
      <c r="V59" s="248"/>
      <c r="W59" s="248"/>
      <c r="X59" s="248"/>
      <c r="Y59" s="248"/>
      <c r="Z59" s="253"/>
      <c r="AA59" s="253"/>
      <c r="AB59" s="253"/>
      <c r="AC59" s="253"/>
      <c r="AD59" s="253"/>
      <c r="AE59" s="253"/>
      <c r="AF59" s="254"/>
      <c r="AG59" s="106"/>
      <c r="AH59" s="106"/>
      <c r="AI59" s="106"/>
      <c r="AJ59" s="242"/>
      <c r="AK59" s="243"/>
      <c r="AL59" s="106"/>
      <c r="AM59" s="106"/>
      <c r="AN59" s="106"/>
      <c r="AO59" s="106"/>
      <c r="AP59" s="106"/>
      <c r="AQ59" s="242"/>
      <c r="AR59" s="244"/>
      <c r="AS59" s="106"/>
      <c r="AT59" s="106"/>
      <c r="AU59" s="106"/>
      <c r="AV59" s="106"/>
      <c r="AW59" s="106"/>
      <c r="AX59" s="242"/>
      <c r="AY59" s="244"/>
      <c r="AZ59" s="106"/>
      <c r="BA59" s="106"/>
      <c r="BB59" s="106"/>
      <c r="BC59" s="106"/>
      <c r="BD59" s="242"/>
      <c r="BE59" s="244"/>
      <c r="BF59" s="242"/>
      <c r="BG59" s="244"/>
      <c r="BH59" s="106"/>
      <c r="BI59" s="32"/>
    </row>
    <row r="60" spans="1:61" ht="13.15" x14ac:dyDescent="0.4">
      <c r="A60" s="248"/>
      <c r="B60" s="255"/>
      <c r="C60" s="248"/>
      <c r="D60" s="248"/>
      <c r="E60" s="248"/>
      <c r="F60" s="250"/>
      <c r="G60" s="248"/>
      <c r="H60" s="32"/>
      <c r="I60" s="248"/>
      <c r="J60" s="248"/>
      <c r="K60" s="251"/>
      <c r="L60" s="238"/>
      <c r="M60" s="248"/>
      <c r="N60" s="248"/>
      <c r="O60" s="248"/>
      <c r="P60" s="250"/>
      <c r="Q60" s="252"/>
      <c r="R60" s="248"/>
      <c r="S60" s="248"/>
      <c r="T60" s="248"/>
      <c r="U60" s="248"/>
      <c r="V60" s="248"/>
      <c r="W60" s="248"/>
      <c r="X60" s="248"/>
      <c r="Y60" s="248"/>
      <c r="Z60" s="253"/>
      <c r="AA60" s="253"/>
      <c r="AB60" s="253"/>
      <c r="AC60" s="253"/>
      <c r="AD60" s="253"/>
      <c r="AE60" s="253"/>
      <c r="AF60" s="254"/>
      <c r="AG60" s="106"/>
      <c r="AH60" s="106"/>
      <c r="AI60" s="106"/>
      <c r="AJ60" s="242"/>
      <c r="AK60" s="243"/>
      <c r="AL60" s="106"/>
      <c r="AM60" s="106"/>
      <c r="AN60" s="106"/>
      <c r="AO60" s="106"/>
      <c r="AP60" s="106"/>
      <c r="AQ60" s="242"/>
      <c r="AR60" s="244"/>
      <c r="AS60" s="106"/>
      <c r="AT60" s="106"/>
      <c r="AU60" s="106"/>
      <c r="AV60" s="106"/>
      <c r="AW60" s="106"/>
      <c r="AX60" s="242"/>
      <c r="AY60" s="244"/>
      <c r="AZ60" s="106"/>
      <c r="BA60" s="106"/>
      <c r="BB60" s="106"/>
      <c r="BC60" s="106"/>
      <c r="BD60" s="242"/>
      <c r="BE60" s="244"/>
      <c r="BF60" s="242"/>
      <c r="BG60" s="244"/>
      <c r="BH60" s="106"/>
      <c r="BI60" s="32"/>
    </row>
    <row r="61" spans="1:61" ht="13.15" x14ac:dyDescent="0.4">
      <c r="A61" s="248"/>
      <c r="B61" s="255"/>
      <c r="C61" s="248"/>
      <c r="D61" s="248"/>
      <c r="E61" s="248"/>
      <c r="F61" s="250"/>
      <c r="G61" s="248"/>
      <c r="H61" s="32"/>
      <c r="I61" s="248"/>
      <c r="J61" s="248"/>
      <c r="K61" s="251"/>
      <c r="L61" s="238"/>
      <c r="M61" s="248"/>
      <c r="N61" s="248"/>
      <c r="O61" s="248"/>
      <c r="P61" s="250"/>
      <c r="Q61" s="252"/>
      <c r="R61" s="248"/>
      <c r="S61" s="248"/>
      <c r="T61" s="248"/>
      <c r="U61" s="248"/>
      <c r="V61" s="248"/>
      <c r="W61" s="248"/>
      <c r="X61" s="248"/>
      <c r="Y61" s="248"/>
      <c r="Z61" s="253"/>
      <c r="AA61" s="253"/>
      <c r="AB61" s="253"/>
      <c r="AC61" s="253"/>
      <c r="AD61" s="253"/>
      <c r="AE61" s="253"/>
      <c r="AF61" s="254"/>
      <c r="AG61" s="106"/>
      <c r="AH61" s="106"/>
      <c r="AI61" s="106"/>
      <c r="AJ61" s="242"/>
      <c r="AK61" s="243"/>
      <c r="AL61" s="106"/>
      <c r="AM61" s="106"/>
      <c r="AN61" s="106"/>
      <c r="AO61" s="106"/>
      <c r="AP61" s="106"/>
      <c r="AQ61" s="242"/>
      <c r="AR61" s="244"/>
      <c r="AS61" s="106"/>
      <c r="AT61" s="106"/>
      <c r="AU61" s="106"/>
      <c r="AV61" s="106"/>
      <c r="AW61" s="106"/>
      <c r="AX61" s="242"/>
      <c r="AY61" s="244"/>
      <c r="AZ61" s="106"/>
      <c r="BA61" s="106"/>
      <c r="BB61" s="106"/>
      <c r="BC61" s="106"/>
      <c r="BD61" s="242"/>
      <c r="BE61" s="244"/>
      <c r="BF61" s="242"/>
      <c r="BG61" s="244"/>
      <c r="BH61" s="106"/>
      <c r="BI61" s="32"/>
    </row>
    <row r="62" spans="1:61" ht="13.15" x14ac:dyDescent="0.4">
      <c r="A62" s="248"/>
      <c r="B62" s="255"/>
      <c r="C62" s="248"/>
      <c r="D62" s="248"/>
      <c r="E62" s="248"/>
      <c r="F62" s="250"/>
      <c r="G62" s="248"/>
      <c r="H62" s="32"/>
      <c r="I62" s="248"/>
      <c r="J62" s="248"/>
      <c r="K62" s="251"/>
      <c r="L62" s="238"/>
      <c r="M62" s="248"/>
      <c r="N62" s="248"/>
      <c r="O62" s="248"/>
      <c r="P62" s="250"/>
      <c r="Q62" s="252"/>
      <c r="R62" s="248"/>
      <c r="S62" s="248"/>
      <c r="T62" s="248"/>
      <c r="U62" s="248"/>
      <c r="V62" s="248"/>
      <c r="W62" s="248"/>
      <c r="X62" s="248"/>
      <c r="Y62" s="248"/>
      <c r="Z62" s="253"/>
      <c r="AA62" s="253"/>
      <c r="AB62" s="253"/>
      <c r="AC62" s="253"/>
      <c r="AD62" s="253"/>
      <c r="AE62" s="253"/>
      <c r="AF62" s="254"/>
      <c r="AG62" s="106"/>
      <c r="AH62" s="106"/>
      <c r="AI62" s="106"/>
      <c r="AJ62" s="242"/>
      <c r="AK62" s="243"/>
      <c r="AL62" s="106"/>
      <c r="AM62" s="106"/>
      <c r="AN62" s="106"/>
      <c r="AO62" s="106"/>
      <c r="AP62" s="106"/>
      <c r="AQ62" s="242"/>
      <c r="AR62" s="244"/>
      <c r="AS62" s="106"/>
      <c r="AT62" s="106"/>
      <c r="AU62" s="106"/>
      <c r="AV62" s="106"/>
      <c r="AW62" s="106"/>
      <c r="AX62" s="242"/>
      <c r="AY62" s="244"/>
      <c r="AZ62" s="106"/>
      <c r="BA62" s="106"/>
      <c r="BB62" s="106"/>
      <c r="BC62" s="106"/>
      <c r="BD62" s="242"/>
      <c r="BE62" s="244"/>
      <c r="BF62" s="242"/>
      <c r="BG62" s="244"/>
      <c r="BH62" s="106"/>
      <c r="BI62" s="32"/>
    </row>
    <row r="63" spans="1:61" ht="13.15" x14ac:dyDescent="0.4">
      <c r="A63" s="248"/>
      <c r="B63" s="255"/>
      <c r="C63" s="248"/>
      <c r="D63" s="248"/>
      <c r="E63" s="248"/>
      <c r="F63" s="250"/>
      <c r="G63" s="248"/>
      <c r="H63" s="32"/>
      <c r="I63" s="248"/>
      <c r="J63" s="248"/>
      <c r="K63" s="251"/>
      <c r="L63" s="238"/>
      <c r="M63" s="248"/>
      <c r="N63" s="248"/>
      <c r="O63" s="248"/>
      <c r="P63" s="250"/>
      <c r="Q63" s="252"/>
      <c r="R63" s="248"/>
      <c r="S63" s="248"/>
      <c r="T63" s="248"/>
      <c r="U63" s="248"/>
      <c r="V63" s="248"/>
      <c r="W63" s="248"/>
      <c r="X63" s="248"/>
      <c r="Y63" s="248"/>
      <c r="Z63" s="253"/>
      <c r="AA63" s="253"/>
      <c r="AB63" s="253"/>
      <c r="AC63" s="253"/>
      <c r="AD63" s="253"/>
      <c r="AE63" s="253"/>
      <c r="AF63" s="254"/>
      <c r="AG63" s="106"/>
      <c r="AH63" s="106"/>
      <c r="AI63" s="106"/>
      <c r="AJ63" s="242"/>
      <c r="AK63" s="243"/>
      <c r="AL63" s="106"/>
      <c r="AM63" s="106"/>
      <c r="AN63" s="106"/>
      <c r="AO63" s="106"/>
      <c r="AP63" s="106"/>
      <c r="AQ63" s="242"/>
      <c r="AR63" s="244"/>
      <c r="AS63" s="106"/>
      <c r="AT63" s="106"/>
      <c r="AU63" s="106"/>
      <c r="AV63" s="106"/>
      <c r="AW63" s="106"/>
      <c r="AX63" s="242"/>
      <c r="AY63" s="244"/>
      <c r="AZ63" s="106"/>
      <c r="BA63" s="106"/>
      <c r="BB63" s="106"/>
      <c r="BC63" s="106"/>
      <c r="BD63" s="242"/>
      <c r="BE63" s="244"/>
      <c r="BF63" s="242"/>
      <c r="BG63" s="244"/>
      <c r="BH63" s="106"/>
      <c r="BI63" s="32"/>
    </row>
    <row r="64" spans="1:61" ht="13.15" x14ac:dyDescent="0.4">
      <c r="A64" s="248"/>
      <c r="B64" s="255"/>
      <c r="C64" s="248"/>
      <c r="D64" s="248"/>
      <c r="E64" s="248"/>
      <c r="F64" s="250"/>
      <c r="G64" s="248"/>
      <c r="H64" s="32"/>
      <c r="I64" s="248"/>
      <c r="J64" s="248"/>
      <c r="K64" s="251"/>
      <c r="L64" s="238"/>
      <c r="M64" s="248"/>
      <c r="N64" s="248"/>
      <c r="O64" s="248"/>
      <c r="P64" s="250"/>
      <c r="Q64" s="252"/>
      <c r="R64" s="248"/>
      <c r="S64" s="248"/>
      <c r="T64" s="248"/>
      <c r="U64" s="248"/>
      <c r="V64" s="248"/>
      <c r="W64" s="248"/>
      <c r="X64" s="248"/>
      <c r="Y64" s="248"/>
      <c r="Z64" s="253"/>
      <c r="AA64" s="253"/>
      <c r="AB64" s="253"/>
      <c r="AC64" s="253"/>
      <c r="AD64" s="253"/>
      <c r="AE64" s="253"/>
      <c r="AF64" s="254"/>
      <c r="AG64" s="106"/>
      <c r="AH64" s="106"/>
      <c r="AI64" s="106"/>
      <c r="AJ64" s="242"/>
      <c r="AK64" s="243"/>
      <c r="AL64" s="106"/>
      <c r="AM64" s="106"/>
      <c r="AN64" s="106"/>
      <c r="AO64" s="106"/>
      <c r="AP64" s="106"/>
      <c r="AQ64" s="242"/>
      <c r="AR64" s="244"/>
      <c r="AS64" s="106"/>
      <c r="AT64" s="106"/>
      <c r="AU64" s="106"/>
      <c r="AV64" s="106"/>
      <c r="AW64" s="106"/>
      <c r="AX64" s="242"/>
      <c r="AY64" s="244"/>
      <c r="AZ64" s="106"/>
      <c r="BA64" s="106"/>
      <c r="BB64" s="106"/>
      <c r="BC64" s="106"/>
      <c r="BD64" s="242"/>
      <c r="BE64" s="244"/>
      <c r="BF64" s="242"/>
      <c r="BG64" s="244"/>
      <c r="BH64" s="106"/>
      <c r="BI64" s="32"/>
    </row>
    <row r="65" spans="1:61" ht="13.15" x14ac:dyDescent="0.4">
      <c r="A65" s="248"/>
      <c r="B65" s="255"/>
      <c r="C65" s="248"/>
      <c r="D65" s="248"/>
      <c r="E65" s="248"/>
      <c r="F65" s="250"/>
      <c r="G65" s="248"/>
      <c r="H65" s="32"/>
      <c r="I65" s="248"/>
      <c r="J65" s="248"/>
      <c r="K65" s="251"/>
      <c r="L65" s="238"/>
      <c r="M65" s="248"/>
      <c r="N65" s="248"/>
      <c r="O65" s="248"/>
      <c r="P65" s="250"/>
      <c r="Q65" s="252"/>
      <c r="R65" s="248"/>
      <c r="S65" s="248"/>
      <c r="T65" s="248"/>
      <c r="U65" s="248"/>
      <c r="V65" s="248"/>
      <c r="W65" s="248"/>
      <c r="X65" s="248"/>
      <c r="Y65" s="248"/>
      <c r="Z65" s="253"/>
      <c r="AA65" s="253"/>
      <c r="AB65" s="253"/>
      <c r="AC65" s="253"/>
      <c r="AD65" s="253"/>
      <c r="AE65" s="253"/>
      <c r="AF65" s="254"/>
      <c r="AG65" s="106"/>
      <c r="AH65" s="106"/>
      <c r="AI65" s="106"/>
      <c r="AJ65" s="242"/>
      <c r="AK65" s="243"/>
      <c r="AL65" s="106"/>
      <c r="AM65" s="106"/>
      <c r="AN65" s="106"/>
      <c r="AO65" s="106"/>
      <c r="AP65" s="106"/>
      <c r="AQ65" s="242"/>
      <c r="AR65" s="244"/>
      <c r="AS65" s="106"/>
      <c r="AT65" s="106"/>
      <c r="AU65" s="106"/>
      <c r="AV65" s="106"/>
      <c r="AW65" s="106"/>
      <c r="AX65" s="242"/>
      <c r="AY65" s="244"/>
      <c r="AZ65" s="106"/>
      <c r="BA65" s="106"/>
      <c r="BB65" s="106"/>
      <c r="BC65" s="106"/>
      <c r="BD65" s="242"/>
      <c r="BE65" s="244"/>
      <c r="BF65" s="242"/>
      <c r="BG65" s="244"/>
      <c r="BH65" s="106"/>
      <c r="BI65" s="32"/>
    </row>
    <row r="66" spans="1:61" ht="13.15" x14ac:dyDescent="0.4">
      <c r="A66" s="248"/>
      <c r="B66" s="255"/>
      <c r="C66" s="248"/>
      <c r="D66" s="248"/>
      <c r="E66" s="248"/>
      <c r="F66" s="250"/>
      <c r="G66" s="248"/>
      <c r="H66" s="32"/>
      <c r="I66" s="248"/>
      <c r="J66" s="248"/>
      <c r="K66" s="251"/>
      <c r="L66" s="238"/>
      <c r="M66" s="248"/>
      <c r="N66" s="248"/>
      <c r="O66" s="248"/>
      <c r="P66" s="250"/>
      <c r="Q66" s="252"/>
      <c r="R66" s="248"/>
      <c r="S66" s="248"/>
      <c r="T66" s="248"/>
      <c r="U66" s="248"/>
      <c r="V66" s="248"/>
      <c r="W66" s="248"/>
      <c r="X66" s="248"/>
      <c r="Y66" s="248"/>
      <c r="Z66" s="253"/>
      <c r="AA66" s="253"/>
      <c r="AB66" s="253"/>
      <c r="AC66" s="253"/>
      <c r="AD66" s="253"/>
      <c r="AE66" s="253"/>
      <c r="AF66" s="254"/>
      <c r="AG66" s="106"/>
      <c r="AH66" s="106"/>
      <c r="AI66" s="106"/>
      <c r="AJ66" s="242"/>
      <c r="AK66" s="243"/>
      <c r="AL66" s="106"/>
      <c r="AM66" s="106"/>
      <c r="AN66" s="106"/>
      <c r="AO66" s="106"/>
      <c r="AP66" s="106"/>
      <c r="AQ66" s="242"/>
      <c r="AR66" s="244"/>
      <c r="AS66" s="106"/>
      <c r="AT66" s="106"/>
      <c r="AU66" s="106"/>
      <c r="AV66" s="106"/>
      <c r="AW66" s="106"/>
      <c r="AX66" s="242"/>
      <c r="AY66" s="244"/>
      <c r="AZ66" s="106"/>
      <c r="BA66" s="106"/>
      <c r="BB66" s="106"/>
      <c r="BC66" s="106"/>
      <c r="BD66" s="242"/>
      <c r="BE66" s="244"/>
      <c r="BF66" s="242"/>
      <c r="BG66" s="244"/>
      <c r="BH66" s="106"/>
      <c r="BI66" s="32"/>
    </row>
    <row r="67" spans="1:61" ht="13.15" x14ac:dyDescent="0.4">
      <c r="A67" s="248"/>
      <c r="B67" s="255"/>
      <c r="C67" s="248"/>
      <c r="D67" s="248"/>
      <c r="E67" s="248"/>
      <c r="F67" s="250"/>
      <c r="G67" s="248"/>
      <c r="H67" s="32"/>
      <c r="I67" s="248"/>
      <c r="J67" s="248"/>
      <c r="K67" s="251"/>
      <c r="L67" s="238"/>
      <c r="M67" s="248"/>
      <c r="N67" s="248"/>
      <c r="O67" s="248"/>
      <c r="P67" s="250"/>
      <c r="Q67" s="252"/>
      <c r="R67" s="248"/>
      <c r="S67" s="248"/>
      <c r="T67" s="248"/>
      <c r="U67" s="248"/>
      <c r="V67" s="248"/>
      <c r="W67" s="248"/>
      <c r="X67" s="248"/>
      <c r="Y67" s="248"/>
      <c r="Z67" s="253"/>
      <c r="AA67" s="253"/>
      <c r="AB67" s="253"/>
      <c r="AC67" s="253"/>
      <c r="AD67" s="253"/>
      <c r="AE67" s="253"/>
      <c r="AF67" s="254"/>
      <c r="AG67" s="106"/>
      <c r="AH67" s="106"/>
      <c r="AI67" s="106"/>
      <c r="AJ67" s="242"/>
      <c r="AK67" s="243"/>
      <c r="AL67" s="106"/>
      <c r="AM67" s="106"/>
      <c r="AN67" s="106"/>
      <c r="AO67" s="106"/>
      <c r="AP67" s="106"/>
      <c r="AQ67" s="242"/>
      <c r="AR67" s="244"/>
      <c r="AS67" s="106"/>
      <c r="AT67" s="106"/>
      <c r="AU67" s="106"/>
      <c r="AV67" s="106"/>
      <c r="AW67" s="106"/>
      <c r="AX67" s="242"/>
      <c r="AY67" s="244"/>
      <c r="AZ67" s="106"/>
      <c r="BA67" s="106"/>
      <c r="BB67" s="106"/>
      <c r="BC67" s="106"/>
      <c r="BD67" s="242"/>
      <c r="BE67" s="244"/>
      <c r="BF67" s="242"/>
      <c r="BG67" s="244"/>
      <c r="BH67" s="106"/>
      <c r="BI67" s="32"/>
    </row>
    <row r="68" spans="1:61" ht="13.15" x14ac:dyDescent="0.4">
      <c r="A68" s="248"/>
      <c r="B68" s="255"/>
      <c r="C68" s="248"/>
      <c r="D68" s="248"/>
      <c r="E68" s="248"/>
      <c r="F68" s="250"/>
      <c r="G68" s="248"/>
      <c r="H68" s="32"/>
      <c r="I68" s="248"/>
      <c r="J68" s="248"/>
      <c r="K68" s="251"/>
      <c r="L68" s="238"/>
      <c r="M68" s="248"/>
      <c r="N68" s="248"/>
      <c r="O68" s="248"/>
      <c r="P68" s="250"/>
      <c r="Q68" s="252"/>
      <c r="R68" s="248"/>
      <c r="S68" s="248"/>
      <c r="T68" s="248"/>
      <c r="U68" s="248"/>
      <c r="V68" s="248"/>
      <c r="W68" s="248"/>
      <c r="X68" s="248"/>
      <c r="Y68" s="248"/>
      <c r="Z68" s="253"/>
      <c r="AA68" s="253"/>
      <c r="AB68" s="253"/>
      <c r="AC68" s="253"/>
      <c r="AD68" s="253"/>
      <c r="AE68" s="253"/>
      <c r="AF68" s="254"/>
      <c r="AG68" s="106"/>
      <c r="AH68" s="106"/>
      <c r="AI68" s="106"/>
      <c r="AJ68" s="242"/>
      <c r="AK68" s="243"/>
      <c r="AL68" s="106"/>
      <c r="AM68" s="106"/>
      <c r="AN68" s="106"/>
      <c r="AO68" s="106"/>
      <c r="AP68" s="106"/>
      <c r="AQ68" s="242"/>
      <c r="AR68" s="244"/>
      <c r="AS68" s="106"/>
      <c r="AT68" s="106"/>
      <c r="AU68" s="106"/>
      <c r="AV68" s="106"/>
      <c r="AW68" s="106"/>
      <c r="AX68" s="242"/>
      <c r="AY68" s="244"/>
      <c r="AZ68" s="106"/>
      <c r="BA68" s="106"/>
      <c r="BB68" s="106"/>
      <c r="BC68" s="106"/>
      <c r="BD68" s="242"/>
      <c r="BE68" s="244"/>
      <c r="BF68" s="242"/>
      <c r="BG68" s="244"/>
      <c r="BH68" s="106"/>
      <c r="BI68" s="32"/>
    </row>
    <row r="69" spans="1:61" ht="13.15" x14ac:dyDescent="0.4">
      <c r="A69" s="248"/>
      <c r="B69" s="255"/>
      <c r="C69" s="248"/>
      <c r="D69" s="248"/>
      <c r="E69" s="248"/>
      <c r="F69" s="250"/>
      <c r="G69" s="248"/>
      <c r="H69" s="32"/>
      <c r="I69" s="248"/>
      <c r="J69" s="248"/>
      <c r="K69" s="251"/>
      <c r="L69" s="238"/>
      <c r="M69" s="248"/>
      <c r="N69" s="248"/>
      <c r="O69" s="248"/>
      <c r="P69" s="250"/>
      <c r="Q69" s="252"/>
      <c r="R69" s="248"/>
      <c r="S69" s="248"/>
      <c r="T69" s="248"/>
      <c r="U69" s="248"/>
      <c r="V69" s="248"/>
      <c r="W69" s="248"/>
      <c r="X69" s="248"/>
      <c r="Y69" s="248"/>
      <c r="Z69" s="253"/>
      <c r="AA69" s="253"/>
      <c r="AB69" s="253"/>
      <c r="AC69" s="253"/>
      <c r="AD69" s="253"/>
      <c r="AE69" s="253"/>
      <c r="AF69" s="254"/>
      <c r="AG69" s="106"/>
      <c r="AH69" s="106"/>
      <c r="AI69" s="106"/>
      <c r="AJ69" s="242"/>
      <c r="AK69" s="243"/>
      <c r="AL69" s="106"/>
      <c r="AM69" s="106"/>
      <c r="AN69" s="106"/>
      <c r="AO69" s="106"/>
      <c r="AP69" s="106"/>
      <c r="AQ69" s="242"/>
      <c r="AR69" s="244"/>
      <c r="AS69" s="106"/>
      <c r="AT69" s="106"/>
      <c r="AU69" s="106"/>
      <c r="AV69" s="106"/>
      <c r="AW69" s="106"/>
      <c r="AX69" s="242"/>
      <c r="AY69" s="244"/>
      <c r="AZ69" s="106"/>
      <c r="BA69" s="106"/>
      <c r="BB69" s="106"/>
      <c r="BC69" s="106"/>
      <c r="BD69" s="242"/>
      <c r="BE69" s="244"/>
      <c r="BF69" s="242"/>
      <c r="BG69" s="244"/>
      <c r="BH69" s="106"/>
      <c r="BI69" s="32"/>
    </row>
    <row r="70" spans="1:61" ht="13.15" x14ac:dyDescent="0.4">
      <c r="A70" s="248"/>
      <c r="B70" s="255"/>
      <c r="C70" s="248"/>
      <c r="D70" s="248"/>
      <c r="E70" s="248"/>
      <c r="F70" s="250"/>
      <c r="G70" s="248"/>
      <c r="H70" s="32"/>
      <c r="I70" s="248"/>
      <c r="J70" s="248"/>
      <c r="K70" s="251"/>
      <c r="L70" s="238"/>
      <c r="M70" s="248"/>
      <c r="N70" s="248"/>
      <c r="O70" s="248"/>
      <c r="P70" s="250"/>
      <c r="Q70" s="252"/>
      <c r="R70" s="248"/>
      <c r="S70" s="248"/>
      <c r="T70" s="248"/>
      <c r="U70" s="248"/>
      <c r="V70" s="248"/>
      <c r="W70" s="248"/>
      <c r="X70" s="248"/>
      <c r="Y70" s="248"/>
      <c r="Z70" s="253"/>
      <c r="AA70" s="253"/>
      <c r="AB70" s="253"/>
      <c r="AC70" s="253"/>
      <c r="AD70" s="253"/>
      <c r="AE70" s="253"/>
      <c r="AF70" s="254"/>
      <c r="AG70" s="106"/>
      <c r="AH70" s="106"/>
      <c r="AI70" s="106"/>
      <c r="AJ70" s="242"/>
      <c r="AK70" s="243"/>
      <c r="AL70" s="106"/>
      <c r="AM70" s="106"/>
      <c r="AN70" s="106"/>
      <c r="AO70" s="106"/>
      <c r="AP70" s="106"/>
      <c r="AQ70" s="242"/>
      <c r="AR70" s="244"/>
      <c r="AS70" s="106"/>
      <c r="AT70" s="106"/>
      <c r="AU70" s="106"/>
      <c r="AV70" s="106"/>
      <c r="AW70" s="106"/>
      <c r="AX70" s="242"/>
      <c r="AY70" s="244"/>
      <c r="AZ70" s="106"/>
      <c r="BA70" s="106"/>
      <c r="BB70" s="106"/>
      <c r="BC70" s="106"/>
      <c r="BD70" s="242"/>
      <c r="BE70" s="244"/>
      <c r="BF70" s="242"/>
      <c r="BG70" s="244"/>
      <c r="BH70" s="106"/>
      <c r="BI70" s="32"/>
    </row>
    <row r="71" spans="1:61" ht="13.15" x14ac:dyDescent="0.4">
      <c r="A71" s="248"/>
      <c r="B71" s="255"/>
      <c r="C71" s="248"/>
      <c r="D71" s="248"/>
      <c r="E71" s="248"/>
      <c r="F71" s="250"/>
      <c r="G71" s="248"/>
      <c r="H71" s="32"/>
      <c r="I71" s="248"/>
      <c r="J71" s="248"/>
      <c r="K71" s="251"/>
      <c r="L71" s="238"/>
      <c r="M71" s="248"/>
      <c r="N71" s="248"/>
      <c r="O71" s="248"/>
      <c r="P71" s="250"/>
      <c r="Q71" s="252"/>
      <c r="R71" s="248"/>
      <c r="S71" s="248"/>
      <c r="T71" s="248"/>
      <c r="U71" s="248"/>
      <c r="V71" s="248"/>
      <c r="W71" s="248"/>
      <c r="X71" s="248"/>
      <c r="Y71" s="248"/>
      <c r="Z71" s="253"/>
      <c r="AA71" s="253"/>
      <c r="AB71" s="253"/>
      <c r="AC71" s="253"/>
      <c r="AD71" s="253"/>
      <c r="AE71" s="253"/>
      <c r="AF71" s="254"/>
      <c r="AG71" s="106"/>
      <c r="AH71" s="106"/>
      <c r="AI71" s="106"/>
      <c r="AJ71" s="242"/>
      <c r="AK71" s="243"/>
      <c r="AL71" s="106"/>
      <c r="AM71" s="106"/>
      <c r="AN71" s="106"/>
      <c r="AO71" s="106"/>
      <c r="AP71" s="106"/>
      <c r="AQ71" s="242"/>
      <c r="AR71" s="244"/>
      <c r="AS71" s="106"/>
      <c r="AT71" s="106"/>
      <c r="AU71" s="106"/>
      <c r="AV71" s="106"/>
      <c r="AW71" s="106"/>
      <c r="AX71" s="242"/>
      <c r="AY71" s="244"/>
      <c r="AZ71" s="106"/>
      <c r="BA71" s="106"/>
      <c r="BB71" s="106"/>
      <c r="BC71" s="106"/>
      <c r="BD71" s="242"/>
      <c r="BE71" s="244"/>
      <c r="BF71" s="242"/>
      <c r="BG71" s="244"/>
      <c r="BH71" s="106"/>
      <c r="BI71" s="32"/>
    </row>
    <row r="72" spans="1:61" ht="13.15" x14ac:dyDescent="0.4">
      <c r="A72" s="248"/>
      <c r="B72" s="255"/>
      <c r="C72" s="248"/>
      <c r="D72" s="248"/>
      <c r="E72" s="248"/>
      <c r="F72" s="250"/>
      <c r="G72" s="248"/>
      <c r="H72" s="32"/>
      <c r="I72" s="248"/>
      <c r="J72" s="248"/>
      <c r="K72" s="251"/>
      <c r="L72" s="238"/>
      <c r="M72" s="248"/>
      <c r="N72" s="248"/>
      <c r="O72" s="248"/>
      <c r="P72" s="250"/>
      <c r="Q72" s="252"/>
      <c r="R72" s="248"/>
      <c r="S72" s="248"/>
      <c r="T72" s="248"/>
      <c r="U72" s="248"/>
      <c r="V72" s="248"/>
      <c r="W72" s="248"/>
      <c r="X72" s="248"/>
      <c r="Y72" s="248"/>
      <c r="Z72" s="253"/>
      <c r="AA72" s="253"/>
      <c r="AB72" s="253"/>
      <c r="AC72" s="253"/>
      <c r="AD72" s="253"/>
      <c r="AE72" s="253"/>
      <c r="AF72" s="254"/>
      <c r="AG72" s="106"/>
      <c r="AH72" s="106"/>
      <c r="AI72" s="106"/>
      <c r="AJ72" s="242"/>
      <c r="AK72" s="243"/>
      <c r="AL72" s="106"/>
      <c r="AM72" s="106"/>
      <c r="AN72" s="106"/>
      <c r="AO72" s="106"/>
      <c r="AP72" s="106"/>
      <c r="AQ72" s="242"/>
      <c r="AR72" s="244"/>
      <c r="AS72" s="106"/>
      <c r="AT72" s="106"/>
      <c r="AU72" s="106"/>
      <c r="AV72" s="106"/>
      <c r="AW72" s="106"/>
      <c r="AX72" s="242"/>
      <c r="AY72" s="244"/>
      <c r="AZ72" s="106"/>
      <c r="BA72" s="106"/>
      <c r="BB72" s="106"/>
      <c r="BC72" s="106"/>
      <c r="BD72" s="242"/>
      <c r="BE72" s="244"/>
      <c r="BF72" s="242"/>
      <c r="BG72" s="244"/>
      <c r="BH72" s="106"/>
      <c r="BI72" s="32"/>
    </row>
    <row r="73" spans="1:61" ht="13.15" x14ac:dyDescent="0.4">
      <c r="A73" s="248"/>
      <c r="B73" s="255"/>
      <c r="C73" s="248"/>
      <c r="D73" s="248"/>
      <c r="E73" s="248"/>
      <c r="F73" s="250"/>
      <c r="G73" s="248"/>
      <c r="H73" s="32"/>
      <c r="I73" s="248"/>
      <c r="J73" s="248"/>
      <c r="K73" s="251"/>
      <c r="L73" s="238"/>
      <c r="M73" s="248"/>
      <c r="N73" s="248"/>
      <c r="O73" s="248"/>
      <c r="P73" s="250"/>
      <c r="Q73" s="252"/>
      <c r="R73" s="248"/>
      <c r="S73" s="248"/>
      <c r="T73" s="248"/>
      <c r="U73" s="248"/>
      <c r="V73" s="248"/>
      <c r="W73" s="248"/>
      <c r="X73" s="248"/>
      <c r="Y73" s="248"/>
      <c r="Z73" s="253"/>
      <c r="AA73" s="253"/>
      <c r="AB73" s="253"/>
      <c r="AC73" s="253"/>
      <c r="AD73" s="253"/>
      <c r="AE73" s="253"/>
      <c r="AF73" s="254"/>
      <c r="AG73" s="106"/>
      <c r="AH73" s="106"/>
      <c r="AI73" s="106"/>
      <c r="AJ73" s="242"/>
      <c r="AK73" s="243"/>
      <c r="AL73" s="106"/>
      <c r="AM73" s="106"/>
      <c r="AN73" s="106"/>
      <c r="AO73" s="106"/>
      <c r="AP73" s="106"/>
      <c r="AQ73" s="242"/>
      <c r="AR73" s="244"/>
      <c r="AS73" s="106"/>
      <c r="AT73" s="106"/>
      <c r="AU73" s="106"/>
      <c r="AV73" s="106"/>
      <c r="AW73" s="106"/>
      <c r="AX73" s="242"/>
      <c r="AY73" s="244"/>
      <c r="AZ73" s="106"/>
      <c r="BA73" s="106"/>
      <c r="BB73" s="106"/>
      <c r="BC73" s="106"/>
      <c r="BD73" s="242"/>
      <c r="BE73" s="244"/>
      <c r="BF73" s="242"/>
      <c r="BG73" s="244"/>
      <c r="BH73" s="106"/>
      <c r="BI73" s="32"/>
    </row>
    <row r="74" spans="1:61" ht="13.15" x14ac:dyDescent="0.4">
      <c r="A74" s="248"/>
      <c r="B74" s="255"/>
      <c r="C74" s="248"/>
      <c r="D74" s="248"/>
      <c r="E74" s="248"/>
      <c r="F74" s="250"/>
      <c r="G74" s="248"/>
      <c r="H74" s="32"/>
      <c r="I74" s="248"/>
      <c r="J74" s="248"/>
      <c r="K74" s="251"/>
      <c r="L74" s="238"/>
      <c r="M74" s="248"/>
      <c r="N74" s="248"/>
      <c r="O74" s="248"/>
      <c r="P74" s="250"/>
      <c r="Q74" s="252"/>
      <c r="R74" s="248"/>
      <c r="S74" s="248"/>
      <c r="T74" s="248"/>
      <c r="U74" s="248"/>
      <c r="V74" s="248"/>
      <c r="W74" s="248"/>
      <c r="X74" s="248"/>
      <c r="Y74" s="248"/>
      <c r="Z74" s="253"/>
      <c r="AA74" s="253"/>
      <c r="AB74" s="253"/>
      <c r="AC74" s="253"/>
      <c r="AD74" s="253"/>
      <c r="AE74" s="253"/>
      <c r="AF74" s="254"/>
      <c r="AG74" s="106"/>
      <c r="AH74" s="106"/>
      <c r="AI74" s="106"/>
      <c r="AJ74" s="242"/>
      <c r="AK74" s="243"/>
      <c r="AL74" s="106"/>
      <c r="AM74" s="106"/>
      <c r="AN74" s="106"/>
      <c r="AO74" s="106"/>
      <c r="AP74" s="106"/>
      <c r="AQ74" s="242"/>
      <c r="AR74" s="244"/>
      <c r="AS74" s="106"/>
      <c r="AT74" s="106"/>
      <c r="AU74" s="106"/>
      <c r="AV74" s="106"/>
      <c r="AW74" s="106"/>
      <c r="AX74" s="242"/>
      <c r="AY74" s="244"/>
      <c r="AZ74" s="106"/>
      <c r="BA74" s="106"/>
      <c r="BB74" s="106"/>
      <c r="BC74" s="106"/>
      <c r="BD74" s="242"/>
      <c r="BE74" s="244"/>
      <c r="BF74" s="242"/>
      <c r="BG74" s="244"/>
      <c r="BH74" s="106"/>
      <c r="BI74" s="32"/>
    </row>
    <row r="75" spans="1:61" ht="13.15" x14ac:dyDescent="0.4">
      <c r="A75" s="248"/>
      <c r="B75" s="255"/>
      <c r="C75" s="248"/>
      <c r="D75" s="248"/>
      <c r="E75" s="248"/>
      <c r="F75" s="250"/>
      <c r="G75" s="248"/>
      <c r="H75" s="32"/>
      <c r="I75" s="248"/>
      <c r="J75" s="248"/>
      <c r="K75" s="251"/>
      <c r="L75" s="238"/>
      <c r="M75" s="248"/>
      <c r="N75" s="248"/>
      <c r="O75" s="248"/>
      <c r="P75" s="250"/>
      <c r="Q75" s="252"/>
      <c r="R75" s="248"/>
      <c r="S75" s="248"/>
      <c r="T75" s="248"/>
      <c r="U75" s="248"/>
      <c r="V75" s="248"/>
      <c r="W75" s="248"/>
      <c r="X75" s="248"/>
      <c r="Y75" s="248"/>
      <c r="Z75" s="253"/>
      <c r="AA75" s="253"/>
      <c r="AB75" s="253"/>
      <c r="AC75" s="253"/>
      <c r="AD75" s="253"/>
      <c r="AE75" s="253"/>
      <c r="AF75" s="254"/>
      <c r="AG75" s="106"/>
      <c r="AH75" s="106"/>
      <c r="AI75" s="106"/>
      <c r="AJ75" s="242"/>
      <c r="AK75" s="243"/>
      <c r="AL75" s="106"/>
      <c r="AM75" s="106"/>
      <c r="AN75" s="106"/>
      <c r="AO75" s="106"/>
      <c r="AP75" s="106"/>
      <c r="AQ75" s="242"/>
      <c r="AR75" s="244"/>
      <c r="AS75" s="106"/>
      <c r="AT75" s="106"/>
      <c r="AU75" s="106"/>
      <c r="AV75" s="106"/>
      <c r="AW75" s="106"/>
      <c r="AX75" s="242"/>
      <c r="AY75" s="244"/>
      <c r="AZ75" s="106"/>
      <c r="BA75" s="106"/>
      <c r="BB75" s="106"/>
      <c r="BC75" s="106"/>
      <c r="BD75" s="242"/>
      <c r="BE75" s="244"/>
      <c r="BF75" s="242"/>
      <c r="BG75" s="244"/>
      <c r="BH75" s="106"/>
      <c r="BI75" s="32"/>
    </row>
    <row r="76" spans="1:61" ht="13.15" x14ac:dyDescent="0.4">
      <c r="A76" s="248"/>
      <c r="B76" s="255"/>
      <c r="C76" s="248"/>
      <c r="D76" s="248"/>
      <c r="E76" s="248"/>
      <c r="F76" s="250"/>
      <c r="G76" s="248"/>
      <c r="H76" s="32"/>
      <c r="I76" s="248"/>
      <c r="J76" s="248"/>
      <c r="K76" s="251"/>
      <c r="L76" s="238"/>
      <c r="M76" s="248"/>
      <c r="N76" s="248"/>
      <c r="O76" s="248"/>
      <c r="P76" s="250"/>
      <c r="Q76" s="252"/>
      <c r="R76" s="248"/>
      <c r="S76" s="248"/>
      <c r="T76" s="248"/>
      <c r="U76" s="248"/>
      <c r="V76" s="248"/>
      <c r="W76" s="248"/>
      <c r="X76" s="248"/>
      <c r="Y76" s="248"/>
      <c r="Z76" s="253"/>
      <c r="AA76" s="253"/>
      <c r="AB76" s="253"/>
      <c r="AC76" s="253"/>
      <c r="AD76" s="253"/>
      <c r="AE76" s="253"/>
      <c r="AF76" s="254"/>
      <c r="AG76" s="106"/>
      <c r="AH76" s="106"/>
      <c r="AI76" s="106"/>
      <c r="AJ76" s="242"/>
      <c r="AK76" s="243"/>
      <c r="AL76" s="106"/>
      <c r="AM76" s="106"/>
      <c r="AN76" s="106"/>
      <c r="AO76" s="106"/>
      <c r="AP76" s="106"/>
      <c r="AQ76" s="242"/>
      <c r="AR76" s="244"/>
      <c r="AS76" s="106"/>
      <c r="AT76" s="106"/>
      <c r="AU76" s="106"/>
      <c r="AV76" s="106"/>
      <c r="AW76" s="106"/>
      <c r="AX76" s="242"/>
      <c r="AY76" s="244"/>
      <c r="AZ76" s="106"/>
      <c r="BA76" s="106"/>
      <c r="BB76" s="106"/>
      <c r="BC76" s="106"/>
      <c r="BD76" s="242"/>
      <c r="BE76" s="244"/>
      <c r="BF76" s="242"/>
      <c r="BG76" s="244"/>
      <c r="BH76" s="106"/>
      <c r="BI76" s="32"/>
    </row>
    <row r="77" spans="1:61" ht="13.15" x14ac:dyDescent="0.4">
      <c r="A77" s="248"/>
      <c r="B77" s="255"/>
      <c r="C77" s="248"/>
      <c r="D77" s="248"/>
      <c r="E77" s="248"/>
      <c r="F77" s="250"/>
      <c r="G77" s="248"/>
      <c r="H77" s="32"/>
      <c r="I77" s="248"/>
      <c r="J77" s="248"/>
      <c r="K77" s="251"/>
      <c r="L77" s="238"/>
      <c r="M77" s="248"/>
      <c r="N77" s="248"/>
      <c r="O77" s="248"/>
      <c r="P77" s="250"/>
      <c r="Q77" s="252"/>
      <c r="R77" s="248"/>
      <c r="S77" s="248"/>
      <c r="T77" s="248"/>
      <c r="U77" s="248"/>
      <c r="V77" s="248"/>
      <c r="W77" s="248"/>
      <c r="X77" s="248"/>
      <c r="Y77" s="248"/>
      <c r="Z77" s="253"/>
      <c r="AA77" s="253"/>
      <c r="AB77" s="253"/>
      <c r="AC77" s="253"/>
      <c r="AD77" s="253"/>
      <c r="AE77" s="253"/>
      <c r="AF77" s="254"/>
      <c r="AG77" s="106"/>
      <c r="AH77" s="106"/>
      <c r="AI77" s="106"/>
      <c r="AJ77" s="242"/>
      <c r="AK77" s="243"/>
      <c r="AL77" s="106"/>
      <c r="AM77" s="106"/>
      <c r="AN77" s="106"/>
      <c r="AO77" s="106"/>
      <c r="AP77" s="106"/>
      <c r="AQ77" s="242"/>
      <c r="AR77" s="244"/>
      <c r="AS77" s="106"/>
      <c r="AT77" s="106"/>
      <c r="AU77" s="106"/>
      <c r="AV77" s="106"/>
      <c r="AW77" s="106"/>
      <c r="AX77" s="242"/>
      <c r="AY77" s="244"/>
      <c r="AZ77" s="106"/>
      <c r="BA77" s="106"/>
      <c r="BB77" s="106"/>
      <c r="BC77" s="106"/>
      <c r="BD77" s="242"/>
      <c r="BE77" s="244"/>
      <c r="BF77" s="242"/>
      <c r="BG77" s="244"/>
      <c r="BH77" s="106"/>
      <c r="BI77" s="32"/>
    </row>
    <row r="78" spans="1:61" ht="13.15" x14ac:dyDescent="0.4">
      <c r="A78" s="248"/>
      <c r="B78" s="256"/>
      <c r="C78" s="248"/>
      <c r="D78" s="248"/>
      <c r="E78" s="248"/>
      <c r="F78" s="250"/>
      <c r="G78" s="248"/>
      <c r="H78" s="32"/>
      <c r="I78" s="248"/>
      <c r="J78" s="248"/>
      <c r="K78" s="251"/>
      <c r="L78" s="238"/>
      <c r="M78" s="248"/>
      <c r="N78" s="248"/>
      <c r="O78" s="248"/>
      <c r="P78" s="250"/>
      <c r="Q78" s="252"/>
      <c r="R78" s="248"/>
      <c r="S78" s="248"/>
      <c r="T78" s="248"/>
      <c r="U78" s="248"/>
      <c r="V78" s="248"/>
      <c r="W78" s="248"/>
      <c r="X78" s="248"/>
      <c r="Y78" s="248"/>
      <c r="Z78" s="253"/>
      <c r="AA78" s="253"/>
      <c r="AB78" s="253"/>
      <c r="AC78" s="253"/>
      <c r="AD78" s="253"/>
      <c r="AE78" s="253"/>
      <c r="AF78" s="254"/>
      <c r="AG78" s="257"/>
      <c r="AH78" s="257"/>
      <c r="AI78" s="257"/>
      <c r="AJ78" s="258"/>
      <c r="AK78" s="259"/>
      <c r="AL78" s="257"/>
      <c r="AM78" s="257"/>
      <c r="AN78" s="257"/>
      <c r="AO78" s="257"/>
      <c r="AP78" s="257"/>
      <c r="AQ78" s="258"/>
      <c r="AR78" s="260"/>
      <c r="AS78" s="257"/>
      <c r="AT78" s="257"/>
      <c r="AU78" s="257"/>
      <c r="AV78" s="257"/>
      <c r="AW78" s="257"/>
      <c r="AX78" s="258"/>
      <c r="AY78" s="260"/>
      <c r="AZ78" s="257"/>
      <c r="BA78" s="257"/>
      <c r="BB78" s="257"/>
      <c r="BC78" s="257"/>
      <c r="BD78" s="258"/>
      <c r="BE78" s="260"/>
      <c r="BF78" s="258"/>
      <c r="BG78" s="260"/>
      <c r="BH78" s="257"/>
      <c r="BI78" s="14"/>
    </row>
    <row r="79" spans="1:61" ht="13.15" x14ac:dyDescent="0.4">
      <c r="A79" s="248"/>
      <c r="B79" s="256"/>
      <c r="C79" s="248"/>
      <c r="D79" s="248"/>
      <c r="E79" s="248"/>
      <c r="F79" s="250"/>
      <c r="G79" s="248"/>
      <c r="H79" s="32"/>
      <c r="I79" s="248"/>
      <c r="J79" s="248"/>
      <c r="K79" s="251"/>
      <c r="L79" s="238"/>
      <c r="M79" s="248"/>
      <c r="N79" s="248"/>
      <c r="O79" s="248"/>
      <c r="P79" s="250"/>
      <c r="Q79" s="252"/>
      <c r="R79" s="248"/>
      <c r="S79" s="248"/>
      <c r="T79" s="248"/>
      <c r="U79" s="248"/>
      <c r="V79" s="248"/>
      <c r="W79" s="248"/>
      <c r="X79" s="248"/>
      <c r="Y79" s="248"/>
      <c r="Z79" s="253"/>
      <c r="AA79" s="253"/>
      <c r="AB79" s="253"/>
      <c r="AC79" s="253"/>
      <c r="AD79" s="253"/>
      <c r="AE79" s="253"/>
      <c r="AF79" s="254"/>
      <c r="AG79" s="257"/>
      <c r="AH79" s="257"/>
      <c r="AI79" s="257"/>
      <c r="AJ79" s="258"/>
      <c r="AK79" s="259"/>
      <c r="AL79" s="257"/>
      <c r="AM79" s="257"/>
      <c r="AN79" s="257"/>
      <c r="AO79" s="257"/>
      <c r="AP79" s="257"/>
      <c r="AQ79" s="258"/>
      <c r="AR79" s="260"/>
      <c r="AS79" s="257"/>
      <c r="AT79" s="257"/>
      <c r="AU79" s="257"/>
      <c r="AV79" s="257"/>
      <c r="AW79" s="257"/>
      <c r="AX79" s="258"/>
      <c r="AY79" s="260"/>
      <c r="AZ79" s="257"/>
      <c r="BA79" s="257"/>
      <c r="BB79" s="257"/>
      <c r="BC79" s="257"/>
      <c r="BD79" s="258"/>
      <c r="BE79" s="260"/>
      <c r="BF79" s="258"/>
      <c r="BG79" s="260"/>
      <c r="BH79" s="257"/>
      <c r="BI79" s="14"/>
    </row>
    <row r="80" spans="1:61" ht="13.15" x14ac:dyDescent="0.4">
      <c r="A80" s="248"/>
      <c r="B80" s="256"/>
      <c r="C80" s="248"/>
      <c r="D80" s="248"/>
      <c r="E80" s="248"/>
      <c r="F80" s="250"/>
      <c r="G80" s="248"/>
      <c r="H80" s="32"/>
      <c r="I80" s="248"/>
      <c r="J80" s="248"/>
      <c r="K80" s="251"/>
      <c r="L80" s="238"/>
      <c r="M80" s="248"/>
      <c r="N80" s="248"/>
      <c r="O80" s="248"/>
      <c r="P80" s="250"/>
      <c r="Q80" s="252"/>
      <c r="R80" s="248"/>
      <c r="S80" s="248"/>
      <c r="T80" s="248"/>
      <c r="U80" s="248"/>
      <c r="V80" s="248"/>
      <c r="W80" s="248"/>
      <c r="X80" s="248"/>
      <c r="Y80" s="248"/>
      <c r="Z80" s="253"/>
      <c r="AA80" s="253"/>
      <c r="AB80" s="253"/>
      <c r="AC80" s="253"/>
      <c r="AD80" s="253"/>
      <c r="AE80" s="253"/>
      <c r="AF80" s="254"/>
      <c r="AG80" s="257"/>
      <c r="AH80" s="257"/>
      <c r="AI80" s="257"/>
      <c r="AJ80" s="258"/>
      <c r="AK80" s="259"/>
      <c r="AL80" s="257"/>
      <c r="AM80" s="257"/>
      <c r="AN80" s="257"/>
      <c r="AO80" s="257"/>
      <c r="AP80" s="257"/>
      <c r="AQ80" s="258"/>
      <c r="AR80" s="260"/>
      <c r="AS80" s="257"/>
      <c r="AT80" s="257"/>
      <c r="AU80" s="257"/>
      <c r="AV80" s="257"/>
      <c r="AW80" s="257"/>
      <c r="AX80" s="258"/>
      <c r="AY80" s="260"/>
      <c r="AZ80" s="257"/>
      <c r="BA80" s="257"/>
      <c r="BB80" s="257"/>
      <c r="BC80" s="257"/>
      <c r="BD80" s="258"/>
      <c r="BE80" s="260"/>
      <c r="BF80" s="258"/>
      <c r="BG80" s="260"/>
      <c r="BH80" s="257"/>
      <c r="BI80" s="14"/>
    </row>
    <row r="81" spans="1:61" ht="13.15" x14ac:dyDescent="0.4">
      <c r="A81" s="248"/>
      <c r="B81" s="256"/>
      <c r="C81" s="248"/>
      <c r="D81" s="248"/>
      <c r="E81" s="248"/>
      <c r="F81" s="250"/>
      <c r="G81" s="248"/>
      <c r="H81" s="32"/>
      <c r="I81" s="248"/>
      <c r="J81" s="248"/>
      <c r="K81" s="251"/>
      <c r="L81" s="238"/>
      <c r="M81" s="248"/>
      <c r="N81" s="248"/>
      <c r="O81" s="248"/>
      <c r="P81" s="250"/>
      <c r="Q81" s="252"/>
      <c r="R81" s="248"/>
      <c r="S81" s="248"/>
      <c r="T81" s="248"/>
      <c r="U81" s="248"/>
      <c r="V81" s="248"/>
      <c r="W81" s="248"/>
      <c r="X81" s="248"/>
      <c r="Y81" s="248"/>
      <c r="Z81" s="253"/>
      <c r="AA81" s="253"/>
      <c r="AB81" s="253"/>
      <c r="AC81" s="253"/>
      <c r="AD81" s="253"/>
      <c r="AE81" s="253"/>
      <c r="AF81" s="254"/>
      <c r="AG81" s="257"/>
      <c r="AH81" s="257"/>
      <c r="AI81" s="257"/>
      <c r="AJ81" s="258"/>
      <c r="AK81" s="259"/>
      <c r="AL81" s="257"/>
      <c r="AM81" s="257"/>
      <c r="AN81" s="257"/>
      <c r="AO81" s="257"/>
      <c r="AP81" s="257"/>
      <c r="AQ81" s="258"/>
      <c r="AR81" s="260"/>
      <c r="AS81" s="257"/>
      <c r="AT81" s="257"/>
      <c r="AU81" s="257"/>
      <c r="AV81" s="257"/>
      <c r="AW81" s="257"/>
      <c r="AX81" s="258"/>
      <c r="AY81" s="260"/>
      <c r="AZ81" s="257"/>
      <c r="BA81" s="257"/>
      <c r="BB81" s="257"/>
      <c r="BC81" s="257"/>
      <c r="BD81" s="258"/>
      <c r="BE81" s="260"/>
      <c r="BF81" s="258"/>
      <c r="BG81" s="260"/>
      <c r="BH81" s="257"/>
      <c r="BI81" s="14"/>
    </row>
    <row r="82" spans="1:61" ht="13.15" x14ac:dyDescent="0.4">
      <c r="A82" s="248"/>
      <c r="B82" s="256"/>
      <c r="C82" s="248"/>
      <c r="D82" s="248"/>
      <c r="E82" s="248"/>
      <c r="F82" s="250"/>
      <c r="G82" s="248"/>
      <c r="H82" s="32"/>
      <c r="I82" s="248"/>
      <c r="J82" s="248"/>
      <c r="K82" s="251"/>
      <c r="L82" s="238"/>
      <c r="M82" s="248"/>
      <c r="N82" s="248"/>
      <c r="O82" s="248"/>
      <c r="P82" s="250"/>
      <c r="Q82" s="252"/>
      <c r="R82" s="248"/>
      <c r="S82" s="248"/>
      <c r="T82" s="248"/>
      <c r="U82" s="248"/>
      <c r="V82" s="248"/>
      <c r="W82" s="248"/>
      <c r="X82" s="248"/>
      <c r="Y82" s="248"/>
      <c r="Z82" s="253"/>
      <c r="AA82" s="253"/>
      <c r="AB82" s="253"/>
      <c r="AC82" s="253"/>
      <c r="AD82" s="253"/>
      <c r="AE82" s="253"/>
      <c r="AF82" s="254"/>
      <c r="AG82" s="257"/>
      <c r="AH82" s="257"/>
      <c r="AI82" s="257"/>
      <c r="AJ82" s="258"/>
      <c r="AK82" s="259"/>
      <c r="AL82" s="257"/>
      <c r="AM82" s="257"/>
      <c r="AN82" s="257"/>
      <c r="AO82" s="257"/>
      <c r="AP82" s="257"/>
      <c r="AQ82" s="258"/>
      <c r="AR82" s="260"/>
      <c r="AS82" s="257"/>
      <c r="AT82" s="257"/>
      <c r="AU82" s="257"/>
      <c r="AV82" s="257"/>
      <c r="AW82" s="257"/>
      <c r="AX82" s="258"/>
      <c r="AY82" s="260"/>
      <c r="AZ82" s="257"/>
      <c r="BA82" s="257"/>
      <c r="BB82" s="257"/>
      <c r="BC82" s="257"/>
      <c r="BD82" s="258"/>
      <c r="BE82" s="260"/>
      <c r="BF82" s="258"/>
      <c r="BG82" s="260"/>
      <c r="BH82" s="257"/>
      <c r="BI82" s="14"/>
    </row>
    <row r="83" spans="1:61" ht="13.15" x14ac:dyDescent="0.4">
      <c r="A83" s="248"/>
      <c r="B83" s="256"/>
      <c r="C83" s="248"/>
      <c r="D83" s="248"/>
      <c r="E83" s="248"/>
      <c r="F83" s="250"/>
      <c r="G83" s="248"/>
      <c r="H83" s="32"/>
      <c r="I83" s="248"/>
      <c r="J83" s="248"/>
      <c r="K83" s="251"/>
      <c r="L83" s="238"/>
      <c r="M83" s="248"/>
      <c r="N83" s="248"/>
      <c r="O83" s="248"/>
      <c r="P83" s="250"/>
      <c r="Q83" s="252"/>
      <c r="R83" s="248"/>
      <c r="S83" s="248"/>
      <c r="T83" s="248"/>
      <c r="U83" s="248"/>
      <c r="V83" s="248"/>
      <c r="W83" s="248"/>
      <c r="X83" s="248"/>
      <c r="Y83" s="248"/>
      <c r="Z83" s="253"/>
      <c r="AA83" s="253"/>
      <c r="AB83" s="253"/>
      <c r="AC83" s="253"/>
      <c r="AD83" s="253"/>
      <c r="AE83" s="253"/>
      <c r="AF83" s="254"/>
      <c r="AG83" s="257"/>
      <c r="AH83" s="257"/>
      <c r="AI83" s="257"/>
      <c r="AJ83" s="258"/>
      <c r="AK83" s="259"/>
      <c r="AL83" s="257"/>
      <c r="AM83" s="257"/>
      <c r="AN83" s="257"/>
      <c r="AO83" s="257"/>
      <c r="AP83" s="257"/>
      <c r="AQ83" s="258"/>
      <c r="AR83" s="260"/>
      <c r="AS83" s="257"/>
      <c r="AT83" s="257"/>
      <c r="AU83" s="257"/>
      <c r="AV83" s="257"/>
      <c r="AW83" s="257"/>
      <c r="AX83" s="258"/>
      <c r="AY83" s="260"/>
      <c r="AZ83" s="257"/>
      <c r="BA83" s="257"/>
      <c r="BB83" s="257"/>
      <c r="BC83" s="257"/>
      <c r="BD83" s="258"/>
      <c r="BE83" s="260"/>
      <c r="BF83" s="258"/>
      <c r="BG83" s="260"/>
      <c r="BH83" s="257"/>
      <c r="BI83" s="14"/>
    </row>
    <row r="84" spans="1:61" ht="13.15" x14ac:dyDescent="0.4">
      <c r="A84" s="248"/>
      <c r="B84" s="256"/>
      <c r="C84" s="248"/>
      <c r="D84" s="248"/>
      <c r="E84" s="248"/>
      <c r="F84" s="250"/>
      <c r="G84" s="248"/>
      <c r="H84" s="32"/>
      <c r="I84" s="248"/>
      <c r="J84" s="248"/>
      <c r="K84" s="251"/>
      <c r="L84" s="238"/>
      <c r="M84" s="248"/>
      <c r="N84" s="248"/>
      <c r="O84" s="248"/>
      <c r="P84" s="250"/>
      <c r="Q84" s="252"/>
      <c r="R84" s="248"/>
      <c r="S84" s="248"/>
      <c r="T84" s="248"/>
      <c r="U84" s="248"/>
      <c r="V84" s="248"/>
      <c r="W84" s="248"/>
      <c r="X84" s="248"/>
      <c r="Y84" s="248"/>
      <c r="Z84" s="253"/>
      <c r="AA84" s="253"/>
      <c r="AB84" s="253"/>
      <c r="AC84" s="253"/>
      <c r="AD84" s="253"/>
      <c r="AE84" s="253"/>
      <c r="AF84" s="254"/>
      <c r="AG84" s="257"/>
      <c r="AH84" s="257"/>
      <c r="AI84" s="257"/>
      <c r="AJ84" s="258"/>
      <c r="AK84" s="259"/>
      <c r="AL84" s="257"/>
      <c r="AM84" s="257"/>
      <c r="AN84" s="257"/>
      <c r="AO84" s="257"/>
      <c r="AP84" s="257"/>
      <c r="AQ84" s="258"/>
      <c r="AR84" s="260"/>
      <c r="AS84" s="257"/>
      <c r="AT84" s="257"/>
      <c r="AU84" s="257"/>
      <c r="AV84" s="257"/>
      <c r="AW84" s="257"/>
      <c r="AX84" s="258"/>
      <c r="AY84" s="260"/>
      <c r="AZ84" s="257"/>
      <c r="BA84" s="257"/>
      <c r="BB84" s="257"/>
      <c r="BC84" s="257"/>
      <c r="BD84" s="258"/>
      <c r="BE84" s="260"/>
      <c r="BF84" s="258"/>
      <c r="BG84" s="260"/>
      <c r="BH84" s="257"/>
      <c r="BI84" s="14"/>
    </row>
    <row r="85" spans="1:61" ht="13.15" x14ac:dyDescent="0.4">
      <c r="A85" s="248"/>
      <c r="B85" s="256"/>
      <c r="C85" s="248"/>
      <c r="D85" s="248"/>
      <c r="E85" s="248"/>
      <c r="F85" s="250"/>
      <c r="G85" s="248"/>
      <c r="H85" s="32"/>
      <c r="I85" s="248"/>
      <c r="J85" s="248"/>
      <c r="K85" s="251"/>
      <c r="L85" s="238"/>
      <c r="M85" s="248"/>
      <c r="N85" s="248"/>
      <c r="O85" s="248"/>
      <c r="P85" s="250"/>
      <c r="Q85" s="252"/>
      <c r="R85" s="248"/>
      <c r="S85" s="248"/>
      <c r="T85" s="248"/>
      <c r="U85" s="248"/>
      <c r="V85" s="248"/>
      <c r="W85" s="248"/>
      <c r="X85" s="248"/>
      <c r="Y85" s="248"/>
      <c r="Z85" s="253"/>
      <c r="AA85" s="253"/>
      <c r="AB85" s="253"/>
      <c r="AC85" s="253"/>
      <c r="AD85" s="253"/>
      <c r="AE85" s="253"/>
      <c r="AF85" s="254"/>
      <c r="AG85" s="257"/>
      <c r="AH85" s="257"/>
      <c r="AI85" s="257"/>
      <c r="AJ85" s="258"/>
      <c r="AK85" s="259"/>
      <c r="AL85" s="257"/>
      <c r="AM85" s="257"/>
      <c r="AN85" s="257"/>
      <c r="AO85" s="257"/>
      <c r="AP85" s="257"/>
      <c r="AQ85" s="258"/>
      <c r="AR85" s="260"/>
      <c r="AS85" s="257"/>
      <c r="AT85" s="257"/>
      <c r="AU85" s="257"/>
      <c r="AV85" s="257"/>
      <c r="AW85" s="257"/>
      <c r="AX85" s="258"/>
      <c r="AY85" s="260"/>
      <c r="AZ85" s="257"/>
      <c r="BA85" s="257"/>
      <c r="BB85" s="257"/>
      <c r="BC85" s="257"/>
      <c r="BD85" s="258"/>
      <c r="BE85" s="260"/>
      <c r="BF85" s="258"/>
      <c r="BG85" s="260"/>
      <c r="BH85" s="257"/>
      <c r="BI85" s="14"/>
    </row>
    <row r="86" spans="1:61" ht="13.15" x14ac:dyDescent="0.4">
      <c r="A86" s="248"/>
      <c r="B86" s="256"/>
      <c r="C86" s="248"/>
      <c r="D86" s="248"/>
      <c r="E86" s="248"/>
      <c r="F86" s="250"/>
      <c r="G86" s="248"/>
      <c r="H86" s="32"/>
      <c r="I86" s="248"/>
      <c r="J86" s="248"/>
      <c r="K86" s="251"/>
      <c r="L86" s="238"/>
      <c r="M86" s="248"/>
      <c r="N86" s="248"/>
      <c r="O86" s="248"/>
      <c r="P86" s="250"/>
      <c r="Q86" s="252"/>
      <c r="R86" s="248"/>
      <c r="S86" s="248"/>
      <c r="T86" s="248"/>
      <c r="U86" s="248"/>
      <c r="V86" s="248"/>
      <c r="W86" s="248"/>
      <c r="X86" s="248"/>
      <c r="Y86" s="248"/>
      <c r="Z86" s="253"/>
      <c r="AA86" s="253"/>
      <c r="AB86" s="253"/>
      <c r="AC86" s="253"/>
      <c r="AD86" s="253"/>
      <c r="AE86" s="253"/>
      <c r="AF86" s="254"/>
      <c r="AG86" s="257"/>
      <c r="AH86" s="257"/>
      <c r="AI86" s="257"/>
      <c r="AJ86" s="258"/>
      <c r="AK86" s="259"/>
      <c r="AL86" s="257"/>
      <c r="AM86" s="257"/>
      <c r="AN86" s="257"/>
      <c r="AO86" s="257"/>
      <c r="AP86" s="257"/>
      <c r="AQ86" s="258"/>
      <c r="AR86" s="260"/>
      <c r="AS86" s="257"/>
      <c r="AT86" s="257"/>
      <c r="AU86" s="257"/>
      <c r="AV86" s="257"/>
      <c r="AW86" s="257"/>
      <c r="AX86" s="258"/>
      <c r="AY86" s="260"/>
      <c r="AZ86" s="257"/>
      <c r="BA86" s="257"/>
      <c r="BB86" s="257"/>
      <c r="BC86" s="257"/>
      <c r="BD86" s="258"/>
      <c r="BE86" s="260"/>
      <c r="BF86" s="258"/>
      <c r="BG86" s="260"/>
      <c r="BH86" s="257"/>
      <c r="BI86" s="14"/>
    </row>
    <row r="87" spans="1:61" ht="13.15" x14ac:dyDescent="0.4">
      <c r="A87" s="248"/>
      <c r="B87" s="256"/>
      <c r="C87" s="248"/>
      <c r="D87" s="248"/>
      <c r="E87" s="248"/>
      <c r="F87" s="250"/>
      <c r="G87" s="248"/>
      <c r="H87" s="32"/>
      <c r="I87" s="248"/>
      <c r="J87" s="248"/>
      <c r="K87" s="251"/>
      <c r="L87" s="238"/>
      <c r="M87" s="248"/>
      <c r="N87" s="248"/>
      <c r="O87" s="248"/>
      <c r="P87" s="250"/>
      <c r="Q87" s="252"/>
      <c r="R87" s="248"/>
      <c r="S87" s="248"/>
      <c r="T87" s="248"/>
      <c r="U87" s="248"/>
      <c r="V87" s="248"/>
      <c r="W87" s="248"/>
      <c r="X87" s="248"/>
      <c r="Y87" s="248"/>
      <c r="Z87" s="253"/>
      <c r="AA87" s="253"/>
      <c r="AB87" s="253"/>
      <c r="AC87" s="253"/>
      <c r="AD87" s="253"/>
      <c r="AE87" s="253"/>
      <c r="AF87" s="254"/>
      <c r="AG87" s="257"/>
      <c r="AH87" s="257"/>
      <c r="AI87" s="257"/>
      <c r="AJ87" s="258"/>
      <c r="AK87" s="259"/>
      <c r="AL87" s="257"/>
      <c r="AM87" s="257"/>
      <c r="AN87" s="257"/>
      <c r="AO87" s="257"/>
      <c r="AP87" s="257"/>
      <c r="AQ87" s="258"/>
      <c r="AR87" s="260"/>
      <c r="AS87" s="257"/>
      <c r="AT87" s="257"/>
      <c r="AU87" s="257"/>
      <c r="AV87" s="257"/>
      <c r="AW87" s="257"/>
      <c r="AX87" s="258"/>
      <c r="AY87" s="260"/>
      <c r="AZ87" s="257"/>
      <c r="BA87" s="257"/>
      <c r="BB87" s="257"/>
      <c r="BC87" s="257"/>
      <c r="BD87" s="258"/>
      <c r="BE87" s="260"/>
      <c r="BF87" s="258"/>
      <c r="BG87" s="260"/>
      <c r="BH87" s="257"/>
      <c r="BI87" s="14"/>
    </row>
    <row r="88" spans="1:61" ht="13.15" x14ac:dyDescent="0.4">
      <c r="A88" s="248"/>
      <c r="B88" s="256"/>
      <c r="C88" s="248"/>
      <c r="D88" s="248"/>
      <c r="E88" s="248"/>
      <c r="F88" s="250"/>
      <c r="G88" s="248"/>
      <c r="H88" s="32"/>
      <c r="I88" s="248"/>
      <c r="J88" s="248"/>
      <c r="K88" s="251"/>
      <c r="L88" s="238"/>
      <c r="M88" s="248"/>
      <c r="N88" s="248"/>
      <c r="O88" s="248"/>
      <c r="P88" s="250"/>
      <c r="Q88" s="252"/>
      <c r="R88" s="248"/>
      <c r="S88" s="248"/>
      <c r="T88" s="248"/>
      <c r="U88" s="248"/>
      <c r="V88" s="248"/>
      <c r="W88" s="248"/>
      <c r="X88" s="248"/>
      <c r="Y88" s="248"/>
      <c r="Z88" s="253"/>
      <c r="AA88" s="253"/>
      <c r="AB88" s="253"/>
      <c r="AC88" s="253"/>
      <c r="AD88" s="253"/>
      <c r="AE88" s="253"/>
      <c r="AF88" s="254"/>
      <c r="AG88" s="257"/>
      <c r="AH88" s="257"/>
      <c r="AI88" s="257"/>
      <c r="AJ88" s="258"/>
      <c r="AK88" s="259"/>
      <c r="AL88" s="257"/>
      <c r="AM88" s="257"/>
      <c r="AN88" s="257"/>
      <c r="AO88" s="257"/>
      <c r="AP88" s="257"/>
      <c r="AQ88" s="258"/>
      <c r="AR88" s="260"/>
      <c r="AS88" s="257"/>
      <c r="AT88" s="257"/>
      <c r="AU88" s="257"/>
      <c r="AV88" s="257"/>
      <c r="AW88" s="257"/>
      <c r="AX88" s="258"/>
      <c r="AY88" s="260"/>
      <c r="AZ88" s="257"/>
      <c r="BA88" s="257"/>
      <c r="BB88" s="257"/>
      <c r="BC88" s="257"/>
      <c r="BD88" s="258"/>
      <c r="BE88" s="260"/>
      <c r="BF88" s="258"/>
      <c r="BG88" s="260"/>
      <c r="BH88" s="257"/>
      <c r="BI88" s="14"/>
    </row>
    <row r="89" spans="1:61" ht="13.15" x14ac:dyDescent="0.4">
      <c r="A89" s="248"/>
      <c r="B89" s="256"/>
      <c r="C89" s="248"/>
      <c r="D89" s="248"/>
      <c r="E89" s="248"/>
      <c r="F89" s="250"/>
      <c r="G89" s="248"/>
      <c r="H89" s="32"/>
      <c r="I89" s="248"/>
      <c r="J89" s="248"/>
      <c r="K89" s="251"/>
      <c r="L89" s="238"/>
      <c r="M89" s="248"/>
      <c r="N89" s="248"/>
      <c r="O89" s="248"/>
      <c r="P89" s="250"/>
      <c r="Q89" s="252"/>
      <c r="R89" s="248"/>
      <c r="S89" s="248"/>
      <c r="T89" s="248"/>
      <c r="U89" s="248"/>
      <c r="V89" s="248"/>
      <c r="W89" s="248"/>
      <c r="X89" s="248"/>
      <c r="Y89" s="248"/>
      <c r="Z89" s="253"/>
      <c r="AA89" s="253"/>
      <c r="AB89" s="253"/>
      <c r="AC89" s="253"/>
      <c r="AD89" s="253"/>
      <c r="AE89" s="253"/>
      <c r="AF89" s="254"/>
      <c r="AG89" s="257"/>
      <c r="AH89" s="257"/>
      <c r="AI89" s="257"/>
      <c r="AJ89" s="258"/>
      <c r="AK89" s="259"/>
      <c r="AL89" s="257"/>
      <c r="AM89" s="257"/>
      <c r="AN89" s="257"/>
      <c r="AO89" s="257"/>
      <c r="AP89" s="257"/>
      <c r="AQ89" s="258"/>
      <c r="AR89" s="260"/>
      <c r="AS89" s="257"/>
      <c r="AT89" s="257"/>
      <c r="AU89" s="257"/>
      <c r="AV89" s="257"/>
      <c r="AW89" s="257"/>
      <c r="AX89" s="258"/>
      <c r="AY89" s="260"/>
      <c r="AZ89" s="257"/>
      <c r="BA89" s="257"/>
      <c r="BB89" s="257"/>
      <c r="BC89" s="257"/>
      <c r="BD89" s="258"/>
      <c r="BE89" s="260"/>
      <c r="BF89" s="258"/>
      <c r="BG89" s="260"/>
      <c r="BH89" s="257"/>
      <c r="BI89" s="14"/>
    </row>
    <row r="90" spans="1:61" ht="13.15" x14ac:dyDescent="0.4">
      <c r="A90" s="248"/>
      <c r="B90" s="256"/>
      <c r="C90" s="248"/>
      <c r="D90" s="248"/>
      <c r="E90" s="248"/>
      <c r="F90" s="250"/>
      <c r="G90" s="248"/>
      <c r="H90" s="32"/>
      <c r="I90" s="248"/>
      <c r="J90" s="248"/>
      <c r="K90" s="251"/>
      <c r="L90" s="238"/>
      <c r="M90" s="248"/>
      <c r="N90" s="248"/>
      <c r="O90" s="248"/>
      <c r="P90" s="250"/>
      <c r="Q90" s="252"/>
      <c r="R90" s="248"/>
      <c r="S90" s="248"/>
      <c r="T90" s="248"/>
      <c r="U90" s="248"/>
      <c r="V90" s="248"/>
      <c r="W90" s="248"/>
      <c r="X90" s="248"/>
      <c r="Y90" s="248"/>
      <c r="Z90" s="253"/>
      <c r="AA90" s="253"/>
      <c r="AB90" s="253"/>
      <c r="AC90" s="253"/>
      <c r="AD90" s="253"/>
      <c r="AE90" s="253"/>
      <c r="AF90" s="254"/>
      <c r="AG90" s="257"/>
      <c r="AH90" s="257"/>
      <c r="AI90" s="257"/>
      <c r="AJ90" s="258"/>
      <c r="AK90" s="259"/>
      <c r="AL90" s="257"/>
      <c r="AM90" s="257"/>
      <c r="AN90" s="257"/>
      <c r="AO90" s="257"/>
      <c r="AP90" s="257"/>
      <c r="AQ90" s="258"/>
      <c r="AR90" s="260"/>
      <c r="AS90" s="257"/>
      <c r="AT90" s="257"/>
      <c r="AU90" s="257"/>
      <c r="AV90" s="257"/>
      <c r="AW90" s="257"/>
      <c r="AX90" s="258"/>
      <c r="AY90" s="260"/>
      <c r="AZ90" s="257"/>
      <c r="BA90" s="257"/>
      <c r="BB90" s="257"/>
      <c r="BC90" s="257"/>
      <c r="BD90" s="258"/>
      <c r="BE90" s="260"/>
      <c r="BF90" s="258"/>
      <c r="BG90" s="260"/>
      <c r="BH90" s="257"/>
      <c r="BI90" s="14"/>
    </row>
    <row r="91" spans="1:61" ht="13.15" x14ac:dyDescent="0.4">
      <c r="A91" s="248"/>
      <c r="B91" s="256"/>
      <c r="C91" s="248"/>
      <c r="D91" s="248"/>
      <c r="E91" s="248"/>
      <c r="F91" s="250"/>
      <c r="G91" s="248"/>
      <c r="H91" s="32"/>
      <c r="I91" s="248"/>
      <c r="J91" s="248"/>
      <c r="K91" s="251"/>
      <c r="L91" s="238"/>
      <c r="M91" s="248"/>
      <c r="N91" s="248"/>
      <c r="O91" s="248"/>
      <c r="P91" s="250"/>
      <c r="Q91" s="252"/>
      <c r="R91" s="248"/>
      <c r="S91" s="248"/>
      <c r="T91" s="248"/>
      <c r="U91" s="248"/>
      <c r="V91" s="248"/>
      <c r="W91" s="248"/>
      <c r="X91" s="248"/>
      <c r="Y91" s="248"/>
      <c r="Z91" s="253"/>
      <c r="AA91" s="253"/>
      <c r="AB91" s="253"/>
      <c r="AC91" s="253"/>
      <c r="AD91" s="253"/>
      <c r="AE91" s="253"/>
      <c r="AF91" s="254"/>
      <c r="AG91" s="257"/>
      <c r="AH91" s="257"/>
      <c r="AI91" s="257"/>
      <c r="AJ91" s="258"/>
      <c r="AK91" s="259"/>
      <c r="AL91" s="257"/>
      <c r="AM91" s="257"/>
      <c r="AN91" s="257"/>
      <c r="AO91" s="257"/>
      <c r="AP91" s="257"/>
      <c r="AQ91" s="258"/>
      <c r="AR91" s="260"/>
      <c r="AS91" s="257"/>
      <c r="AT91" s="257"/>
      <c r="AU91" s="257"/>
      <c r="AV91" s="257"/>
      <c r="AW91" s="257"/>
      <c r="AX91" s="258"/>
      <c r="AY91" s="260"/>
      <c r="AZ91" s="257"/>
      <c r="BA91" s="257"/>
      <c r="BB91" s="257"/>
      <c r="BC91" s="257"/>
      <c r="BD91" s="258"/>
      <c r="BE91" s="260"/>
      <c r="BF91" s="258"/>
      <c r="BG91" s="260"/>
      <c r="BH91" s="257"/>
      <c r="BI91" s="14"/>
    </row>
    <row r="92" spans="1:61" ht="13.15" x14ac:dyDescent="0.4">
      <c r="A92" s="248"/>
      <c r="B92" s="256"/>
      <c r="C92" s="248"/>
      <c r="D92" s="248"/>
      <c r="E92" s="248"/>
      <c r="F92" s="250"/>
      <c r="G92" s="248"/>
      <c r="H92" s="32"/>
      <c r="I92" s="248"/>
      <c r="J92" s="248"/>
      <c r="K92" s="251"/>
      <c r="L92" s="238"/>
      <c r="M92" s="248"/>
      <c r="N92" s="248"/>
      <c r="O92" s="248"/>
      <c r="P92" s="250"/>
      <c r="Q92" s="252"/>
      <c r="R92" s="248"/>
      <c r="S92" s="248"/>
      <c r="T92" s="248"/>
      <c r="U92" s="248"/>
      <c r="V92" s="248"/>
      <c r="W92" s="248"/>
      <c r="X92" s="248"/>
      <c r="Y92" s="248"/>
      <c r="Z92" s="253"/>
      <c r="AA92" s="253"/>
      <c r="AB92" s="253"/>
      <c r="AC92" s="253"/>
      <c r="AD92" s="253"/>
      <c r="AE92" s="253"/>
      <c r="AF92" s="254"/>
      <c r="AG92" s="257"/>
      <c r="AH92" s="257"/>
      <c r="AI92" s="257"/>
      <c r="AJ92" s="258"/>
      <c r="AK92" s="259"/>
      <c r="AL92" s="257"/>
      <c r="AM92" s="257"/>
      <c r="AN92" s="257"/>
      <c r="AO92" s="257"/>
      <c r="AP92" s="257"/>
      <c r="AQ92" s="258"/>
      <c r="AR92" s="260"/>
      <c r="AS92" s="257"/>
      <c r="AT92" s="257"/>
      <c r="AU92" s="257"/>
      <c r="AV92" s="257"/>
      <c r="AW92" s="257"/>
      <c r="AX92" s="258"/>
      <c r="AY92" s="260"/>
      <c r="AZ92" s="257"/>
      <c r="BA92" s="257"/>
      <c r="BB92" s="257"/>
      <c r="BC92" s="257"/>
      <c r="BD92" s="258"/>
      <c r="BE92" s="260"/>
      <c r="BF92" s="258"/>
      <c r="BG92" s="260"/>
      <c r="BH92" s="257"/>
      <c r="BI92" s="14"/>
    </row>
    <row r="93" spans="1:61" ht="13.15" x14ac:dyDescent="0.4">
      <c r="A93" s="248"/>
      <c r="B93" s="256"/>
      <c r="C93" s="248"/>
      <c r="D93" s="248"/>
      <c r="E93" s="248"/>
      <c r="F93" s="250"/>
      <c r="G93" s="248"/>
      <c r="H93" s="32"/>
      <c r="I93" s="248"/>
      <c r="J93" s="248"/>
      <c r="K93" s="251"/>
      <c r="L93" s="238"/>
      <c r="M93" s="248"/>
      <c r="N93" s="248"/>
      <c r="O93" s="248"/>
      <c r="P93" s="250"/>
      <c r="Q93" s="252"/>
      <c r="R93" s="248"/>
      <c r="S93" s="248"/>
      <c r="T93" s="248"/>
      <c r="U93" s="248"/>
      <c r="V93" s="248"/>
      <c r="W93" s="248"/>
      <c r="X93" s="248"/>
      <c r="Y93" s="248"/>
      <c r="Z93" s="253"/>
      <c r="AA93" s="253"/>
      <c r="AB93" s="253"/>
      <c r="AC93" s="253"/>
      <c r="AD93" s="253"/>
      <c r="AE93" s="253"/>
      <c r="AF93" s="254"/>
      <c r="AG93" s="257"/>
      <c r="AH93" s="257"/>
      <c r="AI93" s="257"/>
      <c r="AJ93" s="258"/>
      <c r="AK93" s="259"/>
      <c r="AL93" s="257"/>
      <c r="AM93" s="257"/>
      <c r="AN93" s="257"/>
      <c r="AO93" s="257"/>
      <c r="AP93" s="257"/>
      <c r="AQ93" s="258"/>
      <c r="AR93" s="260"/>
      <c r="AS93" s="257"/>
      <c r="AT93" s="257"/>
      <c r="AU93" s="257"/>
      <c r="AV93" s="257"/>
      <c r="AW93" s="257"/>
      <c r="AX93" s="258"/>
      <c r="AY93" s="260"/>
      <c r="AZ93" s="257"/>
      <c r="BA93" s="257"/>
      <c r="BB93" s="257"/>
      <c r="BC93" s="257"/>
      <c r="BD93" s="258"/>
      <c r="BE93" s="260"/>
      <c r="BF93" s="258"/>
      <c r="BG93" s="260"/>
      <c r="BH93" s="257"/>
      <c r="BI93" s="14"/>
    </row>
    <row r="94" spans="1:61" ht="13.15" x14ac:dyDescent="0.4">
      <c r="A94" s="248"/>
      <c r="B94" s="256"/>
      <c r="C94" s="248"/>
      <c r="D94" s="248"/>
      <c r="E94" s="248"/>
      <c r="F94" s="250"/>
      <c r="G94" s="248"/>
      <c r="H94" s="32"/>
      <c r="I94" s="248"/>
      <c r="J94" s="248"/>
      <c r="K94" s="251"/>
      <c r="L94" s="238"/>
      <c r="M94" s="248"/>
      <c r="N94" s="248"/>
      <c r="O94" s="248"/>
      <c r="P94" s="250"/>
      <c r="Q94" s="252"/>
      <c r="R94" s="248"/>
      <c r="S94" s="248"/>
      <c r="T94" s="248"/>
      <c r="U94" s="248"/>
      <c r="V94" s="248"/>
      <c r="W94" s="248"/>
      <c r="X94" s="248"/>
      <c r="Y94" s="248"/>
      <c r="Z94" s="253"/>
      <c r="AA94" s="253"/>
      <c r="AB94" s="253"/>
      <c r="AC94" s="253"/>
      <c r="AD94" s="253"/>
      <c r="AE94" s="253"/>
      <c r="AF94" s="254"/>
      <c r="AG94" s="257"/>
      <c r="AH94" s="257"/>
      <c r="AI94" s="257"/>
      <c r="AJ94" s="258"/>
      <c r="AK94" s="259"/>
      <c r="AL94" s="257"/>
      <c r="AM94" s="257"/>
      <c r="AN94" s="257"/>
      <c r="AO94" s="257"/>
      <c r="AP94" s="257"/>
      <c r="AQ94" s="258"/>
      <c r="AR94" s="260"/>
      <c r="AS94" s="257"/>
      <c r="AT94" s="257"/>
      <c r="AU94" s="257"/>
      <c r="AV94" s="257"/>
      <c r="AW94" s="257"/>
      <c r="AX94" s="258"/>
      <c r="AY94" s="260"/>
      <c r="AZ94" s="257"/>
      <c r="BA94" s="257"/>
      <c r="BB94" s="257"/>
      <c r="BC94" s="257"/>
      <c r="BD94" s="258"/>
      <c r="BE94" s="260"/>
      <c r="BF94" s="258"/>
      <c r="BG94" s="260"/>
      <c r="BH94" s="257"/>
      <c r="BI94" s="14"/>
    </row>
    <row r="95" spans="1:61" ht="13.15" x14ac:dyDescent="0.4">
      <c r="A95" s="248"/>
      <c r="B95" s="256"/>
      <c r="C95" s="248"/>
      <c r="D95" s="248"/>
      <c r="E95" s="248"/>
      <c r="F95" s="250"/>
      <c r="G95" s="248"/>
      <c r="H95" s="32"/>
      <c r="I95" s="248"/>
      <c r="J95" s="248"/>
      <c r="K95" s="251"/>
      <c r="L95" s="238"/>
      <c r="M95" s="248"/>
      <c r="N95" s="248"/>
      <c r="O95" s="248"/>
      <c r="P95" s="250"/>
      <c r="Q95" s="252"/>
      <c r="R95" s="248"/>
      <c r="S95" s="248"/>
      <c r="T95" s="248"/>
      <c r="U95" s="248"/>
      <c r="V95" s="248"/>
      <c r="W95" s="248"/>
      <c r="X95" s="248"/>
      <c r="Y95" s="248"/>
      <c r="Z95" s="253"/>
      <c r="AA95" s="253"/>
      <c r="AB95" s="253"/>
      <c r="AC95" s="253"/>
      <c r="AD95" s="253"/>
      <c r="AE95" s="253"/>
      <c r="AF95" s="254"/>
      <c r="AG95" s="257"/>
      <c r="AH95" s="257"/>
      <c r="AI95" s="257"/>
      <c r="AJ95" s="258"/>
      <c r="AK95" s="259"/>
      <c r="AL95" s="257"/>
      <c r="AM95" s="257"/>
      <c r="AN95" s="257"/>
      <c r="AO95" s="257"/>
      <c r="AP95" s="257"/>
      <c r="AQ95" s="258"/>
      <c r="AR95" s="260"/>
      <c r="AS95" s="257"/>
      <c r="AT95" s="257"/>
      <c r="AU95" s="257"/>
      <c r="AV95" s="257"/>
      <c r="AW95" s="257"/>
      <c r="AX95" s="258"/>
      <c r="AY95" s="260"/>
      <c r="AZ95" s="257"/>
      <c r="BA95" s="257"/>
      <c r="BB95" s="257"/>
      <c r="BC95" s="257"/>
      <c r="BD95" s="258"/>
      <c r="BE95" s="260"/>
      <c r="BF95" s="258"/>
      <c r="BG95" s="260"/>
      <c r="BH95" s="257"/>
      <c r="BI95" s="14"/>
    </row>
    <row r="96" spans="1:61" ht="13.15" x14ac:dyDescent="0.4">
      <c r="A96" s="248"/>
      <c r="B96" s="256"/>
      <c r="C96" s="248"/>
      <c r="D96" s="248"/>
      <c r="E96" s="248"/>
      <c r="F96" s="250"/>
      <c r="G96" s="248"/>
      <c r="H96" s="32"/>
      <c r="I96" s="248"/>
      <c r="J96" s="248"/>
      <c r="K96" s="251"/>
      <c r="L96" s="238"/>
      <c r="M96" s="248"/>
      <c r="N96" s="248"/>
      <c r="O96" s="248"/>
      <c r="P96" s="250"/>
      <c r="Q96" s="252"/>
      <c r="R96" s="248"/>
      <c r="S96" s="248"/>
      <c r="T96" s="248"/>
      <c r="U96" s="248"/>
      <c r="V96" s="248"/>
      <c r="W96" s="248"/>
      <c r="X96" s="248"/>
      <c r="Y96" s="248"/>
      <c r="Z96" s="253"/>
      <c r="AA96" s="253"/>
      <c r="AB96" s="253"/>
      <c r="AC96" s="253"/>
      <c r="AD96" s="253"/>
      <c r="AE96" s="253"/>
      <c r="AF96" s="254"/>
      <c r="AG96" s="257"/>
      <c r="AH96" s="257"/>
      <c r="AI96" s="257"/>
      <c r="AJ96" s="258"/>
      <c r="AK96" s="259"/>
      <c r="AL96" s="257"/>
      <c r="AM96" s="257"/>
      <c r="AN96" s="257"/>
      <c r="AO96" s="257"/>
      <c r="AP96" s="257"/>
      <c r="AQ96" s="258"/>
      <c r="AR96" s="260"/>
      <c r="AS96" s="257"/>
      <c r="AT96" s="257"/>
      <c r="AU96" s="257"/>
      <c r="AV96" s="257"/>
      <c r="AW96" s="257"/>
      <c r="AX96" s="258"/>
      <c r="AY96" s="260"/>
      <c r="AZ96" s="257"/>
      <c r="BA96" s="257"/>
      <c r="BB96" s="257"/>
      <c r="BC96" s="257"/>
      <c r="BD96" s="258"/>
      <c r="BE96" s="260"/>
      <c r="BF96" s="258"/>
      <c r="BG96" s="260"/>
      <c r="BH96" s="257"/>
      <c r="BI96" s="14"/>
    </row>
    <row r="97" spans="1:61" ht="13.15" x14ac:dyDescent="0.4">
      <c r="A97" s="248"/>
      <c r="B97" s="256"/>
      <c r="C97" s="248"/>
      <c r="D97" s="248"/>
      <c r="E97" s="248"/>
      <c r="F97" s="250"/>
      <c r="G97" s="248"/>
      <c r="H97" s="32"/>
      <c r="I97" s="248"/>
      <c r="J97" s="248"/>
      <c r="K97" s="251"/>
      <c r="L97" s="238"/>
      <c r="M97" s="248"/>
      <c r="N97" s="248"/>
      <c r="O97" s="248"/>
      <c r="P97" s="250"/>
      <c r="Q97" s="252"/>
      <c r="R97" s="248"/>
      <c r="S97" s="248"/>
      <c r="T97" s="248"/>
      <c r="U97" s="248"/>
      <c r="V97" s="248"/>
      <c r="W97" s="248"/>
      <c r="X97" s="248"/>
      <c r="Y97" s="248"/>
      <c r="Z97" s="253"/>
      <c r="AA97" s="253"/>
      <c r="AB97" s="253"/>
      <c r="AC97" s="253"/>
      <c r="AD97" s="253"/>
      <c r="AE97" s="253"/>
      <c r="AF97" s="254"/>
      <c r="AG97" s="257"/>
      <c r="AH97" s="257"/>
      <c r="AI97" s="257"/>
      <c r="AJ97" s="258"/>
      <c r="AK97" s="259"/>
      <c r="AL97" s="257"/>
      <c r="AM97" s="257"/>
      <c r="AN97" s="257"/>
      <c r="AO97" s="257"/>
      <c r="AP97" s="257"/>
      <c r="AQ97" s="258"/>
      <c r="AR97" s="260"/>
      <c r="AS97" s="257"/>
      <c r="AT97" s="257"/>
      <c r="AU97" s="257"/>
      <c r="AV97" s="257"/>
      <c r="AW97" s="257"/>
      <c r="AX97" s="258"/>
      <c r="AY97" s="260"/>
      <c r="AZ97" s="257"/>
      <c r="BA97" s="257"/>
      <c r="BB97" s="257"/>
      <c r="BC97" s="257"/>
      <c r="BD97" s="258"/>
      <c r="BE97" s="260"/>
      <c r="BF97" s="258"/>
      <c r="BG97" s="260"/>
      <c r="BH97" s="257"/>
      <c r="BI97" s="14"/>
    </row>
    <row r="98" spans="1:61" ht="13.15" x14ac:dyDescent="0.4">
      <c r="A98" s="248"/>
      <c r="B98" s="256"/>
      <c r="C98" s="248"/>
      <c r="D98" s="248"/>
      <c r="E98" s="248"/>
      <c r="F98" s="250"/>
      <c r="G98" s="248"/>
      <c r="H98" s="32"/>
      <c r="I98" s="248"/>
      <c r="J98" s="248"/>
      <c r="K98" s="251"/>
      <c r="L98" s="238"/>
      <c r="M98" s="248"/>
      <c r="N98" s="248"/>
      <c r="O98" s="248"/>
      <c r="P98" s="250"/>
      <c r="Q98" s="252"/>
      <c r="R98" s="248"/>
      <c r="S98" s="248"/>
      <c r="T98" s="248"/>
      <c r="U98" s="248"/>
      <c r="V98" s="248"/>
      <c r="W98" s="248"/>
      <c r="X98" s="248"/>
      <c r="Y98" s="248"/>
      <c r="Z98" s="253"/>
      <c r="AA98" s="253"/>
      <c r="AB98" s="253"/>
      <c r="AC98" s="253"/>
      <c r="AD98" s="253"/>
      <c r="AE98" s="253"/>
      <c r="AF98" s="254"/>
      <c r="AG98" s="257"/>
      <c r="AH98" s="257"/>
      <c r="AI98" s="257"/>
      <c r="AJ98" s="258"/>
      <c r="AK98" s="259"/>
      <c r="AL98" s="257"/>
      <c r="AM98" s="257"/>
      <c r="AN98" s="257"/>
      <c r="AO98" s="257"/>
      <c r="AP98" s="257"/>
      <c r="AQ98" s="258"/>
      <c r="AR98" s="260"/>
      <c r="AS98" s="257"/>
      <c r="AT98" s="257"/>
      <c r="AU98" s="257"/>
      <c r="AV98" s="257"/>
      <c r="AW98" s="257"/>
      <c r="AX98" s="258"/>
      <c r="AY98" s="260"/>
      <c r="AZ98" s="257"/>
      <c r="BA98" s="257"/>
      <c r="BB98" s="257"/>
      <c r="BC98" s="257"/>
      <c r="BD98" s="258"/>
      <c r="BE98" s="260"/>
      <c r="BF98" s="258"/>
      <c r="BG98" s="260"/>
      <c r="BH98" s="257"/>
      <c r="BI98" s="14"/>
    </row>
    <row r="99" spans="1:61" ht="13.15" x14ac:dyDescent="0.4">
      <c r="A99" s="248"/>
      <c r="B99" s="256"/>
      <c r="C99" s="248"/>
      <c r="D99" s="248"/>
      <c r="E99" s="248"/>
      <c r="F99" s="250"/>
      <c r="G99" s="248"/>
      <c r="H99" s="32"/>
      <c r="I99" s="248"/>
      <c r="J99" s="248"/>
      <c r="K99" s="251"/>
      <c r="L99" s="238"/>
      <c r="M99" s="248"/>
      <c r="N99" s="248"/>
      <c r="O99" s="248"/>
      <c r="P99" s="250"/>
      <c r="Q99" s="252"/>
      <c r="R99" s="248"/>
      <c r="S99" s="248"/>
      <c r="T99" s="248"/>
      <c r="U99" s="248"/>
      <c r="V99" s="248"/>
      <c r="W99" s="248"/>
      <c r="X99" s="248"/>
      <c r="Y99" s="248"/>
      <c r="Z99" s="253"/>
      <c r="AA99" s="253"/>
      <c r="AB99" s="253"/>
      <c r="AC99" s="253"/>
      <c r="AD99" s="253"/>
      <c r="AE99" s="253"/>
      <c r="AF99" s="254"/>
      <c r="AG99" s="257"/>
      <c r="AH99" s="257"/>
      <c r="AI99" s="257"/>
      <c r="AJ99" s="258"/>
      <c r="AK99" s="259"/>
      <c r="AL99" s="257"/>
      <c r="AM99" s="257"/>
      <c r="AN99" s="257"/>
      <c r="AO99" s="257"/>
      <c r="AP99" s="257"/>
      <c r="AQ99" s="258"/>
      <c r="AR99" s="260"/>
      <c r="AS99" s="257"/>
      <c r="AT99" s="257"/>
      <c r="AU99" s="257"/>
      <c r="AV99" s="257"/>
      <c r="AW99" s="257"/>
      <c r="AX99" s="258"/>
      <c r="AY99" s="260"/>
      <c r="AZ99" s="257"/>
      <c r="BA99" s="257"/>
      <c r="BB99" s="257"/>
      <c r="BC99" s="257"/>
      <c r="BD99" s="258"/>
      <c r="BE99" s="260"/>
      <c r="BF99" s="258"/>
      <c r="BG99" s="260"/>
      <c r="BH99" s="257"/>
      <c r="BI99" s="14"/>
    </row>
    <row r="100" spans="1:61" ht="13.15" x14ac:dyDescent="0.4">
      <c r="A100" s="248"/>
      <c r="B100" s="256"/>
      <c r="C100" s="248"/>
      <c r="D100" s="248"/>
      <c r="E100" s="248"/>
      <c r="F100" s="250"/>
      <c r="G100" s="248"/>
      <c r="H100" s="32"/>
      <c r="I100" s="248"/>
      <c r="J100" s="248"/>
      <c r="K100" s="251"/>
      <c r="L100" s="238"/>
      <c r="M100" s="248"/>
      <c r="N100" s="248"/>
      <c r="O100" s="248"/>
      <c r="P100" s="250"/>
      <c r="Q100" s="252"/>
      <c r="R100" s="248"/>
      <c r="S100" s="248"/>
      <c r="T100" s="248"/>
      <c r="U100" s="248"/>
      <c r="V100" s="248"/>
      <c r="W100" s="248"/>
      <c r="X100" s="248"/>
      <c r="Y100" s="248"/>
      <c r="Z100" s="253"/>
      <c r="AA100" s="253"/>
      <c r="AB100" s="253"/>
      <c r="AC100" s="253"/>
      <c r="AD100" s="253"/>
      <c r="AE100" s="253"/>
      <c r="AF100" s="254"/>
      <c r="AG100" s="257"/>
      <c r="AH100" s="257"/>
      <c r="AI100" s="257"/>
      <c r="AJ100" s="258"/>
      <c r="AK100" s="259"/>
      <c r="AL100" s="257"/>
      <c r="AM100" s="257"/>
      <c r="AN100" s="257"/>
      <c r="AO100" s="257"/>
      <c r="AP100" s="257"/>
      <c r="AQ100" s="258"/>
      <c r="AR100" s="260"/>
      <c r="AS100" s="257"/>
      <c r="AT100" s="257"/>
      <c r="AU100" s="257"/>
      <c r="AV100" s="257"/>
      <c r="AW100" s="257"/>
      <c r="AX100" s="258"/>
      <c r="AY100" s="260"/>
      <c r="AZ100" s="257"/>
      <c r="BA100" s="257"/>
      <c r="BB100" s="257"/>
      <c r="BC100" s="257"/>
      <c r="BD100" s="258"/>
      <c r="BE100" s="260"/>
      <c r="BF100" s="258"/>
      <c r="BG100" s="260"/>
      <c r="BH100" s="257"/>
      <c r="BI100" s="14"/>
    </row>
    <row r="101" spans="1:61" ht="13.15" x14ac:dyDescent="0.4">
      <c r="A101" s="248"/>
      <c r="B101" s="256"/>
      <c r="C101" s="248"/>
      <c r="D101" s="248"/>
      <c r="E101" s="248"/>
      <c r="F101" s="250"/>
      <c r="G101" s="248"/>
      <c r="H101" s="32"/>
      <c r="I101" s="248"/>
      <c r="J101" s="248"/>
      <c r="K101" s="251"/>
      <c r="L101" s="238"/>
      <c r="M101" s="248"/>
      <c r="N101" s="248"/>
      <c r="O101" s="248"/>
      <c r="P101" s="250"/>
      <c r="Q101" s="252"/>
      <c r="R101" s="248"/>
      <c r="S101" s="248"/>
      <c r="T101" s="248"/>
      <c r="U101" s="248"/>
      <c r="V101" s="248"/>
      <c r="W101" s="248"/>
      <c r="X101" s="248"/>
      <c r="Y101" s="248"/>
      <c r="Z101" s="253"/>
      <c r="AA101" s="253"/>
      <c r="AB101" s="253"/>
      <c r="AC101" s="253"/>
      <c r="AD101" s="253"/>
      <c r="AE101" s="253"/>
      <c r="AF101" s="254"/>
      <c r="AG101" s="257"/>
      <c r="AH101" s="257"/>
      <c r="AI101" s="257"/>
      <c r="AJ101" s="258"/>
      <c r="AK101" s="259"/>
      <c r="AL101" s="257"/>
      <c r="AM101" s="257"/>
      <c r="AN101" s="257"/>
      <c r="AO101" s="257"/>
      <c r="AP101" s="257"/>
      <c r="AQ101" s="258"/>
      <c r="AR101" s="260"/>
      <c r="AS101" s="257"/>
      <c r="AT101" s="257"/>
      <c r="AU101" s="257"/>
      <c r="AV101" s="257"/>
      <c r="AW101" s="257"/>
      <c r="AX101" s="258"/>
      <c r="AY101" s="260"/>
      <c r="AZ101" s="257"/>
      <c r="BA101" s="257"/>
      <c r="BB101" s="257"/>
      <c r="BC101" s="257"/>
      <c r="BD101" s="258"/>
      <c r="BE101" s="260"/>
      <c r="BF101" s="258"/>
      <c r="BG101" s="260"/>
      <c r="BH101" s="257"/>
      <c r="BI101" s="14"/>
    </row>
    <row r="102" spans="1:61" ht="13.15" x14ac:dyDescent="0.4">
      <c r="A102" s="248"/>
      <c r="B102" s="256"/>
      <c r="C102" s="248"/>
      <c r="D102" s="248"/>
      <c r="E102" s="248"/>
      <c r="F102" s="250"/>
      <c r="G102" s="248"/>
      <c r="H102" s="32"/>
      <c r="I102" s="248"/>
      <c r="J102" s="248"/>
      <c r="K102" s="251"/>
      <c r="L102" s="238"/>
      <c r="M102" s="248"/>
      <c r="N102" s="248"/>
      <c r="O102" s="248"/>
      <c r="P102" s="250"/>
      <c r="Q102" s="252"/>
      <c r="R102" s="248"/>
      <c r="S102" s="248"/>
      <c r="T102" s="248"/>
      <c r="U102" s="248"/>
      <c r="V102" s="248"/>
      <c r="W102" s="248"/>
      <c r="X102" s="248"/>
      <c r="Y102" s="248"/>
      <c r="Z102" s="253"/>
      <c r="AA102" s="253"/>
      <c r="AB102" s="253"/>
      <c r="AC102" s="253"/>
      <c r="AD102" s="253"/>
      <c r="AE102" s="253"/>
      <c r="AF102" s="254"/>
      <c r="AG102" s="257"/>
      <c r="AH102" s="257"/>
      <c r="AI102" s="257"/>
      <c r="AJ102" s="258"/>
      <c r="AK102" s="259"/>
      <c r="AL102" s="257"/>
      <c r="AM102" s="257"/>
      <c r="AN102" s="257"/>
      <c r="AO102" s="257"/>
      <c r="AP102" s="257"/>
      <c r="AQ102" s="258"/>
      <c r="AR102" s="260"/>
      <c r="AS102" s="257"/>
      <c r="AT102" s="257"/>
      <c r="AU102" s="257"/>
      <c r="AV102" s="257"/>
      <c r="AW102" s="257"/>
      <c r="AX102" s="258"/>
      <c r="AY102" s="260"/>
      <c r="AZ102" s="257"/>
      <c r="BA102" s="257"/>
      <c r="BB102" s="257"/>
      <c r="BC102" s="257"/>
      <c r="BD102" s="258"/>
      <c r="BE102" s="260"/>
      <c r="BF102" s="258"/>
      <c r="BG102" s="260"/>
      <c r="BH102" s="257"/>
      <c r="BI102" s="14"/>
    </row>
    <row r="103" spans="1:61" ht="13.15" x14ac:dyDescent="0.4">
      <c r="A103" s="248"/>
      <c r="B103" s="256"/>
      <c r="C103" s="248"/>
      <c r="D103" s="248"/>
      <c r="E103" s="248"/>
      <c r="F103" s="250"/>
      <c r="G103" s="248"/>
      <c r="H103" s="32"/>
      <c r="I103" s="248"/>
      <c r="J103" s="248"/>
      <c r="K103" s="251"/>
      <c r="L103" s="238"/>
      <c r="M103" s="248"/>
      <c r="N103" s="248"/>
      <c r="O103" s="248"/>
      <c r="P103" s="250"/>
      <c r="Q103" s="252"/>
      <c r="R103" s="248"/>
      <c r="S103" s="248"/>
      <c r="T103" s="248"/>
      <c r="U103" s="248"/>
      <c r="V103" s="248"/>
      <c r="W103" s="248"/>
      <c r="X103" s="248"/>
      <c r="Y103" s="248"/>
      <c r="Z103" s="253"/>
      <c r="AA103" s="253"/>
      <c r="AB103" s="253"/>
      <c r="AC103" s="253"/>
      <c r="AD103" s="253"/>
      <c r="AE103" s="253"/>
      <c r="AF103" s="254"/>
      <c r="AG103" s="257"/>
      <c r="AH103" s="257"/>
      <c r="AI103" s="257"/>
      <c r="AJ103" s="258"/>
      <c r="AK103" s="259"/>
      <c r="AL103" s="257"/>
      <c r="AM103" s="257"/>
      <c r="AN103" s="257"/>
      <c r="AO103" s="257"/>
      <c r="AP103" s="257"/>
      <c r="AQ103" s="258"/>
      <c r="AR103" s="260"/>
      <c r="AS103" s="257"/>
      <c r="AT103" s="257"/>
      <c r="AU103" s="257"/>
      <c r="AV103" s="257"/>
      <c r="AW103" s="257"/>
      <c r="AX103" s="258"/>
      <c r="AY103" s="260"/>
      <c r="AZ103" s="257"/>
      <c r="BA103" s="257"/>
      <c r="BB103" s="257"/>
      <c r="BC103" s="257"/>
      <c r="BD103" s="258"/>
      <c r="BE103" s="260"/>
      <c r="BF103" s="258"/>
      <c r="BG103" s="260"/>
      <c r="BH103" s="257"/>
      <c r="BI103" s="14"/>
    </row>
    <row r="104" spans="1:61" ht="13.15" x14ac:dyDescent="0.4">
      <c r="A104" s="248"/>
      <c r="B104" s="256"/>
      <c r="C104" s="248"/>
      <c r="D104" s="248"/>
      <c r="E104" s="248"/>
      <c r="F104" s="250"/>
      <c r="G104" s="248"/>
      <c r="H104" s="32"/>
      <c r="I104" s="248"/>
      <c r="J104" s="248"/>
      <c r="K104" s="251"/>
      <c r="L104" s="238"/>
      <c r="M104" s="248"/>
      <c r="N104" s="248"/>
      <c r="O104" s="248"/>
      <c r="P104" s="250"/>
      <c r="Q104" s="252"/>
      <c r="R104" s="248"/>
      <c r="S104" s="248"/>
      <c r="T104" s="248"/>
      <c r="U104" s="248"/>
      <c r="V104" s="248"/>
      <c r="W104" s="248"/>
      <c r="X104" s="248"/>
      <c r="Y104" s="248"/>
      <c r="Z104" s="253"/>
      <c r="AA104" s="253"/>
      <c r="AB104" s="253"/>
      <c r="AC104" s="253"/>
      <c r="AD104" s="253"/>
      <c r="AE104" s="253"/>
      <c r="AF104" s="254"/>
      <c r="AG104" s="257"/>
      <c r="AH104" s="257"/>
      <c r="AI104" s="257"/>
      <c r="AJ104" s="258"/>
      <c r="AK104" s="259"/>
      <c r="AL104" s="257"/>
      <c r="AM104" s="257"/>
      <c r="AN104" s="257"/>
      <c r="AO104" s="257"/>
      <c r="AP104" s="257"/>
      <c r="AQ104" s="258"/>
      <c r="AR104" s="260"/>
      <c r="AS104" s="257"/>
      <c r="AT104" s="257"/>
      <c r="AU104" s="257"/>
      <c r="AV104" s="257"/>
      <c r="AW104" s="257"/>
      <c r="AX104" s="258"/>
      <c r="AY104" s="260"/>
      <c r="AZ104" s="257"/>
      <c r="BA104" s="257"/>
      <c r="BB104" s="257"/>
      <c r="BC104" s="257"/>
      <c r="BD104" s="258"/>
      <c r="BE104" s="260"/>
      <c r="BF104" s="258"/>
      <c r="BG104" s="260"/>
      <c r="BH104" s="257"/>
      <c r="BI104" s="14"/>
    </row>
    <row r="105" spans="1:61" ht="13.15" x14ac:dyDescent="0.4">
      <c r="A105" s="248"/>
      <c r="B105" s="256"/>
      <c r="C105" s="248"/>
      <c r="D105" s="248"/>
      <c r="E105" s="248"/>
      <c r="F105" s="250"/>
      <c r="G105" s="248"/>
      <c r="H105" s="32"/>
      <c r="I105" s="248"/>
      <c r="J105" s="248"/>
      <c r="K105" s="251"/>
      <c r="L105" s="238"/>
      <c r="M105" s="248"/>
      <c r="N105" s="248"/>
      <c r="O105" s="248"/>
      <c r="P105" s="250"/>
      <c r="Q105" s="252"/>
      <c r="R105" s="248"/>
      <c r="S105" s="248"/>
      <c r="T105" s="248"/>
      <c r="U105" s="248"/>
      <c r="V105" s="248"/>
      <c r="W105" s="248"/>
      <c r="X105" s="248"/>
      <c r="Y105" s="248"/>
      <c r="Z105" s="253"/>
      <c r="AA105" s="253"/>
      <c r="AB105" s="253"/>
      <c r="AC105" s="253"/>
      <c r="AD105" s="253"/>
      <c r="AE105" s="253"/>
      <c r="AF105" s="254"/>
      <c r="AG105" s="257"/>
      <c r="AH105" s="257"/>
      <c r="AI105" s="257"/>
      <c r="AJ105" s="258"/>
      <c r="AK105" s="259"/>
      <c r="AL105" s="257"/>
      <c r="AM105" s="257"/>
      <c r="AN105" s="257"/>
      <c r="AO105" s="257"/>
      <c r="AP105" s="257"/>
      <c r="AQ105" s="258"/>
      <c r="AR105" s="260"/>
      <c r="AS105" s="257"/>
      <c r="AT105" s="257"/>
      <c r="AU105" s="257"/>
      <c r="AV105" s="257"/>
      <c r="AW105" s="257"/>
      <c r="AX105" s="258"/>
      <c r="AY105" s="260"/>
      <c r="AZ105" s="257"/>
      <c r="BA105" s="257"/>
      <c r="BB105" s="257"/>
      <c r="BC105" s="257"/>
      <c r="BD105" s="258"/>
      <c r="BE105" s="260"/>
      <c r="BF105" s="258"/>
      <c r="BG105" s="260"/>
      <c r="BH105" s="257"/>
      <c r="BI105" s="14"/>
    </row>
    <row r="106" spans="1:61" ht="13.15" x14ac:dyDescent="0.4">
      <c r="A106" s="248"/>
      <c r="B106" s="256"/>
      <c r="C106" s="248"/>
      <c r="D106" s="248"/>
      <c r="E106" s="248"/>
      <c r="F106" s="250"/>
      <c r="G106" s="248"/>
      <c r="H106" s="32"/>
      <c r="I106" s="248"/>
      <c r="J106" s="248"/>
      <c r="K106" s="251"/>
      <c r="L106" s="238"/>
      <c r="M106" s="248"/>
      <c r="N106" s="248"/>
      <c r="O106" s="248"/>
      <c r="P106" s="250"/>
      <c r="Q106" s="252"/>
      <c r="R106" s="248"/>
      <c r="S106" s="248"/>
      <c r="T106" s="248"/>
      <c r="U106" s="248"/>
      <c r="V106" s="248"/>
      <c r="W106" s="248"/>
      <c r="X106" s="248"/>
      <c r="Y106" s="248"/>
      <c r="Z106" s="253"/>
      <c r="AA106" s="253"/>
      <c r="AB106" s="253"/>
      <c r="AC106" s="253"/>
      <c r="AD106" s="253"/>
      <c r="AE106" s="253"/>
      <c r="AF106" s="254"/>
      <c r="AG106" s="257"/>
      <c r="AH106" s="257"/>
      <c r="AI106" s="257"/>
      <c r="AJ106" s="258"/>
      <c r="AK106" s="259"/>
      <c r="AL106" s="257"/>
      <c r="AM106" s="257"/>
      <c r="AN106" s="257"/>
      <c r="AO106" s="257"/>
      <c r="AP106" s="257"/>
      <c r="AQ106" s="258"/>
      <c r="AR106" s="260"/>
      <c r="AS106" s="257"/>
      <c r="AT106" s="257"/>
      <c r="AU106" s="257"/>
      <c r="AV106" s="257"/>
      <c r="AW106" s="257"/>
      <c r="AX106" s="258"/>
      <c r="AY106" s="260"/>
      <c r="AZ106" s="257"/>
      <c r="BA106" s="257"/>
      <c r="BB106" s="257"/>
      <c r="BC106" s="257"/>
      <c r="BD106" s="258"/>
      <c r="BE106" s="260"/>
      <c r="BF106" s="258"/>
      <c r="BG106" s="260"/>
      <c r="BH106" s="257"/>
      <c r="BI106" s="14"/>
    </row>
    <row r="107" spans="1:61" ht="13.15" x14ac:dyDescent="0.4">
      <c r="A107" s="248"/>
      <c r="B107" s="256"/>
      <c r="C107" s="248"/>
      <c r="D107" s="248"/>
      <c r="E107" s="248"/>
      <c r="F107" s="250"/>
      <c r="G107" s="248"/>
      <c r="H107" s="32"/>
      <c r="I107" s="248"/>
      <c r="J107" s="248"/>
      <c r="K107" s="251"/>
      <c r="L107" s="238"/>
      <c r="M107" s="248"/>
      <c r="N107" s="248"/>
      <c r="O107" s="248"/>
      <c r="P107" s="250"/>
      <c r="Q107" s="252"/>
      <c r="R107" s="248"/>
      <c r="S107" s="248"/>
      <c r="T107" s="248"/>
      <c r="U107" s="248"/>
      <c r="V107" s="248"/>
      <c r="W107" s="248"/>
      <c r="X107" s="248"/>
      <c r="Y107" s="248"/>
      <c r="Z107" s="253"/>
      <c r="AA107" s="253"/>
      <c r="AB107" s="253"/>
      <c r="AC107" s="253"/>
      <c r="AD107" s="253"/>
      <c r="AE107" s="253"/>
      <c r="AF107" s="254"/>
      <c r="AG107" s="257"/>
      <c r="AH107" s="257"/>
      <c r="AI107" s="257"/>
      <c r="AJ107" s="258"/>
      <c r="AK107" s="259"/>
      <c r="AL107" s="257"/>
      <c r="AM107" s="257"/>
      <c r="AN107" s="257"/>
      <c r="AO107" s="257"/>
      <c r="AP107" s="257"/>
      <c r="AQ107" s="258"/>
      <c r="AR107" s="260"/>
      <c r="AS107" s="257"/>
      <c r="AT107" s="257"/>
      <c r="AU107" s="257"/>
      <c r="AV107" s="257"/>
      <c r="AW107" s="257"/>
      <c r="AX107" s="258"/>
      <c r="AY107" s="260"/>
      <c r="AZ107" s="257"/>
      <c r="BA107" s="257"/>
      <c r="BB107" s="257"/>
      <c r="BC107" s="257"/>
      <c r="BD107" s="258"/>
      <c r="BE107" s="260"/>
      <c r="BF107" s="258"/>
      <c r="BG107" s="260"/>
      <c r="BH107" s="257"/>
      <c r="BI107" s="14"/>
    </row>
    <row r="108" spans="1:61" ht="13.15" x14ac:dyDescent="0.4">
      <c r="A108" s="248"/>
      <c r="B108" s="256"/>
      <c r="C108" s="248"/>
      <c r="D108" s="248"/>
      <c r="E108" s="248"/>
      <c r="F108" s="250"/>
      <c r="G108" s="248"/>
      <c r="H108" s="32"/>
      <c r="I108" s="248"/>
      <c r="J108" s="248"/>
      <c r="K108" s="251"/>
      <c r="L108" s="238"/>
      <c r="M108" s="248"/>
      <c r="N108" s="248"/>
      <c r="O108" s="248"/>
      <c r="P108" s="250"/>
      <c r="Q108" s="252"/>
      <c r="R108" s="248"/>
      <c r="S108" s="248"/>
      <c r="T108" s="248"/>
      <c r="U108" s="248"/>
      <c r="V108" s="248"/>
      <c r="W108" s="248"/>
      <c r="X108" s="248"/>
      <c r="Y108" s="248"/>
      <c r="Z108" s="253"/>
      <c r="AA108" s="253"/>
      <c r="AB108" s="253"/>
      <c r="AC108" s="253"/>
      <c r="AD108" s="253"/>
      <c r="AE108" s="253"/>
      <c r="AF108" s="254"/>
      <c r="AG108" s="257"/>
      <c r="AH108" s="257"/>
      <c r="AI108" s="257"/>
      <c r="AJ108" s="258"/>
      <c r="AK108" s="259"/>
      <c r="AL108" s="257"/>
      <c r="AM108" s="257"/>
      <c r="AN108" s="257"/>
      <c r="AO108" s="257"/>
      <c r="AP108" s="257"/>
      <c r="AQ108" s="258"/>
      <c r="AR108" s="260"/>
      <c r="AS108" s="257"/>
      <c r="AT108" s="257"/>
      <c r="AU108" s="257"/>
      <c r="AV108" s="257"/>
      <c r="AW108" s="257"/>
      <c r="AX108" s="258"/>
      <c r="AY108" s="260"/>
      <c r="AZ108" s="257"/>
      <c r="BA108" s="257"/>
      <c r="BB108" s="257"/>
      <c r="BC108" s="257"/>
      <c r="BD108" s="258"/>
      <c r="BE108" s="260"/>
      <c r="BF108" s="258"/>
      <c r="BG108" s="260"/>
      <c r="BH108" s="257"/>
      <c r="BI108" s="14"/>
    </row>
    <row r="109" spans="1:61" ht="13.15" x14ac:dyDescent="0.4">
      <c r="A109" s="248"/>
      <c r="B109" s="256"/>
      <c r="C109" s="248"/>
      <c r="D109" s="248"/>
      <c r="E109" s="248"/>
      <c r="F109" s="250"/>
      <c r="G109" s="248"/>
      <c r="H109" s="32"/>
      <c r="I109" s="248"/>
      <c r="J109" s="248"/>
      <c r="K109" s="251"/>
      <c r="L109" s="238"/>
      <c r="M109" s="248"/>
      <c r="N109" s="248"/>
      <c r="O109" s="248"/>
      <c r="P109" s="250"/>
      <c r="Q109" s="252"/>
      <c r="R109" s="248"/>
      <c r="S109" s="248"/>
      <c r="T109" s="248"/>
      <c r="U109" s="248"/>
      <c r="V109" s="248"/>
      <c r="W109" s="248"/>
      <c r="X109" s="248"/>
      <c r="Y109" s="248"/>
      <c r="Z109" s="253"/>
      <c r="AA109" s="253"/>
      <c r="AB109" s="253"/>
      <c r="AC109" s="253"/>
      <c r="AD109" s="253"/>
      <c r="AE109" s="253"/>
      <c r="AF109" s="254"/>
      <c r="AG109" s="257"/>
      <c r="AH109" s="257"/>
      <c r="AI109" s="257"/>
      <c r="AJ109" s="258"/>
      <c r="AK109" s="259"/>
      <c r="AL109" s="257"/>
      <c r="AM109" s="257"/>
      <c r="AN109" s="257"/>
      <c r="AO109" s="257"/>
      <c r="AP109" s="257"/>
      <c r="AQ109" s="258"/>
      <c r="AR109" s="260"/>
      <c r="AS109" s="257"/>
      <c r="AT109" s="257"/>
      <c r="AU109" s="257"/>
      <c r="AV109" s="257"/>
      <c r="AW109" s="257"/>
      <c r="AX109" s="258"/>
      <c r="AY109" s="260"/>
      <c r="AZ109" s="257"/>
      <c r="BA109" s="257"/>
      <c r="BB109" s="257"/>
      <c r="BC109" s="257"/>
      <c r="BD109" s="258"/>
      <c r="BE109" s="260"/>
      <c r="BF109" s="258"/>
      <c r="BG109" s="260"/>
      <c r="BH109" s="257"/>
      <c r="BI109" s="14"/>
    </row>
    <row r="110" spans="1:61" ht="13.15" x14ac:dyDescent="0.4">
      <c r="A110" s="248"/>
      <c r="B110" s="256"/>
      <c r="C110" s="248"/>
      <c r="D110" s="248"/>
      <c r="E110" s="248"/>
      <c r="F110" s="250"/>
      <c r="G110" s="248"/>
      <c r="H110" s="32"/>
      <c r="I110" s="248"/>
      <c r="J110" s="248"/>
      <c r="K110" s="251"/>
      <c r="L110" s="238"/>
      <c r="M110" s="248"/>
      <c r="N110" s="248"/>
      <c r="O110" s="248"/>
      <c r="P110" s="250"/>
      <c r="Q110" s="252"/>
      <c r="R110" s="248"/>
      <c r="S110" s="248"/>
      <c r="T110" s="248"/>
      <c r="U110" s="248"/>
      <c r="V110" s="248"/>
      <c r="W110" s="248"/>
      <c r="X110" s="248"/>
      <c r="Y110" s="248"/>
      <c r="Z110" s="253"/>
      <c r="AA110" s="253"/>
      <c r="AB110" s="253"/>
      <c r="AC110" s="253"/>
      <c r="AD110" s="253"/>
      <c r="AE110" s="253"/>
      <c r="AF110" s="254"/>
      <c r="AG110" s="257"/>
      <c r="AH110" s="257"/>
      <c r="AI110" s="257"/>
      <c r="AJ110" s="258"/>
      <c r="AK110" s="259"/>
      <c r="AL110" s="257"/>
      <c r="AM110" s="257"/>
      <c r="AN110" s="257"/>
      <c r="AO110" s="257"/>
      <c r="AP110" s="257"/>
      <c r="AQ110" s="258"/>
      <c r="AR110" s="260"/>
      <c r="AS110" s="257"/>
      <c r="AT110" s="257"/>
      <c r="AU110" s="257"/>
      <c r="AV110" s="257"/>
      <c r="AW110" s="257"/>
      <c r="AX110" s="258"/>
      <c r="AY110" s="260"/>
      <c r="AZ110" s="257"/>
      <c r="BA110" s="257"/>
      <c r="BB110" s="257"/>
      <c r="BC110" s="257"/>
      <c r="BD110" s="258"/>
      <c r="BE110" s="260"/>
      <c r="BF110" s="258"/>
      <c r="BG110" s="260"/>
      <c r="BH110" s="257"/>
      <c r="BI110" s="14"/>
    </row>
    <row r="111" spans="1:61" ht="13.15" x14ac:dyDescent="0.4">
      <c r="A111" s="248"/>
      <c r="B111" s="256"/>
      <c r="C111" s="248"/>
      <c r="D111" s="248"/>
      <c r="E111" s="248"/>
      <c r="F111" s="250"/>
      <c r="G111" s="248"/>
      <c r="H111" s="32"/>
      <c r="I111" s="248"/>
      <c r="J111" s="248"/>
      <c r="K111" s="251"/>
      <c r="L111" s="238"/>
      <c r="M111" s="248"/>
      <c r="N111" s="248"/>
      <c r="O111" s="248"/>
      <c r="P111" s="250"/>
      <c r="Q111" s="252"/>
      <c r="R111" s="248"/>
      <c r="S111" s="248"/>
      <c r="T111" s="248"/>
      <c r="U111" s="248"/>
      <c r="V111" s="248"/>
      <c r="W111" s="248"/>
      <c r="X111" s="248"/>
      <c r="Y111" s="248"/>
      <c r="Z111" s="253"/>
      <c r="AA111" s="253"/>
      <c r="AB111" s="253"/>
      <c r="AC111" s="253"/>
      <c r="AD111" s="253"/>
      <c r="AE111" s="253"/>
      <c r="AF111" s="254"/>
      <c r="AG111" s="257"/>
      <c r="AH111" s="257"/>
      <c r="AI111" s="257"/>
      <c r="AJ111" s="258"/>
      <c r="AK111" s="259"/>
      <c r="AL111" s="257"/>
      <c r="AM111" s="257"/>
      <c r="AN111" s="257"/>
      <c r="AO111" s="257"/>
      <c r="AP111" s="257"/>
      <c r="AQ111" s="258"/>
      <c r="AR111" s="260"/>
      <c r="AS111" s="257"/>
      <c r="AT111" s="257"/>
      <c r="AU111" s="257"/>
      <c r="AV111" s="257"/>
      <c r="AW111" s="257"/>
      <c r="AX111" s="258"/>
      <c r="AY111" s="260"/>
      <c r="AZ111" s="257"/>
      <c r="BA111" s="257"/>
      <c r="BB111" s="257"/>
      <c r="BC111" s="257"/>
      <c r="BD111" s="258"/>
      <c r="BE111" s="260"/>
      <c r="BF111" s="258"/>
      <c r="BG111" s="260"/>
      <c r="BH111" s="257"/>
      <c r="BI111" s="14"/>
    </row>
    <row r="112" spans="1:61" ht="13.15" x14ac:dyDescent="0.4">
      <c r="A112" s="248"/>
      <c r="B112" s="256"/>
      <c r="C112" s="248"/>
      <c r="D112" s="248"/>
      <c r="E112" s="248"/>
      <c r="F112" s="250"/>
      <c r="G112" s="248"/>
      <c r="H112" s="32"/>
      <c r="I112" s="248"/>
      <c r="J112" s="248"/>
      <c r="K112" s="251"/>
      <c r="L112" s="238"/>
      <c r="M112" s="248"/>
      <c r="N112" s="248"/>
      <c r="O112" s="248"/>
      <c r="P112" s="250"/>
      <c r="Q112" s="252"/>
      <c r="R112" s="248"/>
      <c r="S112" s="248"/>
      <c r="T112" s="248"/>
      <c r="U112" s="248"/>
      <c r="V112" s="248"/>
      <c r="W112" s="248"/>
      <c r="X112" s="248"/>
      <c r="Y112" s="248"/>
      <c r="Z112" s="253"/>
      <c r="AA112" s="253"/>
      <c r="AB112" s="253"/>
      <c r="AC112" s="253"/>
      <c r="AD112" s="253"/>
      <c r="AE112" s="253"/>
      <c r="AF112" s="254"/>
      <c r="AG112" s="257"/>
      <c r="AH112" s="257"/>
      <c r="AI112" s="257"/>
      <c r="AJ112" s="258"/>
      <c r="AK112" s="259"/>
      <c r="AL112" s="257"/>
      <c r="AM112" s="257"/>
      <c r="AN112" s="257"/>
      <c r="AO112" s="257"/>
      <c r="AP112" s="257"/>
      <c r="AQ112" s="258"/>
      <c r="AR112" s="260"/>
      <c r="AS112" s="257"/>
      <c r="AT112" s="257"/>
      <c r="AU112" s="257"/>
      <c r="AV112" s="257"/>
      <c r="AW112" s="257"/>
      <c r="AX112" s="258"/>
      <c r="AY112" s="260"/>
      <c r="AZ112" s="257"/>
      <c r="BA112" s="257"/>
      <c r="BB112" s="257"/>
      <c r="BC112" s="257"/>
      <c r="BD112" s="258"/>
      <c r="BE112" s="260"/>
      <c r="BF112" s="258"/>
      <c r="BG112" s="260"/>
      <c r="BH112" s="257"/>
      <c r="BI112" s="14"/>
    </row>
    <row r="113" spans="1:61" ht="13.15" x14ac:dyDescent="0.4">
      <c r="A113" s="248"/>
      <c r="B113" s="256"/>
      <c r="C113" s="248"/>
      <c r="D113" s="248"/>
      <c r="E113" s="248"/>
      <c r="F113" s="250"/>
      <c r="G113" s="248"/>
      <c r="H113" s="32"/>
      <c r="I113" s="248"/>
      <c r="J113" s="248"/>
      <c r="K113" s="251"/>
      <c r="L113" s="238"/>
      <c r="M113" s="248"/>
      <c r="N113" s="248"/>
      <c r="O113" s="248"/>
      <c r="P113" s="250"/>
      <c r="Q113" s="252"/>
      <c r="R113" s="248"/>
      <c r="S113" s="248"/>
      <c r="T113" s="248"/>
      <c r="U113" s="248"/>
      <c r="V113" s="248"/>
      <c r="W113" s="248"/>
      <c r="X113" s="248"/>
      <c r="Y113" s="248"/>
      <c r="Z113" s="253"/>
      <c r="AA113" s="253"/>
      <c r="AB113" s="253"/>
      <c r="AC113" s="253"/>
      <c r="AD113" s="253"/>
      <c r="AE113" s="253"/>
      <c r="AF113" s="254"/>
      <c r="AG113" s="257"/>
      <c r="AH113" s="257"/>
      <c r="AI113" s="257"/>
      <c r="AJ113" s="258"/>
      <c r="AK113" s="259"/>
      <c r="AL113" s="257"/>
      <c r="AM113" s="257"/>
      <c r="AN113" s="257"/>
      <c r="AO113" s="257"/>
      <c r="AP113" s="257"/>
      <c r="AQ113" s="258"/>
      <c r="AR113" s="260"/>
      <c r="AS113" s="257"/>
      <c r="AT113" s="257"/>
      <c r="AU113" s="257"/>
      <c r="AV113" s="257"/>
      <c r="AW113" s="257"/>
      <c r="AX113" s="258"/>
      <c r="AY113" s="260"/>
      <c r="AZ113" s="257"/>
      <c r="BA113" s="257"/>
      <c r="BB113" s="257"/>
      <c r="BC113" s="257"/>
      <c r="BD113" s="258"/>
      <c r="BE113" s="260"/>
      <c r="BF113" s="258"/>
      <c r="BG113" s="260"/>
      <c r="BH113" s="257"/>
      <c r="BI113" s="14"/>
    </row>
    <row r="114" spans="1:61" ht="13.15" x14ac:dyDescent="0.4">
      <c r="A114" s="248"/>
      <c r="B114" s="256"/>
      <c r="C114" s="248"/>
      <c r="D114" s="248"/>
      <c r="E114" s="248"/>
      <c r="F114" s="250"/>
      <c r="G114" s="248"/>
      <c r="H114" s="32"/>
      <c r="I114" s="248"/>
      <c r="J114" s="248"/>
      <c r="K114" s="251"/>
      <c r="L114" s="238"/>
      <c r="M114" s="248"/>
      <c r="N114" s="248"/>
      <c r="O114" s="248"/>
      <c r="P114" s="250"/>
      <c r="Q114" s="252"/>
      <c r="R114" s="248"/>
      <c r="S114" s="248"/>
      <c r="T114" s="248"/>
      <c r="U114" s="248"/>
      <c r="V114" s="248"/>
      <c r="W114" s="248"/>
      <c r="X114" s="248"/>
      <c r="Y114" s="248"/>
      <c r="Z114" s="253"/>
      <c r="AA114" s="253"/>
      <c r="AB114" s="253"/>
      <c r="AC114" s="253"/>
      <c r="AD114" s="253"/>
      <c r="AE114" s="253"/>
      <c r="AF114" s="254"/>
      <c r="AG114" s="257"/>
      <c r="AH114" s="257"/>
      <c r="AI114" s="257"/>
      <c r="AJ114" s="258"/>
      <c r="AK114" s="259"/>
      <c r="AL114" s="257"/>
      <c r="AM114" s="257"/>
      <c r="AN114" s="257"/>
      <c r="AO114" s="257"/>
      <c r="AP114" s="257"/>
      <c r="AQ114" s="258"/>
      <c r="AR114" s="260"/>
      <c r="AS114" s="257"/>
      <c r="AT114" s="257"/>
      <c r="AU114" s="257"/>
      <c r="AV114" s="257"/>
      <c r="AW114" s="257"/>
      <c r="AX114" s="258"/>
      <c r="AY114" s="260"/>
      <c r="AZ114" s="257"/>
      <c r="BA114" s="257"/>
      <c r="BB114" s="257"/>
      <c r="BC114" s="257"/>
      <c r="BD114" s="258"/>
      <c r="BE114" s="260"/>
      <c r="BF114" s="258"/>
      <c r="BG114" s="260"/>
      <c r="BH114" s="257"/>
      <c r="BI114" s="14"/>
    </row>
    <row r="115" spans="1:61" ht="13.15" x14ac:dyDescent="0.4">
      <c r="A115" s="248"/>
      <c r="B115" s="256"/>
      <c r="C115" s="248"/>
      <c r="D115" s="248"/>
      <c r="E115" s="248"/>
      <c r="F115" s="250"/>
      <c r="G115" s="248"/>
      <c r="H115" s="32"/>
      <c r="I115" s="248"/>
      <c r="J115" s="248"/>
      <c r="K115" s="251"/>
      <c r="L115" s="238"/>
      <c r="M115" s="248"/>
      <c r="N115" s="248"/>
      <c r="O115" s="248"/>
      <c r="P115" s="250"/>
      <c r="Q115" s="252"/>
      <c r="R115" s="248"/>
      <c r="S115" s="248"/>
      <c r="T115" s="248"/>
      <c r="U115" s="248"/>
      <c r="V115" s="248"/>
      <c r="W115" s="248"/>
      <c r="X115" s="248"/>
      <c r="Y115" s="248"/>
      <c r="Z115" s="253"/>
      <c r="AA115" s="253"/>
      <c r="AB115" s="253"/>
      <c r="AC115" s="253"/>
      <c r="AD115" s="253"/>
      <c r="AE115" s="253"/>
      <c r="AF115" s="254"/>
      <c r="AG115" s="257"/>
      <c r="AH115" s="257"/>
      <c r="AI115" s="257"/>
      <c r="AJ115" s="258"/>
      <c r="AK115" s="259"/>
      <c r="AL115" s="257"/>
      <c r="AM115" s="257"/>
      <c r="AN115" s="257"/>
      <c r="AO115" s="257"/>
      <c r="AP115" s="257"/>
      <c r="AQ115" s="258"/>
      <c r="AR115" s="260"/>
      <c r="AS115" s="257"/>
      <c r="AT115" s="257"/>
      <c r="AU115" s="257"/>
      <c r="AV115" s="257"/>
      <c r="AW115" s="257"/>
      <c r="AX115" s="258"/>
      <c r="AY115" s="260"/>
      <c r="AZ115" s="257"/>
      <c r="BA115" s="257"/>
      <c r="BB115" s="257"/>
      <c r="BC115" s="257"/>
      <c r="BD115" s="258"/>
      <c r="BE115" s="260"/>
      <c r="BF115" s="258"/>
      <c r="BG115" s="260"/>
      <c r="BH115" s="257"/>
      <c r="BI115" s="14"/>
    </row>
    <row r="116" spans="1:61" ht="13.15" x14ac:dyDescent="0.4">
      <c r="A116" s="248"/>
      <c r="B116" s="256"/>
      <c r="C116" s="248"/>
      <c r="D116" s="248"/>
      <c r="E116" s="248"/>
      <c r="F116" s="250"/>
      <c r="G116" s="248"/>
      <c r="H116" s="32"/>
      <c r="I116" s="248"/>
      <c r="J116" s="248"/>
      <c r="K116" s="251"/>
      <c r="L116" s="238"/>
      <c r="M116" s="248"/>
      <c r="N116" s="248"/>
      <c r="O116" s="248"/>
      <c r="P116" s="250"/>
      <c r="Q116" s="252"/>
      <c r="R116" s="248"/>
      <c r="S116" s="248"/>
      <c r="T116" s="248"/>
      <c r="U116" s="248"/>
      <c r="V116" s="248"/>
      <c r="W116" s="248"/>
      <c r="X116" s="248"/>
      <c r="Y116" s="248"/>
      <c r="Z116" s="253"/>
      <c r="AA116" s="253"/>
      <c r="AB116" s="253"/>
      <c r="AC116" s="253"/>
      <c r="AD116" s="253"/>
      <c r="AE116" s="253"/>
      <c r="AF116" s="254"/>
      <c r="AG116" s="257"/>
      <c r="AH116" s="257"/>
      <c r="AI116" s="257"/>
      <c r="AJ116" s="258"/>
      <c r="AK116" s="259"/>
      <c r="AL116" s="257"/>
      <c r="AM116" s="257"/>
      <c r="AN116" s="257"/>
      <c r="AO116" s="257"/>
      <c r="AP116" s="257"/>
      <c r="AQ116" s="258"/>
      <c r="AR116" s="260"/>
      <c r="AS116" s="257"/>
      <c r="AT116" s="257"/>
      <c r="AU116" s="257"/>
      <c r="AV116" s="257"/>
      <c r="AW116" s="257"/>
      <c r="AX116" s="258"/>
      <c r="AY116" s="260"/>
      <c r="AZ116" s="257"/>
      <c r="BA116" s="257"/>
      <c r="BB116" s="257"/>
      <c r="BC116" s="257"/>
      <c r="BD116" s="258"/>
      <c r="BE116" s="260"/>
      <c r="BF116" s="258"/>
      <c r="BG116" s="260"/>
      <c r="BH116" s="257"/>
      <c r="BI116" s="14"/>
    </row>
    <row r="117" spans="1:61" ht="13.15" x14ac:dyDescent="0.4">
      <c r="A117" s="248"/>
      <c r="B117" s="256"/>
      <c r="C117" s="248"/>
      <c r="D117" s="248"/>
      <c r="E117" s="248"/>
      <c r="F117" s="250"/>
      <c r="G117" s="248"/>
      <c r="H117" s="32"/>
      <c r="I117" s="248"/>
      <c r="J117" s="248"/>
      <c r="K117" s="251"/>
      <c r="L117" s="238"/>
      <c r="M117" s="248"/>
      <c r="N117" s="248"/>
      <c r="O117" s="248"/>
      <c r="P117" s="250"/>
      <c r="Q117" s="252"/>
      <c r="R117" s="248"/>
      <c r="S117" s="248"/>
      <c r="T117" s="248"/>
      <c r="U117" s="248"/>
      <c r="V117" s="248"/>
      <c r="W117" s="248"/>
      <c r="X117" s="248"/>
      <c r="Y117" s="248"/>
      <c r="Z117" s="253"/>
      <c r="AA117" s="253"/>
      <c r="AB117" s="253"/>
      <c r="AC117" s="253"/>
      <c r="AD117" s="253"/>
      <c r="AE117" s="253"/>
      <c r="AF117" s="254"/>
      <c r="AG117" s="257"/>
      <c r="AH117" s="257"/>
      <c r="AI117" s="257"/>
      <c r="AJ117" s="258"/>
      <c r="AK117" s="259"/>
      <c r="AL117" s="257"/>
      <c r="AM117" s="257"/>
      <c r="AN117" s="257"/>
      <c r="AO117" s="257"/>
      <c r="AP117" s="257"/>
      <c r="AQ117" s="258"/>
      <c r="AR117" s="260"/>
      <c r="AS117" s="257"/>
      <c r="AT117" s="257"/>
      <c r="AU117" s="257"/>
      <c r="AV117" s="257"/>
      <c r="AW117" s="257"/>
      <c r="AX117" s="258"/>
      <c r="AY117" s="260"/>
      <c r="AZ117" s="257"/>
      <c r="BA117" s="257"/>
      <c r="BB117" s="257"/>
      <c r="BC117" s="257"/>
      <c r="BD117" s="258"/>
      <c r="BE117" s="260"/>
      <c r="BF117" s="258"/>
      <c r="BG117" s="260"/>
      <c r="BH117" s="257"/>
      <c r="BI117" s="14"/>
    </row>
    <row r="118" spans="1:61" ht="13.15" x14ac:dyDescent="0.4">
      <c r="A118" s="248"/>
      <c r="B118" s="256"/>
      <c r="C118" s="248"/>
      <c r="D118" s="248"/>
      <c r="E118" s="248"/>
      <c r="F118" s="250"/>
      <c r="G118" s="248"/>
      <c r="H118" s="32"/>
      <c r="I118" s="248"/>
      <c r="J118" s="248"/>
      <c r="K118" s="251"/>
      <c r="L118" s="238"/>
      <c r="M118" s="248"/>
      <c r="N118" s="248"/>
      <c r="O118" s="248"/>
      <c r="P118" s="250"/>
      <c r="Q118" s="252"/>
      <c r="R118" s="248"/>
      <c r="S118" s="248"/>
      <c r="T118" s="248"/>
      <c r="U118" s="248"/>
      <c r="V118" s="248"/>
      <c r="W118" s="248"/>
      <c r="X118" s="248"/>
      <c r="Y118" s="248"/>
      <c r="Z118" s="253"/>
      <c r="AA118" s="253"/>
      <c r="AB118" s="253"/>
      <c r="AC118" s="253"/>
      <c r="AD118" s="253"/>
      <c r="AE118" s="253"/>
      <c r="AF118" s="254"/>
      <c r="AG118" s="257"/>
      <c r="AH118" s="257"/>
      <c r="AI118" s="257"/>
      <c r="AJ118" s="258"/>
      <c r="AK118" s="259"/>
      <c r="AL118" s="257"/>
      <c r="AM118" s="257"/>
      <c r="AN118" s="257"/>
      <c r="AO118" s="257"/>
      <c r="AP118" s="257"/>
      <c r="AQ118" s="258"/>
      <c r="AR118" s="260"/>
      <c r="AS118" s="257"/>
      <c r="AT118" s="257"/>
      <c r="AU118" s="257"/>
      <c r="AV118" s="257"/>
      <c r="AW118" s="257"/>
      <c r="AX118" s="258"/>
      <c r="AY118" s="260"/>
      <c r="AZ118" s="257"/>
      <c r="BA118" s="257"/>
      <c r="BB118" s="257"/>
      <c r="BC118" s="257"/>
      <c r="BD118" s="258"/>
      <c r="BE118" s="260"/>
      <c r="BF118" s="258"/>
      <c r="BG118" s="260"/>
      <c r="BH118" s="257"/>
      <c r="BI118" s="14"/>
    </row>
    <row r="119" spans="1:61" ht="13.15" x14ac:dyDescent="0.4">
      <c r="A119" s="248"/>
      <c r="B119" s="256"/>
      <c r="C119" s="248"/>
      <c r="D119" s="248"/>
      <c r="E119" s="248"/>
      <c r="F119" s="250"/>
      <c r="G119" s="248"/>
      <c r="H119" s="32"/>
      <c r="I119" s="248"/>
      <c r="J119" s="248"/>
      <c r="K119" s="251"/>
      <c r="L119" s="238"/>
      <c r="M119" s="248"/>
      <c r="N119" s="248"/>
      <c r="O119" s="248"/>
      <c r="P119" s="250"/>
      <c r="Q119" s="252"/>
      <c r="R119" s="248"/>
      <c r="S119" s="248"/>
      <c r="T119" s="248"/>
      <c r="U119" s="248"/>
      <c r="V119" s="248"/>
      <c r="W119" s="248"/>
      <c r="X119" s="248"/>
      <c r="Y119" s="248"/>
      <c r="Z119" s="253"/>
      <c r="AA119" s="253"/>
      <c r="AB119" s="253"/>
      <c r="AC119" s="253"/>
      <c r="AD119" s="253"/>
      <c r="AE119" s="253"/>
      <c r="AF119" s="254"/>
      <c r="AG119" s="257"/>
      <c r="AH119" s="257"/>
      <c r="AI119" s="257"/>
      <c r="AJ119" s="258"/>
      <c r="AK119" s="259"/>
      <c r="AL119" s="257"/>
      <c r="AM119" s="257"/>
      <c r="AN119" s="257"/>
      <c r="AO119" s="257"/>
      <c r="AP119" s="257"/>
      <c r="AQ119" s="258"/>
      <c r="AR119" s="260"/>
      <c r="AS119" s="257"/>
      <c r="AT119" s="257"/>
      <c r="AU119" s="257"/>
      <c r="AV119" s="257"/>
      <c r="AW119" s="257"/>
      <c r="AX119" s="258"/>
      <c r="AY119" s="260"/>
      <c r="AZ119" s="257"/>
      <c r="BA119" s="257"/>
      <c r="BB119" s="257"/>
      <c r="BC119" s="257"/>
      <c r="BD119" s="258"/>
      <c r="BE119" s="260"/>
      <c r="BF119" s="258"/>
      <c r="BG119" s="260"/>
      <c r="BH119" s="257"/>
      <c r="BI119" s="14"/>
    </row>
    <row r="120" spans="1:61" ht="13.15" x14ac:dyDescent="0.4">
      <c r="A120" s="248"/>
      <c r="B120" s="256"/>
      <c r="C120" s="248"/>
      <c r="D120" s="248"/>
      <c r="E120" s="248"/>
      <c r="F120" s="250"/>
      <c r="G120" s="248"/>
      <c r="H120" s="32"/>
      <c r="I120" s="248"/>
      <c r="J120" s="248"/>
      <c r="K120" s="251"/>
      <c r="L120" s="238"/>
      <c r="M120" s="248"/>
      <c r="N120" s="248"/>
      <c r="O120" s="248"/>
      <c r="P120" s="250"/>
      <c r="Q120" s="252"/>
      <c r="R120" s="248"/>
      <c r="S120" s="248"/>
      <c r="T120" s="248"/>
      <c r="U120" s="248"/>
      <c r="V120" s="248"/>
      <c r="W120" s="248"/>
      <c r="X120" s="248"/>
      <c r="Y120" s="248"/>
      <c r="Z120" s="253"/>
      <c r="AA120" s="253"/>
      <c r="AB120" s="253"/>
      <c r="AC120" s="253"/>
      <c r="AD120" s="253"/>
      <c r="AE120" s="253"/>
      <c r="AF120" s="254"/>
      <c r="AG120" s="257"/>
      <c r="AH120" s="257"/>
      <c r="AI120" s="257"/>
      <c r="AJ120" s="258"/>
      <c r="AK120" s="259"/>
      <c r="AL120" s="257"/>
      <c r="AM120" s="257"/>
      <c r="AN120" s="257"/>
      <c r="AO120" s="257"/>
      <c r="AP120" s="257"/>
      <c r="AQ120" s="258"/>
      <c r="AR120" s="260"/>
      <c r="AS120" s="257"/>
      <c r="AT120" s="257"/>
      <c r="AU120" s="257"/>
      <c r="AV120" s="257"/>
      <c r="AW120" s="257"/>
      <c r="AX120" s="258"/>
      <c r="AY120" s="260"/>
      <c r="AZ120" s="257"/>
      <c r="BA120" s="257"/>
      <c r="BB120" s="257"/>
      <c r="BC120" s="257"/>
      <c r="BD120" s="258"/>
      <c r="BE120" s="260"/>
      <c r="BF120" s="258"/>
      <c r="BG120" s="260"/>
      <c r="BH120" s="257"/>
      <c r="BI120" s="14"/>
    </row>
    <row r="121" spans="1:61" ht="13.15" x14ac:dyDescent="0.4">
      <c r="A121" s="248"/>
      <c r="B121" s="256"/>
      <c r="C121" s="248"/>
      <c r="D121" s="248"/>
      <c r="E121" s="248"/>
      <c r="F121" s="250"/>
      <c r="G121" s="248"/>
      <c r="H121" s="32"/>
      <c r="I121" s="248"/>
      <c r="J121" s="248"/>
      <c r="K121" s="251"/>
      <c r="L121" s="238"/>
      <c r="M121" s="248"/>
      <c r="N121" s="248"/>
      <c r="O121" s="248"/>
      <c r="P121" s="250"/>
      <c r="Q121" s="252"/>
      <c r="R121" s="248"/>
      <c r="S121" s="248"/>
      <c r="T121" s="248"/>
      <c r="U121" s="248"/>
      <c r="V121" s="248"/>
      <c r="W121" s="248"/>
      <c r="X121" s="248"/>
      <c r="Y121" s="248"/>
      <c r="Z121" s="253"/>
      <c r="AA121" s="253"/>
      <c r="AB121" s="253"/>
      <c r="AC121" s="253"/>
      <c r="AD121" s="253"/>
      <c r="AE121" s="253"/>
      <c r="AF121" s="254"/>
      <c r="AG121" s="257"/>
      <c r="AH121" s="257"/>
      <c r="AI121" s="257"/>
      <c r="AJ121" s="258"/>
      <c r="AK121" s="259"/>
      <c r="AL121" s="257"/>
      <c r="AM121" s="257"/>
      <c r="AN121" s="257"/>
      <c r="AO121" s="257"/>
      <c r="AP121" s="257"/>
      <c r="AQ121" s="258"/>
      <c r="AR121" s="260"/>
      <c r="AS121" s="257"/>
      <c r="AT121" s="257"/>
      <c r="AU121" s="257"/>
      <c r="AV121" s="257"/>
      <c r="AW121" s="257"/>
      <c r="AX121" s="258"/>
      <c r="AY121" s="260"/>
      <c r="AZ121" s="257"/>
      <c r="BA121" s="257"/>
      <c r="BB121" s="257"/>
      <c r="BC121" s="257"/>
      <c r="BD121" s="258"/>
      <c r="BE121" s="260"/>
      <c r="BF121" s="258"/>
      <c r="BG121" s="260"/>
      <c r="BH121" s="257"/>
      <c r="BI121" s="14"/>
    </row>
    <row r="122" spans="1:61" ht="13.15" x14ac:dyDescent="0.4">
      <c r="A122" s="248"/>
      <c r="B122" s="256"/>
      <c r="C122" s="248"/>
      <c r="D122" s="248"/>
      <c r="E122" s="248"/>
      <c r="F122" s="250"/>
      <c r="G122" s="248"/>
      <c r="H122" s="32"/>
      <c r="I122" s="248"/>
      <c r="J122" s="248"/>
      <c r="K122" s="251"/>
      <c r="L122" s="238"/>
      <c r="M122" s="248"/>
      <c r="N122" s="248"/>
      <c r="O122" s="248"/>
      <c r="P122" s="250"/>
      <c r="Q122" s="252"/>
      <c r="R122" s="248"/>
      <c r="S122" s="248"/>
      <c r="T122" s="248"/>
      <c r="U122" s="248"/>
      <c r="V122" s="248"/>
      <c r="W122" s="248"/>
      <c r="X122" s="248"/>
      <c r="Y122" s="248"/>
      <c r="Z122" s="253"/>
      <c r="AA122" s="253"/>
      <c r="AB122" s="253"/>
      <c r="AC122" s="253"/>
      <c r="AD122" s="253"/>
      <c r="AE122" s="253"/>
      <c r="AF122" s="254"/>
      <c r="AG122" s="257"/>
      <c r="AH122" s="257"/>
      <c r="AI122" s="257"/>
      <c r="AJ122" s="258"/>
      <c r="AK122" s="259"/>
      <c r="AL122" s="257"/>
      <c r="AM122" s="257"/>
      <c r="AN122" s="257"/>
      <c r="AO122" s="257"/>
      <c r="AP122" s="257"/>
      <c r="AQ122" s="258"/>
      <c r="AR122" s="260"/>
      <c r="AS122" s="257"/>
      <c r="AT122" s="257"/>
      <c r="AU122" s="257"/>
      <c r="AV122" s="257"/>
      <c r="AW122" s="257"/>
      <c r="AX122" s="258"/>
      <c r="AY122" s="260"/>
      <c r="AZ122" s="257"/>
      <c r="BA122" s="257"/>
      <c r="BB122" s="257"/>
      <c r="BC122" s="257"/>
      <c r="BD122" s="258"/>
      <c r="BE122" s="260"/>
      <c r="BF122" s="258"/>
      <c r="BG122" s="260"/>
      <c r="BH122" s="257"/>
      <c r="BI122" s="14"/>
    </row>
    <row r="123" spans="1:61" ht="13.15" x14ac:dyDescent="0.4">
      <c r="A123" s="248"/>
      <c r="B123" s="256"/>
      <c r="C123" s="248"/>
      <c r="D123" s="248"/>
      <c r="E123" s="248"/>
      <c r="F123" s="250"/>
      <c r="G123" s="248"/>
      <c r="H123" s="32"/>
      <c r="I123" s="248"/>
      <c r="J123" s="248"/>
      <c r="K123" s="251"/>
      <c r="L123" s="238"/>
      <c r="M123" s="248"/>
      <c r="N123" s="248"/>
      <c r="O123" s="248"/>
      <c r="P123" s="250"/>
      <c r="Q123" s="252"/>
      <c r="R123" s="248"/>
      <c r="S123" s="248"/>
      <c r="T123" s="248"/>
      <c r="U123" s="248"/>
      <c r="V123" s="248"/>
      <c r="W123" s="248"/>
      <c r="X123" s="248"/>
      <c r="Y123" s="248"/>
      <c r="Z123" s="253"/>
      <c r="AA123" s="253"/>
      <c r="AB123" s="253"/>
      <c r="AC123" s="253"/>
      <c r="AD123" s="253"/>
      <c r="AE123" s="253"/>
      <c r="AF123" s="254"/>
      <c r="AG123" s="257"/>
      <c r="AH123" s="257"/>
      <c r="AI123" s="257"/>
      <c r="AJ123" s="258"/>
      <c r="AK123" s="259"/>
      <c r="AL123" s="257"/>
      <c r="AM123" s="257"/>
      <c r="AN123" s="257"/>
      <c r="AO123" s="257"/>
      <c r="AP123" s="257"/>
      <c r="AQ123" s="258"/>
      <c r="AR123" s="260"/>
      <c r="AS123" s="257"/>
      <c r="AT123" s="257"/>
      <c r="AU123" s="257"/>
      <c r="AV123" s="257"/>
      <c r="AW123" s="257"/>
      <c r="AX123" s="258"/>
      <c r="AY123" s="260"/>
      <c r="AZ123" s="257"/>
      <c r="BA123" s="257"/>
      <c r="BB123" s="257"/>
      <c r="BC123" s="257"/>
      <c r="BD123" s="258"/>
      <c r="BE123" s="260"/>
      <c r="BF123" s="258"/>
      <c r="BG123" s="260"/>
      <c r="BH123" s="257"/>
      <c r="BI123" s="14"/>
    </row>
    <row r="124" spans="1:61" ht="13.15" x14ac:dyDescent="0.4">
      <c r="A124" s="248"/>
      <c r="B124" s="256"/>
      <c r="C124" s="248"/>
      <c r="D124" s="248"/>
      <c r="E124" s="248"/>
      <c r="F124" s="250"/>
      <c r="G124" s="248"/>
      <c r="H124" s="32"/>
      <c r="I124" s="248"/>
      <c r="J124" s="248"/>
      <c r="K124" s="251"/>
      <c r="L124" s="238"/>
      <c r="M124" s="248"/>
      <c r="N124" s="248"/>
      <c r="O124" s="248"/>
      <c r="P124" s="250"/>
      <c r="Q124" s="252"/>
      <c r="R124" s="248"/>
      <c r="S124" s="248"/>
      <c r="T124" s="248"/>
      <c r="U124" s="248"/>
      <c r="V124" s="248"/>
      <c r="W124" s="248"/>
      <c r="X124" s="248"/>
      <c r="Y124" s="248"/>
      <c r="Z124" s="253"/>
      <c r="AA124" s="253"/>
      <c r="AB124" s="253"/>
      <c r="AC124" s="253"/>
      <c r="AD124" s="253"/>
      <c r="AE124" s="253"/>
      <c r="AF124" s="254"/>
      <c r="AG124" s="257"/>
      <c r="AH124" s="257"/>
      <c r="AI124" s="257"/>
      <c r="AJ124" s="258"/>
      <c r="AK124" s="259"/>
      <c r="AL124" s="257"/>
      <c r="AM124" s="257"/>
      <c r="AN124" s="257"/>
      <c r="AO124" s="257"/>
      <c r="AP124" s="257"/>
      <c r="AQ124" s="258"/>
      <c r="AR124" s="260"/>
      <c r="AS124" s="257"/>
      <c r="AT124" s="257"/>
      <c r="AU124" s="257"/>
      <c r="AV124" s="257"/>
      <c r="AW124" s="257"/>
      <c r="AX124" s="258"/>
      <c r="AY124" s="260"/>
      <c r="AZ124" s="257"/>
      <c r="BA124" s="257"/>
      <c r="BB124" s="257"/>
      <c r="BC124" s="257"/>
      <c r="BD124" s="258"/>
      <c r="BE124" s="260"/>
      <c r="BF124" s="258"/>
      <c r="BG124" s="260"/>
      <c r="BH124" s="257"/>
      <c r="BI124" s="14"/>
    </row>
    <row r="125" spans="1:61" ht="13.15" x14ac:dyDescent="0.4">
      <c r="A125" s="248"/>
      <c r="B125" s="256"/>
      <c r="C125" s="248"/>
      <c r="D125" s="248"/>
      <c r="E125" s="248"/>
      <c r="F125" s="250"/>
      <c r="G125" s="248"/>
      <c r="H125" s="32"/>
      <c r="I125" s="248"/>
      <c r="J125" s="248"/>
      <c r="K125" s="251"/>
      <c r="L125" s="238"/>
      <c r="M125" s="248"/>
      <c r="N125" s="248"/>
      <c r="O125" s="248"/>
      <c r="P125" s="250"/>
      <c r="Q125" s="252"/>
      <c r="R125" s="248"/>
      <c r="S125" s="248"/>
      <c r="T125" s="248"/>
      <c r="U125" s="248"/>
      <c r="V125" s="248"/>
      <c r="W125" s="248"/>
      <c r="X125" s="248"/>
      <c r="Y125" s="248"/>
      <c r="Z125" s="253"/>
      <c r="AA125" s="253"/>
      <c r="AB125" s="253"/>
      <c r="AC125" s="253"/>
      <c r="AD125" s="253"/>
      <c r="AE125" s="253"/>
      <c r="AF125" s="254"/>
      <c r="AG125" s="257"/>
      <c r="AH125" s="257"/>
      <c r="AI125" s="257"/>
      <c r="AJ125" s="258"/>
      <c r="AK125" s="259"/>
      <c r="AL125" s="257"/>
      <c r="AM125" s="257"/>
      <c r="AN125" s="257"/>
      <c r="AO125" s="257"/>
      <c r="AP125" s="257"/>
      <c r="AQ125" s="258"/>
      <c r="AR125" s="260"/>
      <c r="AS125" s="257"/>
      <c r="AT125" s="257"/>
      <c r="AU125" s="257"/>
      <c r="AV125" s="257"/>
      <c r="AW125" s="257"/>
      <c r="AX125" s="258"/>
      <c r="AY125" s="260"/>
      <c r="AZ125" s="257"/>
      <c r="BA125" s="257"/>
      <c r="BB125" s="257"/>
      <c r="BC125" s="257"/>
      <c r="BD125" s="258"/>
      <c r="BE125" s="260"/>
      <c r="BF125" s="258"/>
      <c r="BG125" s="260"/>
      <c r="BH125" s="257"/>
      <c r="BI125" s="14"/>
    </row>
    <row r="126" spans="1:61" ht="13.15" x14ac:dyDescent="0.4">
      <c r="A126" s="248"/>
      <c r="B126" s="256"/>
      <c r="C126" s="248"/>
      <c r="D126" s="248"/>
      <c r="E126" s="248"/>
      <c r="F126" s="250"/>
      <c r="G126" s="248"/>
      <c r="H126" s="32"/>
      <c r="I126" s="248"/>
      <c r="J126" s="248"/>
      <c r="K126" s="251"/>
      <c r="L126" s="238"/>
      <c r="M126" s="248"/>
      <c r="N126" s="248"/>
      <c r="O126" s="248"/>
      <c r="P126" s="250"/>
      <c r="Q126" s="252"/>
      <c r="R126" s="248"/>
      <c r="S126" s="248"/>
      <c r="T126" s="248"/>
      <c r="U126" s="248"/>
      <c r="V126" s="248"/>
      <c r="W126" s="248"/>
      <c r="X126" s="248"/>
      <c r="Y126" s="248"/>
      <c r="Z126" s="253"/>
      <c r="AA126" s="253"/>
      <c r="AB126" s="253"/>
      <c r="AC126" s="253"/>
      <c r="AD126" s="253"/>
      <c r="AE126" s="253"/>
      <c r="AF126" s="254"/>
      <c r="AG126" s="257"/>
      <c r="AH126" s="257"/>
      <c r="AI126" s="257"/>
      <c r="AJ126" s="258"/>
      <c r="AK126" s="259"/>
      <c r="AL126" s="257"/>
      <c r="AM126" s="257"/>
      <c r="AN126" s="257"/>
      <c r="AO126" s="257"/>
      <c r="AP126" s="257"/>
      <c r="AQ126" s="258"/>
      <c r="AR126" s="260"/>
      <c r="AS126" s="257"/>
      <c r="AT126" s="257"/>
      <c r="AU126" s="257"/>
      <c r="AV126" s="257"/>
      <c r="AW126" s="257"/>
      <c r="AX126" s="258"/>
      <c r="AY126" s="260"/>
      <c r="AZ126" s="257"/>
      <c r="BA126" s="257"/>
      <c r="BB126" s="257"/>
      <c r="BC126" s="257"/>
      <c r="BD126" s="258"/>
      <c r="BE126" s="260"/>
      <c r="BF126" s="258"/>
      <c r="BG126" s="260"/>
      <c r="BH126" s="257"/>
      <c r="BI126" s="14"/>
    </row>
    <row r="127" spans="1:61" ht="13.15" x14ac:dyDescent="0.4">
      <c r="A127" s="248"/>
      <c r="B127" s="256"/>
      <c r="C127" s="248"/>
      <c r="D127" s="248"/>
      <c r="E127" s="248"/>
      <c r="F127" s="250"/>
      <c r="G127" s="248"/>
      <c r="H127" s="32"/>
      <c r="I127" s="248"/>
      <c r="J127" s="248"/>
      <c r="K127" s="251"/>
      <c r="L127" s="238"/>
      <c r="M127" s="248"/>
      <c r="N127" s="248"/>
      <c r="O127" s="248"/>
      <c r="P127" s="250"/>
      <c r="Q127" s="252"/>
      <c r="R127" s="248"/>
      <c r="S127" s="248"/>
      <c r="T127" s="248"/>
      <c r="U127" s="248"/>
      <c r="V127" s="248"/>
      <c r="W127" s="248"/>
      <c r="X127" s="248"/>
      <c r="Y127" s="248"/>
      <c r="Z127" s="253"/>
      <c r="AA127" s="253"/>
      <c r="AB127" s="253"/>
      <c r="AC127" s="253"/>
      <c r="AD127" s="253"/>
      <c r="AE127" s="253"/>
      <c r="AF127" s="254"/>
      <c r="AG127" s="257"/>
      <c r="AH127" s="257"/>
      <c r="AI127" s="257"/>
      <c r="AJ127" s="258"/>
      <c r="AK127" s="259"/>
      <c r="AL127" s="257"/>
      <c r="AM127" s="257"/>
      <c r="AN127" s="257"/>
      <c r="AO127" s="257"/>
      <c r="AP127" s="257"/>
      <c r="AQ127" s="258"/>
      <c r="AR127" s="260"/>
      <c r="AS127" s="257"/>
      <c r="AT127" s="257"/>
      <c r="AU127" s="257"/>
      <c r="AV127" s="257"/>
      <c r="AW127" s="257"/>
      <c r="AX127" s="258"/>
      <c r="AY127" s="260"/>
      <c r="AZ127" s="257"/>
      <c r="BA127" s="257"/>
      <c r="BB127" s="257"/>
      <c r="BC127" s="257"/>
      <c r="BD127" s="258"/>
      <c r="BE127" s="260"/>
      <c r="BF127" s="258"/>
      <c r="BG127" s="260"/>
      <c r="BH127" s="257"/>
      <c r="BI127" s="14"/>
    </row>
    <row r="128" spans="1:61" ht="13.15" x14ac:dyDescent="0.4">
      <c r="A128" s="248"/>
      <c r="B128" s="256"/>
      <c r="C128" s="248"/>
      <c r="D128" s="248"/>
      <c r="E128" s="248"/>
      <c r="F128" s="250"/>
      <c r="G128" s="248"/>
      <c r="H128" s="32"/>
      <c r="I128" s="248"/>
      <c r="J128" s="248"/>
      <c r="K128" s="251"/>
      <c r="L128" s="238"/>
      <c r="M128" s="248"/>
      <c r="N128" s="248"/>
      <c r="O128" s="248"/>
      <c r="P128" s="250"/>
      <c r="Q128" s="252"/>
      <c r="R128" s="248"/>
      <c r="S128" s="248"/>
      <c r="T128" s="248"/>
      <c r="U128" s="248"/>
      <c r="V128" s="248"/>
      <c r="W128" s="248"/>
      <c r="X128" s="248"/>
      <c r="Y128" s="248"/>
      <c r="Z128" s="253"/>
      <c r="AA128" s="253"/>
      <c r="AB128" s="253"/>
      <c r="AC128" s="253"/>
      <c r="AD128" s="253"/>
      <c r="AE128" s="253"/>
      <c r="AF128" s="254"/>
      <c r="AG128" s="257"/>
      <c r="AH128" s="257"/>
      <c r="AI128" s="257"/>
      <c r="AJ128" s="258"/>
      <c r="AK128" s="259"/>
      <c r="AL128" s="257"/>
      <c r="AM128" s="257"/>
      <c r="AN128" s="257"/>
      <c r="AO128" s="257"/>
      <c r="AP128" s="257"/>
      <c r="AQ128" s="258"/>
      <c r="AR128" s="260"/>
      <c r="AS128" s="257"/>
      <c r="AT128" s="257"/>
      <c r="AU128" s="257"/>
      <c r="AV128" s="257"/>
      <c r="AW128" s="257"/>
      <c r="AX128" s="258"/>
      <c r="AY128" s="260"/>
      <c r="AZ128" s="257"/>
      <c r="BA128" s="257"/>
      <c r="BB128" s="257"/>
      <c r="BC128" s="257"/>
      <c r="BD128" s="258"/>
      <c r="BE128" s="260"/>
      <c r="BF128" s="258"/>
      <c r="BG128" s="260"/>
      <c r="BH128" s="257"/>
      <c r="BI128" s="14"/>
    </row>
    <row r="129" spans="1:61" ht="13.15" x14ac:dyDescent="0.4">
      <c r="A129" s="248"/>
      <c r="B129" s="256"/>
      <c r="C129" s="248"/>
      <c r="D129" s="248"/>
      <c r="E129" s="248"/>
      <c r="F129" s="250"/>
      <c r="G129" s="248"/>
      <c r="H129" s="32"/>
      <c r="I129" s="248"/>
      <c r="J129" s="248"/>
      <c r="K129" s="251"/>
      <c r="L129" s="238"/>
      <c r="M129" s="248"/>
      <c r="N129" s="248"/>
      <c r="O129" s="248"/>
      <c r="P129" s="250"/>
      <c r="Q129" s="252"/>
      <c r="R129" s="248"/>
      <c r="S129" s="248"/>
      <c r="T129" s="248"/>
      <c r="U129" s="248"/>
      <c r="V129" s="248"/>
      <c r="W129" s="248"/>
      <c r="X129" s="248"/>
      <c r="Y129" s="248"/>
      <c r="Z129" s="253"/>
      <c r="AA129" s="253"/>
      <c r="AB129" s="253"/>
      <c r="AC129" s="253"/>
      <c r="AD129" s="253"/>
      <c r="AE129" s="253"/>
      <c r="AF129" s="254"/>
      <c r="AG129" s="257"/>
      <c r="AH129" s="257"/>
      <c r="AI129" s="257"/>
      <c r="AJ129" s="258"/>
      <c r="AK129" s="259"/>
      <c r="AL129" s="257"/>
      <c r="AM129" s="257"/>
      <c r="AN129" s="257"/>
      <c r="AO129" s="257"/>
      <c r="AP129" s="257"/>
      <c r="AQ129" s="258"/>
      <c r="AR129" s="260"/>
      <c r="AS129" s="257"/>
      <c r="AT129" s="257"/>
      <c r="AU129" s="257"/>
      <c r="AV129" s="257"/>
      <c r="AW129" s="257"/>
      <c r="AX129" s="258"/>
      <c r="AY129" s="260"/>
      <c r="AZ129" s="257"/>
      <c r="BA129" s="257"/>
      <c r="BB129" s="257"/>
      <c r="BC129" s="257"/>
      <c r="BD129" s="258"/>
      <c r="BE129" s="260"/>
      <c r="BF129" s="258"/>
      <c r="BG129" s="260"/>
      <c r="BH129" s="257"/>
      <c r="BI129" s="14"/>
    </row>
    <row r="130" spans="1:61" ht="13.15" x14ac:dyDescent="0.4">
      <c r="A130" s="248"/>
      <c r="B130" s="256"/>
      <c r="C130" s="248"/>
      <c r="D130" s="248"/>
      <c r="E130" s="248"/>
      <c r="F130" s="250"/>
      <c r="G130" s="248"/>
      <c r="H130" s="32"/>
      <c r="I130" s="248"/>
      <c r="J130" s="248"/>
      <c r="K130" s="251"/>
      <c r="L130" s="238"/>
      <c r="M130" s="248"/>
      <c r="N130" s="248"/>
      <c r="O130" s="248"/>
      <c r="P130" s="250"/>
      <c r="Q130" s="252"/>
      <c r="R130" s="248"/>
      <c r="S130" s="248"/>
      <c r="T130" s="248"/>
      <c r="U130" s="248"/>
      <c r="V130" s="248"/>
      <c r="W130" s="248"/>
      <c r="X130" s="248"/>
      <c r="Y130" s="248"/>
      <c r="Z130" s="253"/>
      <c r="AA130" s="253"/>
      <c r="AB130" s="253"/>
      <c r="AC130" s="253"/>
      <c r="AD130" s="253"/>
      <c r="AE130" s="253"/>
      <c r="AF130" s="254"/>
      <c r="AG130" s="257"/>
      <c r="AH130" s="257"/>
      <c r="AI130" s="257"/>
      <c r="AJ130" s="258"/>
      <c r="AK130" s="259"/>
      <c r="AL130" s="257"/>
      <c r="AM130" s="257"/>
      <c r="AN130" s="257"/>
      <c r="AO130" s="257"/>
      <c r="AP130" s="257"/>
      <c r="AQ130" s="258"/>
      <c r="AR130" s="260"/>
      <c r="AS130" s="257"/>
      <c r="AT130" s="257"/>
      <c r="AU130" s="257"/>
      <c r="AV130" s="257"/>
      <c r="AW130" s="257"/>
      <c r="AX130" s="258"/>
      <c r="AY130" s="260"/>
      <c r="AZ130" s="257"/>
      <c r="BA130" s="257"/>
      <c r="BB130" s="257"/>
      <c r="BC130" s="257"/>
      <c r="BD130" s="258"/>
      <c r="BE130" s="260"/>
      <c r="BF130" s="258"/>
      <c r="BG130" s="260"/>
      <c r="BH130" s="257"/>
      <c r="BI130" s="14"/>
    </row>
    <row r="131" spans="1:61" ht="13.15" x14ac:dyDescent="0.4">
      <c r="A131" s="248"/>
      <c r="B131" s="256"/>
      <c r="C131" s="248"/>
      <c r="D131" s="248"/>
      <c r="E131" s="248"/>
      <c r="F131" s="250"/>
      <c r="G131" s="248"/>
      <c r="H131" s="32"/>
      <c r="I131" s="248"/>
      <c r="J131" s="248"/>
      <c r="K131" s="251"/>
      <c r="L131" s="238"/>
      <c r="M131" s="248"/>
      <c r="N131" s="248"/>
      <c r="O131" s="248"/>
      <c r="P131" s="250"/>
      <c r="Q131" s="252"/>
      <c r="R131" s="248"/>
      <c r="S131" s="248"/>
      <c r="T131" s="248"/>
      <c r="U131" s="248"/>
      <c r="V131" s="248"/>
      <c r="W131" s="248"/>
      <c r="X131" s="248"/>
      <c r="Y131" s="248"/>
      <c r="Z131" s="253"/>
      <c r="AA131" s="253"/>
      <c r="AB131" s="253"/>
      <c r="AC131" s="253"/>
      <c r="AD131" s="253"/>
      <c r="AE131" s="253"/>
      <c r="AF131" s="254"/>
      <c r="AG131" s="257"/>
      <c r="AH131" s="257"/>
      <c r="AI131" s="257"/>
      <c r="AJ131" s="258"/>
      <c r="AK131" s="259"/>
      <c r="AL131" s="257"/>
      <c r="AM131" s="257"/>
      <c r="AN131" s="257"/>
      <c r="AO131" s="257"/>
      <c r="AP131" s="257"/>
      <c r="AQ131" s="258"/>
      <c r="AR131" s="260"/>
      <c r="AS131" s="257"/>
      <c r="AT131" s="257"/>
      <c r="AU131" s="257"/>
      <c r="AV131" s="257"/>
      <c r="AW131" s="257"/>
      <c r="AX131" s="258"/>
      <c r="AY131" s="260"/>
      <c r="AZ131" s="257"/>
      <c r="BA131" s="257"/>
      <c r="BB131" s="257"/>
      <c r="BC131" s="257"/>
      <c r="BD131" s="258"/>
      <c r="BE131" s="260"/>
      <c r="BF131" s="258"/>
      <c r="BG131" s="260"/>
      <c r="BH131" s="257"/>
      <c r="BI131" s="14"/>
    </row>
    <row r="132" spans="1:61" ht="13.15" x14ac:dyDescent="0.4">
      <c r="A132" s="248"/>
      <c r="B132" s="256"/>
      <c r="C132" s="248"/>
      <c r="D132" s="248"/>
      <c r="E132" s="248"/>
      <c r="F132" s="250"/>
      <c r="G132" s="248"/>
      <c r="H132" s="32"/>
      <c r="I132" s="248"/>
      <c r="J132" s="248"/>
      <c r="K132" s="251"/>
      <c r="L132" s="238"/>
      <c r="M132" s="248"/>
      <c r="N132" s="248"/>
      <c r="O132" s="248"/>
      <c r="P132" s="250"/>
      <c r="Q132" s="252"/>
      <c r="R132" s="248"/>
      <c r="S132" s="248"/>
      <c r="T132" s="248"/>
      <c r="U132" s="248"/>
      <c r="V132" s="248"/>
      <c r="W132" s="248"/>
      <c r="X132" s="248"/>
      <c r="Y132" s="248"/>
      <c r="Z132" s="253"/>
      <c r="AA132" s="253"/>
      <c r="AB132" s="253"/>
      <c r="AC132" s="253"/>
      <c r="AD132" s="253"/>
      <c r="AE132" s="253"/>
      <c r="AF132" s="254"/>
      <c r="AG132" s="257"/>
      <c r="AH132" s="257"/>
      <c r="AI132" s="257"/>
      <c r="AJ132" s="258"/>
      <c r="AK132" s="259"/>
      <c r="AL132" s="257"/>
      <c r="AM132" s="257"/>
      <c r="AN132" s="257"/>
      <c r="AO132" s="257"/>
      <c r="AP132" s="257"/>
      <c r="AQ132" s="258"/>
      <c r="AR132" s="260"/>
      <c r="AS132" s="257"/>
      <c r="AT132" s="257"/>
      <c r="AU132" s="257"/>
      <c r="AV132" s="257"/>
      <c r="AW132" s="257"/>
      <c r="AX132" s="258"/>
      <c r="AY132" s="260"/>
      <c r="AZ132" s="257"/>
      <c r="BA132" s="257"/>
      <c r="BB132" s="257"/>
      <c r="BC132" s="257"/>
      <c r="BD132" s="258"/>
      <c r="BE132" s="260"/>
      <c r="BF132" s="258"/>
      <c r="BG132" s="260"/>
      <c r="BH132" s="257"/>
      <c r="BI132" s="14"/>
    </row>
    <row r="133" spans="1:61" ht="13.15" x14ac:dyDescent="0.4">
      <c r="A133" s="248"/>
      <c r="B133" s="256"/>
      <c r="C133" s="248"/>
      <c r="D133" s="248"/>
      <c r="E133" s="248"/>
      <c r="F133" s="250"/>
      <c r="G133" s="248"/>
      <c r="H133" s="32"/>
      <c r="I133" s="248"/>
      <c r="J133" s="248"/>
      <c r="K133" s="251"/>
      <c r="L133" s="238"/>
      <c r="M133" s="248"/>
      <c r="N133" s="248"/>
      <c r="O133" s="248"/>
      <c r="P133" s="250"/>
      <c r="Q133" s="252"/>
      <c r="R133" s="248"/>
      <c r="S133" s="248"/>
      <c r="T133" s="248"/>
      <c r="U133" s="248"/>
      <c r="V133" s="248"/>
      <c r="W133" s="248"/>
      <c r="X133" s="248"/>
      <c r="Y133" s="248"/>
      <c r="Z133" s="253"/>
      <c r="AA133" s="253"/>
      <c r="AB133" s="253"/>
      <c r="AC133" s="253"/>
      <c r="AD133" s="253"/>
      <c r="AE133" s="253"/>
      <c r="AF133" s="254"/>
      <c r="AG133" s="257"/>
      <c r="AH133" s="257"/>
      <c r="AI133" s="257"/>
      <c r="AJ133" s="258"/>
      <c r="AK133" s="259"/>
      <c r="AL133" s="257"/>
      <c r="AM133" s="257"/>
      <c r="AN133" s="257"/>
      <c r="AO133" s="257"/>
      <c r="AP133" s="257"/>
      <c r="AQ133" s="258"/>
      <c r="AR133" s="260"/>
      <c r="AS133" s="257"/>
      <c r="AT133" s="257"/>
      <c r="AU133" s="257"/>
      <c r="AV133" s="257"/>
      <c r="AW133" s="257"/>
      <c r="AX133" s="258"/>
      <c r="AY133" s="260"/>
      <c r="AZ133" s="257"/>
      <c r="BA133" s="257"/>
      <c r="BB133" s="257"/>
      <c r="BC133" s="257"/>
      <c r="BD133" s="258"/>
      <c r="BE133" s="260"/>
      <c r="BF133" s="258"/>
      <c r="BG133" s="260"/>
      <c r="BH133" s="257"/>
      <c r="BI133" s="14"/>
    </row>
    <row r="134" spans="1:61" ht="13.15" x14ac:dyDescent="0.4">
      <c r="A134" s="248"/>
      <c r="B134" s="256"/>
      <c r="C134" s="248"/>
      <c r="D134" s="248"/>
      <c r="E134" s="248"/>
      <c r="F134" s="250"/>
      <c r="G134" s="248"/>
      <c r="H134" s="32"/>
      <c r="I134" s="248"/>
      <c r="J134" s="248"/>
      <c r="K134" s="251"/>
      <c r="L134" s="238"/>
      <c r="M134" s="248"/>
      <c r="N134" s="248"/>
      <c r="O134" s="248"/>
      <c r="P134" s="250"/>
      <c r="Q134" s="252"/>
      <c r="R134" s="248"/>
      <c r="S134" s="248"/>
      <c r="T134" s="248"/>
      <c r="U134" s="248"/>
      <c r="V134" s="248"/>
      <c r="W134" s="248"/>
      <c r="X134" s="248"/>
      <c r="Y134" s="248"/>
      <c r="Z134" s="253"/>
      <c r="AA134" s="253"/>
      <c r="AB134" s="253"/>
      <c r="AC134" s="253"/>
      <c r="AD134" s="253"/>
      <c r="AE134" s="253"/>
      <c r="AF134" s="254"/>
      <c r="AG134" s="257"/>
      <c r="AH134" s="257"/>
      <c r="AI134" s="257"/>
      <c r="AJ134" s="258"/>
      <c r="AK134" s="259"/>
      <c r="AL134" s="257"/>
      <c r="AM134" s="257"/>
      <c r="AN134" s="257"/>
      <c r="AO134" s="257"/>
      <c r="AP134" s="257"/>
      <c r="AQ134" s="258"/>
      <c r="AR134" s="260"/>
      <c r="AS134" s="257"/>
      <c r="AT134" s="257"/>
      <c r="AU134" s="257"/>
      <c r="AV134" s="257"/>
      <c r="AW134" s="257"/>
      <c r="AX134" s="258"/>
      <c r="AY134" s="260"/>
      <c r="AZ134" s="257"/>
      <c r="BA134" s="257"/>
      <c r="BB134" s="257"/>
      <c r="BC134" s="257"/>
      <c r="BD134" s="258"/>
      <c r="BE134" s="260"/>
      <c r="BF134" s="258"/>
      <c r="BG134" s="260"/>
      <c r="BH134" s="257"/>
      <c r="BI134" s="14"/>
    </row>
    <row r="135" spans="1:61" ht="13.15" x14ac:dyDescent="0.4">
      <c r="A135" s="248"/>
      <c r="B135" s="256"/>
      <c r="C135" s="248"/>
      <c r="D135" s="248"/>
      <c r="E135" s="248"/>
      <c r="F135" s="250"/>
      <c r="G135" s="248"/>
      <c r="H135" s="32"/>
      <c r="I135" s="248"/>
      <c r="J135" s="248"/>
      <c r="K135" s="251"/>
      <c r="L135" s="238"/>
      <c r="M135" s="248"/>
      <c r="N135" s="248"/>
      <c r="O135" s="248"/>
      <c r="P135" s="250"/>
      <c r="Q135" s="252"/>
      <c r="R135" s="248"/>
      <c r="S135" s="248"/>
      <c r="T135" s="248"/>
      <c r="U135" s="248"/>
      <c r="V135" s="248"/>
      <c r="W135" s="248"/>
      <c r="X135" s="248"/>
      <c r="Y135" s="248"/>
      <c r="Z135" s="253"/>
      <c r="AA135" s="253"/>
      <c r="AB135" s="253"/>
      <c r="AC135" s="253"/>
      <c r="AD135" s="253"/>
      <c r="AE135" s="253"/>
      <c r="AF135" s="254"/>
      <c r="AG135" s="257"/>
      <c r="AH135" s="257"/>
      <c r="AI135" s="257"/>
      <c r="AJ135" s="258"/>
      <c r="AK135" s="259"/>
      <c r="AL135" s="257"/>
      <c r="AM135" s="257"/>
      <c r="AN135" s="257"/>
      <c r="AO135" s="257"/>
      <c r="AP135" s="257"/>
      <c r="AQ135" s="258"/>
      <c r="AR135" s="260"/>
      <c r="AS135" s="257"/>
      <c r="AT135" s="257"/>
      <c r="AU135" s="257"/>
      <c r="AV135" s="257"/>
      <c r="AW135" s="257"/>
      <c r="AX135" s="258"/>
      <c r="AY135" s="260"/>
      <c r="AZ135" s="257"/>
      <c r="BA135" s="257"/>
      <c r="BB135" s="257"/>
      <c r="BC135" s="257"/>
      <c r="BD135" s="258"/>
      <c r="BE135" s="260"/>
      <c r="BF135" s="258"/>
      <c r="BG135" s="260"/>
      <c r="BH135" s="257"/>
      <c r="BI135" s="14"/>
    </row>
    <row r="136" spans="1:61" ht="13.15" x14ac:dyDescent="0.4">
      <c r="A136" s="248"/>
      <c r="B136" s="256"/>
      <c r="C136" s="248"/>
      <c r="D136" s="248"/>
      <c r="E136" s="248"/>
      <c r="F136" s="250"/>
      <c r="G136" s="248"/>
      <c r="H136" s="32"/>
      <c r="I136" s="248"/>
      <c r="J136" s="248"/>
      <c r="K136" s="251"/>
      <c r="L136" s="238"/>
      <c r="M136" s="248"/>
      <c r="N136" s="248"/>
      <c r="O136" s="248"/>
      <c r="P136" s="250"/>
      <c r="Q136" s="252"/>
      <c r="R136" s="248"/>
      <c r="S136" s="248"/>
      <c r="T136" s="248"/>
      <c r="U136" s="248"/>
      <c r="V136" s="248"/>
      <c r="W136" s="248"/>
      <c r="X136" s="248"/>
      <c r="Y136" s="248"/>
      <c r="Z136" s="253"/>
      <c r="AA136" s="253"/>
      <c r="AB136" s="253"/>
      <c r="AC136" s="253"/>
      <c r="AD136" s="253"/>
      <c r="AE136" s="253"/>
      <c r="AF136" s="254"/>
      <c r="AG136" s="257"/>
      <c r="AH136" s="257"/>
      <c r="AI136" s="257"/>
      <c r="AJ136" s="258"/>
      <c r="AK136" s="259"/>
      <c r="AL136" s="257"/>
      <c r="AM136" s="257"/>
      <c r="AN136" s="257"/>
      <c r="AO136" s="257"/>
      <c r="AP136" s="257"/>
      <c r="AQ136" s="258"/>
      <c r="AR136" s="260"/>
      <c r="AS136" s="257"/>
      <c r="AT136" s="257"/>
      <c r="AU136" s="257"/>
      <c r="AV136" s="257"/>
      <c r="AW136" s="257"/>
      <c r="AX136" s="258"/>
      <c r="AY136" s="260"/>
      <c r="AZ136" s="257"/>
      <c r="BA136" s="257"/>
      <c r="BB136" s="257"/>
      <c r="BC136" s="257"/>
      <c r="BD136" s="258"/>
      <c r="BE136" s="260"/>
      <c r="BF136" s="258"/>
      <c r="BG136" s="260"/>
      <c r="BH136" s="257"/>
      <c r="BI136" s="14"/>
    </row>
    <row r="137" spans="1:61" ht="13.15" x14ac:dyDescent="0.4">
      <c r="A137" s="248"/>
      <c r="B137" s="256"/>
      <c r="C137" s="248"/>
      <c r="D137" s="248"/>
      <c r="E137" s="248"/>
      <c r="F137" s="250"/>
      <c r="G137" s="248"/>
      <c r="H137" s="32"/>
      <c r="I137" s="248"/>
      <c r="J137" s="248"/>
      <c r="K137" s="251"/>
      <c r="L137" s="238"/>
      <c r="M137" s="248"/>
      <c r="N137" s="248"/>
      <c r="O137" s="248"/>
      <c r="P137" s="250"/>
      <c r="Q137" s="252"/>
      <c r="R137" s="248"/>
      <c r="S137" s="248"/>
      <c r="T137" s="248"/>
      <c r="U137" s="248"/>
      <c r="V137" s="248"/>
      <c r="W137" s="248"/>
      <c r="X137" s="248"/>
      <c r="Y137" s="248"/>
      <c r="Z137" s="253"/>
      <c r="AA137" s="253"/>
      <c r="AB137" s="253"/>
      <c r="AC137" s="253"/>
      <c r="AD137" s="253"/>
      <c r="AE137" s="253"/>
      <c r="AF137" s="254"/>
      <c r="AG137" s="257"/>
      <c r="AH137" s="257"/>
      <c r="AI137" s="257"/>
      <c r="AJ137" s="258"/>
      <c r="AK137" s="259"/>
      <c r="AL137" s="257"/>
      <c r="AM137" s="257"/>
      <c r="AN137" s="257"/>
      <c r="AO137" s="257"/>
      <c r="AP137" s="257"/>
      <c r="AQ137" s="258"/>
      <c r="AR137" s="260"/>
      <c r="AS137" s="257"/>
      <c r="AT137" s="257"/>
      <c r="AU137" s="257"/>
      <c r="AV137" s="257"/>
      <c r="AW137" s="257"/>
      <c r="AX137" s="258"/>
      <c r="AY137" s="260"/>
      <c r="AZ137" s="257"/>
      <c r="BA137" s="257"/>
      <c r="BB137" s="257"/>
      <c r="BC137" s="257"/>
      <c r="BD137" s="258"/>
      <c r="BE137" s="260"/>
      <c r="BF137" s="258"/>
      <c r="BG137" s="260"/>
      <c r="BH137" s="257"/>
      <c r="BI137" s="14"/>
    </row>
    <row r="138" spans="1:61" ht="13.15" x14ac:dyDescent="0.4">
      <c r="A138" s="248"/>
      <c r="B138" s="256"/>
      <c r="C138" s="248"/>
      <c r="D138" s="248"/>
      <c r="E138" s="248"/>
      <c r="F138" s="250"/>
      <c r="G138" s="248"/>
      <c r="H138" s="32"/>
      <c r="I138" s="248"/>
      <c r="J138" s="248"/>
      <c r="K138" s="251"/>
      <c r="L138" s="238"/>
      <c r="M138" s="248"/>
      <c r="N138" s="248"/>
      <c r="O138" s="248"/>
      <c r="P138" s="250"/>
      <c r="Q138" s="252"/>
      <c r="R138" s="248"/>
      <c r="S138" s="248"/>
      <c r="T138" s="248"/>
      <c r="U138" s="248"/>
      <c r="V138" s="248"/>
      <c r="W138" s="248"/>
      <c r="X138" s="248"/>
      <c r="Y138" s="248"/>
      <c r="Z138" s="253"/>
      <c r="AA138" s="253"/>
      <c r="AB138" s="253"/>
      <c r="AC138" s="253"/>
      <c r="AD138" s="253"/>
      <c r="AE138" s="253"/>
      <c r="AF138" s="254"/>
      <c r="AG138" s="257"/>
      <c r="AH138" s="257"/>
      <c r="AI138" s="257"/>
      <c r="AJ138" s="258"/>
      <c r="AK138" s="259"/>
      <c r="AL138" s="257"/>
      <c r="AM138" s="257"/>
      <c r="AN138" s="257"/>
      <c r="AO138" s="257"/>
      <c r="AP138" s="257"/>
      <c r="AQ138" s="258"/>
      <c r="AR138" s="260"/>
      <c r="AS138" s="257"/>
      <c r="AT138" s="257"/>
      <c r="AU138" s="257"/>
      <c r="AV138" s="257"/>
      <c r="AW138" s="257"/>
      <c r="AX138" s="258"/>
      <c r="AY138" s="260"/>
      <c r="AZ138" s="257"/>
      <c r="BA138" s="257"/>
      <c r="BB138" s="257"/>
      <c r="BC138" s="257"/>
      <c r="BD138" s="258"/>
      <c r="BE138" s="260"/>
      <c r="BF138" s="258"/>
      <c r="BG138" s="260"/>
      <c r="BH138" s="257"/>
      <c r="BI138" s="14"/>
    </row>
    <row r="139" spans="1:61" ht="13.15" x14ac:dyDescent="0.4">
      <c r="A139" s="248"/>
      <c r="B139" s="256"/>
      <c r="C139" s="248"/>
      <c r="D139" s="248"/>
      <c r="E139" s="248"/>
      <c r="F139" s="250"/>
      <c r="G139" s="248"/>
      <c r="H139" s="32"/>
      <c r="I139" s="248"/>
      <c r="J139" s="248"/>
      <c r="K139" s="251"/>
      <c r="L139" s="238"/>
      <c r="M139" s="248"/>
      <c r="N139" s="248"/>
      <c r="O139" s="248"/>
      <c r="P139" s="250"/>
      <c r="Q139" s="252"/>
      <c r="R139" s="248"/>
      <c r="S139" s="248"/>
      <c r="T139" s="248"/>
      <c r="U139" s="248"/>
      <c r="V139" s="248"/>
      <c r="W139" s="248"/>
      <c r="X139" s="248"/>
      <c r="Y139" s="248"/>
      <c r="Z139" s="253"/>
      <c r="AA139" s="253"/>
      <c r="AB139" s="253"/>
      <c r="AC139" s="253"/>
      <c r="AD139" s="253"/>
      <c r="AE139" s="253"/>
      <c r="AF139" s="254"/>
      <c r="AG139" s="257"/>
      <c r="AH139" s="257"/>
      <c r="AI139" s="257"/>
      <c r="AJ139" s="258"/>
      <c r="AK139" s="259"/>
      <c r="AL139" s="257"/>
      <c r="AM139" s="257"/>
      <c r="AN139" s="257"/>
      <c r="AO139" s="257"/>
      <c r="AP139" s="257"/>
      <c r="AQ139" s="258"/>
      <c r="AR139" s="260"/>
      <c r="AS139" s="257"/>
      <c r="AT139" s="257"/>
      <c r="AU139" s="257"/>
      <c r="AV139" s="257"/>
      <c r="AW139" s="257"/>
      <c r="AX139" s="258"/>
      <c r="AY139" s="260"/>
      <c r="AZ139" s="257"/>
      <c r="BA139" s="257"/>
      <c r="BB139" s="257"/>
      <c r="BC139" s="257"/>
      <c r="BD139" s="258"/>
      <c r="BE139" s="260"/>
      <c r="BF139" s="258"/>
      <c r="BG139" s="260"/>
      <c r="BH139" s="257"/>
      <c r="BI139" s="14"/>
    </row>
    <row r="140" spans="1:61" ht="13.15" x14ac:dyDescent="0.4">
      <c r="A140" s="248"/>
      <c r="B140" s="256"/>
      <c r="C140" s="248"/>
      <c r="D140" s="248"/>
      <c r="E140" s="248"/>
      <c r="F140" s="250"/>
      <c r="G140" s="248"/>
      <c r="H140" s="32"/>
      <c r="I140" s="248"/>
      <c r="J140" s="248"/>
      <c r="K140" s="251"/>
      <c r="L140" s="238"/>
      <c r="M140" s="248"/>
      <c r="N140" s="248"/>
      <c r="O140" s="248"/>
      <c r="P140" s="250"/>
      <c r="Q140" s="252"/>
      <c r="R140" s="248"/>
      <c r="S140" s="248"/>
      <c r="T140" s="248"/>
      <c r="U140" s="248"/>
      <c r="V140" s="248"/>
      <c r="W140" s="248"/>
      <c r="X140" s="248"/>
      <c r="Y140" s="248"/>
      <c r="Z140" s="253"/>
      <c r="AA140" s="253"/>
      <c r="AB140" s="253"/>
      <c r="AC140" s="253"/>
      <c r="AD140" s="253"/>
      <c r="AE140" s="253"/>
      <c r="AF140" s="254"/>
      <c r="AG140" s="257"/>
      <c r="AH140" s="257"/>
      <c r="AI140" s="257"/>
      <c r="AJ140" s="258"/>
      <c r="AK140" s="259"/>
      <c r="AL140" s="257"/>
      <c r="AM140" s="257"/>
      <c r="AN140" s="257"/>
      <c r="AO140" s="257"/>
      <c r="AP140" s="257"/>
      <c r="AQ140" s="258"/>
      <c r="AR140" s="260"/>
      <c r="AS140" s="257"/>
      <c r="AT140" s="257"/>
      <c r="AU140" s="257"/>
      <c r="AV140" s="257"/>
      <c r="AW140" s="257"/>
      <c r="AX140" s="258"/>
      <c r="AY140" s="260"/>
      <c r="AZ140" s="257"/>
      <c r="BA140" s="257"/>
      <c r="BB140" s="257"/>
      <c r="BC140" s="257"/>
      <c r="BD140" s="258"/>
      <c r="BE140" s="260"/>
      <c r="BF140" s="258"/>
      <c r="BG140" s="260"/>
      <c r="BH140" s="257"/>
      <c r="BI140" s="14"/>
    </row>
    <row r="141" spans="1:61" ht="13.15" x14ac:dyDescent="0.4">
      <c r="A141" s="248"/>
      <c r="B141" s="256"/>
      <c r="C141" s="248"/>
      <c r="D141" s="248"/>
      <c r="E141" s="248"/>
      <c r="F141" s="250"/>
      <c r="G141" s="248"/>
      <c r="H141" s="32"/>
      <c r="I141" s="248"/>
      <c r="J141" s="248"/>
      <c r="K141" s="251"/>
      <c r="L141" s="238"/>
      <c r="M141" s="248"/>
      <c r="N141" s="248"/>
      <c r="O141" s="248"/>
      <c r="P141" s="250"/>
      <c r="Q141" s="252"/>
      <c r="R141" s="248"/>
      <c r="S141" s="248"/>
      <c r="T141" s="248"/>
      <c r="U141" s="248"/>
      <c r="V141" s="248"/>
      <c r="W141" s="248"/>
      <c r="X141" s="248"/>
      <c r="Y141" s="248"/>
      <c r="Z141" s="253"/>
      <c r="AA141" s="253"/>
      <c r="AB141" s="253"/>
      <c r="AC141" s="253"/>
      <c r="AD141" s="253"/>
      <c r="AE141" s="253"/>
      <c r="AF141" s="254"/>
      <c r="AG141" s="257"/>
      <c r="AH141" s="257"/>
      <c r="AI141" s="257"/>
      <c r="AJ141" s="258"/>
      <c r="AK141" s="259"/>
      <c r="AL141" s="257"/>
      <c r="AM141" s="257"/>
      <c r="AN141" s="257"/>
      <c r="AO141" s="257"/>
      <c r="AP141" s="257"/>
      <c r="AQ141" s="258"/>
      <c r="AR141" s="260"/>
      <c r="AS141" s="257"/>
      <c r="AT141" s="257"/>
      <c r="AU141" s="257"/>
      <c r="AV141" s="257"/>
      <c r="AW141" s="257"/>
      <c r="AX141" s="258"/>
      <c r="AY141" s="260"/>
      <c r="AZ141" s="257"/>
      <c r="BA141" s="257"/>
      <c r="BB141" s="257"/>
      <c r="BC141" s="257"/>
      <c r="BD141" s="258"/>
      <c r="BE141" s="260"/>
      <c r="BF141" s="258"/>
      <c r="BG141" s="260"/>
      <c r="BH141" s="257"/>
      <c r="BI141" s="14"/>
    </row>
    <row r="142" spans="1:61" ht="13.15" x14ac:dyDescent="0.4">
      <c r="A142" s="248"/>
      <c r="B142" s="256"/>
      <c r="C142" s="248"/>
      <c r="D142" s="248"/>
      <c r="E142" s="248"/>
      <c r="F142" s="250"/>
      <c r="G142" s="248"/>
      <c r="H142" s="32"/>
      <c r="I142" s="248"/>
      <c r="J142" s="248"/>
      <c r="K142" s="251"/>
      <c r="L142" s="238"/>
      <c r="M142" s="248"/>
      <c r="N142" s="248"/>
      <c r="O142" s="248"/>
      <c r="P142" s="250"/>
      <c r="Q142" s="252"/>
      <c r="R142" s="248"/>
      <c r="S142" s="248"/>
      <c r="T142" s="248"/>
      <c r="U142" s="248"/>
      <c r="V142" s="248"/>
      <c r="W142" s="248"/>
      <c r="X142" s="248"/>
      <c r="Y142" s="248"/>
      <c r="Z142" s="253"/>
      <c r="AA142" s="253"/>
      <c r="AB142" s="253"/>
      <c r="AC142" s="253"/>
      <c r="AD142" s="253"/>
      <c r="AE142" s="253"/>
      <c r="AF142" s="254"/>
      <c r="AG142" s="257"/>
      <c r="AH142" s="257"/>
      <c r="AI142" s="257"/>
      <c r="AJ142" s="258"/>
      <c r="AK142" s="259"/>
      <c r="AL142" s="257"/>
      <c r="AM142" s="257"/>
      <c r="AN142" s="257"/>
      <c r="AO142" s="257"/>
      <c r="AP142" s="257"/>
      <c r="AQ142" s="258"/>
      <c r="AR142" s="260"/>
      <c r="AS142" s="257"/>
      <c r="AT142" s="257"/>
      <c r="AU142" s="257"/>
      <c r="AV142" s="257"/>
      <c r="AW142" s="257"/>
      <c r="AX142" s="258"/>
      <c r="AY142" s="260"/>
      <c r="AZ142" s="257"/>
      <c r="BA142" s="257"/>
      <c r="BB142" s="257"/>
      <c r="BC142" s="257"/>
      <c r="BD142" s="258"/>
      <c r="BE142" s="260"/>
      <c r="BF142" s="258"/>
      <c r="BG142" s="260"/>
      <c r="BH142" s="257"/>
      <c r="BI142" s="14"/>
    </row>
    <row r="143" spans="1:61" ht="13.15" x14ac:dyDescent="0.4">
      <c r="A143" s="248"/>
      <c r="B143" s="256"/>
      <c r="C143" s="248"/>
      <c r="D143" s="248"/>
      <c r="E143" s="248"/>
      <c r="F143" s="250"/>
      <c r="G143" s="248"/>
      <c r="H143" s="32"/>
      <c r="I143" s="248"/>
      <c r="J143" s="248"/>
      <c r="K143" s="251"/>
      <c r="L143" s="238"/>
      <c r="M143" s="248"/>
      <c r="N143" s="248"/>
      <c r="O143" s="248"/>
      <c r="P143" s="250"/>
      <c r="Q143" s="252"/>
      <c r="R143" s="248"/>
      <c r="S143" s="248"/>
      <c r="T143" s="248"/>
      <c r="U143" s="248"/>
      <c r="V143" s="248"/>
      <c r="W143" s="248"/>
      <c r="X143" s="248"/>
      <c r="Y143" s="248"/>
      <c r="Z143" s="253"/>
      <c r="AA143" s="253"/>
      <c r="AB143" s="253"/>
      <c r="AC143" s="253"/>
      <c r="AD143" s="253"/>
      <c r="AE143" s="253"/>
      <c r="AF143" s="254"/>
      <c r="AG143" s="257"/>
      <c r="AH143" s="257"/>
      <c r="AI143" s="257"/>
      <c r="AJ143" s="258"/>
      <c r="AK143" s="259"/>
      <c r="AL143" s="257"/>
      <c r="AM143" s="257"/>
      <c r="AN143" s="257"/>
      <c r="AO143" s="257"/>
      <c r="AP143" s="257"/>
      <c r="AQ143" s="258"/>
      <c r="AR143" s="260"/>
      <c r="AS143" s="257"/>
      <c r="AT143" s="257"/>
      <c r="AU143" s="257"/>
      <c r="AV143" s="257"/>
      <c r="AW143" s="257"/>
      <c r="AX143" s="258"/>
      <c r="AY143" s="260"/>
      <c r="AZ143" s="257"/>
      <c r="BA143" s="257"/>
      <c r="BB143" s="257"/>
      <c r="BC143" s="257"/>
      <c r="BD143" s="258"/>
      <c r="BE143" s="260"/>
      <c r="BF143" s="258"/>
      <c r="BG143" s="260"/>
      <c r="BH143" s="257"/>
      <c r="BI143" s="14"/>
    </row>
    <row r="144" spans="1:61" ht="13.15" x14ac:dyDescent="0.4">
      <c r="A144" s="248"/>
      <c r="B144" s="256"/>
      <c r="C144" s="248"/>
      <c r="D144" s="248"/>
      <c r="E144" s="248"/>
      <c r="F144" s="250"/>
      <c r="G144" s="248"/>
      <c r="H144" s="32"/>
      <c r="I144" s="248"/>
      <c r="J144" s="248"/>
      <c r="K144" s="251"/>
      <c r="L144" s="238"/>
      <c r="M144" s="248"/>
      <c r="N144" s="248"/>
      <c r="O144" s="248"/>
      <c r="P144" s="250"/>
      <c r="Q144" s="252"/>
      <c r="R144" s="248"/>
      <c r="S144" s="248"/>
      <c r="T144" s="248"/>
      <c r="U144" s="248"/>
      <c r="V144" s="248"/>
      <c r="W144" s="248"/>
      <c r="X144" s="248"/>
      <c r="Y144" s="248"/>
      <c r="Z144" s="253"/>
      <c r="AA144" s="253"/>
      <c r="AB144" s="253"/>
      <c r="AC144" s="253"/>
      <c r="AD144" s="253"/>
      <c r="AE144" s="253"/>
      <c r="AF144" s="254"/>
      <c r="AG144" s="257"/>
      <c r="AH144" s="257"/>
      <c r="AI144" s="257"/>
      <c r="AJ144" s="258"/>
      <c r="AK144" s="259"/>
      <c r="AL144" s="257"/>
      <c r="AM144" s="257"/>
      <c r="AN144" s="257"/>
      <c r="AO144" s="257"/>
      <c r="AP144" s="257"/>
      <c r="AQ144" s="258"/>
      <c r="AR144" s="260"/>
      <c r="AS144" s="257"/>
      <c r="AT144" s="257"/>
      <c r="AU144" s="257"/>
      <c r="AV144" s="257"/>
      <c r="AW144" s="257"/>
      <c r="AX144" s="258"/>
      <c r="AY144" s="260"/>
      <c r="AZ144" s="257"/>
      <c r="BA144" s="257"/>
      <c r="BB144" s="257"/>
      <c r="BC144" s="257"/>
      <c r="BD144" s="258"/>
      <c r="BE144" s="260"/>
      <c r="BF144" s="258"/>
      <c r="BG144" s="260"/>
      <c r="BH144" s="257"/>
      <c r="BI144" s="14"/>
    </row>
    <row r="145" spans="1:61" ht="13.15" x14ac:dyDescent="0.4">
      <c r="A145" s="248"/>
      <c r="B145" s="256"/>
      <c r="C145" s="248"/>
      <c r="D145" s="248"/>
      <c r="E145" s="248"/>
      <c r="F145" s="250"/>
      <c r="G145" s="248"/>
      <c r="H145" s="32"/>
      <c r="I145" s="248"/>
      <c r="J145" s="248"/>
      <c r="K145" s="251"/>
      <c r="L145" s="238"/>
      <c r="M145" s="248"/>
      <c r="N145" s="248"/>
      <c r="O145" s="248"/>
      <c r="P145" s="250"/>
      <c r="Q145" s="252"/>
      <c r="R145" s="248"/>
      <c r="S145" s="248"/>
      <c r="T145" s="248"/>
      <c r="U145" s="248"/>
      <c r="V145" s="248"/>
      <c r="W145" s="248"/>
      <c r="X145" s="248"/>
      <c r="Y145" s="248"/>
      <c r="Z145" s="253"/>
      <c r="AA145" s="253"/>
      <c r="AB145" s="253"/>
      <c r="AC145" s="253"/>
      <c r="AD145" s="253"/>
      <c r="AE145" s="253"/>
      <c r="AF145" s="254"/>
      <c r="AG145" s="257"/>
      <c r="AH145" s="257"/>
      <c r="AI145" s="257"/>
      <c r="AJ145" s="258"/>
      <c r="AK145" s="259"/>
      <c r="AL145" s="257"/>
      <c r="AM145" s="257"/>
      <c r="AN145" s="257"/>
      <c r="AO145" s="257"/>
      <c r="AP145" s="257"/>
      <c r="AQ145" s="258"/>
      <c r="AR145" s="260"/>
      <c r="AS145" s="257"/>
      <c r="AT145" s="257"/>
      <c r="AU145" s="257"/>
      <c r="AV145" s="257"/>
      <c r="AW145" s="257"/>
      <c r="AX145" s="258"/>
      <c r="AY145" s="260"/>
      <c r="AZ145" s="257"/>
      <c r="BA145" s="257"/>
      <c r="BB145" s="257"/>
      <c r="BC145" s="257"/>
      <c r="BD145" s="258"/>
      <c r="BE145" s="260"/>
      <c r="BF145" s="258"/>
      <c r="BG145" s="260"/>
      <c r="BH145" s="257"/>
      <c r="BI145" s="14"/>
    </row>
    <row r="146" spans="1:61" ht="13.15" x14ac:dyDescent="0.4">
      <c r="A146" s="248"/>
      <c r="B146" s="256"/>
      <c r="C146" s="248"/>
      <c r="D146" s="248"/>
      <c r="E146" s="248"/>
      <c r="F146" s="250"/>
      <c r="G146" s="248"/>
      <c r="H146" s="32"/>
      <c r="I146" s="248"/>
      <c r="J146" s="248"/>
      <c r="K146" s="251"/>
      <c r="L146" s="238"/>
      <c r="M146" s="248"/>
      <c r="N146" s="248"/>
      <c r="O146" s="248"/>
      <c r="P146" s="250"/>
      <c r="Q146" s="252"/>
      <c r="R146" s="248"/>
      <c r="S146" s="248"/>
      <c r="T146" s="248"/>
      <c r="U146" s="248"/>
      <c r="V146" s="248"/>
      <c r="W146" s="248"/>
      <c r="X146" s="248"/>
      <c r="Y146" s="248"/>
      <c r="Z146" s="253"/>
      <c r="AA146" s="253"/>
      <c r="AB146" s="253"/>
      <c r="AC146" s="253"/>
      <c r="AD146" s="253"/>
      <c r="AE146" s="253"/>
      <c r="AF146" s="254"/>
      <c r="AG146" s="257"/>
      <c r="AH146" s="257"/>
      <c r="AI146" s="257"/>
      <c r="AJ146" s="258"/>
      <c r="AK146" s="259"/>
      <c r="AL146" s="257"/>
      <c r="AM146" s="257"/>
      <c r="AN146" s="257"/>
      <c r="AO146" s="257"/>
      <c r="AP146" s="257"/>
      <c r="AQ146" s="258"/>
      <c r="AR146" s="260"/>
      <c r="AS146" s="257"/>
      <c r="AT146" s="257"/>
      <c r="AU146" s="257"/>
      <c r="AV146" s="257"/>
      <c r="AW146" s="257"/>
      <c r="AX146" s="258"/>
      <c r="AY146" s="260"/>
      <c r="AZ146" s="257"/>
      <c r="BA146" s="257"/>
      <c r="BB146" s="257"/>
      <c r="BC146" s="257"/>
      <c r="BD146" s="258"/>
      <c r="BE146" s="260"/>
      <c r="BF146" s="258"/>
      <c r="BG146" s="260"/>
      <c r="BH146" s="257"/>
      <c r="BI146" s="14"/>
    </row>
    <row r="147" spans="1:61" ht="13.15" x14ac:dyDescent="0.4">
      <c r="A147" s="248"/>
      <c r="B147" s="256"/>
      <c r="C147" s="248"/>
      <c r="D147" s="248"/>
      <c r="E147" s="248"/>
      <c r="F147" s="250"/>
      <c r="G147" s="248"/>
      <c r="H147" s="32"/>
      <c r="I147" s="248"/>
      <c r="J147" s="248"/>
      <c r="K147" s="251"/>
      <c r="L147" s="238"/>
      <c r="M147" s="248"/>
      <c r="N147" s="248"/>
      <c r="O147" s="248"/>
      <c r="P147" s="250"/>
      <c r="Q147" s="252"/>
      <c r="R147" s="248"/>
      <c r="S147" s="248"/>
      <c r="T147" s="248"/>
      <c r="U147" s="248"/>
      <c r="V147" s="248"/>
      <c r="W147" s="248"/>
      <c r="X147" s="248"/>
      <c r="Y147" s="248"/>
      <c r="Z147" s="253"/>
      <c r="AA147" s="253"/>
      <c r="AB147" s="253"/>
      <c r="AC147" s="253"/>
      <c r="AD147" s="253"/>
      <c r="AE147" s="253"/>
      <c r="AF147" s="254"/>
      <c r="AG147" s="257"/>
      <c r="AH147" s="257"/>
      <c r="AI147" s="257"/>
      <c r="AJ147" s="258"/>
      <c r="AK147" s="259"/>
      <c r="AL147" s="257"/>
      <c r="AM147" s="257"/>
      <c r="AN147" s="257"/>
      <c r="AO147" s="257"/>
      <c r="AP147" s="257"/>
      <c r="AQ147" s="258"/>
      <c r="AR147" s="260"/>
      <c r="AS147" s="257"/>
      <c r="AT147" s="257"/>
      <c r="AU147" s="257"/>
      <c r="AV147" s="257"/>
      <c r="AW147" s="257"/>
      <c r="AX147" s="258"/>
      <c r="AY147" s="260"/>
      <c r="AZ147" s="257"/>
      <c r="BA147" s="257"/>
      <c r="BB147" s="257"/>
      <c r="BC147" s="257"/>
      <c r="BD147" s="258"/>
      <c r="BE147" s="260"/>
      <c r="BF147" s="258"/>
      <c r="BG147" s="260"/>
      <c r="BH147" s="257"/>
      <c r="BI147" s="14"/>
    </row>
    <row r="148" spans="1:61" ht="13.15" x14ac:dyDescent="0.4">
      <c r="A148" s="248"/>
      <c r="B148" s="256"/>
      <c r="C148" s="248"/>
      <c r="D148" s="248"/>
      <c r="E148" s="248"/>
      <c r="F148" s="250"/>
      <c r="G148" s="248"/>
      <c r="H148" s="32"/>
      <c r="I148" s="248"/>
      <c r="J148" s="248"/>
      <c r="K148" s="251"/>
      <c r="L148" s="238"/>
      <c r="M148" s="248"/>
      <c r="N148" s="248"/>
      <c r="O148" s="248"/>
      <c r="P148" s="250"/>
      <c r="Q148" s="252"/>
      <c r="R148" s="248"/>
      <c r="S148" s="248"/>
      <c r="T148" s="248"/>
      <c r="U148" s="248"/>
      <c r="V148" s="248"/>
      <c r="W148" s="248"/>
      <c r="X148" s="248"/>
      <c r="Y148" s="248"/>
      <c r="Z148" s="253"/>
      <c r="AA148" s="253"/>
      <c r="AB148" s="253"/>
      <c r="AC148" s="253"/>
      <c r="AD148" s="253"/>
      <c r="AE148" s="253"/>
      <c r="AF148" s="254"/>
      <c r="AG148" s="257"/>
      <c r="AH148" s="257"/>
      <c r="AI148" s="257"/>
      <c r="AJ148" s="258"/>
      <c r="AK148" s="259"/>
      <c r="AL148" s="257"/>
      <c r="AM148" s="257"/>
      <c r="AN148" s="257"/>
      <c r="AO148" s="257"/>
      <c r="AP148" s="257"/>
      <c r="AQ148" s="258"/>
      <c r="AR148" s="260"/>
      <c r="AS148" s="257"/>
      <c r="AT148" s="257"/>
      <c r="AU148" s="257"/>
      <c r="AV148" s="257"/>
      <c r="AW148" s="257"/>
      <c r="AX148" s="258"/>
      <c r="AY148" s="260"/>
      <c r="AZ148" s="257"/>
      <c r="BA148" s="257"/>
      <c r="BB148" s="257"/>
      <c r="BC148" s="257"/>
      <c r="BD148" s="258"/>
      <c r="BE148" s="260"/>
      <c r="BF148" s="258"/>
      <c r="BG148" s="260"/>
      <c r="BH148" s="257"/>
      <c r="BI148" s="14"/>
    </row>
    <row r="149" spans="1:61" ht="13.15" x14ac:dyDescent="0.4">
      <c r="A149" s="248"/>
      <c r="B149" s="256"/>
      <c r="C149" s="248"/>
      <c r="D149" s="248"/>
      <c r="E149" s="248"/>
      <c r="F149" s="250"/>
      <c r="G149" s="248"/>
      <c r="H149" s="32"/>
      <c r="I149" s="248"/>
      <c r="J149" s="248"/>
      <c r="K149" s="251"/>
      <c r="L149" s="238"/>
      <c r="M149" s="248"/>
      <c r="N149" s="248"/>
      <c r="O149" s="248"/>
      <c r="P149" s="250"/>
      <c r="Q149" s="252"/>
      <c r="R149" s="248"/>
      <c r="S149" s="248"/>
      <c r="T149" s="248"/>
      <c r="U149" s="248"/>
      <c r="V149" s="248"/>
      <c r="W149" s="248"/>
      <c r="X149" s="248"/>
      <c r="Y149" s="248"/>
      <c r="Z149" s="253"/>
      <c r="AA149" s="253"/>
      <c r="AB149" s="253"/>
      <c r="AC149" s="253"/>
      <c r="AD149" s="253"/>
      <c r="AE149" s="253"/>
      <c r="AF149" s="254"/>
      <c r="AG149" s="257"/>
      <c r="AH149" s="257"/>
      <c r="AI149" s="257"/>
      <c r="AJ149" s="258"/>
      <c r="AK149" s="259"/>
      <c r="AL149" s="257"/>
      <c r="AM149" s="257"/>
      <c r="AN149" s="257"/>
      <c r="AO149" s="257"/>
      <c r="AP149" s="257"/>
      <c r="AQ149" s="258"/>
      <c r="AR149" s="260"/>
      <c r="AS149" s="257"/>
      <c r="AT149" s="257"/>
      <c r="AU149" s="257"/>
      <c r="AV149" s="257"/>
      <c r="AW149" s="257"/>
      <c r="AX149" s="258"/>
      <c r="AY149" s="260"/>
      <c r="AZ149" s="257"/>
      <c r="BA149" s="257"/>
      <c r="BB149" s="257"/>
      <c r="BC149" s="257"/>
      <c r="BD149" s="258"/>
      <c r="BE149" s="260"/>
      <c r="BF149" s="258"/>
      <c r="BG149" s="260"/>
      <c r="BH149" s="257"/>
      <c r="BI149" s="14"/>
    </row>
    <row r="150" spans="1:61" ht="13.15" x14ac:dyDescent="0.4">
      <c r="A150" s="248"/>
      <c r="B150" s="256"/>
      <c r="C150" s="248"/>
      <c r="D150" s="248"/>
      <c r="E150" s="248"/>
      <c r="F150" s="250"/>
      <c r="G150" s="248"/>
      <c r="H150" s="32"/>
      <c r="I150" s="248"/>
      <c r="J150" s="248"/>
      <c r="K150" s="251"/>
      <c r="L150" s="238"/>
      <c r="M150" s="248"/>
      <c r="N150" s="248"/>
      <c r="O150" s="248"/>
      <c r="P150" s="250"/>
      <c r="Q150" s="252"/>
      <c r="R150" s="248"/>
      <c r="S150" s="248"/>
      <c r="T150" s="248"/>
      <c r="U150" s="248"/>
      <c r="V150" s="248"/>
      <c r="W150" s="248"/>
      <c r="X150" s="248"/>
      <c r="Y150" s="248"/>
      <c r="Z150" s="253"/>
      <c r="AA150" s="253"/>
      <c r="AB150" s="253"/>
      <c r="AC150" s="253"/>
      <c r="AD150" s="253"/>
      <c r="AE150" s="253"/>
      <c r="AF150" s="254"/>
      <c r="AG150" s="257"/>
      <c r="AH150" s="257"/>
      <c r="AI150" s="257"/>
      <c r="AJ150" s="258"/>
      <c r="AK150" s="259"/>
      <c r="AL150" s="257"/>
      <c r="AM150" s="257"/>
      <c r="AN150" s="257"/>
      <c r="AO150" s="257"/>
      <c r="AP150" s="257"/>
      <c r="AQ150" s="258"/>
      <c r="AR150" s="260"/>
      <c r="AS150" s="257"/>
      <c r="AT150" s="257"/>
      <c r="AU150" s="257"/>
      <c r="AV150" s="257"/>
      <c r="AW150" s="257"/>
      <c r="AX150" s="258"/>
      <c r="AY150" s="260"/>
      <c r="AZ150" s="257"/>
      <c r="BA150" s="257"/>
      <c r="BB150" s="257"/>
      <c r="BC150" s="257"/>
      <c r="BD150" s="258"/>
      <c r="BE150" s="260"/>
      <c r="BF150" s="258"/>
      <c r="BG150" s="260"/>
      <c r="BH150" s="257"/>
      <c r="BI150" s="14"/>
    </row>
    <row r="151" spans="1:61" ht="13.15" x14ac:dyDescent="0.4">
      <c r="A151" s="248"/>
      <c r="B151" s="256"/>
      <c r="C151" s="248"/>
      <c r="D151" s="248"/>
      <c r="E151" s="248"/>
      <c r="F151" s="250"/>
      <c r="G151" s="248"/>
      <c r="H151" s="32"/>
      <c r="I151" s="248"/>
      <c r="J151" s="248"/>
      <c r="K151" s="251"/>
      <c r="L151" s="238"/>
      <c r="M151" s="248"/>
      <c r="N151" s="248"/>
      <c r="O151" s="248"/>
      <c r="P151" s="250"/>
      <c r="Q151" s="252"/>
      <c r="R151" s="248"/>
      <c r="S151" s="248"/>
      <c r="T151" s="248"/>
      <c r="U151" s="248"/>
      <c r="V151" s="248"/>
      <c r="W151" s="248"/>
      <c r="X151" s="248"/>
      <c r="Y151" s="248"/>
      <c r="Z151" s="253"/>
      <c r="AA151" s="253"/>
      <c r="AB151" s="253"/>
      <c r="AC151" s="253"/>
      <c r="AD151" s="253"/>
      <c r="AE151" s="253"/>
      <c r="AF151" s="254"/>
      <c r="AG151" s="257"/>
      <c r="AH151" s="257"/>
      <c r="AI151" s="257"/>
      <c r="AJ151" s="258"/>
      <c r="AK151" s="259"/>
      <c r="AL151" s="257"/>
      <c r="AM151" s="257"/>
      <c r="AN151" s="257"/>
      <c r="AO151" s="257"/>
      <c r="AP151" s="257"/>
      <c r="AQ151" s="258"/>
      <c r="AR151" s="260"/>
      <c r="AS151" s="257"/>
      <c r="AT151" s="257"/>
      <c r="AU151" s="257"/>
      <c r="AV151" s="257"/>
      <c r="AW151" s="257"/>
      <c r="AX151" s="258"/>
      <c r="AY151" s="260"/>
      <c r="AZ151" s="257"/>
      <c r="BA151" s="257"/>
      <c r="BB151" s="257"/>
      <c r="BC151" s="257"/>
      <c r="BD151" s="258"/>
      <c r="BE151" s="260"/>
      <c r="BF151" s="258"/>
      <c r="BG151" s="260"/>
      <c r="BH151" s="257"/>
      <c r="BI151" s="14"/>
    </row>
    <row r="152" spans="1:61" ht="13.15" x14ac:dyDescent="0.4">
      <c r="A152" s="248"/>
      <c r="B152" s="256"/>
      <c r="C152" s="248"/>
      <c r="D152" s="248"/>
      <c r="E152" s="248"/>
      <c r="F152" s="250"/>
      <c r="G152" s="248"/>
      <c r="H152" s="32"/>
      <c r="I152" s="248"/>
      <c r="J152" s="248"/>
      <c r="K152" s="251"/>
      <c r="L152" s="238"/>
      <c r="M152" s="248"/>
      <c r="N152" s="248"/>
      <c r="O152" s="248"/>
      <c r="P152" s="250"/>
      <c r="Q152" s="252"/>
      <c r="R152" s="248"/>
      <c r="S152" s="248"/>
      <c r="T152" s="248"/>
      <c r="U152" s="248"/>
      <c r="V152" s="248"/>
      <c r="W152" s="248"/>
      <c r="X152" s="248"/>
      <c r="Y152" s="248"/>
      <c r="Z152" s="253"/>
      <c r="AA152" s="253"/>
      <c r="AB152" s="253"/>
      <c r="AC152" s="253"/>
      <c r="AD152" s="253"/>
      <c r="AE152" s="253"/>
      <c r="AF152" s="254"/>
      <c r="AG152" s="257"/>
      <c r="AH152" s="257"/>
      <c r="AI152" s="257"/>
      <c r="AJ152" s="258"/>
      <c r="AK152" s="259"/>
      <c r="AL152" s="257"/>
      <c r="AM152" s="257"/>
      <c r="AN152" s="257"/>
      <c r="AO152" s="257"/>
      <c r="AP152" s="257"/>
      <c r="AQ152" s="258"/>
      <c r="AR152" s="260"/>
      <c r="AS152" s="257"/>
      <c r="AT152" s="257"/>
      <c r="AU152" s="257"/>
      <c r="AV152" s="257"/>
      <c r="AW152" s="257"/>
      <c r="AX152" s="258"/>
      <c r="AY152" s="260"/>
      <c r="AZ152" s="257"/>
      <c r="BA152" s="257"/>
      <c r="BB152" s="257"/>
      <c r="BC152" s="257"/>
      <c r="BD152" s="258"/>
      <c r="BE152" s="260"/>
      <c r="BF152" s="258"/>
      <c r="BG152" s="260"/>
      <c r="BH152" s="257"/>
      <c r="BI152" s="14"/>
    </row>
    <row r="153" spans="1:61" ht="13.15" x14ac:dyDescent="0.4">
      <c r="A153" s="248"/>
      <c r="B153" s="256"/>
      <c r="C153" s="248"/>
      <c r="D153" s="248"/>
      <c r="E153" s="248"/>
      <c r="F153" s="250"/>
      <c r="G153" s="248"/>
      <c r="H153" s="32"/>
      <c r="I153" s="248"/>
      <c r="J153" s="248"/>
      <c r="K153" s="251"/>
      <c r="L153" s="238"/>
      <c r="M153" s="248"/>
      <c r="N153" s="248"/>
      <c r="O153" s="248"/>
      <c r="P153" s="250"/>
      <c r="Q153" s="252"/>
      <c r="R153" s="248"/>
      <c r="S153" s="248"/>
      <c r="T153" s="248"/>
      <c r="U153" s="248"/>
      <c r="V153" s="248"/>
      <c r="W153" s="248"/>
      <c r="X153" s="248"/>
      <c r="Y153" s="248"/>
      <c r="Z153" s="253"/>
      <c r="AA153" s="253"/>
      <c r="AB153" s="253"/>
      <c r="AC153" s="253"/>
      <c r="AD153" s="253"/>
      <c r="AE153" s="253"/>
      <c r="AF153" s="254"/>
      <c r="AG153" s="257"/>
      <c r="AH153" s="257"/>
      <c r="AI153" s="257"/>
      <c r="AJ153" s="258"/>
      <c r="AK153" s="259"/>
      <c r="AL153" s="257"/>
      <c r="AM153" s="257"/>
      <c r="AN153" s="257"/>
      <c r="AO153" s="257"/>
      <c r="AP153" s="257"/>
      <c r="AQ153" s="258"/>
      <c r="AR153" s="260"/>
      <c r="AS153" s="257"/>
      <c r="AT153" s="257"/>
      <c r="AU153" s="257"/>
      <c r="AV153" s="257"/>
      <c r="AW153" s="257"/>
      <c r="AX153" s="258"/>
      <c r="AY153" s="260"/>
      <c r="AZ153" s="257"/>
      <c r="BA153" s="257"/>
      <c r="BB153" s="257"/>
      <c r="BC153" s="257"/>
      <c r="BD153" s="258"/>
      <c r="BE153" s="260"/>
      <c r="BF153" s="258"/>
      <c r="BG153" s="260"/>
      <c r="BH153" s="257"/>
      <c r="BI153" s="14"/>
    </row>
    <row r="154" spans="1:61" ht="13.15" x14ac:dyDescent="0.4">
      <c r="A154" s="248"/>
      <c r="B154" s="256"/>
      <c r="C154" s="248"/>
      <c r="D154" s="248"/>
      <c r="E154" s="248"/>
      <c r="F154" s="250"/>
      <c r="G154" s="248"/>
      <c r="H154" s="32"/>
      <c r="I154" s="248"/>
      <c r="J154" s="248"/>
      <c r="K154" s="251"/>
      <c r="L154" s="238"/>
      <c r="M154" s="248"/>
      <c r="N154" s="248"/>
      <c r="O154" s="248"/>
      <c r="P154" s="250"/>
      <c r="Q154" s="252"/>
      <c r="R154" s="248"/>
      <c r="S154" s="248"/>
      <c r="T154" s="248"/>
      <c r="U154" s="248"/>
      <c r="V154" s="248"/>
      <c r="W154" s="248"/>
      <c r="X154" s="248"/>
      <c r="Y154" s="248"/>
      <c r="Z154" s="253"/>
      <c r="AA154" s="253"/>
      <c r="AB154" s="253"/>
      <c r="AC154" s="253"/>
      <c r="AD154" s="253"/>
      <c r="AE154" s="253"/>
      <c r="AF154" s="254"/>
      <c r="AG154" s="257"/>
      <c r="AH154" s="257"/>
      <c r="AI154" s="257"/>
      <c r="AJ154" s="258"/>
      <c r="AK154" s="259"/>
      <c r="AL154" s="257"/>
      <c r="AM154" s="257"/>
      <c r="AN154" s="257"/>
      <c r="AO154" s="257"/>
      <c r="AP154" s="257"/>
      <c r="AQ154" s="258"/>
      <c r="AR154" s="260"/>
      <c r="AS154" s="257"/>
      <c r="AT154" s="257"/>
      <c r="AU154" s="257"/>
      <c r="AV154" s="257"/>
      <c r="AW154" s="257"/>
      <c r="AX154" s="258"/>
      <c r="AY154" s="260"/>
      <c r="AZ154" s="257"/>
      <c r="BA154" s="257"/>
      <c r="BB154" s="257"/>
      <c r="BC154" s="257"/>
      <c r="BD154" s="258"/>
      <c r="BE154" s="260"/>
      <c r="BF154" s="258"/>
      <c r="BG154" s="260"/>
      <c r="BH154" s="257"/>
      <c r="BI154" s="14"/>
    </row>
    <row r="155" spans="1:61" ht="13.15" x14ac:dyDescent="0.4">
      <c r="A155" s="248"/>
      <c r="B155" s="256"/>
      <c r="C155" s="248"/>
      <c r="D155" s="248"/>
      <c r="E155" s="248"/>
      <c r="F155" s="250"/>
      <c r="G155" s="248"/>
      <c r="H155" s="32"/>
      <c r="I155" s="248"/>
      <c r="J155" s="248"/>
      <c r="K155" s="251"/>
      <c r="L155" s="238"/>
      <c r="M155" s="248"/>
      <c r="N155" s="248"/>
      <c r="O155" s="248"/>
      <c r="P155" s="250"/>
      <c r="Q155" s="252"/>
      <c r="R155" s="248"/>
      <c r="S155" s="248"/>
      <c r="T155" s="248"/>
      <c r="U155" s="248"/>
      <c r="V155" s="248"/>
      <c r="W155" s="248"/>
      <c r="X155" s="248"/>
      <c r="Y155" s="248"/>
      <c r="Z155" s="253"/>
      <c r="AA155" s="253"/>
      <c r="AB155" s="253"/>
      <c r="AC155" s="253"/>
      <c r="AD155" s="253"/>
      <c r="AE155" s="253"/>
      <c r="AF155" s="254"/>
      <c r="AG155" s="257"/>
      <c r="AH155" s="257"/>
      <c r="AI155" s="257"/>
      <c r="AJ155" s="258"/>
      <c r="AK155" s="259"/>
      <c r="AL155" s="257"/>
      <c r="AM155" s="257"/>
      <c r="AN155" s="257"/>
      <c r="AO155" s="257"/>
      <c r="AP155" s="257"/>
      <c r="AQ155" s="258"/>
      <c r="AR155" s="260"/>
      <c r="AS155" s="257"/>
      <c r="AT155" s="257"/>
      <c r="AU155" s="257"/>
      <c r="AV155" s="257"/>
      <c r="AW155" s="257"/>
      <c r="AX155" s="258"/>
      <c r="AY155" s="260"/>
      <c r="AZ155" s="257"/>
      <c r="BA155" s="257"/>
      <c r="BB155" s="257"/>
      <c r="BC155" s="257"/>
      <c r="BD155" s="258"/>
      <c r="BE155" s="260"/>
      <c r="BF155" s="258"/>
      <c r="BG155" s="260"/>
      <c r="BH155" s="257"/>
      <c r="BI155" s="14"/>
    </row>
    <row r="156" spans="1:61" ht="13.15" x14ac:dyDescent="0.4">
      <c r="A156" s="248"/>
      <c r="B156" s="256"/>
      <c r="C156" s="248"/>
      <c r="D156" s="248"/>
      <c r="E156" s="248"/>
      <c r="F156" s="250"/>
      <c r="G156" s="248"/>
      <c r="H156" s="32"/>
      <c r="I156" s="248"/>
      <c r="J156" s="248"/>
      <c r="K156" s="251"/>
      <c r="L156" s="238"/>
      <c r="M156" s="248"/>
      <c r="N156" s="248"/>
      <c r="O156" s="248"/>
      <c r="P156" s="250"/>
      <c r="Q156" s="252"/>
      <c r="R156" s="248"/>
      <c r="S156" s="248"/>
      <c r="T156" s="248"/>
      <c r="U156" s="248"/>
      <c r="V156" s="248"/>
      <c r="W156" s="248"/>
      <c r="X156" s="248"/>
      <c r="Y156" s="248"/>
      <c r="Z156" s="253"/>
      <c r="AA156" s="253"/>
      <c r="AB156" s="253"/>
      <c r="AC156" s="253"/>
      <c r="AD156" s="253"/>
      <c r="AE156" s="253"/>
      <c r="AF156" s="254"/>
      <c r="AG156" s="257"/>
      <c r="AH156" s="257"/>
      <c r="AI156" s="257"/>
      <c r="AJ156" s="258"/>
      <c r="AK156" s="259"/>
      <c r="AL156" s="257"/>
      <c r="AM156" s="257"/>
      <c r="AN156" s="257"/>
      <c r="AO156" s="257"/>
      <c r="AP156" s="257"/>
      <c r="AQ156" s="258"/>
      <c r="AR156" s="260"/>
      <c r="AS156" s="257"/>
      <c r="AT156" s="257"/>
      <c r="AU156" s="257"/>
      <c r="AV156" s="257"/>
      <c r="AW156" s="257"/>
      <c r="AX156" s="258"/>
      <c r="AY156" s="260"/>
      <c r="AZ156" s="257"/>
      <c r="BA156" s="257"/>
      <c r="BB156" s="257"/>
      <c r="BC156" s="257"/>
      <c r="BD156" s="258"/>
      <c r="BE156" s="260"/>
      <c r="BF156" s="258"/>
      <c r="BG156" s="260"/>
      <c r="BH156" s="257"/>
      <c r="BI156" s="14"/>
    </row>
    <row r="157" spans="1:61" ht="13.15" x14ac:dyDescent="0.4">
      <c r="A157" s="248"/>
      <c r="B157" s="256"/>
      <c r="C157" s="248"/>
      <c r="D157" s="248"/>
      <c r="E157" s="248"/>
      <c r="F157" s="250"/>
      <c r="G157" s="248"/>
      <c r="H157" s="32"/>
      <c r="I157" s="248"/>
      <c r="J157" s="248"/>
      <c r="K157" s="251"/>
      <c r="L157" s="238"/>
      <c r="M157" s="248"/>
      <c r="N157" s="248"/>
      <c r="O157" s="248"/>
      <c r="P157" s="250"/>
      <c r="Q157" s="252"/>
      <c r="R157" s="248"/>
      <c r="S157" s="248"/>
      <c r="T157" s="248"/>
      <c r="U157" s="248"/>
      <c r="V157" s="248"/>
      <c r="W157" s="248"/>
      <c r="X157" s="248"/>
      <c r="Y157" s="248"/>
      <c r="Z157" s="253"/>
      <c r="AA157" s="253"/>
      <c r="AB157" s="253"/>
      <c r="AC157" s="253"/>
      <c r="AD157" s="253"/>
      <c r="AE157" s="253"/>
      <c r="AF157" s="254"/>
      <c r="AG157" s="257"/>
      <c r="AH157" s="257"/>
      <c r="AI157" s="257"/>
      <c r="AJ157" s="258"/>
      <c r="AK157" s="259"/>
      <c r="AL157" s="257"/>
      <c r="AM157" s="257"/>
      <c r="AN157" s="257"/>
      <c r="AO157" s="257"/>
      <c r="AP157" s="257"/>
      <c r="AQ157" s="258"/>
      <c r="AR157" s="260"/>
      <c r="AS157" s="257"/>
      <c r="AT157" s="257"/>
      <c r="AU157" s="257"/>
      <c r="AV157" s="257"/>
      <c r="AW157" s="257"/>
      <c r="AX157" s="258"/>
      <c r="AY157" s="260"/>
      <c r="AZ157" s="257"/>
      <c r="BA157" s="257"/>
      <c r="BB157" s="257"/>
      <c r="BC157" s="257"/>
      <c r="BD157" s="258"/>
      <c r="BE157" s="260"/>
      <c r="BF157" s="258"/>
      <c r="BG157" s="260"/>
      <c r="BH157" s="257"/>
      <c r="BI157" s="14"/>
    </row>
    <row r="158" spans="1:61" ht="13.15" x14ac:dyDescent="0.4">
      <c r="A158" s="248"/>
      <c r="B158" s="256"/>
      <c r="C158" s="248"/>
      <c r="D158" s="248"/>
      <c r="E158" s="248"/>
      <c r="F158" s="250"/>
      <c r="G158" s="248"/>
      <c r="H158" s="32"/>
      <c r="I158" s="248"/>
      <c r="J158" s="248"/>
      <c r="K158" s="251"/>
      <c r="L158" s="238"/>
      <c r="M158" s="248"/>
      <c r="N158" s="248"/>
      <c r="O158" s="248"/>
      <c r="P158" s="250"/>
      <c r="Q158" s="252"/>
      <c r="R158" s="248"/>
      <c r="S158" s="248"/>
      <c r="T158" s="248"/>
      <c r="U158" s="248"/>
      <c r="V158" s="248"/>
      <c r="W158" s="248"/>
      <c r="X158" s="248"/>
      <c r="Y158" s="248"/>
      <c r="Z158" s="253"/>
      <c r="AA158" s="253"/>
      <c r="AB158" s="253"/>
      <c r="AC158" s="253"/>
      <c r="AD158" s="253"/>
      <c r="AE158" s="253"/>
      <c r="AF158" s="254"/>
      <c r="AG158" s="257"/>
      <c r="AH158" s="257"/>
      <c r="AI158" s="257"/>
      <c r="AJ158" s="258"/>
      <c r="AK158" s="259"/>
      <c r="AL158" s="257"/>
      <c r="AM158" s="257"/>
      <c r="AN158" s="257"/>
      <c r="AO158" s="257"/>
      <c r="AP158" s="257"/>
      <c r="AQ158" s="258"/>
      <c r="AR158" s="260"/>
      <c r="AS158" s="257"/>
      <c r="AT158" s="257"/>
      <c r="AU158" s="257"/>
      <c r="AV158" s="257"/>
      <c r="AW158" s="257"/>
      <c r="AX158" s="258"/>
      <c r="AY158" s="260"/>
      <c r="AZ158" s="257"/>
      <c r="BA158" s="257"/>
      <c r="BB158" s="257"/>
      <c r="BC158" s="257"/>
      <c r="BD158" s="258"/>
      <c r="BE158" s="260"/>
      <c r="BF158" s="258"/>
      <c r="BG158" s="260"/>
      <c r="BH158" s="257"/>
      <c r="BI158" s="14"/>
    </row>
    <row r="159" spans="1:61" ht="13.15" x14ac:dyDescent="0.4">
      <c r="A159" s="248"/>
      <c r="B159" s="256"/>
      <c r="C159" s="248"/>
      <c r="D159" s="248"/>
      <c r="E159" s="248"/>
      <c r="F159" s="250"/>
      <c r="G159" s="248"/>
      <c r="H159" s="32"/>
      <c r="I159" s="248"/>
      <c r="J159" s="248"/>
      <c r="K159" s="251"/>
      <c r="L159" s="238"/>
      <c r="M159" s="248"/>
      <c r="N159" s="248"/>
      <c r="O159" s="248"/>
      <c r="P159" s="250"/>
      <c r="Q159" s="252"/>
      <c r="R159" s="248"/>
      <c r="S159" s="248"/>
      <c r="T159" s="248"/>
      <c r="U159" s="248"/>
      <c r="V159" s="248"/>
      <c r="W159" s="248"/>
      <c r="X159" s="248"/>
      <c r="Y159" s="248"/>
      <c r="Z159" s="253"/>
      <c r="AA159" s="253"/>
      <c r="AB159" s="253"/>
      <c r="AC159" s="253"/>
      <c r="AD159" s="253"/>
      <c r="AE159" s="253"/>
      <c r="AF159" s="254"/>
      <c r="AG159" s="257"/>
      <c r="AH159" s="257"/>
      <c r="AI159" s="257"/>
      <c r="AJ159" s="258"/>
      <c r="AK159" s="259"/>
      <c r="AL159" s="257"/>
      <c r="AM159" s="257"/>
      <c r="AN159" s="257"/>
      <c r="AO159" s="257"/>
      <c r="AP159" s="257"/>
      <c r="AQ159" s="258"/>
      <c r="AR159" s="260"/>
      <c r="AS159" s="257"/>
      <c r="AT159" s="257"/>
      <c r="AU159" s="257"/>
      <c r="AV159" s="257"/>
      <c r="AW159" s="257"/>
      <c r="AX159" s="258"/>
      <c r="AY159" s="260"/>
      <c r="AZ159" s="257"/>
      <c r="BA159" s="257"/>
      <c r="BB159" s="257"/>
      <c r="BC159" s="257"/>
      <c r="BD159" s="258"/>
      <c r="BE159" s="260"/>
      <c r="BF159" s="258"/>
      <c r="BG159" s="260"/>
      <c r="BH159" s="257"/>
      <c r="BI159" s="14"/>
    </row>
    <row r="160" spans="1:61" ht="13.15" x14ac:dyDescent="0.4">
      <c r="A160" s="248"/>
      <c r="B160" s="256"/>
      <c r="C160" s="248"/>
      <c r="D160" s="248"/>
      <c r="E160" s="248"/>
      <c r="F160" s="250"/>
      <c r="G160" s="248"/>
      <c r="H160" s="32"/>
      <c r="I160" s="248"/>
      <c r="J160" s="248"/>
      <c r="K160" s="251"/>
      <c r="L160" s="238"/>
      <c r="M160" s="248"/>
      <c r="N160" s="248"/>
      <c r="O160" s="248"/>
      <c r="P160" s="250"/>
      <c r="Q160" s="252"/>
      <c r="R160" s="248"/>
      <c r="S160" s="248"/>
      <c r="T160" s="248"/>
      <c r="U160" s="248"/>
      <c r="V160" s="248"/>
      <c r="W160" s="248"/>
      <c r="X160" s="248"/>
      <c r="Y160" s="248"/>
      <c r="Z160" s="253"/>
      <c r="AA160" s="253"/>
      <c r="AB160" s="253"/>
      <c r="AC160" s="253"/>
      <c r="AD160" s="253"/>
      <c r="AE160" s="253"/>
      <c r="AF160" s="254"/>
      <c r="AG160" s="257"/>
      <c r="AH160" s="257"/>
      <c r="AI160" s="257"/>
      <c r="AJ160" s="258"/>
      <c r="AK160" s="259"/>
      <c r="AL160" s="257"/>
      <c r="AM160" s="257"/>
      <c r="AN160" s="257"/>
      <c r="AO160" s="257"/>
      <c r="AP160" s="257"/>
      <c r="AQ160" s="258"/>
      <c r="AR160" s="260"/>
      <c r="AS160" s="257"/>
      <c r="AT160" s="257"/>
      <c r="AU160" s="257"/>
      <c r="AV160" s="257"/>
      <c r="AW160" s="257"/>
      <c r="AX160" s="258"/>
      <c r="AY160" s="260"/>
      <c r="AZ160" s="257"/>
      <c r="BA160" s="257"/>
      <c r="BB160" s="257"/>
      <c r="BC160" s="257"/>
      <c r="BD160" s="258"/>
      <c r="BE160" s="260"/>
      <c r="BF160" s="258"/>
      <c r="BG160" s="260"/>
      <c r="BH160" s="257"/>
      <c r="BI160" s="14"/>
    </row>
    <row r="161" spans="1:61" ht="13.15" x14ac:dyDescent="0.4">
      <c r="A161" s="248"/>
      <c r="B161" s="256"/>
      <c r="C161" s="248"/>
      <c r="D161" s="248"/>
      <c r="E161" s="248"/>
      <c r="F161" s="250"/>
      <c r="G161" s="248"/>
      <c r="H161" s="32"/>
      <c r="I161" s="248"/>
      <c r="J161" s="248"/>
      <c r="K161" s="251"/>
      <c r="L161" s="238"/>
      <c r="M161" s="248"/>
      <c r="N161" s="248"/>
      <c r="O161" s="248"/>
      <c r="P161" s="250"/>
      <c r="Q161" s="252"/>
      <c r="R161" s="248"/>
      <c r="S161" s="248"/>
      <c r="T161" s="248"/>
      <c r="U161" s="248"/>
      <c r="V161" s="248"/>
      <c r="W161" s="248"/>
      <c r="X161" s="248"/>
      <c r="Y161" s="248"/>
      <c r="Z161" s="253"/>
      <c r="AA161" s="253"/>
      <c r="AB161" s="253"/>
      <c r="AC161" s="253"/>
      <c r="AD161" s="253"/>
      <c r="AE161" s="253"/>
      <c r="AF161" s="254"/>
      <c r="AG161" s="257"/>
      <c r="AH161" s="257"/>
      <c r="AI161" s="257"/>
      <c r="AJ161" s="258"/>
      <c r="AK161" s="259"/>
      <c r="AL161" s="257"/>
      <c r="AM161" s="257"/>
      <c r="AN161" s="257"/>
      <c r="AO161" s="257"/>
      <c r="AP161" s="257"/>
      <c r="AQ161" s="258"/>
      <c r="AR161" s="260"/>
      <c r="AS161" s="257"/>
      <c r="AT161" s="257"/>
      <c r="AU161" s="257"/>
      <c r="AV161" s="257"/>
      <c r="AW161" s="257"/>
      <c r="AX161" s="258"/>
      <c r="AY161" s="260"/>
      <c r="AZ161" s="257"/>
      <c r="BA161" s="257"/>
      <c r="BB161" s="257"/>
      <c r="BC161" s="257"/>
      <c r="BD161" s="258"/>
      <c r="BE161" s="260"/>
      <c r="BF161" s="258"/>
      <c r="BG161" s="260"/>
      <c r="BH161" s="257"/>
      <c r="BI161" s="14"/>
    </row>
    <row r="162" spans="1:61" ht="13.15" x14ac:dyDescent="0.4">
      <c r="A162" s="248"/>
      <c r="B162" s="256"/>
      <c r="C162" s="248"/>
      <c r="D162" s="248"/>
      <c r="E162" s="248"/>
      <c r="F162" s="250"/>
      <c r="G162" s="248"/>
      <c r="H162" s="32"/>
      <c r="I162" s="248"/>
      <c r="J162" s="248"/>
      <c r="K162" s="251"/>
      <c r="L162" s="238"/>
      <c r="M162" s="248"/>
      <c r="N162" s="248"/>
      <c r="O162" s="248"/>
      <c r="P162" s="250"/>
      <c r="Q162" s="252"/>
      <c r="R162" s="248"/>
      <c r="S162" s="248"/>
      <c r="T162" s="248"/>
      <c r="U162" s="248"/>
      <c r="V162" s="248"/>
      <c r="W162" s="248"/>
      <c r="X162" s="248"/>
      <c r="Y162" s="248"/>
      <c r="Z162" s="253"/>
      <c r="AA162" s="253"/>
      <c r="AB162" s="253"/>
      <c r="AC162" s="253"/>
      <c r="AD162" s="253"/>
      <c r="AE162" s="253"/>
      <c r="AF162" s="254"/>
      <c r="AG162" s="257"/>
      <c r="AH162" s="257"/>
      <c r="AI162" s="257"/>
      <c r="AJ162" s="258"/>
      <c r="AK162" s="259"/>
      <c r="AL162" s="257"/>
      <c r="AM162" s="257"/>
      <c r="AN162" s="257"/>
      <c r="AO162" s="257"/>
      <c r="AP162" s="257"/>
      <c r="AQ162" s="258"/>
      <c r="AR162" s="260"/>
      <c r="AS162" s="257"/>
      <c r="AT162" s="257"/>
      <c r="AU162" s="257"/>
      <c r="AV162" s="257"/>
      <c r="AW162" s="257"/>
      <c r="AX162" s="258"/>
      <c r="AY162" s="260"/>
      <c r="AZ162" s="257"/>
      <c r="BA162" s="257"/>
      <c r="BB162" s="257"/>
      <c r="BC162" s="257"/>
      <c r="BD162" s="258"/>
      <c r="BE162" s="260"/>
      <c r="BF162" s="258"/>
      <c r="BG162" s="260"/>
      <c r="BH162" s="257"/>
      <c r="BI162" s="14"/>
    </row>
    <row r="163" spans="1:61" ht="13.15" x14ac:dyDescent="0.4">
      <c r="A163" s="248"/>
      <c r="B163" s="256"/>
      <c r="C163" s="248"/>
      <c r="D163" s="248"/>
      <c r="E163" s="248"/>
      <c r="F163" s="250"/>
      <c r="G163" s="248"/>
      <c r="H163" s="32"/>
      <c r="I163" s="248"/>
      <c r="J163" s="248"/>
      <c r="K163" s="251"/>
      <c r="L163" s="238"/>
      <c r="M163" s="248"/>
      <c r="N163" s="248"/>
      <c r="O163" s="248"/>
      <c r="P163" s="250"/>
      <c r="Q163" s="252"/>
      <c r="R163" s="248"/>
      <c r="S163" s="248"/>
      <c r="T163" s="248"/>
      <c r="U163" s="248"/>
      <c r="V163" s="248"/>
      <c r="W163" s="248"/>
      <c r="X163" s="248"/>
      <c r="Y163" s="248"/>
      <c r="Z163" s="253"/>
      <c r="AA163" s="253"/>
      <c r="AB163" s="253"/>
      <c r="AC163" s="253"/>
      <c r="AD163" s="253"/>
      <c r="AE163" s="253"/>
      <c r="AF163" s="254"/>
      <c r="AG163" s="257"/>
      <c r="AH163" s="257"/>
      <c r="AI163" s="257"/>
      <c r="AJ163" s="258"/>
      <c r="AK163" s="259"/>
      <c r="AL163" s="257"/>
      <c r="AM163" s="257"/>
      <c r="AN163" s="257"/>
      <c r="AO163" s="257"/>
      <c r="AP163" s="257"/>
      <c r="AQ163" s="258"/>
      <c r="AR163" s="260"/>
      <c r="AS163" s="257"/>
      <c r="AT163" s="257"/>
      <c r="AU163" s="257"/>
      <c r="AV163" s="257"/>
      <c r="AW163" s="257"/>
      <c r="AX163" s="258"/>
      <c r="AY163" s="260"/>
      <c r="AZ163" s="257"/>
      <c r="BA163" s="257"/>
      <c r="BB163" s="257"/>
      <c r="BC163" s="257"/>
      <c r="BD163" s="258"/>
      <c r="BE163" s="260"/>
      <c r="BF163" s="258"/>
      <c r="BG163" s="260"/>
      <c r="BH163" s="257"/>
      <c r="BI163" s="14"/>
    </row>
    <row r="164" spans="1:61" ht="13.15" x14ac:dyDescent="0.4">
      <c r="A164" s="248"/>
      <c r="B164" s="256"/>
      <c r="C164" s="248"/>
      <c r="D164" s="248"/>
      <c r="E164" s="248"/>
      <c r="F164" s="250"/>
      <c r="G164" s="248"/>
      <c r="H164" s="32"/>
      <c r="I164" s="248"/>
      <c r="J164" s="248"/>
      <c r="K164" s="251"/>
      <c r="L164" s="238"/>
      <c r="M164" s="248"/>
      <c r="N164" s="248"/>
      <c r="O164" s="248"/>
      <c r="P164" s="250"/>
      <c r="Q164" s="252"/>
      <c r="R164" s="248"/>
      <c r="S164" s="248"/>
      <c r="T164" s="248"/>
      <c r="U164" s="248"/>
      <c r="V164" s="248"/>
      <c r="W164" s="248"/>
      <c r="X164" s="248"/>
      <c r="Y164" s="248"/>
      <c r="Z164" s="253"/>
      <c r="AA164" s="253"/>
      <c r="AB164" s="253"/>
      <c r="AC164" s="253"/>
      <c r="AD164" s="253"/>
      <c r="AE164" s="253"/>
      <c r="AF164" s="254"/>
      <c r="AG164" s="257"/>
      <c r="AH164" s="257"/>
      <c r="AI164" s="257"/>
      <c r="AJ164" s="258"/>
      <c r="AK164" s="259"/>
      <c r="AL164" s="257"/>
      <c r="AM164" s="257"/>
      <c r="AN164" s="257"/>
      <c r="AO164" s="257"/>
      <c r="AP164" s="257"/>
      <c r="AQ164" s="258"/>
      <c r="AR164" s="260"/>
      <c r="AS164" s="257"/>
      <c r="AT164" s="257"/>
      <c r="AU164" s="257"/>
      <c r="AV164" s="257"/>
      <c r="AW164" s="257"/>
      <c r="AX164" s="258"/>
      <c r="AY164" s="260"/>
      <c r="AZ164" s="257"/>
      <c r="BA164" s="257"/>
      <c r="BB164" s="257"/>
      <c r="BC164" s="257"/>
      <c r="BD164" s="258"/>
      <c r="BE164" s="260"/>
      <c r="BF164" s="258"/>
      <c r="BG164" s="260"/>
      <c r="BH164" s="257"/>
      <c r="BI164" s="14"/>
    </row>
    <row r="165" spans="1:61" ht="13.15" x14ac:dyDescent="0.4">
      <c r="A165" s="248"/>
      <c r="B165" s="256"/>
      <c r="C165" s="248"/>
      <c r="D165" s="248"/>
      <c r="E165" s="248"/>
      <c r="F165" s="250"/>
      <c r="G165" s="248"/>
      <c r="H165" s="32"/>
      <c r="I165" s="248"/>
      <c r="J165" s="248"/>
      <c r="K165" s="251"/>
      <c r="L165" s="238"/>
      <c r="M165" s="248"/>
      <c r="N165" s="248"/>
      <c r="O165" s="248"/>
      <c r="P165" s="250"/>
      <c r="Q165" s="252"/>
      <c r="R165" s="248"/>
      <c r="S165" s="248"/>
      <c r="T165" s="248"/>
      <c r="U165" s="248"/>
      <c r="V165" s="248"/>
      <c r="W165" s="248"/>
      <c r="X165" s="248"/>
      <c r="Y165" s="248"/>
      <c r="Z165" s="253"/>
      <c r="AA165" s="253"/>
      <c r="AB165" s="253"/>
      <c r="AC165" s="253"/>
      <c r="AD165" s="253"/>
      <c r="AE165" s="253"/>
      <c r="AF165" s="254"/>
      <c r="AG165" s="257"/>
      <c r="AH165" s="257"/>
      <c r="AI165" s="257"/>
      <c r="AJ165" s="258"/>
      <c r="AK165" s="259"/>
      <c r="AL165" s="257"/>
      <c r="AM165" s="257"/>
      <c r="AN165" s="257"/>
      <c r="AO165" s="257"/>
      <c r="AP165" s="257"/>
      <c r="AQ165" s="258"/>
      <c r="AR165" s="260"/>
      <c r="AS165" s="257"/>
      <c r="AT165" s="257"/>
      <c r="AU165" s="257"/>
      <c r="AV165" s="257"/>
      <c r="AW165" s="257"/>
      <c r="AX165" s="258"/>
      <c r="AY165" s="260"/>
      <c r="AZ165" s="257"/>
      <c r="BA165" s="257"/>
      <c r="BB165" s="257"/>
      <c r="BC165" s="257"/>
      <c r="BD165" s="258"/>
      <c r="BE165" s="260"/>
      <c r="BF165" s="258"/>
      <c r="BG165" s="260"/>
      <c r="BH165" s="257"/>
      <c r="BI165" s="14"/>
    </row>
    <row r="166" spans="1:61" ht="13.15" x14ac:dyDescent="0.4">
      <c r="A166" s="248"/>
      <c r="B166" s="256"/>
      <c r="C166" s="248"/>
      <c r="D166" s="248"/>
      <c r="E166" s="248"/>
      <c r="F166" s="250"/>
      <c r="G166" s="248"/>
      <c r="H166" s="32"/>
      <c r="I166" s="248"/>
      <c r="J166" s="248"/>
      <c r="K166" s="251"/>
      <c r="L166" s="238"/>
      <c r="M166" s="248"/>
      <c r="N166" s="248"/>
      <c r="O166" s="248"/>
      <c r="P166" s="250"/>
      <c r="Q166" s="252"/>
      <c r="R166" s="248"/>
      <c r="S166" s="248"/>
      <c r="T166" s="248"/>
      <c r="U166" s="248"/>
      <c r="V166" s="248"/>
      <c r="W166" s="248"/>
      <c r="X166" s="248"/>
      <c r="Y166" s="248"/>
      <c r="Z166" s="253"/>
      <c r="AA166" s="253"/>
      <c r="AB166" s="253"/>
      <c r="AC166" s="253"/>
      <c r="AD166" s="253"/>
      <c r="AE166" s="253"/>
      <c r="AF166" s="254"/>
      <c r="AG166" s="257"/>
      <c r="AH166" s="257"/>
      <c r="AI166" s="257"/>
      <c r="AJ166" s="258"/>
      <c r="AK166" s="259"/>
      <c r="AL166" s="257"/>
      <c r="AM166" s="257"/>
      <c r="AN166" s="257"/>
      <c r="AO166" s="257"/>
      <c r="AP166" s="257"/>
      <c r="AQ166" s="258"/>
      <c r="AR166" s="260"/>
      <c r="AS166" s="257"/>
      <c r="AT166" s="257"/>
      <c r="AU166" s="257"/>
      <c r="AV166" s="257"/>
      <c r="AW166" s="257"/>
      <c r="AX166" s="258"/>
      <c r="AY166" s="260"/>
      <c r="AZ166" s="257"/>
      <c r="BA166" s="257"/>
      <c r="BB166" s="257"/>
      <c r="BC166" s="257"/>
      <c r="BD166" s="258"/>
      <c r="BE166" s="260"/>
      <c r="BF166" s="258"/>
      <c r="BG166" s="260"/>
      <c r="BH166" s="257"/>
      <c r="BI166" s="14"/>
    </row>
    <row r="167" spans="1:61" ht="13.15" x14ac:dyDescent="0.4">
      <c r="A167" s="248"/>
      <c r="B167" s="256"/>
      <c r="C167" s="248"/>
      <c r="D167" s="248"/>
      <c r="E167" s="248"/>
      <c r="F167" s="250"/>
      <c r="G167" s="248"/>
      <c r="H167" s="32"/>
      <c r="I167" s="248"/>
      <c r="J167" s="248"/>
      <c r="K167" s="251"/>
      <c r="L167" s="238"/>
      <c r="M167" s="248"/>
      <c r="N167" s="248"/>
      <c r="O167" s="248"/>
      <c r="P167" s="250"/>
      <c r="Q167" s="252"/>
      <c r="R167" s="248"/>
      <c r="S167" s="248"/>
      <c r="T167" s="248"/>
      <c r="U167" s="248"/>
      <c r="V167" s="248"/>
      <c r="W167" s="248"/>
      <c r="X167" s="248"/>
      <c r="Y167" s="248"/>
      <c r="Z167" s="253"/>
      <c r="AA167" s="253"/>
      <c r="AB167" s="253"/>
      <c r="AC167" s="253"/>
      <c r="AD167" s="253"/>
      <c r="AE167" s="253"/>
      <c r="AF167" s="254"/>
      <c r="AG167" s="257"/>
      <c r="AH167" s="257"/>
      <c r="AI167" s="257"/>
      <c r="AJ167" s="258"/>
      <c r="AK167" s="259"/>
      <c r="AL167" s="257"/>
      <c r="AM167" s="257"/>
      <c r="AN167" s="257"/>
      <c r="AO167" s="257"/>
      <c r="AP167" s="257"/>
      <c r="AQ167" s="258"/>
      <c r="AR167" s="260"/>
      <c r="AS167" s="257"/>
      <c r="AT167" s="257"/>
      <c r="AU167" s="257"/>
      <c r="AV167" s="257"/>
      <c r="AW167" s="257"/>
      <c r="AX167" s="258"/>
      <c r="AY167" s="260"/>
      <c r="AZ167" s="257"/>
      <c r="BA167" s="257"/>
      <c r="BB167" s="257"/>
      <c r="BC167" s="257"/>
      <c r="BD167" s="258"/>
      <c r="BE167" s="260"/>
      <c r="BF167" s="258"/>
      <c r="BG167" s="260"/>
      <c r="BH167" s="257"/>
      <c r="BI167" s="14"/>
    </row>
    <row r="168" spans="1:61" ht="13.15" x14ac:dyDescent="0.4">
      <c r="A168" s="248"/>
      <c r="B168" s="256"/>
      <c r="C168" s="248"/>
      <c r="D168" s="248"/>
      <c r="E168" s="248"/>
      <c r="F168" s="250"/>
      <c r="G168" s="248"/>
      <c r="H168" s="32"/>
      <c r="I168" s="248"/>
      <c r="J168" s="248"/>
      <c r="K168" s="251"/>
      <c r="L168" s="238"/>
      <c r="M168" s="248"/>
      <c r="N168" s="248"/>
      <c r="O168" s="248"/>
      <c r="P168" s="250"/>
      <c r="Q168" s="252"/>
      <c r="R168" s="248"/>
      <c r="S168" s="248"/>
      <c r="T168" s="248"/>
      <c r="U168" s="248"/>
      <c r="V168" s="248"/>
      <c r="W168" s="248"/>
      <c r="X168" s="248"/>
      <c r="Y168" s="248"/>
      <c r="Z168" s="253"/>
      <c r="AA168" s="253"/>
      <c r="AB168" s="253"/>
      <c r="AC168" s="253"/>
      <c r="AD168" s="253"/>
      <c r="AE168" s="253"/>
      <c r="AF168" s="254"/>
      <c r="AG168" s="257"/>
      <c r="AH168" s="257"/>
      <c r="AI168" s="257"/>
      <c r="AJ168" s="258"/>
      <c r="AK168" s="259"/>
      <c r="AL168" s="257"/>
      <c r="AM168" s="257"/>
      <c r="AN168" s="257"/>
      <c r="AO168" s="257"/>
      <c r="AP168" s="257"/>
      <c r="AQ168" s="258"/>
      <c r="AR168" s="260"/>
      <c r="AS168" s="257"/>
      <c r="AT168" s="257"/>
      <c r="AU168" s="257"/>
      <c r="AV168" s="257"/>
      <c r="AW168" s="257"/>
      <c r="AX168" s="258"/>
      <c r="AY168" s="260"/>
      <c r="AZ168" s="257"/>
      <c r="BA168" s="257"/>
      <c r="BB168" s="257"/>
      <c r="BC168" s="257"/>
      <c r="BD168" s="258"/>
      <c r="BE168" s="260"/>
      <c r="BF168" s="258"/>
      <c r="BG168" s="260"/>
      <c r="BH168" s="257"/>
      <c r="BI168" s="14"/>
    </row>
    <row r="169" spans="1:61" ht="13.15" x14ac:dyDescent="0.4">
      <c r="A169" s="248"/>
      <c r="B169" s="256"/>
      <c r="C169" s="248"/>
      <c r="D169" s="248"/>
      <c r="E169" s="248"/>
      <c r="F169" s="250"/>
      <c r="G169" s="248"/>
      <c r="H169" s="32"/>
      <c r="I169" s="248"/>
      <c r="J169" s="248"/>
      <c r="K169" s="251"/>
      <c r="L169" s="238"/>
      <c r="M169" s="248"/>
      <c r="N169" s="248"/>
      <c r="O169" s="248"/>
      <c r="P169" s="250"/>
      <c r="Q169" s="252"/>
      <c r="R169" s="248"/>
      <c r="S169" s="248"/>
      <c r="T169" s="248"/>
      <c r="U169" s="248"/>
      <c r="V169" s="248"/>
      <c r="W169" s="248"/>
      <c r="X169" s="248"/>
      <c r="Y169" s="248"/>
      <c r="Z169" s="253"/>
      <c r="AA169" s="253"/>
      <c r="AB169" s="253"/>
      <c r="AC169" s="253"/>
      <c r="AD169" s="253"/>
      <c r="AE169" s="253"/>
      <c r="AF169" s="254"/>
      <c r="AG169" s="257"/>
      <c r="AH169" s="257"/>
      <c r="AI169" s="257"/>
      <c r="AJ169" s="258"/>
      <c r="AK169" s="259"/>
      <c r="AL169" s="257"/>
      <c r="AM169" s="257"/>
      <c r="AN169" s="257"/>
      <c r="AO169" s="257"/>
      <c r="AP169" s="257"/>
      <c r="AQ169" s="258"/>
      <c r="AR169" s="260"/>
      <c r="AS169" s="257"/>
      <c r="AT169" s="257"/>
      <c r="AU169" s="257"/>
      <c r="AV169" s="257"/>
      <c r="AW169" s="257"/>
      <c r="AX169" s="258"/>
      <c r="AY169" s="260"/>
      <c r="AZ169" s="257"/>
      <c r="BA169" s="257"/>
      <c r="BB169" s="257"/>
      <c r="BC169" s="257"/>
      <c r="BD169" s="258"/>
      <c r="BE169" s="260"/>
      <c r="BF169" s="258"/>
      <c r="BG169" s="260"/>
      <c r="BH169" s="257"/>
      <c r="BI169" s="14"/>
    </row>
    <row r="170" spans="1:61" ht="13.15" x14ac:dyDescent="0.4">
      <c r="A170" s="248"/>
      <c r="B170" s="256"/>
      <c r="C170" s="248"/>
      <c r="D170" s="248"/>
      <c r="E170" s="248"/>
      <c r="F170" s="250"/>
      <c r="G170" s="248"/>
      <c r="H170" s="32"/>
      <c r="I170" s="248"/>
      <c r="J170" s="248"/>
      <c r="K170" s="251"/>
      <c r="L170" s="238"/>
      <c r="M170" s="248"/>
      <c r="N170" s="248"/>
      <c r="O170" s="248"/>
      <c r="P170" s="250"/>
      <c r="Q170" s="252"/>
      <c r="R170" s="248"/>
      <c r="S170" s="248"/>
      <c r="T170" s="248"/>
      <c r="U170" s="248"/>
      <c r="V170" s="248"/>
      <c r="W170" s="248"/>
      <c r="X170" s="248"/>
      <c r="Y170" s="248"/>
      <c r="Z170" s="253"/>
      <c r="AA170" s="253"/>
      <c r="AB170" s="253"/>
      <c r="AC170" s="253"/>
      <c r="AD170" s="253"/>
      <c r="AE170" s="253"/>
      <c r="AF170" s="254"/>
      <c r="AG170" s="257"/>
      <c r="AH170" s="257"/>
      <c r="AI170" s="257"/>
      <c r="AJ170" s="258"/>
      <c r="AK170" s="259"/>
      <c r="AL170" s="257"/>
      <c r="AM170" s="257"/>
      <c r="AN170" s="257"/>
      <c r="AO170" s="257"/>
      <c r="AP170" s="257"/>
      <c r="AQ170" s="258"/>
      <c r="AR170" s="260"/>
      <c r="AS170" s="257"/>
      <c r="AT170" s="257"/>
      <c r="AU170" s="257"/>
      <c r="AV170" s="257"/>
      <c r="AW170" s="257"/>
      <c r="AX170" s="258"/>
      <c r="AY170" s="260"/>
      <c r="AZ170" s="257"/>
      <c r="BA170" s="257"/>
      <c r="BB170" s="257"/>
      <c r="BC170" s="257"/>
      <c r="BD170" s="258"/>
      <c r="BE170" s="260"/>
      <c r="BF170" s="258"/>
      <c r="BG170" s="260"/>
      <c r="BH170" s="257"/>
      <c r="BI170" s="14"/>
    </row>
    <row r="171" spans="1:61" ht="13.15" x14ac:dyDescent="0.4">
      <c r="A171" s="248"/>
      <c r="B171" s="256"/>
      <c r="C171" s="248"/>
      <c r="D171" s="248"/>
      <c r="E171" s="248"/>
      <c r="F171" s="250"/>
      <c r="G171" s="248"/>
      <c r="H171" s="32"/>
      <c r="I171" s="248"/>
      <c r="J171" s="248"/>
      <c r="K171" s="251"/>
      <c r="L171" s="238"/>
      <c r="M171" s="248"/>
      <c r="N171" s="248"/>
      <c r="O171" s="248"/>
      <c r="P171" s="250"/>
      <c r="Q171" s="252"/>
      <c r="R171" s="248"/>
      <c r="S171" s="248"/>
      <c r="T171" s="248"/>
      <c r="U171" s="248"/>
      <c r="V171" s="248"/>
      <c r="W171" s="248"/>
      <c r="X171" s="248"/>
      <c r="Y171" s="248"/>
      <c r="Z171" s="253"/>
      <c r="AA171" s="253"/>
      <c r="AB171" s="253"/>
      <c r="AC171" s="253"/>
      <c r="AD171" s="253"/>
      <c r="AE171" s="253"/>
      <c r="AF171" s="254"/>
      <c r="AG171" s="257"/>
      <c r="AH171" s="257"/>
      <c r="AI171" s="257"/>
      <c r="AJ171" s="258"/>
      <c r="AK171" s="259"/>
      <c r="AL171" s="257"/>
      <c r="AM171" s="257"/>
      <c r="AN171" s="257"/>
      <c r="AO171" s="257"/>
      <c r="AP171" s="257"/>
      <c r="AQ171" s="258"/>
      <c r="AR171" s="260"/>
      <c r="AS171" s="257"/>
      <c r="AT171" s="257"/>
      <c r="AU171" s="257"/>
      <c r="AV171" s="257"/>
      <c r="AW171" s="257"/>
      <c r="AX171" s="258"/>
      <c r="AY171" s="260"/>
      <c r="AZ171" s="257"/>
      <c r="BA171" s="257"/>
      <c r="BB171" s="257"/>
      <c r="BC171" s="257"/>
      <c r="BD171" s="258"/>
      <c r="BE171" s="260"/>
      <c r="BF171" s="258"/>
      <c r="BG171" s="260"/>
      <c r="BH171" s="257"/>
      <c r="BI171" s="14"/>
    </row>
    <row r="172" spans="1:61" ht="13.15" x14ac:dyDescent="0.4">
      <c r="A172" s="248"/>
      <c r="B172" s="256"/>
      <c r="C172" s="248"/>
      <c r="D172" s="248"/>
      <c r="E172" s="248"/>
      <c r="F172" s="250"/>
      <c r="G172" s="248"/>
      <c r="H172" s="32"/>
      <c r="I172" s="248"/>
      <c r="J172" s="248"/>
      <c r="K172" s="251"/>
      <c r="L172" s="238"/>
      <c r="M172" s="248"/>
      <c r="N172" s="248"/>
      <c r="O172" s="248"/>
      <c r="P172" s="250"/>
      <c r="Q172" s="252"/>
      <c r="R172" s="248"/>
      <c r="S172" s="248"/>
      <c r="T172" s="248"/>
      <c r="U172" s="248"/>
      <c r="V172" s="248"/>
      <c r="W172" s="248"/>
      <c r="X172" s="248"/>
      <c r="Y172" s="248"/>
      <c r="Z172" s="253"/>
      <c r="AA172" s="253"/>
      <c r="AB172" s="253"/>
      <c r="AC172" s="253"/>
      <c r="AD172" s="253"/>
      <c r="AE172" s="253"/>
      <c r="AF172" s="254"/>
      <c r="AG172" s="257"/>
      <c r="AH172" s="257"/>
      <c r="AI172" s="257"/>
      <c r="AJ172" s="258"/>
      <c r="AK172" s="259"/>
      <c r="AL172" s="257"/>
      <c r="AM172" s="257"/>
      <c r="AN172" s="257"/>
      <c r="AO172" s="257"/>
      <c r="AP172" s="257"/>
      <c r="AQ172" s="258"/>
      <c r="AR172" s="260"/>
      <c r="AS172" s="257"/>
      <c r="AT172" s="257"/>
      <c r="AU172" s="257"/>
      <c r="AV172" s="257"/>
      <c r="AW172" s="257"/>
      <c r="AX172" s="258"/>
      <c r="AY172" s="260"/>
      <c r="AZ172" s="257"/>
      <c r="BA172" s="257"/>
      <c r="BB172" s="257"/>
      <c r="BC172" s="257"/>
      <c r="BD172" s="258"/>
      <c r="BE172" s="260"/>
      <c r="BF172" s="258"/>
      <c r="BG172" s="260"/>
      <c r="BH172" s="257"/>
      <c r="BI172" s="14"/>
    </row>
    <row r="173" spans="1:61" ht="13.15" x14ac:dyDescent="0.4">
      <c r="A173" s="248"/>
      <c r="B173" s="256"/>
      <c r="C173" s="248"/>
      <c r="D173" s="248"/>
      <c r="E173" s="248"/>
      <c r="F173" s="250"/>
      <c r="G173" s="248"/>
      <c r="H173" s="32"/>
      <c r="I173" s="248"/>
      <c r="J173" s="248"/>
      <c r="K173" s="251"/>
      <c r="L173" s="238"/>
      <c r="M173" s="248"/>
      <c r="N173" s="248"/>
      <c r="O173" s="248"/>
      <c r="P173" s="250"/>
      <c r="Q173" s="252"/>
      <c r="R173" s="248"/>
      <c r="S173" s="248"/>
      <c r="T173" s="248"/>
      <c r="U173" s="248"/>
      <c r="V173" s="248"/>
      <c r="W173" s="248"/>
      <c r="X173" s="248"/>
      <c r="Y173" s="248"/>
      <c r="Z173" s="253"/>
      <c r="AA173" s="253"/>
      <c r="AB173" s="253"/>
      <c r="AC173" s="253"/>
      <c r="AD173" s="253"/>
      <c r="AE173" s="253"/>
      <c r="AF173" s="254"/>
      <c r="AG173" s="257"/>
      <c r="AH173" s="257"/>
      <c r="AI173" s="257"/>
      <c r="AJ173" s="258"/>
      <c r="AK173" s="259"/>
      <c r="AL173" s="257"/>
      <c r="AM173" s="257"/>
      <c r="AN173" s="257"/>
      <c r="AO173" s="257"/>
      <c r="AP173" s="257"/>
      <c r="AQ173" s="258"/>
      <c r="AR173" s="260"/>
      <c r="AS173" s="257"/>
      <c r="AT173" s="257"/>
      <c r="AU173" s="257"/>
      <c r="AV173" s="257"/>
      <c r="AW173" s="257"/>
      <c r="AX173" s="258"/>
      <c r="AY173" s="260"/>
      <c r="AZ173" s="257"/>
      <c r="BA173" s="257"/>
      <c r="BB173" s="257"/>
      <c r="BC173" s="257"/>
      <c r="BD173" s="258"/>
      <c r="BE173" s="260"/>
      <c r="BF173" s="258"/>
      <c r="BG173" s="260"/>
      <c r="BH173" s="257"/>
      <c r="BI173" s="14"/>
    </row>
    <row r="174" spans="1:61" ht="13.15" x14ac:dyDescent="0.4">
      <c r="A174" s="248"/>
      <c r="B174" s="256"/>
      <c r="C174" s="248"/>
      <c r="D174" s="248"/>
      <c r="E174" s="248"/>
      <c r="F174" s="250"/>
      <c r="G174" s="248"/>
      <c r="H174" s="32"/>
      <c r="I174" s="248"/>
      <c r="J174" s="248"/>
      <c r="K174" s="251"/>
      <c r="L174" s="238"/>
      <c r="M174" s="248"/>
      <c r="N174" s="248"/>
      <c r="O174" s="248"/>
      <c r="P174" s="250"/>
      <c r="Q174" s="252"/>
      <c r="R174" s="248"/>
      <c r="S174" s="248"/>
      <c r="T174" s="248"/>
      <c r="U174" s="248"/>
      <c r="V174" s="248"/>
      <c r="W174" s="248"/>
      <c r="X174" s="248"/>
      <c r="Y174" s="248"/>
      <c r="Z174" s="253"/>
      <c r="AA174" s="253"/>
      <c r="AB174" s="253"/>
      <c r="AC174" s="253"/>
      <c r="AD174" s="253"/>
      <c r="AE174" s="253"/>
      <c r="AF174" s="254"/>
      <c r="AG174" s="257"/>
      <c r="AH174" s="257"/>
      <c r="AI174" s="257"/>
      <c r="AJ174" s="258"/>
      <c r="AK174" s="259"/>
      <c r="AL174" s="257"/>
      <c r="AM174" s="257"/>
      <c r="AN174" s="257"/>
      <c r="AO174" s="257"/>
      <c r="AP174" s="257"/>
      <c r="AQ174" s="258"/>
      <c r="AR174" s="260"/>
      <c r="AS174" s="257"/>
      <c r="AT174" s="257"/>
      <c r="AU174" s="257"/>
      <c r="AV174" s="257"/>
      <c r="AW174" s="257"/>
      <c r="AX174" s="258"/>
      <c r="AY174" s="260"/>
      <c r="AZ174" s="257"/>
      <c r="BA174" s="257"/>
      <c r="BB174" s="257"/>
      <c r="BC174" s="257"/>
      <c r="BD174" s="258"/>
      <c r="BE174" s="260"/>
      <c r="BF174" s="258"/>
      <c r="BG174" s="260"/>
      <c r="BH174" s="257"/>
      <c r="BI174" s="14"/>
    </row>
    <row r="175" spans="1:61" ht="13.15" x14ac:dyDescent="0.4">
      <c r="A175" s="248"/>
      <c r="B175" s="256"/>
      <c r="C175" s="248"/>
      <c r="D175" s="248"/>
      <c r="E175" s="248"/>
      <c r="F175" s="250"/>
      <c r="G175" s="248"/>
      <c r="H175" s="32"/>
      <c r="I175" s="248"/>
      <c r="J175" s="248"/>
      <c r="K175" s="251"/>
      <c r="L175" s="238"/>
      <c r="M175" s="248"/>
      <c r="N175" s="248"/>
      <c r="O175" s="248"/>
      <c r="P175" s="250"/>
      <c r="Q175" s="252"/>
      <c r="R175" s="248"/>
      <c r="S175" s="248"/>
      <c r="T175" s="248"/>
      <c r="U175" s="248"/>
      <c r="V175" s="248"/>
      <c r="W175" s="248"/>
      <c r="X175" s="248"/>
      <c r="Y175" s="248"/>
      <c r="Z175" s="253"/>
      <c r="AA175" s="253"/>
      <c r="AB175" s="253"/>
      <c r="AC175" s="253"/>
      <c r="AD175" s="253"/>
      <c r="AE175" s="253"/>
      <c r="AF175" s="254"/>
      <c r="AG175" s="257"/>
      <c r="AH175" s="257"/>
      <c r="AI175" s="257"/>
      <c r="AJ175" s="258"/>
      <c r="AK175" s="259"/>
      <c r="AL175" s="257"/>
      <c r="AM175" s="257"/>
      <c r="AN175" s="257"/>
      <c r="AO175" s="257"/>
      <c r="AP175" s="257"/>
      <c r="AQ175" s="258"/>
      <c r="AR175" s="260"/>
      <c r="AS175" s="257"/>
      <c r="AT175" s="257"/>
      <c r="AU175" s="257"/>
      <c r="AV175" s="257"/>
      <c r="AW175" s="257"/>
      <c r="AX175" s="258"/>
      <c r="AY175" s="260"/>
      <c r="AZ175" s="257"/>
      <c r="BA175" s="257"/>
      <c r="BB175" s="257"/>
      <c r="BC175" s="257"/>
      <c r="BD175" s="258"/>
      <c r="BE175" s="260"/>
      <c r="BF175" s="258"/>
      <c r="BG175" s="260"/>
      <c r="BH175" s="257"/>
      <c r="BI175" s="14"/>
    </row>
    <row r="176" spans="1:61" ht="13.15" x14ac:dyDescent="0.4">
      <c r="A176" s="248"/>
      <c r="B176" s="256"/>
      <c r="C176" s="248"/>
      <c r="D176" s="248"/>
      <c r="E176" s="248"/>
      <c r="F176" s="250"/>
      <c r="G176" s="248"/>
      <c r="H176" s="32"/>
      <c r="I176" s="248"/>
      <c r="J176" s="248"/>
      <c r="K176" s="251"/>
      <c r="L176" s="238"/>
      <c r="M176" s="248"/>
      <c r="N176" s="248"/>
      <c r="O176" s="248"/>
      <c r="P176" s="250"/>
      <c r="Q176" s="252"/>
      <c r="R176" s="248"/>
      <c r="S176" s="248"/>
      <c r="T176" s="248"/>
      <c r="U176" s="248"/>
      <c r="V176" s="248"/>
      <c r="W176" s="248"/>
      <c r="X176" s="248"/>
      <c r="Y176" s="248"/>
      <c r="Z176" s="253"/>
      <c r="AA176" s="253"/>
      <c r="AB176" s="253"/>
      <c r="AC176" s="253"/>
      <c r="AD176" s="253"/>
      <c r="AE176" s="253"/>
      <c r="AF176" s="254"/>
      <c r="AG176" s="257"/>
      <c r="AH176" s="257"/>
      <c r="AI176" s="257"/>
      <c r="AJ176" s="258"/>
      <c r="AK176" s="259"/>
      <c r="AL176" s="257"/>
      <c r="AM176" s="257"/>
      <c r="AN176" s="257"/>
      <c r="AO176" s="257"/>
      <c r="AP176" s="257"/>
      <c r="AQ176" s="258"/>
      <c r="AR176" s="260"/>
      <c r="AS176" s="257"/>
      <c r="AT176" s="257"/>
      <c r="AU176" s="257"/>
      <c r="AV176" s="257"/>
      <c r="AW176" s="257"/>
      <c r="AX176" s="258"/>
      <c r="AY176" s="260"/>
      <c r="AZ176" s="257"/>
      <c r="BA176" s="257"/>
      <c r="BB176" s="257"/>
      <c r="BC176" s="257"/>
      <c r="BD176" s="258"/>
      <c r="BE176" s="260"/>
      <c r="BF176" s="258"/>
      <c r="BG176" s="260"/>
      <c r="BH176" s="257"/>
      <c r="BI176" s="14"/>
    </row>
    <row r="177" spans="1:61" ht="13.15" x14ac:dyDescent="0.4">
      <c r="A177" s="248"/>
      <c r="B177" s="256"/>
      <c r="C177" s="248"/>
      <c r="D177" s="248"/>
      <c r="E177" s="248"/>
      <c r="F177" s="250"/>
      <c r="G177" s="248"/>
      <c r="H177" s="32"/>
      <c r="I177" s="248"/>
      <c r="J177" s="248"/>
      <c r="K177" s="251"/>
      <c r="L177" s="238"/>
      <c r="M177" s="248"/>
      <c r="N177" s="248"/>
      <c r="O177" s="248"/>
      <c r="P177" s="250"/>
      <c r="Q177" s="252"/>
      <c r="R177" s="248"/>
      <c r="S177" s="248"/>
      <c r="T177" s="248"/>
      <c r="U177" s="248"/>
      <c r="V177" s="248"/>
      <c r="W177" s="248"/>
      <c r="X177" s="248"/>
      <c r="Y177" s="248"/>
      <c r="Z177" s="253"/>
      <c r="AA177" s="253"/>
      <c r="AB177" s="253"/>
      <c r="AC177" s="253"/>
      <c r="AD177" s="253"/>
      <c r="AE177" s="253"/>
      <c r="AF177" s="254"/>
      <c r="AG177" s="257"/>
      <c r="AH177" s="257"/>
      <c r="AI177" s="257"/>
      <c r="AJ177" s="258"/>
      <c r="AK177" s="259"/>
      <c r="AL177" s="257"/>
      <c r="AM177" s="257"/>
      <c r="AN177" s="257"/>
      <c r="AO177" s="257"/>
      <c r="AP177" s="257"/>
      <c r="AQ177" s="258"/>
      <c r="AR177" s="260"/>
      <c r="AS177" s="257"/>
      <c r="AT177" s="257"/>
      <c r="AU177" s="257"/>
      <c r="AV177" s="257"/>
      <c r="AW177" s="257"/>
      <c r="AX177" s="258"/>
      <c r="AY177" s="260"/>
      <c r="AZ177" s="257"/>
      <c r="BA177" s="257"/>
      <c r="BB177" s="257"/>
      <c r="BC177" s="257"/>
      <c r="BD177" s="258"/>
      <c r="BE177" s="260"/>
      <c r="BF177" s="258"/>
      <c r="BG177" s="260"/>
      <c r="BH177" s="257"/>
      <c r="BI177" s="14"/>
    </row>
    <row r="178" spans="1:61" ht="13.15" x14ac:dyDescent="0.4">
      <c r="A178" s="248"/>
      <c r="B178" s="256"/>
      <c r="C178" s="248"/>
      <c r="D178" s="248"/>
      <c r="E178" s="248"/>
      <c r="F178" s="250"/>
      <c r="G178" s="248"/>
      <c r="H178" s="32"/>
      <c r="I178" s="248"/>
      <c r="J178" s="248"/>
      <c r="K178" s="251"/>
      <c r="L178" s="238"/>
      <c r="M178" s="248"/>
      <c r="N178" s="248"/>
      <c r="O178" s="248"/>
      <c r="P178" s="250"/>
      <c r="Q178" s="252"/>
      <c r="R178" s="248"/>
      <c r="S178" s="248"/>
      <c r="T178" s="248"/>
      <c r="U178" s="248"/>
      <c r="V178" s="248"/>
      <c r="W178" s="248"/>
      <c r="X178" s="248"/>
      <c r="Y178" s="248"/>
      <c r="Z178" s="253"/>
      <c r="AA178" s="253"/>
      <c r="AB178" s="253"/>
      <c r="AC178" s="253"/>
      <c r="AD178" s="253"/>
      <c r="AE178" s="253"/>
      <c r="AF178" s="254"/>
      <c r="AG178" s="257"/>
      <c r="AH178" s="257"/>
      <c r="AI178" s="257"/>
      <c r="AJ178" s="258"/>
      <c r="AK178" s="259"/>
      <c r="AL178" s="257"/>
      <c r="AM178" s="257"/>
      <c r="AN178" s="257"/>
      <c r="AO178" s="257"/>
      <c r="AP178" s="257"/>
      <c r="AQ178" s="258"/>
      <c r="AR178" s="260"/>
      <c r="AS178" s="257"/>
      <c r="AT178" s="257"/>
      <c r="AU178" s="257"/>
      <c r="AV178" s="257"/>
      <c r="AW178" s="257"/>
      <c r="AX178" s="258"/>
      <c r="AY178" s="260"/>
      <c r="AZ178" s="257"/>
      <c r="BA178" s="257"/>
      <c r="BB178" s="257"/>
      <c r="BC178" s="257"/>
      <c r="BD178" s="258"/>
      <c r="BE178" s="260"/>
      <c r="BF178" s="258"/>
      <c r="BG178" s="260"/>
      <c r="BH178" s="257"/>
      <c r="BI178" s="14"/>
    </row>
    <row r="179" spans="1:61" ht="13.15" x14ac:dyDescent="0.4">
      <c r="A179" s="248"/>
      <c r="B179" s="256"/>
      <c r="C179" s="248"/>
      <c r="D179" s="248"/>
      <c r="E179" s="248"/>
      <c r="F179" s="250"/>
      <c r="G179" s="248"/>
      <c r="H179" s="32"/>
      <c r="I179" s="248"/>
      <c r="J179" s="248"/>
      <c r="K179" s="251"/>
      <c r="L179" s="238"/>
      <c r="M179" s="248"/>
      <c r="N179" s="248"/>
      <c r="O179" s="248"/>
      <c r="P179" s="250"/>
      <c r="Q179" s="252"/>
      <c r="R179" s="248"/>
      <c r="S179" s="248"/>
      <c r="T179" s="248"/>
      <c r="U179" s="248"/>
      <c r="V179" s="248"/>
      <c r="W179" s="248"/>
      <c r="X179" s="248"/>
      <c r="Y179" s="248"/>
      <c r="Z179" s="253"/>
      <c r="AA179" s="253"/>
      <c r="AB179" s="253"/>
      <c r="AC179" s="253"/>
      <c r="AD179" s="253"/>
      <c r="AE179" s="253"/>
      <c r="AF179" s="254"/>
      <c r="AG179" s="257"/>
      <c r="AH179" s="257"/>
      <c r="AI179" s="257"/>
      <c r="AJ179" s="258"/>
      <c r="AK179" s="259"/>
      <c r="AL179" s="257"/>
      <c r="AM179" s="257"/>
      <c r="AN179" s="257"/>
      <c r="AO179" s="257"/>
      <c r="AP179" s="257"/>
      <c r="AQ179" s="258"/>
      <c r="AR179" s="260"/>
      <c r="AS179" s="257"/>
      <c r="AT179" s="257"/>
      <c r="AU179" s="257"/>
      <c r="AV179" s="257"/>
      <c r="AW179" s="257"/>
      <c r="AX179" s="258"/>
      <c r="AY179" s="260"/>
      <c r="AZ179" s="257"/>
      <c r="BA179" s="257"/>
      <c r="BB179" s="257"/>
      <c r="BC179" s="257"/>
      <c r="BD179" s="258"/>
      <c r="BE179" s="260"/>
      <c r="BF179" s="258"/>
      <c r="BG179" s="260"/>
      <c r="BH179" s="257"/>
      <c r="BI179" s="14"/>
    </row>
    <row r="180" spans="1:61" ht="13.15" x14ac:dyDescent="0.4">
      <c r="A180" s="248"/>
      <c r="B180" s="256"/>
      <c r="C180" s="248"/>
      <c r="D180" s="248"/>
      <c r="E180" s="248"/>
      <c r="F180" s="250"/>
      <c r="G180" s="248"/>
      <c r="H180" s="32"/>
      <c r="I180" s="248"/>
      <c r="J180" s="248"/>
      <c r="K180" s="251"/>
      <c r="L180" s="238"/>
      <c r="M180" s="248"/>
      <c r="N180" s="248"/>
      <c r="O180" s="248"/>
      <c r="P180" s="250"/>
      <c r="Q180" s="252"/>
      <c r="R180" s="248"/>
      <c r="S180" s="248"/>
      <c r="T180" s="248"/>
      <c r="U180" s="248"/>
      <c r="V180" s="248"/>
      <c r="W180" s="248"/>
      <c r="X180" s="248"/>
      <c r="Y180" s="248"/>
      <c r="Z180" s="253"/>
      <c r="AA180" s="253"/>
      <c r="AB180" s="253"/>
      <c r="AC180" s="253"/>
      <c r="AD180" s="253"/>
      <c r="AE180" s="253"/>
      <c r="AF180" s="254"/>
      <c r="AG180" s="257"/>
      <c r="AH180" s="257"/>
      <c r="AI180" s="257"/>
      <c r="AJ180" s="258"/>
      <c r="AK180" s="259"/>
      <c r="AL180" s="257"/>
      <c r="AM180" s="257"/>
      <c r="AN180" s="257"/>
      <c r="AO180" s="257"/>
      <c r="AP180" s="257"/>
      <c r="AQ180" s="258"/>
      <c r="AR180" s="260"/>
      <c r="AS180" s="257"/>
      <c r="AT180" s="257"/>
      <c r="AU180" s="257"/>
      <c r="AV180" s="257"/>
      <c r="AW180" s="257"/>
      <c r="AX180" s="258"/>
      <c r="AY180" s="260"/>
      <c r="AZ180" s="257"/>
      <c r="BA180" s="257"/>
      <c r="BB180" s="257"/>
      <c r="BC180" s="257"/>
      <c r="BD180" s="258"/>
      <c r="BE180" s="260"/>
      <c r="BF180" s="258"/>
      <c r="BG180" s="260"/>
      <c r="BH180" s="257"/>
      <c r="BI180" s="14"/>
    </row>
    <row r="181" spans="1:61" ht="13.15" x14ac:dyDescent="0.4">
      <c r="A181" s="248"/>
      <c r="B181" s="256"/>
      <c r="C181" s="248"/>
      <c r="D181" s="248"/>
      <c r="E181" s="248"/>
      <c r="F181" s="250"/>
      <c r="G181" s="248"/>
      <c r="H181" s="32"/>
      <c r="I181" s="248"/>
      <c r="J181" s="248"/>
      <c r="K181" s="251"/>
      <c r="L181" s="238"/>
      <c r="M181" s="248"/>
      <c r="N181" s="248"/>
      <c r="O181" s="248"/>
      <c r="P181" s="250"/>
      <c r="Q181" s="252"/>
      <c r="R181" s="248"/>
      <c r="S181" s="248"/>
      <c r="T181" s="248"/>
      <c r="U181" s="248"/>
      <c r="V181" s="248"/>
      <c r="W181" s="248"/>
      <c r="X181" s="248"/>
      <c r="Y181" s="248"/>
      <c r="Z181" s="253"/>
      <c r="AA181" s="253"/>
      <c r="AB181" s="253"/>
      <c r="AC181" s="253"/>
      <c r="AD181" s="253"/>
      <c r="AE181" s="253"/>
      <c r="AF181" s="254"/>
      <c r="AG181" s="257"/>
      <c r="AH181" s="257"/>
      <c r="AI181" s="257"/>
      <c r="AJ181" s="258"/>
      <c r="AK181" s="259"/>
      <c r="AL181" s="257"/>
      <c r="AM181" s="257"/>
      <c r="AN181" s="257"/>
      <c r="AO181" s="257"/>
      <c r="AP181" s="257"/>
      <c r="AQ181" s="258"/>
      <c r="AR181" s="260"/>
      <c r="AS181" s="257"/>
      <c r="AT181" s="257"/>
      <c r="AU181" s="257"/>
      <c r="AV181" s="257"/>
      <c r="AW181" s="257"/>
      <c r="AX181" s="258"/>
      <c r="AY181" s="260"/>
      <c r="AZ181" s="257"/>
      <c r="BA181" s="257"/>
      <c r="BB181" s="257"/>
      <c r="BC181" s="257"/>
      <c r="BD181" s="258"/>
      <c r="BE181" s="260"/>
      <c r="BF181" s="258"/>
      <c r="BG181" s="260"/>
      <c r="BH181" s="257"/>
      <c r="BI181" s="14"/>
    </row>
    <row r="182" spans="1:61" ht="13.15" x14ac:dyDescent="0.4">
      <c r="A182" s="248"/>
      <c r="B182" s="256"/>
      <c r="C182" s="248"/>
      <c r="D182" s="248"/>
      <c r="E182" s="248"/>
      <c r="F182" s="250"/>
      <c r="G182" s="248"/>
      <c r="H182" s="32"/>
      <c r="I182" s="248"/>
      <c r="J182" s="248"/>
      <c r="K182" s="251"/>
      <c r="L182" s="238"/>
      <c r="M182" s="248"/>
      <c r="N182" s="248"/>
      <c r="O182" s="248"/>
      <c r="P182" s="250"/>
      <c r="Q182" s="252"/>
      <c r="R182" s="248"/>
      <c r="S182" s="248"/>
      <c r="T182" s="248"/>
      <c r="U182" s="248"/>
      <c r="V182" s="248"/>
      <c r="W182" s="248"/>
      <c r="X182" s="248"/>
      <c r="Y182" s="248"/>
      <c r="Z182" s="253"/>
      <c r="AA182" s="253"/>
      <c r="AB182" s="253"/>
      <c r="AC182" s="253"/>
      <c r="AD182" s="253"/>
      <c r="AE182" s="253"/>
      <c r="AF182" s="254"/>
      <c r="AG182" s="257"/>
      <c r="AH182" s="257"/>
      <c r="AI182" s="257"/>
      <c r="AJ182" s="258"/>
      <c r="AK182" s="259"/>
      <c r="AL182" s="257"/>
      <c r="AM182" s="257"/>
      <c r="AN182" s="257"/>
      <c r="AO182" s="257"/>
      <c r="AP182" s="257"/>
      <c r="AQ182" s="258"/>
      <c r="AR182" s="260"/>
      <c r="AS182" s="257"/>
      <c r="AT182" s="257"/>
      <c r="AU182" s="257"/>
      <c r="AV182" s="257"/>
      <c r="AW182" s="257"/>
      <c r="AX182" s="258"/>
      <c r="AY182" s="260"/>
      <c r="AZ182" s="257"/>
      <c r="BA182" s="257"/>
      <c r="BB182" s="257"/>
      <c r="BC182" s="257"/>
      <c r="BD182" s="258"/>
      <c r="BE182" s="260"/>
      <c r="BF182" s="258"/>
      <c r="BG182" s="260"/>
      <c r="BH182" s="257"/>
      <c r="BI182" s="14"/>
    </row>
    <row r="183" spans="1:61" ht="13.15" x14ac:dyDescent="0.4">
      <c r="A183" s="248"/>
      <c r="B183" s="256"/>
      <c r="C183" s="248"/>
      <c r="D183" s="248"/>
      <c r="E183" s="248"/>
      <c r="F183" s="250"/>
      <c r="G183" s="248"/>
      <c r="H183" s="32"/>
      <c r="I183" s="248"/>
      <c r="J183" s="248"/>
      <c r="K183" s="251"/>
      <c r="L183" s="238"/>
      <c r="M183" s="248"/>
      <c r="N183" s="248"/>
      <c r="O183" s="248"/>
      <c r="P183" s="250"/>
      <c r="Q183" s="252"/>
      <c r="R183" s="248"/>
      <c r="S183" s="248"/>
      <c r="T183" s="248"/>
      <c r="U183" s="248"/>
      <c r="V183" s="248"/>
      <c r="W183" s="248"/>
      <c r="X183" s="248"/>
      <c r="Y183" s="248"/>
      <c r="Z183" s="253"/>
      <c r="AA183" s="253"/>
      <c r="AB183" s="253"/>
      <c r="AC183" s="253"/>
      <c r="AD183" s="253"/>
      <c r="AE183" s="253"/>
      <c r="AF183" s="254"/>
      <c r="AG183" s="257"/>
      <c r="AH183" s="257"/>
      <c r="AI183" s="257"/>
      <c r="AJ183" s="258"/>
      <c r="AK183" s="259"/>
      <c r="AL183" s="257"/>
      <c r="AM183" s="257"/>
      <c r="AN183" s="257"/>
      <c r="AO183" s="257"/>
      <c r="AP183" s="257"/>
      <c r="AQ183" s="258"/>
      <c r="AR183" s="260"/>
      <c r="AS183" s="257"/>
      <c r="AT183" s="257"/>
      <c r="AU183" s="257"/>
      <c r="AV183" s="257"/>
      <c r="AW183" s="257"/>
      <c r="AX183" s="258"/>
      <c r="AY183" s="260"/>
      <c r="AZ183" s="257"/>
      <c r="BA183" s="257"/>
      <c r="BB183" s="257"/>
      <c r="BC183" s="257"/>
      <c r="BD183" s="258"/>
      <c r="BE183" s="260"/>
      <c r="BF183" s="258"/>
      <c r="BG183" s="260"/>
      <c r="BH183" s="257"/>
      <c r="BI183" s="14"/>
    </row>
    <row r="184" spans="1:61" ht="13.15" x14ac:dyDescent="0.4">
      <c r="A184" s="248"/>
      <c r="B184" s="256"/>
      <c r="C184" s="248"/>
      <c r="D184" s="248"/>
      <c r="E184" s="248"/>
      <c r="F184" s="250"/>
      <c r="G184" s="248"/>
      <c r="H184" s="32"/>
      <c r="I184" s="248"/>
      <c r="J184" s="248"/>
      <c r="K184" s="251"/>
      <c r="L184" s="238"/>
      <c r="M184" s="248"/>
      <c r="N184" s="248"/>
      <c r="O184" s="248"/>
      <c r="P184" s="250"/>
      <c r="Q184" s="252"/>
      <c r="R184" s="248"/>
      <c r="S184" s="248"/>
      <c r="T184" s="248"/>
      <c r="U184" s="248"/>
      <c r="V184" s="248"/>
      <c r="W184" s="248"/>
      <c r="X184" s="248"/>
      <c r="Y184" s="248"/>
      <c r="Z184" s="253"/>
      <c r="AA184" s="253"/>
      <c r="AB184" s="253"/>
      <c r="AC184" s="253"/>
      <c r="AD184" s="253"/>
      <c r="AE184" s="253"/>
      <c r="AF184" s="254"/>
      <c r="AG184" s="257"/>
      <c r="AH184" s="257"/>
      <c r="AI184" s="257"/>
      <c r="AJ184" s="258"/>
      <c r="AK184" s="259"/>
      <c r="AL184" s="257"/>
      <c r="AM184" s="257"/>
      <c r="AN184" s="257"/>
      <c r="AO184" s="257"/>
      <c r="AP184" s="257"/>
      <c r="AQ184" s="258"/>
      <c r="AR184" s="260"/>
      <c r="AS184" s="257"/>
      <c r="AT184" s="257"/>
      <c r="AU184" s="257"/>
      <c r="AV184" s="257"/>
      <c r="AW184" s="257"/>
      <c r="AX184" s="258"/>
      <c r="AY184" s="260"/>
      <c r="AZ184" s="257"/>
      <c r="BA184" s="257"/>
      <c r="BB184" s="257"/>
      <c r="BC184" s="257"/>
      <c r="BD184" s="258"/>
      <c r="BE184" s="260"/>
      <c r="BF184" s="258"/>
      <c r="BG184" s="260"/>
      <c r="BH184" s="257"/>
      <c r="BI184" s="14"/>
    </row>
    <row r="185" spans="1:61" ht="13.15" x14ac:dyDescent="0.4">
      <c r="A185" s="248"/>
      <c r="B185" s="256"/>
      <c r="C185" s="248"/>
      <c r="D185" s="248"/>
      <c r="E185" s="248"/>
      <c r="F185" s="250"/>
      <c r="G185" s="248"/>
      <c r="H185" s="32"/>
      <c r="I185" s="248"/>
      <c r="J185" s="248"/>
      <c r="K185" s="251"/>
      <c r="L185" s="238"/>
      <c r="M185" s="248"/>
      <c r="N185" s="248"/>
      <c r="O185" s="248"/>
      <c r="P185" s="250"/>
      <c r="Q185" s="252"/>
      <c r="R185" s="248"/>
      <c r="S185" s="248"/>
      <c r="T185" s="248"/>
      <c r="U185" s="248"/>
      <c r="V185" s="248"/>
      <c r="W185" s="248"/>
      <c r="X185" s="248"/>
      <c r="Y185" s="248"/>
      <c r="Z185" s="253"/>
      <c r="AA185" s="253"/>
      <c r="AB185" s="253"/>
      <c r="AC185" s="253"/>
      <c r="AD185" s="253"/>
      <c r="AE185" s="253"/>
      <c r="AF185" s="254"/>
      <c r="AG185" s="257"/>
      <c r="AH185" s="257"/>
      <c r="AI185" s="257"/>
      <c r="AJ185" s="258"/>
      <c r="AK185" s="259"/>
      <c r="AL185" s="257"/>
      <c r="AM185" s="257"/>
      <c r="AN185" s="257"/>
      <c r="AO185" s="257"/>
      <c r="AP185" s="257"/>
      <c r="AQ185" s="258"/>
      <c r="AR185" s="260"/>
      <c r="AS185" s="257"/>
      <c r="AT185" s="257"/>
      <c r="AU185" s="257"/>
      <c r="AV185" s="257"/>
      <c r="AW185" s="257"/>
      <c r="AX185" s="258"/>
      <c r="AY185" s="260"/>
      <c r="AZ185" s="257"/>
      <c r="BA185" s="257"/>
      <c r="BB185" s="257"/>
      <c r="BC185" s="257"/>
      <c r="BD185" s="258"/>
      <c r="BE185" s="260"/>
      <c r="BF185" s="258"/>
      <c r="BG185" s="260"/>
      <c r="BH185" s="257"/>
      <c r="BI185" s="14"/>
    </row>
    <row r="186" spans="1:61" ht="13.15" x14ac:dyDescent="0.4">
      <c r="A186" s="248"/>
      <c r="B186" s="256"/>
      <c r="C186" s="248"/>
      <c r="D186" s="248"/>
      <c r="E186" s="248"/>
      <c r="F186" s="250"/>
      <c r="G186" s="248"/>
      <c r="H186" s="32"/>
      <c r="I186" s="248"/>
      <c r="J186" s="248"/>
      <c r="K186" s="251"/>
      <c r="L186" s="238"/>
      <c r="M186" s="248"/>
      <c r="N186" s="248"/>
      <c r="O186" s="248"/>
      <c r="P186" s="250"/>
      <c r="Q186" s="252"/>
      <c r="R186" s="248"/>
      <c r="S186" s="248"/>
      <c r="T186" s="248"/>
      <c r="U186" s="248"/>
      <c r="V186" s="248"/>
      <c r="W186" s="248"/>
      <c r="X186" s="248"/>
      <c r="Y186" s="248"/>
      <c r="Z186" s="253"/>
      <c r="AA186" s="253"/>
      <c r="AB186" s="253"/>
      <c r="AC186" s="253"/>
      <c r="AD186" s="253"/>
      <c r="AE186" s="253"/>
      <c r="AF186" s="254"/>
      <c r="AG186" s="257"/>
      <c r="AH186" s="257"/>
      <c r="AI186" s="257"/>
      <c r="AJ186" s="258"/>
      <c r="AK186" s="259"/>
      <c r="AL186" s="257"/>
      <c r="AM186" s="257"/>
      <c r="AN186" s="257"/>
      <c r="AO186" s="257"/>
      <c r="AP186" s="257"/>
      <c r="AQ186" s="258"/>
      <c r="AR186" s="260"/>
      <c r="AS186" s="257"/>
      <c r="AT186" s="257"/>
      <c r="AU186" s="257"/>
      <c r="AV186" s="257"/>
      <c r="AW186" s="257"/>
      <c r="AX186" s="258"/>
      <c r="AY186" s="260"/>
      <c r="AZ186" s="257"/>
      <c r="BA186" s="257"/>
      <c r="BB186" s="257"/>
      <c r="BC186" s="257"/>
      <c r="BD186" s="258"/>
      <c r="BE186" s="260"/>
      <c r="BF186" s="258"/>
      <c r="BG186" s="260"/>
      <c r="BH186" s="257"/>
      <c r="BI186" s="14"/>
    </row>
    <row r="187" spans="1:61" ht="13.15" x14ac:dyDescent="0.4">
      <c r="A187" s="248"/>
      <c r="B187" s="256"/>
      <c r="C187" s="248"/>
      <c r="D187" s="248"/>
      <c r="E187" s="248"/>
      <c r="F187" s="250"/>
      <c r="G187" s="248"/>
      <c r="H187" s="32"/>
      <c r="I187" s="248"/>
      <c r="J187" s="248"/>
      <c r="K187" s="251"/>
      <c r="L187" s="238"/>
      <c r="M187" s="248"/>
      <c r="N187" s="248"/>
      <c r="O187" s="248"/>
      <c r="P187" s="250"/>
      <c r="Q187" s="252"/>
      <c r="R187" s="248"/>
      <c r="S187" s="248"/>
      <c r="T187" s="248"/>
      <c r="U187" s="248"/>
      <c r="V187" s="248"/>
      <c r="W187" s="248"/>
      <c r="X187" s="248"/>
      <c r="Y187" s="248"/>
      <c r="Z187" s="253"/>
      <c r="AA187" s="253"/>
      <c r="AB187" s="253"/>
      <c r="AC187" s="253"/>
      <c r="AD187" s="253"/>
      <c r="AE187" s="253"/>
      <c r="AF187" s="254"/>
      <c r="AG187" s="257"/>
      <c r="AH187" s="257"/>
      <c r="AI187" s="257"/>
      <c r="AJ187" s="258"/>
      <c r="AK187" s="259"/>
      <c r="AL187" s="257"/>
      <c r="AM187" s="257"/>
      <c r="AN187" s="257"/>
      <c r="AO187" s="257"/>
      <c r="AP187" s="257"/>
      <c r="AQ187" s="258"/>
      <c r="AR187" s="260"/>
      <c r="AS187" s="257"/>
      <c r="AT187" s="257"/>
      <c r="AU187" s="257"/>
      <c r="AV187" s="257"/>
      <c r="AW187" s="257"/>
      <c r="AX187" s="258"/>
      <c r="AY187" s="260"/>
      <c r="AZ187" s="257"/>
      <c r="BA187" s="257"/>
      <c r="BB187" s="257"/>
      <c r="BC187" s="257"/>
      <c r="BD187" s="258"/>
      <c r="BE187" s="260"/>
      <c r="BF187" s="258"/>
      <c r="BG187" s="260"/>
      <c r="BH187" s="257"/>
      <c r="BI187" s="14"/>
    </row>
    <row r="188" spans="1:61" ht="13.15" x14ac:dyDescent="0.4">
      <c r="A188" s="248"/>
      <c r="B188" s="256"/>
      <c r="C188" s="248"/>
      <c r="D188" s="248"/>
      <c r="E188" s="248"/>
      <c r="F188" s="250"/>
      <c r="G188" s="248"/>
      <c r="H188" s="32"/>
      <c r="I188" s="248"/>
      <c r="J188" s="248"/>
      <c r="K188" s="251"/>
      <c r="L188" s="238"/>
      <c r="M188" s="248"/>
      <c r="N188" s="248"/>
      <c r="O188" s="248"/>
      <c r="P188" s="250"/>
      <c r="Q188" s="252"/>
      <c r="R188" s="248"/>
      <c r="S188" s="248"/>
      <c r="T188" s="248"/>
      <c r="U188" s="248"/>
      <c r="V188" s="248"/>
      <c r="W188" s="248"/>
      <c r="X188" s="248"/>
      <c r="Y188" s="248"/>
      <c r="Z188" s="253"/>
      <c r="AA188" s="253"/>
      <c r="AB188" s="253"/>
      <c r="AC188" s="253"/>
      <c r="AD188" s="253"/>
      <c r="AE188" s="253"/>
      <c r="AF188" s="254"/>
      <c r="AG188" s="257"/>
      <c r="AH188" s="257"/>
      <c r="AI188" s="257"/>
      <c r="AJ188" s="258"/>
      <c r="AK188" s="259"/>
      <c r="AL188" s="257"/>
      <c r="AM188" s="257"/>
      <c r="AN188" s="257"/>
      <c r="AO188" s="257"/>
      <c r="AP188" s="257"/>
      <c r="AQ188" s="258"/>
      <c r="AR188" s="260"/>
      <c r="AS188" s="257"/>
      <c r="AT188" s="257"/>
      <c r="AU188" s="257"/>
      <c r="AV188" s="257"/>
      <c r="AW188" s="257"/>
      <c r="AX188" s="258"/>
      <c r="AY188" s="260"/>
      <c r="AZ188" s="257"/>
      <c r="BA188" s="257"/>
      <c r="BB188" s="257"/>
      <c r="BC188" s="257"/>
      <c r="BD188" s="258"/>
      <c r="BE188" s="260"/>
      <c r="BF188" s="258"/>
      <c r="BG188" s="260"/>
      <c r="BH188" s="257"/>
      <c r="BI188" s="14"/>
    </row>
    <row r="189" spans="1:61" ht="13.15" x14ac:dyDescent="0.4">
      <c r="A189" s="248"/>
      <c r="B189" s="256"/>
      <c r="C189" s="248"/>
      <c r="D189" s="248"/>
      <c r="E189" s="248"/>
      <c r="F189" s="250"/>
      <c r="G189" s="248"/>
      <c r="H189" s="32"/>
      <c r="I189" s="248"/>
      <c r="J189" s="248"/>
      <c r="K189" s="251"/>
      <c r="L189" s="238"/>
      <c r="M189" s="248"/>
      <c r="N189" s="248"/>
      <c r="O189" s="248"/>
      <c r="P189" s="250"/>
      <c r="Q189" s="252"/>
      <c r="R189" s="248"/>
      <c r="S189" s="248"/>
      <c r="T189" s="248"/>
      <c r="U189" s="248"/>
      <c r="V189" s="248"/>
      <c r="W189" s="248"/>
      <c r="X189" s="248"/>
      <c r="Y189" s="248"/>
      <c r="Z189" s="253"/>
      <c r="AA189" s="253"/>
      <c r="AB189" s="253"/>
      <c r="AC189" s="253"/>
      <c r="AD189" s="253"/>
      <c r="AE189" s="253"/>
      <c r="AF189" s="254"/>
      <c r="AG189" s="257"/>
      <c r="AH189" s="257"/>
      <c r="AI189" s="257"/>
      <c r="AJ189" s="258"/>
      <c r="AK189" s="259"/>
      <c r="AL189" s="257"/>
      <c r="AM189" s="257"/>
      <c r="AN189" s="257"/>
      <c r="AO189" s="257"/>
      <c r="AP189" s="257"/>
      <c r="AQ189" s="258"/>
      <c r="AR189" s="260"/>
      <c r="AS189" s="257"/>
      <c r="AT189" s="257"/>
      <c r="AU189" s="257"/>
      <c r="AV189" s="257"/>
      <c r="AW189" s="257"/>
      <c r="AX189" s="258"/>
      <c r="AY189" s="260"/>
      <c r="AZ189" s="257"/>
      <c r="BA189" s="257"/>
      <c r="BB189" s="257"/>
      <c r="BC189" s="257"/>
      <c r="BD189" s="258"/>
      <c r="BE189" s="260"/>
      <c r="BF189" s="258"/>
      <c r="BG189" s="260"/>
      <c r="BH189" s="257"/>
      <c r="BI189" s="14"/>
    </row>
    <row r="190" spans="1:61" ht="13.15" x14ac:dyDescent="0.4">
      <c r="A190" s="248"/>
      <c r="B190" s="256"/>
      <c r="C190" s="248"/>
      <c r="D190" s="248"/>
      <c r="E190" s="248"/>
      <c r="F190" s="250"/>
      <c r="G190" s="248"/>
      <c r="H190" s="32"/>
      <c r="I190" s="248"/>
      <c r="J190" s="248"/>
      <c r="K190" s="251"/>
      <c r="L190" s="238"/>
      <c r="M190" s="248"/>
      <c r="N190" s="248"/>
      <c r="O190" s="248"/>
      <c r="P190" s="250"/>
      <c r="Q190" s="252"/>
      <c r="R190" s="248"/>
      <c r="S190" s="248"/>
      <c r="T190" s="248"/>
      <c r="U190" s="248"/>
      <c r="V190" s="248"/>
      <c r="W190" s="248"/>
      <c r="X190" s="248"/>
      <c r="Y190" s="248"/>
      <c r="Z190" s="253"/>
      <c r="AA190" s="253"/>
      <c r="AB190" s="253"/>
      <c r="AC190" s="253"/>
      <c r="AD190" s="253"/>
      <c r="AE190" s="253"/>
      <c r="AF190" s="254"/>
      <c r="AG190" s="257"/>
      <c r="AH190" s="257"/>
      <c r="AI190" s="257"/>
      <c r="AJ190" s="258"/>
      <c r="AK190" s="259"/>
      <c r="AL190" s="257"/>
      <c r="AM190" s="257"/>
      <c r="AN190" s="257"/>
      <c r="AO190" s="257"/>
      <c r="AP190" s="257"/>
      <c r="AQ190" s="258"/>
      <c r="AR190" s="260"/>
      <c r="AS190" s="257"/>
      <c r="AT190" s="257"/>
      <c r="AU190" s="257"/>
      <c r="AV190" s="257"/>
      <c r="AW190" s="257"/>
      <c r="AX190" s="258"/>
      <c r="AY190" s="260"/>
      <c r="AZ190" s="257"/>
      <c r="BA190" s="257"/>
      <c r="BB190" s="257"/>
      <c r="BC190" s="257"/>
      <c r="BD190" s="258"/>
      <c r="BE190" s="260"/>
      <c r="BF190" s="258"/>
      <c r="BG190" s="260"/>
      <c r="BH190" s="257"/>
      <c r="BI190" s="14"/>
    </row>
    <row r="191" spans="1:61" ht="13.15" x14ac:dyDescent="0.4">
      <c r="A191" s="248"/>
      <c r="B191" s="256"/>
      <c r="C191" s="248"/>
      <c r="D191" s="248"/>
      <c r="E191" s="248"/>
      <c r="F191" s="250"/>
      <c r="G191" s="248"/>
      <c r="H191" s="32"/>
      <c r="I191" s="248"/>
      <c r="J191" s="248"/>
      <c r="K191" s="251"/>
      <c r="L191" s="238"/>
      <c r="M191" s="248"/>
      <c r="N191" s="248"/>
      <c r="O191" s="248"/>
      <c r="P191" s="250"/>
      <c r="Q191" s="252"/>
      <c r="R191" s="248"/>
      <c r="S191" s="248"/>
      <c r="T191" s="248"/>
      <c r="U191" s="248"/>
      <c r="V191" s="248"/>
      <c r="W191" s="248"/>
      <c r="X191" s="248"/>
      <c r="Y191" s="248"/>
      <c r="Z191" s="253"/>
      <c r="AA191" s="253"/>
      <c r="AB191" s="253"/>
      <c r="AC191" s="253"/>
      <c r="AD191" s="253"/>
      <c r="AE191" s="253"/>
      <c r="AF191" s="254"/>
      <c r="AG191" s="257"/>
      <c r="AH191" s="257"/>
      <c r="AI191" s="257"/>
      <c r="AJ191" s="258"/>
      <c r="AK191" s="259"/>
      <c r="AL191" s="257"/>
      <c r="AM191" s="257"/>
      <c r="AN191" s="257"/>
      <c r="AO191" s="257"/>
      <c r="AP191" s="257"/>
      <c r="AQ191" s="258"/>
      <c r="AR191" s="260"/>
      <c r="AS191" s="257"/>
      <c r="AT191" s="257"/>
      <c r="AU191" s="257"/>
      <c r="AV191" s="257"/>
      <c r="AW191" s="257"/>
      <c r="AX191" s="258"/>
      <c r="AY191" s="260"/>
      <c r="AZ191" s="257"/>
      <c r="BA191" s="257"/>
      <c r="BB191" s="257"/>
      <c r="BC191" s="257"/>
      <c r="BD191" s="258"/>
      <c r="BE191" s="260"/>
      <c r="BF191" s="258"/>
      <c r="BG191" s="260"/>
      <c r="BH191" s="257"/>
      <c r="BI191" s="14"/>
    </row>
    <row r="192" spans="1:61" ht="13.15" x14ac:dyDescent="0.4">
      <c r="A192" s="248"/>
      <c r="B192" s="256"/>
      <c r="C192" s="248"/>
      <c r="D192" s="248"/>
      <c r="E192" s="248"/>
      <c r="F192" s="250"/>
      <c r="G192" s="248"/>
      <c r="H192" s="32"/>
      <c r="I192" s="248"/>
      <c r="J192" s="248"/>
      <c r="K192" s="251"/>
      <c r="L192" s="238"/>
      <c r="M192" s="248"/>
      <c r="N192" s="248"/>
      <c r="O192" s="248"/>
      <c r="P192" s="250"/>
      <c r="Q192" s="252"/>
      <c r="R192" s="248"/>
      <c r="S192" s="248"/>
      <c r="T192" s="248"/>
      <c r="U192" s="248"/>
      <c r="V192" s="248"/>
      <c r="W192" s="248"/>
      <c r="X192" s="248"/>
      <c r="Y192" s="248"/>
      <c r="Z192" s="253"/>
      <c r="AA192" s="253"/>
      <c r="AB192" s="253"/>
      <c r="AC192" s="253"/>
      <c r="AD192" s="253"/>
      <c r="AE192" s="253"/>
      <c r="AF192" s="254"/>
      <c r="AG192" s="257"/>
      <c r="AH192" s="257"/>
      <c r="AI192" s="257"/>
      <c r="AJ192" s="258"/>
      <c r="AK192" s="259"/>
      <c r="AL192" s="257"/>
      <c r="AM192" s="257"/>
      <c r="AN192" s="257"/>
      <c r="AO192" s="257"/>
      <c r="AP192" s="257"/>
      <c r="AQ192" s="258"/>
      <c r="AR192" s="260"/>
      <c r="AS192" s="257"/>
      <c r="AT192" s="257"/>
      <c r="AU192" s="257"/>
      <c r="AV192" s="257"/>
      <c r="AW192" s="257"/>
      <c r="AX192" s="258"/>
      <c r="AY192" s="260"/>
      <c r="AZ192" s="257"/>
      <c r="BA192" s="257"/>
      <c r="BB192" s="257"/>
      <c r="BC192" s="257"/>
      <c r="BD192" s="258"/>
      <c r="BE192" s="260"/>
      <c r="BF192" s="258"/>
      <c r="BG192" s="260"/>
      <c r="BH192" s="257"/>
      <c r="BI192" s="14"/>
    </row>
    <row r="193" spans="1:61" ht="13.15" x14ac:dyDescent="0.4">
      <c r="A193" s="248"/>
      <c r="B193" s="256"/>
      <c r="C193" s="248"/>
      <c r="D193" s="248"/>
      <c r="E193" s="248"/>
      <c r="F193" s="250"/>
      <c r="G193" s="248"/>
      <c r="H193" s="32"/>
      <c r="I193" s="248"/>
      <c r="J193" s="248"/>
      <c r="K193" s="251"/>
      <c r="L193" s="238"/>
      <c r="M193" s="248"/>
      <c r="N193" s="248"/>
      <c r="O193" s="248"/>
      <c r="P193" s="250"/>
      <c r="Q193" s="252"/>
      <c r="R193" s="248"/>
      <c r="S193" s="248"/>
      <c r="T193" s="248"/>
      <c r="U193" s="248"/>
      <c r="V193" s="248"/>
      <c r="W193" s="248"/>
      <c r="X193" s="248"/>
      <c r="Y193" s="248"/>
      <c r="Z193" s="253"/>
      <c r="AA193" s="253"/>
      <c r="AB193" s="253"/>
      <c r="AC193" s="253"/>
      <c r="AD193" s="253"/>
      <c r="AE193" s="253"/>
      <c r="AF193" s="254"/>
      <c r="AG193" s="257"/>
      <c r="AH193" s="257"/>
      <c r="AI193" s="257"/>
      <c r="AJ193" s="258"/>
      <c r="AK193" s="259"/>
      <c r="AL193" s="257"/>
      <c r="AM193" s="257"/>
      <c r="AN193" s="257"/>
      <c r="AO193" s="257"/>
      <c r="AP193" s="257"/>
      <c r="AQ193" s="258"/>
      <c r="AR193" s="260"/>
      <c r="AS193" s="257"/>
      <c r="AT193" s="257"/>
      <c r="AU193" s="257"/>
      <c r="AV193" s="257"/>
      <c r="AW193" s="257"/>
      <c r="AX193" s="258"/>
      <c r="AY193" s="260"/>
      <c r="AZ193" s="257"/>
      <c r="BA193" s="257"/>
      <c r="BB193" s="257"/>
      <c r="BC193" s="257"/>
      <c r="BD193" s="258"/>
      <c r="BE193" s="260"/>
      <c r="BF193" s="258"/>
      <c r="BG193" s="260"/>
      <c r="BH193" s="257"/>
      <c r="BI193" s="14"/>
    </row>
    <row r="194" spans="1:61" ht="13.15" x14ac:dyDescent="0.4">
      <c r="A194" s="248"/>
      <c r="B194" s="256"/>
      <c r="C194" s="248"/>
      <c r="D194" s="248"/>
      <c r="E194" s="248"/>
      <c r="F194" s="250"/>
      <c r="G194" s="248"/>
      <c r="H194" s="32"/>
      <c r="I194" s="248"/>
      <c r="J194" s="248"/>
      <c r="K194" s="251"/>
      <c r="L194" s="238"/>
      <c r="M194" s="248"/>
      <c r="N194" s="248"/>
      <c r="O194" s="248"/>
      <c r="P194" s="250"/>
      <c r="Q194" s="252"/>
      <c r="R194" s="248"/>
      <c r="S194" s="248"/>
      <c r="T194" s="248"/>
      <c r="U194" s="248"/>
      <c r="V194" s="248"/>
      <c r="W194" s="248"/>
      <c r="X194" s="248"/>
      <c r="Y194" s="248"/>
      <c r="Z194" s="253"/>
      <c r="AA194" s="253"/>
      <c r="AB194" s="253"/>
      <c r="AC194" s="253"/>
      <c r="AD194" s="253"/>
      <c r="AE194" s="253"/>
      <c r="AF194" s="254"/>
      <c r="AG194" s="257"/>
      <c r="AH194" s="257"/>
      <c r="AI194" s="257"/>
      <c r="AJ194" s="258"/>
      <c r="AK194" s="259"/>
      <c r="AL194" s="257"/>
      <c r="AM194" s="257"/>
      <c r="AN194" s="257"/>
      <c r="AO194" s="257"/>
      <c r="AP194" s="257"/>
      <c r="AQ194" s="258"/>
      <c r="AR194" s="260"/>
      <c r="AS194" s="257"/>
      <c r="AT194" s="257"/>
      <c r="AU194" s="257"/>
      <c r="AV194" s="257"/>
      <c r="AW194" s="257"/>
      <c r="AX194" s="258"/>
      <c r="AY194" s="260"/>
      <c r="AZ194" s="257"/>
      <c r="BA194" s="257"/>
      <c r="BB194" s="257"/>
      <c r="BC194" s="257"/>
      <c r="BD194" s="258"/>
      <c r="BE194" s="260"/>
      <c r="BF194" s="258"/>
      <c r="BG194" s="260"/>
      <c r="BH194" s="257"/>
      <c r="BI194" s="14"/>
    </row>
    <row r="195" spans="1:61" ht="13.15" x14ac:dyDescent="0.4">
      <c r="A195" s="248"/>
      <c r="B195" s="256"/>
      <c r="C195" s="248"/>
      <c r="D195" s="248"/>
      <c r="E195" s="248"/>
      <c r="F195" s="250"/>
      <c r="G195" s="248"/>
      <c r="H195" s="32"/>
      <c r="I195" s="248"/>
      <c r="J195" s="248"/>
      <c r="K195" s="251"/>
      <c r="L195" s="238"/>
      <c r="M195" s="248"/>
      <c r="N195" s="248"/>
      <c r="O195" s="248"/>
      <c r="P195" s="250"/>
      <c r="Q195" s="252"/>
      <c r="R195" s="248"/>
      <c r="S195" s="248"/>
      <c r="T195" s="248"/>
      <c r="U195" s="248"/>
      <c r="V195" s="248"/>
      <c r="W195" s="248"/>
      <c r="X195" s="248"/>
      <c r="Y195" s="248"/>
      <c r="Z195" s="253"/>
      <c r="AA195" s="253"/>
      <c r="AB195" s="253"/>
      <c r="AC195" s="253"/>
      <c r="AD195" s="253"/>
      <c r="AE195" s="253"/>
      <c r="AF195" s="254"/>
      <c r="AG195" s="257"/>
      <c r="AH195" s="257"/>
      <c r="AI195" s="257"/>
      <c r="AJ195" s="258"/>
      <c r="AK195" s="259"/>
      <c r="AL195" s="257"/>
      <c r="AM195" s="257"/>
      <c r="AN195" s="257"/>
      <c r="AO195" s="257"/>
      <c r="AP195" s="257"/>
      <c r="AQ195" s="258"/>
      <c r="AR195" s="260"/>
      <c r="AS195" s="257"/>
      <c r="AT195" s="257"/>
      <c r="AU195" s="257"/>
      <c r="AV195" s="257"/>
      <c r="AW195" s="257"/>
      <c r="AX195" s="258"/>
      <c r="AY195" s="260"/>
      <c r="AZ195" s="257"/>
      <c r="BA195" s="257"/>
      <c r="BB195" s="257"/>
      <c r="BC195" s="257"/>
      <c r="BD195" s="258"/>
      <c r="BE195" s="260"/>
      <c r="BF195" s="258"/>
      <c r="BG195" s="260"/>
      <c r="BH195" s="257"/>
      <c r="BI195" s="14"/>
    </row>
    <row r="196" spans="1:61" ht="13.15" x14ac:dyDescent="0.4">
      <c r="A196" s="248"/>
      <c r="B196" s="256"/>
      <c r="C196" s="248"/>
      <c r="D196" s="248"/>
      <c r="E196" s="248"/>
      <c r="F196" s="250"/>
      <c r="G196" s="248"/>
      <c r="H196" s="32"/>
      <c r="I196" s="248"/>
      <c r="J196" s="248"/>
      <c r="K196" s="251"/>
      <c r="L196" s="238"/>
      <c r="M196" s="248"/>
      <c r="N196" s="248"/>
      <c r="O196" s="248"/>
      <c r="P196" s="250"/>
      <c r="Q196" s="252"/>
      <c r="R196" s="248"/>
      <c r="S196" s="248"/>
      <c r="T196" s="248"/>
      <c r="U196" s="248"/>
      <c r="V196" s="248"/>
      <c r="W196" s="248"/>
      <c r="X196" s="248"/>
      <c r="Y196" s="248"/>
      <c r="Z196" s="253"/>
      <c r="AA196" s="253"/>
      <c r="AB196" s="253"/>
      <c r="AC196" s="253"/>
      <c r="AD196" s="253"/>
      <c r="AE196" s="253"/>
      <c r="AF196" s="254"/>
      <c r="AG196" s="257"/>
      <c r="AH196" s="257"/>
      <c r="AI196" s="257"/>
      <c r="AJ196" s="258"/>
      <c r="AK196" s="259"/>
      <c r="AL196" s="257"/>
      <c r="AM196" s="257"/>
      <c r="AN196" s="257"/>
      <c r="AO196" s="257"/>
      <c r="AP196" s="257"/>
      <c r="AQ196" s="258"/>
      <c r="AR196" s="260"/>
      <c r="AS196" s="257"/>
      <c r="AT196" s="257"/>
      <c r="AU196" s="257"/>
      <c r="AV196" s="257"/>
      <c r="AW196" s="257"/>
      <c r="AX196" s="258"/>
      <c r="AY196" s="260"/>
      <c r="AZ196" s="257"/>
      <c r="BA196" s="257"/>
      <c r="BB196" s="257"/>
      <c r="BC196" s="257"/>
      <c r="BD196" s="258"/>
      <c r="BE196" s="260"/>
      <c r="BF196" s="258"/>
      <c r="BG196" s="260"/>
      <c r="BH196" s="257"/>
      <c r="BI196" s="14"/>
    </row>
    <row r="197" spans="1:61" ht="13.15" x14ac:dyDescent="0.4">
      <c r="A197" s="248"/>
      <c r="B197" s="256"/>
      <c r="C197" s="248"/>
      <c r="D197" s="248"/>
      <c r="E197" s="248"/>
      <c r="F197" s="250"/>
      <c r="G197" s="248"/>
      <c r="H197" s="32"/>
      <c r="I197" s="248"/>
      <c r="J197" s="248"/>
      <c r="K197" s="251"/>
      <c r="L197" s="238"/>
      <c r="M197" s="248"/>
      <c r="N197" s="248"/>
      <c r="O197" s="248"/>
      <c r="P197" s="250"/>
      <c r="Q197" s="252"/>
      <c r="R197" s="248"/>
      <c r="S197" s="248"/>
      <c r="T197" s="248"/>
      <c r="U197" s="248"/>
      <c r="V197" s="248"/>
      <c r="W197" s="248"/>
      <c r="X197" s="248"/>
      <c r="Y197" s="248"/>
      <c r="Z197" s="253"/>
      <c r="AA197" s="253"/>
      <c r="AB197" s="253"/>
      <c r="AC197" s="253"/>
      <c r="AD197" s="253"/>
      <c r="AE197" s="253"/>
      <c r="AF197" s="254"/>
      <c r="AG197" s="257"/>
      <c r="AH197" s="257"/>
      <c r="AI197" s="257"/>
      <c r="AJ197" s="258"/>
      <c r="AK197" s="259"/>
      <c r="AL197" s="257"/>
      <c r="AM197" s="257"/>
      <c r="AN197" s="257"/>
      <c r="AO197" s="257"/>
      <c r="AP197" s="257"/>
      <c r="AQ197" s="258"/>
      <c r="AR197" s="260"/>
      <c r="AS197" s="257"/>
      <c r="AT197" s="257"/>
      <c r="AU197" s="257"/>
      <c r="AV197" s="257"/>
      <c r="AW197" s="257"/>
      <c r="AX197" s="258"/>
      <c r="AY197" s="260"/>
      <c r="AZ197" s="257"/>
      <c r="BA197" s="257"/>
      <c r="BB197" s="257"/>
      <c r="BC197" s="257"/>
      <c r="BD197" s="258"/>
      <c r="BE197" s="260"/>
      <c r="BF197" s="258"/>
      <c r="BG197" s="260"/>
      <c r="BH197" s="257"/>
      <c r="BI197" s="14"/>
    </row>
    <row r="198" spans="1:61" ht="13.15" x14ac:dyDescent="0.4">
      <c r="A198" s="248"/>
      <c r="B198" s="256"/>
      <c r="C198" s="248"/>
      <c r="D198" s="248"/>
      <c r="E198" s="248"/>
      <c r="F198" s="250"/>
      <c r="G198" s="248"/>
      <c r="H198" s="32"/>
      <c r="I198" s="248"/>
      <c r="J198" s="248"/>
      <c r="K198" s="251"/>
      <c r="L198" s="238"/>
      <c r="M198" s="248"/>
      <c r="N198" s="248"/>
      <c r="O198" s="248"/>
      <c r="P198" s="250"/>
      <c r="Q198" s="252"/>
      <c r="R198" s="248"/>
      <c r="S198" s="248"/>
      <c r="T198" s="248"/>
      <c r="U198" s="248"/>
      <c r="V198" s="248"/>
      <c r="W198" s="248"/>
      <c r="X198" s="248"/>
      <c r="Y198" s="248"/>
      <c r="Z198" s="253"/>
      <c r="AA198" s="253"/>
      <c r="AB198" s="253"/>
      <c r="AC198" s="253"/>
      <c r="AD198" s="253"/>
      <c r="AE198" s="253"/>
      <c r="AF198" s="254"/>
      <c r="AG198" s="257"/>
      <c r="AH198" s="257"/>
      <c r="AI198" s="257"/>
      <c r="AJ198" s="258"/>
      <c r="AK198" s="259"/>
      <c r="AL198" s="257"/>
      <c r="AM198" s="257"/>
      <c r="AN198" s="257"/>
      <c r="AO198" s="257"/>
      <c r="AP198" s="257"/>
      <c r="AQ198" s="258"/>
      <c r="AR198" s="260"/>
      <c r="AS198" s="257"/>
      <c r="AT198" s="257"/>
      <c r="AU198" s="257"/>
      <c r="AV198" s="257"/>
      <c r="AW198" s="257"/>
      <c r="AX198" s="258"/>
      <c r="AY198" s="260"/>
      <c r="AZ198" s="257"/>
      <c r="BA198" s="257"/>
      <c r="BB198" s="257"/>
      <c r="BC198" s="257"/>
      <c r="BD198" s="258"/>
      <c r="BE198" s="260"/>
      <c r="BF198" s="258"/>
      <c r="BG198" s="260"/>
      <c r="BH198" s="257"/>
      <c r="BI198" s="14"/>
    </row>
    <row r="199" spans="1:61" ht="13.15" x14ac:dyDescent="0.4">
      <c r="A199" s="248"/>
      <c r="B199" s="256"/>
      <c r="C199" s="248"/>
      <c r="D199" s="248"/>
      <c r="E199" s="248"/>
      <c r="F199" s="250"/>
      <c r="G199" s="248"/>
      <c r="H199" s="32"/>
      <c r="I199" s="248"/>
      <c r="J199" s="248"/>
      <c r="K199" s="251"/>
      <c r="L199" s="238"/>
      <c r="M199" s="248"/>
      <c r="N199" s="248"/>
      <c r="O199" s="248"/>
      <c r="P199" s="250"/>
      <c r="Q199" s="252"/>
      <c r="R199" s="248"/>
      <c r="S199" s="248"/>
      <c r="T199" s="248"/>
      <c r="U199" s="248"/>
      <c r="V199" s="248"/>
      <c r="W199" s="248"/>
      <c r="X199" s="248"/>
      <c r="Y199" s="248"/>
      <c r="Z199" s="253"/>
      <c r="AA199" s="253"/>
      <c r="AB199" s="253"/>
      <c r="AC199" s="253"/>
      <c r="AD199" s="253"/>
      <c r="AE199" s="253"/>
      <c r="AF199" s="254"/>
      <c r="AG199" s="257"/>
      <c r="AH199" s="257"/>
      <c r="AI199" s="257"/>
      <c r="AJ199" s="258"/>
      <c r="AK199" s="259"/>
      <c r="AL199" s="257"/>
      <c r="AM199" s="257"/>
      <c r="AN199" s="257"/>
      <c r="AO199" s="257"/>
      <c r="AP199" s="257"/>
      <c r="AQ199" s="258"/>
      <c r="AR199" s="260"/>
      <c r="AS199" s="257"/>
      <c r="AT199" s="257"/>
      <c r="AU199" s="257"/>
      <c r="AV199" s="257"/>
      <c r="AW199" s="257"/>
      <c r="AX199" s="258"/>
      <c r="AY199" s="260"/>
      <c r="AZ199" s="257"/>
      <c r="BA199" s="257"/>
      <c r="BB199" s="257"/>
      <c r="BC199" s="257"/>
      <c r="BD199" s="258"/>
      <c r="BE199" s="260"/>
      <c r="BF199" s="258"/>
      <c r="BG199" s="260"/>
      <c r="BH199" s="257"/>
      <c r="BI199" s="14"/>
    </row>
    <row r="200" spans="1:61" ht="13.15" x14ac:dyDescent="0.4">
      <c r="A200" s="248"/>
      <c r="B200" s="256"/>
      <c r="C200" s="248"/>
      <c r="D200" s="248"/>
      <c r="E200" s="248"/>
      <c r="F200" s="250"/>
      <c r="G200" s="248"/>
      <c r="H200" s="32"/>
      <c r="I200" s="248"/>
      <c r="J200" s="248"/>
      <c r="K200" s="251"/>
      <c r="L200" s="238"/>
      <c r="M200" s="248"/>
      <c r="N200" s="248"/>
      <c r="O200" s="248"/>
      <c r="P200" s="250"/>
      <c r="Q200" s="252"/>
      <c r="R200" s="248"/>
      <c r="S200" s="248"/>
      <c r="T200" s="248"/>
      <c r="U200" s="248"/>
      <c r="V200" s="248"/>
      <c r="W200" s="248"/>
      <c r="X200" s="248"/>
      <c r="Y200" s="248"/>
      <c r="Z200" s="253"/>
      <c r="AA200" s="253"/>
      <c r="AB200" s="253"/>
      <c r="AC200" s="253"/>
      <c r="AD200" s="253"/>
      <c r="AE200" s="253"/>
      <c r="AF200" s="254"/>
      <c r="AG200" s="257"/>
      <c r="AH200" s="257"/>
      <c r="AI200" s="257"/>
      <c r="AJ200" s="258"/>
      <c r="AK200" s="259"/>
      <c r="AL200" s="257"/>
      <c r="AM200" s="257"/>
      <c r="AN200" s="257"/>
      <c r="AO200" s="257"/>
      <c r="AP200" s="257"/>
      <c r="AQ200" s="258"/>
      <c r="AR200" s="260"/>
      <c r="AS200" s="257"/>
      <c r="AT200" s="257"/>
      <c r="AU200" s="257"/>
      <c r="AV200" s="257"/>
      <c r="AW200" s="257"/>
      <c r="AX200" s="258"/>
      <c r="AY200" s="260"/>
      <c r="AZ200" s="257"/>
      <c r="BA200" s="257"/>
      <c r="BB200" s="257"/>
      <c r="BC200" s="257"/>
      <c r="BD200" s="258"/>
      <c r="BE200" s="260"/>
      <c r="BF200" s="258"/>
      <c r="BG200" s="260"/>
      <c r="BH200" s="257"/>
      <c r="BI200" s="14"/>
    </row>
    <row r="201" spans="1:61" ht="13.15" x14ac:dyDescent="0.4">
      <c r="A201" s="248"/>
      <c r="B201" s="256"/>
      <c r="C201" s="248"/>
      <c r="D201" s="248"/>
      <c r="E201" s="248"/>
      <c r="F201" s="250"/>
      <c r="G201" s="248"/>
      <c r="H201" s="32"/>
      <c r="I201" s="248"/>
      <c r="J201" s="248"/>
      <c r="K201" s="251"/>
      <c r="L201" s="238"/>
      <c r="M201" s="248"/>
      <c r="N201" s="248"/>
      <c r="O201" s="248"/>
      <c r="P201" s="250"/>
      <c r="Q201" s="252"/>
      <c r="R201" s="248"/>
      <c r="S201" s="248"/>
      <c r="T201" s="248"/>
      <c r="U201" s="248"/>
      <c r="V201" s="248"/>
      <c r="W201" s="248"/>
      <c r="X201" s="248"/>
      <c r="Y201" s="248"/>
      <c r="Z201" s="253"/>
      <c r="AA201" s="253"/>
      <c r="AB201" s="253"/>
      <c r="AC201" s="253"/>
      <c r="AD201" s="253"/>
      <c r="AE201" s="253"/>
      <c r="AF201" s="254"/>
      <c r="AG201" s="257"/>
      <c r="AH201" s="257"/>
      <c r="AI201" s="257"/>
      <c r="AJ201" s="258"/>
      <c r="AK201" s="259"/>
      <c r="AL201" s="257"/>
      <c r="AM201" s="257"/>
      <c r="AN201" s="257"/>
      <c r="AO201" s="257"/>
      <c r="AP201" s="257"/>
      <c r="AQ201" s="258"/>
      <c r="AR201" s="260"/>
      <c r="AS201" s="257"/>
      <c r="AT201" s="257"/>
      <c r="AU201" s="257"/>
      <c r="AV201" s="257"/>
      <c r="AW201" s="257"/>
      <c r="AX201" s="258"/>
      <c r="AY201" s="260"/>
      <c r="AZ201" s="257"/>
      <c r="BA201" s="257"/>
      <c r="BB201" s="257"/>
      <c r="BC201" s="257"/>
      <c r="BD201" s="258"/>
      <c r="BE201" s="260"/>
      <c r="BF201" s="258"/>
      <c r="BG201" s="260"/>
      <c r="BH201" s="257"/>
      <c r="BI201" s="14"/>
    </row>
    <row r="202" spans="1:61" ht="13.15" x14ac:dyDescent="0.4">
      <c r="A202" s="248"/>
      <c r="B202" s="256"/>
      <c r="C202" s="248"/>
      <c r="D202" s="248"/>
      <c r="E202" s="248"/>
      <c r="F202" s="250"/>
      <c r="G202" s="248"/>
      <c r="H202" s="32"/>
      <c r="I202" s="248"/>
      <c r="J202" s="248"/>
      <c r="K202" s="251"/>
      <c r="L202" s="238"/>
      <c r="M202" s="248"/>
      <c r="N202" s="248"/>
      <c r="O202" s="248"/>
      <c r="P202" s="250"/>
      <c r="Q202" s="252"/>
      <c r="R202" s="248"/>
      <c r="S202" s="248"/>
      <c r="T202" s="248"/>
      <c r="U202" s="248"/>
      <c r="V202" s="248"/>
      <c r="W202" s="248"/>
      <c r="X202" s="248"/>
      <c r="Y202" s="248"/>
      <c r="Z202" s="253"/>
      <c r="AA202" s="253"/>
      <c r="AB202" s="253"/>
      <c r="AC202" s="253"/>
      <c r="AD202" s="253"/>
      <c r="AE202" s="253"/>
      <c r="AF202" s="254"/>
      <c r="AG202" s="257"/>
      <c r="AH202" s="257"/>
      <c r="AI202" s="257"/>
      <c r="AJ202" s="258"/>
      <c r="AK202" s="259"/>
      <c r="AL202" s="257"/>
      <c r="AM202" s="257"/>
      <c r="AN202" s="257"/>
      <c r="AO202" s="257"/>
      <c r="AP202" s="257"/>
      <c r="AQ202" s="258"/>
      <c r="AR202" s="260"/>
      <c r="AS202" s="257"/>
      <c r="AT202" s="257"/>
      <c r="AU202" s="257"/>
      <c r="AV202" s="257"/>
      <c r="AW202" s="257"/>
      <c r="AX202" s="258"/>
      <c r="AY202" s="260"/>
      <c r="AZ202" s="257"/>
      <c r="BA202" s="257"/>
      <c r="BB202" s="257"/>
      <c r="BC202" s="257"/>
      <c r="BD202" s="258"/>
      <c r="BE202" s="260"/>
      <c r="BF202" s="258"/>
      <c r="BG202" s="260"/>
      <c r="BH202" s="257"/>
      <c r="BI202" s="14"/>
    </row>
    <row r="203" spans="1:61" ht="13.15" x14ac:dyDescent="0.4">
      <c r="A203" s="248"/>
      <c r="B203" s="256"/>
      <c r="C203" s="248"/>
      <c r="D203" s="248"/>
      <c r="E203" s="248"/>
      <c r="F203" s="250"/>
      <c r="G203" s="248"/>
      <c r="H203" s="32"/>
      <c r="I203" s="248"/>
      <c r="J203" s="248"/>
      <c r="K203" s="251"/>
      <c r="L203" s="238"/>
      <c r="M203" s="248"/>
      <c r="N203" s="248"/>
      <c r="O203" s="248"/>
      <c r="P203" s="250"/>
      <c r="Q203" s="252"/>
      <c r="R203" s="248"/>
      <c r="S203" s="248"/>
      <c r="T203" s="248"/>
      <c r="U203" s="248"/>
      <c r="V203" s="248"/>
      <c r="W203" s="248"/>
      <c r="X203" s="248"/>
      <c r="Y203" s="248"/>
      <c r="Z203" s="253"/>
      <c r="AA203" s="253"/>
      <c r="AB203" s="253"/>
      <c r="AC203" s="253"/>
      <c r="AD203" s="253"/>
      <c r="AE203" s="253"/>
      <c r="AF203" s="254"/>
      <c r="AG203" s="257"/>
      <c r="AH203" s="257"/>
      <c r="AI203" s="257"/>
      <c r="AJ203" s="258"/>
      <c r="AK203" s="259"/>
      <c r="AL203" s="257"/>
      <c r="AM203" s="257"/>
      <c r="AN203" s="257"/>
      <c r="AO203" s="257"/>
      <c r="AP203" s="257"/>
      <c r="AQ203" s="258"/>
      <c r="AR203" s="260"/>
      <c r="AS203" s="257"/>
      <c r="AT203" s="257"/>
      <c r="AU203" s="257"/>
      <c r="AV203" s="257"/>
      <c r="AW203" s="257"/>
      <c r="AX203" s="258"/>
      <c r="AY203" s="260"/>
      <c r="AZ203" s="257"/>
      <c r="BA203" s="257"/>
      <c r="BB203" s="257"/>
      <c r="BC203" s="257"/>
      <c r="BD203" s="258"/>
      <c r="BE203" s="260"/>
      <c r="BF203" s="258"/>
      <c r="BG203" s="260"/>
      <c r="BH203" s="257"/>
      <c r="BI203" s="14"/>
    </row>
    <row r="204" spans="1:61" ht="13.15" x14ac:dyDescent="0.4">
      <c r="A204" s="248"/>
      <c r="B204" s="256"/>
      <c r="C204" s="248"/>
      <c r="D204" s="248"/>
      <c r="E204" s="248"/>
      <c r="F204" s="250"/>
      <c r="G204" s="248"/>
      <c r="H204" s="32"/>
      <c r="I204" s="248"/>
      <c r="J204" s="248"/>
      <c r="K204" s="251"/>
      <c r="L204" s="238"/>
      <c r="M204" s="248"/>
      <c r="N204" s="248"/>
      <c r="O204" s="248"/>
      <c r="P204" s="250"/>
      <c r="Q204" s="252"/>
      <c r="R204" s="248"/>
      <c r="S204" s="248"/>
      <c r="T204" s="248"/>
      <c r="U204" s="248"/>
      <c r="V204" s="248"/>
      <c r="W204" s="248"/>
      <c r="X204" s="248"/>
      <c r="Y204" s="248"/>
      <c r="Z204" s="253"/>
      <c r="AA204" s="253"/>
      <c r="AB204" s="253"/>
      <c r="AC204" s="253"/>
      <c r="AD204" s="253"/>
      <c r="AE204" s="253"/>
      <c r="AF204" s="254"/>
      <c r="AG204" s="257"/>
      <c r="AH204" s="257"/>
      <c r="AI204" s="257"/>
      <c r="AJ204" s="258"/>
      <c r="AK204" s="259"/>
      <c r="AL204" s="257"/>
      <c r="AM204" s="257"/>
      <c r="AN204" s="257"/>
      <c r="AO204" s="257"/>
      <c r="AP204" s="257"/>
      <c r="AQ204" s="258"/>
      <c r="AR204" s="260"/>
      <c r="AS204" s="257"/>
      <c r="AT204" s="257"/>
      <c r="AU204" s="257"/>
      <c r="AV204" s="257"/>
      <c r="AW204" s="257"/>
      <c r="AX204" s="258"/>
      <c r="AY204" s="260"/>
      <c r="AZ204" s="257"/>
      <c r="BA204" s="257"/>
      <c r="BB204" s="257"/>
      <c r="BC204" s="257"/>
      <c r="BD204" s="258"/>
      <c r="BE204" s="260"/>
      <c r="BF204" s="258"/>
      <c r="BG204" s="260"/>
      <c r="BH204" s="257"/>
      <c r="BI204" s="14"/>
    </row>
    <row r="205" spans="1:61" ht="13.15" x14ac:dyDescent="0.4">
      <c r="A205" s="248"/>
      <c r="B205" s="256"/>
      <c r="C205" s="248"/>
      <c r="D205" s="248"/>
      <c r="E205" s="248"/>
      <c r="F205" s="250"/>
      <c r="G205" s="248"/>
      <c r="H205" s="32"/>
      <c r="I205" s="248"/>
      <c r="J205" s="248"/>
      <c r="K205" s="251"/>
      <c r="L205" s="238"/>
      <c r="M205" s="248"/>
      <c r="N205" s="248"/>
      <c r="O205" s="248"/>
      <c r="P205" s="250"/>
      <c r="Q205" s="252"/>
      <c r="R205" s="248"/>
      <c r="S205" s="248"/>
      <c r="T205" s="248"/>
      <c r="U205" s="248"/>
      <c r="V205" s="248"/>
      <c r="W205" s="248"/>
      <c r="X205" s="248"/>
      <c r="Y205" s="248"/>
      <c r="Z205" s="253"/>
      <c r="AA205" s="253"/>
      <c r="AB205" s="253"/>
      <c r="AC205" s="253"/>
      <c r="AD205" s="253"/>
      <c r="AE205" s="253"/>
      <c r="AF205" s="254"/>
      <c r="AG205" s="257"/>
      <c r="AH205" s="257"/>
      <c r="AI205" s="257"/>
      <c r="AJ205" s="258"/>
      <c r="AK205" s="259"/>
      <c r="AL205" s="257"/>
      <c r="AM205" s="257"/>
      <c r="AN205" s="257"/>
      <c r="AO205" s="257"/>
      <c r="AP205" s="257"/>
      <c r="AQ205" s="258"/>
      <c r="AR205" s="260"/>
      <c r="AS205" s="257"/>
      <c r="AT205" s="257"/>
      <c r="AU205" s="257"/>
      <c r="AV205" s="257"/>
      <c r="AW205" s="257"/>
      <c r="AX205" s="258"/>
      <c r="AY205" s="260"/>
      <c r="AZ205" s="257"/>
      <c r="BA205" s="257"/>
      <c r="BB205" s="257"/>
      <c r="BC205" s="257"/>
      <c r="BD205" s="258"/>
      <c r="BE205" s="260"/>
      <c r="BF205" s="258"/>
      <c r="BG205" s="260"/>
      <c r="BH205" s="257"/>
      <c r="BI205" s="14"/>
    </row>
    <row r="206" spans="1:61" ht="13.15" x14ac:dyDescent="0.4">
      <c r="A206" s="248"/>
      <c r="B206" s="256"/>
      <c r="C206" s="248"/>
      <c r="D206" s="248"/>
      <c r="E206" s="248"/>
      <c r="F206" s="250"/>
      <c r="G206" s="248"/>
      <c r="H206" s="32"/>
      <c r="I206" s="248"/>
      <c r="J206" s="248"/>
      <c r="K206" s="251"/>
      <c r="L206" s="238"/>
      <c r="M206" s="248"/>
      <c r="N206" s="248"/>
      <c r="O206" s="248"/>
      <c r="P206" s="250"/>
      <c r="Q206" s="252"/>
      <c r="R206" s="248"/>
      <c r="S206" s="248"/>
      <c r="T206" s="248"/>
      <c r="U206" s="248"/>
      <c r="V206" s="248"/>
      <c r="W206" s="248"/>
      <c r="X206" s="248"/>
      <c r="Y206" s="248"/>
      <c r="Z206" s="253"/>
      <c r="AA206" s="253"/>
      <c r="AB206" s="253"/>
      <c r="AC206" s="253"/>
      <c r="AD206" s="253"/>
      <c r="AE206" s="253"/>
      <c r="AF206" s="254"/>
      <c r="AG206" s="257"/>
      <c r="AH206" s="257"/>
      <c r="AI206" s="257"/>
      <c r="AJ206" s="258"/>
      <c r="AK206" s="259"/>
      <c r="AL206" s="257"/>
      <c r="AM206" s="257"/>
      <c r="AN206" s="257"/>
      <c r="AO206" s="257"/>
      <c r="AP206" s="257"/>
      <c r="AQ206" s="258"/>
      <c r="AR206" s="260"/>
      <c r="AS206" s="257"/>
      <c r="AT206" s="257"/>
      <c r="AU206" s="257"/>
      <c r="AV206" s="257"/>
      <c r="AW206" s="257"/>
      <c r="AX206" s="258"/>
      <c r="AY206" s="260"/>
      <c r="AZ206" s="257"/>
      <c r="BA206" s="257"/>
      <c r="BB206" s="257"/>
      <c r="BC206" s="257"/>
      <c r="BD206" s="258"/>
      <c r="BE206" s="260"/>
      <c r="BF206" s="258"/>
      <c r="BG206" s="260"/>
      <c r="BH206" s="257"/>
      <c r="BI206" s="14"/>
    </row>
    <row r="207" spans="1:61" ht="13.15" x14ac:dyDescent="0.4">
      <c r="A207" s="248"/>
      <c r="B207" s="256"/>
      <c r="C207" s="248"/>
      <c r="D207" s="248"/>
      <c r="E207" s="248"/>
      <c r="F207" s="250"/>
      <c r="G207" s="248"/>
      <c r="H207" s="32"/>
      <c r="I207" s="248"/>
      <c r="J207" s="248"/>
      <c r="K207" s="251"/>
      <c r="L207" s="238"/>
      <c r="M207" s="248"/>
      <c r="N207" s="248"/>
      <c r="O207" s="248"/>
      <c r="P207" s="250"/>
      <c r="Q207" s="252"/>
      <c r="R207" s="248"/>
      <c r="S207" s="248"/>
      <c r="T207" s="248"/>
      <c r="U207" s="248"/>
      <c r="V207" s="248"/>
      <c r="W207" s="248"/>
      <c r="X207" s="248"/>
      <c r="Y207" s="248"/>
      <c r="Z207" s="253"/>
      <c r="AA207" s="253"/>
      <c r="AB207" s="253"/>
      <c r="AC207" s="253"/>
      <c r="AD207" s="253"/>
      <c r="AE207" s="253"/>
      <c r="AF207" s="254"/>
      <c r="AG207" s="257"/>
      <c r="AH207" s="257"/>
      <c r="AI207" s="257"/>
      <c r="AJ207" s="258"/>
      <c r="AK207" s="259"/>
      <c r="AL207" s="257"/>
      <c r="AM207" s="257"/>
      <c r="AN207" s="257"/>
      <c r="AO207" s="257"/>
      <c r="AP207" s="257"/>
      <c r="AQ207" s="258"/>
      <c r="AR207" s="260"/>
      <c r="AS207" s="257"/>
      <c r="AT207" s="257"/>
      <c r="AU207" s="257"/>
      <c r="AV207" s="257"/>
      <c r="AW207" s="257"/>
      <c r="AX207" s="258"/>
      <c r="AY207" s="260"/>
      <c r="AZ207" s="257"/>
      <c r="BA207" s="257"/>
      <c r="BB207" s="257"/>
      <c r="BC207" s="257"/>
      <c r="BD207" s="258"/>
      <c r="BE207" s="260"/>
      <c r="BF207" s="258"/>
      <c r="BG207" s="260"/>
      <c r="BH207" s="257"/>
      <c r="BI207" s="14"/>
    </row>
    <row r="208" spans="1:61" ht="13.15" x14ac:dyDescent="0.4">
      <c r="A208" s="248"/>
      <c r="B208" s="256"/>
      <c r="C208" s="248"/>
      <c r="D208" s="248"/>
      <c r="E208" s="248"/>
      <c r="F208" s="250"/>
      <c r="G208" s="248"/>
      <c r="H208" s="32"/>
      <c r="I208" s="248"/>
      <c r="J208" s="248"/>
      <c r="K208" s="251"/>
      <c r="L208" s="238"/>
      <c r="M208" s="248"/>
      <c r="N208" s="248"/>
      <c r="O208" s="248"/>
      <c r="P208" s="250"/>
      <c r="Q208" s="252"/>
      <c r="R208" s="248"/>
      <c r="S208" s="248"/>
      <c r="T208" s="248"/>
      <c r="U208" s="248"/>
      <c r="V208" s="248"/>
      <c r="W208" s="248"/>
      <c r="X208" s="248"/>
      <c r="Y208" s="248"/>
      <c r="Z208" s="253"/>
      <c r="AA208" s="253"/>
      <c r="AB208" s="253"/>
      <c r="AC208" s="253"/>
      <c r="AD208" s="253"/>
      <c r="AE208" s="253"/>
      <c r="AF208" s="254"/>
      <c r="AG208" s="257"/>
      <c r="AH208" s="257"/>
      <c r="AI208" s="257"/>
      <c r="AJ208" s="258"/>
      <c r="AK208" s="259"/>
      <c r="AL208" s="257"/>
      <c r="AM208" s="257"/>
      <c r="AN208" s="257"/>
      <c r="AO208" s="257"/>
      <c r="AP208" s="257"/>
      <c r="AQ208" s="258"/>
      <c r="AR208" s="260"/>
      <c r="AS208" s="257"/>
      <c r="AT208" s="257"/>
      <c r="AU208" s="257"/>
      <c r="AV208" s="257"/>
      <c r="AW208" s="257"/>
      <c r="AX208" s="258"/>
      <c r="AY208" s="260"/>
      <c r="AZ208" s="257"/>
      <c r="BA208" s="257"/>
      <c r="BB208" s="257"/>
      <c r="BC208" s="257"/>
      <c r="BD208" s="258"/>
      <c r="BE208" s="260"/>
      <c r="BF208" s="258"/>
      <c r="BG208" s="260"/>
      <c r="BH208" s="257"/>
      <c r="BI208" s="14"/>
    </row>
    <row r="209" spans="1:61" ht="13.15" x14ac:dyDescent="0.4">
      <c r="A209" s="248"/>
      <c r="B209" s="256"/>
      <c r="C209" s="248"/>
      <c r="D209" s="248"/>
      <c r="E209" s="248"/>
      <c r="F209" s="250"/>
      <c r="G209" s="248"/>
      <c r="H209" s="32"/>
      <c r="I209" s="248"/>
      <c r="J209" s="248"/>
      <c r="K209" s="251"/>
      <c r="L209" s="238"/>
      <c r="M209" s="248"/>
      <c r="N209" s="248"/>
      <c r="O209" s="248"/>
      <c r="P209" s="250"/>
      <c r="Q209" s="252"/>
      <c r="R209" s="248"/>
      <c r="S209" s="248"/>
      <c r="T209" s="248"/>
      <c r="U209" s="248"/>
      <c r="V209" s="248"/>
      <c r="W209" s="248"/>
      <c r="X209" s="248"/>
      <c r="Y209" s="248"/>
      <c r="Z209" s="253"/>
      <c r="AA209" s="253"/>
      <c r="AB209" s="253"/>
      <c r="AC209" s="253"/>
      <c r="AD209" s="253"/>
      <c r="AE209" s="253"/>
      <c r="AF209" s="254"/>
      <c r="AG209" s="257"/>
      <c r="AH209" s="257"/>
      <c r="AI209" s="257"/>
      <c r="AJ209" s="258"/>
      <c r="AK209" s="259"/>
      <c r="AL209" s="257"/>
      <c r="AM209" s="257"/>
      <c r="AN209" s="257"/>
      <c r="AO209" s="257"/>
      <c r="AP209" s="257"/>
      <c r="AQ209" s="258"/>
      <c r="AR209" s="260"/>
      <c r="AS209" s="257"/>
      <c r="AT209" s="257"/>
      <c r="AU209" s="257"/>
      <c r="AV209" s="257"/>
      <c r="AW209" s="257"/>
      <c r="AX209" s="258"/>
      <c r="AY209" s="260"/>
      <c r="AZ209" s="257"/>
      <c r="BA209" s="257"/>
      <c r="BB209" s="257"/>
      <c r="BC209" s="257"/>
      <c r="BD209" s="258"/>
      <c r="BE209" s="260"/>
      <c r="BF209" s="258"/>
      <c r="BG209" s="260"/>
      <c r="BH209" s="257"/>
      <c r="BI209" s="14"/>
    </row>
    <row r="210" spans="1:61" ht="13.15" x14ac:dyDescent="0.4">
      <c r="A210" s="248"/>
      <c r="B210" s="256"/>
      <c r="C210" s="248"/>
      <c r="D210" s="248"/>
      <c r="E210" s="248"/>
      <c r="F210" s="250"/>
      <c r="G210" s="248"/>
      <c r="H210" s="32"/>
      <c r="I210" s="248"/>
      <c r="J210" s="248"/>
      <c r="K210" s="251"/>
      <c r="L210" s="238"/>
      <c r="M210" s="248"/>
      <c r="N210" s="248"/>
      <c r="O210" s="248"/>
      <c r="P210" s="250"/>
      <c r="Q210" s="252"/>
      <c r="R210" s="248"/>
      <c r="S210" s="248"/>
      <c r="T210" s="248"/>
      <c r="U210" s="248"/>
      <c r="V210" s="248"/>
      <c r="W210" s="248"/>
      <c r="X210" s="248"/>
      <c r="Y210" s="248"/>
      <c r="Z210" s="253"/>
      <c r="AA210" s="253"/>
      <c r="AB210" s="253"/>
      <c r="AC210" s="253"/>
      <c r="AD210" s="253"/>
      <c r="AE210" s="253"/>
      <c r="AF210" s="254"/>
      <c r="AG210" s="257"/>
      <c r="AH210" s="257"/>
      <c r="AI210" s="257"/>
      <c r="AJ210" s="258"/>
      <c r="AK210" s="259"/>
      <c r="AL210" s="257"/>
      <c r="AM210" s="257"/>
      <c r="AN210" s="257"/>
      <c r="AO210" s="257"/>
      <c r="AP210" s="257"/>
      <c r="AQ210" s="258"/>
      <c r="AR210" s="260"/>
      <c r="AS210" s="257"/>
      <c r="AT210" s="257"/>
      <c r="AU210" s="257"/>
      <c r="AV210" s="257"/>
      <c r="AW210" s="257"/>
      <c r="AX210" s="258"/>
      <c r="AY210" s="260"/>
      <c r="AZ210" s="257"/>
      <c r="BA210" s="257"/>
      <c r="BB210" s="257"/>
      <c r="BC210" s="257"/>
      <c r="BD210" s="258"/>
      <c r="BE210" s="260"/>
      <c r="BF210" s="258"/>
      <c r="BG210" s="260"/>
      <c r="BH210" s="257"/>
      <c r="BI210" s="14"/>
    </row>
    <row r="211" spans="1:61" ht="13.15" x14ac:dyDescent="0.4">
      <c r="A211" s="248"/>
      <c r="B211" s="256"/>
      <c r="C211" s="248"/>
      <c r="D211" s="248"/>
      <c r="E211" s="248"/>
      <c r="F211" s="250"/>
      <c r="G211" s="248"/>
      <c r="H211" s="32"/>
      <c r="I211" s="248"/>
      <c r="J211" s="248"/>
      <c r="K211" s="251"/>
      <c r="L211" s="238"/>
      <c r="M211" s="248"/>
      <c r="N211" s="248"/>
      <c r="O211" s="248"/>
      <c r="P211" s="250"/>
      <c r="Q211" s="252"/>
      <c r="R211" s="248"/>
      <c r="S211" s="248"/>
      <c r="T211" s="248"/>
      <c r="U211" s="248"/>
      <c r="V211" s="248"/>
      <c r="W211" s="248"/>
      <c r="X211" s="248"/>
      <c r="Y211" s="248"/>
      <c r="Z211" s="253"/>
      <c r="AA211" s="253"/>
      <c r="AB211" s="253"/>
      <c r="AC211" s="253"/>
      <c r="AD211" s="253"/>
      <c r="AE211" s="253"/>
      <c r="AF211" s="254"/>
      <c r="AG211" s="257"/>
      <c r="AH211" s="257"/>
      <c r="AI211" s="257"/>
      <c r="AJ211" s="258"/>
      <c r="AK211" s="259"/>
      <c r="AL211" s="257"/>
      <c r="AM211" s="257"/>
      <c r="AN211" s="257"/>
      <c r="AO211" s="257"/>
      <c r="AP211" s="257"/>
      <c r="AQ211" s="258"/>
      <c r="AR211" s="260"/>
      <c r="AS211" s="257"/>
      <c r="AT211" s="257"/>
      <c r="AU211" s="257"/>
      <c r="AV211" s="257"/>
      <c r="AW211" s="257"/>
      <c r="AX211" s="258"/>
      <c r="AY211" s="260"/>
      <c r="AZ211" s="257"/>
      <c r="BA211" s="257"/>
      <c r="BB211" s="257"/>
      <c r="BC211" s="257"/>
      <c r="BD211" s="258"/>
      <c r="BE211" s="260"/>
      <c r="BF211" s="258"/>
      <c r="BG211" s="260"/>
      <c r="BH211" s="257"/>
      <c r="BI211" s="14"/>
    </row>
    <row r="212" spans="1:61" ht="13.15" x14ac:dyDescent="0.4">
      <c r="A212" s="248"/>
      <c r="B212" s="256"/>
      <c r="C212" s="248"/>
      <c r="D212" s="248"/>
      <c r="E212" s="248"/>
      <c r="F212" s="250"/>
      <c r="G212" s="248"/>
      <c r="H212" s="32"/>
      <c r="I212" s="248"/>
      <c r="J212" s="248"/>
      <c r="K212" s="251"/>
      <c r="L212" s="238"/>
      <c r="M212" s="248"/>
      <c r="N212" s="248"/>
      <c r="O212" s="248"/>
      <c r="P212" s="250"/>
      <c r="Q212" s="252"/>
      <c r="R212" s="248"/>
      <c r="S212" s="248"/>
      <c r="T212" s="248"/>
      <c r="U212" s="248"/>
      <c r="V212" s="248"/>
      <c r="W212" s="248"/>
      <c r="X212" s="248"/>
      <c r="Y212" s="248"/>
      <c r="Z212" s="253"/>
      <c r="AA212" s="253"/>
      <c r="AB212" s="253"/>
      <c r="AC212" s="253"/>
      <c r="AD212" s="253"/>
      <c r="AE212" s="253"/>
      <c r="AF212" s="254"/>
      <c r="AG212" s="257"/>
      <c r="AH212" s="257"/>
      <c r="AI212" s="257"/>
      <c r="AJ212" s="258"/>
      <c r="AK212" s="259"/>
      <c r="AL212" s="257"/>
      <c r="AM212" s="257"/>
      <c r="AN212" s="257"/>
      <c r="AO212" s="257"/>
      <c r="AP212" s="257"/>
      <c r="AQ212" s="258"/>
      <c r="AR212" s="260"/>
      <c r="AS212" s="257"/>
      <c r="AT212" s="257"/>
      <c r="AU212" s="257"/>
      <c r="AV212" s="257"/>
      <c r="AW212" s="257"/>
      <c r="AX212" s="258"/>
      <c r="AY212" s="260"/>
      <c r="AZ212" s="257"/>
      <c r="BA212" s="257"/>
      <c r="BB212" s="257"/>
      <c r="BC212" s="257"/>
      <c r="BD212" s="258"/>
      <c r="BE212" s="260"/>
      <c r="BF212" s="258"/>
      <c r="BG212" s="260"/>
      <c r="BH212" s="257"/>
      <c r="BI212" s="14"/>
    </row>
    <row r="213" spans="1:61" ht="13.15" x14ac:dyDescent="0.4">
      <c r="A213" s="248"/>
      <c r="B213" s="256"/>
      <c r="C213" s="248"/>
      <c r="D213" s="248"/>
      <c r="E213" s="248"/>
      <c r="F213" s="250"/>
      <c r="G213" s="248"/>
      <c r="H213" s="32"/>
      <c r="I213" s="248"/>
      <c r="J213" s="248"/>
      <c r="K213" s="251"/>
      <c r="L213" s="238"/>
      <c r="M213" s="248"/>
      <c r="N213" s="248"/>
      <c r="O213" s="248"/>
      <c r="P213" s="250"/>
      <c r="Q213" s="252"/>
      <c r="R213" s="248"/>
      <c r="S213" s="248"/>
      <c r="T213" s="248"/>
      <c r="U213" s="248"/>
      <c r="V213" s="248"/>
      <c r="W213" s="248"/>
      <c r="X213" s="248"/>
      <c r="Y213" s="248"/>
      <c r="Z213" s="253"/>
      <c r="AA213" s="253"/>
      <c r="AB213" s="253"/>
      <c r="AC213" s="253"/>
      <c r="AD213" s="253"/>
      <c r="AE213" s="253"/>
      <c r="AF213" s="254"/>
      <c r="AG213" s="257"/>
      <c r="AH213" s="257"/>
      <c r="AI213" s="257"/>
      <c r="AJ213" s="258"/>
      <c r="AK213" s="259"/>
      <c r="AL213" s="257"/>
      <c r="AM213" s="257"/>
      <c r="AN213" s="257"/>
      <c r="AO213" s="257"/>
      <c r="AP213" s="257"/>
      <c r="AQ213" s="258"/>
      <c r="AR213" s="260"/>
      <c r="AS213" s="257"/>
      <c r="AT213" s="257"/>
      <c r="AU213" s="257"/>
      <c r="AV213" s="257"/>
      <c r="AW213" s="257"/>
      <c r="AX213" s="258"/>
      <c r="AY213" s="260"/>
      <c r="AZ213" s="257"/>
      <c r="BA213" s="257"/>
      <c r="BB213" s="257"/>
      <c r="BC213" s="257"/>
      <c r="BD213" s="258"/>
      <c r="BE213" s="260"/>
      <c r="BF213" s="258"/>
      <c r="BG213" s="260"/>
      <c r="BH213" s="257"/>
      <c r="BI213" s="14"/>
    </row>
    <row r="214" spans="1:61" ht="13.15" x14ac:dyDescent="0.4">
      <c r="A214" s="248"/>
      <c r="B214" s="256"/>
      <c r="C214" s="248"/>
      <c r="D214" s="248"/>
      <c r="E214" s="248"/>
      <c r="F214" s="250"/>
      <c r="G214" s="248"/>
      <c r="H214" s="32"/>
      <c r="I214" s="248"/>
      <c r="J214" s="248"/>
      <c r="K214" s="251"/>
      <c r="L214" s="238"/>
      <c r="M214" s="248"/>
      <c r="N214" s="248"/>
      <c r="O214" s="248"/>
      <c r="P214" s="250"/>
      <c r="Q214" s="252"/>
      <c r="R214" s="248"/>
      <c r="S214" s="248"/>
      <c r="T214" s="248"/>
      <c r="U214" s="248"/>
      <c r="V214" s="248"/>
      <c r="W214" s="248"/>
      <c r="X214" s="248"/>
      <c r="Y214" s="248"/>
      <c r="Z214" s="253"/>
      <c r="AA214" s="253"/>
      <c r="AB214" s="253"/>
      <c r="AC214" s="253"/>
      <c r="AD214" s="253"/>
      <c r="AE214" s="253"/>
      <c r="AF214" s="254"/>
      <c r="AG214" s="257"/>
      <c r="AH214" s="257"/>
      <c r="AI214" s="257"/>
      <c r="AJ214" s="258"/>
      <c r="AK214" s="259"/>
      <c r="AL214" s="257"/>
      <c r="AM214" s="257"/>
      <c r="AN214" s="257"/>
      <c r="AO214" s="257"/>
      <c r="AP214" s="257"/>
      <c r="AQ214" s="258"/>
      <c r="AR214" s="260"/>
      <c r="AS214" s="257"/>
      <c r="AT214" s="257"/>
      <c r="AU214" s="257"/>
      <c r="AV214" s="257"/>
      <c r="AW214" s="257"/>
      <c r="AX214" s="258"/>
      <c r="AY214" s="260"/>
      <c r="AZ214" s="257"/>
      <c r="BA214" s="257"/>
      <c r="BB214" s="257"/>
      <c r="BC214" s="257"/>
      <c r="BD214" s="258"/>
      <c r="BE214" s="260"/>
      <c r="BF214" s="258"/>
      <c r="BG214" s="260"/>
      <c r="BH214" s="257"/>
      <c r="BI214" s="14"/>
    </row>
    <row r="215" spans="1:61" ht="13.15" x14ac:dyDescent="0.4">
      <c r="A215" s="248"/>
      <c r="B215" s="256"/>
      <c r="C215" s="248"/>
      <c r="D215" s="248"/>
      <c r="E215" s="248"/>
      <c r="F215" s="250"/>
      <c r="G215" s="248"/>
      <c r="H215" s="32"/>
      <c r="I215" s="248"/>
      <c r="J215" s="248"/>
      <c r="K215" s="251"/>
      <c r="L215" s="238"/>
      <c r="M215" s="248"/>
      <c r="N215" s="248"/>
      <c r="O215" s="248"/>
      <c r="P215" s="250"/>
      <c r="Q215" s="252"/>
      <c r="R215" s="248"/>
      <c r="S215" s="248"/>
      <c r="T215" s="248"/>
      <c r="U215" s="248"/>
      <c r="V215" s="248"/>
      <c r="W215" s="248"/>
      <c r="X215" s="248"/>
      <c r="Y215" s="248"/>
      <c r="Z215" s="253"/>
      <c r="AA215" s="253"/>
      <c r="AB215" s="253"/>
      <c r="AC215" s="253"/>
      <c r="AD215" s="253"/>
      <c r="AE215" s="253"/>
      <c r="AF215" s="254"/>
      <c r="AG215" s="257"/>
      <c r="AH215" s="257"/>
      <c r="AI215" s="257"/>
      <c r="AJ215" s="258"/>
      <c r="AK215" s="259"/>
      <c r="AL215" s="257"/>
      <c r="AM215" s="257"/>
      <c r="AN215" s="257"/>
      <c r="AO215" s="257"/>
      <c r="AP215" s="257"/>
      <c r="AQ215" s="258"/>
      <c r="AR215" s="260"/>
      <c r="AS215" s="257"/>
      <c r="AT215" s="257"/>
      <c r="AU215" s="257"/>
      <c r="AV215" s="257"/>
      <c r="AW215" s="257"/>
      <c r="AX215" s="258"/>
      <c r="AY215" s="260"/>
      <c r="AZ215" s="257"/>
      <c r="BA215" s="257"/>
      <c r="BB215" s="257"/>
      <c r="BC215" s="257"/>
      <c r="BD215" s="258"/>
      <c r="BE215" s="260"/>
      <c r="BF215" s="258"/>
      <c r="BG215" s="260"/>
      <c r="BH215" s="257"/>
      <c r="BI215" s="14"/>
    </row>
    <row r="216" spans="1:61" ht="13.15" x14ac:dyDescent="0.4">
      <c r="A216" s="248"/>
      <c r="B216" s="256"/>
      <c r="C216" s="248"/>
      <c r="D216" s="248"/>
      <c r="E216" s="248"/>
      <c r="F216" s="250"/>
      <c r="G216" s="248"/>
      <c r="H216" s="32"/>
      <c r="I216" s="248"/>
      <c r="J216" s="248"/>
      <c r="K216" s="251"/>
      <c r="L216" s="238"/>
      <c r="M216" s="248"/>
      <c r="N216" s="248"/>
      <c r="O216" s="248"/>
      <c r="P216" s="250"/>
      <c r="Q216" s="252"/>
      <c r="R216" s="248"/>
      <c r="S216" s="248"/>
      <c r="T216" s="248"/>
      <c r="U216" s="248"/>
      <c r="V216" s="248"/>
      <c r="W216" s="248"/>
      <c r="X216" s="248"/>
      <c r="Y216" s="248"/>
      <c r="Z216" s="253"/>
      <c r="AA216" s="253"/>
      <c r="AB216" s="253"/>
      <c r="AC216" s="253"/>
      <c r="AD216" s="253"/>
      <c r="AE216" s="253"/>
      <c r="AF216" s="254"/>
      <c r="AG216" s="257"/>
      <c r="AH216" s="257"/>
      <c r="AI216" s="257"/>
      <c r="AJ216" s="258"/>
      <c r="AK216" s="259"/>
      <c r="AL216" s="257"/>
      <c r="AM216" s="257"/>
      <c r="AN216" s="257"/>
      <c r="AO216" s="257"/>
      <c r="AP216" s="257"/>
      <c r="AQ216" s="258"/>
      <c r="AR216" s="260"/>
      <c r="AS216" s="257"/>
      <c r="AT216" s="257"/>
      <c r="AU216" s="257"/>
      <c r="AV216" s="257"/>
      <c r="AW216" s="257"/>
      <c r="AX216" s="258"/>
      <c r="AY216" s="260"/>
      <c r="AZ216" s="257"/>
      <c r="BA216" s="257"/>
      <c r="BB216" s="257"/>
      <c r="BC216" s="257"/>
      <c r="BD216" s="258"/>
      <c r="BE216" s="260"/>
      <c r="BF216" s="258"/>
      <c r="BG216" s="260"/>
      <c r="BH216" s="257"/>
      <c r="BI216" s="14"/>
    </row>
    <row r="217" spans="1:61" ht="13.15" x14ac:dyDescent="0.4">
      <c r="A217" s="248"/>
      <c r="B217" s="256"/>
      <c r="C217" s="248"/>
      <c r="D217" s="248"/>
      <c r="E217" s="248"/>
      <c r="F217" s="250"/>
      <c r="G217" s="248"/>
      <c r="H217" s="32"/>
      <c r="I217" s="248"/>
      <c r="J217" s="248"/>
      <c r="K217" s="251"/>
      <c r="L217" s="238"/>
      <c r="M217" s="248"/>
      <c r="N217" s="248"/>
      <c r="O217" s="248"/>
      <c r="P217" s="250"/>
      <c r="Q217" s="252"/>
      <c r="R217" s="248"/>
      <c r="S217" s="248"/>
      <c r="T217" s="248"/>
      <c r="U217" s="248"/>
      <c r="V217" s="248"/>
      <c r="W217" s="248"/>
      <c r="X217" s="248"/>
      <c r="Y217" s="248"/>
      <c r="Z217" s="253"/>
      <c r="AA217" s="253"/>
      <c r="AB217" s="253"/>
      <c r="AC217" s="253"/>
      <c r="AD217" s="253"/>
      <c r="AE217" s="253"/>
      <c r="AF217" s="254"/>
      <c r="AG217" s="257"/>
      <c r="AH217" s="257"/>
      <c r="AI217" s="257"/>
      <c r="AJ217" s="258"/>
      <c r="AK217" s="259"/>
      <c r="AL217" s="257"/>
      <c r="AM217" s="257"/>
      <c r="AN217" s="257"/>
      <c r="AO217" s="257"/>
      <c r="AP217" s="257"/>
      <c r="AQ217" s="258"/>
      <c r="AR217" s="260"/>
      <c r="AS217" s="257"/>
      <c r="AT217" s="257"/>
      <c r="AU217" s="257"/>
      <c r="AV217" s="257"/>
      <c r="AW217" s="257"/>
      <c r="AX217" s="258"/>
      <c r="AY217" s="260"/>
      <c r="AZ217" s="257"/>
      <c r="BA217" s="257"/>
      <c r="BB217" s="257"/>
      <c r="BC217" s="257"/>
      <c r="BD217" s="258"/>
      <c r="BE217" s="260"/>
      <c r="BF217" s="258"/>
      <c r="BG217" s="260"/>
      <c r="BH217" s="257"/>
      <c r="BI217" s="14"/>
    </row>
    <row r="218" spans="1:61" ht="13.15" x14ac:dyDescent="0.4">
      <c r="A218" s="248"/>
      <c r="B218" s="256"/>
      <c r="C218" s="248"/>
      <c r="D218" s="248"/>
      <c r="E218" s="248"/>
      <c r="F218" s="250"/>
      <c r="G218" s="248"/>
      <c r="H218" s="32"/>
      <c r="I218" s="248"/>
      <c r="J218" s="248"/>
      <c r="K218" s="251"/>
      <c r="L218" s="238"/>
      <c r="M218" s="248"/>
      <c r="N218" s="248"/>
      <c r="O218" s="248"/>
      <c r="P218" s="250"/>
      <c r="Q218" s="252"/>
      <c r="R218" s="248"/>
      <c r="S218" s="248"/>
      <c r="T218" s="248"/>
      <c r="U218" s="248"/>
      <c r="V218" s="248"/>
      <c r="W218" s="248"/>
      <c r="X218" s="248"/>
      <c r="Y218" s="248"/>
      <c r="Z218" s="253"/>
      <c r="AA218" s="253"/>
      <c r="AB218" s="253"/>
      <c r="AC218" s="253"/>
      <c r="AD218" s="253"/>
      <c r="AE218" s="253"/>
      <c r="AF218" s="254"/>
      <c r="AG218" s="257"/>
      <c r="AH218" s="257"/>
      <c r="AI218" s="257"/>
      <c r="AJ218" s="258"/>
      <c r="AK218" s="259"/>
      <c r="AL218" s="257"/>
      <c r="AM218" s="257"/>
      <c r="AN218" s="257"/>
      <c r="AO218" s="257"/>
      <c r="AP218" s="257"/>
      <c r="AQ218" s="258"/>
      <c r="AR218" s="260"/>
      <c r="AS218" s="257"/>
      <c r="AT218" s="257"/>
      <c r="AU218" s="257"/>
      <c r="AV218" s="257"/>
      <c r="AW218" s="257"/>
      <c r="AX218" s="258"/>
      <c r="AY218" s="260"/>
      <c r="AZ218" s="257"/>
      <c r="BA218" s="257"/>
      <c r="BB218" s="257"/>
      <c r="BC218" s="257"/>
      <c r="BD218" s="258"/>
      <c r="BE218" s="260"/>
      <c r="BF218" s="258"/>
      <c r="BG218" s="260"/>
      <c r="BH218" s="257"/>
      <c r="BI218" s="14"/>
    </row>
    <row r="219" spans="1:61" ht="13.15" x14ac:dyDescent="0.4">
      <c r="A219" s="248"/>
      <c r="B219" s="256"/>
      <c r="C219" s="248"/>
      <c r="D219" s="248"/>
      <c r="E219" s="248"/>
      <c r="F219" s="250"/>
      <c r="G219" s="248"/>
      <c r="H219" s="32"/>
      <c r="I219" s="248"/>
      <c r="J219" s="248"/>
      <c r="K219" s="251"/>
      <c r="L219" s="238"/>
      <c r="M219" s="248"/>
      <c r="N219" s="248"/>
      <c r="O219" s="248"/>
      <c r="P219" s="250"/>
      <c r="Q219" s="252"/>
      <c r="R219" s="248"/>
      <c r="S219" s="248"/>
      <c r="T219" s="248"/>
      <c r="U219" s="248"/>
      <c r="V219" s="248"/>
      <c r="W219" s="248"/>
      <c r="X219" s="248"/>
      <c r="Y219" s="248"/>
      <c r="Z219" s="253"/>
      <c r="AA219" s="253"/>
      <c r="AB219" s="253"/>
      <c r="AC219" s="253"/>
      <c r="AD219" s="253"/>
      <c r="AE219" s="253"/>
      <c r="AF219" s="254"/>
      <c r="AG219" s="257"/>
      <c r="AH219" s="257"/>
      <c r="AI219" s="257"/>
      <c r="AJ219" s="258"/>
      <c r="AK219" s="259"/>
      <c r="AL219" s="257"/>
      <c r="AM219" s="257"/>
      <c r="AN219" s="257"/>
      <c r="AO219" s="257"/>
      <c r="AP219" s="257"/>
      <c r="AQ219" s="258"/>
      <c r="AR219" s="260"/>
      <c r="AS219" s="257"/>
      <c r="AT219" s="257"/>
      <c r="AU219" s="257"/>
      <c r="AV219" s="257"/>
      <c r="AW219" s="257"/>
      <c r="AX219" s="258"/>
      <c r="AY219" s="260"/>
      <c r="AZ219" s="257"/>
      <c r="BA219" s="257"/>
      <c r="BB219" s="257"/>
      <c r="BC219" s="257"/>
      <c r="BD219" s="258"/>
      <c r="BE219" s="260"/>
      <c r="BF219" s="258"/>
      <c r="BG219" s="260"/>
      <c r="BH219" s="257"/>
      <c r="BI219" s="14"/>
    </row>
    <row r="220" spans="1:61" ht="13.15" x14ac:dyDescent="0.4">
      <c r="A220" s="248"/>
      <c r="B220" s="256"/>
      <c r="C220" s="248"/>
      <c r="D220" s="248"/>
      <c r="E220" s="248"/>
      <c r="F220" s="250"/>
      <c r="G220" s="248"/>
      <c r="H220" s="32"/>
      <c r="I220" s="248"/>
      <c r="J220" s="248"/>
      <c r="K220" s="251"/>
      <c r="L220" s="238"/>
      <c r="M220" s="248"/>
      <c r="N220" s="248"/>
      <c r="O220" s="248"/>
      <c r="P220" s="250"/>
      <c r="Q220" s="252"/>
      <c r="R220" s="248"/>
      <c r="S220" s="248"/>
      <c r="T220" s="248"/>
      <c r="U220" s="248"/>
      <c r="V220" s="248"/>
      <c r="W220" s="248"/>
      <c r="X220" s="248"/>
      <c r="Y220" s="248"/>
      <c r="Z220" s="253"/>
      <c r="AA220" s="253"/>
      <c r="AB220" s="253"/>
      <c r="AC220" s="253"/>
      <c r="AD220" s="253"/>
      <c r="AE220" s="253"/>
      <c r="AF220" s="254"/>
      <c r="AG220" s="257"/>
      <c r="AH220" s="257"/>
      <c r="AI220" s="257"/>
      <c r="AJ220" s="258"/>
      <c r="AK220" s="259"/>
      <c r="AL220" s="257"/>
      <c r="AM220" s="257"/>
      <c r="AN220" s="257"/>
      <c r="AO220" s="257"/>
      <c r="AP220" s="257"/>
      <c r="AQ220" s="258"/>
      <c r="AR220" s="260"/>
      <c r="AS220" s="257"/>
      <c r="AT220" s="257"/>
      <c r="AU220" s="257"/>
      <c r="AV220" s="257"/>
      <c r="AW220" s="257"/>
      <c r="AX220" s="258"/>
      <c r="AY220" s="260"/>
      <c r="AZ220" s="257"/>
      <c r="BA220" s="257"/>
      <c r="BB220" s="257"/>
      <c r="BC220" s="257"/>
      <c r="BD220" s="258"/>
      <c r="BE220" s="260"/>
      <c r="BF220" s="258"/>
      <c r="BG220" s="260"/>
      <c r="BH220" s="257"/>
      <c r="BI220" s="14"/>
    </row>
    <row r="221" spans="1:61" ht="13.15" x14ac:dyDescent="0.4">
      <c r="A221" s="248"/>
      <c r="B221" s="256"/>
      <c r="C221" s="248"/>
      <c r="D221" s="248"/>
      <c r="E221" s="248"/>
      <c r="F221" s="250"/>
      <c r="G221" s="248"/>
      <c r="H221" s="32"/>
      <c r="I221" s="248"/>
      <c r="J221" s="248"/>
      <c r="K221" s="251"/>
      <c r="L221" s="238"/>
      <c r="M221" s="248"/>
      <c r="N221" s="248"/>
      <c r="O221" s="248"/>
      <c r="P221" s="250"/>
      <c r="Q221" s="252"/>
      <c r="R221" s="248"/>
      <c r="S221" s="248"/>
      <c r="T221" s="248"/>
      <c r="U221" s="248"/>
      <c r="V221" s="248"/>
      <c r="W221" s="248"/>
      <c r="X221" s="248"/>
      <c r="Y221" s="248"/>
      <c r="Z221" s="253"/>
      <c r="AA221" s="253"/>
      <c r="AB221" s="253"/>
      <c r="AC221" s="253"/>
      <c r="AD221" s="253"/>
      <c r="AE221" s="253"/>
      <c r="AF221" s="254"/>
      <c r="AG221" s="257"/>
      <c r="AH221" s="257"/>
      <c r="AI221" s="257"/>
      <c r="AJ221" s="258"/>
      <c r="AK221" s="259"/>
      <c r="AL221" s="257"/>
      <c r="AM221" s="257"/>
      <c r="AN221" s="257"/>
      <c r="AO221" s="257"/>
      <c r="AP221" s="257"/>
      <c r="AQ221" s="258"/>
      <c r="AR221" s="260"/>
      <c r="AS221" s="257"/>
      <c r="AT221" s="257"/>
      <c r="AU221" s="257"/>
      <c r="AV221" s="257"/>
      <c r="AW221" s="257"/>
      <c r="AX221" s="258"/>
      <c r="AY221" s="260"/>
      <c r="AZ221" s="257"/>
      <c r="BA221" s="257"/>
      <c r="BB221" s="257"/>
      <c r="BC221" s="257"/>
      <c r="BD221" s="258"/>
      <c r="BE221" s="260"/>
      <c r="BF221" s="258"/>
      <c r="BG221" s="260"/>
      <c r="BH221" s="257"/>
      <c r="BI221" s="14"/>
    </row>
    <row r="222" spans="1:61" ht="13.15" x14ac:dyDescent="0.4">
      <c r="A222" s="248"/>
      <c r="B222" s="256"/>
      <c r="C222" s="248"/>
      <c r="D222" s="248"/>
      <c r="E222" s="248"/>
      <c r="F222" s="250"/>
      <c r="G222" s="248"/>
      <c r="H222" s="32"/>
      <c r="I222" s="248"/>
      <c r="J222" s="248"/>
      <c r="K222" s="251"/>
      <c r="L222" s="238"/>
      <c r="M222" s="248"/>
      <c r="N222" s="248"/>
      <c r="O222" s="248"/>
      <c r="P222" s="250"/>
      <c r="Q222" s="252"/>
      <c r="R222" s="248"/>
      <c r="S222" s="248"/>
      <c r="T222" s="248"/>
      <c r="U222" s="248"/>
      <c r="V222" s="248"/>
      <c r="W222" s="248"/>
      <c r="X222" s="248"/>
      <c r="Y222" s="248"/>
      <c r="Z222" s="253"/>
      <c r="AA222" s="253"/>
      <c r="AB222" s="253"/>
      <c r="AC222" s="253"/>
      <c r="AD222" s="253"/>
      <c r="AE222" s="253"/>
      <c r="AF222" s="254"/>
      <c r="AG222" s="257"/>
      <c r="AH222" s="257"/>
      <c r="AI222" s="257"/>
      <c r="AJ222" s="258"/>
      <c r="AK222" s="259"/>
      <c r="AL222" s="257"/>
      <c r="AM222" s="257"/>
      <c r="AN222" s="257"/>
      <c r="AO222" s="257"/>
      <c r="AP222" s="257"/>
      <c r="AQ222" s="258"/>
      <c r="AR222" s="260"/>
      <c r="AS222" s="257"/>
      <c r="AT222" s="257"/>
      <c r="AU222" s="257"/>
      <c r="AV222" s="257"/>
      <c r="AW222" s="257"/>
      <c r="AX222" s="258"/>
      <c r="AY222" s="260"/>
      <c r="AZ222" s="257"/>
      <c r="BA222" s="257"/>
      <c r="BB222" s="257"/>
      <c r="BC222" s="257"/>
      <c r="BD222" s="258"/>
      <c r="BE222" s="260"/>
      <c r="BF222" s="258"/>
      <c r="BG222" s="260"/>
      <c r="BH222" s="257"/>
      <c r="BI222" s="14"/>
    </row>
    <row r="223" spans="1:61" ht="13.15" x14ac:dyDescent="0.4">
      <c r="A223" s="248"/>
      <c r="B223" s="256"/>
      <c r="C223" s="248"/>
      <c r="D223" s="248"/>
      <c r="E223" s="248"/>
      <c r="F223" s="250"/>
      <c r="G223" s="248"/>
      <c r="H223" s="32"/>
      <c r="I223" s="248"/>
      <c r="J223" s="248"/>
      <c r="K223" s="251"/>
      <c r="L223" s="238"/>
      <c r="M223" s="248"/>
      <c r="N223" s="248"/>
      <c r="O223" s="248"/>
      <c r="P223" s="250"/>
      <c r="Q223" s="252"/>
      <c r="R223" s="248"/>
      <c r="S223" s="248"/>
      <c r="T223" s="248"/>
      <c r="U223" s="248"/>
      <c r="V223" s="248"/>
      <c r="W223" s="248"/>
      <c r="X223" s="248"/>
      <c r="Y223" s="248"/>
      <c r="Z223" s="253"/>
      <c r="AA223" s="253"/>
      <c r="AB223" s="253"/>
      <c r="AC223" s="253"/>
      <c r="AD223" s="253"/>
      <c r="AE223" s="253"/>
      <c r="AF223" s="254"/>
      <c r="AG223" s="257"/>
      <c r="AH223" s="257"/>
      <c r="AI223" s="257"/>
      <c r="AJ223" s="258"/>
      <c r="AK223" s="259"/>
      <c r="AL223" s="257"/>
      <c r="AM223" s="257"/>
      <c r="AN223" s="257"/>
      <c r="AO223" s="257"/>
      <c r="AP223" s="257"/>
      <c r="AQ223" s="258"/>
      <c r="AR223" s="260"/>
      <c r="AS223" s="257"/>
      <c r="AT223" s="257"/>
      <c r="AU223" s="257"/>
      <c r="AV223" s="257"/>
      <c r="AW223" s="257"/>
      <c r="AX223" s="258"/>
      <c r="AY223" s="260"/>
      <c r="AZ223" s="257"/>
      <c r="BA223" s="257"/>
      <c r="BB223" s="257"/>
      <c r="BC223" s="257"/>
      <c r="BD223" s="258"/>
      <c r="BE223" s="260"/>
      <c r="BF223" s="258"/>
      <c r="BG223" s="260"/>
      <c r="BH223" s="257"/>
      <c r="BI223" s="14"/>
    </row>
    <row r="224" spans="1:61" ht="13.15" x14ac:dyDescent="0.4">
      <c r="A224" s="248"/>
      <c r="B224" s="256"/>
      <c r="C224" s="248"/>
      <c r="D224" s="248"/>
      <c r="E224" s="248"/>
      <c r="F224" s="250"/>
      <c r="G224" s="248"/>
      <c r="H224" s="32"/>
      <c r="I224" s="248"/>
      <c r="J224" s="248"/>
      <c r="K224" s="251"/>
      <c r="L224" s="238"/>
      <c r="M224" s="248"/>
      <c r="N224" s="248"/>
      <c r="O224" s="248"/>
      <c r="P224" s="250"/>
      <c r="Q224" s="252"/>
      <c r="R224" s="248"/>
      <c r="S224" s="248"/>
      <c r="T224" s="248"/>
      <c r="U224" s="248"/>
      <c r="V224" s="248"/>
      <c r="W224" s="248"/>
      <c r="X224" s="248"/>
      <c r="Y224" s="248"/>
      <c r="Z224" s="253"/>
      <c r="AA224" s="253"/>
      <c r="AB224" s="253"/>
      <c r="AC224" s="253"/>
      <c r="AD224" s="253"/>
      <c r="AE224" s="253"/>
      <c r="AF224" s="254"/>
      <c r="AG224" s="257"/>
      <c r="AH224" s="257"/>
      <c r="AI224" s="257"/>
      <c r="AJ224" s="258"/>
      <c r="AK224" s="259"/>
      <c r="AL224" s="257"/>
      <c r="AM224" s="257"/>
      <c r="AN224" s="257"/>
      <c r="AO224" s="257"/>
      <c r="AP224" s="257"/>
      <c r="AQ224" s="258"/>
      <c r="AR224" s="260"/>
      <c r="AS224" s="257"/>
      <c r="AT224" s="257"/>
      <c r="AU224" s="257"/>
      <c r="AV224" s="257"/>
      <c r="AW224" s="257"/>
      <c r="AX224" s="258"/>
      <c r="AY224" s="260"/>
      <c r="AZ224" s="257"/>
      <c r="BA224" s="257"/>
      <c r="BB224" s="257"/>
      <c r="BC224" s="257"/>
      <c r="BD224" s="258"/>
      <c r="BE224" s="260"/>
      <c r="BF224" s="258"/>
      <c r="BG224" s="260"/>
      <c r="BH224" s="257"/>
      <c r="BI224" s="14"/>
    </row>
    <row r="225" spans="1:61" ht="13.15" x14ac:dyDescent="0.4">
      <c r="A225" s="248"/>
      <c r="B225" s="256"/>
      <c r="C225" s="248"/>
      <c r="D225" s="248"/>
      <c r="E225" s="248"/>
      <c r="F225" s="250"/>
      <c r="G225" s="248"/>
      <c r="H225" s="32"/>
      <c r="I225" s="248"/>
      <c r="J225" s="248"/>
      <c r="K225" s="251"/>
      <c r="L225" s="238"/>
      <c r="M225" s="248"/>
      <c r="N225" s="248"/>
      <c r="O225" s="248"/>
      <c r="P225" s="250"/>
      <c r="Q225" s="252"/>
      <c r="R225" s="248"/>
      <c r="S225" s="248"/>
      <c r="T225" s="248"/>
      <c r="U225" s="248"/>
      <c r="V225" s="248"/>
      <c r="W225" s="248"/>
      <c r="X225" s="248"/>
      <c r="Y225" s="248"/>
      <c r="Z225" s="253"/>
      <c r="AA225" s="253"/>
      <c r="AB225" s="253"/>
      <c r="AC225" s="253"/>
      <c r="AD225" s="253"/>
      <c r="AE225" s="253"/>
      <c r="AF225" s="254"/>
      <c r="AG225" s="257"/>
      <c r="AH225" s="257"/>
      <c r="AI225" s="257"/>
      <c r="AJ225" s="258"/>
      <c r="AK225" s="259"/>
      <c r="AL225" s="257"/>
      <c r="AM225" s="257"/>
      <c r="AN225" s="257"/>
      <c r="AO225" s="257"/>
      <c r="AP225" s="257"/>
      <c r="AQ225" s="258"/>
      <c r="AR225" s="260"/>
      <c r="AS225" s="257"/>
      <c r="AT225" s="257"/>
      <c r="AU225" s="257"/>
      <c r="AV225" s="257"/>
      <c r="AW225" s="257"/>
      <c r="AX225" s="258"/>
      <c r="AY225" s="260"/>
      <c r="AZ225" s="257"/>
      <c r="BA225" s="257"/>
      <c r="BB225" s="257"/>
      <c r="BC225" s="257"/>
      <c r="BD225" s="258"/>
      <c r="BE225" s="260"/>
      <c r="BF225" s="258"/>
      <c r="BG225" s="260"/>
      <c r="BH225" s="257"/>
      <c r="BI225" s="14"/>
    </row>
    <row r="226" spans="1:61" ht="13.15" x14ac:dyDescent="0.4">
      <c r="A226" s="248"/>
      <c r="B226" s="256"/>
      <c r="C226" s="248"/>
      <c r="D226" s="248"/>
      <c r="E226" s="248"/>
      <c r="F226" s="250"/>
      <c r="G226" s="248"/>
      <c r="H226" s="32"/>
      <c r="I226" s="248"/>
      <c r="J226" s="248"/>
      <c r="K226" s="251"/>
      <c r="L226" s="238"/>
      <c r="M226" s="248"/>
      <c r="N226" s="248"/>
      <c r="O226" s="248"/>
      <c r="P226" s="250"/>
      <c r="Q226" s="252"/>
      <c r="R226" s="248"/>
      <c r="S226" s="248"/>
      <c r="T226" s="248"/>
      <c r="U226" s="248"/>
      <c r="V226" s="248"/>
      <c r="W226" s="248"/>
      <c r="X226" s="248"/>
      <c r="Y226" s="248"/>
      <c r="Z226" s="253"/>
      <c r="AA226" s="253"/>
      <c r="AB226" s="253"/>
      <c r="AC226" s="253"/>
      <c r="AD226" s="253"/>
      <c r="AE226" s="253"/>
      <c r="AF226" s="254"/>
      <c r="AG226" s="257"/>
      <c r="AH226" s="257"/>
      <c r="AI226" s="257"/>
      <c r="AJ226" s="258"/>
      <c r="AK226" s="259"/>
      <c r="AL226" s="257"/>
      <c r="AM226" s="257"/>
      <c r="AN226" s="257"/>
      <c r="AO226" s="257"/>
      <c r="AP226" s="257"/>
      <c r="AQ226" s="258"/>
      <c r="AR226" s="260"/>
      <c r="AS226" s="257"/>
      <c r="AT226" s="257"/>
      <c r="AU226" s="257"/>
      <c r="AV226" s="257"/>
      <c r="AW226" s="257"/>
      <c r="AX226" s="258"/>
      <c r="AY226" s="260"/>
      <c r="AZ226" s="257"/>
      <c r="BA226" s="257"/>
      <c r="BB226" s="257"/>
      <c r="BC226" s="257"/>
      <c r="BD226" s="258"/>
      <c r="BE226" s="260"/>
      <c r="BF226" s="258"/>
      <c r="BG226" s="260"/>
      <c r="BH226" s="257"/>
      <c r="BI226" s="14"/>
    </row>
    <row r="227" spans="1:61" ht="13.15" x14ac:dyDescent="0.4">
      <c r="A227" s="248"/>
      <c r="B227" s="256"/>
      <c r="C227" s="248"/>
      <c r="D227" s="248"/>
      <c r="E227" s="248"/>
      <c r="F227" s="250"/>
      <c r="G227" s="248"/>
      <c r="H227" s="32"/>
      <c r="I227" s="248"/>
      <c r="J227" s="248"/>
      <c r="K227" s="251"/>
      <c r="L227" s="238"/>
      <c r="M227" s="248"/>
      <c r="N227" s="248"/>
      <c r="O227" s="248"/>
      <c r="P227" s="250"/>
      <c r="Q227" s="252"/>
      <c r="R227" s="248"/>
      <c r="S227" s="248"/>
      <c r="T227" s="248"/>
      <c r="U227" s="248"/>
      <c r="V227" s="248"/>
      <c r="W227" s="248"/>
      <c r="X227" s="248"/>
      <c r="Y227" s="248"/>
      <c r="Z227" s="253"/>
      <c r="AA227" s="253"/>
      <c r="AB227" s="253"/>
      <c r="AC227" s="253"/>
      <c r="AD227" s="253"/>
      <c r="AE227" s="253"/>
      <c r="AF227" s="254"/>
      <c r="AG227" s="257"/>
      <c r="AH227" s="257"/>
      <c r="AI227" s="257"/>
      <c r="AJ227" s="258"/>
      <c r="AK227" s="259"/>
      <c r="AL227" s="257"/>
      <c r="AM227" s="257"/>
      <c r="AN227" s="257"/>
      <c r="AO227" s="257"/>
      <c r="AP227" s="257"/>
      <c r="AQ227" s="258"/>
      <c r="AR227" s="260"/>
      <c r="AS227" s="257"/>
      <c r="AT227" s="257"/>
      <c r="AU227" s="257"/>
      <c r="AV227" s="257"/>
      <c r="AW227" s="257"/>
      <c r="AX227" s="258"/>
      <c r="AY227" s="260"/>
      <c r="AZ227" s="257"/>
      <c r="BA227" s="257"/>
      <c r="BB227" s="257"/>
      <c r="BC227" s="257"/>
      <c r="BD227" s="258"/>
      <c r="BE227" s="260"/>
      <c r="BF227" s="258"/>
      <c r="BG227" s="260"/>
      <c r="BH227" s="257"/>
      <c r="BI227" s="14"/>
    </row>
    <row r="228" spans="1:61" ht="13.15" x14ac:dyDescent="0.4">
      <c r="A228" s="248"/>
      <c r="B228" s="256"/>
      <c r="C228" s="248"/>
      <c r="D228" s="248"/>
      <c r="E228" s="248"/>
      <c r="F228" s="250"/>
      <c r="G228" s="248"/>
      <c r="H228" s="32"/>
      <c r="I228" s="248"/>
      <c r="J228" s="248"/>
      <c r="K228" s="251"/>
      <c r="L228" s="238"/>
      <c r="M228" s="248"/>
      <c r="N228" s="248"/>
      <c r="O228" s="248"/>
      <c r="P228" s="250"/>
      <c r="Q228" s="252"/>
      <c r="R228" s="248"/>
      <c r="S228" s="248"/>
      <c r="T228" s="248"/>
      <c r="U228" s="248"/>
      <c r="V228" s="248"/>
      <c r="W228" s="248"/>
      <c r="X228" s="248"/>
      <c r="Y228" s="248"/>
      <c r="Z228" s="253"/>
      <c r="AA228" s="253"/>
      <c r="AB228" s="253"/>
      <c r="AC228" s="253"/>
      <c r="AD228" s="253"/>
      <c r="AE228" s="253"/>
      <c r="AF228" s="254"/>
      <c r="AG228" s="257"/>
      <c r="AH228" s="257"/>
      <c r="AI228" s="257"/>
      <c r="AJ228" s="258"/>
      <c r="AK228" s="259"/>
      <c r="AL228" s="257"/>
      <c r="AM228" s="257"/>
      <c r="AN228" s="257"/>
      <c r="AO228" s="257"/>
      <c r="AP228" s="257"/>
      <c r="AQ228" s="258"/>
      <c r="AR228" s="260"/>
      <c r="AS228" s="257"/>
      <c r="AT228" s="257"/>
      <c r="AU228" s="257"/>
      <c r="AV228" s="257"/>
      <c r="AW228" s="257"/>
      <c r="AX228" s="258"/>
      <c r="AY228" s="260"/>
      <c r="AZ228" s="257"/>
      <c r="BA228" s="257"/>
      <c r="BB228" s="257"/>
      <c r="BC228" s="257"/>
      <c r="BD228" s="258"/>
      <c r="BE228" s="260"/>
      <c r="BF228" s="258"/>
      <c r="BG228" s="260"/>
      <c r="BH228" s="257"/>
      <c r="BI228" s="14"/>
    </row>
    <row r="229" spans="1:61" ht="13.15" x14ac:dyDescent="0.4">
      <c r="A229" s="248"/>
      <c r="B229" s="256"/>
      <c r="C229" s="248"/>
      <c r="D229" s="248"/>
      <c r="E229" s="248"/>
      <c r="F229" s="250"/>
      <c r="G229" s="248"/>
      <c r="H229" s="32"/>
      <c r="I229" s="248"/>
      <c r="J229" s="248"/>
      <c r="K229" s="251"/>
      <c r="L229" s="238"/>
      <c r="M229" s="248"/>
      <c r="N229" s="248"/>
      <c r="O229" s="248"/>
      <c r="P229" s="250"/>
      <c r="Q229" s="252"/>
      <c r="R229" s="248"/>
      <c r="S229" s="248"/>
      <c r="T229" s="248"/>
      <c r="U229" s="248"/>
      <c r="V229" s="248"/>
      <c r="W229" s="248"/>
      <c r="X229" s="248"/>
      <c r="Y229" s="248"/>
      <c r="Z229" s="253"/>
      <c r="AA229" s="253"/>
      <c r="AB229" s="253"/>
      <c r="AC229" s="253"/>
      <c r="AD229" s="253"/>
      <c r="AE229" s="253"/>
      <c r="AF229" s="254"/>
      <c r="AG229" s="257"/>
      <c r="AH229" s="257"/>
      <c r="AI229" s="257"/>
      <c r="AJ229" s="258"/>
      <c r="AK229" s="259"/>
      <c r="AL229" s="257"/>
      <c r="AM229" s="257"/>
      <c r="AN229" s="257"/>
      <c r="AO229" s="257"/>
      <c r="AP229" s="257"/>
      <c r="AQ229" s="258"/>
      <c r="AR229" s="260"/>
      <c r="AS229" s="257"/>
      <c r="AT229" s="257"/>
      <c r="AU229" s="257"/>
      <c r="AV229" s="257"/>
      <c r="AW229" s="257"/>
      <c r="AX229" s="258"/>
      <c r="AY229" s="260"/>
      <c r="AZ229" s="257"/>
      <c r="BA229" s="257"/>
      <c r="BB229" s="257"/>
      <c r="BC229" s="257"/>
      <c r="BD229" s="258"/>
      <c r="BE229" s="260"/>
      <c r="BF229" s="258"/>
      <c r="BG229" s="260"/>
      <c r="BH229" s="257"/>
      <c r="BI229" s="14"/>
    </row>
    <row r="230" spans="1:61" ht="13.15" x14ac:dyDescent="0.4">
      <c r="A230" s="248"/>
      <c r="B230" s="256"/>
      <c r="C230" s="248"/>
      <c r="D230" s="248"/>
      <c r="E230" s="248"/>
      <c r="F230" s="250"/>
      <c r="G230" s="248"/>
      <c r="H230" s="32"/>
      <c r="I230" s="248"/>
      <c r="J230" s="248"/>
      <c r="K230" s="251"/>
      <c r="L230" s="238"/>
      <c r="M230" s="248"/>
      <c r="N230" s="248"/>
      <c r="O230" s="248"/>
      <c r="P230" s="250"/>
      <c r="Q230" s="252"/>
      <c r="R230" s="248"/>
      <c r="S230" s="248"/>
      <c r="T230" s="248"/>
      <c r="U230" s="248"/>
      <c r="V230" s="248"/>
      <c r="W230" s="248"/>
      <c r="X230" s="248"/>
      <c r="Y230" s="248"/>
      <c r="Z230" s="253"/>
      <c r="AA230" s="253"/>
      <c r="AB230" s="253"/>
      <c r="AC230" s="253"/>
      <c r="AD230" s="253"/>
      <c r="AE230" s="253"/>
      <c r="AF230" s="254"/>
      <c r="AG230" s="257"/>
      <c r="AH230" s="257"/>
      <c r="AI230" s="257"/>
      <c r="AJ230" s="258"/>
      <c r="AK230" s="259"/>
      <c r="AL230" s="257"/>
      <c r="AM230" s="257"/>
      <c r="AN230" s="257"/>
      <c r="AO230" s="257"/>
      <c r="AP230" s="257"/>
      <c r="AQ230" s="258"/>
      <c r="AR230" s="260"/>
      <c r="AS230" s="257"/>
      <c r="AT230" s="257"/>
      <c r="AU230" s="257"/>
      <c r="AV230" s="257"/>
      <c r="AW230" s="257"/>
      <c r="AX230" s="258"/>
      <c r="AY230" s="260"/>
      <c r="AZ230" s="257"/>
      <c r="BA230" s="257"/>
      <c r="BB230" s="257"/>
      <c r="BC230" s="257"/>
      <c r="BD230" s="258"/>
      <c r="BE230" s="260"/>
      <c r="BF230" s="258"/>
      <c r="BG230" s="260"/>
      <c r="BH230" s="257"/>
      <c r="BI230" s="14"/>
    </row>
    <row r="231" spans="1:61" ht="13.15" x14ac:dyDescent="0.4">
      <c r="A231" s="248"/>
      <c r="B231" s="256"/>
      <c r="C231" s="248"/>
      <c r="D231" s="248"/>
      <c r="E231" s="248"/>
      <c r="F231" s="250"/>
      <c r="G231" s="248"/>
      <c r="H231" s="32"/>
      <c r="I231" s="248"/>
      <c r="J231" s="248"/>
      <c r="K231" s="251"/>
      <c r="L231" s="238"/>
      <c r="M231" s="248"/>
      <c r="N231" s="248"/>
      <c r="O231" s="248"/>
      <c r="P231" s="250"/>
      <c r="Q231" s="252"/>
      <c r="R231" s="248"/>
      <c r="S231" s="248"/>
      <c r="T231" s="248"/>
      <c r="U231" s="248"/>
      <c r="V231" s="248"/>
      <c r="W231" s="248"/>
      <c r="X231" s="248"/>
      <c r="Y231" s="248"/>
      <c r="Z231" s="253"/>
      <c r="AA231" s="253"/>
      <c r="AB231" s="253"/>
      <c r="AC231" s="253"/>
      <c r="AD231" s="253"/>
      <c r="AE231" s="253"/>
      <c r="AF231" s="254"/>
      <c r="AG231" s="257"/>
      <c r="AH231" s="257"/>
      <c r="AI231" s="257"/>
      <c r="AJ231" s="258"/>
      <c r="AK231" s="259"/>
      <c r="AL231" s="257"/>
      <c r="AM231" s="257"/>
      <c r="AN231" s="257"/>
      <c r="AO231" s="257"/>
      <c r="AP231" s="257"/>
      <c r="AQ231" s="258"/>
      <c r="AR231" s="260"/>
      <c r="AS231" s="257"/>
      <c r="AT231" s="257"/>
      <c r="AU231" s="257"/>
      <c r="AV231" s="257"/>
      <c r="AW231" s="257"/>
      <c r="AX231" s="258"/>
      <c r="AY231" s="260"/>
      <c r="AZ231" s="257"/>
      <c r="BA231" s="257"/>
      <c r="BB231" s="257"/>
      <c r="BC231" s="257"/>
      <c r="BD231" s="258"/>
      <c r="BE231" s="260"/>
      <c r="BF231" s="258"/>
      <c r="BG231" s="260"/>
      <c r="BH231" s="257"/>
      <c r="BI231" s="14"/>
    </row>
    <row r="232" spans="1:61" ht="13.15" x14ac:dyDescent="0.4">
      <c r="A232" s="248"/>
      <c r="B232" s="256"/>
      <c r="C232" s="248"/>
      <c r="D232" s="248"/>
      <c r="E232" s="248"/>
      <c r="F232" s="250"/>
      <c r="G232" s="248"/>
      <c r="H232" s="32"/>
      <c r="I232" s="248"/>
      <c r="J232" s="248"/>
      <c r="K232" s="251"/>
      <c r="L232" s="238"/>
      <c r="M232" s="248"/>
      <c r="N232" s="248"/>
      <c r="O232" s="248"/>
      <c r="P232" s="250"/>
      <c r="Q232" s="252"/>
      <c r="R232" s="248"/>
      <c r="S232" s="248"/>
      <c r="T232" s="248"/>
      <c r="U232" s="248"/>
      <c r="V232" s="248"/>
      <c r="W232" s="248"/>
      <c r="X232" s="248"/>
      <c r="Y232" s="248"/>
      <c r="Z232" s="253"/>
      <c r="AA232" s="253"/>
      <c r="AB232" s="253"/>
      <c r="AC232" s="253"/>
      <c r="AD232" s="253"/>
      <c r="AE232" s="253"/>
      <c r="AF232" s="254"/>
      <c r="AG232" s="257"/>
      <c r="AH232" s="257"/>
      <c r="AI232" s="257"/>
      <c r="AJ232" s="258"/>
      <c r="AK232" s="259"/>
      <c r="AL232" s="257"/>
      <c r="AM232" s="257"/>
      <c r="AN232" s="257"/>
      <c r="AO232" s="257"/>
      <c r="AP232" s="257"/>
      <c r="AQ232" s="258"/>
      <c r="AR232" s="260"/>
      <c r="AS232" s="257"/>
      <c r="AT232" s="257"/>
      <c r="AU232" s="257"/>
      <c r="AV232" s="257"/>
      <c r="AW232" s="257"/>
      <c r="AX232" s="258"/>
      <c r="AY232" s="260"/>
      <c r="AZ232" s="257"/>
      <c r="BA232" s="257"/>
      <c r="BB232" s="257"/>
      <c r="BC232" s="257"/>
      <c r="BD232" s="258"/>
      <c r="BE232" s="260"/>
      <c r="BF232" s="258"/>
      <c r="BG232" s="260"/>
      <c r="BH232" s="257"/>
      <c r="BI232" s="14"/>
    </row>
    <row r="233" spans="1:61" ht="13.15" x14ac:dyDescent="0.4">
      <c r="A233" s="248"/>
      <c r="B233" s="256"/>
      <c r="C233" s="248"/>
      <c r="D233" s="248"/>
      <c r="E233" s="248"/>
      <c r="F233" s="250"/>
      <c r="G233" s="248"/>
      <c r="H233" s="32"/>
      <c r="I233" s="248"/>
      <c r="J233" s="248"/>
      <c r="K233" s="251"/>
      <c r="L233" s="238"/>
      <c r="M233" s="248"/>
      <c r="N233" s="248"/>
      <c r="O233" s="248"/>
      <c r="P233" s="250"/>
      <c r="Q233" s="252"/>
      <c r="R233" s="248"/>
      <c r="S233" s="248"/>
      <c r="T233" s="248"/>
      <c r="U233" s="248"/>
      <c r="V233" s="248"/>
      <c r="W233" s="248"/>
      <c r="X233" s="248"/>
      <c r="Y233" s="248"/>
      <c r="Z233" s="253"/>
      <c r="AA233" s="253"/>
      <c r="AB233" s="253"/>
      <c r="AC233" s="253"/>
      <c r="AD233" s="253"/>
      <c r="AE233" s="253"/>
      <c r="AF233" s="254"/>
      <c r="AG233" s="257"/>
      <c r="AH233" s="257"/>
      <c r="AI233" s="257"/>
      <c r="AJ233" s="258"/>
      <c r="AK233" s="259"/>
      <c r="AL233" s="257"/>
      <c r="AM233" s="257"/>
      <c r="AN233" s="257"/>
      <c r="AO233" s="257"/>
      <c r="AP233" s="257"/>
      <c r="AQ233" s="258"/>
      <c r="AR233" s="260"/>
      <c r="AS233" s="257"/>
      <c r="AT233" s="257"/>
      <c r="AU233" s="257"/>
      <c r="AV233" s="257"/>
      <c r="AW233" s="257"/>
      <c r="AX233" s="258"/>
      <c r="AY233" s="260"/>
      <c r="AZ233" s="257"/>
      <c r="BA233" s="257"/>
      <c r="BB233" s="257"/>
      <c r="BC233" s="257"/>
      <c r="BD233" s="258"/>
      <c r="BE233" s="260"/>
      <c r="BF233" s="258"/>
      <c r="BG233" s="260"/>
      <c r="BH233" s="257"/>
      <c r="BI233" s="14"/>
    </row>
    <row r="234" spans="1:61" ht="13.15" x14ac:dyDescent="0.4">
      <c r="A234" s="248"/>
      <c r="B234" s="256"/>
      <c r="C234" s="248"/>
      <c r="D234" s="248"/>
      <c r="E234" s="248"/>
      <c r="F234" s="250"/>
      <c r="G234" s="248"/>
      <c r="H234" s="32"/>
      <c r="I234" s="248"/>
      <c r="J234" s="248"/>
      <c r="K234" s="251"/>
      <c r="L234" s="238"/>
      <c r="M234" s="248"/>
      <c r="N234" s="248"/>
      <c r="O234" s="248"/>
      <c r="P234" s="250"/>
      <c r="Q234" s="252"/>
      <c r="R234" s="248"/>
      <c r="S234" s="248"/>
      <c r="T234" s="248"/>
      <c r="U234" s="248"/>
      <c r="V234" s="248"/>
      <c r="W234" s="248"/>
      <c r="X234" s="248"/>
      <c r="Y234" s="248"/>
      <c r="Z234" s="253"/>
      <c r="AA234" s="253"/>
      <c r="AB234" s="253"/>
      <c r="AC234" s="253"/>
      <c r="AD234" s="253"/>
      <c r="AE234" s="253"/>
      <c r="AF234" s="254"/>
      <c r="AG234" s="257"/>
      <c r="AH234" s="257"/>
      <c r="AI234" s="257"/>
      <c r="AJ234" s="258"/>
      <c r="AK234" s="259"/>
      <c r="AL234" s="257"/>
      <c r="AM234" s="257"/>
      <c r="AN234" s="257"/>
      <c r="AO234" s="257"/>
      <c r="AP234" s="257"/>
      <c r="AQ234" s="258"/>
      <c r="AR234" s="260"/>
      <c r="AS234" s="257"/>
      <c r="AT234" s="257"/>
      <c r="AU234" s="257"/>
      <c r="AV234" s="257"/>
      <c r="AW234" s="257"/>
      <c r="AX234" s="258"/>
      <c r="AY234" s="260"/>
      <c r="AZ234" s="257"/>
      <c r="BA234" s="257"/>
      <c r="BB234" s="257"/>
      <c r="BC234" s="257"/>
      <c r="BD234" s="258"/>
      <c r="BE234" s="260"/>
      <c r="BF234" s="258"/>
      <c r="BG234" s="260"/>
      <c r="BH234" s="257"/>
      <c r="BI234" s="14"/>
    </row>
    <row r="235" spans="1:61" ht="13.15" x14ac:dyDescent="0.4">
      <c r="A235" s="248"/>
      <c r="B235" s="256"/>
      <c r="C235" s="248"/>
      <c r="D235" s="248"/>
      <c r="E235" s="248"/>
      <c r="F235" s="250"/>
      <c r="G235" s="248"/>
      <c r="H235" s="32"/>
      <c r="I235" s="248"/>
      <c r="J235" s="248"/>
      <c r="K235" s="251"/>
      <c r="L235" s="238"/>
      <c r="M235" s="248"/>
      <c r="N235" s="248"/>
      <c r="O235" s="248"/>
      <c r="P235" s="250"/>
      <c r="Q235" s="252"/>
      <c r="R235" s="248"/>
      <c r="S235" s="248"/>
      <c r="T235" s="248"/>
      <c r="U235" s="248"/>
      <c r="V235" s="248"/>
      <c r="W235" s="248"/>
      <c r="X235" s="248"/>
      <c r="Y235" s="248"/>
      <c r="Z235" s="253"/>
      <c r="AA235" s="253"/>
      <c r="AB235" s="253"/>
      <c r="AC235" s="253"/>
      <c r="AD235" s="253"/>
      <c r="AE235" s="253"/>
      <c r="AF235" s="254"/>
      <c r="AG235" s="257"/>
      <c r="AH235" s="257"/>
      <c r="AI235" s="257"/>
      <c r="AJ235" s="258"/>
      <c r="AK235" s="259"/>
      <c r="AL235" s="257"/>
      <c r="AM235" s="257"/>
      <c r="AN235" s="257"/>
      <c r="AO235" s="257"/>
      <c r="AP235" s="257"/>
      <c r="AQ235" s="258"/>
      <c r="AR235" s="260"/>
      <c r="AS235" s="257"/>
      <c r="AT235" s="257"/>
      <c r="AU235" s="257"/>
      <c r="AV235" s="257"/>
      <c r="AW235" s="257"/>
      <c r="AX235" s="258"/>
      <c r="AY235" s="260"/>
      <c r="AZ235" s="257"/>
      <c r="BA235" s="257"/>
      <c r="BB235" s="257"/>
      <c r="BC235" s="257"/>
      <c r="BD235" s="258"/>
      <c r="BE235" s="260"/>
      <c r="BF235" s="258"/>
      <c r="BG235" s="260"/>
      <c r="BH235" s="257"/>
      <c r="BI235" s="14"/>
    </row>
    <row r="236" spans="1:61" ht="13.15" x14ac:dyDescent="0.4">
      <c r="A236" s="248"/>
      <c r="B236" s="256"/>
      <c r="C236" s="248"/>
      <c r="D236" s="248"/>
      <c r="E236" s="248"/>
      <c r="F236" s="250"/>
      <c r="G236" s="248"/>
      <c r="H236" s="32"/>
      <c r="I236" s="248"/>
      <c r="J236" s="248"/>
      <c r="K236" s="251"/>
      <c r="L236" s="238"/>
      <c r="M236" s="248"/>
      <c r="N236" s="248"/>
      <c r="O236" s="248"/>
      <c r="P236" s="250"/>
      <c r="Q236" s="252"/>
      <c r="R236" s="248"/>
      <c r="S236" s="248"/>
      <c r="T236" s="248"/>
      <c r="U236" s="248"/>
      <c r="V236" s="248"/>
      <c r="W236" s="248"/>
      <c r="X236" s="248"/>
      <c r="Y236" s="248"/>
      <c r="Z236" s="253"/>
      <c r="AA236" s="253"/>
      <c r="AB236" s="253"/>
      <c r="AC236" s="253"/>
      <c r="AD236" s="253"/>
      <c r="AE236" s="253"/>
      <c r="AF236" s="254"/>
      <c r="AG236" s="257"/>
      <c r="AH236" s="257"/>
      <c r="AI236" s="257"/>
      <c r="AJ236" s="258"/>
      <c r="AK236" s="259"/>
      <c r="AL236" s="257"/>
      <c r="AM236" s="257"/>
      <c r="AN236" s="257"/>
      <c r="AO236" s="257"/>
      <c r="AP236" s="257"/>
      <c r="AQ236" s="258"/>
      <c r="AR236" s="260"/>
      <c r="AS236" s="257"/>
      <c r="AT236" s="257"/>
      <c r="AU236" s="257"/>
      <c r="AV236" s="257"/>
      <c r="AW236" s="257"/>
      <c r="AX236" s="258"/>
      <c r="AY236" s="260"/>
      <c r="AZ236" s="257"/>
      <c r="BA236" s="257"/>
      <c r="BB236" s="257"/>
      <c r="BC236" s="257"/>
      <c r="BD236" s="258"/>
      <c r="BE236" s="260"/>
      <c r="BF236" s="258"/>
      <c r="BG236" s="260"/>
      <c r="BH236" s="257"/>
      <c r="BI236" s="14"/>
    </row>
    <row r="237" spans="1:61" ht="13.15" x14ac:dyDescent="0.4">
      <c r="A237" s="248"/>
      <c r="B237" s="256"/>
      <c r="C237" s="248"/>
      <c r="D237" s="248"/>
      <c r="E237" s="248"/>
      <c r="F237" s="250"/>
      <c r="G237" s="248"/>
      <c r="H237" s="32"/>
      <c r="I237" s="248"/>
      <c r="J237" s="248"/>
      <c r="K237" s="251"/>
      <c r="L237" s="238"/>
      <c r="M237" s="248"/>
      <c r="N237" s="248"/>
      <c r="O237" s="248"/>
      <c r="P237" s="250"/>
      <c r="Q237" s="252"/>
      <c r="R237" s="248"/>
      <c r="S237" s="248"/>
      <c r="T237" s="248"/>
      <c r="U237" s="248"/>
      <c r="V237" s="248"/>
      <c r="W237" s="248"/>
      <c r="X237" s="248"/>
      <c r="Y237" s="248"/>
      <c r="Z237" s="253"/>
      <c r="AA237" s="253"/>
      <c r="AB237" s="253"/>
      <c r="AC237" s="253"/>
      <c r="AD237" s="253"/>
      <c r="AE237" s="253"/>
      <c r="AF237" s="254"/>
      <c r="AG237" s="257"/>
      <c r="AH237" s="257"/>
      <c r="AI237" s="257"/>
      <c r="AJ237" s="258"/>
      <c r="AK237" s="259"/>
      <c r="AL237" s="257"/>
      <c r="AM237" s="257"/>
      <c r="AN237" s="257"/>
      <c r="AO237" s="257"/>
      <c r="AP237" s="257"/>
      <c r="AQ237" s="258"/>
      <c r="AR237" s="260"/>
      <c r="AS237" s="257"/>
      <c r="AT237" s="257"/>
      <c r="AU237" s="257"/>
      <c r="AV237" s="257"/>
      <c r="AW237" s="257"/>
      <c r="AX237" s="258"/>
      <c r="AY237" s="260"/>
      <c r="AZ237" s="257"/>
      <c r="BA237" s="257"/>
      <c r="BB237" s="257"/>
      <c r="BC237" s="257"/>
      <c r="BD237" s="258"/>
      <c r="BE237" s="260"/>
      <c r="BF237" s="258"/>
      <c r="BG237" s="260"/>
      <c r="BH237" s="257"/>
      <c r="BI237" s="14"/>
    </row>
    <row r="238" spans="1:61" ht="13.15" x14ac:dyDescent="0.4">
      <c r="A238" s="248"/>
      <c r="B238" s="256"/>
      <c r="C238" s="248"/>
      <c r="D238" s="248"/>
      <c r="E238" s="248"/>
      <c r="F238" s="250"/>
      <c r="G238" s="248"/>
      <c r="H238" s="32"/>
      <c r="I238" s="248"/>
      <c r="J238" s="248"/>
      <c r="K238" s="251"/>
      <c r="L238" s="238"/>
      <c r="M238" s="248"/>
      <c r="N238" s="248"/>
      <c r="O238" s="248"/>
      <c r="P238" s="250"/>
      <c r="Q238" s="252"/>
      <c r="R238" s="248"/>
      <c r="S238" s="248"/>
      <c r="T238" s="248"/>
      <c r="U238" s="248"/>
      <c r="V238" s="248"/>
      <c r="W238" s="248"/>
      <c r="X238" s="248"/>
      <c r="Y238" s="248"/>
      <c r="Z238" s="253"/>
      <c r="AA238" s="253"/>
      <c r="AB238" s="253"/>
      <c r="AC238" s="253"/>
      <c r="AD238" s="253"/>
      <c r="AE238" s="253"/>
      <c r="AF238" s="254"/>
      <c r="AG238" s="257"/>
      <c r="AH238" s="257"/>
      <c r="AI238" s="257"/>
      <c r="AJ238" s="258"/>
      <c r="AK238" s="259"/>
      <c r="AL238" s="257"/>
      <c r="AM238" s="257"/>
      <c r="AN238" s="257"/>
      <c r="AO238" s="257"/>
      <c r="AP238" s="257"/>
      <c r="AQ238" s="258"/>
      <c r="AR238" s="260"/>
      <c r="AS238" s="257"/>
      <c r="AT238" s="257"/>
      <c r="AU238" s="257"/>
      <c r="AV238" s="257"/>
      <c r="AW238" s="257"/>
      <c r="AX238" s="258"/>
      <c r="AY238" s="260"/>
      <c r="AZ238" s="257"/>
      <c r="BA238" s="257"/>
      <c r="BB238" s="257"/>
      <c r="BC238" s="257"/>
      <c r="BD238" s="258"/>
      <c r="BE238" s="260"/>
      <c r="BF238" s="258"/>
      <c r="BG238" s="260"/>
      <c r="BH238" s="257"/>
      <c r="BI238" s="14"/>
    </row>
    <row r="239" spans="1:61" ht="13.15" x14ac:dyDescent="0.4">
      <c r="A239" s="248"/>
      <c r="B239" s="256"/>
      <c r="C239" s="248"/>
      <c r="D239" s="248"/>
      <c r="E239" s="248"/>
      <c r="F239" s="250"/>
      <c r="G239" s="248"/>
      <c r="H239" s="32"/>
      <c r="I239" s="248"/>
      <c r="J239" s="248"/>
      <c r="K239" s="251"/>
      <c r="L239" s="238"/>
      <c r="M239" s="248"/>
      <c r="N239" s="248"/>
      <c r="O239" s="248"/>
      <c r="P239" s="250"/>
      <c r="Q239" s="252"/>
      <c r="R239" s="248"/>
      <c r="S239" s="248"/>
      <c r="T239" s="248"/>
      <c r="U239" s="248"/>
      <c r="V239" s="248"/>
      <c r="W239" s="248"/>
      <c r="X239" s="248"/>
      <c r="Y239" s="248"/>
      <c r="Z239" s="253"/>
      <c r="AA239" s="253"/>
      <c r="AB239" s="253"/>
      <c r="AC239" s="253"/>
      <c r="AD239" s="253"/>
      <c r="AE239" s="253"/>
      <c r="AF239" s="254"/>
      <c r="AG239" s="257"/>
      <c r="AH239" s="257"/>
      <c r="AI239" s="257"/>
      <c r="AJ239" s="258"/>
      <c r="AK239" s="259"/>
      <c r="AL239" s="257"/>
      <c r="AM239" s="257"/>
      <c r="AN239" s="257"/>
      <c r="AO239" s="257"/>
      <c r="AP239" s="257"/>
      <c r="AQ239" s="258"/>
      <c r="AR239" s="260"/>
      <c r="AS239" s="257"/>
      <c r="AT239" s="257"/>
      <c r="AU239" s="257"/>
      <c r="AV239" s="257"/>
      <c r="AW239" s="257"/>
      <c r="AX239" s="258"/>
      <c r="AY239" s="260"/>
      <c r="AZ239" s="257"/>
      <c r="BA239" s="257"/>
      <c r="BB239" s="257"/>
      <c r="BC239" s="257"/>
      <c r="BD239" s="258"/>
      <c r="BE239" s="260"/>
      <c r="BF239" s="258"/>
      <c r="BG239" s="260"/>
      <c r="BH239" s="257"/>
      <c r="BI239" s="14"/>
    </row>
    <row r="240" spans="1:61" ht="13.15" x14ac:dyDescent="0.4">
      <c r="A240" s="248"/>
      <c r="B240" s="256"/>
      <c r="C240" s="248"/>
      <c r="D240" s="248"/>
      <c r="E240" s="248"/>
      <c r="F240" s="250"/>
      <c r="G240" s="248"/>
      <c r="H240" s="32"/>
      <c r="I240" s="248"/>
      <c r="J240" s="248"/>
      <c r="K240" s="251"/>
      <c r="L240" s="238"/>
      <c r="M240" s="248"/>
      <c r="N240" s="248"/>
      <c r="O240" s="248"/>
      <c r="P240" s="250"/>
      <c r="Q240" s="252"/>
      <c r="R240" s="248"/>
      <c r="S240" s="248"/>
      <c r="T240" s="248"/>
      <c r="U240" s="248"/>
      <c r="V240" s="248"/>
      <c r="W240" s="248"/>
      <c r="X240" s="248"/>
      <c r="Y240" s="248"/>
      <c r="Z240" s="253"/>
      <c r="AA240" s="253"/>
      <c r="AB240" s="253"/>
      <c r="AC240" s="253"/>
      <c r="AD240" s="253"/>
      <c r="AE240" s="253"/>
      <c r="AF240" s="254"/>
      <c r="AG240" s="257"/>
      <c r="AH240" s="257"/>
      <c r="AI240" s="257"/>
      <c r="AJ240" s="258"/>
      <c r="AK240" s="259"/>
      <c r="AL240" s="257"/>
      <c r="AM240" s="257"/>
      <c r="AN240" s="257"/>
      <c r="AO240" s="257"/>
      <c r="AP240" s="257"/>
      <c r="AQ240" s="258"/>
      <c r="AR240" s="260"/>
      <c r="AS240" s="257"/>
      <c r="AT240" s="257"/>
      <c r="AU240" s="257"/>
      <c r="AV240" s="257"/>
      <c r="AW240" s="257"/>
      <c r="AX240" s="258"/>
      <c r="AY240" s="260"/>
      <c r="AZ240" s="257"/>
      <c r="BA240" s="257"/>
      <c r="BB240" s="257"/>
      <c r="BC240" s="257"/>
      <c r="BD240" s="258"/>
      <c r="BE240" s="260"/>
      <c r="BF240" s="258"/>
      <c r="BG240" s="260"/>
      <c r="BH240" s="257"/>
      <c r="BI240" s="14"/>
    </row>
    <row r="241" spans="1:61" ht="13.15" x14ac:dyDescent="0.4">
      <c r="A241" s="248"/>
      <c r="B241" s="256"/>
      <c r="C241" s="248"/>
      <c r="D241" s="248"/>
      <c r="E241" s="248"/>
      <c r="F241" s="250"/>
      <c r="G241" s="248"/>
      <c r="H241" s="32"/>
      <c r="I241" s="248"/>
      <c r="J241" s="248"/>
      <c r="K241" s="251"/>
      <c r="L241" s="238"/>
      <c r="M241" s="248"/>
      <c r="N241" s="248"/>
      <c r="O241" s="248"/>
      <c r="P241" s="250"/>
      <c r="Q241" s="252"/>
      <c r="R241" s="248"/>
      <c r="S241" s="248"/>
      <c r="T241" s="248"/>
      <c r="U241" s="248"/>
      <c r="V241" s="248"/>
      <c r="W241" s="248"/>
      <c r="X241" s="248"/>
      <c r="Y241" s="248"/>
      <c r="Z241" s="253"/>
      <c r="AA241" s="253"/>
      <c r="AB241" s="253"/>
      <c r="AC241" s="253"/>
      <c r="AD241" s="253"/>
      <c r="AE241" s="253"/>
      <c r="AF241" s="254"/>
      <c r="AG241" s="257"/>
      <c r="AH241" s="257"/>
      <c r="AI241" s="257"/>
      <c r="AJ241" s="258"/>
      <c r="AK241" s="259"/>
      <c r="AL241" s="257"/>
      <c r="AM241" s="257"/>
      <c r="AN241" s="257"/>
      <c r="AO241" s="257"/>
      <c r="AP241" s="257"/>
      <c r="AQ241" s="258"/>
      <c r="AR241" s="260"/>
      <c r="AS241" s="257"/>
      <c r="AT241" s="257"/>
      <c r="AU241" s="257"/>
      <c r="AV241" s="257"/>
      <c r="AW241" s="257"/>
      <c r="AX241" s="258"/>
      <c r="AY241" s="260"/>
      <c r="AZ241" s="257"/>
      <c r="BA241" s="257"/>
      <c r="BB241" s="257"/>
      <c r="BC241" s="257"/>
      <c r="BD241" s="258"/>
      <c r="BE241" s="260"/>
      <c r="BF241" s="258"/>
      <c r="BG241" s="260"/>
      <c r="BH241" s="257"/>
      <c r="BI241" s="14"/>
    </row>
    <row r="242" spans="1:61" ht="13.15" x14ac:dyDescent="0.4">
      <c r="A242" s="248"/>
      <c r="B242" s="256"/>
      <c r="C242" s="248"/>
      <c r="D242" s="248"/>
      <c r="E242" s="248"/>
      <c r="F242" s="250"/>
      <c r="G242" s="248"/>
      <c r="H242" s="32"/>
      <c r="I242" s="248"/>
      <c r="J242" s="248"/>
      <c r="K242" s="251"/>
      <c r="L242" s="238"/>
      <c r="M242" s="248"/>
      <c r="N242" s="248"/>
      <c r="O242" s="248"/>
      <c r="P242" s="250"/>
      <c r="Q242" s="252"/>
      <c r="R242" s="248"/>
      <c r="S242" s="248"/>
      <c r="T242" s="248"/>
      <c r="U242" s="248"/>
      <c r="V242" s="248"/>
      <c r="W242" s="248"/>
      <c r="X242" s="248"/>
      <c r="Y242" s="248"/>
      <c r="Z242" s="253"/>
      <c r="AA242" s="253"/>
      <c r="AB242" s="253"/>
      <c r="AC242" s="253"/>
      <c r="AD242" s="253"/>
      <c r="AE242" s="253"/>
      <c r="AF242" s="254"/>
      <c r="AG242" s="257"/>
      <c r="AH242" s="257"/>
      <c r="AI242" s="257"/>
      <c r="AJ242" s="258"/>
      <c r="AK242" s="259"/>
      <c r="AL242" s="257"/>
      <c r="AM242" s="257"/>
      <c r="AN242" s="257"/>
      <c r="AO242" s="257"/>
      <c r="AP242" s="257"/>
      <c r="AQ242" s="258"/>
      <c r="AR242" s="260"/>
      <c r="AS242" s="257"/>
      <c r="AT242" s="257"/>
      <c r="AU242" s="257"/>
      <c r="AV242" s="257"/>
      <c r="AW242" s="257"/>
      <c r="AX242" s="258"/>
      <c r="AY242" s="260"/>
      <c r="AZ242" s="257"/>
      <c r="BA242" s="257"/>
      <c r="BB242" s="257"/>
      <c r="BC242" s="257"/>
      <c r="BD242" s="258"/>
      <c r="BE242" s="260"/>
      <c r="BF242" s="258"/>
      <c r="BG242" s="260"/>
      <c r="BH242" s="257"/>
      <c r="BI242" s="14"/>
    </row>
    <row r="243" spans="1:61" ht="13.15" x14ac:dyDescent="0.4">
      <c r="A243" s="248"/>
      <c r="B243" s="256"/>
      <c r="C243" s="248"/>
      <c r="D243" s="248"/>
      <c r="E243" s="248"/>
      <c r="F243" s="250"/>
      <c r="G243" s="248"/>
      <c r="H243" s="32"/>
      <c r="I243" s="248"/>
      <c r="J243" s="248"/>
      <c r="K243" s="251"/>
      <c r="L243" s="238"/>
      <c r="M243" s="248"/>
      <c r="N243" s="248"/>
      <c r="O243" s="248"/>
      <c r="P243" s="250"/>
      <c r="Q243" s="252"/>
      <c r="R243" s="248"/>
      <c r="S243" s="248"/>
      <c r="T243" s="248"/>
      <c r="U243" s="248"/>
      <c r="V243" s="248"/>
      <c r="W243" s="248"/>
      <c r="X243" s="248"/>
      <c r="Y243" s="248"/>
      <c r="Z243" s="253"/>
      <c r="AA243" s="253"/>
      <c r="AB243" s="253"/>
      <c r="AC243" s="253"/>
      <c r="AD243" s="253"/>
      <c r="AE243" s="253"/>
      <c r="AF243" s="254"/>
      <c r="AG243" s="257"/>
      <c r="AH243" s="257"/>
      <c r="AI243" s="257"/>
      <c r="AJ243" s="258"/>
      <c r="AK243" s="259"/>
      <c r="AL243" s="257"/>
      <c r="AM243" s="257"/>
      <c r="AN243" s="257"/>
      <c r="AO243" s="257"/>
      <c r="AP243" s="257"/>
      <c r="AQ243" s="258"/>
      <c r="AR243" s="260"/>
      <c r="AS243" s="257"/>
      <c r="AT243" s="257"/>
      <c r="AU243" s="257"/>
      <c r="AV243" s="257"/>
      <c r="AW243" s="257"/>
      <c r="AX243" s="258"/>
      <c r="AY243" s="260"/>
      <c r="AZ243" s="257"/>
      <c r="BA243" s="257"/>
      <c r="BB243" s="257"/>
      <c r="BC243" s="257"/>
      <c r="BD243" s="258"/>
      <c r="BE243" s="260"/>
      <c r="BF243" s="258"/>
      <c r="BG243" s="260"/>
      <c r="BH243" s="257"/>
      <c r="BI243" s="14"/>
    </row>
    <row r="244" spans="1:61" ht="13.15" x14ac:dyDescent="0.4">
      <c r="A244" s="248"/>
      <c r="B244" s="256"/>
      <c r="C244" s="248"/>
      <c r="D244" s="248"/>
      <c r="E244" s="248"/>
      <c r="F244" s="250"/>
      <c r="G244" s="248"/>
      <c r="H244" s="32"/>
      <c r="I244" s="248"/>
      <c r="J244" s="248"/>
      <c r="K244" s="251"/>
      <c r="L244" s="238"/>
      <c r="M244" s="248"/>
      <c r="N244" s="248"/>
      <c r="O244" s="248"/>
      <c r="P244" s="250"/>
      <c r="Q244" s="252"/>
      <c r="R244" s="248"/>
      <c r="S244" s="248"/>
      <c r="T244" s="248"/>
      <c r="U244" s="248"/>
      <c r="V244" s="248"/>
      <c r="W244" s="248"/>
      <c r="X244" s="248"/>
      <c r="Y244" s="248"/>
      <c r="Z244" s="253"/>
      <c r="AA244" s="253"/>
      <c r="AB244" s="253"/>
      <c r="AC244" s="253"/>
      <c r="AD244" s="253"/>
      <c r="AE244" s="253"/>
      <c r="AF244" s="254"/>
      <c r="AG244" s="257"/>
      <c r="AH244" s="257"/>
      <c r="AI244" s="257"/>
      <c r="AJ244" s="258"/>
      <c r="AK244" s="259"/>
      <c r="AL244" s="257"/>
      <c r="AM244" s="257"/>
      <c r="AN244" s="257"/>
      <c r="AO244" s="257"/>
      <c r="AP244" s="257"/>
      <c r="AQ244" s="258"/>
      <c r="AR244" s="260"/>
      <c r="AS244" s="257"/>
      <c r="AT244" s="257"/>
      <c r="AU244" s="257"/>
      <c r="AV244" s="257"/>
      <c r="AW244" s="257"/>
      <c r="AX244" s="258"/>
      <c r="AY244" s="260"/>
      <c r="AZ244" s="257"/>
      <c r="BA244" s="257"/>
      <c r="BB244" s="257"/>
      <c r="BC244" s="257"/>
      <c r="BD244" s="258"/>
      <c r="BE244" s="260"/>
      <c r="BF244" s="258"/>
      <c r="BG244" s="260"/>
      <c r="BH244" s="257"/>
      <c r="BI244" s="14"/>
    </row>
    <row r="245" spans="1:61" ht="13.15" x14ac:dyDescent="0.4">
      <c r="A245" s="248"/>
      <c r="B245" s="256"/>
      <c r="C245" s="248"/>
      <c r="D245" s="248"/>
      <c r="E245" s="248"/>
      <c r="F245" s="250"/>
      <c r="G245" s="248"/>
      <c r="H245" s="32"/>
      <c r="I245" s="248"/>
      <c r="J245" s="248"/>
      <c r="K245" s="251"/>
      <c r="L245" s="238"/>
      <c r="M245" s="248"/>
      <c r="N245" s="248"/>
      <c r="O245" s="248"/>
      <c r="P245" s="250"/>
      <c r="Q245" s="252"/>
      <c r="R245" s="248"/>
      <c r="S245" s="248"/>
      <c r="T245" s="248"/>
      <c r="U245" s="248"/>
      <c r="V245" s="248"/>
      <c r="W245" s="248"/>
      <c r="X245" s="248"/>
      <c r="Y245" s="248"/>
      <c r="Z245" s="253"/>
      <c r="AA245" s="253"/>
      <c r="AB245" s="253"/>
      <c r="AC245" s="253"/>
      <c r="AD245" s="253"/>
      <c r="AE245" s="253"/>
      <c r="AF245" s="254"/>
      <c r="AG245" s="257"/>
      <c r="AH245" s="257"/>
      <c r="AI245" s="257"/>
      <c r="AJ245" s="258"/>
      <c r="AK245" s="259"/>
      <c r="AL245" s="257"/>
      <c r="AM245" s="257"/>
      <c r="AN245" s="257"/>
      <c r="AO245" s="257"/>
      <c r="AP245" s="257"/>
      <c r="AQ245" s="258"/>
      <c r="AR245" s="260"/>
      <c r="AS245" s="257"/>
      <c r="AT245" s="257"/>
      <c r="AU245" s="257"/>
      <c r="AV245" s="257"/>
      <c r="AW245" s="257"/>
      <c r="AX245" s="258"/>
      <c r="AY245" s="260"/>
      <c r="AZ245" s="257"/>
      <c r="BA245" s="257"/>
      <c r="BB245" s="257"/>
      <c r="BC245" s="257"/>
      <c r="BD245" s="258"/>
      <c r="BE245" s="260"/>
      <c r="BF245" s="258"/>
      <c r="BG245" s="260"/>
      <c r="BH245" s="257"/>
      <c r="BI245" s="14"/>
    </row>
    <row r="246" spans="1:61" ht="13.15" x14ac:dyDescent="0.4">
      <c r="A246" s="248"/>
      <c r="B246" s="256"/>
      <c r="C246" s="248"/>
      <c r="D246" s="248"/>
      <c r="E246" s="248"/>
      <c r="F246" s="250"/>
      <c r="G246" s="248"/>
      <c r="H246" s="32"/>
      <c r="I246" s="248"/>
      <c r="J246" s="248"/>
      <c r="K246" s="251"/>
      <c r="L246" s="238"/>
      <c r="M246" s="248"/>
      <c r="N246" s="248"/>
      <c r="O246" s="248"/>
      <c r="P246" s="250"/>
      <c r="Q246" s="252"/>
      <c r="R246" s="248"/>
      <c r="S246" s="248"/>
      <c r="T246" s="248"/>
      <c r="U246" s="248"/>
      <c r="V246" s="248"/>
      <c r="W246" s="248"/>
      <c r="X246" s="248"/>
      <c r="Y246" s="248"/>
      <c r="Z246" s="253"/>
      <c r="AA246" s="253"/>
      <c r="AB246" s="253"/>
      <c r="AC246" s="253"/>
      <c r="AD246" s="253"/>
      <c r="AE246" s="253"/>
      <c r="AF246" s="254"/>
      <c r="AG246" s="257"/>
      <c r="AH246" s="257"/>
      <c r="AI246" s="257"/>
      <c r="AJ246" s="258"/>
      <c r="AK246" s="259"/>
      <c r="AL246" s="257"/>
      <c r="AM246" s="257"/>
      <c r="AN246" s="257"/>
      <c r="AO246" s="257"/>
      <c r="AP246" s="257"/>
      <c r="AQ246" s="258"/>
      <c r="AR246" s="260"/>
      <c r="AS246" s="257"/>
      <c r="AT246" s="257"/>
      <c r="AU246" s="257"/>
      <c r="AV246" s="257"/>
      <c r="AW246" s="257"/>
      <c r="AX246" s="258"/>
      <c r="AY246" s="260"/>
      <c r="AZ246" s="257"/>
      <c r="BA246" s="257"/>
      <c r="BB246" s="257"/>
      <c r="BC246" s="257"/>
      <c r="BD246" s="258"/>
      <c r="BE246" s="260"/>
      <c r="BF246" s="258"/>
      <c r="BG246" s="260"/>
      <c r="BH246" s="257"/>
      <c r="BI246" s="14"/>
    </row>
    <row r="247" spans="1:61" ht="13.15" x14ac:dyDescent="0.4">
      <c r="A247" s="248"/>
      <c r="B247" s="256"/>
      <c r="C247" s="248"/>
      <c r="D247" s="248"/>
      <c r="E247" s="248"/>
      <c r="F247" s="250"/>
      <c r="G247" s="248"/>
      <c r="H247" s="32"/>
      <c r="I247" s="248"/>
      <c r="J247" s="248"/>
      <c r="K247" s="251"/>
      <c r="L247" s="238"/>
      <c r="M247" s="248"/>
      <c r="N247" s="248"/>
      <c r="O247" s="248"/>
      <c r="P247" s="250"/>
      <c r="Q247" s="252"/>
      <c r="R247" s="248"/>
      <c r="S247" s="248"/>
      <c r="T247" s="248"/>
      <c r="U247" s="248"/>
      <c r="V247" s="248"/>
      <c r="W247" s="248"/>
      <c r="X247" s="248"/>
      <c r="Y247" s="248"/>
      <c r="Z247" s="253"/>
      <c r="AA247" s="253"/>
      <c r="AB247" s="253"/>
      <c r="AC247" s="253"/>
      <c r="AD247" s="253"/>
      <c r="AE247" s="253"/>
      <c r="AF247" s="254"/>
      <c r="AG247" s="257"/>
      <c r="AH247" s="257"/>
      <c r="AI247" s="257"/>
      <c r="AJ247" s="258"/>
      <c r="AK247" s="259"/>
      <c r="AL247" s="257"/>
      <c r="AM247" s="257"/>
      <c r="AN247" s="257"/>
      <c r="AO247" s="257"/>
      <c r="AP247" s="257"/>
      <c r="AQ247" s="258"/>
      <c r="AR247" s="260"/>
      <c r="AS247" s="257"/>
      <c r="AT247" s="257"/>
      <c r="AU247" s="257"/>
      <c r="AV247" s="257"/>
      <c r="AW247" s="257"/>
      <c r="AX247" s="258"/>
      <c r="AY247" s="260"/>
      <c r="AZ247" s="257"/>
      <c r="BA247" s="257"/>
      <c r="BB247" s="257"/>
      <c r="BC247" s="257"/>
      <c r="BD247" s="258"/>
      <c r="BE247" s="260"/>
      <c r="BF247" s="258"/>
      <c r="BG247" s="260"/>
      <c r="BH247" s="257"/>
      <c r="BI247" s="14"/>
    </row>
    <row r="248" spans="1:61" ht="13.15" x14ac:dyDescent="0.4">
      <c r="A248" s="248"/>
      <c r="B248" s="256"/>
      <c r="C248" s="248"/>
      <c r="D248" s="248"/>
      <c r="E248" s="248"/>
      <c r="F248" s="250"/>
      <c r="G248" s="248"/>
      <c r="H248" s="32"/>
      <c r="I248" s="248"/>
      <c r="J248" s="248"/>
      <c r="K248" s="251"/>
      <c r="L248" s="238"/>
      <c r="M248" s="248"/>
      <c r="N248" s="248"/>
      <c r="O248" s="248"/>
      <c r="P248" s="250"/>
      <c r="Q248" s="252"/>
      <c r="R248" s="248"/>
      <c r="S248" s="248"/>
      <c r="T248" s="248"/>
      <c r="U248" s="248"/>
      <c r="V248" s="248"/>
      <c r="W248" s="248"/>
      <c r="X248" s="248"/>
      <c r="Y248" s="248"/>
      <c r="Z248" s="253"/>
      <c r="AA248" s="253"/>
      <c r="AB248" s="253"/>
      <c r="AC248" s="253"/>
      <c r="AD248" s="253"/>
      <c r="AE248" s="253"/>
      <c r="AF248" s="254"/>
      <c r="AG248" s="257"/>
      <c r="AH248" s="257"/>
      <c r="AI248" s="257"/>
      <c r="AJ248" s="258"/>
      <c r="AK248" s="259"/>
      <c r="AL248" s="257"/>
      <c r="AM248" s="257"/>
      <c r="AN248" s="257"/>
      <c r="AO248" s="257"/>
      <c r="AP248" s="257"/>
      <c r="AQ248" s="258"/>
      <c r="AR248" s="260"/>
      <c r="AS248" s="257"/>
      <c r="AT248" s="257"/>
      <c r="AU248" s="257"/>
      <c r="AV248" s="257"/>
      <c r="AW248" s="257"/>
      <c r="AX248" s="258"/>
      <c r="AY248" s="260"/>
      <c r="AZ248" s="257"/>
      <c r="BA248" s="257"/>
      <c r="BB248" s="257"/>
      <c r="BC248" s="257"/>
      <c r="BD248" s="258"/>
      <c r="BE248" s="260"/>
      <c r="BF248" s="258"/>
      <c r="BG248" s="260"/>
      <c r="BH248" s="257"/>
      <c r="BI248" s="14"/>
    </row>
    <row r="249" spans="1:61" ht="13.15" x14ac:dyDescent="0.4">
      <c r="A249" s="248"/>
      <c r="B249" s="256"/>
      <c r="C249" s="248"/>
      <c r="D249" s="248"/>
      <c r="E249" s="248"/>
      <c r="F249" s="250"/>
      <c r="G249" s="248"/>
      <c r="H249" s="32"/>
      <c r="I249" s="248"/>
      <c r="J249" s="248"/>
      <c r="K249" s="251"/>
      <c r="L249" s="238"/>
      <c r="M249" s="248"/>
      <c r="N249" s="248"/>
      <c r="O249" s="248"/>
      <c r="P249" s="250"/>
      <c r="Q249" s="252"/>
      <c r="R249" s="248"/>
      <c r="S249" s="248"/>
      <c r="T249" s="248"/>
      <c r="U249" s="248"/>
      <c r="V249" s="248"/>
      <c r="W249" s="248"/>
      <c r="X249" s="248"/>
      <c r="Y249" s="248"/>
      <c r="Z249" s="253"/>
      <c r="AA249" s="253"/>
      <c r="AB249" s="253"/>
      <c r="AC249" s="253"/>
      <c r="AD249" s="253"/>
      <c r="AE249" s="253"/>
      <c r="AF249" s="254"/>
      <c r="AG249" s="257"/>
      <c r="AH249" s="257"/>
      <c r="AI249" s="257"/>
      <c r="AJ249" s="258"/>
      <c r="AK249" s="259"/>
      <c r="AL249" s="257"/>
      <c r="AM249" s="257"/>
      <c r="AN249" s="257"/>
      <c r="AO249" s="257"/>
      <c r="AP249" s="257"/>
      <c r="AQ249" s="258"/>
      <c r="AR249" s="260"/>
      <c r="AS249" s="257"/>
      <c r="AT249" s="257"/>
      <c r="AU249" s="257"/>
      <c r="AV249" s="257"/>
      <c r="AW249" s="257"/>
      <c r="AX249" s="258"/>
      <c r="AY249" s="260"/>
      <c r="AZ249" s="257"/>
      <c r="BA249" s="257"/>
      <c r="BB249" s="257"/>
      <c r="BC249" s="257"/>
      <c r="BD249" s="258"/>
      <c r="BE249" s="260"/>
      <c r="BF249" s="258"/>
      <c r="BG249" s="260"/>
      <c r="BH249" s="257"/>
      <c r="BI249" s="14"/>
    </row>
    <row r="250" spans="1:61" ht="13.15" x14ac:dyDescent="0.4">
      <c r="A250" s="248"/>
      <c r="B250" s="256"/>
      <c r="C250" s="248"/>
      <c r="D250" s="248"/>
      <c r="E250" s="248"/>
      <c r="F250" s="250"/>
      <c r="G250" s="248"/>
      <c r="H250" s="32"/>
      <c r="I250" s="248"/>
      <c r="J250" s="248"/>
      <c r="K250" s="251"/>
      <c r="L250" s="238"/>
      <c r="M250" s="248"/>
      <c r="N250" s="248"/>
      <c r="O250" s="248"/>
      <c r="P250" s="250"/>
      <c r="Q250" s="252"/>
      <c r="R250" s="248"/>
      <c r="S250" s="248"/>
      <c r="T250" s="248"/>
      <c r="U250" s="248"/>
      <c r="V250" s="248"/>
      <c r="W250" s="248"/>
      <c r="X250" s="248"/>
      <c r="Y250" s="248"/>
      <c r="Z250" s="253"/>
      <c r="AA250" s="253"/>
      <c r="AB250" s="253"/>
      <c r="AC250" s="253"/>
      <c r="AD250" s="253"/>
      <c r="AE250" s="253"/>
      <c r="AF250" s="254"/>
      <c r="AG250" s="257"/>
      <c r="AH250" s="257"/>
      <c r="AI250" s="257"/>
      <c r="AJ250" s="258"/>
      <c r="AK250" s="259"/>
      <c r="AL250" s="257"/>
      <c r="AM250" s="257"/>
      <c r="AN250" s="257"/>
      <c r="AO250" s="257"/>
      <c r="AP250" s="257"/>
      <c r="AQ250" s="258"/>
      <c r="AR250" s="260"/>
      <c r="AS250" s="257"/>
      <c r="AT250" s="257"/>
      <c r="AU250" s="257"/>
      <c r="AV250" s="257"/>
      <c r="AW250" s="257"/>
      <c r="AX250" s="258"/>
      <c r="AY250" s="260"/>
      <c r="AZ250" s="257"/>
      <c r="BA250" s="257"/>
      <c r="BB250" s="257"/>
      <c r="BC250" s="257"/>
      <c r="BD250" s="258"/>
      <c r="BE250" s="260"/>
      <c r="BF250" s="258"/>
      <c r="BG250" s="260"/>
      <c r="BH250" s="257"/>
      <c r="BI250" s="14"/>
    </row>
    <row r="251" spans="1:61" ht="13.15" x14ac:dyDescent="0.4">
      <c r="A251" s="248"/>
      <c r="B251" s="256"/>
      <c r="C251" s="248"/>
      <c r="D251" s="248"/>
      <c r="E251" s="248"/>
      <c r="F251" s="250"/>
      <c r="G251" s="248"/>
      <c r="H251" s="32"/>
      <c r="I251" s="248"/>
      <c r="J251" s="248"/>
      <c r="K251" s="251"/>
      <c r="L251" s="238"/>
      <c r="M251" s="248"/>
      <c r="N251" s="248"/>
      <c r="O251" s="248"/>
      <c r="P251" s="250"/>
      <c r="Q251" s="252"/>
      <c r="R251" s="248"/>
      <c r="S251" s="248"/>
      <c r="T251" s="248"/>
      <c r="U251" s="248"/>
      <c r="V251" s="248"/>
      <c r="W251" s="248"/>
      <c r="X251" s="248"/>
      <c r="Y251" s="248"/>
      <c r="Z251" s="253"/>
      <c r="AA251" s="253"/>
      <c r="AB251" s="253"/>
      <c r="AC251" s="253"/>
      <c r="AD251" s="253"/>
      <c r="AE251" s="253"/>
      <c r="AF251" s="254"/>
      <c r="AG251" s="257"/>
      <c r="AH251" s="257"/>
      <c r="AI251" s="257"/>
      <c r="AJ251" s="258"/>
      <c r="AK251" s="259"/>
      <c r="AL251" s="257"/>
      <c r="AM251" s="257"/>
      <c r="AN251" s="257"/>
      <c r="AO251" s="257"/>
      <c r="AP251" s="257"/>
      <c r="AQ251" s="258"/>
      <c r="AR251" s="260"/>
      <c r="AS251" s="257"/>
      <c r="AT251" s="257"/>
      <c r="AU251" s="257"/>
      <c r="AV251" s="257"/>
      <c r="AW251" s="257"/>
      <c r="AX251" s="258"/>
      <c r="AY251" s="260"/>
      <c r="AZ251" s="257"/>
      <c r="BA251" s="257"/>
      <c r="BB251" s="257"/>
      <c r="BC251" s="257"/>
      <c r="BD251" s="258"/>
      <c r="BE251" s="260"/>
      <c r="BF251" s="258"/>
      <c r="BG251" s="260"/>
      <c r="BH251" s="257"/>
      <c r="BI251" s="14"/>
    </row>
    <row r="252" spans="1:61" ht="13.15" x14ac:dyDescent="0.4">
      <c r="A252" s="248"/>
      <c r="B252" s="256"/>
      <c r="C252" s="248"/>
      <c r="D252" s="248"/>
      <c r="E252" s="248"/>
      <c r="F252" s="250"/>
      <c r="G252" s="248"/>
      <c r="H252" s="32"/>
      <c r="I252" s="248"/>
      <c r="J252" s="248"/>
      <c r="K252" s="251"/>
      <c r="L252" s="238"/>
      <c r="M252" s="248"/>
      <c r="N252" s="248"/>
      <c r="O252" s="248"/>
      <c r="P252" s="250"/>
      <c r="Q252" s="252"/>
      <c r="R252" s="248"/>
      <c r="S252" s="248"/>
      <c r="T252" s="248"/>
      <c r="U252" s="248"/>
      <c r="V252" s="248"/>
      <c r="W252" s="248"/>
      <c r="X252" s="248"/>
      <c r="Y252" s="248"/>
      <c r="Z252" s="253"/>
      <c r="AA252" s="253"/>
      <c r="AB252" s="253"/>
      <c r="AC252" s="253"/>
      <c r="AD252" s="253"/>
      <c r="AE252" s="253"/>
      <c r="AF252" s="254"/>
      <c r="AG252" s="257"/>
      <c r="AH252" s="257"/>
      <c r="AI252" s="257"/>
      <c r="AJ252" s="258"/>
      <c r="AK252" s="259"/>
      <c r="AL252" s="257"/>
      <c r="AM252" s="257"/>
      <c r="AN252" s="257"/>
      <c r="AO252" s="257"/>
      <c r="AP252" s="257"/>
      <c r="AQ252" s="258"/>
      <c r="AR252" s="260"/>
      <c r="AS252" s="257"/>
      <c r="AT252" s="257"/>
      <c r="AU252" s="257"/>
      <c r="AV252" s="257"/>
      <c r="AW252" s="257"/>
      <c r="AX252" s="258"/>
      <c r="AY252" s="260"/>
      <c r="AZ252" s="257"/>
      <c r="BA252" s="257"/>
      <c r="BB252" s="257"/>
      <c r="BC252" s="257"/>
      <c r="BD252" s="258"/>
      <c r="BE252" s="260"/>
      <c r="BF252" s="258"/>
      <c r="BG252" s="260"/>
      <c r="BH252" s="257"/>
      <c r="BI252" s="14"/>
    </row>
    <row r="253" spans="1:61" ht="13.15" x14ac:dyDescent="0.4">
      <c r="A253" s="248"/>
      <c r="B253" s="256"/>
      <c r="C253" s="248"/>
      <c r="D253" s="248"/>
      <c r="E253" s="248"/>
      <c r="F253" s="250"/>
      <c r="G253" s="248"/>
      <c r="H253" s="32"/>
      <c r="I253" s="248"/>
      <c r="J253" s="248"/>
      <c r="K253" s="251"/>
      <c r="L253" s="238"/>
      <c r="M253" s="248"/>
      <c r="N253" s="248"/>
      <c r="O253" s="248"/>
      <c r="P253" s="250"/>
      <c r="Q253" s="252"/>
      <c r="R253" s="248"/>
      <c r="S253" s="248"/>
      <c r="T253" s="248"/>
      <c r="U253" s="248"/>
      <c r="V253" s="248"/>
      <c r="W253" s="248"/>
      <c r="X253" s="248"/>
      <c r="Y253" s="248"/>
      <c r="Z253" s="253"/>
      <c r="AA253" s="253"/>
      <c r="AB253" s="253"/>
      <c r="AC253" s="253"/>
      <c r="AD253" s="253"/>
      <c r="AE253" s="253"/>
      <c r="AF253" s="254"/>
      <c r="AG253" s="257"/>
      <c r="AH253" s="257"/>
      <c r="AI253" s="257"/>
      <c r="AJ253" s="258"/>
      <c r="AK253" s="259"/>
      <c r="AL253" s="257"/>
      <c r="AM253" s="257"/>
      <c r="AN253" s="257"/>
      <c r="AO253" s="257"/>
      <c r="AP253" s="257"/>
      <c r="AQ253" s="258"/>
      <c r="AR253" s="260"/>
      <c r="AS253" s="257"/>
      <c r="AT253" s="257"/>
      <c r="AU253" s="257"/>
      <c r="AV253" s="257"/>
      <c r="AW253" s="257"/>
      <c r="AX253" s="258"/>
      <c r="AY253" s="260"/>
      <c r="AZ253" s="257"/>
      <c r="BA253" s="257"/>
      <c r="BB253" s="257"/>
      <c r="BC253" s="257"/>
      <c r="BD253" s="258"/>
      <c r="BE253" s="260"/>
      <c r="BF253" s="258"/>
      <c r="BG253" s="260"/>
      <c r="BH253" s="257"/>
      <c r="BI253" s="14"/>
    </row>
    <row r="254" spans="1:61" ht="13.15" x14ac:dyDescent="0.4">
      <c r="A254" s="248"/>
      <c r="B254" s="256"/>
      <c r="C254" s="248"/>
      <c r="D254" s="248"/>
      <c r="E254" s="248"/>
      <c r="F254" s="250"/>
      <c r="G254" s="248"/>
      <c r="H254" s="32"/>
      <c r="I254" s="248"/>
      <c r="J254" s="248"/>
      <c r="K254" s="251"/>
      <c r="L254" s="238"/>
      <c r="M254" s="248"/>
      <c r="N254" s="248"/>
      <c r="O254" s="248"/>
      <c r="P254" s="250"/>
      <c r="Q254" s="252"/>
      <c r="R254" s="248"/>
      <c r="S254" s="248"/>
      <c r="T254" s="248"/>
      <c r="U254" s="248"/>
      <c r="V254" s="248"/>
      <c r="W254" s="248"/>
      <c r="X254" s="248"/>
      <c r="Y254" s="248"/>
      <c r="Z254" s="253"/>
      <c r="AA254" s="253"/>
      <c r="AB254" s="253"/>
      <c r="AC254" s="253"/>
      <c r="AD254" s="253"/>
      <c r="AE254" s="253"/>
      <c r="AF254" s="254"/>
      <c r="AG254" s="257"/>
      <c r="AH254" s="257"/>
      <c r="AI254" s="257"/>
      <c r="AJ254" s="258"/>
      <c r="AK254" s="259"/>
      <c r="AL254" s="257"/>
      <c r="AM254" s="257"/>
      <c r="AN254" s="257"/>
      <c r="AO254" s="257"/>
      <c r="AP254" s="257"/>
      <c r="AQ254" s="258"/>
      <c r="AR254" s="260"/>
      <c r="AS254" s="257"/>
      <c r="AT254" s="257"/>
      <c r="AU254" s="257"/>
      <c r="AV254" s="257"/>
      <c r="AW254" s="257"/>
      <c r="AX254" s="258"/>
      <c r="AY254" s="260"/>
      <c r="AZ254" s="257"/>
      <c r="BA254" s="257"/>
      <c r="BB254" s="257"/>
      <c r="BC254" s="257"/>
      <c r="BD254" s="258"/>
      <c r="BE254" s="260"/>
      <c r="BF254" s="258"/>
      <c r="BG254" s="260"/>
      <c r="BH254" s="257"/>
      <c r="BI254" s="14"/>
    </row>
    <row r="255" spans="1:61" ht="13.15" x14ac:dyDescent="0.4">
      <c r="A255" s="248"/>
      <c r="B255" s="256"/>
      <c r="C255" s="248"/>
      <c r="D255" s="248"/>
      <c r="E255" s="248"/>
      <c r="F255" s="250"/>
      <c r="G255" s="248"/>
      <c r="H255" s="32"/>
      <c r="I255" s="248"/>
      <c r="J255" s="248"/>
      <c r="K255" s="251"/>
      <c r="L255" s="238"/>
      <c r="M255" s="248"/>
      <c r="N255" s="248"/>
      <c r="O255" s="248"/>
      <c r="P255" s="250"/>
      <c r="Q255" s="252"/>
      <c r="R255" s="248"/>
      <c r="S255" s="248"/>
      <c r="T255" s="248"/>
      <c r="U255" s="248"/>
      <c r="V255" s="248"/>
      <c r="W255" s="248"/>
      <c r="X255" s="248"/>
      <c r="Y255" s="248"/>
      <c r="Z255" s="253"/>
      <c r="AA255" s="253"/>
      <c r="AB255" s="253"/>
      <c r="AC255" s="253"/>
      <c r="AD255" s="253"/>
      <c r="AE255" s="253"/>
      <c r="AF255" s="254"/>
      <c r="AG255" s="257"/>
      <c r="AH255" s="257"/>
      <c r="AI255" s="257"/>
      <c r="AJ255" s="258"/>
      <c r="AK255" s="259"/>
      <c r="AL255" s="257"/>
      <c r="AM255" s="257"/>
      <c r="AN255" s="257"/>
      <c r="AO255" s="257"/>
      <c r="AP255" s="257"/>
      <c r="AQ255" s="258"/>
      <c r="AR255" s="260"/>
      <c r="AS255" s="257"/>
      <c r="AT255" s="257"/>
      <c r="AU255" s="257"/>
      <c r="AV255" s="257"/>
      <c r="AW255" s="257"/>
      <c r="AX255" s="258"/>
      <c r="AY255" s="260"/>
      <c r="AZ255" s="257"/>
      <c r="BA255" s="257"/>
      <c r="BB255" s="257"/>
      <c r="BC255" s="257"/>
      <c r="BD255" s="258"/>
      <c r="BE255" s="260"/>
      <c r="BF255" s="258"/>
      <c r="BG255" s="260"/>
      <c r="BH255" s="257"/>
      <c r="BI255" s="14"/>
    </row>
    <row r="256" spans="1:61" ht="13.15" x14ac:dyDescent="0.4">
      <c r="A256" s="248"/>
      <c r="B256" s="256"/>
      <c r="C256" s="248"/>
      <c r="D256" s="248"/>
      <c r="E256" s="248"/>
      <c r="F256" s="250"/>
      <c r="G256" s="248"/>
      <c r="H256" s="32"/>
      <c r="I256" s="248"/>
      <c r="J256" s="248"/>
      <c r="K256" s="251"/>
      <c r="L256" s="238"/>
      <c r="M256" s="248"/>
      <c r="N256" s="248"/>
      <c r="O256" s="248"/>
      <c r="P256" s="250"/>
      <c r="Q256" s="252"/>
      <c r="R256" s="248"/>
      <c r="S256" s="248"/>
      <c r="T256" s="248"/>
      <c r="U256" s="248"/>
      <c r="V256" s="248"/>
      <c r="W256" s="248"/>
      <c r="X256" s="248"/>
      <c r="Y256" s="248"/>
      <c r="Z256" s="253"/>
      <c r="AA256" s="253"/>
      <c r="AB256" s="253"/>
      <c r="AC256" s="253"/>
      <c r="AD256" s="253"/>
      <c r="AE256" s="253"/>
      <c r="AF256" s="254"/>
      <c r="AG256" s="257"/>
      <c r="AH256" s="257"/>
      <c r="AI256" s="257"/>
      <c r="AJ256" s="258"/>
      <c r="AK256" s="259"/>
      <c r="AL256" s="257"/>
      <c r="AM256" s="257"/>
      <c r="AN256" s="257"/>
      <c r="AO256" s="257"/>
      <c r="AP256" s="257"/>
      <c r="AQ256" s="258"/>
      <c r="AR256" s="260"/>
      <c r="AS256" s="257"/>
      <c r="AT256" s="257"/>
      <c r="AU256" s="257"/>
      <c r="AV256" s="257"/>
      <c r="AW256" s="257"/>
      <c r="AX256" s="258"/>
      <c r="AY256" s="260"/>
      <c r="AZ256" s="257"/>
      <c r="BA256" s="257"/>
      <c r="BB256" s="257"/>
      <c r="BC256" s="257"/>
      <c r="BD256" s="258"/>
      <c r="BE256" s="260"/>
      <c r="BF256" s="258"/>
      <c r="BG256" s="260"/>
      <c r="BH256" s="257"/>
      <c r="BI256" s="14"/>
    </row>
    <row r="257" spans="1:61" ht="13.15" x14ac:dyDescent="0.4">
      <c r="A257" s="248"/>
      <c r="B257" s="256"/>
      <c r="C257" s="248"/>
      <c r="D257" s="248"/>
      <c r="E257" s="248"/>
      <c r="F257" s="250"/>
      <c r="G257" s="248"/>
      <c r="H257" s="32"/>
      <c r="I257" s="248"/>
      <c r="J257" s="248"/>
      <c r="K257" s="251"/>
      <c r="L257" s="238"/>
      <c r="M257" s="248"/>
      <c r="N257" s="248"/>
      <c r="O257" s="248"/>
      <c r="P257" s="250"/>
      <c r="Q257" s="252"/>
      <c r="R257" s="248"/>
      <c r="S257" s="248"/>
      <c r="T257" s="248"/>
      <c r="U257" s="248"/>
      <c r="V257" s="248"/>
      <c r="W257" s="248"/>
      <c r="X257" s="248"/>
      <c r="Y257" s="248"/>
      <c r="Z257" s="253"/>
      <c r="AA257" s="253"/>
      <c r="AB257" s="253"/>
      <c r="AC257" s="253"/>
      <c r="AD257" s="253"/>
      <c r="AE257" s="253"/>
      <c r="AF257" s="254"/>
      <c r="AG257" s="257"/>
      <c r="AH257" s="257"/>
      <c r="AI257" s="257"/>
      <c r="AJ257" s="258"/>
      <c r="AK257" s="259"/>
      <c r="AL257" s="257"/>
      <c r="AM257" s="257"/>
      <c r="AN257" s="257"/>
      <c r="AO257" s="257"/>
      <c r="AP257" s="257"/>
      <c r="AQ257" s="258"/>
      <c r="AR257" s="260"/>
      <c r="AS257" s="257"/>
      <c r="AT257" s="257"/>
      <c r="AU257" s="257"/>
      <c r="AV257" s="257"/>
      <c r="AW257" s="257"/>
      <c r="AX257" s="258"/>
      <c r="AY257" s="260"/>
      <c r="AZ257" s="257"/>
      <c r="BA257" s="257"/>
      <c r="BB257" s="257"/>
      <c r="BC257" s="257"/>
      <c r="BD257" s="258"/>
      <c r="BE257" s="260"/>
      <c r="BF257" s="258"/>
      <c r="BG257" s="260"/>
      <c r="BH257" s="257"/>
      <c r="BI257" s="14"/>
    </row>
    <row r="258" spans="1:61" ht="13.15" x14ac:dyDescent="0.4">
      <c r="A258" s="248"/>
      <c r="B258" s="256"/>
      <c r="C258" s="248"/>
      <c r="D258" s="248"/>
      <c r="E258" s="248"/>
      <c r="F258" s="250"/>
      <c r="G258" s="248"/>
      <c r="H258" s="32"/>
      <c r="I258" s="248"/>
      <c r="J258" s="248"/>
      <c r="K258" s="251"/>
      <c r="L258" s="238"/>
      <c r="M258" s="248"/>
      <c r="N258" s="248"/>
      <c r="O258" s="248"/>
      <c r="P258" s="250"/>
      <c r="Q258" s="252"/>
      <c r="R258" s="248"/>
      <c r="S258" s="248"/>
      <c r="T258" s="248"/>
      <c r="U258" s="248"/>
      <c r="V258" s="248"/>
      <c r="W258" s="248"/>
      <c r="X258" s="248"/>
      <c r="Y258" s="248"/>
      <c r="Z258" s="253"/>
      <c r="AA258" s="253"/>
      <c r="AB258" s="253"/>
      <c r="AC258" s="253"/>
      <c r="AD258" s="253"/>
      <c r="AE258" s="253"/>
      <c r="AF258" s="254"/>
      <c r="AG258" s="257"/>
      <c r="AH258" s="257"/>
      <c r="AI258" s="257"/>
      <c r="AJ258" s="258"/>
      <c r="AK258" s="259"/>
      <c r="AL258" s="257"/>
      <c r="AM258" s="257"/>
      <c r="AN258" s="257"/>
      <c r="AO258" s="257"/>
      <c r="AP258" s="257"/>
      <c r="AQ258" s="258"/>
      <c r="AR258" s="260"/>
      <c r="AS258" s="257"/>
      <c r="AT258" s="257"/>
      <c r="AU258" s="257"/>
      <c r="AV258" s="257"/>
      <c r="AW258" s="257"/>
      <c r="AX258" s="258"/>
      <c r="AY258" s="260"/>
      <c r="AZ258" s="257"/>
      <c r="BA258" s="257"/>
      <c r="BB258" s="257"/>
      <c r="BC258" s="257"/>
      <c r="BD258" s="258"/>
      <c r="BE258" s="260"/>
      <c r="BF258" s="258"/>
      <c r="BG258" s="260"/>
      <c r="BH258" s="257"/>
      <c r="BI258" s="14"/>
    </row>
    <row r="259" spans="1:61" ht="13.15" x14ac:dyDescent="0.4">
      <c r="A259" s="248"/>
      <c r="B259" s="256"/>
      <c r="C259" s="248"/>
      <c r="D259" s="248"/>
      <c r="E259" s="248"/>
      <c r="F259" s="250"/>
      <c r="G259" s="248"/>
      <c r="H259" s="32"/>
      <c r="I259" s="248"/>
      <c r="J259" s="248"/>
      <c r="K259" s="251"/>
      <c r="L259" s="238"/>
      <c r="M259" s="248"/>
      <c r="N259" s="248"/>
      <c r="O259" s="248"/>
      <c r="P259" s="250"/>
      <c r="Q259" s="252"/>
      <c r="R259" s="248"/>
      <c r="S259" s="248"/>
      <c r="T259" s="248"/>
      <c r="U259" s="248"/>
      <c r="V259" s="248"/>
      <c r="W259" s="248"/>
      <c r="X259" s="248"/>
      <c r="Y259" s="248"/>
      <c r="Z259" s="253"/>
      <c r="AA259" s="253"/>
      <c r="AB259" s="253"/>
      <c r="AC259" s="253"/>
      <c r="AD259" s="253"/>
      <c r="AE259" s="253"/>
      <c r="AF259" s="254"/>
      <c r="AG259" s="257"/>
      <c r="AH259" s="257"/>
      <c r="AI259" s="257"/>
      <c r="AJ259" s="258"/>
      <c r="AK259" s="259"/>
      <c r="AL259" s="257"/>
      <c r="AM259" s="257"/>
      <c r="AN259" s="257"/>
      <c r="AO259" s="257"/>
      <c r="AP259" s="257"/>
      <c r="AQ259" s="258"/>
      <c r="AR259" s="260"/>
      <c r="AS259" s="257"/>
      <c r="AT259" s="257"/>
      <c r="AU259" s="257"/>
      <c r="AV259" s="257"/>
      <c r="AW259" s="257"/>
      <c r="AX259" s="258"/>
      <c r="AY259" s="260"/>
      <c r="AZ259" s="257"/>
      <c r="BA259" s="257"/>
      <c r="BB259" s="257"/>
      <c r="BC259" s="257"/>
      <c r="BD259" s="258"/>
      <c r="BE259" s="260"/>
      <c r="BF259" s="258"/>
      <c r="BG259" s="260"/>
      <c r="BH259" s="257"/>
      <c r="BI259" s="14"/>
    </row>
    <row r="260" spans="1:61" ht="13.15" x14ac:dyDescent="0.4">
      <c r="A260" s="248"/>
      <c r="B260" s="256"/>
      <c r="C260" s="248"/>
      <c r="D260" s="248"/>
      <c r="E260" s="248"/>
      <c r="F260" s="250"/>
      <c r="G260" s="248"/>
      <c r="H260" s="32"/>
      <c r="I260" s="248"/>
      <c r="J260" s="248"/>
      <c r="K260" s="251"/>
      <c r="L260" s="238"/>
      <c r="M260" s="248"/>
      <c r="N260" s="248"/>
      <c r="O260" s="248"/>
      <c r="P260" s="250"/>
      <c r="Q260" s="252"/>
      <c r="R260" s="248"/>
      <c r="S260" s="248"/>
      <c r="T260" s="248"/>
      <c r="U260" s="248"/>
      <c r="V260" s="248"/>
      <c r="W260" s="248"/>
      <c r="X260" s="248"/>
      <c r="Y260" s="248"/>
      <c r="Z260" s="253"/>
      <c r="AA260" s="253"/>
      <c r="AB260" s="253"/>
      <c r="AC260" s="253"/>
      <c r="AD260" s="253"/>
      <c r="AE260" s="253"/>
      <c r="AF260" s="254"/>
      <c r="AG260" s="257"/>
      <c r="AH260" s="257"/>
      <c r="AI260" s="257"/>
      <c r="AJ260" s="258"/>
      <c r="AK260" s="259"/>
      <c r="AL260" s="257"/>
      <c r="AM260" s="257"/>
      <c r="AN260" s="257"/>
      <c r="AO260" s="257"/>
      <c r="AP260" s="257"/>
      <c r="AQ260" s="258"/>
      <c r="AR260" s="260"/>
      <c r="AS260" s="257"/>
      <c r="AT260" s="257"/>
      <c r="AU260" s="257"/>
      <c r="AV260" s="257"/>
      <c r="AW260" s="257"/>
      <c r="AX260" s="258"/>
      <c r="AY260" s="260"/>
      <c r="AZ260" s="257"/>
      <c r="BA260" s="257"/>
      <c r="BB260" s="257"/>
      <c r="BC260" s="257"/>
      <c r="BD260" s="258"/>
      <c r="BE260" s="260"/>
      <c r="BF260" s="258"/>
      <c r="BG260" s="260"/>
      <c r="BH260" s="257"/>
      <c r="BI260" s="14"/>
    </row>
    <row r="261" spans="1:61" ht="13.15" x14ac:dyDescent="0.4">
      <c r="A261" s="248"/>
      <c r="B261" s="256"/>
      <c r="C261" s="248"/>
      <c r="D261" s="248"/>
      <c r="E261" s="248"/>
      <c r="F261" s="250"/>
      <c r="G261" s="248"/>
      <c r="H261" s="32"/>
      <c r="I261" s="248"/>
      <c r="J261" s="248"/>
      <c r="K261" s="251"/>
      <c r="L261" s="238"/>
      <c r="M261" s="248"/>
      <c r="N261" s="248"/>
      <c r="O261" s="248"/>
      <c r="P261" s="250"/>
      <c r="Q261" s="252"/>
      <c r="R261" s="248"/>
      <c r="S261" s="248"/>
      <c r="T261" s="248"/>
      <c r="U261" s="248"/>
      <c r="V261" s="248"/>
      <c r="W261" s="248"/>
      <c r="X261" s="248"/>
      <c r="Y261" s="248"/>
      <c r="Z261" s="253"/>
      <c r="AA261" s="253"/>
      <c r="AB261" s="253"/>
      <c r="AC261" s="253"/>
      <c r="AD261" s="253"/>
      <c r="AE261" s="253"/>
      <c r="AF261" s="254"/>
      <c r="AG261" s="257"/>
      <c r="AH261" s="257"/>
      <c r="AI261" s="257"/>
      <c r="AJ261" s="258"/>
      <c r="AK261" s="259"/>
      <c r="AL261" s="257"/>
      <c r="AM261" s="257"/>
      <c r="AN261" s="257"/>
      <c r="AO261" s="257"/>
      <c r="AP261" s="257"/>
      <c r="AQ261" s="258"/>
      <c r="AR261" s="260"/>
      <c r="AS261" s="257"/>
      <c r="AT261" s="257"/>
      <c r="AU261" s="257"/>
      <c r="AV261" s="257"/>
      <c r="AW261" s="257"/>
      <c r="AX261" s="258"/>
      <c r="AY261" s="260"/>
      <c r="AZ261" s="257"/>
      <c r="BA261" s="257"/>
      <c r="BB261" s="257"/>
      <c r="BC261" s="257"/>
      <c r="BD261" s="258"/>
      <c r="BE261" s="260"/>
      <c r="BF261" s="258"/>
      <c r="BG261" s="260"/>
      <c r="BH261" s="257"/>
      <c r="BI261" s="14"/>
    </row>
    <row r="262" spans="1:61" ht="13.15" x14ac:dyDescent="0.4">
      <c r="A262" s="248"/>
      <c r="B262" s="256"/>
      <c r="C262" s="248"/>
      <c r="D262" s="248"/>
      <c r="E262" s="248"/>
      <c r="F262" s="250"/>
      <c r="G262" s="248"/>
      <c r="H262" s="32"/>
      <c r="I262" s="248"/>
      <c r="J262" s="248"/>
      <c r="K262" s="251"/>
      <c r="L262" s="238"/>
      <c r="M262" s="248"/>
      <c r="N262" s="248"/>
      <c r="O262" s="248"/>
      <c r="P262" s="250"/>
      <c r="Q262" s="252"/>
      <c r="R262" s="248"/>
      <c r="S262" s="248"/>
      <c r="T262" s="248"/>
      <c r="U262" s="248"/>
      <c r="V262" s="248"/>
      <c r="W262" s="248"/>
      <c r="X262" s="248"/>
      <c r="Y262" s="248"/>
      <c r="Z262" s="253"/>
      <c r="AA262" s="253"/>
      <c r="AB262" s="253"/>
      <c r="AC262" s="253"/>
      <c r="AD262" s="253"/>
      <c r="AE262" s="253"/>
      <c r="AF262" s="254"/>
      <c r="AG262" s="257"/>
      <c r="AH262" s="257"/>
      <c r="AI262" s="257"/>
      <c r="AJ262" s="258"/>
      <c r="AK262" s="259"/>
      <c r="AL262" s="257"/>
      <c r="AM262" s="257"/>
      <c r="AN262" s="257"/>
      <c r="AO262" s="257"/>
      <c r="AP262" s="257"/>
      <c r="AQ262" s="258"/>
      <c r="AR262" s="260"/>
      <c r="AS262" s="257"/>
      <c r="AT262" s="257"/>
      <c r="AU262" s="257"/>
      <c r="AV262" s="257"/>
      <c r="AW262" s="257"/>
      <c r="AX262" s="258"/>
      <c r="AY262" s="260"/>
      <c r="AZ262" s="257"/>
      <c r="BA262" s="257"/>
      <c r="BB262" s="257"/>
      <c r="BC262" s="257"/>
      <c r="BD262" s="258"/>
      <c r="BE262" s="260"/>
      <c r="BF262" s="258"/>
      <c r="BG262" s="260"/>
      <c r="BH262" s="257"/>
      <c r="BI262" s="14"/>
    </row>
    <row r="263" spans="1:61" ht="13.15" x14ac:dyDescent="0.4">
      <c r="A263" s="248"/>
      <c r="B263" s="256"/>
      <c r="C263" s="248"/>
      <c r="D263" s="248"/>
      <c r="E263" s="248"/>
      <c r="F263" s="250"/>
      <c r="G263" s="248"/>
      <c r="H263" s="32"/>
      <c r="I263" s="248"/>
      <c r="J263" s="248"/>
      <c r="K263" s="251"/>
      <c r="L263" s="238"/>
      <c r="M263" s="248"/>
      <c r="N263" s="248"/>
      <c r="O263" s="248"/>
      <c r="P263" s="250"/>
      <c r="Q263" s="252"/>
      <c r="R263" s="248"/>
      <c r="S263" s="248"/>
      <c r="T263" s="248"/>
      <c r="U263" s="248"/>
      <c r="V263" s="248"/>
      <c r="W263" s="248"/>
      <c r="X263" s="248"/>
      <c r="Y263" s="248"/>
      <c r="Z263" s="253"/>
      <c r="AA263" s="253"/>
      <c r="AB263" s="253"/>
      <c r="AC263" s="253"/>
      <c r="AD263" s="253"/>
      <c r="AE263" s="253"/>
      <c r="AF263" s="254"/>
      <c r="AG263" s="257"/>
      <c r="AH263" s="257"/>
      <c r="AI263" s="257"/>
      <c r="AJ263" s="258"/>
      <c r="AK263" s="259"/>
      <c r="AL263" s="257"/>
      <c r="AM263" s="257"/>
      <c r="AN263" s="257"/>
      <c r="AO263" s="257"/>
      <c r="AP263" s="257"/>
      <c r="AQ263" s="258"/>
      <c r="AR263" s="260"/>
      <c r="AS263" s="257"/>
      <c r="AT263" s="257"/>
      <c r="AU263" s="257"/>
      <c r="AV263" s="257"/>
      <c r="AW263" s="257"/>
      <c r="AX263" s="258"/>
      <c r="AY263" s="260"/>
      <c r="AZ263" s="257"/>
      <c r="BA263" s="257"/>
      <c r="BB263" s="257"/>
      <c r="BC263" s="257"/>
      <c r="BD263" s="258"/>
      <c r="BE263" s="260"/>
      <c r="BF263" s="258"/>
      <c r="BG263" s="260"/>
      <c r="BH263" s="257"/>
      <c r="BI263" s="14"/>
    </row>
    <row r="264" spans="1:61" ht="13.15" x14ac:dyDescent="0.4">
      <c r="A264" s="248"/>
      <c r="B264" s="256"/>
      <c r="C264" s="248"/>
      <c r="D264" s="248"/>
      <c r="E264" s="248"/>
      <c r="F264" s="250"/>
      <c r="G264" s="248"/>
      <c r="H264" s="32"/>
      <c r="I264" s="248"/>
      <c r="J264" s="248"/>
      <c r="K264" s="251"/>
      <c r="L264" s="238"/>
      <c r="M264" s="248"/>
      <c r="N264" s="248"/>
      <c r="O264" s="248"/>
      <c r="P264" s="250"/>
      <c r="Q264" s="252"/>
      <c r="R264" s="248"/>
      <c r="S264" s="248"/>
      <c r="T264" s="248"/>
      <c r="U264" s="248"/>
      <c r="V264" s="248"/>
      <c r="W264" s="248"/>
      <c r="X264" s="248"/>
      <c r="Y264" s="248"/>
      <c r="Z264" s="253"/>
      <c r="AA264" s="253"/>
      <c r="AB264" s="253"/>
      <c r="AC264" s="253"/>
      <c r="AD264" s="253"/>
      <c r="AE264" s="253"/>
      <c r="AF264" s="254"/>
      <c r="AG264" s="257"/>
      <c r="AH264" s="257"/>
      <c r="AI264" s="257"/>
      <c r="AJ264" s="258"/>
      <c r="AK264" s="259"/>
      <c r="AL264" s="257"/>
      <c r="AM264" s="257"/>
      <c r="AN264" s="257"/>
      <c r="AO264" s="257"/>
      <c r="AP264" s="257"/>
      <c r="AQ264" s="258"/>
      <c r="AR264" s="260"/>
      <c r="AS264" s="257"/>
      <c r="AT264" s="257"/>
      <c r="AU264" s="257"/>
      <c r="AV264" s="257"/>
      <c r="AW264" s="257"/>
      <c r="AX264" s="258"/>
      <c r="AY264" s="260"/>
      <c r="AZ264" s="257"/>
      <c r="BA264" s="257"/>
      <c r="BB264" s="257"/>
      <c r="BC264" s="257"/>
      <c r="BD264" s="258"/>
      <c r="BE264" s="260"/>
      <c r="BF264" s="258"/>
      <c r="BG264" s="260"/>
      <c r="BH264" s="257"/>
      <c r="BI264" s="14"/>
    </row>
    <row r="265" spans="1:61" ht="13.15" x14ac:dyDescent="0.4">
      <c r="A265" s="248"/>
      <c r="B265" s="256"/>
      <c r="C265" s="248"/>
      <c r="D265" s="248"/>
      <c r="E265" s="248"/>
      <c r="F265" s="250"/>
      <c r="G265" s="248"/>
      <c r="H265" s="32"/>
      <c r="I265" s="248"/>
      <c r="J265" s="248"/>
      <c r="K265" s="251"/>
      <c r="L265" s="238"/>
      <c r="M265" s="248"/>
      <c r="N265" s="248"/>
      <c r="O265" s="248"/>
      <c r="P265" s="250"/>
      <c r="Q265" s="252"/>
      <c r="R265" s="248"/>
      <c r="S265" s="248"/>
      <c r="T265" s="248"/>
      <c r="U265" s="248"/>
      <c r="V265" s="248"/>
      <c r="W265" s="248"/>
      <c r="X265" s="248"/>
      <c r="Y265" s="248"/>
      <c r="Z265" s="253"/>
      <c r="AA265" s="253"/>
      <c r="AB265" s="253"/>
      <c r="AC265" s="253"/>
      <c r="AD265" s="253"/>
      <c r="AE265" s="253"/>
      <c r="AF265" s="254"/>
      <c r="AG265" s="257"/>
      <c r="AH265" s="257"/>
      <c r="AI265" s="257"/>
      <c r="AJ265" s="258"/>
      <c r="AK265" s="259"/>
      <c r="AL265" s="257"/>
      <c r="AM265" s="257"/>
      <c r="AN265" s="257"/>
      <c r="AO265" s="257"/>
      <c r="AP265" s="257"/>
      <c r="AQ265" s="258"/>
      <c r="AR265" s="260"/>
      <c r="AS265" s="257"/>
      <c r="AT265" s="257"/>
      <c r="AU265" s="257"/>
      <c r="AV265" s="257"/>
      <c r="AW265" s="257"/>
      <c r="AX265" s="258"/>
      <c r="AY265" s="260"/>
      <c r="AZ265" s="257"/>
      <c r="BA265" s="257"/>
      <c r="BB265" s="257"/>
      <c r="BC265" s="257"/>
      <c r="BD265" s="258"/>
      <c r="BE265" s="260"/>
      <c r="BF265" s="258"/>
      <c r="BG265" s="260"/>
      <c r="BH265" s="257"/>
      <c r="BI265" s="14"/>
    </row>
    <row r="266" spans="1:61" ht="13.15" x14ac:dyDescent="0.4">
      <c r="A266" s="248"/>
      <c r="B266" s="256"/>
      <c r="C266" s="248"/>
      <c r="D266" s="248"/>
      <c r="E266" s="248"/>
      <c r="F266" s="250"/>
      <c r="G266" s="248"/>
      <c r="H266" s="32"/>
      <c r="I266" s="248"/>
      <c r="J266" s="248"/>
      <c r="K266" s="251"/>
      <c r="L266" s="238"/>
      <c r="M266" s="248"/>
      <c r="N266" s="248"/>
      <c r="O266" s="248"/>
      <c r="P266" s="250"/>
      <c r="Q266" s="252"/>
      <c r="R266" s="248"/>
      <c r="S266" s="248"/>
      <c r="T266" s="248"/>
      <c r="U266" s="248"/>
      <c r="V266" s="248"/>
      <c r="W266" s="248"/>
      <c r="X266" s="248"/>
      <c r="Y266" s="248"/>
      <c r="Z266" s="253"/>
      <c r="AA266" s="253"/>
      <c r="AB266" s="253"/>
      <c r="AC266" s="253"/>
      <c r="AD266" s="253"/>
      <c r="AE266" s="253"/>
      <c r="AF266" s="254"/>
      <c r="AG266" s="257"/>
      <c r="AH266" s="257"/>
      <c r="AI266" s="257"/>
      <c r="AJ266" s="258"/>
      <c r="AK266" s="259"/>
      <c r="AL266" s="257"/>
      <c r="AM266" s="257"/>
      <c r="AN266" s="257"/>
      <c r="AO266" s="257"/>
      <c r="AP266" s="257"/>
      <c r="AQ266" s="258"/>
      <c r="AR266" s="260"/>
      <c r="AS266" s="257"/>
      <c r="AT266" s="257"/>
      <c r="AU266" s="257"/>
      <c r="AV266" s="257"/>
      <c r="AW266" s="257"/>
      <c r="AX266" s="258"/>
      <c r="AY266" s="260"/>
      <c r="AZ266" s="257"/>
      <c r="BA266" s="257"/>
      <c r="BB266" s="257"/>
      <c r="BC266" s="257"/>
      <c r="BD266" s="258"/>
      <c r="BE266" s="260"/>
      <c r="BF266" s="258"/>
      <c r="BG266" s="260"/>
      <c r="BH266" s="257"/>
      <c r="BI266" s="14"/>
    </row>
    <row r="267" spans="1:61" ht="13.15" x14ac:dyDescent="0.4">
      <c r="A267" s="248"/>
      <c r="B267" s="256"/>
      <c r="C267" s="248"/>
      <c r="D267" s="248"/>
      <c r="E267" s="248"/>
      <c r="F267" s="250"/>
      <c r="G267" s="248"/>
      <c r="H267" s="32"/>
      <c r="I267" s="248"/>
      <c r="J267" s="248"/>
      <c r="K267" s="251"/>
      <c r="L267" s="238"/>
      <c r="M267" s="248"/>
      <c r="N267" s="248"/>
      <c r="O267" s="248"/>
      <c r="P267" s="250"/>
      <c r="Q267" s="252"/>
      <c r="R267" s="248"/>
      <c r="S267" s="248"/>
      <c r="T267" s="248"/>
      <c r="U267" s="248"/>
      <c r="V267" s="248"/>
      <c r="W267" s="248"/>
      <c r="X267" s="248"/>
      <c r="Y267" s="248"/>
      <c r="Z267" s="253"/>
      <c r="AA267" s="253"/>
      <c r="AB267" s="253"/>
      <c r="AC267" s="253"/>
      <c r="AD267" s="253"/>
      <c r="AE267" s="253"/>
      <c r="AF267" s="254"/>
      <c r="AG267" s="257"/>
      <c r="AH267" s="257"/>
      <c r="AI267" s="257"/>
      <c r="AJ267" s="258"/>
      <c r="AK267" s="259"/>
      <c r="AL267" s="257"/>
      <c r="AM267" s="257"/>
      <c r="AN267" s="257"/>
      <c r="AO267" s="257"/>
      <c r="AP267" s="257"/>
      <c r="AQ267" s="258"/>
      <c r="AR267" s="260"/>
      <c r="AS267" s="257"/>
      <c r="AT267" s="257"/>
      <c r="AU267" s="257"/>
      <c r="AV267" s="257"/>
      <c r="AW267" s="257"/>
      <c r="AX267" s="258"/>
      <c r="AY267" s="260"/>
      <c r="AZ267" s="257"/>
      <c r="BA267" s="257"/>
      <c r="BB267" s="257"/>
      <c r="BC267" s="257"/>
      <c r="BD267" s="258"/>
      <c r="BE267" s="260"/>
      <c r="BF267" s="258"/>
      <c r="BG267" s="260"/>
      <c r="BH267" s="257"/>
      <c r="BI267" s="14"/>
    </row>
    <row r="268" spans="1:61" ht="13.15" x14ac:dyDescent="0.4">
      <c r="A268" s="248"/>
      <c r="B268" s="256"/>
      <c r="C268" s="248"/>
      <c r="D268" s="248"/>
      <c r="E268" s="248"/>
      <c r="F268" s="250"/>
      <c r="G268" s="248"/>
      <c r="H268" s="32"/>
      <c r="I268" s="248"/>
      <c r="J268" s="248"/>
      <c r="K268" s="251"/>
      <c r="L268" s="238"/>
      <c r="M268" s="248"/>
      <c r="N268" s="248"/>
      <c r="O268" s="248"/>
      <c r="P268" s="250"/>
      <c r="Q268" s="252"/>
      <c r="R268" s="248"/>
      <c r="S268" s="248"/>
      <c r="T268" s="248"/>
      <c r="U268" s="248"/>
      <c r="V268" s="248"/>
      <c r="W268" s="248"/>
      <c r="X268" s="248"/>
      <c r="Y268" s="248"/>
      <c r="Z268" s="253"/>
      <c r="AA268" s="253"/>
      <c r="AB268" s="253"/>
      <c r="AC268" s="253"/>
      <c r="AD268" s="253"/>
      <c r="AE268" s="253"/>
      <c r="AF268" s="254"/>
      <c r="AG268" s="257"/>
      <c r="AH268" s="257"/>
      <c r="AI268" s="257"/>
      <c r="AJ268" s="258"/>
      <c r="AK268" s="259"/>
      <c r="AL268" s="257"/>
      <c r="AM268" s="257"/>
      <c r="AN268" s="257"/>
      <c r="AO268" s="257"/>
      <c r="AP268" s="257"/>
      <c r="AQ268" s="258"/>
      <c r="AR268" s="260"/>
      <c r="AS268" s="257"/>
      <c r="AT268" s="257"/>
      <c r="AU268" s="257"/>
      <c r="AV268" s="257"/>
      <c r="AW268" s="257"/>
      <c r="AX268" s="258"/>
      <c r="AY268" s="260"/>
      <c r="AZ268" s="257"/>
      <c r="BA268" s="257"/>
      <c r="BB268" s="257"/>
      <c r="BC268" s="257"/>
      <c r="BD268" s="258"/>
      <c r="BE268" s="260"/>
      <c r="BF268" s="258"/>
      <c r="BG268" s="260"/>
      <c r="BH268" s="257"/>
      <c r="BI268" s="14"/>
    </row>
    <row r="269" spans="1:61" ht="13.15" x14ac:dyDescent="0.4">
      <c r="A269" s="248"/>
      <c r="B269" s="256"/>
      <c r="C269" s="248"/>
      <c r="D269" s="248"/>
      <c r="E269" s="248"/>
      <c r="F269" s="250"/>
      <c r="G269" s="248"/>
      <c r="H269" s="32"/>
      <c r="I269" s="248"/>
      <c r="J269" s="248"/>
      <c r="K269" s="251"/>
      <c r="L269" s="238"/>
      <c r="M269" s="248"/>
      <c r="N269" s="248"/>
      <c r="O269" s="248"/>
      <c r="P269" s="250"/>
      <c r="Q269" s="252"/>
      <c r="R269" s="248"/>
      <c r="S269" s="248"/>
      <c r="T269" s="248"/>
      <c r="U269" s="248"/>
      <c r="V269" s="248"/>
      <c r="W269" s="248"/>
      <c r="X269" s="248"/>
      <c r="Y269" s="248"/>
      <c r="Z269" s="253"/>
      <c r="AA269" s="253"/>
      <c r="AB269" s="253"/>
      <c r="AC269" s="253"/>
      <c r="AD269" s="253"/>
      <c r="AE269" s="253"/>
      <c r="AF269" s="254"/>
      <c r="AG269" s="257"/>
      <c r="AH269" s="257"/>
      <c r="AI269" s="257"/>
      <c r="AJ269" s="258"/>
      <c r="AK269" s="259"/>
      <c r="AL269" s="257"/>
      <c r="AM269" s="257"/>
      <c r="AN269" s="257"/>
      <c r="AO269" s="257"/>
      <c r="AP269" s="257"/>
      <c r="AQ269" s="258"/>
      <c r="AR269" s="260"/>
      <c r="AS269" s="257"/>
      <c r="AT269" s="257"/>
      <c r="AU269" s="257"/>
      <c r="AV269" s="257"/>
      <c r="AW269" s="257"/>
      <c r="AX269" s="258"/>
      <c r="AY269" s="260"/>
      <c r="AZ269" s="257"/>
      <c r="BA269" s="257"/>
      <c r="BB269" s="257"/>
      <c r="BC269" s="257"/>
      <c r="BD269" s="258"/>
      <c r="BE269" s="260"/>
      <c r="BF269" s="258"/>
      <c r="BG269" s="260"/>
      <c r="BH269" s="257"/>
      <c r="BI269" s="14"/>
    </row>
    <row r="270" spans="1:61" ht="13.15" x14ac:dyDescent="0.4">
      <c r="A270" s="248"/>
      <c r="B270" s="256"/>
      <c r="C270" s="248"/>
      <c r="D270" s="248"/>
      <c r="E270" s="248"/>
      <c r="F270" s="250"/>
      <c r="G270" s="248"/>
      <c r="H270" s="32"/>
      <c r="I270" s="248"/>
      <c r="J270" s="248"/>
      <c r="K270" s="251"/>
      <c r="L270" s="238"/>
      <c r="M270" s="248"/>
      <c r="N270" s="248"/>
      <c r="O270" s="248"/>
      <c r="P270" s="250"/>
      <c r="Q270" s="252"/>
      <c r="R270" s="248"/>
      <c r="S270" s="248"/>
      <c r="T270" s="248"/>
      <c r="U270" s="248"/>
      <c r="V270" s="248"/>
      <c r="W270" s="248"/>
      <c r="X270" s="248"/>
      <c r="Y270" s="248"/>
      <c r="Z270" s="253"/>
      <c r="AA270" s="253"/>
      <c r="AB270" s="253"/>
      <c r="AC270" s="253"/>
      <c r="AD270" s="253"/>
      <c r="AE270" s="253"/>
      <c r="AF270" s="254"/>
      <c r="AG270" s="257"/>
      <c r="AH270" s="257"/>
      <c r="AI270" s="257"/>
      <c r="AJ270" s="258"/>
      <c r="AK270" s="259"/>
      <c r="AL270" s="257"/>
      <c r="AM270" s="257"/>
      <c r="AN270" s="257"/>
      <c r="AO270" s="257"/>
      <c r="AP270" s="257"/>
      <c r="AQ270" s="258"/>
      <c r="AR270" s="260"/>
      <c r="AS270" s="257"/>
      <c r="AT270" s="257"/>
      <c r="AU270" s="257"/>
      <c r="AV270" s="257"/>
      <c r="AW270" s="257"/>
      <c r="AX270" s="258"/>
      <c r="AY270" s="260"/>
      <c r="AZ270" s="257"/>
      <c r="BA270" s="257"/>
      <c r="BB270" s="257"/>
      <c r="BC270" s="257"/>
      <c r="BD270" s="258"/>
      <c r="BE270" s="260"/>
      <c r="BF270" s="258"/>
      <c r="BG270" s="260"/>
      <c r="BH270" s="257"/>
      <c r="BI270" s="14"/>
    </row>
    <row r="271" spans="1:61" ht="13.15" x14ac:dyDescent="0.4">
      <c r="A271" s="248"/>
      <c r="B271" s="256"/>
      <c r="C271" s="248"/>
      <c r="D271" s="248"/>
      <c r="E271" s="248"/>
      <c r="F271" s="250"/>
      <c r="G271" s="248"/>
      <c r="H271" s="32"/>
      <c r="I271" s="248"/>
      <c r="J271" s="248"/>
      <c r="K271" s="251"/>
      <c r="L271" s="238"/>
      <c r="M271" s="248"/>
      <c r="N271" s="248"/>
      <c r="O271" s="248"/>
      <c r="P271" s="250"/>
      <c r="Q271" s="252"/>
      <c r="R271" s="248"/>
      <c r="S271" s="248"/>
      <c r="T271" s="248"/>
      <c r="U271" s="248"/>
      <c r="V271" s="248"/>
      <c r="W271" s="248"/>
      <c r="X271" s="248"/>
      <c r="Y271" s="248"/>
      <c r="Z271" s="253"/>
      <c r="AA271" s="253"/>
      <c r="AB271" s="253"/>
      <c r="AC271" s="253"/>
      <c r="AD271" s="253"/>
      <c r="AE271" s="253"/>
      <c r="AF271" s="254"/>
      <c r="AG271" s="257"/>
      <c r="AH271" s="257"/>
      <c r="AI271" s="257"/>
      <c r="AJ271" s="258"/>
      <c r="AK271" s="259"/>
      <c r="AL271" s="257"/>
      <c r="AM271" s="257"/>
      <c r="AN271" s="257"/>
      <c r="AO271" s="257"/>
      <c r="AP271" s="257"/>
      <c r="AQ271" s="258"/>
      <c r="AR271" s="260"/>
      <c r="AS271" s="257"/>
      <c r="AT271" s="257"/>
      <c r="AU271" s="257"/>
      <c r="AV271" s="257"/>
      <c r="AW271" s="257"/>
      <c r="AX271" s="258"/>
      <c r="AY271" s="260"/>
      <c r="AZ271" s="257"/>
      <c r="BA271" s="257"/>
      <c r="BB271" s="257"/>
      <c r="BC271" s="257"/>
      <c r="BD271" s="258"/>
      <c r="BE271" s="260"/>
      <c r="BF271" s="258"/>
      <c r="BG271" s="260"/>
      <c r="BH271" s="257"/>
      <c r="BI271" s="14"/>
    </row>
    <row r="272" spans="1:61" ht="13.15" x14ac:dyDescent="0.4">
      <c r="A272" s="248"/>
      <c r="B272" s="256"/>
      <c r="C272" s="248"/>
      <c r="D272" s="248"/>
      <c r="E272" s="248"/>
      <c r="F272" s="250"/>
      <c r="G272" s="248"/>
      <c r="H272" s="32"/>
      <c r="I272" s="248"/>
      <c r="J272" s="248"/>
      <c r="K272" s="251"/>
      <c r="L272" s="238"/>
      <c r="M272" s="248"/>
      <c r="N272" s="248"/>
      <c r="O272" s="248"/>
      <c r="P272" s="250"/>
      <c r="Q272" s="252"/>
      <c r="R272" s="248"/>
      <c r="S272" s="248"/>
      <c r="T272" s="248"/>
      <c r="U272" s="248"/>
      <c r="V272" s="248"/>
      <c r="W272" s="248"/>
      <c r="X272" s="248"/>
      <c r="Y272" s="248"/>
      <c r="Z272" s="253"/>
      <c r="AA272" s="253"/>
      <c r="AB272" s="253"/>
      <c r="AC272" s="253"/>
      <c r="AD272" s="253"/>
      <c r="AE272" s="253"/>
      <c r="AF272" s="254"/>
      <c r="AG272" s="257"/>
      <c r="AH272" s="257"/>
      <c r="AI272" s="257"/>
      <c r="AJ272" s="258"/>
      <c r="AK272" s="259"/>
      <c r="AL272" s="257"/>
      <c r="AM272" s="257"/>
      <c r="AN272" s="257"/>
      <c r="AO272" s="257"/>
      <c r="AP272" s="257"/>
      <c r="AQ272" s="258"/>
      <c r="AR272" s="260"/>
      <c r="AS272" s="257"/>
      <c r="AT272" s="257"/>
      <c r="AU272" s="257"/>
      <c r="AV272" s="257"/>
      <c r="AW272" s="257"/>
      <c r="AX272" s="258"/>
      <c r="AY272" s="260"/>
      <c r="AZ272" s="257"/>
      <c r="BA272" s="257"/>
      <c r="BB272" s="257"/>
      <c r="BC272" s="257"/>
      <c r="BD272" s="258"/>
      <c r="BE272" s="260"/>
      <c r="BF272" s="258"/>
      <c r="BG272" s="260"/>
      <c r="BH272" s="257"/>
      <c r="BI272" s="14"/>
    </row>
    <row r="273" spans="1:61" ht="13.15" x14ac:dyDescent="0.4">
      <c r="A273" s="248"/>
      <c r="B273" s="256"/>
      <c r="C273" s="248"/>
      <c r="D273" s="248"/>
      <c r="E273" s="248"/>
      <c r="F273" s="250"/>
      <c r="G273" s="248"/>
      <c r="H273" s="32"/>
      <c r="I273" s="248"/>
      <c r="J273" s="248"/>
      <c r="K273" s="251"/>
      <c r="L273" s="238"/>
      <c r="M273" s="248"/>
      <c r="N273" s="248"/>
      <c r="O273" s="248"/>
      <c r="P273" s="250"/>
      <c r="Q273" s="252"/>
      <c r="R273" s="248"/>
      <c r="S273" s="248"/>
      <c r="T273" s="248"/>
      <c r="U273" s="248"/>
      <c r="V273" s="248"/>
      <c r="W273" s="248"/>
      <c r="X273" s="248"/>
      <c r="Y273" s="248"/>
      <c r="Z273" s="253"/>
      <c r="AA273" s="253"/>
      <c r="AB273" s="253"/>
      <c r="AC273" s="253"/>
      <c r="AD273" s="253"/>
      <c r="AE273" s="253"/>
      <c r="AF273" s="254"/>
      <c r="AG273" s="257"/>
      <c r="AH273" s="257"/>
      <c r="AI273" s="257"/>
      <c r="AJ273" s="258"/>
      <c r="AK273" s="259"/>
      <c r="AL273" s="257"/>
      <c r="AM273" s="257"/>
      <c r="AN273" s="257"/>
      <c r="AO273" s="257"/>
      <c r="AP273" s="257"/>
      <c r="AQ273" s="258"/>
      <c r="AR273" s="260"/>
      <c r="AS273" s="257"/>
      <c r="AT273" s="257"/>
      <c r="AU273" s="257"/>
      <c r="AV273" s="257"/>
      <c r="AW273" s="257"/>
      <c r="AX273" s="258"/>
      <c r="AY273" s="260"/>
      <c r="AZ273" s="257"/>
      <c r="BA273" s="257"/>
      <c r="BB273" s="257"/>
      <c r="BC273" s="257"/>
      <c r="BD273" s="258"/>
      <c r="BE273" s="260"/>
      <c r="BF273" s="258"/>
      <c r="BG273" s="260"/>
      <c r="BH273" s="257"/>
      <c r="BI273" s="14"/>
    </row>
    <row r="274" spans="1:61" ht="13.15" x14ac:dyDescent="0.4">
      <c r="A274" s="248"/>
      <c r="B274" s="256"/>
      <c r="C274" s="248"/>
      <c r="D274" s="248"/>
      <c r="E274" s="248"/>
      <c r="F274" s="250"/>
      <c r="G274" s="248"/>
      <c r="H274" s="32"/>
      <c r="I274" s="248"/>
      <c r="J274" s="248"/>
      <c r="K274" s="251"/>
      <c r="L274" s="238"/>
      <c r="M274" s="248"/>
      <c r="N274" s="248"/>
      <c r="O274" s="248"/>
      <c r="P274" s="250"/>
      <c r="Q274" s="252"/>
      <c r="R274" s="248"/>
      <c r="S274" s="248"/>
      <c r="T274" s="248"/>
      <c r="U274" s="248"/>
      <c r="V274" s="248"/>
      <c r="W274" s="248"/>
      <c r="X274" s="248"/>
      <c r="Y274" s="248"/>
      <c r="Z274" s="253"/>
      <c r="AA274" s="253"/>
      <c r="AB274" s="253"/>
      <c r="AC274" s="253"/>
      <c r="AD274" s="253"/>
      <c r="AE274" s="253"/>
      <c r="AF274" s="254"/>
      <c r="AG274" s="257"/>
      <c r="AH274" s="257"/>
      <c r="AI274" s="257"/>
      <c r="AJ274" s="258"/>
      <c r="AK274" s="259"/>
      <c r="AL274" s="257"/>
      <c r="AM274" s="257"/>
      <c r="AN274" s="257"/>
      <c r="AO274" s="257"/>
      <c r="AP274" s="257"/>
      <c r="AQ274" s="258"/>
      <c r="AR274" s="260"/>
      <c r="AS274" s="257"/>
      <c r="AT274" s="257"/>
      <c r="AU274" s="257"/>
      <c r="AV274" s="257"/>
      <c r="AW274" s="257"/>
      <c r="AX274" s="258"/>
      <c r="AY274" s="260"/>
      <c r="AZ274" s="257"/>
      <c r="BA274" s="257"/>
      <c r="BB274" s="257"/>
      <c r="BC274" s="257"/>
      <c r="BD274" s="258"/>
      <c r="BE274" s="260"/>
      <c r="BF274" s="258"/>
      <c r="BG274" s="260"/>
      <c r="BH274" s="257"/>
      <c r="BI274" s="14"/>
    </row>
    <row r="275" spans="1:61" ht="13.15" x14ac:dyDescent="0.4">
      <c r="A275" s="248"/>
      <c r="B275" s="256"/>
      <c r="C275" s="248"/>
      <c r="D275" s="248"/>
      <c r="E275" s="248"/>
      <c r="F275" s="250"/>
      <c r="G275" s="248"/>
      <c r="H275" s="32"/>
      <c r="I275" s="248"/>
      <c r="J275" s="248"/>
      <c r="K275" s="251"/>
      <c r="L275" s="238"/>
      <c r="M275" s="248"/>
      <c r="N275" s="248"/>
      <c r="O275" s="248"/>
      <c r="P275" s="250"/>
      <c r="Q275" s="252"/>
      <c r="R275" s="248"/>
      <c r="S275" s="248"/>
      <c r="T275" s="248"/>
      <c r="U275" s="248"/>
      <c r="V275" s="248"/>
      <c r="W275" s="248"/>
      <c r="X275" s="248"/>
      <c r="Y275" s="248"/>
      <c r="Z275" s="253"/>
      <c r="AA275" s="253"/>
      <c r="AB275" s="253"/>
      <c r="AC275" s="253"/>
      <c r="AD275" s="253"/>
      <c r="AE275" s="253"/>
      <c r="AF275" s="254"/>
      <c r="AG275" s="257"/>
      <c r="AH275" s="257"/>
      <c r="AI275" s="257"/>
      <c r="AJ275" s="258"/>
      <c r="AK275" s="259"/>
      <c r="AL275" s="257"/>
      <c r="AM275" s="257"/>
      <c r="AN275" s="257"/>
      <c r="AO275" s="257"/>
      <c r="AP275" s="257"/>
      <c r="AQ275" s="258"/>
      <c r="AR275" s="260"/>
      <c r="AS275" s="257"/>
      <c r="AT275" s="257"/>
      <c r="AU275" s="257"/>
      <c r="AV275" s="257"/>
      <c r="AW275" s="257"/>
      <c r="AX275" s="258"/>
      <c r="AY275" s="260"/>
      <c r="AZ275" s="257"/>
      <c r="BA275" s="257"/>
      <c r="BB275" s="257"/>
      <c r="BC275" s="257"/>
      <c r="BD275" s="258"/>
      <c r="BE275" s="260"/>
      <c r="BF275" s="258"/>
      <c r="BG275" s="260"/>
      <c r="BH275" s="257"/>
      <c r="BI275" s="14"/>
    </row>
    <row r="276" spans="1:61" ht="13.15" x14ac:dyDescent="0.4">
      <c r="A276" s="248"/>
      <c r="B276" s="256"/>
      <c r="C276" s="248"/>
      <c r="D276" s="248"/>
      <c r="E276" s="248"/>
      <c r="F276" s="250"/>
      <c r="G276" s="248"/>
      <c r="H276" s="32"/>
      <c r="I276" s="248"/>
      <c r="J276" s="248"/>
      <c r="K276" s="251"/>
      <c r="L276" s="238"/>
      <c r="M276" s="248"/>
      <c r="N276" s="248"/>
      <c r="O276" s="248"/>
      <c r="P276" s="250"/>
      <c r="Q276" s="252"/>
      <c r="R276" s="248"/>
      <c r="S276" s="248"/>
      <c r="T276" s="248"/>
      <c r="U276" s="248"/>
      <c r="V276" s="248"/>
      <c r="W276" s="248"/>
      <c r="X276" s="248"/>
      <c r="Y276" s="248"/>
      <c r="Z276" s="253"/>
      <c r="AA276" s="253"/>
      <c r="AB276" s="253"/>
      <c r="AC276" s="253"/>
      <c r="AD276" s="253"/>
      <c r="AE276" s="253"/>
      <c r="AF276" s="254"/>
      <c r="AG276" s="257"/>
      <c r="AH276" s="257"/>
      <c r="AI276" s="257"/>
      <c r="AJ276" s="258"/>
      <c r="AK276" s="259"/>
      <c r="AL276" s="257"/>
      <c r="AM276" s="257"/>
      <c r="AN276" s="257"/>
      <c r="AO276" s="257"/>
      <c r="AP276" s="257"/>
      <c r="AQ276" s="258"/>
      <c r="AR276" s="260"/>
      <c r="AS276" s="257"/>
      <c r="AT276" s="257"/>
      <c r="AU276" s="257"/>
      <c r="AV276" s="257"/>
      <c r="AW276" s="257"/>
      <c r="AX276" s="258"/>
      <c r="AY276" s="260"/>
      <c r="AZ276" s="257"/>
      <c r="BA276" s="257"/>
      <c r="BB276" s="257"/>
      <c r="BC276" s="257"/>
      <c r="BD276" s="258"/>
      <c r="BE276" s="260"/>
      <c r="BF276" s="258"/>
      <c r="BG276" s="260"/>
      <c r="BH276" s="257"/>
      <c r="BI276" s="14"/>
    </row>
    <row r="277" spans="1:61" ht="13.15" x14ac:dyDescent="0.4">
      <c r="A277" s="248"/>
      <c r="B277" s="256"/>
      <c r="C277" s="248"/>
      <c r="D277" s="248"/>
      <c r="E277" s="248"/>
      <c r="F277" s="250"/>
      <c r="G277" s="248"/>
      <c r="H277" s="32"/>
      <c r="I277" s="248"/>
      <c r="J277" s="248"/>
      <c r="K277" s="251"/>
      <c r="L277" s="238"/>
      <c r="M277" s="248"/>
      <c r="N277" s="248"/>
      <c r="O277" s="248"/>
      <c r="P277" s="250"/>
      <c r="Q277" s="252"/>
      <c r="R277" s="248"/>
      <c r="S277" s="248"/>
      <c r="T277" s="248"/>
      <c r="U277" s="248"/>
      <c r="V277" s="248"/>
      <c r="W277" s="248"/>
      <c r="X277" s="248"/>
      <c r="Y277" s="248"/>
      <c r="Z277" s="253"/>
      <c r="AA277" s="253"/>
      <c r="AB277" s="253"/>
      <c r="AC277" s="253"/>
      <c r="AD277" s="253"/>
      <c r="AE277" s="253"/>
      <c r="AF277" s="254"/>
      <c r="AG277" s="257"/>
      <c r="AH277" s="257"/>
      <c r="AI277" s="257"/>
      <c r="AJ277" s="258"/>
      <c r="AK277" s="259"/>
      <c r="AL277" s="257"/>
      <c r="AM277" s="257"/>
      <c r="AN277" s="257"/>
      <c r="AO277" s="257"/>
      <c r="AP277" s="257"/>
      <c r="AQ277" s="258"/>
      <c r="AR277" s="260"/>
      <c r="AS277" s="257"/>
      <c r="AT277" s="257"/>
      <c r="AU277" s="257"/>
      <c r="AV277" s="257"/>
      <c r="AW277" s="257"/>
      <c r="AX277" s="258"/>
      <c r="AY277" s="260"/>
      <c r="AZ277" s="257"/>
      <c r="BA277" s="257"/>
      <c r="BB277" s="257"/>
      <c r="BC277" s="257"/>
      <c r="BD277" s="258"/>
      <c r="BE277" s="260"/>
      <c r="BF277" s="258"/>
      <c r="BG277" s="260"/>
      <c r="BH277" s="257"/>
      <c r="BI277" s="14"/>
    </row>
    <row r="278" spans="1:61" ht="13.15" x14ac:dyDescent="0.4">
      <c r="A278" s="248"/>
      <c r="B278" s="256"/>
      <c r="C278" s="248"/>
      <c r="D278" s="248"/>
      <c r="E278" s="248"/>
      <c r="F278" s="250"/>
      <c r="G278" s="248"/>
      <c r="H278" s="32"/>
      <c r="I278" s="248"/>
      <c r="J278" s="248"/>
      <c r="K278" s="251"/>
      <c r="L278" s="238"/>
      <c r="M278" s="248"/>
      <c r="N278" s="248"/>
      <c r="O278" s="248"/>
      <c r="P278" s="250"/>
      <c r="Q278" s="252"/>
      <c r="R278" s="248"/>
      <c r="S278" s="248"/>
      <c r="T278" s="248"/>
      <c r="U278" s="248"/>
      <c r="V278" s="248"/>
      <c r="W278" s="248"/>
      <c r="X278" s="248"/>
      <c r="Y278" s="248"/>
      <c r="Z278" s="253"/>
      <c r="AA278" s="253"/>
      <c r="AB278" s="253"/>
      <c r="AC278" s="253"/>
      <c r="AD278" s="253"/>
      <c r="AE278" s="253"/>
      <c r="AF278" s="254"/>
      <c r="AG278" s="257"/>
      <c r="AH278" s="257"/>
      <c r="AI278" s="257"/>
      <c r="AJ278" s="258"/>
      <c r="AK278" s="259"/>
      <c r="AL278" s="257"/>
      <c r="AM278" s="257"/>
      <c r="AN278" s="257"/>
      <c r="AO278" s="257"/>
      <c r="AP278" s="257"/>
      <c r="AQ278" s="258"/>
      <c r="AR278" s="260"/>
      <c r="AS278" s="257"/>
      <c r="AT278" s="257"/>
      <c r="AU278" s="257"/>
      <c r="AV278" s="257"/>
      <c r="AW278" s="257"/>
      <c r="AX278" s="258"/>
      <c r="AY278" s="260"/>
      <c r="AZ278" s="257"/>
      <c r="BA278" s="257"/>
      <c r="BB278" s="257"/>
      <c r="BC278" s="257"/>
      <c r="BD278" s="258"/>
      <c r="BE278" s="260"/>
      <c r="BF278" s="258"/>
      <c r="BG278" s="260"/>
      <c r="BH278" s="257"/>
      <c r="BI278" s="14"/>
    </row>
    <row r="279" spans="1:61" ht="13.15" x14ac:dyDescent="0.4">
      <c r="A279" s="248"/>
      <c r="B279" s="256"/>
      <c r="C279" s="248"/>
      <c r="D279" s="248"/>
      <c r="E279" s="248"/>
      <c r="F279" s="250"/>
      <c r="G279" s="248"/>
      <c r="H279" s="32"/>
      <c r="I279" s="248"/>
      <c r="J279" s="248"/>
      <c r="K279" s="251"/>
      <c r="L279" s="238"/>
      <c r="M279" s="248"/>
      <c r="N279" s="248"/>
      <c r="O279" s="248"/>
      <c r="P279" s="250"/>
      <c r="Q279" s="252"/>
      <c r="R279" s="248"/>
      <c r="S279" s="248"/>
      <c r="T279" s="248"/>
      <c r="U279" s="248"/>
      <c r="V279" s="248"/>
      <c r="W279" s="248"/>
      <c r="X279" s="248"/>
      <c r="Y279" s="248"/>
      <c r="Z279" s="253"/>
      <c r="AA279" s="253"/>
      <c r="AB279" s="253"/>
      <c r="AC279" s="253"/>
      <c r="AD279" s="253"/>
      <c r="AE279" s="253"/>
      <c r="AF279" s="254"/>
      <c r="AG279" s="257"/>
      <c r="AH279" s="257"/>
      <c r="AI279" s="257"/>
      <c r="AJ279" s="258"/>
      <c r="AK279" s="259"/>
      <c r="AL279" s="257"/>
      <c r="AM279" s="257"/>
      <c r="AN279" s="257"/>
      <c r="AO279" s="257"/>
      <c r="AP279" s="257"/>
      <c r="AQ279" s="258"/>
      <c r="AR279" s="260"/>
      <c r="AS279" s="257"/>
      <c r="AT279" s="257"/>
      <c r="AU279" s="257"/>
      <c r="AV279" s="257"/>
      <c r="AW279" s="257"/>
      <c r="AX279" s="258"/>
      <c r="AY279" s="260"/>
      <c r="AZ279" s="257"/>
      <c r="BA279" s="257"/>
      <c r="BB279" s="257"/>
      <c r="BC279" s="257"/>
      <c r="BD279" s="258"/>
      <c r="BE279" s="260"/>
      <c r="BF279" s="258"/>
      <c r="BG279" s="260"/>
      <c r="BH279" s="257"/>
      <c r="BI279" s="14"/>
    </row>
    <row r="280" spans="1:61" ht="13.15" x14ac:dyDescent="0.4">
      <c r="A280" s="248"/>
      <c r="B280" s="256"/>
      <c r="C280" s="248"/>
      <c r="D280" s="248"/>
      <c r="E280" s="248"/>
      <c r="F280" s="250"/>
      <c r="G280" s="248"/>
      <c r="H280" s="32"/>
      <c r="I280" s="248"/>
      <c r="J280" s="248"/>
      <c r="K280" s="251"/>
      <c r="L280" s="238"/>
      <c r="M280" s="248"/>
      <c r="N280" s="248"/>
      <c r="O280" s="248"/>
      <c r="P280" s="250"/>
      <c r="Q280" s="252"/>
      <c r="R280" s="248"/>
      <c r="S280" s="248"/>
      <c r="T280" s="248"/>
      <c r="U280" s="248"/>
      <c r="V280" s="248"/>
      <c r="W280" s="248"/>
      <c r="X280" s="248"/>
      <c r="Y280" s="248"/>
      <c r="Z280" s="253"/>
      <c r="AA280" s="253"/>
      <c r="AB280" s="253"/>
      <c r="AC280" s="253"/>
      <c r="AD280" s="253"/>
      <c r="AE280" s="253"/>
      <c r="AF280" s="254"/>
      <c r="AG280" s="257"/>
      <c r="AH280" s="257"/>
      <c r="AI280" s="257"/>
      <c r="AJ280" s="258"/>
      <c r="AK280" s="259"/>
      <c r="AL280" s="257"/>
      <c r="AM280" s="257"/>
      <c r="AN280" s="257"/>
      <c r="AO280" s="257"/>
      <c r="AP280" s="257"/>
      <c r="AQ280" s="258"/>
      <c r="AR280" s="260"/>
      <c r="AS280" s="257"/>
      <c r="AT280" s="257"/>
      <c r="AU280" s="257"/>
      <c r="AV280" s="257"/>
      <c r="AW280" s="257"/>
      <c r="AX280" s="258"/>
      <c r="AY280" s="260"/>
      <c r="AZ280" s="257"/>
      <c r="BA280" s="257"/>
      <c r="BB280" s="257"/>
      <c r="BC280" s="257"/>
      <c r="BD280" s="258"/>
      <c r="BE280" s="260"/>
      <c r="BF280" s="258"/>
      <c r="BG280" s="260"/>
      <c r="BH280" s="257"/>
      <c r="BI280" s="14"/>
    </row>
    <row r="281" spans="1:61" ht="13.15" x14ac:dyDescent="0.4">
      <c r="A281" s="248"/>
      <c r="B281" s="256"/>
      <c r="C281" s="248"/>
      <c r="D281" s="248"/>
      <c r="E281" s="248"/>
      <c r="F281" s="250"/>
      <c r="G281" s="248"/>
      <c r="H281" s="32"/>
      <c r="I281" s="248"/>
      <c r="J281" s="248"/>
      <c r="K281" s="251"/>
      <c r="L281" s="238"/>
      <c r="M281" s="248"/>
      <c r="N281" s="248"/>
      <c r="O281" s="248"/>
      <c r="P281" s="250"/>
      <c r="Q281" s="252"/>
      <c r="R281" s="248"/>
      <c r="S281" s="248"/>
      <c r="T281" s="248"/>
      <c r="U281" s="248"/>
      <c r="V281" s="248"/>
      <c r="W281" s="248"/>
      <c r="X281" s="248"/>
      <c r="Y281" s="248"/>
      <c r="Z281" s="253"/>
      <c r="AA281" s="253"/>
      <c r="AB281" s="253"/>
      <c r="AC281" s="253"/>
      <c r="AD281" s="253"/>
      <c r="AE281" s="253"/>
      <c r="AF281" s="254"/>
      <c r="AG281" s="257"/>
      <c r="AH281" s="257"/>
      <c r="AI281" s="257"/>
      <c r="AJ281" s="258"/>
      <c r="AK281" s="259"/>
      <c r="AL281" s="257"/>
      <c r="AM281" s="257"/>
      <c r="AN281" s="257"/>
      <c r="AO281" s="257"/>
      <c r="AP281" s="257"/>
      <c r="AQ281" s="258"/>
      <c r="AR281" s="260"/>
      <c r="AS281" s="257"/>
      <c r="AT281" s="257"/>
      <c r="AU281" s="257"/>
      <c r="AV281" s="257"/>
      <c r="AW281" s="257"/>
      <c r="AX281" s="258"/>
      <c r="AY281" s="260"/>
      <c r="AZ281" s="257"/>
      <c r="BA281" s="257"/>
      <c r="BB281" s="257"/>
      <c r="BC281" s="257"/>
      <c r="BD281" s="258"/>
      <c r="BE281" s="260"/>
      <c r="BF281" s="258"/>
      <c r="BG281" s="260"/>
      <c r="BH281" s="257"/>
      <c r="BI281" s="14"/>
    </row>
    <row r="282" spans="1:61" ht="13.15" x14ac:dyDescent="0.4">
      <c r="A282" s="248"/>
      <c r="B282" s="256"/>
      <c r="C282" s="248"/>
      <c r="D282" s="248"/>
      <c r="E282" s="248"/>
      <c r="F282" s="250"/>
      <c r="G282" s="248"/>
      <c r="H282" s="32"/>
      <c r="I282" s="248"/>
      <c r="J282" s="248"/>
      <c r="K282" s="251"/>
      <c r="L282" s="238"/>
      <c r="M282" s="248"/>
      <c r="N282" s="248"/>
      <c r="O282" s="248"/>
      <c r="P282" s="250"/>
      <c r="Q282" s="252"/>
      <c r="R282" s="248"/>
      <c r="S282" s="248"/>
      <c r="T282" s="248"/>
      <c r="U282" s="248"/>
      <c r="V282" s="248"/>
      <c r="W282" s="248"/>
      <c r="X282" s="248"/>
      <c r="Y282" s="248"/>
      <c r="Z282" s="253"/>
      <c r="AA282" s="253"/>
      <c r="AB282" s="253"/>
      <c r="AC282" s="253"/>
      <c r="AD282" s="253"/>
      <c r="AE282" s="253"/>
      <c r="AF282" s="254"/>
      <c r="AG282" s="257"/>
      <c r="AH282" s="257"/>
      <c r="AI282" s="257"/>
      <c r="AJ282" s="258"/>
      <c r="AK282" s="259"/>
      <c r="AL282" s="257"/>
      <c r="AM282" s="257"/>
      <c r="AN282" s="257"/>
      <c r="AO282" s="257"/>
      <c r="AP282" s="257"/>
      <c r="AQ282" s="258"/>
      <c r="AR282" s="260"/>
      <c r="AS282" s="257"/>
      <c r="AT282" s="257"/>
      <c r="AU282" s="257"/>
      <c r="AV282" s="257"/>
      <c r="AW282" s="257"/>
      <c r="AX282" s="258"/>
      <c r="AY282" s="260"/>
      <c r="AZ282" s="257"/>
      <c r="BA282" s="257"/>
      <c r="BB282" s="257"/>
      <c r="BC282" s="257"/>
      <c r="BD282" s="258"/>
      <c r="BE282" s="260"/>
      <c r="BF282" s="258"/>
      <c r="BG282" s="260"/>
      <c r="BH282" s="257"/>
      <c r="BI282" s="14"/>
    </row>
    <row r="283" spans="1:61" ht="13.15" x14ac:dyDescent="0.4">
      <c r="A283" s="248"/>
      <c r="B283" s="256"/>
      <c r="C283" s="248"/>
      <c r="D283" s="248"/>
      <c r="E283" s="248"/>
      <c r="F283" s="250"/>
      <c r="G283" s="248"/>
      <c r="H283" s="32"/>
      <c r="I283" s="248"/>
      <c r="J283" s="248"/>
      <c r="K283" s="251"/>
      <c r="L283" s="238"/>
      <c r="M283" s="248"/>
      <c r="N283" s="248"/>
      <c r="O283" s="248"/>
      <c r="P283" s="250"/>
      <c r="Q283" s="252"/>
      <c r="R283" s="248"/>
      <c r="S283" s="248"/>
      <c r="T283" s="248"/>
      <c r="U283" s="248"/>
      <c r="V283" s="248"/>
      <c r="W283" s="248"/>
      <c r="X283" s="248"/>
      <c r="Y283" s="248"/>
      <c r="Z283" s="253"/>
      <c r="AA283" s="253"/>
      <c r="AB283" s="253"/>
      <c r="AC283" s="253"/>
      <c r="AD283" s="253"/>
      <c r="AE283" s="253"/>
      <c r="AF283" s="254"/>
      <c r="AG283" s="257"/>
      <c r="AH283" s="257"/>
      <c r="AI283" s="257"/>
      <c r="AJ283" s="258"/>
      <c r="AK283" s="259"/>
      <c r="AL283" s="257"/>
      <c r="AM283" s="257"/>
      <c r="AN283" s="257"/>
      <c r="AO283" s="257"/>
      <c r="AP283" s="257"/>
      <c r="AQ283" s="258"/>
      <c r="AR283" s="260"/>
      <c r="AS283" s="257"/>
      <c r="AT283" s="257"/>
      <c r="AU283" s="257"/>
      <c r="AV283" s="257"/>
      <c r="AW283" s="257"/>
      <c r="AX283" s="258"/>
      <c r="AY283" s="260"/>
      <c r="AZ283" s="257"/>
      <c r="BA283" s="257"/>
      <c r="BB283" s="257"/>
      <c r="BC283" s="257"/>
      <c r="BD283" s="258"/>
      <c r="BE283" s="260"/>
      <c r="BF283" s="258"/>
      <c r="BG283" s="260"/>
      <c r="BH283" s="257"/>
      <c r="BI283" s="14"/>
    </row>
    <row r="284" spans="1:61" ht="13.15" x14ac:dyDescent="0.4">
      <c r="A284" s="248"/>
      <c r="B284" s="256"/>
      <c r="C284" s="248"/>
      <c r="D284" s="248"/>
      <c r="E284" s="248"/>
      <c r="F284" s="250"/>
      <c r="G284" s="248"/>
      <c r="H284" s="32"/>
      <c r="I284" s="248"/>
      <c r="J284" s="248"/>
      <c r="K284" s="251"/>
      <c r="L284" s="238"/>
      <c r="M284" s="248"/>
      <c r="N284" s="248"/>
      <c r="O284" s="248"/>
      <c r="P284" s="250"/>
      <c r="Q284" s="252"/>
      <c r="R284" s="248"/>
      <c r="S284" s="248"/>
      <c r="T284" s="248"/>
      <c r="U284" s="248"/>
      <c r="V284" s="248"/>
      <c r="W284" s="248"/>
      <c r="X284" s="248"/>
      <c r="Y284" s="248"/>
      <c r="Z284" s="253"/>
      <c r="AA284" s="253"/>
      <c r="AB284" s="253"/>
      <c r="AC284" s="253"/>
      <c r="AD284" s="253"/>
      <c r="AE284" s="253"/>
      <c r="AF284" s="254"/>
      <c r="AG284" s="257"/>
      <c r="AH284" s="257"/>
      <c r="AI284" s="257"/>
      <c r="AJ284" s="258"/>
      <c r="AK284" s="259"/>
      <c r="AL284" s="257"/>
      <c r="AM284" s="257"/>
      <c r="AN284" s="257"/>
      <c r="AO284" s="257"/>
      <c r="AP284" s="257"/>
      <c r="AQ284" s="258"/>
      <c r="AR284" s="260"/>
      <c r="AS284" s="257"/>
      <c r="AT284" s="257"/>
      <c r="AU284" s="257"/>
      <c r="AV284" s="257"/>
      <c r="AW284" s="257"/>
      <c r="AX284" s="258"/>
      <c r="AY284" s="260"/>
      <c r="AZ284" s="257"/>
      <c r="BA284" s="257"/>
      <c r="BB284" s="257"/>
      <c r="BC284" s="257"/>
      <c r="BD284" s="258"/>
      <c r="BE284" s="260"/>
      <c r="BF284" s="258"/>
      <c r="BG284" s="260"/>
      <c r="BH284" s="257"/>
      <c r="BI284" s="14"/>
    </row>
    <row r="285" spans="1:61" ht="13.15" x14ac:dyDescent="0.4">
      <c r="A285" s="248"/>
      <c r="B285" s="256"/>
      <c r="C285" s="248"/>
      <c r="D285" s="248"/>
      <c r="E285" s="248"/>
      <c r="F285" s="250"/>
      <c r="G285" s="248"/>
      <c r="H285" s="32"/>
      <c r="I285" s="248"/>
      <c r="J285" s="248"/>
      <c r="K285" s="251"/>
      <c r="L285" s="238"/>
      <c r="M285" s="248"/>
      <c r="N285" s="248"/>
      <c r="O285" s="248"/>
      <c r="P285" s="250"/>
      <c r="Q285" s="252"/>
      <c r="R285" s="248"/>
      <c r="S285" s="248"/>
      <c r="T285" s="248"/>
      <c r="U285" s="248"/>
      <c r="V285" s="248"/>
      <c r="W285" s="248"/>
      <c r="X285" s="248"/>
      <c r="Y285" s="248"/>
      <c r="Z285" s="253"/>
      <c r="AA285" s="253"/>
      <c r="AB285" s="253"/>
      <c r="AC285" s="253"/>
      <c r="AD285" s="253"/>
      <c r="AE285" s="253"/>
      <c r="AF285" s="254"/>
      <c r="AG285" s="257"/>
      <c r="AH285" s="257"/>
      <c r="AI285" s="257"/>
      <c r="AJ285" s="258"/>
      <c r="AK285" s="259"/>
      <c r="AL285" s="257"/>
      <c r="AM285" s="257"/>
      <c r="AN285" s="257"/>
      <c r="AO285" s="257"/>
      <c r="AP285" s="257"/>
      <c r="AQ285" s="258"/>
      <c r="AR285" s="260"/>
      <c r="AS285" s="257"/>
      <c r="AT285" s="257"/>
      <c r="AU285" s="257"/>
      <c r="AV285" s="257"/>
      <c r="AW285" s="257"/>
      <c r="AX285" s="258"/>
      <c r="AY285" s="260"/>
      <c r="AZ285" s="257"/>
      <c r="BA285" s="257"/>
      <c r="BB285" s="257"/>
      <c r="BC285" s="257"/>
      <c r="BD285" s="258"/>
      <c r="BE285" s="260"/>
      <c r="BF285" s="258"/>
      <c r="BG285" s="260"/>
      <c r="BH285" s="257"/>
      <c r="BI285" s="14"/>
    </row>
    <row r="286" spans="1:61" ht="13.15" x14ac:dyDescent="0.4">
      <c r="A286" s="248"/>
      <c r="B286" s="256"/>
      <c r="C286" s="248"/>
      <c r="D286" s="248"/>
      <c r="E286" s="248"/>
      <c r="F286" s="250"/>
      <c r="G286" s="248"/>
      <c r="H286" s="32"/>
      <c r="I286" s="248"/>
      <c r="J286" s="248"/>
      <c r="K286" s="251"/>
      <c r="L286" s="238"/>
      <c r="M286" s="248"/>
      <c r="N286" s="248"/>
      <c r="O286" s="248"/>
      <c r="P286" s="250"/>
      <c r="Q286" s="252"/>
      <c r="R286" s="248"/>
      <c r="S286" s="248"/>
      <c r="T286" s="248"/>
      <c r="U286" s="248"/>
      <c r="V286" s="248"/>
      <c r="W286" s="248"/>
      <c r="X286" s="248"/>
      <c r="Y286" s="248"/>
      <c r="Z286" s="253"/>
      <c r="AA286" s="253"/>
      <c r="AB286" s="253"/>
      <c r="AC286" s="253"/>
      <c r="AD286" s="253"/>
      <c r="AE286" s="253"/>
      <c r="AF286" s="254"/>
      <c r="AG286" s="257"/>
      <c r="AH286" s="257"/>
      <c r="AI286" s="257"/>
      <c r="AJ286" s="258"/>
      <c r="AK286" s="259"/>
      <c r="AL286" s="257"/>
      <c r="AM286" s="257"/>
      <c r="AN286" s="257"/>
      <c r="AO286" s="257"/>
      <c r="AP286" s="257"/>
      <c r="AQ286" s="258"/>
      <c r="AR286" s="260"/>
      <c r="AS286" s="257"/>
      <c r="AT286" s="257"/>
      <c r="AU286" s="257"/>
      <c r="AV286" s="257"/>
      <c r="AW286" s="257"/>
      <c r="AX286" s="258"/>
      <c r="AY286" s="260"/>
      <c r="AZ286" s="257"/>
      <c r="BA286" s="257"/>
      <c r="BB286" s="257"/>
      <c r="BC286" s="257"/>
      <c r="BD286" s="258"/>
      <c r="BE286" s="260"/>
      <c r="BF286" s="258"/>
      <c r="BG286" s="260"/>
      <c r="BH286" s="257"/>
      <c r="BI286" s="14"/>
    </row>
    <row r="287" spans="1:61" ht="13.15" x14ac:dyDescent="0.4">
      <c r="A287" s="248"/>
      <c r="B287" s="256"/>
      <c r="C287" s="248"/>
      <c r="D287" s="248"/>
      <c r="E287" s="248"/>
      <c r="F287" s="250"/>
      <c r="G287" s="248"/>
      <c r="H287" s="32"/>
      <c r="I287" s="248"/>
      <c r="J287" s="248"/>
      <c r="K287" s="251"/>
      <c r="L287" s="238"/>
      <c r="M287" s="248"/>
      <c r="N287" s="248"/>
      <c r="O287" s="248"/>
      <c r="P287" s="250"/>
      <c r="Q287" s="252"/>
      <c r="R287" s="248"/>
      <c r="S287" s="248"/>
      <c r="T287" s="248"/>
      <c r="U287" s="248"/>
      <c r="V287" s="248"/>
      <c r="W287" s="248"/>
      <c r="X287" s="248"/>
      <c r="Y287" s="248"/>
      <c r="Z287" s="253"/>
      <c r="AA287" s="253"/>
      <c r="AB287" s="253"/>
      <c r="AC287" s="253"/>
      <c r="AD287" s="253"/>
      <c r="AE287" s="253"/>
      <c r="AF287" s="254"/>
      <c r="AG287" s="257"/>
      <c r="AH287" s="257"/>
      <c r="AI287" s="257"/>
      <c r="AJ287" s="258"/>
      <c r="AK287" s="259"/>
      <c r="AL287" s="257"/>
      <c r="AM287" s="257"/>
      <c r="AN287" s="257"/>
      <c r="AO287" s="257"/>
      <c r="AP287" s="257"/>
      <c r="AQ287" s="258"/>
      <c r="AR287" s="260"/>
      <c r="AS287" s="257"/>
      <c r="AT287" s="257"/>
      <c r="AU287" s="257"/>
      <c r="AV287" s="257"/>
      <c r="AW287" s="257"/>
      <c r="AX287" s="258"/>
      <c r="AY287" s="260"/>
      <c r="AZ287" s="257"/>
      <c r="BA287" s="257"/>
      <c r="BB287" s="257"/>
      <c r="BC287" s="257"/>
      <c r="BD287" s="258"/>
      <c r="BE287" s="260"/>
      <c r="BF287" s="258"/>
      <c r="BG287" s="260"/>
      <c r="BH287" s="257"/>
      <c r="BI287" s="14"/>
    </row>
    <row r="288" spans="1:61" ht="13.15" x14ac:dyDescent="0.4">
      <c r="A288" s="248"/>
      <c r="B288" s="256"/>
      <c r="C288" s="248"/>
      <c r="D288" s="248"/>
      <c r="E288" s="248"/>
      <c r="F288" s="250"/>
      <c r="G288" s="248"/>
      <c r="H288" s="32"/>
      <c r="I288" s="248"/>
      <c r="J288" s="248"/>
      <c r="K288" s="251"/>
      <c r="L288" s="238"/>
      <c r="M288" s="248"/>
      <c r="N288" s="248"/>
      <c r="O288" s="248"/>
      <c r="P288" s="250"/>
      <c r="Q288" s="252"/>
      <c r="R288" s="248"/>
      <c r="S288" s="248"/>
      <c r="T288" s="248"/>
      <c r="U288" s="248"/>
      <c r="V288" s="248"/>
      <c r="W288" s="248"/>
      <c r="X288" s="248"/>
      <c r="Y288" s="248"/>
      <c r="Z288" s="253"/>
      <c r="AA288" s="253"/>
      <c r="AB288" s="253"/>
      <c r="AC288" s="253"/>
      <c r="AD288" s="253"/>
      <c r="AE288" s="253"/>
      <c r="AF288" s="254"/>
      <c r="AG288" s="257"/>
      <c r="AH288" s="257"/>
      <c r="AI288" s="257"/>
      <c r="AJ288" s="258"/>
      <c r="AK288" s="259"/>
      <c r="AL288" s="257"/>
      <c r="AM288" s="257"/>
      <c r="AN288" s="257"/>
      <c r="AO288" s="257"/>
      <c r="AP288" s="257"/>
      <c r="AQ288" s="258"/>
      <c r="AR288" s="260"/>
      <c r="AS288" s="257"/>
      <c r="AT288" s="257"/>
      <c r="AU288" s="257"/>
      <c r="AV288" s="257"/>
      <c r="AW288" s="257"/>
      <c r="AX288" s="258"/>
      <c r="AY288" s="260"/>
      <c r="AZ288" s="257"/>
      <c r="BA288" s="257"/>
      <c r="BB288" s="257"/>
      <c r="BC288" s="257"/>
      <c r="BD288" s="258"/>
      <c r="BE288" s="260"/>
      <c r="BF288" s="258"/>
      <c r="BG288" s="260"/>
      <c r="BH288" s="257"/>
      <c r="BI288" s="14"/>
    </row>
    <row r="289" spans="1:61" ht="13.15" x14ac:dyDescent="0.4">
      <c r="A289" s="248"/>
      <c r="B289" s="256"/>
      <c r="C289" s="248"/>
      <c r="D289" s="248"/>
      <c r="E289" s="248"/>
      <c r="F289" s="250"/>
      <c r="G289" s="248"/>
      <c r="H289" s="32"/>
      <c r="I289" s="248"/>
      <c r="J289" s="248"/>
      <c r="K289" s="251"/>
      <c r="L289" s="238"/>
      <c r="M289" s="248"/>
      <c r="N289" s="248"/>
      <c r="O289" s="248"/>
      <c r="P289" s="250"/>
      <c r="Q289" s="252"/>
      <c r="R289" s="248"/>
      <c r="S289" s="248"/>
      <c r="T289" s="248"/>
      <c r="U289" s="248"/>
      <c r="V289" s="248"/>
      <c r="W289" s="248"/>
      <c r="X289" s="248"/>
      <c r="Y289" s="248"/>
      <c r="Z289" s="253"/>
      <c r="AA289" s="253"/>
      <c r="AB289" s="253"/>
      <c r="AC289" s="253"/>
      <c r="AD289" s="253"/>
      <c r="AE289" s="253"/>
      <c r="AF289" s="254"/>
      <c r="AG289" s="257"/>
      <c r="AH289" s="257"/>
      <c r="AI289" s="257"/>
      <c r="AJ289" s="258"/>
      <c r="AK289" s="259"/>
      <c r="AL289" s="257"/>
      <c r="AM289" s="257"/>
      <c r="AN289" s="257"/>
      <c r="AO289" s="257"/>
      <c r="AP289" s="257"/>
      <c r="AQ289" s="258"/>
      <c r="AR289" s="260"/>
      <c r="AS289" s="257"/>
      <c r="AT289" s="257"/>
      <c r="AU289" s="257"/>
      <c r="AV289" s="257"/>
      <c r="AW289" s="257"/>
      <c r="AX289" s="258"/>
      <c r="AY289" s="260"/>
      <c r="AZ289" s="257"/>
      <c r="BA289" s="257"/>
      <c r="BB289" s="257"/>
      <c r="BC289" s="257"/>
      <c r="BD289" s="258"/>
      <c r="BE289" s="260"/>
      <c r="BF289" s="258"/>
      <c r="BG289" s="260"/>
      <c r="BH289" s="257"/>
      <c r="BI289" s="14"/>
    </row>
    <row r="290" spans="1:61" ht="13.15" x14ac:dyDescent="0.4">
      <c r="A290" s="248"/>
      <c r="B290" s="256"/>
      <c r="C290" s="248"/>
      <c r="D290" s="248"/>
      <c r="E290" s="248"/>
      <c r="F290" s="250"/>
      <c r="G290" s="248"/>
      <c r="H290" s="32"/>
      <c r="I290" s="248"/>
      <c r="J290" s="248"/>
      <c r="K290" s="251"/>
      <c r="L290" s="238"/>
      <c r="M290" s="248"/>
      <c r="N290" s="248"/>
      <c r="O290" s="248"/>
      <c r="P290" s="250"/>
      <c r="Q290" s="252"/>
      <c r="R290" s="248"/>
      <c r="S290" s="248"/>
      <c r="T290" s="248"/>
      <c r="U290" s="248"/>
      <c r="V290" s="248"/>
      <c r="W290" s="248"/>
      <c r="X290" s="248"/>
      <c r="Y290" s="248"/>
      <c r="Z290" s="253"/>
      <c r="AA290" s="253"/>
      <c r="AB290" s="253"/>
      <c r="AC290" s="253"/>
      <c r="AD290" s="253"/>
      <c r="AE290" s="253"/>
      <c r="AF290" s="254"/>
      <c r="AG290" s="257"/>
      <c r="AH290" s="257"/>
      <c r="AI290" s="257"/>
      <c r="AJ290" s="258"/>
      <c r="AK290" s="259"/>
      <c r="AL290" s="257"/>
      <c r="AM290" s="257"/>
      <c r="AN290" s="257"/>
      <c r="AO290" s="257"/>
      <c r="AP290" s="257"/>
      <c r="AQ290" s="258"/>
      <c r="AR290" s="260"/>
      <c r="AS290" s="257"/>
      <c r="AT290" s="257"/>
      <c r="AU290" s="257"/>
      <c r="AV290" s="257"/>
      <c r="AW290" s="257"/>
      <c r="AX290" s="258"/>
      <c r="AY290" s="260"/>
      <c r="AZ290" s="257"/>
      <c r="BA290" s="257"/>
      <c r="BB290" s="257"/>
      <c r="BC290" s="257"/>
      <c r="BD290" s="258"/>
      <c r="BE290" s="260"/>
      <c r="BF290" s="258"/>
      <c r="BG290" s="260"/>
      <c r="BH290" s="257"/>
      <c r="BI290" s="14"/>
    </row>
    <row r="291" spans="1:61" ht="13.15" x14ac:dyDescent="0.4">
      <c r="A291" s="248"/>
      <c r="B291" s="256"/>
      <c r="C291" s="248"/>
      <c r="D291" s="248"/>
      <c r="E291" s="248"/>
      <c r="F291" s="250"/>
      <c r="G291" s="248"/>
      <c r="H291" s="32"/>
      <c r="I291" s="248"/>
      <c r="J291" s="248"/>
      <c r="K291" s="251"/>
      <c r="L291" s="238"/>
      <c r="M291" s="248"/>
      <c r="N291" s="248"/>
      <c r="O291" s="248"/>
      <c r="P291" s="250"/>
      <c r="Q291" s="252"/>
      <c r="R291" s="248"/>
      <c r="S291" s="248"/>
      <c r="T291" s="248"/>
      <c r="U291" s="248"/>
      <c r="V291" s="248"/>
      <c r="W291" s="248"/>
      <c r="X291" s="248"/>
      <c r="Y291" s="248"/>
      <c r="Z291" s="253"/>
      <c r="AA291" s="253"/>
      <c r="AB291" s="253"/>
      <c r="AC291" s="253"/>
      <c r="AD291" s="253"/>
      <c r="AE291" s="253"/>
      <c r="AF291" s="254"/>
      <c r="AG291" s="257"/>
      <c r="AH291" s="257"/>
      <c r="AI291" s="257"/>
      <c r="AJ291" s="258"/>
      <c r="AK291" s="259"/>
      <c r="AL291" s="257"/>
      <c r="AM291" s="257"/>
      <c r="AN291" s="257"/>
      <c r="AO291" s="257"/>
      <c r="AP291" s="257"/>
      <c r="AQ291" s="258"/>
      <c r="AR291" s="260"/>
      <c r="AS291" s="257"/>
      <c r="AT291" s="257"/>
      <c r="AU291" s="257"/>
      <c r="AV291" s="257"/>
      <c r="AW291" s="257"/>
      <c r="AX291" s="258"/>
      <c r="AY291" s="260"/>
      <c r="AZ291" s="257"/>
      <c r="BA291" s="257"/>
      <c r="BB291" s="257"/>
      <c r="BC291" s="257"/>
      <c r="BD291" s="258"/>
      <c r="BE291" s="260"/>
      <c r="BF291" s="258"/>
      <c r="BG291" s="260"/>
      <c r="BH291" s="257"/>
      <c r="BI291" s="14"/>
    </row>
    <row r="292" spans="1:61" ht="13.15" x14ac:dyDescent="0.4">
      <c r="A292" s="248"/>
      <c r="B292" s="256"/>
      <c r="C292" s="248"/>
      <c r="D292" s="248"/>
      <c r="E292" s="248"/>
      <c r="F292" s="250"/>
      <c r="G292" s="248"/>
      <c r="H292" s="32"/>
      <c r="I292" s="248"/>
      <c r="J292" s="248"/>
      <c r="K292" s="251"/>
      <c r="L292" s="238"/>
      <c r="M292" s="248"/>
      <c r="N292" s="248"/>
      <c r="O292" s="248"/>
      <c r="P292" s="250"/>
      <c r="Q292" s="252"/>
      <c r="R292" s="248"/>
      <c r="S292" s="248"/>
      <c r="T292" s="248"/>
      <c r="U292" s="248"/>
      <c r="V292" s="248"/>
      <c r="W292" s="248"/>
      <c r="X292" s="248"/>
      <c r="Y292" s="248"/>
      <c r="Z292" s="253"/>
      <c r="AA292" s="253"/>
      <c r="AB292" s="253"/>
      <c r="AC292" s="253"/>
      <c r="AD292" s="253"/>
      <c r="AE292" s="253"/>
      <c r="AF292" s="254"/>
      <c r="AG292" s="257"/>
      <c r="AH292" s="257"/>
      <c r="AI292" s="257"/>
      <c r="AJ292" s="258"/>
      <c r="AK292" s="259"/>
      <c r="AL292" s="257"/>
      <c r="AM292" s="257"/>
      <c r="AN292" s="257"/>
      <c r="AO292" s="257"/>
      <c r="AP292" s="257"/>
      <c r="AQ292" s="258"/>
      <c r="AR292" s="260"/>
      <c r="AS292" s="257"/>
      <c r="AT292" s="257"/>
      <c r="AU292" s="257"/>
      <c r="AV292" s="257"/>
      <c r="AW292" s="257"/>
      <c r="AX292" s="258"/>
      <c r="AY292" s="260"/>
      <c r="AZ292" s="257"/>
      <c r="BA292" s="257"/>
      <c r="BB292" s="257"/>
      <c r="BC292" s="257"/>
      <c r="BD292" s="258"/>
      <c r="BE292" s="260"/>
      <c r="BF292" s="258"/>
      <c r="BG292" s="260"/>
      <c r="BH292" s="257"/>
      <c r="BI292" s="14"/>
    </row>
    <row r="293" spans="1:61" ht="13.15" x14ac:dyDescent="0.4">
      <c r="A293" s="248"/>
      <c r="B293" s="256"/>
      <c r="C293" s="248"/>
      <c r="D293" s="248"/>
      <c r="E293" s="248"/>
      <c r="F293" s="250"/>
      <c r="G293" s="248"/>
      <c r="H293" s="32"/>
      <c r="I293" s="248"/>
      <c r="J293" s="248"/>
      <c r="K293" s="251"/>
      <c r="L293" s="238"/>
      <c r="M293" s="248"/>
      <c r="N293" s="248"/>
      <c r="O293" s="248"/>
      <c r="P293" s="250"/>
      <c r="Q293" s="252"/>
      <c r="R293" s="248"/>
      <c r="S293" s="248"/>
      <c r="T293" s="248"/>
      <c r="U293" s="248"/>
      <c r="V293" s="248"/>
      <c r="W293" s="248"/>
      <c r="X293" s="248"/>
      <c r="Y293" s="248"/>
      <c r="Z293" s="253"/>
      <c r="AA293" s="253"/>
      <c r="AB293" s="253"/>
      <c r="AC293" s="253"/>
      <c r="AD293" s="253"/>
      <c r="AE293" s="253"/>
      <c r="AF293" s="254"/>
      <c r="AG293" s="257"/>
      <c r="AH293" s="257"/>
      <c r="AI293" s="257"/>
      <c r="AJ293" s="258"/>
      <c r="AK293" s="259"/>
      <c r="AL293" s="257"/>
      <c r="AM293" s="257"/>
      <c r="AN293" s="257"/>
      <c r="AO293" s="257"/>
      <c r="AP293" s="257"/>
      <c r="AQ293" s="258"/>
      <c r="AR293" s="260"/>
      <c r="AS293" s="257"/>
      <c r="AT293" s="257"/>
      <c r="AU293" s="257"/>
      <c r="AV293" s="257"/>
      <c r="AW293" s="257"/>
      <c r="AX293" s="258"/>
      <c r="AY293" s="260"/>
      <c r="AZ293" s="257"/>
      <c r="BA293" s="257"/>
      <c r="BB293" s="257"/>
      <c r="BC293" s="257"/>
      <c r="BD293" s="258"/>
      <c r="BE293" s="260"/>
      <c r="BF293" s="258"/>
      <c r="BG293" s="260"/>
      <c r="BH293" s="257"/>
      <c r="BI293" s="14"/>
    </row>
    <row r="294" spans="1:61" ht="13.15" x14ac:dyDescent="0.4">
      <c r="A294" s="248"/>
      <c r="B294" s="256"/>
      <c r="C294" s="248"/>
      <c r="D294" s="248"/>
      <c r="E294" s="248"/>
      <c r="F294" s="250"/>
      <c r="G294" s="248"/>
      <c r="H294" s="32"/>
      <c r="I294" s="248"/>
      <c r="J294" s="248"/>
      <c r="K294" s="251"/>
      <c r="L294" s="238"/>
      <c r="M294" s="248"/>
      <c r="N294" s="248"/>
      <c r="O294" s="248"/>
      <c r="P294" s="250"/>
      <c r="Q294" s="252"/>
      <c r="R294" s="248"/>
      <c r="S294" s="248"/>
      <c r="T294" s="248"/>
      <c r="U294" s="248"/>
      <c r="V294" s="248"/>
      <c r="W294" s="248"/>
      <c r="X294" s="248"/>
      <c r="Y294" s="248"/>
      <c r="Z294" s="253"/>
      <c r="AA294" s="253"/>
      <c r="AB294" s="253"/>
      <c r="AC294" s="253"/>
      <c r="AD294" s="253"/>
      <c r="AE294" s="253"/>
      <c r="AF294" s="254"/>
      <c r="AG294" s="257"/>
      <c r="AH294" s="257"/>
      <c r="AI294" s="257"/>
      <c r="AJ294" s="258"/>
      <c r="AK294" s="259"/>
      <c r="AL294" s="257"/>
      <c r="AM294" s="257"/>
      <c r="AN294" s="257"/>
      <c r="AO294" s="257"/>
      <c r="AP294" s="257"/>
      <c r="AQ294" s="258"/>
      <c r="AR294" s="260"/>
      <c r="AS294" s="257"/>
      <c r="AT294" s="257"/>
      <c r="AU294" s="257"/>
      <c r="AV294" s="257"/>
      <c r="AW294" s="257"/>
      <c r="AX294" s="258"/>
      <c r="AY294" s="260"/>
      <c r="AZ294" s="257"/>
      <c r="BA294" s="257"/>
      <c r="BB294" s="257"/>
      <c r="BC294" s="257"/>
      <c r="BD294" s="258"/>
      <c r="BE294" s="260"/>
      <c r="BF294" s="258"/>
      <c r="BG294" s="260"/>
      <c r="BH294" s="257"/>
      <c r="BI294" s="14"/>
    </row>
    <row r="295" spans="1:61" ht="13.15" x14ac:dyDescent="0.4">
      <c r="A295" s="248"/>
      <c r="B295" s="256"/>
      <c r="C295" s="248"/>
      <c r="D295" s="248"/>
      <c r="E295" s="248"/>
      <c r="F295" s="250"/>
      <c r="G295" s="248"/>
      <c r="H295" s="32"/>
      <c r="I295" s="248"/>
      <c r="J295" s="248"/>
      <c r="K295" s="251"/>
      <c r="L295" s="238"/>
      <c r="M295" s="248"/>
      <c r="N295" s="248"/>
      <c r="O295" s="248"/>
      <c r="P295" s="250"/>
      <c r="Q295" s="252"/>
      <c r="R295" s="248"/>
      <c r="S295" s="248"/>
      <c r="T295" s="248"/>
      <c r="U295" s="248"/>
      <c r="V295" s="248"/>
      <c r="W295" s="248"/>
      <c r="X295" s="248"/>
      <c r="Y295" s="248"/>
      <c r="Z295" s="253"/>
      <c r="AA295" s="253"/>
      <c r="AB295" s="253"/>
      <c r="AC295" s="253"/>
      <c r="AD295" s="253"/>
      <c r="AE295" s="253"/>
      <c r="AF295" s="254"/>
      <c r="AG295" s="257"/>
      <c r="AH295" s="257"/>
      <c r="AI295" s="257"/>
      <c r="AJ295" s="258"/>
      <c r="AK295" s="259"/>
      <c r="AL295" s="257"/>
      <c r="AM295" s="257"/>
      <c r="AN295" s="257"/>
      <c r="AO295" s="257"/>
      <c r="AP295" s="257"/>
      <c r="AQ295" s="258"/>
      <c r="AR295" s="260"/>
      <c r="AS295" s="257"/>
      <c r="AT295" s="257"/>
      <c r="AU295" s="257"/>
      <c r="AV295" s="257"/>
      <c r="AW295" s="257"/>
      <c r="AX295" s="258"/>
      <c r="AY295" s="260"/>
      <c r="AZ295" s="257"/>
      <c r="BA295" s="257"/>
      <c r="BB295" s="257"/>
      <c r="BC295" s="257"/>
      <c r="BD295" s="258"/>
      <c r="BE295" s="260"/>
      <c r="BF295" s="258"/>
      <c r="BG295" s="260"/>
      <c r="BH295" s="257"/>
      <c r="BI295" s="14"/>
    </row>
    <row r="296" spans="1:61" ht="13.15" x14ac:dyDescent="0.4">
      <c r="A296" s="248"/>
      <c r="B296" s="256"/>
      <c r="C296" s="248"/>
      <c r="D296" s="248"/>
      <c r="E296" s="248"/>
      <c r="F296" s="250"/>
      <c r="G296" s="248"/>
      <c r="H296" s="32"/>
      <c r="I296" s="248"/>
      <c r="J296" s="248"/>
      <c r="K296" s="251"/>
      <c r="L296" s="238"/>
      <c r="M296" s="248"/>
      <c r="N296" s="248"/>
      <c r="O296" s="248"/>
      <c r="P296" s="250"/>
      <c r="Q296" s="252"/>
      <c r="R296" s="248"/>
      <c r="S296" s="248"/>
      <c r="T296" s="248"/>
      <c r="U296" s="248"/>
      <c r="V296" s="248"/>
      <c r="W296" s="248"/>
      <c r="X296" s="248"/>
      <c r="Y296" s="248"/>
      <c r="Z296" s="253"/>
      <c r="AA296" s="253"/>
      <c r="AB296" s="253"/>
      <c r="AC296" s="253"/>
      <c r="AD296" s="253"/>
      <c r="AE296" s="253"/>
      <c r="AF296" s="254"/>
      <c r="AG296" s="257"/>
      <c r="AH296" s="257"/>
      <c r="AI296" s="257"/>
      <c r="AJ296" s="258"/>
      <c r="AK296" s="259"/>
      <c r="AL296" s="257"/>
      <c r="AM296" s="257"/>
      <c r="AN296" s="257"/>
      <c r="AO296" s="257"/>
      <c r="AP296" s="257"/>
      <c r="AQ296" s="258"/>
      <c r="AR296" s="260"/>
      <c r="AS296" s="257"/>
      <c r="AT296" s="257"/>
      <c r="AU296" s="257"/>
      <c r="AV296" s="257"/>
      <c r="AW296" s="257"/>
      <c r="AX296" s="258"/>
      <c r="AY296" s="260"/>
      <c r="AZ296" s="257"/>
      <c r="BA296" s="257"/>
      <c r="BB296" s="257"/>
      <c r="BC296" s="257"/>
      <c r="BD296" s="258"/>
      <c r="BE296" s="260"/>
      <c r="BF296" s="258"/>
      <c r="BG296" s="260"/>
      <c r="BH296" s="257"/>
      <c r="BI296" s="14"/>
    </row>
    <row r="297" spans="1:61" ht="13.15" x14ac:dyDescent="0.4">
      <c r="A297" s="248"/>
      <c r="B297" s="256"/>
      <c r="C297" s="248"/>
      <c r="D297" s="248"/>
      <c r="E297" s="248"/>
      <c r="F297" s="250"/>
      <c r="G297" s="248"/>
      <c r="H297" s="32"/>
      <c r="I297" s="248"/>
      <c r="J297" s="248"/>
      <c r="K297" s="251"/>
      <c r="L297" s="238"/>
      <c r="M297" s="248"/>
      <c r="N297" s="248"/>
      <c r="O297" s="248"/>
      <c r="P297" s="250"/>
      <c r="Q297" s="252"/>
      <c r="R297" s="248"/>
      <c r="S297" s="248"/>
      <c r="T297" s="248"/>
      <c r="U297" s="248"/>
      <c r="V297" s="248"/>
      <c r="W297" s="248"/>
      <c r="X297" s="248"/>
      <c r="Y297" s="248"/>
      <c r="Z297" s="253"/>
      <c r="AA297" s="253"/>
      <c r="AB297" s="253"/>
      <c r="AC297" s="253"/>
      <c r="AD297" s="253"/>
      <c r="AE297" s="253"/>
      <c r="AF297" s="254"/>
      <c r="AG297" s="257"/>
      <c r="AH297" s="257"/>
      <c r="AI297" s="257"/>
      <c r="AJ297" s="258"/>
      <c r="AK297" s="259"/>
      <c r="AL297" s="257"/>
      <c r="AM297" s="257"/>
      <c r="AN297" s="257"/>
      <c r="AO297" s="257"/>
      <c r="AP297" s="257"/>
      <c r="AQ297" s="258"/>
      <c r="AR297" s="260"/>
      <c r="AS297" s="257"/>
      <c r="AT297" s="257"/>
      <c r="AU297" s="257"/>
      <c r="AV297" s="257"/>
      <c r="AW297" s="257"/>
      <c r="AX297" s="258"/>
      <c r="AY297" s="260"/>
      <c r="AZ297" s="257"/>
      <c r="BA297" s="257"/>
      <c r="BB297" s="257"/>
      <c r="BC297" s="257"/>
      <c r="BD297" s="258"/>
      <c r="BE297" s="260"/>
      <c r="BF297" s="258"/>
      <c r="BG297" s="260"/>
      <c r="BH297" s="257"/>
      <c r="BI297" s="14"/>
    </row>
    <row r="298" spans="1:61" ht="13.15" x14ac:dyDescent="0.4">
      <c r="A298" s="248"/>
      <c r="B298" s="256"/>
      <c r="C298" s="248"/>
      <c r="D298" s="248"/>
      <c r="E298" s="248"/>
      <c r="F298" s="250"/>
      <c r="G298" s="248"/>
      <c r="H298" s="32"/>
      <c r="I298" s="248"/>
      <c r="J298" s="248"/>
      <c r="K298" s="251"/>
      <c r="L298" s="238"/>
      <c r="M298" s="248"/>
      <c r="N298" s="248"/>
      <c r="O298" s="248"/>
      <c r="P298" s="250"/>
      <c r="Q298" s="252"/>
      <c r="R298" s="248"/>
      <c r="S298" s="248"/>
      <c r="T298" s="248"/>
      <c r="U298" s="248"/>
      <c r="V298" s="248"/>
      <c r="W298" s="248"/>
      <c r="X298" s="248"/>
      <c r="Y298" s="248"/>
      <c r="Z298" s="253"/>
      <c r="AA298" s="253"/>
      <c r="AB298" s="253"/>
      <c r="AC298" s="253"/>
      <c r="AD298" s="253"/>
      <c r="AE298" s="253"/>
      <c r="AF298" s="254"/>
      <c r="AG298" s="257"/>
      <c r="AH298" s="257"/>
      <c r="AI298" s="257"/>
      <c r="AJ298" s="258"/>
      <c r="AK298" s="259"/>
      <c r="AL298" s="257"/>
      <c r="AM298" s="257"/>
      <c r="AN298" s="257"/>
      <c r="AO298" s="257"/>
      <c r="AP298" s="257"/>
      <c r="AQ298" s="258"/>
      <c r="AR298" s="260"/>
      <c r="AS298" s="257"/>
      <c r="AT298" s="257"/>
      <c r="AU298" s="257"/>
      <c r="AV298" s="257"/>
      <c r="AW298" s="257"/>
      <c r="AX298" s="258"/>
      <c r="AY298" s="260"/>
      <c r="AZ298" s="257"/>
      <c r="BA298" s="257"/>
      <c r="BB298" s="257"/>
      <c r="BC298" s="257"/>
      <c r="BD298" s="258"/>
      <c r="BE298" s="260"/>
      <c r="BF298" s="258"/>
      <c r="BG298" s="260"/>
      <c r="BH298" s="257"/>
      <c r="BI298" s="14"/>
    </row>
    <row r="299" spans="1:61" ht="13.15" x14ac:dyDescent="0.4">
      <c r="A299" s="248"/>
      <c r="B299" s="256"/>
      <c r="C299" s="248"/>
      <c r="D299" s="248"/>
      <c r="E299" s="248"/>
      <c r="F299" s="250"/>
      <c r="G299" s="248"/>
      <c r="H299" s="32"/>
      <c r="I299" s="248"/>
      <c r="J299" s="248"/>
      <c r="K299" s="251"/>
      <c r="L299" s="238"/>
      <c r="M299" s="248"/>
      <c r="N299" s="248"/>
      <c r="O299" s="248"/>
      <c r="P299" s="250"/>
      <c r="Q299" s="252"/>
      <c r="R299" s="248"/>
      <c r="S299" s="248"/>
      <c r="T299" s="248"/>
      <c r="U299" s="248"/>
      <c r="V299" s="248"/>
      <c r="W299" s="248"/>
      <c r="X299" s="248"/>
      <c r="Y299" s="248"/>
      <c r="Z299" s="253"/>
      <c r="AA299" s="253"/>
      <c r="AB299" s="253"/>
      <c r="AC299" s="253"/>
      <c r="AD299" s="253"/>
      <c r="AE299" s="253"/>
      <c r="AF299" s="254"/>
      <c r="AG299" s="257"/>
      <c r="AH299" s="257"/>
      <c r="AI299" s="257"/>
      <c r="AJ299" s="258"/>
      <c r="AK299" s="259"/>
      <c r="AL299" s="257"/>
      <c r="AM299" s="257"/>
      <c r="AN299" s="257"/>
      <c r="AO299" s="257"/>
      <c r="AP299" s="257"/>
      <c r="AQ299" s="258"/>
      <c r="AR299" s="260"/>
      <c r="AS299" s="257"/>
      <c r="AT299" s="257"/>
      <c r="AU299" s="257"/>
      <c r="AV299" s="257"/>
      <c r="AW299" s="257"/>
      <c r="AX299" s="258"/>
      <c r="AY299" s="260"/>
      <c r="AZ299" s="257"/>
      <c r="BA299" s="257"/>
      <c r="BB299" s="257"/>
      <c r="BC299" s="257"/>
      <c r="BD299" s="258"/>
      <c r="BE299" s="260"/>
      <c r="BF299" s="258"/>
      <c r="BG299" s="260"/>
      <c r="BH299" s="257"/>
      <c r="BI299" s="14"/>
    </row>
    <row r="300" spans="1:61" ht="13.15" x14ac:dyDescent="0.4">
      <c r="A300" s="248"/>
      <c r="B300" s="256"/>
      <c r="C300" s="248"/>
      <c r="D300" s="248"/>
      <c r="E300" s="248"/>
      <c r="F300" s="250"/>
      <c r="G300" s="248"/>
      <c r="H300" s="32"/>
      <c r="I300" s="248"/>
      <c r="J300" s="248"/>
      <c r="K300" s="251"/>
      <c r="L300" s="238"/>
      <c r="M300" s="248"/>
      <c r="N300" s="248"/>
      <c r="O300" s="248"/>
      <c r="P300" s="250"/>
      <c r="Q300" s="252"/>
      <c r="R300" s="248"/>
      <c r="S300" s="248"/>
      <c r="T300" s="248"/>
      <c r="U300" s="248"/>
      <c r="V300" s="248"/>
      <c r="W300" s="248"/>
      <c r="X300" s="248"/>
      <c r="Y300" s="248"/>
      <c r="Z300" s="253"/>
      <c r="AA300" s="253"/>
      <c r="AB300" s="253"/>
      <c r="AC300" s="253"/>
      <c r="AD300" s="253"/>
      <c r="AE300" s="253"/>
      <c r="AF300" s="254"/>
      <c r="AG300" s="257"/>
      <c r="AH300" s="257"/>
      <c r="AI300" s="257"/>
      <c r="AJ300" s="258"/>
      <c r="AK300" s="259"/>
      <c r="AL300" s="257"/>
      <c r="AM300" s="257"/>
      <c r="AN300" s="257"/>
      <c r="AO300" s="257"/>
      <c r="AP300" s="257"/>
      <c r="AQ300" s="258"/>
      <c r="AR300" s="260"/>
      <c r="AS300" s="257"/>
      <c r="AT300" s="257"/>
      <c r="AU300" s="257"/>
      <c r="AV300" s="257"/>
      <c r="AW300" s="257"/>
      <c r="AX300" s="258"/>
      <c r="AY300" s="260"/>
      <c r="AZ300" s="257"/>
      <c r="BA300" s="257"/>
      <c r="BB300" s="257"/>
      <c r="BC300" s="257"/>
      <c r="BD300" s="258"/>
      <c r="BE300" s="260"/>
      <c r="BF300" s="258"/>
      <c r="BG300" s="260"/>
      <c r="BH300" s="257"/>
      <c r="BI300" s="14"/>
    </row>
    <row r="301" spans="1:61" ht="13.15" x14ac:dyDescent="0.4">
      <c r="A301" s="248"/>
      <c r="B301" s="256"/>
      <c r="C301" s="248"/>
      <c r="D301" s="248"/>
      <c r="E301" s="248"/>
      <c r="F301" s="250"/>
      <c r="G301" s="248"/>
      <c r="H301" s="32"/>
      <c r="I301" s="248"/>
      <c r="J301" s="248"/>
      <c r="K301" s="251"/>
      <c r="L301" s="238"/>
      <c r="M301" s="248"/>
      <c r="N301" s="248"/>
      <c r="O301" s="248"/>
      <c r="P301" s="250"/>
      <c r="Q301" s="252"/>
      <c r="R301" s="248"/>
      <c r="S301" s="248"/>
      <c r="T301" s="248"/>
      <c r="U301" s="248"/>
      <c r="V301" s="248"/>
      <c r="W301" s="248"/>
      <c r="X301" s="248"/>
      <c r="Y301" s="248"/>
      <c r="Z301" s="253"/>
      <c r="AA301" s="253"/>
      <c r="AB301" s="253"/>
      <c r="AC301" s="253"/>
      <c r="AD301" s="253"/>
      <c r="AE301" s="253"/>
      <c r="AF301" s="254"/>
      <c r="AG301" s="257"/>
      <c r="AH301" s="257"/>
      <c r="AI301" s="257"/>
      <c r="AJ301" s="258"/>
      <c r="AK301" s="259"/>
      <c r="AL301" s="257"/>
      <c r="AM301" s="257"/>
      <c r="AN301" s="257"/>
      <c r="AO301" s="257"/>
      <c r="AP301" s="257"/>
      <c r="AQ301" s="258"/>
      <c r="AR301" s="260"/>
      <c r="AS301" s="257"/>
      <c r="AT301" s="257"/>
      <c r="AU301" s="257"/>
      <c r="AV301" s="257"/>
      <c r="AW301" s="257"/>
      <c r="AX301" s="258"/>
      <c r="AY301" s="260"/>
      <c r="AZ301" s="257"/>
      <c r="BA301" s="257"/>
      <c r="BB301" s="257"/>
      <c r="BC301" s="257"/>
      <c r="BD301" s="258"/>
      <c r="BE301" s="260"/>
      <c r="BF301" s="258"/>
      <c r="BG301" s="260"/>
      <c r="BH301" s="257"/>
      <c r="BI301" s="14"/>
    </row>
    <row r="302" spans="1:61" ht="13.15" x14ac:dyDescent="0.4">
      <c r="A302" s="248"/>
      <c r="B302" s="256"/>
      <c r="C302" s="248"/>
      <c r="D302" s="248"/>
      <c r="E302" s="248"/>
      <c r="F302" s="250"/>
      <c r="G302" s="248"/>
      <c r="H302" s="32"/>
      <c r="I302" s="248"/>
      <c r="J302" s="248"/>
      <c r="K302" s="251"/>
      <c r="L302" s="238"/>
      <c r="M302" s="248"/>
      <c r="N302" s="248"/>
      <c r="O302" s="248"/>
      <c r="P302" s="250"/>
      <c r="Q302" s="252"/>
      <c r="R302" s="248"/>
      <c r="S302" s="248"/>
      <c r="T302" s="248"/>
      <c r="U302" s="248"/>
      <c r="V302" s="248"/>
      <c r="W302" s="248"/>
      <c r="X302" s="248"/>
      <c r="Y302" s="248"/>
      <c r="Z302" s="253"/>
      <c r="AA302" s="253"/>
      <c r="AB302" s="253"/>
      <c r="AC302" s="253"/>
      <c r="AD302" s="253"/>
      <c r="AE302" s="253"/>
      <c r="AF302" s="254"/>
      <c r="AG302" s="257"/>
      <c r="AH302" s="257"/>
      <c r="AI302" s="257"/>
      <c r="AJ302" s="258"/>
      <c r="AK302" s="259"/>
      <c r="AL302" s="257"/>
      <c r="AM302" s="257"/>
      <c r="AN302" s="257"/>
      <c r="AO302" s="257"/>
      <c r="AP302" s="257"/>
      <c r="AQ302" s="258"/>
      <c r="AR302" s="260"/>
      <c r="AS302" s="257"/>
      <c r="AT302" s="257"/>
      <c r="AU302" s="257"/>
      <c r="AV302" s="257"/>
      <c r="AW302" s="257"/>
      <c r="AX302" s="258"/>
      <c r="AY302" s="260"/>
      <c r="AZ302" s="257"/>
      <c r="BA302" s="257"/>
      <c r="BB302" s="257"/>
      <c r="BC302" s="257"/>
      <c r="BD302" s="258"/>
      <c r="BE302" s="260"/>
      <c r="BF302" s="258"/>
      <c r="BG302" s="260"/>
      <c r="BH302" s="257"/>
      <c r="BI302" s="14"/>
    </row>
    <row r="303" spans="1:61" ht="13.15" x14ac:dyDescent="0.4">
      <c r="A303" s="248"/>
      <c r="B303" s="256"/>
      <c r="C303" s="248"/>
      <c r="D303" s="248"/>
      <c r="E303" s="248"/>
      <c r="F303" s="250"/>
      <c r="G303" s="248"/>
      <c r="H303" s="32"/>
      <c r="I303" s="248"/>
      <c r="J303" s="248"/>
      <c r="K303" s="251"/>
      <c r="L303" s="238"/>
      <c r="M303" s="248"/>
      <c r="N303" s="248"/>
      <c r="O303" s="248"/>
      <c r="P303" s="250"/>
      <c r="Q303" s="252"/>
      <c r="R303" s="248"/>
      <c r="S303" s="248"/>
      <c r="T303" s="248"/>
      <c r="U303" s="248"/>
      <c r="V303" s="248"/>
      <c r="W303" s="248"/>
      <c r="X303" s="248"/>
      <c r="Y303" s="248"/>
      <c r="Z303" s="253"/>
      <c r="AA303" s="253"/>
      <c r="AB303" s="253"/>
      <c r="AC303" s="253"/>
      <c r="AD303" s="253"/>
      <c r="AE303" s="253"/>
      <c r="AF303" s="254"/>
      <c r="AG303" s="257"/>
      <c r="AH303" s="257"/>
      <c r="AI303" s="257"/>
      <c r="AJ303" s="258"/>
      <c r="AK303" s="259"/>
      <c r="AL303" s="257"/>
      <c r="AM303" s="257"/>
      <c r="AN303" s="257"/>
      <c r="AO303" s="257"/>
      <c r="AP303" s="257"/>
      <c r="AQ303" s="258"/>
      <c r="AR303" s="260"/>
      <c r="AS303" s="257"/>
      <c r="AT303" s="257"/>
      <c r="AU303" s="257"/>
      <c r="AV303" s="257"/>
      <c r="AW303" s="257"/>
      <c r="AX303" s="258"/>
      <c r="AY303" s="260"/>
      <c r="AZ303" s="257"/>
      <c r="BA303" s="257"/>
      <c r="BB303" s="257"/>
      <c r="BC303" s="257"/>
      <c r="BD303" s="258"/>
      <c r="BE303" s="260"/>
      <c r="BF303" s="258"/>
      <c r="BG303" s="260"/>
      <c r="BH303" s="257"/>
      <c r="BI303" s="14"/>
    </row>
    <row r="304" spans="1:61" ht="13.15" x14ac:dyDescent="0.4">
      <c r="A304" s="248"/>
      <c r="B304" s="256"/>
      <c r="C304" s="248"/>
      <c r="D304" s="248"/>
      <c r="E304" s="248"/>
      <c r="F304" s="250"/>
      <c r="G304" s="248"/>
      <c r="H304" s="32"/>
      <c r="I304" s="248"/>
      <c r="J304" s="248"/>
      <c r="K304" s="251"/>
      <c r="L304" s="238"/>
      <c r="M304" s="248"/>
      <c r="N304" s="248"/>
      <c r="O304" s="248"/>
      <c r="P304" s="250"/>
      <c r="Q304" s="252"/>
      <c r="R304" s="248"/>
      <c r="S304" s="248"/>
      <c r="T304" s="248"/>
      <c r="U304" s="248"/>
      <c r="V304" s="248"/>
      <c r="W304" s="248"/>
      <c r="X304" s="248"/>
      <c r="Y304" s="248"/>
      <c r="Z304" s="253"/>
      <c r="AA304" s="253"/>
      <c r="AB304" s="253"/>
      <c r="AC304" s="253"/>
      <c r="AD304" s="253"/>
      <c r="AE304" s="253"/>
      <c r="AF304" s="254"/>
      <c r="AG304" s="257"/>
      <c r="AH304" s="257"/>
      <c r="AI304" s="257"/>
      <c r="AJ304" s="258"/>
      <c r="AK304" s="259"/>
      <c r="AL304" s="257"/>
      <c r="AM304" s="257"/>
      <c r="AN304" s="257"/>
      <c r="AO304" s="257"/>
      <c r="AP304" s="257"/>
      <c r="AQ304" s="258"/>
      <c r="AR304" s="260"/>
      <c r="AS304" s="257"/>
      <c r="AT304" s="257"/>
      <c r="AU304" s="257"/>
      <c r="AV304" s="257"/>
      <c r="AW304" s="257"/>
      <c r="AX304" s="258"/>
      <c r="AY304" s="260"/>
      <c r="AZ304" s="257"/>
      <c r="BA304" s="257"/>
      <c r="BB304" s="257"/>
      <c r="BC304" s="257"/>
      <c r="BD304" s="258"/>
      <c r="BE304" s="260"/>
      <c r="BF304" s="258"/>
      <c r="BG304" s="260"/>
      <c r="BH304" s="257"/>
      <c r="BI304" s="14"/>
    </row>
    <row r="305" spans="1:61" ht="13.15" x14ac:dyDescent="0.4">
      <c r="A305" s="248"/>
      <c r="B305" s="256"/>
      <c r="C305" s="248"/>
      <c r="D305" s="248"/>
      <c r="E305" s="248"/>
      <c r="F305" s="250"/>
      <c r="G305" s="248"/>
      <c r="H305" s="32"/>
      <c r="I305" s="248"/>
      <c r="J305" s="248"/>
      <c r="K305" s="251"/>
      <c r="L305" s="238"/>
      <c r="M305" s="248"/>
      <c r="N305" s="248"/>
      <c r="O305" s="248"/>
      <c r="P305" s="250"/>
      <c r="Q305" s="252"/>
      <c r="R305" s="248"/>
      <c r="S305" s="248"/>
      <c r="T305" s="248"/>
      <c r="U305" s="248"/>
      <c r="V305" s="248"/>
      <c r="W305" s="248"/>
      <c r="X305" s="248"/>
      <c r="Y305" s="248"/>
      <c r="Z305" s="253"/>
      <c r="AA305" s="253"/>
      <c r="AB305" s="253"/>
      <c r="AC305" s="253"/>
      <c r="AD305" s="253"/>
      <c r="AE305" s="253"/>
      <c r="AF305" s="254"/>
      <c r="AG305" s="257"/>
      <c r="AH305" s="257"/>
      <c r="AI305" s="257"/>
      <c r="AJ305" s="258"/>
      <c r="AK305" s="259"/>
      <c r="AL305" s="257"/>
      <c r="AM305" s="257"/>
      <c r="AN305" s="257"/>
      <c r="AO305" s="257"/>
      <c r="AP305" s="257"/>
      <c r="AQ305" s="258"/>
      <c r="AR305" s="260"/>
      <c r="AS305" s="257"/>
      <c r="AT305" s="257"/>
      <c r="AU305" s="257"/>
      <c r="AV305" s="257"/>
      <c r="AW305" s="257"/>
      <c r="AX305" s="258"/>
      <c r="AY305" s="260"/>
      <c r="AZ305" s="257"/>
      <c r="BA305" s="257"/>
      <c r="BB305" s="257"/>
      <c r="BC305" s="257"/>
      <c r="BD305" s="258"/>
      <c r="BE305" s="260"/>
      <c r="BF305" s="258"/>
      <c r="BG305" s="260"/>
      <c r="BH305" s="257"/>
      <c r="BI305" s="14"/>
    </row>
    <row r="306" spans="1:61" ht="13.15" x14ac:dyDescent="0.4">
      <c r="A306" s="248"/>
      <c r="B306" s="256"/>
      <c r="C306" s="248"/>
      <c r="D306" s="248"/>
      <c r="E306" s="248"/>
      <c r="F306" s="250"/>
      <c r="G306" s="248"/>
      <c r="H306" s="32"/>
      <c r="I306" s="248"/>
      <c r="J306" s="248"/>
      <c r="K306" s="251"/>
      <c r="L306" s="238"/>
      <c r="M306" s="248"/>
      <c r="N306" s="248"/>
      <c r="O306" s="248"/>
      <c r="P306" s="250"/>
      <c r="Q306" s="252"/>
      <c r="R306" s="248"/>
      <c r="S306" s="248"/>
      <c r="T306" s="248"/>
      <c r="U306" s="248"/>
      <c r="V306" s="248"/>
      <c r="W306" s="248"/>
      <c r="X306" s="248"/>
      <c r="Y306" s="248"/>
      <c r="Z306" s="253"/>
      <c r="AA306" s="253"/>
      <c r="AB306" s="253"/>
      <c r="AC306" s="253"/>
      <c r="AD306" s="253"/>
      <c r="AE306" s="253"/>
      <c r="AF306" s="254"/>
      <c r="AG306" s="257"/>
      <c r="AH306" s="257"/>
      <c r="AI306" s="257"/>
      <c r="AJ306" s="258"/>
      <c r="AK306" s="259"/>
      <c r="AL306" s="257"/>
      <c r="AM306" s="257"/>
      <c r="AN306" s="257"/>
      <c r="AO306" s="257"/>
      <c r="AP306" s="257"/>
      <c r="AQ306" s="258"/>
      <c r="AR306" s="260"/>
      <c r="AS306" s="257"/>
      <c r="AT306" s="257"/>
      <c r="AU306" s="257"/>
      <c r="AV306" s="257"/>
      <c r="AW306" s="257"/>
      <c r="AX306" s="258"/>
      <c r="AY306" s="260"/>
      <c r="AZ306" s="257"/>
      <c r="BA306" s="257"/>
      <c r="BB306" s="257"/>
      <c r="BC306" s="257"/>
      <c r="BD306" s="258"/>
      <c r="BE306" s="260"/>
      <c r="BF306" s="258"/>
      <c r="BG306" s="260"/>
      <c r="BH306" s="257"/>
      <c r="BI306" s="14"/>
    </row>
    <row r="307" spans="1:61" ht="13.15" x14ac:dyDescent="0.4">
      <c r="A307" s="248"/>
      <c r="B307" s="256"/>
      <c r="C307" s="248"/>
      <c r="D307" s="248"/>
      <c r="E307" s="248"/>
      <c r="F307" s="250"/>
      <c r="G307" s="248"/>
      <c r="H307" s="32"/>
      <c r="I307" s="248"/>
      <c r="J307" s="248"/>
      <c r="K307" s="251"/>
      <c r="L307" s="238"/>
      <c r="M307" s="248"/>
      <c r="N307" s="248"/>
      <c r="O307" s="248"/>
      <c r="P307" s="250"/>
      <c r="Q307" s="252"/>
      <c r="R307" s="248"/>
      <c r="S307" s="248"/>
      <c r="T307" s="248"/>
      <c r="U307" s="248"/>
      <c r="V307" s="248"/>
      <c r="W307" s="248"/>
      <c r="X307" s="248"/>
      <c r="Y307" s="248"/>
      <c r="Z307" s="253"/>
      <c r="AA307" s="253"/>
      <c r="AB307" s="253"/>
      <c r="AC307" s="253"/>
      <c r="AD307" s="253"/>
      <c r="AE307" s="253"/>
      <c r="AF307" s="254"/>
      <c r="AG307" s="257"/>
      <c r="AH307" s="257"/>
      <c r="AI307" s="257"/>
      <c r="AJ307" s="258"/>
      <c r="AK307" s="259"/>
      <c r="AL307" s="257"/>
      <c r="AM307" s="257"/>
      <c r="AN307" s="257"/>
      <c r="AO307" s="257"/>
      <c r="AP307" s="257"/>
      <c r="AQ307" s="258"/>
      <c r="AR307" s="260"/>
      <c r="AS307" s="257"/>
      <c r="AT307" s="257"/>
      <c r="AU307" s="257"/>
      <c r="AV307" s="257"/>
      <c r="AW307" s="257"/>
      <c r="AX307" s="258"/>
      <c r="AY307" s="260"/>
      <c r="AZ307" s="257"/>
      <c r="BA307" s="257"/>
      <c r="BB307" s="257"/>
      <c r="BC307" s="257"/>
      <c r="BD307" s="258"/>
      <c r="BE307" s="260"/>
      <c r="BF307" s="258"/>
      <c r="BG307" s="260"/>
      <c r="BH307" s="257"/>
      <c r="BI307" s="14"/>
    </row>
    <row r="308" spans="1:61" ht="13.15" x14ac:dyDescent="0.4">
      <c r="A308" s="248"/>
      <c r="B308" s="256"/>
      <c r="C308" s="248"/>
      <c r="D308" s="248"/>
      <c r="E308" s="248"/>
      <c r="F308" s="250"/>
      <c r="G308" s="248"/>
      <c r="H308" s="32"/>
      <c r="I308" s="248"/>
      <c r="J308" s="248"/>
      <c r="K308" s="251"/>
      <c r="L308" s="238"/>
      <c r="M308" s="248"/>
      <c r="N308" s="248"/>
      <c r="O308" s="248"/>
      <c r="P308" s="250"/>
      <c r="Q308" s="252"/>
      <c r="R308" s="248"/>
      <c r="S308" s="248"/>
      <c r="T308" s="248"/>
      <c r="U308" s="248"/>
      <c r="V308" s="248"/>
      <c r="W308" s="248"/>
      <c r="X308" s="248"/>
      <c r="Y308" s="248"/>
      <c r="Z308" s="253"/>
      <c r="AA308" s="253"/>
      <c r="AB308" s="253"/>
      <c r="AC308" s="253"/>
      <c r="AD308" s="253"/>
      <c r="AE308" s="253"/>
      <c r="AF308" s="254"/>
      <c r="AG308" s="257"/>
      <c r="AH308" s="257"/>
      <c r="AI308" s="257"/>
      <c r="AJ308" s="258"/>
      <c r="AK308" s="259"/>
      <c r="AL308" s="257"/>
      <c r="AM308" s="257"/>
      <c r="AN308" s="257"/>
      <c r="AO308" s="257"/>
      <c r="AP308" s="257"/>
      <c r="AQ308" s="258"/>
      <c r="AR308" s="260"/>
      <c r="AS308" s="257"/>
      <c r="AT308" s="257"/>
      <c r="AU308" s="257"/>
      <c r="AV308" s="257"/>
      <c r="AW308" s="257"/>
      <c r="AX308" s="258"/>
      <c r="AY308" s="260"/>
      <c r="AZ308" s="257"/>
      <c r="BA308" s="257"/>
      <c r="BB308" s="257"/>
      <c r="BC308" s="257"/>
      <c r="BD308" s="258"/>
      <c r="BE308" s="260"/>
      <c r="BF308" s="258"/>
      <c r="BG308" s="260"/>
      <c r="BH308" s="257"/>
      <c r="BI308" s="14"/>
    </row>
    <row r="309" spans="1:61" ht="13.15" x14ac:dyDescent="0.4">
      <c r="A309" s="248"/>
      <c r="B309" s="256"/>
      <c r="C309" s="248"/>
      <c r="D309" s="248"/>
      <c r="E309" s="248"/>
      <c r="F309" s="250"/>
      <c r="G309" s="248"/>
      <c r="H309" s="32"/>
      <c r="I309" s="248"/>
      <c r="J309" s="248"/>
      <c r="K309" s="251"/>
      <c r="L309" s="238"/>
      <c r="M309" s="248"/>
      <c r="N309" s="248"/>
      <c r="O309" s="248"/>
      <c r="P309" s="250"/>
      <c r="Q309" s="252"/>
      <c r="R309" s="248"/>
      <c r="S309" s="248"/>
      <c r="T309" s="248"/>
      <c r="U309" s="248"/>
      <c r="V309" s="248"/>
      <c r="W309" s="248"/>
      <c r="X309" s="248"/>
      <c r="Y309" s="248"/>
      <c r="Z309" s="253"/>
      <c r="AA309" s="253"/>
      <c r="AB309" s="253"/>
      <c r="AC309" s="253"/>
      <c r="AD309" s="253"/>
      <c r="AE309" s="253"/>
      <c r="AF309" s="254"/>
      <c r="AG309" s="257"/>
      <c r="AH309" s="257"/>
      <c r="AI309" s="257"/>
      <c r="AJ309" s="258"/>
      <c r="AK309" s="259"/>
      <c r="AL309" s="257"/>
      <c r="AM309" s="257"/>
      <c r="AN309" s="257"/>
      <c r="AO309" s="257"/>
      <c r="AP309" s="257"/>
      <c r="AQ309" s="258"/>
      <c r="AR309" s="260"/>
      <c r="AS309" s="257"/>
      <c r="AT309" s="257"/>
      <c r="AU309" s="257"/>
      <c r="AV309" s="257"/>
      <c r="AW309" s="257"/>
      <c r="AX309" s="258"/>
      <c r="AY309" s="260"/>
      <c r="AZ309" s="257"/>
      <c r="BA309" s="257"/>
      <c r="BB309" s="257"/>
      <c r="BC309" s="257"/>
      <c r="BD309" s="258"/>
      <c r="BE309" s="260"/>
      <c r="BF309" s="258"/>
      <c r="BG309" s="260"/>
      <c r="BH309" s="257"/>
      <c r="BI309" s="14"/>
    </row>
    <row r="310" spans="1:61" ht="13.15" x14ac:dyDescent="0.4">
      <c r="A310" s="248"/>
      <c r="B310" s="256"/>
      <c r="C310" s="248"/>
      <c r="D310" s="248"/>
      <c r="E310" s="248"/>
      <c r="F310" s="250"/>
      <c r="G310" s="248"/>
      <c r="H310" s="32"/>
      <c r="I310" s="248"/>
      <c r="J310" s="248"/>
      <c r="K310" s="251"/>
      <c r="L310" s="238"/>
      <c r="M310" s="248"/>
      <c r="N310" s="248"/>
      <c r="O310" s="248"/>
      <c r="P310" s="250"/>
      <c r="Q310" s="252"/>
      <c r="R310" s="248"/>
      <c r="S310" s="248"/>
      <c r="T310" s="248"/>
      <c r="U310" s="248"/>
      <c r="V310" s="248"/>
      <c r="W310" s="248"/>
      <c r="X310" s="248"/>
      <c r="Y310" s="248"/>
      <c r="Z310" s="253"/>
      <c r="AA310" s="253"/>
      <c r="AB310" s="253"/>
      <c r="AC310" s="253"/>
      <c r="AD310" s="253"/>
      <c r="AE310" s="253"/>
      <c r="AF310" s="254"/>
      <c r="AG310" s="257"/>
      <c r="AH310" s="257"/>
      <c r="AI310" s="257"/>
      <c r="AJ310" s="258"/>
      <c r="AK310" s="259"/>
      <c r="AL310" s="257"/>
      <c r="AM310" s="257"/>
      <c r="AN310" s="257"/>
      <c r="AO310" s="257"/>
      <c r="AP310" s="257"/>
      <c r="AQ310" s="258"/>
      <c r="AR310" s="260"/>
      <c r="AS310" s="257"/>
      <c r="AT310" s="257"/>
      <c r="AU310" s="257"/>
      <c r="AV310" s="257"/>
      <c r="AW310" s="257"/>
      <c r="AX310" s="258"/>
      <c r="AY310" s="260"/>
      <c r="AZ310" s="257"/>
      <c r="BA310" s="257"/>
      <c r="BB310" s="257"/>
      <c r="BC310" s="257"/>
      <c r="BD310" s="258"/>
      <c r="BE310" s="260"/>
      <c r="BF310" s="258"/>
      <c r="BG310" s="260"/>
      <c r="BH310" s="257"/>
      <c r="BI310" s="14"/>
    </row>
    <row r="311" spans="1:61" ht="13.15" x14ac:dyDescent="0.4">
      <c r="A311" s="248"/>
      <c r="B311" s="256"/>
      <c r="C311" s="248"/>
      <c r="D311" s="248"/>
      <c r="E311" s="248"/>
      <c r="F311" s="250"/>
      <c r="G311" s="248"/>
      <c r="H311" s="32"/>
      <c r="I311" s="248"/>
      <c r="J311" s="248"/>
      <c r="K311" s="251"/>
      <c r="L311" s="238"/>
      <c r="M311" s="248"/>
      <c r="N311" s="248"/>
      <c r="O311" s="248"/>
      <c r="P311" s="250"/>
      <c r="Q311" s="252"/>
      <c r="R311" s="248"/>
      <c r="S311" s="248"/>
      <c r="T311" s="248"/>
      <c r="U311" s="248"/>
      <c r="V311" s="248"/>
      <c r="W311" s="248"/>
      <c r="X311" s="248"/>
      <c r="Y311" s="248"/>
      <c r="Z311" s="253"/>
      <c r="AA311" s="253"/>
      <c r="AB311" s="253"/>
      <c r="AC311" s="253"/>
      <c r="AD311" s="253"/>
      <c r="AE311" s="253"/>
      <c r="AF311" s="254"/>
      <c r="AG311" s="257"/>
      <c r="AH311" s="257"/>
      <c r="AI311" s="257"/>
      <c r="AJ311" s="258"/>
      <c r="AK311" s="259"/>
      <c r="AL311" s="257"/>
      <c r="AM311" s="257"/>
      <c r="AN311" s="257"/>
      <c r="AO311" s="257"/>
      <c r="AP311" s="257"/>
      <c r="AQ311" s="258"/>
      <c r="AR311" s="260"/>
      <c r="AS311" s="257"/>
      <c r="AT311" s="257"/>
      <c r="AU311" s="257"/>
      <c r="AV311" s="257"/>
      <c r="AW311" s="257"/>
      <c r="AX311" s="258"/>
      <c r="AY311" s="260"/>
      <c r="AZ311" s="257"/>
      <c r="BA311" s="257"/>
      <c r="BB311" s="257"/>
      <c r="BC311" s="257"/>
      <c r="BD311" s="258"/>
      <c r="BE311" s="260"/>
      <c r="BF311" s="258"/>
      <c r="BG311" s="260"/>
      <c r="BH311" s="257"/>
      <c r="BI311" s="14"/>
    </row>
    <row r="312" spans="1:61" ht="13.15" x14ac:dyDescent="0.4">
      <c r="A312" s="248"/>
      <c r="B312" s="256"/>
      <c r="C312" s="248"/>
      <c r="D312" s="248"/>
      <c r="E312" s="248"/>
      <c r="F312" s="250"/>
      <c r="G312" s="248"/>
      <c r="H312" s="32"/>
      <c r="I312" s="248"/>
      <c r="J312" s="248"/>
      <c r="K312" s="251"/>
      <c r="L312" s="238"/>
      <c r="M312" s="248"/>
      <c r="N312" s="248"/>
      <c r="O312" s="248"/>
      <c r="P312" s="250"/>
      <c r="Q312" s="252"/>
      <c r="R312" s="248"/>
      <c r="S312" s="248"/>
      <c r="T312" s="248"/>
      <c r="U312" s="248"/>
      <c r="V312" s="248"/>
      <c r="W312" s="248"/>
      <c r="X312" s="248"/>
      <c r="Y312" s="248"/>
      <c r="Z312" s="253"/>
      <c r="AA312" s="253"/>
      <c r="AB312" s="253"/>
      <c r="AC312" s="253"/>
      <c r="AD312" s="253"/>
      <c r="AE312" s="253"/>
      <c r="AF312" s="254"/>
      <c r="AG312" s="257"/>
      <c r="AH312" s="257"/>
      <c r="AI312" s="257"/>
      <c r="AJ312" s="258"/>
      <c r="AK312" s="259"/>
      <c r="AL312" s="257"/>
      <c r="AM312" s="257"/>
      <c r="AN312" s="257"/>
      <c r="AO312" s="257"/>
      <c r="AP312" s="257"/>
      <c r="AQ312" s="258"/>
      <c r="AR312" s="260"/>
      <c r="AS312" s="257"/>
      <c r="AT312" s="257"/>
      <c r="AU312" s="257"/>
      <c r="AV312" s="257"/>
      <c r="AW312" s="257"/>
      <c r="AX312" s="258"/>
      <c r="AY312" s="260"/>
      <c r="AZ312" s="257"/>
      <c r="BA312" s="257"/>
      <c r="BB312" s="257"/>
      <c r="BC312" s="257"/>
      <c r="BD312" s="258"/>
      <c r="BE312" s="260"/>
      <c r="BF312" s="258"/>
      <c r="BG312" s="260"/>
      <c r="BH312" s="257"/>
      <c r="BI312" s="14"/>
    </row>
    <row r="313" spans="1:61" ht="13.15" x14ac:dyDescent="0.4">
      <c r="A313" s="248"/>
      <c r="B313" s="256"/>
      <c r="C313" s="248"/>
      <c r="D313" s="248"/>
      <c r="E313" s="248"/>
      <c r="F313" s="250"/>
      <c r="G313" s="248"/>
      <c r="H313" s="32"/>
      <c r="I313" s="248"/>
      <c r="J313" s="248"/>
      <c r="K313" s="251"/>
      <c r="L313" s="238"/>
      <c r="M313" s="248"/>
      <c r="N313" s="248"/>
      <c r="O313" s="248"/>
      <c r="P313" s="250"/>
      <c r="Q313" s="252"/>
      <c r="R313" s="248"/>
      <c r="S313" s="248"/>
      <c r="T313" s="248"/>
      <c r="U313" s="248"/>
      <c r="V313" s="248"/>
      <c r="W313" s="248"/>
      <c r="X313" s="248"/>
      <c r="Y313" s="248"/>
      <c r="Z313" s="253"/>
      <c r="AA313" s="253"/>
      <c r="AB313" s="253"/>
      <c r="AC313" s="253"/>
      <c r="AD313" s="253"/>
      <c r="AE313" s="253"/>
      <c r="AF313" s="254"/>
      <c r="AG313" s="257"/>
      <c r="AH313" s="257"/>
      <c r="AI313" s="257"/>
      <c r="AJ313" s="258"/>
      <c r="AK313" s="259"/>
      <c r="AL313" s="257"/>
      <c r="AM313" s="257"/>
      <c r="AN313" s="257"/>
      <c r="AO313" s="257"/>
      <c r="AP313" s="257"/>
      <c r="AQ313" s="258"/>
      <c r="AR313" s="260"/>
      <c r="AS313" s="257"/>
      <c r="AT313" s="257"/>
      <c r="AU313" s="257"/>
      <c r="AV313" s="257"/>
      <c r="AW313" s="257"/>
      <c r="AX313" s="258"/>
      <c r="AY313" s="260"/>
      <c r="AZ313" s="257"/>
      <c r="BA313" s="257"/>
      <c r="BB313" s="257"/>
      <c r="BC313" s="257"/>
      <c r="BD313" s="258"/>
      <c r="BE313" s="260"/>
      <c r="BF313" s="258"/>
      <c r="BG313" s="260"/>
      <c r="BH313" s="257"/>
      <c r="BI313" s="14"/>
    </row>
    <row r="314" spans="1:61" ht="13.15" x14ac:dyDescent="0.4">
      <c r="A314" s="248"/>
      <c r="B314" s="256"/>
      <c r="C314" s="248"/>
      <c r="D314" s="248"/>
      <c r="E314" s="248"/>
      <c r="F314" s="250"/>
      <c r="G314" s="248"/>
      <c r="H314" s="32"/>
      <c r="I314" s="248"/>
      <c r="J314" s="248"/>
      <c r="K314" s="251"/>
      <c r="L314" s="238"/>
      <c r="M314" s="248"/>
      <c r="N314" s="248"/>
      <c r="O314" s="248"/>
      <c r="P314" s="250"/>
      <c r="Q314" s="252"/>
      <c r="R314" s="248"/>
      <c r="S314" s="248"/>
      <c r="T314" s="248"/>
      <c r="U314" s="248"/>
      <c r="V314" s="248"/>
      <c r="W314" s="248"/>
      <c r="X314" s="248"/>
      <c r="Y314" s="248"/>
      <c r="Z314" s="253"/>
      <c r="AA314" s="253"/>
      <c r="AB314" s="253"/>
      <c r="AC314" s="253"/>
      <c r="AD314" s="253"/>
      <c r="AE314" s="253"/>
      <c r="AF314" s="254"/>
      <c r="AG314" s="257"/>
      <c r="AH314" s="257"/>
      <c r="AI314" s="257"/>
      <c r="AJ314" s="258"/>
      <c r="AK314" s="259"/>
      <c r="AL314" s="257"/>
      <c r="AM314" s="257"/>
      <c r="AN314" s="257"/>
      <c r="AO314" s="257"/>
      <c r="AP314" s="257"/>
      <c r="AQ314" s="258"/>
      <c r="AR314" s="260"/>
      <c r="AS314" s="257"/>
      <c r="AT314" s="257"/>
      <c r="AU314" s="257"/>
      <c r="AV314" s="257"/>
      <c r="AW314" s="257"/>
      <c r="AX314" s="258"/>
      <c r="AY314" s="260"/>
      <c r="AZ314" s="257"/>
      <c r="BA314" s="257"/>
      <c r="BB314" s="257"/>
      <c r="BC314" s="257"/>
      <c r="BD314" s="258"/>
      <c r="BE314" s="260"/>
      <c r="BF314" s="258"/>
      <c r="BG314" s="260"/>
      <c r="BH314" s="257"/>
      <c r="BI314" s="14"/>
    </row>
    <row r="315" spans="1:61" ht="13.15" x14ac:dyDescent="0.4">
      <c r="A315" s="248"/>
      <c r="B315" s="256"/>
      <c r="C315" s="248"/>
      <c r="D315" s="248"/>
      <c r="E315" s="248"/>
      <c r="F315" s="250"/>
      <c r="G315" s="248"/>
      <c r="H315" s="32"/>
      <c r="I315" s="248"/>
      <c r="J315" s="248"/>
      <c r="K315" s="251"/>
      <c r="L315" s="238"/>
      <c r="M315" s="248"/>
      <c r="N315" s="248"/>
      <c r="O315" s="248"/>
      <c r="P315" s="250"/>
      <c r="Q315" s="252"/>
      <c r="R315" s="248"/>
      <c r="S315" s="248"/>
      <c r="T315" s="248"/>
      <c r="U315" s="248"/>
      <c r="V315" s="248"/>
      <c r="W315" s="248"/>
      <c r="X315" s="248"/>
      <c r="Y315" s="248"/>
      <c r="Z315" s="253"/>
      <c r="AA315" s="253"/>
      <c r="AB315" s="253"/>
      <c r="AC315" s="253"/>
      <c r="AD315" s="253"/>
      <c r="AE315" s="253"/>
      <c r="AF315" s="254"/>
      <c r="AG315" s="257"/>
      <c r="AH315" s="257"/>
      <c r="AI315" s="257"/>
      <c r="AJ315" s="258"/>
      <c r="AK315" s="259"/>
      <c r="AL315" s="257"/>
      <c r="AM315" s="257"/>
      <c r="AN315" s="257"/>
      <c r="AO315" s="257"/>
      <c r="AP315" s="257"/>
      <c r="AQ315" s="258"/>
      <c r="AR315" s="260"/>
      <c r="AS315" s="257"/>
      <c r="AT315" s="257"/>
      <c r="AU315" s="257"/>
      <c r="AV315" s="257"/>
      <c r="AW315" s="257"/>
      <c r="AX315" s="258"/>
      <c r="AY315" s="260"/>
      <c r="AZ315" s="257"/>
      <c r="BA315" s="257"/>
      <c r="BB315" s="257"/>
      <c r="BC315" s="257"/>
      <c r="BD315" s="258"/>
      <c r="BE315" s="260"/>
      <c r="BF315" s="258"/>
      <c r="BG315" s="260"/>
      <c r="BH315" s="257"/>
      <c r="BI315" s="14"/>
    </row>
    <row r="316" spans="1:61" ht="13.15" x14ac:dyDescent="0.4">
      <c r="A316" s="248"/>
      <c r="B316" s="256"/>
      <c r="C316" s="248"/>
      <c r="D316" s="248"/>
      <c r="E316" s="248"/>
      <c r="F316" s="250"/>
      <c r="G316" s="248"/>
      <c r="H316" s="32"/>
      <c r="I316" s="248"/>
      <c r="J316" s="248"/>
      <c r="K316" s="251"/>
      <c r="L316" s="238"/>
      <c r="M316" s="248"/>
      <c r="N316" s="248"/>
      <c r="O316" s="248"/>
      <c r="P316" s="250"/>
      <c r="Q316" s="252"/>
      <c r="R316" s="248"/>
      <c r="S316" s="248"/>
      <c r="T316" s="248"/>
      <c r="U316" s="248"/>
      <c r="V316" s="248"/>
      <c r="W316" s="248"/>
      <c r="X316" s="248"/>
      <c r="Y316" s="248"/>
      <c r="Z316" s="253"/>
      <c r="AA316" s="253"/>
      <c r="AB316" s="253"/>
      <c r="AC316" s="253"/>
      <c r="AD316" s="253"/>
      <c r="AE316" s="253"/>
      <c r="AF316" s="254"/>
      <c r="AG316" s="257"/>
      <c r="AH316" s="257"/>
      <c r="AI316" s="257"/>
      <c r="AJ316" s="258"/>
      <c r="AK316" s="259"/>
      <c r="AL316" s="257"/>
      <c r="AM316" s="257"/>
      <c r="AN316" s="257"/>
      <c r="AO316" s="257"/>
      <c r="AP316" s="257"/>
      <c r="AQ316" s="258"/>
      <c r="AR316" s="260"/>
      <c r="AS316" s="257"/>
      <c r="AT316" s="257"/>
      <c r="AU316" s="257"/>
      <c r="AV316" s="257"/>
      <c r="AW316" s="257"/>
      <c r="AX316" s="258"/>
      <c r="AY316" s="260"/>
      <c r="AZ316" s="257"/>
      <c r="BA316" s="257"/>
      <c r="BB316" s="257"/>
      <c r="BC316" s="257"/>
      <c r="BD316" s="258"/>
      <c r="BE316" s="260"/>
      <c r="BF316" s="258"/>
      <c r="BG316" s="260"/>
      <c r="BH316" s="257"/>
      <c r="BI316" s="14"/>
    </row>
    <row r="317" spans="1:61" ht="13.15" x14ac:dyDescent="0.4">
      <c r="A317" s="248"/>
      <c r="B317" s="256"/>
      <c r="C317" s="248"/>
      <c r="D317" s="248"/>
      <c r="E317" s="248"/>
      <c r="F317" s="250"/>
      <c r="G317" s="248"/>
      <c r="H317" s="32"/>
      <c r="I317" s="248"/>
      <c r="J317" s="248"/>
      <c r="K317" s="251"/>
      <c r="L317" s="238"/>
      <c r="M317" s="248"/>
      <c r="N317" s="248"/>
      <c r="O317" s="248"/>
      <c r="P317" s="250"/>
      <c r="Q317" s="252"/>
      <c r="R317" s="248"/>
      <c r="S317" s="248"/>
      <c r="T317" s="248"/>
      <c r="U317" s="248"/>
      <c r="V317" s="248"/>
      <c r="W317" s="248"/>
      <c r="X317" s="248"/>
      <c r="Y317" s="248"/>
      <c r="Z317" s="253"/>
      <c r="AA317" s="253"/>
      <c r="AB317" s="253"/>
      <c r="AC317" s="253"/>
      <c r="AD317" s="253"/>
      <c r="AE317" s="253"/>
      <c r="AF317" s="254"/>
      <c r="AG317" s="257"/>
      <c r="AH317" s="257"/>
      <c r="AI317" s="257"/>
      <c r="AJ317" s="258"/>
      <c r="AK317" s="259"/>
      <c r="AL317" s="257"/>
      <c r="AM317" s="257"/>
      <c r="AN317" s="257"/>
      <c r="AO317" s="257"/>
      <c r="AP317" s="257"/>
      <c r="AQ317" s="258"/>
      <c r="AR317" s="260"/>
      <c r="AS317" s="257"/>
      <c r="AT317" s="257"/>
      <c r="AU317" s="257"/>
      <c r="AV317" s="257"/>
      <c r="AW317" s="257"/>
      <c r="AX317" s="258"/>
      <c r="AY317" s="260"/>
      <c r="AZ317" s="257"/>
      <c r="BA317" s="257"/>
      <c r="BB317" s="257"/>
      <c r="BC317" s="257"/>
      <c r="BD317" s="258"/>
      <c r="BE317" s="260"/>
      <c r="BF317" s="258"/>
      <c r="BG317" s="260"/>
      <c r="BH317" s="257"/>
      <c r="BI317" s="14"/>
    </row>
    <row r="318" spans="1:61" ht="13.15" x14ac:dyDescent="0.4">
      <c r="A318" s="248"/>
      <c r="B318" s="256"/>
      <c r="C318" s="248"/>
      <c r="D318" s="248"/>
      <c r="E318" s="248"/>
      <c r="F318" s="250"/>
      <c r="G318" s="248"/>
      <c r="H318" s="32"/>
      <c r="I318" s="248"/>
      <c r="J318" s="248"/>
      <c r="K318" s="251"/>
      <c r="L318" s="238"/>
      <c r="M318" s="248"/>
      <c r="N318" s="248"/>
      <c r="O318" s="248"/>
      <c r="P318" s="250"/>
      <c r="Q318" s="252"/>
      <c r="R318" s="248"/>
      <c r="S318" s="248"/>
      <c r="T318" s="248"/>
      <c r="U318" s="248"/>
      <c r="V318" s="248"/>
      <c r="W318" s="248"/>
      <c r="X318" s="248"/>
      <c r="Y318" s="248"/>
      <c r="Z318" s="253"/>
      <c r="AA318" s="253"/>
      <c r="AB318" s="253"/>
      <c r="AC318" s="253"/>
      <c r="AD318" s="253"/>
      <c r="AE318" s="253"/>
      <c r="AF318" s="254"/>
      <c r="AG318" s="257"/>
      <c r="AH318" s="257"/>
      <c r="AI318" s="257"/>
      <c r="AJ318" s="258"/>
      <c r="AK318" s="259"/>
      <c r="AL318" s="257"/>
      <c r="AM318" s="257"/>
      <c r="AN318" s="257"/>
      <c r="AO318" s="257"/>
      <c r="AP318" s="257"/>
      <c r="AQ318" s="258"/>
      <c r="AR318" s="260"/>
      <c r="AS318" s="257"/>
      <c r="AT318" s="257"/>
      <c r="AU318" s="257"/>
      <c r="AV318" s="257"/>
      <c r="AW318" s="257"/>
      <c r="AX318" s="258"/>
      <c r="AY318" s="260"/>
      <c r="AZ318" s="257"/>
      <c r="BA318" s="257"/>
      <c r="BB318" s="257"/>
      <c r="BC318" s="257"/>
      <c r="BD318" s="258"/>
      <c r="BE318" s="260"/>
      <c r="BF318" s="258"/>
      <c r="BG318" s="260"/>
      <c r="BH318" s="257"/>
      <c r="BI318" s="14"/>
    </row>
    <row r="319" spans="1:61" ht="13.15" x14ac:dyDescent="0.4">
      <c r="A319" s="248"/>
      <c r="B319" s="256"/>
      <c r="C319" s="248"/>
      <c r="D319" s="248"/>
      <c r="E319" s="248"/>
      <c r="F319" s="250"/>
      <c r="G319" s="248"/>
      <c r="H319" s="32"/>
      <c r="I319" s="248"/>
      <c r="J319" s="248"/>
      <c r="K319" s="251"/>
      <c r="L319" s="238"/>
      <c r="M319" s="248"/>
      <c r="N319" s="248"/>
      <c r="O319" s="248"/>
      <c r="P319" s="250"/>
      <c r="Q319" s="252"/>
      <c r="R319" s="248"/>
      <c r="S319" s="248"/>
      <c r="T319" s="248"/>
      <c r="U319" s="248"/>
      <c r="V319" s="248"/>
      <c r="W319" s="248"/>
      <c r="X319" s="248"/>
      <c r="Y319" s="248"/>
      <c r="Z319" s="253"/>
      <c r="AA319" s="253"/>
      <c r="AB319" s="253"/>
      <c r="AC319" s="253"/>
      <c r="AD319" s="253"/>
      <c r="AE319" s="253"/>
      <c r="AF319" s="254"/>
      <c r="AG319" s="257"/>
      <c r="AH319" s="257"/>
      <c r="AI319" s="257"/>
      <c r="AJ319" s="258"/>
      <c r="AK319" s="259"/>
      <c r="AL319" s="257"/>
      <c r="AM319" s="257"/>
      <c r="AN319" s="257"/>
      <c r="AO319" s="257"/>
      <c r="AP319" s="257"/>
      <c r="AQ319" s="258"/>
      <c r="AR319" s="260"/>
      <c r="AS319" s="257"/>
      <c r="AT319" s="257"/>
      <c r="AU319" s="257"/>
      <c r="AV319" s="257"/>
      <c r="AW319" s="257"/>
      <c r="AX319" s="258"/>
      <c r="AY319" s="260"/>
      <c r="AZ319" s="257"/>
      <c r="BA319" s="257"/>
      <c r="BB319" s="257"/>
      <c r="BC319" s="257"/>
      <c r="BD319" s="258"/>
      <c r="BE319" s="260"/>
      <c r="BF319" s="258"/>
      <c r="BG319" s="260"/>
      <c r="BH319" s="257"/>
      <c r="BI319" s="14"/>
    </row>
    <row r="320" spans="1:61" ht="13.15" x14ac:dyDescent="0.4">
      <c r="A320" s="248"/>
      <c r="B320" s="256"/>
      <c r="C320" s="248"/>
      <c r="D320" s="248"/>
      <c r="E320" s="248"/>
      <c r="F320" s="250"/>
      <c r="G320" s="248"/>
      <c r="H320" s="32"/>
      <c r="I320" s="248"/>
      <c r="J320" s="248"/>
      <c r="K320" s="251"/>
      <c r="L320" s="238"/>
      <c r="M320" s="248"/>
      <c r="N320" s="248"/>
      <c r="O320" s="248"/>
      <c r="P320" s="250"/>
      <c r="Q320" s="252"/>
      <c r="R320" s="248"/>
      <c r="S320" s="248"/>
      <c r="T320" s="248"/>
      <c r="U320" s="248"/>
      <c r="V320" s="248"/>
      <c r="W320" s="248"/>
      <c r="X320" s="248"/>
      <c r="Y320" s="248"/>
      <c r="Z320" s="253"/>
      <c r="AA320" s="253"/>
      <c r="AB320" s="253"/>
      <c r="AC320" s="253"/>
      <c r="AD320" s="253"/>
      <c r="AE320" s="253"/>
      <c r="AF320" s="254"/>
      <c r="AG320" s="257"/>
      <c r="AH320" s="257"/>
      <c r="AI320" s="257"/>
      <c r="AJ320" s="258"/>
      <c r="AK320" s="259"/>
      <c r="AL320" s="257"/>
      <c r="AM320" s="257"/>
      <c r="AN320" s="257"/>
      <c r="AO320" s="257"/>
      <c r="AP320" s="257"/>
      <c r="AQ320" s="258"/>
      <c r="AR320" s="260"/>
      <c r="AS320" s="257"/>
      <c r="AT320" s="257"/>
      <c r="AU320" s="257"/>
      <c r="AV320" s="257"/>
      <c r="AW320" s="257"/>
      <c r="AX320" s="258"/>
      <c r="AY320" s="260"/>
      <c r="AZ320" s="257"/>
      <c r="BA320" s="257"/>
      <c r="BB320" s="257"/>
      <c r="BC320" s="257"/>
      <c r="BD320" s="258"/>
      <c r="BE320" s="260"/>
      <c r="BF320" s="258"/>
      <c r="BG320" s="260"/>
      <c r="BH320" s="257"/>
      <c r="BI320" s="14"/>
    </row>
    <row r="321" spans="1:61" ht="13.15" x14ac:dyDescent="0.4">
      <c r="A321" s="248"/>
      <c r="B321" s="256"/>
      <c r="C321" s="248"/>
      <c r="D321" s="248"/>
      <c r="E321" s="248"/>
      <c r="F321" s="250"/>
      <c r="G321" s="248"/>
      <c r="H321" s="32"/>
      <c r="I321" s="248"/>
      <c r="J321" s="248"/>
      <c r="K321" s="251"/>
      <c r="L321" s="238"/>
      <c r="M321" s="248"/>
      <c r="N321" s="248"/>
      <c r="O321" s="248"/>
      <c r="P321" s="250"/>
      <c r="Q321" s="252"/>
      <c r="R321" s="248"/>
      <c r="S321" s="248"/>
      <c r="T321" s="248"/>
      <c r="U321" s="248"/>
      <c r="V321" s="248"/>
      <c r="W321" s="248"/>
      <c r="X321" s="248"/>
      <c r="Y321" s="248"/>
      <c r="Z321" s="253"/>
      <c r="AA321" s="253"/>
      <c r="AB321" s="253"/>
      <c r="AC321" s="253"/>
      <c r="AD321" s="253"/>
      <c r="AE321" s="253"/>
      <c r="AF321" s="254"/>
      <c r="AG321" s="257"/>
      <c r="AH321" s="257"/>
      <c r="AI321" s="257"/>
      <c r="AJ321" s="258"/>
      <c r="AK321" s="259"/>
      <c r="AL321" s="257"/>
      <c r="AM321" s="257"/>
      <c r="AN321" s="257"/>
      <c r="AO321" s="257"/>
      <c r="AP321" s="257"/>
      <c r="AQ321" s="258"/>
      <c r="AR321" s="260"/>
      <c r="AS321" s="257"/>
      <c r="AT321" s="257"/>
      <c r="AU321" s="257"/>
      <c r="AV321" s="257"/>
      <c r="AW321" s="257"/>
      <c r="AX321" s="258"/>
      <c r="AY321" s="260"/>
      <c r="AZ321" s="257"/>
      <c r="BA321" s="257"/>
      <c r="BB321" s="257"/>
      <c r="BC321" s="257"/>
      <c r="BD321" s="258"/>
      <c r="BE321" s="260"/>
      <c r="BF321" s="258"/>
      <c r="BG321" s="260"/>
      <c r="BH321" s="257"/>
      <c r="BI321" s="14"/>
    </row>
    <row r="322" spans="1:61" ht="13.15" x14ac:dyDescent="0.4">
      <c r="A322" s="248"/>
      <c r="B322" s="256"/>
      <c r="C322" s="248"/>
      <c r="D322" s="248"/>
      <c r="E322" s="248"/>
      <c r="F322" s="250"/>
      <c r="G322" s="248"/>
      <c r="H322" s="32"/>
      <c r="I322" s="248"/>
      <c r="J322" s="248"/>
      <c r="K322" s="251"/>
      <c r="L322" s="238"/>
      <c r="M322" s="248"/>
      <c r="N322" s="248"/>
      <c r="O322" s="248"/>
      <c r="P322" s="250"/>
      <c r="Q322" s="252"/>
      <c r="R322" s="248"/>
      <c r="S322" s="248"/>
      <c r="T322" s="248"/>
      <c r="U322" s="248"/>
      <c r="V322" s="248"/>
      <c r="W322" s="248"/>
      <c r="X322" s="248"/>
      <c r="Y322" s="248"/>
      <c r="Z322" s="253"/>
      <c r="AA322" s="253"/>
      <c r="AB322" s="253"/>
      <c r="AC322" s="253"/>
      <c r="AD322" s="253"/>
      <c r="AE322" s="253"/>
      <c r="AF322" s="254"/>
      <c r="AG322" s="257"/>
      <c r="AH322" s="257"/>
      <c r="AI322" s="257"/>
      <c r="AJ322" s="258"/>
      <c r="AK322" s="259"/>
      <c r="AL322" s="257"/>
      <c r="AM322" s="257"/>
      <c r="AN322" s="257"/>
      <c r="AO322" s="257"/>
      <c r="AP322" s="257"/>
      <c r="AQ322" s="258"/>
      <c r="AR322" s="260"/>
      <c r="AS322" s="257"/>
      <c r="AT322" s="257"/>
      <c r="AU322" s="257"/>
      <c r="AV322" s="257"/>
      <c r="AW322" s="257"/>
      <c r="AX322" s="258"/>
      <c r="AY322" s="260"/>
      <c r="AZ322" s="257"/>
      <c r="BA322" s="257"/>
      <c r="BB322" s="257"/>
      <c r="BC322" s="257"/>
      <c r="BD322" s="258"/>
      <c r="BE322" s="260"/>
      <c r="BF322" s="258"/>
      <c r="BG322" s="260"/>
      <c r="BH322" s="257"/>
      <c r="BI322" s="14"/>
    </row>
    <row r="323" spans="1:61" ht="13.15" x14ac:dyDescent="0.4">
      <c r="A323" s="248"/>
      <c r="B323" s="256"/>
      <c r="C323" s="248"/>
      <c r="D323" s="248"/>
      <c r="E323" s="248"/>
      <c r="F323" s="250"/>
      <c r="G323" s="248"/>
      <c r="H323" s="32"/>
      <c r="I323" s="248"/>
      <c r="J323" s="248"/>
      <c r="K323" s="251"/>
      <c r="L323" s="238"/>
      <c r="M323" s="248"/>
      <c r="N323" s="248"/>
      <c r="O323" s="248"/>
      <c r="P323" s="250"/>
      <c r="Q323" s="252"/>
      <c r="R323" s="248"/>
      <c r="S323" s="248"/>
      <c r="T323" s="248"/>
      <c r="U323" s="248"/>
      <c r="V323" s="248"/>
      <c r="W323" s="248"/>
      <c r="X323" s="248"/>
      <c r="Y323" s="248"/>
      <c r="Z323" s="253"/>
      <c r="AA323" s="253"/>
      <c r="AB323" s="253"/>
      <c r="AC323" s="253"/>
      <c r="AD323" s="253"/>
      <c r="AE323" s="253"/>
      <c r="AF323" s="254"/>
      <c r="AG323" s="257"/>
      <c r="AH323" s="257"/>
      <c r="AI323" s="257"/>
      <c r="AJ323" s="258"/>
      <c r="AK323" s="259"/>
      <c r="AL323" s="257"/>
      <c r="AM323" s="257"/>
      <c r="AN323" s="257"/>
      <c r="AO323" s="257"/>
      <c r="AP323" s="257"/>
      <c r="AQ323" s="258"/>
      <c r="AR323" s="260"/>
      <c r="AS323" s="257"/>
      <c r="AT323" s="257"/>
      <c r="AU323" s="257"/>
      <c r="AV323" s="257"/>
      <c r="AW323" s="257"/>
      <c r="AX323" s="258"/>
      <c r="AY323" s="260"/>
      <c r="AZ323" s="257"/>
      <c r="BA323" s="257"/>
      <c r="BB323" s="257"/>
      <c r="BC323" s="257"/>
      <c r="BD323" s="258"/>
      <c r="BE323" s="260"/>
      <c r="BF323" s="258"/>
      <c r="BG323" s="260"/>
      <c r="BH323" s="257"/>
      <c r="BI323" s="14"/>
    </row>
    <row r="324" spans="1:61" ht="13.15" x14ac:dyDescent="0.4">
      <c r="A324" s="248"/>
      <c r="B324" s="256"/>
      <c r="C324" s="248"/>
      <c r="D324" s="248"/>
      <c r="E324" s="248"/>
      <c r="F324" s="250"/>
      <c r="G324" s="248"/>
      <c r="H324" s="32"/>
      <c r="I324" s="248"/>
      <c r="J324" s="248"/>
      <c r="K324" s="251"/>
      <c r="L324" s="238"/>
      <c r="M324" s="248"/>
      <c r="N324" s="248"/>
      <c r="O324" s="248"/>
      <c r="P324" s="250"/>
      <c r="Q324" s="252"/>
      <c r="R324" s="248"/>
      <c r="S324" s="248"/>
      <c r="T324" s="248"/>
      <c r="U324" s="248"/>
      <c r="V324" s="248"/>
      <c r="W324" s="248"/>
      <c r="X324" s="248"/>
      <c r="Y324" s="248"/>
      <c r="Z324" s="253"/>
      <c r="AA324" s="253"/>
      <c r="AB324" s="253"/>
      <c r="AC324" s="253"/>
      <c r="AD324" s="253"/>
      <c r="AE324" s="253"/>
      <c r="AF324" s="254"/>
      <c r="AG324" s="257"/>
      <c r="AH324" s="257"/>
      <c r="AI324" s="257"/>
      <c r="AJ324" s="258"/>
      <c r="AK324" s="259"/>
      <c r="AL324" s="257"/>
      <c r="AM324" s="257"/>
      <c r="AN324" s="257"/>
      <c r="AO324" s="257"/>
      <c r="AP324" s="257"/>
      <c r="AQ324" s="258"/>
      <c r="AR324" s="260"/>
      <c r="AS324" s="257"/>
      <c r="AT324" s="257"/>
      <c r="AU324" s="257"/>
      <c r="AV324" s="257"/>
      <c r="AW324" s="257"/>
      <c r="AX324" s="258"/>
      <c r="AY324" s="260"/>
      <c r="AZ324" s="257"/>
      <c r="BA324" s="257"/>
      <c r="BB324" s="257"/>
      <c r="BC324" s="257"/>
      <c r="BD324" s="258"/>
      <c r="BE324" s="260"/>
      <c r="BF324" s="258"/>
      <c r="BG324" s="260"/>
      <c r="BH324" s="257"/>
      <c r="BI324" s="14"/>
    </row>
    <row r="325" spans="1:61" ht="13.15" x14ac:dyDescent="0.4">
      <c r="A325" s="248"/>
      <c r="B325" s="256"/>
      <c r="C325" s="248"/>
      <c r="D325" s="248"/>
      <c r="E325" s="248"/>
      <c r="F325" s="250"/>
      <c r="G325" s="248"/>
      <c r="H325" s="32"/>
      <c r="I325" s="248"/>
      <c r="J325" s="248"/>
      <c r="K325" s="251"/>
      <c r="L325" s="238"/>
      <c r="M325" s="248"/>
      <c r="N325" s="248"/>
      <c r="O325" s="248"/>
      <c r="P325" s="250"/>
      <c r="Q325" s="252"/>
      <c r="R325" s="248"/>
      <c r="S325" s="248"/>
      <c r="T325" s="248"/>
      <c r="U325" s="248"/>
      <c r="V325" s="248"/>
      <c r="W325" s="248"/>
      <c r="X325" s="248"/>
      <c r="Y325" s="248"/>
      <c r="Z325" s="253"/>
      <c r="AA325" s="253"/>
      <c r="AB325" s="253"/>
      <c r="AC325" s="253"/>
      <c r="AD325" s="253"/>
      <c r="AE325" s="253"/>
      <c r="AF325" s="254"/>
      <c r="AG325" s="257"/>
      <c r="AH325" s="257"/>
      <c r="AI325" s="257"/>
      <c r="AJ325" s="258"/>
      <c r="AK325" s="259"/>
      <c r="AL325" s="257"/>
      <c r="AM325" s="257"/>
      <c r="AN325" s="257"/>
      <c r="AO325" s="257"/>
      <c r="AP325" s="257"/>
      <c r="AQ325" s="258"/>
      <c r="AR325" s="260"/>
      <c r="AS325" s="257"/>
      <c r="AT325" s="257"/>
      <c r="AU325" s="257"/>
      <c r="AV325" s="257"/>
      <c r="AW325" s="257"/>
      <c r="AX325" s="258"/>
      <c r="AY325" s="260"/>
      <c r="AZ325" s="257"/>
      <c r="BA325" s="257"/>
      <c r="BB325" s="257"/>
      <c r="BC325" s="257"/>
      <c r="BD325" s="258"/>
      <c r="BE325" s="260"/>
      <c r="BF325" s="258"/>
      <c r="BG325" s="260"/>
      <c r="BH325" s="257"/>
      <c r="BI325" s="14"/>
    </row>
    <row r="326" spans="1:61" ht="13.15" x14ac:dyDescent="0.4">
      <c r="A326" s="248"/>
      <c r="B326" s="256"/>
      <c r="C326" s="248"/>
      <c r="D326" s="248"/>
      <c r="E326" s="248"/>
      <c r="F326" s="250"/>
      <c r="G326" s="248"/>
      <c r="H326" s="32"/>
      <c r="I326" s="248"/>
      <c r="J326" s="248"/>
      <c r="K326" s="251"/>
      <c r="L326" s="238"/>
      <c r="M326" s="248"/>
      <c r="N326" s="248"/>
      <c r="O326" s="248"/>
      <c r="P326" s="250"/>
      <c r="Q326" s="252"/>
      <c r="R326" s="248"/>
      <c r="S326" s="248"/>
      <c r="T326" s="248"/>
      <c r="U326" s="248"/>
      <c r="V326" s="248"/>
      <c r="W326" s="248"/>
      <c r="X326" s="248"/>
      <c r="Y326" s="248"/>
      <c r="Z326" s="253"/>
      <c r="AA326" s="253"/>
      <c r="AB326" s="253"/>
      <c r="AC326" s="253"/>
      <c r="AD326" s="253"/>
      <c r="AE326" s="253"/>
      <c r="AF326" s="254"/>
      <c r="AG326" s="257"/>
      <c r="AH326" s="257"/>
      <c r="AI326" s="257"/>
      <c r="AJ326" s="258"/>
      <c r="AK326" s="259"/>
      <c r="AL326" s="257"/>
      <c r="AM326" s="257"/>
      <c r="AN326" s="257"/>
      <c r="AO326" s="257"/>
      <c r="AP326" s="257"/>
      <c r="AQ326" s="258"/>
      <c r="AR326" s="260"/>
      <c r="AS326" s="257"/>
      <c r="AT326" s="257"/>
      <c r="AU326" s="257"/>
      <c r="AV326" s="257"/>
      <c r="AW326" s="257"/>
      <c r="AX326" s="258"/>
      <c r="AY326" s="260"/>
      <c r="AZ326" s="257"/>
      <c r="BA326" s="257"/>
      <c r="BB326" s="257"/>
      <c r="BC326" s="257"/>
      <c r="BD326" s="258"/>
      <c r="BE326" s="260"/>
      <c r="BF326" s="258"/>
      <c r="BG326" s="260"/>
      <c r="BH326" s="257"/>
      <c r="BI326" s="14"/>
    </row>
    <row r="327" spans="1:61" ht="13.15" x14ac:dyDescent="0.4">
      <c r="A327" s="248"/>
      <c r="B327" s="256"/>
      <c r="C327" s="248"/>
      <c r="D327" s="248"/>
      <c r="E327" s="248"/>
      <c r="F327" s="250"/>
      <c r="G327" s="248"/>
      <c r="H327" s="32"/>
      <c r="I327" s="248"/>
      <c r="J327" s="248"/>
      <c r="K327" s="251"/>
      <c r="L327" s="238"/>
      <c r="M327" s="248"/>
      <c r="N327" s="248"/>
      <c r="O327" s="248"/>
      <c r="P327" s="250"/>
      <c r="Q327" s="252"/>
      <c r="R327" s="248"/>
      <c r="S327" s="248"/>
      <c r="T327" s="248"/>
      <c r="U327" s="248"/>
      <c r="V327" s="248"/>
      <c r="W327" s="248"/>
      <c r="X327" s="248"/>
      <c r="Y327" s="248"/>
      <c r="Z327" s="253"/>
      <c r="AA327" s="253"/>
      <c r="AB327" s="253"/>
      <c r="AC327" s="253"/>
      <c r="AD327" s="253"/>
      <c r="AE327" s="253"/>
      <c r="AF327" s="254"/>
      <c r="AG327" s="257"/>
      <c r="AH327" s="257"/>
      <c r="AI327" s="257"/>
      <c r="AJ327" s="258"/>
      <c r="AK327" s="259"/>
      <c r="AL327" s="257"/>
      <c r="AM327" s="257"/>
      <c r="AN327" s="257"/>
      <c r="AO327" s="257"/>
      <c r="AP327" s="257"/>
      <c r="AQ327" s="258"/>
      <c r="AR327" s="260"/>
      <c r="AS327" s="257"/>
      <c r="AT327" s="257"/>
      <c r="AU327" s="257"/>
      <c r="AV327" s="257"/>
      <c r="AW327" s="257"/>
      <c r="AX327" s="258"/>
      <c r="AY327" s="260"/>
      <c r="AZ327" s="257"/>
      <c r="BA327" s="257"/>
      <c r="BB327" s="257"/>
      <c r="BC327" s="257"/>
      <c r="BD327" s="258"/>
      <c r="BE327" s="260"/>
      <c r="BF327" s="258"/>
      <c r="BG327" s="260"/>
      <c r="BH327" s="257"/>
      <c r="BI327" s="14"/>
    </row>
    <row r="328" spans="1:61" ht="13.15" x14ac:dyDescent="0.4">
      <c r="A328" s="248"/>
      <c r="B328" s="256"/>
      <c r="C328" s="248"/>
      <c r="D328" s="248"/>
      <c r="E328" s="248"/>
      <c r="F328" s="250"/>
      <c r="G328" s="248"/>
      <c r="H328" s="32"/>
      <c r="I328" s="248"/>
      <c r="J328" s="248"/>
      <c r="K328" s="251"/>
      <c r="L328" s="238"/>
      <c r="M328" s="248"/>
      <c r="N328" s="248"/>
      <c r="O328" s="248"/>
      <c r="P328" s="250"/>
      <c r="Q328" s="252"/>
      <c r="R328" s="248"/>
      <c r="S328" s="248"/>
      <c r="T328" s="248"/>
      <c r="U328" s="248"/>
      <c r="V328" s="248"/>
      <c r="W328" s="248"/>
      <c r="X328" s="248"/>
      <c r="Y328" s="248"/>
      <c r="Z328" s="253"/>
      <c r="AA328" s="253"/>
      <c r="AB328" s="253"/>
      <c r="AC328" s="253"/>
      <c r="AD328" s="253"/>
      <c r="AE328" s="253"/>
      <c r="AF328" s="254"/>
      <c r="AG328" s="257"/>
      <c r="AH328" s="257"/>
      <c r="AI328" s="257"/>
      <c r="AJ328" s="258"/>
      <c r="AK328" s="259"/>
      <c r="AL328" s="257"/>
      <c r="AM328" s="257"/>
      <c r="AN328" s="257"/>
      <c r="AO328" s="257"/>
      <c r="AP328" s="257"/>
      <c r="AQ328" s="258"/>
      <c r="AR328" s="260"/>
      <c r="AS328" s="257"/>
      <c r="AT328" s="257"/>
      <c r="AU328" s="257"/>
      <c r="AV328" s="257"/>
      <c r="AW328" s="257"/>
      <c r="AX328" s="258"/>
      <c r="AY328" s="260"/>
      <c r="AZ328" s="257"/>
      <c r="BA328" s="257"/>
      <c r="BB328" s="257"/>
      <c r="BC328" s="257"/>
      <c r="BD328" s="258"/>
      <c r="BE328" s="260"/>
      <c r="BF328" s="258"/>
      <c r="BG328" s="260"/>
      <c r="BH328" s="257"/>
      <c r="BI328" s="14"/>
    </row>
    <row r="329" spans="1:61" ht="13.15" x14ac:dyDescent="0.4">
      <c r="A329" s="248"/>
      <c r="B329" s="256"/>
      <c r="C329" s="248"/>
      <c r="D329" s="248"/>
      <c r="E329" s="248"/>
      <c r="F329" s="250"/>
      <c r="G329" s="248"/>
      <c r="H329" s="32"/>
      <c r="I329" s="248"/>
      <c r="J329" s="248"/>
      <c r="K329" s="251"/>
      <c r="L329" s="238"/>
      <c r="M329" s="248"/>
      <c r="N329" s="248"/>
      <c r="O329" s="248"/>
      <c r="P329" s="250"/>
      <c r="Q329" s="252"/>
      <c r="R329" s="248"/>
      <c r="S329" s="248"/>
      <c r="T329" s="248"/>
      <c r="U329" s="248"/>
      <c r="V329" s="248"/>
      <c r="W329" s="248"/>
      <c r="X329" s="248"/>
      <c r="Y329" s="248"/>
      <c r="Z329" s="253"/>
      <c r="AA329" s="253"/>
      <c r="AB329" s="253"/>
      <c r="AC329" s="253"/>
      <c r="AD329" s="253"/>
      <c r="AE329" s="253"/>
      <c r="AF329" s="254"/>
      <c r="AG329" s="257"/>
      <c r="AH329" s="257"/>
      <c r="AI329" s="257"/>
      <c r="AJ329" s="258"/>
      <c r="AK329" s="259"/>
      <c r="AL329" s="257"/>
      <c r="AM329" s="257"/>
      <c r="AN329" s="257"/>
      <c r="AO329" s="257"/>
      <c r="AP329" s="257"/>
      <c r="AQ329" s="258"/>
      <c r="AR329" s="260"/>
      <c r="AS329" s="257"/>
      <c r="AT329" s="257"/>
      <c r="AU329" s="257"/>
      <c r="AV329" s="257"/>
      <c r="AW329" s="257"/>
      <c r="AX329" s="258"/>
      <c r="AY329" s="260"/>
      <c r="AZ329" s="257"/>
      <c r="BA329" s="257"/>
      <c r="BB329" s="257"/>
      <c r="BC329" s="257"/>
      <c r="BD329" s="258"/>
      <c r="BE329" s="260"/>
      <c r="BF329" s="258"/>
      <c r="BG329" s="260"/>
      <c r="BH329" s="257"/>
      <c r="BI329" s="14"/>
    </row>
    <row r="330" spans="1:61" ht="13.15" x14ac:dyDescent="0.4">
      <c r="A330" s="248"/>
      <c r="B330" s="256"/>
      <c r="C330" s="248"/>
      <c r="D330" s="248"/>
      <c r="E330" s="248"/>
      <c r="F330" s="250"/>
      <c r="G330" s="248"/>
      <c r="H330" s="32"/>
      <c r="I330" s="248"/>
      <c r="J330" s="248"/>
      <c r="K330" s="251"/>
      <c r="L330" s="238"/>
      <c r="M330" s="248"/>
      <c r="N330" s="248"/>
      <c r="O330" s="248"/>
      <c r="P330" s="250"/>
      <c r="Q330" s="252"/>
      <c r="R330" s="248"/>
      <c r="S330" s="248"/>
      <c r="T330" s="248"/>
      <c r="U330" s="248"/>
      <c r="V330" s="248"/>
      <c r="W330" s="248"/>
      <c r="X330" s="248"/>
      <c r="Y330" s="248"/>
      <c r="Z330" s="253"/>
      <c r="AA330" s="253"/>
      <c r="AB330" s="253"/>
      <c r="AC330" s="253"/>
      <c r="AD330" s="253"/>
      <c r="AE330" s="253"/>
      <c r="AF330" s="254"/>
      <c r="AG330" s="257"/>
      <c r="AH330" s="257"/>
      <c r="AI330" s="257"/>
      <c r="AJ330" s="258"/>
      <c r="AK330" s="259"/>
      <c r="AL330" s="257"/>
      <c r="AM330" s="257"/>
      <c r="AN330" s="257"/>
      <c r="AO330" s="257"/>
      <c r="AP330" s="257"/>
      <c r="AQ330" s="258"/>
      <c r="AR330" s="260"/>
      <c r="AS330" s="257"/>
      <c r="AT330" s="257"/>
      <c r="AU330" s="257"/>
      <c r="AV330" s="257"/>
      <c r="AW330" s="257"/>
      <c r="AX330" s="258"/>
      <c r="AY330" s="260"/>
      <c r="AZ330" s="257"/>
      <c r="BA330" s="257"/>
      <c r="BB330" s="257"/>
      <c r="BC330" s="257"/>
      <c r="BD330" s="258"/>
      <c r="BE330" s="260"/>
      <c r="BF330" s="258"/>
      <c r="BG330" s="260"/>
      <c r="BH330" s="257"/>
      <c r="BI330" s="14"/>
    </row>
    <row r="331" spans="1:61" ht="13.15" x14ac:dyDescent="0.4">
      <c r="A331" s="248"/>
      <c r="B331" s="256"/>
      <c r="C331" s="248"/>
      <c r="D331" s="248"/>
      <c r="E331" s="248"/>
      <c r="F331" s="250"/>
      <c r="G331" s="248"/>
      <c r="H331" s="32"/>
      <c r="I331" s="248"/>
      <c r="J331" s="248"/>
      <c r="K331" s="251"/>
      <c r="L331" s="238"/>
      <c r="M331" s="248"/>
      <c r="N331" s="248"/>
      <c r="O331" s="248"/>
      <c r="P331" s="250"/>
      <c r="Q331" s="252"/>
      <c r="R331" s="248"/>
      <c r="S331" s="248"/>
      <c r="T331" s="248"/>
      <c r="U331" s="248"/>
      <c r="V331" s="248"/>
      <c r="W331" s="248"/>
      <c r="X331" s="248"/>
      <c r="Y331" s="248"/>
      <c r="Z331" s="253"/>
      <c r="AA331" s="253"/>
      <c r="AB331" s="253"/>
      <c r="AC331" s="253"/>
      <c r="AD331" s="253"/>
      <c r="AE331" s="253"/>
      <c r="AF331" s="254"/>
      <c r="AG331" s="257"/>
      <c r="AH331" s="257"/>
      <c r="AI331" s="257"/>
      <c r="AJ331" s="258"/>
      <c r="AK331" s="259"/>
      <c r="AL331" s="257"/>
      <c r="AM331" s="257"/>
      <c r="AN331" s="257"/>
      <c r="AO331" s="257"/>
      <c r="AP331" s="257"/>
      <c r="AQ331" s="258"/>
      <c r="AR331" s="260"/>
      <c r="AS331" s="257"/>
      <c r="AT331" s="257"/>
      <c r="AU331" s="257"/>
      <c r="AV331" s="257"/>
      <c r="AW331" s="257"/>
      <c r="AX331" s="258"/>
      <c r="AY331" s="260"/>
      <c r="AZ331" s="257"/>
      <c r="BA331" s="257"/>
      <c r="BB331" s="257"/>
      <c r="BC331" s="257"/>
      <c r="BD331" s="258"/>
      <c r="BE331" s="260"/>
      <c r="BF331" s="258"/>
      <c r="BG331" s="260"/>
      <c r="BH331" s="257"/>
      <c r="BI331" s="14"/>
    </row>
    <row r="332" spans="1:61" ht="13.15" x14ac:dyDescent="0.4">
      <c r="A332" s="248"/>
      <c r="B332" s="256"/>
      <c r="C332" s="248"/>
      <c r="D332" s="248"/>
      <c r="E332" s="248"/>
      <c r="F332" s="250"/>
      <c r="G332" s="248"/>
      <c r="H332" s="32"/>
      <c r="I332" s="248"/>
      <c r="J332" s="248"/>
      <c r="K332" s="251"/>
      <c r="L332" s="238"/>
      <c r="M332" s="248"/>
      <c r="N332" s="248"/>
      <c r="O332" s="248"/>
      <c r="P332" s="250"/>
      <c r="Q332" s="252"/>
      <c r="R332" s="248"/>
      <c r="S332" s="248"/>
      <c r="T332" s="248"/>
      <c r="U332" s="248"/>
      <c r="V332" s="248"/>
      <c r="W332" s="248"/>
      <c r="X332" s="248"/>
      <c r="Y332" s="248"/>
      <c r="Z332" s="253"/>
      <c r="AA332" s="253"/>
      <c r="AB332" s="253"/>
      <c r="AC332" s="253"/>
      <c r="AD332" s="253"/>
      <c r="AE332" s="253"/>
      <c r="AF332" s="254"/>
      <c r="AG332" s="257"/>
      <c r="AH332" s="257"/>
      <c r="AI332" s="257"/>
      <c r="AJ332" s="258"/>
      <c r="AK332" s="259"/>
      <c r="AL332" s="257"/>
      <c r="AM332" s="257"/>
      <c r="AN332" s="257"/>
      <c r="AO332" s="257"/>
      <c r="AP332" s="257"/>
      <c r="AQ332" s="258"/>
      <c r="AR332" s="260"/>
      <c r="AS332" s="257"/>
      <c r="AT332" s="257"/>
      <c r="AU332" s="257"/>
      <c r="AV332" s="257"/>
      <c r="AW332" s="257"/>
      <c r="AX332" s="258"/>
      <c r="AY332" s="260"/>
      <c r="AZ332" s="257"/>
      <c r="BA332" s="257"/>
      <c r="BB332" s="257"/>
      <c r="BC332" s="257"/>
      <c r="BD332" s="258"/>
      <c r="BE332" s="260"/>
      <c r="BF332" s="258"/>
      <c r="BG332" s="260"/>
      <c r="BH332" s="257"/>
      <c r="BI332" s="14"/>
    </row>
    <row r="333" spans="1:61" ht="13.15" x14ac:dyDescent="0.4">
      <c r="A333" s="248"/>
      <c r="B333" s="256"/>
      <c r="C333" s="248"/>
      <c r="D333" s="248"/>
      <c r="E333" s="248"/>
      <c r="F333" s="250"/>
      <c r="G333" s="248"/>
      <c r="H333" s="32"/>
      <c r="I333" s="248"/>
      <c r="J333" s="248"/>
      <c r="K333" s="251"/>
      <c r="L333" s="238"/>
      <c r="M333" s="248"/>
      <c r="N333" s="248"/>
      <c r="O333" s="248"/>
      <c r="P333" s="250"/>
      <c r="Q333" s="252"/>
      <c r="R333" s="248"/>
      <c r="S333" s="248"/>
      <c r="T333" s="248"/>
      <c r="U333" s="248"/>
      <c r="V333" s="248"/>
      <c r="W333" s="248"/>
      <c r="X333" s="248"/>
      <c r="Y333" s="248"/>
      <c r="Z333" s="253"/>
      <c r="AA333" s="253"/>
      <c r="AB333" s="253"/>
      <c r="AC333" s="253"/>
      <c r="AD333" s="253"/>
      <c r="AE333" s="253"/>
      <c r="AF333" s="254"/>
      <c r="AG333" s="257"/>
      <c r="AH333" s="257"/>
      <c r="AI333" s="257"/>
      <c r="AJ333" s="258"/>
      <c r="AK333" s="259"/>
      <c r="AL333" s="257"/>
      <c r="AM333" s="257"/>
      <c r="AN333" s="257"/>
      <c r="AO333" s="257"/>
      <c r="AP333" s="257"/>
      <c r="AQ333" s="258"/>
      <c r="AR333" s="260"/>
      <c r="AS333" s="257"/>
      <c r="AT333" s="257"/>
      <c r="AU333" s="257"/>
      <c r="AV333" s="257"/>
      <c r="AW333" s="257"/>
      <c r="AX333" s="258"/>
      <c r="AY333" s="260"/>
      <c r="AZ333" s="257"/>
      <c r="BA333" s="257"/>
      <c r="BB333" s="257"/>
      <c r="BC333" s="257"/>
      <c r="BD333" s="258"/>
      <c r="BE333" s="260"/>
      <c r="BF333" s="258"/>
      <c r="BG333" s="260"/>
      <c r="BH333" s="257"/>
      <c r="BI333" s="14"/>
    </row>
    <row r="334" spans="1:61" ht="13.15" x14ac:dyDescent="0.4">
      <c r="A334" s="248"/>
      <c r="B334" s="256"/>
      <c r="C334" s="248"/>
      <c r="D334" s="248"/>
      <c r="E334" s="248"/>
      <c r="F334" s="250"/>
      <c r="G334" s="248"/>
      <c r="H334" s="32"/>
      <c r="I334" s="248"/>
      <c r="J334" s="248"/>
      <c r="K334" s="251"/>
      <c r="L334" s="238"/>
      <c r="M334" s="248"/>
      <c r="N334" s="248"/>
      <c r="O334" s="248"/>
      <c r="P334" s="250"/>
      <c r="Q334" s="252"/>
      <c r="R334" s="248"/>
      <c r="S334" s="248"/>
      <c r="T334" s="248"/>
      <c r="U334" s="248"/>
      <c r="V334" s="248"/>
      <c r="W334" s="248"/>
      <c r="X334" s="248"/>
      <c r="Y334" s="248"/>
      <c r="Z334" s="253"/>
      <c r="AA334" s="253"/>
      <c r="AB334" s="253"/>
      <c r="AC334" s="253"/>
      <c r="AD334" s="253"/>
      <c r="AE334" s="253"/>
      <c r="AF334" s="254"/>
      <c r="AG334" s="257"/>
      <c r="AH334" s="257"/>
      <c r="AI334" s="257"/>
      <c r="AJ334" s="258"/>
      <c r="AK334" s="259"/>
      <c r="AL334" s="257"/>
      <c r="AM334" s="257"/>
      <c r="AN334" s="257"/>
      <c r="AO334" s="257"/>
      <c r="AP334" s="257"/>
      <c r="AQ334" s="258"/>
      <c r="AR334" s="260"/>
      <c r="AS334" s="257"/>
      <c r="AT334" s="257"/>
      <c r="AU334" s="257"/>
      <c r="AV334" s="257"/>
      <c r="AW334" s="257"/>
      <c r="AX334" s="258"/>
      <c r="AY334" s="260"/>
      <c r="AZ334" s="257"/>
      <c r="BA334" s="257"/>
      <c r="BB334" s="257"/>
      <c r="BC334" s="257"/>
      <c r="BD334" s="258"/>
      <c r="BE334" s="260"/>
      <c r="BF334" s="258"/>
      <c r="BG334" s="260"/>
      <c r="BH334" s="257"/>
      <c r="BI334" s="14"/>
    </row>
    <row r="335" spans="1:61" ht="13.15" x14ac:dyDescent="0.4">
      <c r="A335" s="248"/>
      <c r="B335" s="256"/>
      <c r="C335" s="248"/>
      <c r="D335" s="248"/>
      <c r="E335" s="248"/>
      <c r="F335" s="250"/>
      <c r="G335" s="248"/>
      <c r="H335" s="32"/>
      <c r="I335" s="248"/>
      <c r="J335" s="248"/>
      <c r="K335" s="251"/>
      <c r="L335" s="238"/>
      <c r="M335" s="248"/>
      <c r="N335" s="248"/>
      <c r="O335" s="248"/>
      <c r="P335" s="250"/>
      <c r="Q335" s="252"/>
      <c r="R335" s="248"/>
      <c r="S335" s="248"/>
      <c r="T335" s="248"/>
      <c r="U335" s="248"/>
      <c r="V335" s="248"/>
      <c r="W335" s="248"/>
      <c r="X335" s="248"/>
      <c r="Y335" s="248"/>
      <c r="Z335" s="253"/>
      <c r="AA335" s="253"/>
      <c r="AB335" s="253"/>
      <c r="AC335" s="253"/>
      <c r="AD335" s="253"/>
      <c r="AE335" s="253"/>
      <c r="AF335" s="254"/>
      <c r="AG335" s="257"/>
      <c r="AH335" s="257"/>
      <c r="AI335" s="257"/>
      <c r="AJ335" s="258"/>
      <c r="AK335" s="259"/>
      <c r="AL335" s="257"/>
      <c r="AM335" s="257"/>
      <c r="AN335" s="257"/>
      <c r="AO335" s="257"/>
      <c r="AP335" s="257"/>
      <c r="AQ335" s="258"/>
      <c r="AR335" s="260"/>
      <c r="AS335" s="257"/>
      <c r="AT335" s="257"/>
      <c r="AU335" s="257"/>
      <c r="AV335" s="257"/>
      <c r="AW335" s="257"/>
      <c r="AX335" s="258"/>
      <c r="AY335" s="260"/>
      <c r="AZ335" s="257"/>
      <c r="BA335" s="257"/>
      <c r="BB335" s="257"/>
      <c r="BC335" s="257"/>
      <c r="BD335" s="258"/>
      <c r="BE335" s="260"/>
      <c r="BF335" s="258"/>
      <c r="BG335" s="260"/>
      <c r="BH335" s="257"/>
      <c r="BI335" s="14"/>
    </row>
    <row r="336" spans="1:61" ht="13.15" x14ac:dyDescent="0.4">
      <c r="A336" s="248"/>
      <c r="B336" s="256"/>
      <c r="C336" s="248"/>
      <c r="D336" s="248"/>
      <c r="E336" s="248"/>
      <c r="F336" s="250"/>
      <c r="G336" s="248"/>
      <c r="H336" s="32"/>
      <c r="I336" s="248"/>
      <c r="J336" s="248"/>
      <c r="K336" s="251"/>
      <c r="L336" s="238"/>
      <c r="M336" s="248"/>
      <c r="N336" s="248"/>
      <c r="O336" s="248"/>
      <c r="P336" s="250"/>
      <c r="Q336" s="252"/>
      <c r="R336" s="248"/>
      <c r="S336" s="248"/>
      <c r="T336" s="248"/>
      <c r="U336" s="248"/>
      <c r="V336" s="248"/>
      <c r="W336" s="248"/>
      <c r="X336" s="248"/>
      <c r="Y336" s="248"/>
      <c r="Z336" s="253"/>
      <c r="AA336" s="253"/>
      <c r="AB336" s="253"/>
      <c r="AC336" s="253"/>
      <c r="AD336" s="253"/>
      <c r="AE336" s="253"/>
      <c r="AF336" s="254"/>
      <c r="AG336" s="257"/>
      <c r="AH336" s="257"/>
      <c r="AI336" s="257"/>
      <c r="AJ336" s="258"/>
      <c r="AK336" s="259"/>
      <c r="AL336" s="257"/>
      <c r="AM336" s="257"/>
      <c r="AN336" s="257"/>
      <c r="AO336" s="257"/>
      <c r="AP336" s="257"/>
      <c r="AQ336" s="258"/>
      <c r="AR336" s="260"/>
      <c r="AS336" s="257"/>
      <c r="AT336" s="257"/>
      <c r="AU336" s="257"/>
      <c r="AV336" s="257"/>
      <c r="AW336" s="257"/>
      <c r="AX336" s="258"/>
      <c r="AY336" s="260"/>
      <c r="AZ336" s="257"/>
      <c r="BA336" s="257"/>
      <c r="BB336" s="257"/>
      <c r="BC336" s="257"/>
      <c r="BD336" s="258"/>
      <c r="BE336" s="260"/>
      <c r="BF336" s="258"/>
      <c r="BG336" s="260"/>
      <c r="BH336" s="257"/>
      <c r="BI336" s="14"/>
    </row>
    <row r="337" spans="1:61" ht="13.15" x14ac:dyDescent="0.4">
      <c r="A337" s="248"/>
      <c r="B337" s="256"/>
      <c r="C337" s="248"/>
      <c r="D337" s="248"/>
      <c r="E337" s="248"/>
      <c r="F337" s="250"/>
      <c r="G337" s="248"/>
      <c r="H337" s="32"/>
      <c r="I337" s="248"/>
      <c r="J337" s="248"/>
      <c r="K337" s="251"/>
      <c r="L337" s="238"/>
      <c r="M337" s="248"/>
      <c r="N337" s="248"/>
      <c r="O337" s="248"/>
      <c r="P337" s="250"/>
      <c r="Q337" s="252"/>
      <c r="R337" s="248"/>
      <c r="S337" s="248"/>
      <c r="T337" s="248"/>
      <c r="U337" s="248"/>
      <c r="V337" s="248"/>
      <c r="W337" s="248"/>
      <c r="X337" s="248"/>
      <c r="Y337" s="248"/>
      <c r="Z337" s="253"/>
      <c r="AA337" s="253"/>
      <c r="AB337" s="253"/>
      <c r="AC337" s="253"/>
      <c r="AD337" s="253"/>
      <c r="AE337" s="253"/>
      <c r="AF337" s="254"/>
      <c r="AG337" s="257"/>
      <c r="AH337" s="257"/>
      <c r="AI337" s="257"/>
      <c r="AJ337" s="258"/>
      <c r="AK337" s="259"/>
      <c r="AL337" s="257"/>
      <c r="AM337" s="257"/>
      <c r="AN337" s="257"/>
      <c r="AO337" s="257"/>
      <c r="AP337" s="257"/>
      <c r="AQ337" s="258"/>
      <c r="AR337" s="260"/>
      <c r="AS337" s="257"/>
      <c r="AT337" s="257"/>
      <c r="AU337" s="257"/>
      <c r="AV337" s="257"/>
      <c r="AW337" s="257"/>
      <c r="AX337" s="258"/>
      <c r="AY337" s="260"/>
      <c r="AZ337" s="257"/>
      <c r="BA337" s="257"/>
      <c r="BB337" s="257"/>
      <c r="BC337" s="257"/>
      <c r="BD337" s="258"/>
      <c r="BE337" s="260"/>
      <c r="BF337" s="258"/>
      <c r="BG337" s="260"/>
      <c r="BH337" s="257"/>
      <c r="BI337" s="14"/>
    </row>
    <row r="338" spans="1:61" ht="13.15" x14ac:dyDescent="0.4">
      <c r="A338" s="248"/>
      <c r="B338" s="256"/>
      <c r="C338" s="248"/>
      <c r="D338" s="248"/>
      <c r="E338" s="248"/>
      <c r="F338" s="250"/>
      <c r="G338" s="248"/>
      <c r="H338" s="32"/>
      <c r="I338" s="248"/>
      <c r="J338" s="248"/>
      <c r="K338" s="251"/>
      <c r="L338" s="238"/>
      <c r="M338" s="248"/>
      <c r="N338" s="248"/>
      <c r="O338" s="248"/>
      <c r="P338" s="250"/>
      <c r="Q338" s="252"/>
      <c r="R338" s="248"/>
      <c r="S338" s="248"/>
      <c r="T338" s="248"/>
      <c r="U338" s="248"/>
      <c r="V338" s="248"/>
      <c r="W338" s="248"/>
      <c r="X338" s="248"/>
      <c r="Y338" s="248"/>
      <c r="Z338" s="253"/>
      <c r="AA338" s="253"/>
      <c r="AB338" s="253"/>
      <c r="AC338" s="253"/>
      <c r="AD338" s="253"/>
      <c r="AE338" s="253"/>
      <c r="AF338" s="254"/>
      <c r="AG338" s="257"/>
      <c r="AH338" s="257"/>
      <c r="AI338" s="257"/>
      <c r="AJ338" s="258"/>
      <c r="AK338" s="259"/>
      <c r="AL338" s="257"/>
      <c r="AM338" s="257"/>
      <c r="AN338" s="257"/>
      <c r="AO338" s="257"/>
      <c r="AP338" s="257"/>
      <c r="AQ338" s="258"/>
      <c r="AR338" s="260"/>
      <c r="AS338" s="257"/>
      <c r="AT338" s="257"/>
      <c r="AU338" s="257"/>
      <c r="AV338" s="257"/>
      <c r="AW338" s="257"/>
      <c r="AX338" s="258"/>
      <c r="AY338" s="260"/>
      <c r="AZ338" s="257"/>
      <c r="BA338" s="257"/>
      <c r="BB338" s="257"/>
      <c r="BC338" s="257"/>
      <c r="BD338" s="258"/>
      <c r="BE338" s="260"/>
      <c r="BF338" s="258"/>
      <c r="BG338" s="260"/>
      <c r="BH338" s="257"/>
      <c r="BI338" s="14"/>
    </row>
    <row r="339" spans="1:61" ht="13.15" x14ac:dyDescent="0.4">
      <c r="A339" s="248"/>
      <c r="B339" s="256"/>
      <c r="C339" s="248"/>
      <c r="D339" s="248"/>
      <c r="E339" s="248"/>
      <c r="F339" s="250"/>
      <c r="G339" s="248"/>
      <c r="H339" s="32"/>
      <c r="I339" s="248"/>
      <c r="J339" s="248"/>
      <c r="K339" s="251"/>
      <c r="L339" s="238"/>
      <c r="M339" s="248"/>
      <c r="N339" s="248"/>
      <c r="O339" s="248"/>
      <c r="P339" s="250"/>
      <c r="Q339" s="252"/>
      <c r="R339" s="248"/>
      <c r="S339" s="248"/>
      <c r="T339" s="248"/>
      <c r="U339" s="248"/>
      <c r="V339" s="248"/>
      <c r="W339" s="248"/>
      <c r="X339" s="248"/>
      <c r="Y339" s="248"/>
      <c r="Z339" s="253"/>
      <c r="AA339" s="253"/>
      <c r="AB339" s="253"/>
      <c r="AC339" s="253"/>
      <c r="AD339" s="253"/>
      <c r="AE339" s="253"/>
      <c r="AF339" s="254"/>
      <c r="AG339" s="257"/>
      <c r="AH339" s="257"/>
      <c r="AI339" s="257"/>
      <c r="AJ339" s="258"/>
      <c r="AK339" s="259"/>
      <c r="AL339" s="257"/>
      <c r="AM339" s="257"/>
      <c r="AN339" s="257"/>
      <c r="AO339" s="257"/>
      <c r="AP339" s="257"/>
      <c r="AQ339" s="258"/>
      <c r="AR339" s="260"/>
      <c r="AS339" s="257"/>
      <c r="AT339" s="257"/>
      <c r="AU339" s="257"/>
      <c r="AV339" s="257"/>
      <c r="AW339" s="257"/>
      <c r="AX339" s="258"/>
      <c r="AY339" s="260"/>
      <c r="AZ339" s="257"/>
      <c r="BA339" s="257"/>
      <c r="BB339" s="257"/>
      <c r="BC339" s="257"/>
      <c r="BD339" s="258"/>
      <c r="BE339" s="260"/>
      <c r="BF339" s="258"/>
      <c r="BG339" s="260"/>
      <c r="BH339" s="257"/>
      <c r="BI339" s="14"/>
    </row>
    <row r="340" spans="1:61" ht="13.15" x14ac:dyDescent="0.4">
      <c r="A340" s="248"/>
      <c r="B340" s="256"/>
      <c r="C340" s="248"/>
      <c r="D340" s="248"/>
      <c r="E340" s="248"/>
      <c r="F340" s="250"/>
      <c r="G340" s="248"/>
      <c r="H340" s="32"/>
      <c r="I340" s="248"/>
      <c r="J340" s="248"/>
      <c r="K340" s="251"/>
      <c r="L340" s="238"/>
      <c r="M340" s="248"/>
      <c r="N340" s="248"/>
      <c r="O340" s="248"/>
      <c r="P340" s="250"/>
      <c r="Q340" s="252"/>
      <c r="R340" s="248"/>
      <c r="S340" s="248"/>
      <c r="T340" s="248"/>
      <c r="U340" s="248"/>
      <c r="V340" s="248"/>
      <c r="W340" s="248"/>
      <c r="X340" s="248"/>
      <c r="Y340" s="248"/>
      <c r="Z340" s="253"/>
      <c r="AA340" s="253"/>
      <c r="AB340" s="253"/>
      <c r="AC340" s="253"/>
      <c r="AD340" s="253"/>
      <c r="AE340" s="253"/>
      <c r="AF340" s="254"/>
      <c r="AG340" s="257"/>
      <c r="AH340" s="257"/>
      <c r="AI340" s="257"/>
      <c r="AJ340" s="258"/>
      <c r="AK340" s="259"/>
      <c r="AL340" s="257"/>
      <c r="AM340" s="257"/>
      <c r="AN340" s="257"/>
      <c r="AO340" s="257"/>
      <c r="AP340" s="257"/>
      <c r="AQ340" s="258"/>
      <c r="AR340" s="260"/>
      <c r="AS340" s="257"/>
      <c r="AT340" s="257"/>
      <c r="AU340" s="257"/>
      <c r="AV340" s="257"/>
      <c r="AW340" s="257"/>
      <c r="AX340" s="258"/>
      <c r="AY340" s="260"/>
      <c r="AZ340" s="257"/>
      <c r="BA340" s="257"/>
      <c r="BB340" s="257"/>
      <c r="BC340" s="257"/>
      <c r="BD340" s="258"/>
      <c r="BE340" s="260"/>
      <c r="BF340" s="258"/>
      <c r="BG340" s="260"/>
      <c r="BH340" s="257"/>
      <c r="BI340" s="14"/>
    </row>
    <row r="341" spans="1:61" ht="13.15" x14ac:dyDescent="0.4">
      <c r="A341" s="248"/>
      <c r="B341" s="256"/>
      <c r="C341" s="248"/>
      <c r="D341" s="248"/>
      <c r="E341" s="248"/>
      <c r="F341" s="250"/>
      <c r="G341" s="248"/>
      <c r="H341" s="32"/>
      <c r="I341" s="248"/>
      <c r="J341" s="248"/>
      <c r="K341" s="251"/>
      <c r="L341" s="238"/>
      <c r="M341" s="248"/>
      <c r="N341" s="248"/>
      <c r="O341" s="248"/>
      <c r="P341" s="250"/>
      <c r="Q341" s="252"/>
      <c r="R341" s="248"/>
      <c r="S341" s="248"/>
      <c r="T341" s="248"/>
      <c r="U341" s="248"/>
      <c r="V341" s="248"/>
      <c r="W341" s="248"/>
      <c r="X341" s="248"/>
      <c r="Y341" s="248"/>
      <c r="Z341" s="253"/>
      <c r="AA341" s="253"/>
      <c r="AB341" s="253"/>
      <c r="AC341" s="253"/>
      <c r="AD341" s="253"/>
      <c r="AE341" s="253"/>
      <c r="AF341" s="254"/>
      <c r="AG341" s="257"/>
      <c r="AH341" s="257"/>
      <c r="AI341" s="257"/>
      <c r="AJ341" s="258"/>
      <c r="AK341" s="259"/>
      <c r="AL341" s="257"/>
      <c r="AM341" s="257"/>
      <c r="AN341" s="257"/>
      <c r="AO341" s="257"/>
      <c r="AP341" s="257"/>
      <c r="AQ341" s="258"/>
      <c r="AR341" s="260"/>
      <c r="AS341" s="257"/>
      <c r="AT341" s="257"/>
      <c r="AU341" s="257"/>
      <c r="AV341" s="257"/>
      <c r="AW341" s="257"/>
      <c r="AX341" s="258"/>
      <c r="AY341" s="260"/>
      <c r="AZ341" s="257"/>
      <c r="BA341" s="257"/>
      <c r="BB341" s="257"/>
      <c r="BC341" s="257"/>
      <c r="BD341" s="258"/>
      <c r="BE341" s="260"/>
      <c r="BF341" s="258"/>
      <c r="BG341" s="260"/>
      <c r="BH341" s="257"/>
      <c r="BI341" s="14"/>
    </row>
    <row r="342" spans="1:61" ht="13.15" x14ac:dyDescent="0.4">
      <c r="A342" s="248"/>
      <c r="B342" s="256"/>
      <c r="C342" s="248"/>
      <c r="D342" s="248"/>
      <c r="E342" s="248"/>
      <c r="F342" s="250"/>
      <c r="G342" s="248"/>
      <c r="H342" s="32"/>
      <c r="I342" s="248"/>
      <c r="J342" s="248"/>
      <c r="K342" s="251"/>
      <c r="L342" s="238"/>
      <c r="M342" s="248"/>
      <c r="N342" s="248"/>
      <c r="O342" s="248"/>
      <c r="P342" s="250"/>
      <c r="Q342" s="252"/>
      <c r="R342" s="248"/>
      <c r="S342" s="248"/>
      <c r="T342" s="248"/>
      <c r="U342" s="248"/>
      <c r="V342" s="248"/>
      <c r="W342" s="248"/>
      <c r="X342" s="248"/>
      <c r="Y342" s="248"/>
      <c r="Z342" s="253"/>
      <c r="AA342" s="253"/>
      <c r="AB342" s="253"/>
      <c r="AC342" s="253"/>
      <c r="AD342" s="253"/>
      <c r="AE342" s="253"/>
      <c r="AF342" s="254"/>
      <c r="AG342" s="257"/>
      <c r="AH342" s="257"/>
      <c r="AI342" s="257"/>
      <c r="AJ342" s="258"/>
      <c r="AK342" s="259"/>
      <c r="AL342" s="257"/>
      <c r="AM342" s="257"/>
      <c r="AN342" s="257"/>
      <c r="AO342" s="257"/>
      <c r="AP342" s="257"/>
      <c r="AQ342" s="258"/>
      <c r="AR342" s="260"/>
      <c r="AS342" s="257"/>
      <c r="AT342" s="257"/>
      <c r="AU342" s="257"/>
      <c r="AV342" s="257"/>
      <c r="AW342" s="257"/>
      <c r="AX342" s="258"/>
      <c r="AY342" s="260"/>
      <c r="AZ342" s="257"/>
      <c r="BA342" s="257"/>
      <c r="BB342" s="257"/>
      <c r="BC342" s="257"/>
      <c r="BD342" s="258"/>
      <c r="BE342" s="260"/>
      <c r="BF342" s="258"/>
      <c r="BG342" s="260"/>
      <c r="BH342" s="257"/>
      <c r="BI342" s="14"/>
    </row>
    <row r="343" spans="1:61" ht="13.15" x14ac:dyDescent="0.4">
      <c r="A343" s="248"/>
      <c r="B343" s="256"/>
      <c r="C343" s="248"/>
      <c r="D343" s="248"/>
      <c r="E343" s="248"/>
      <c r="F343" s="250"/>
      <c r="G343" s="248"/>
      <c r="H343" s="32"/>
      <c r="I343" s="248"/>
      <c r="J343" s="248"/>
      <c r="K343" s="251"/>
      <c r="L343" s="238"/>
      <c r="M343" s="248"/>
      <c r="N343" s="248"/>
      <c r="O343" s="248"/>
      <c r="P343" s="250"/>
      <c r="Q343" s="252"/>
      <c r="R343" s="248"/>
      <c r="S343" s="248"/>
      <c r="T343" s="248"/>
      <c r="U343" s="248"/>
      <c r="V343" s="248"/>
      <c r="W343" s="248"/>
      <c r="X343" s="248"/>
      <c r="Y343" s="248"/>
      <c r="Z343" s="253"/>
      <c r="AA343" s="253"/>
      <c r="AB343" s="253"/>
      <c r="AC343" s="253"/>
      <c r="AD343" s="253"/>
      <c r="AE343" s="253"/>
      <c r="AF343" s="254"/>
      <c r="AG343" s="257"/>
      <c r="AH343" s="257"/>
      <c r="AI343" s="257"/>
      <c r="AJ343" s="258"/>
      <c r="AK343" s="259"/>
      <c r="AL343" s="257"/>
      <c r="AM343" s="257"/>
      <c r="AN343" s="257"/>
      <c r="AO343" s="257"/>
      <c r="AP343" s="257"/>
      <c r="AQ343" s="258"/>
      <c r="AR343" s="260"/>
      <c r="AS343" s="257"/>
      <c r="AT343" s="257"/>
      <c r="AU343" s="257"/>
      <c r="AV343" s="257"/>
      <c r="AW343" s="257"/>
      <c r="AX343" s="258"/>
      <c r="AY343" s="260"/>
      <c r="AZ343" s="257"/>
      <c r="BA343" s="257"/>
      <c r="BB343" s="257"/>
      <c r="BC343" s="257"/>
      <c r="BD343" s="258"/>
      <c r="BE343" s="260"/>
      <c r="BF343" s="258"/>
      <c r="BG343" s="260"/>
      <c r="BH343" s="257"/>
      <c r="BI343" s="14"/>
    </row>
    <row r="344" spans="1:61" ht="13.15" x14ac:dyDescent="0.4">
      <c r="A344" s="248"/>
      <c r="B344" s="256"/>
      <c r="C344" s="248"/>
      <c r="D344" s="248"/>
      <c r="E344" s="248"/>
      <c r="F344" s="250"/>
      <c r="G344" s="248"/>
      <c r="H344" s="32"/>
      <c r="I344" s="248"/>
      <c r="J344" s="248"/>
      <c r="K344" s="251"/>
      <c r="L344" s="238"/>
      <c r="M344" s="248"/>
      <c r="N344" s="248"/>
      <c r="O344" s="248"/>
      <c r="P344" s="250"/>
      <c r="Q344" s="252"/>
      <c r="R344" s="248"/>
      <c r="S344" s="248"/>
      <c r="T344" s="248"/>
      <c r="U344" s="248"/>
      <c r="V344" s="248"/>
      <c r="W344" s="248"/>
      <c r="X344" s="248"/>
      <c r="Y344" s="248"/>
      <c r="Z344" s="253"/>
      <c r="AA344" s="253"/>
      <c r="AB344" s="253"/>
      <c r="AC344" s="253"/>
      <c r="AD344" s="253"/>
      <c r="AE344" s="253"/>
      <c r="AF344" s="254"/>
      <c r="AG344" s="257"/>
      <c r="AH344" s="257"/>
      <c r="AI344" s="257"/>
      <c r="AJ344" s="258"/>
      <c r="AK344" s="259"/>
      <c r="AL344" s="257"/>
      <c r="AM344" s="257"/>
      <c r="AN344" s="257"/>
      <c r="AO344" s="257"/>
      <c r="AP344" s="257"/>
      <c r="AQ344" s="258"/>
      <c r="AR344" s="260"/>
      <c r="AS344" s="257"/>
      <c r="AT344" s="257"/>
      <c r="AU344" s="257"/>
      <c r="AV344" s="257"/>
      <c r="AW344" s="257"/>
      <c r="AX344" s="258"/>
      <c r="AY344" s="260"/>
      <c r="AZ344" s="257"/>
      <c r="BA344" s="257"/>
      <c r="BB344" s="257"/>
      <c r="BC344" s="257"/>
      <c r="BD344" s="258"/>
      <c r="BE344" s="260"/>
      <c r="BF344" s="258"/>
      <c r="BG344" s="260"/>
      <c r="BH344" s="257"/>
      <c r="BI344" s="14"/>
    </row>
    <row r="345" spans="1:61" ht="13.15" x14ac:dyDescent="0.4">
      <c r="A345" s="248"/>
      <c r="B345" s="256"/>
      <c r="C345" s="248"/>
      <c r="D345" s="248"/>
      <c r="E345" s="248"/>
      <c r="F345" s="250"/>
      <c r="G345" s="248"/>
      <c r="H345" s="32"/>
      <c r="I345" s="248"/>
      <c r="J345" s="248"/>
      <c r="K345" s="251"/>
      <c r="L345" s="238"/>
      <c r="M345" s="248"/>
      <c r="N345" s="248"/>
      <c r="O345" s="248"/>
      <c r="P345" s="250"/>
      <c r="Q345" s="252"/>
      <c r="R345" s="248"/>
      <c r="S345" s="248"/>
      <c r="T345" s="248"/>
      <c r="U345" s="248"/>
      <c r="V345" s="248"/>
      <c r="W345" s="248"/>
      <c r="X345" s="248"/>
      <c r="Y345" s="248"/>
      <c r="Z345" s="253"/>
      <c r="AA345" s="253"/>
      <c r="AB345" s="253"/>
      <c r="AC345" s="253"/>
      <c r="AD345" s="253"/>
      <c r="AE345" s="253"/>
      <c r="AF345" s="254"/>
      <c r="AG345" s="257"/>
      <c r="AH345" s="257"/>
      <c r="AI345" s="257"/>
      <c r="AJ345" s="258"/>
      <c r="AK345" s="259"/>
      <c r="AL345" s="257"/>
      <c r="AM345" s="257"/>
      <c r="AN345" s="257"/>
      <c r="AO345" s="257"/>
      <c r="AP345" s="257"/>
      <c r="AQ345" s="258"/>
      <c r="AR345" s="260"/>
      <c r="AS345" s="257"/>
      <c r="AT345" s="257"/>
      <c r="AU345" s="257"/>
      <c r="AV345" s="257"/>
      <c r="AW345" s="257"/>
      <c r="AX345" s="258"/>
      <c r="AY345" s="260"/>
      <c r="AZ345" s="257"/>
      <c r="BA345" s="257"/>
      <c r="BB345" s="257"/>
      <c r="BC345" s="257"/>
      <c r="BD345" s="258"/>
      <c r="BE345" s="260"/>
      <c r="BF345" s="258"/>
      <c r="BG345" s="260"/>
      <c r="BH345" s="257"/>
      <c r="BI345" s="14"/>
    </row>
    <row r="346" spans="1:61" ht="13.15" x14ac:dyDescent="0.4">
      <c r="A346" s="248"/>
      <c r="B346" s="256"/>
      <c r="C346" s="248"/>
      <c r="D346" s="248"/>
      <c r="E346" s="248"/>
      <c r="F346" s="250"/>
      <c r="G346" s="248"/>
      <c r="H346" s="32"/>
      <c r="I346" s="248"/>
      <c r="J346" s="248"/>
      <c r="K346" s="251"/>
      <c r="L346" s="238"/>
      <c r="M346" s="248"/>
      <c r="N346" s="248"/>
      <c r="O346" s="248"/>
      <c r="P346" s="250"/>
      <c r="Q346" s="252"/>
      <c r="R346" s="248"/>
      <c r="S346" s="248"/>
      <c r="T346" s="248"/>
      <c r="U346" s="248"/>
      <c r="V346" s="248"/>
      <c r="W346" s="248"/>
      <c r="X346" s="248"/>
      <c r="Y346" s="248"/>
      <c r="Z346" s="253"/>
      <c r="AA346" s="253"/>
      <c r="AB346" s="253"/>
      <c r="AC346" s="253"/>
      <c r="AD346" s="253"/>
      <c r="AE346" s="253"/>
      <c r="AF346" s="254"/>
      <c r="AG346" s="257"/>
      <c r="AH346" s="257"/>
      <c r="AI346" s="257"/>
      <c r="AJ346" s="258"/>
      <c r="AK346" s="259"/>
      <c r="AL346" s="257"/>
      <c r="AM346" s="257"/>
      <c r="AN346" s="257"/>
      <c r="AO346" s="257"/>
      <c r="AP346" s="257"/>
      <c r="AQ346" s="258"/>
      <c r="AR346" s="260"/>
      <c r="AS346" s="257"/>
      <c r="AT346" s="257"/>
      <c r="AU346" s="257"/>
      <c r="AV346" s="257"/>
      <c r="AW346" s="257"/>
      <c r="AX346" s="258"/>
      <c r="AY346" s="260"/>
      <c r="AZ346" s="257"/>
      <c r="BA346" s="257"/>
      <c r="BB346" s="257"/>
      <c r="BC346" s="257"/>
      <c r="BD346" s="258"/>
      <c r="BE346" s="260"/>
      <c r="BF346" s="258"/>
      <c r="BG346" s="260"/>
      <c r="BH346" s="257"/>
      <c r="BI346" s="14"/>
    </row>
    <row r="347" spans="1:61" ht="13.15" x14ac:dyDescent="0.4">
      <c r="A347" s="248"/>
      <c r="B347" s="256"/>
      <c r="C347" s="248"/>
      <c r="D347" s="248"/>
      <c r="E347" s="248"/>
      <c r="F347" s="250"/>
      <c r="G347" s="248"/>
      <c r="H347" s="32"/>
      <c r="I347" s="248"/>
      <c r="J347" s="248"/>
      <c r="K347" s="251"/>
      <c r="L347" s="238"/>
      <c r="M347" s="248"/>
      <c r="N347" s="248"/>
      <c r="O347" s="248"/>
      <c r="P347" s="250"/>
      <c r="Q347" s="252"/>
      <c r="R347" s="248"/>
      <c r="S347" s="248"/>
      <c r="T347" s="248"/>
      <c r="U347" s="248"/>
      <c r="V347" s="248"/>
      <c r="W347" s="248"/>
      <c r="X347" s="248"/>
      <c r="Y347" s="248"/>
      <c r="Z347" s="253"/>
      <c r="AA347" s="253"/>
      <c r="AB347" s="253"/>
      <c r="AC347" s="253"/>
      <c r="AD347" s="253"/>
      <c r="AE347" s="253"/>
      <c r="AF347" s="254"/>
      <c r="AG347" s="257"/>
      <c r="AH347" s="257"/>
      <c r="AI347" s="257"/>
      <c r="AJ347" s="258"/>
      <c r="AK347" s="259"/>
      <c r="AL347" s="257"/>
      <c r="AM347" s="257"/>
      <c r="AN347" s="257"/>
      <c r="AO347" s="257"/>
      <c r="AP347" s="257"/>
      <c r="AQ347" s="258"/>
      <c r="AR347" s="260"/>
      <c r="AS347" s="257"/>
      <c r="AT347" s="257"/>
      <c r="AU347" s="257"/>
      <c r="AV347" s="257"/>
      <c r="AW347" s="257"/>
      <c r="AX347" s="258"/>
      <c r="AY347" s="260"/>
      <c r="AZ347" s="257"/>
      <c r="BA347" s="257"/>
      <c r="BB347" s="257"/>
      <c r="BC347" s="257"/>
      <c r="BD347" s="258"/>
      <c r="BE347" s="260"/>
      <c r="BF347" s="258"/>
      <c r="BG347" s="260"/>
      <c r="BH347" s="257"/>
      <c r="BI347" s="14"/>
    </row>
    <row r="348" spans="1:61" ht="13.15" x14ac:dyDescent="0.4">
      <c r="A348" s="248"/>
      <c r="B348" s="256"/>
      <c r="C348" s="248"/>
      <c r="D348" s="248"/>
      <c r="E348" s="248"/>
      <c r="F348" s="250"/>
      <c r="G348" s="248"/>
      <c r="H348" s="32"/>
      <c r="I348" s="248"/>
      <c r="J348" s="248"/>
      <c r="K348" s="251"/>
      <c r="L348" s="238"/>
      <c r="M348" s="248"/>
      <c r="N348" s="248"/>
      <c r="O348" s="248"/>
      <c r="P348" s="250"/>
      <c r="Q348" s="252"/>
      <c r="R348" s="248"/>
      <c r="S348" s="248"/>
      <c r="T348" s="248"/>
      <c r="U348" s="248"/>
      <c r="V348" s="248"/>
      <c r="W348" s="248"/>
      <c r="X348" s="248"/>
      <c r="Y348" s="248"/>
      <c r="Z348" s="253"/>
      <c r="AA348" s="253"/>
      <c r="AB348" s="253"/>
      <c r="AC348" s="253"/>
      <c r="AD348" s="253"/>
      <c r="AE348" s="253"/>
      <c r="AF348" s="254"/>
      <c r="AG348" s="257"/>
      <c r="AH348" s="257"/>
      <c r="AI348" s="257"/>
      <c r="AJ348" s="258"/>
      <c r="AK348" s="259"/>
      <c r="AL348" s="257"/>
      <c r="AM348" s="257"/>
      <c r="AN348" s="257"/>
      <c r="AO348" s="257"/>
      <c r="AP348" s="257"/>
      <c r="AQ348" s="258"/>
      <c r="AR348" s="260"/>
      <c r="AS348" s="257"/>
      <c r="AT348" s="257"/>
      <c r="AU348" s="257"/>
      <c r="AV348" s="257"/>
      <c r="AW348" s="257"/>
      <c r="AX348" s="258"/>
      <c r="AY348" s="260"/>
      <c r="AZ348" s="257"/>
      <c r="BA348" s="257"/>
      <c r="BB348" s="257"/>
      <c r="BC348" s="257"/>
      <c r="BD348" s="258"/>
      <c r="BE348" s="260"/>
      <c r="BF348" s="258"/>
      <c r="BG348" s="260"/>
      <c r="BH348" s="257"/>
      <c r="BI348" s="14"/>
    </row>
    <row r="349" spans="1:61" ht="13.15" x14ac:dyDescent="0.4">
      <c r="A349" s="248"/>
      <c r="B349" s="256"/>
      <c r="C349" s="248"/>
      <c r="D349" s="248"/>
      <c r="E349" s="248"/>
      <c r="F349" s="250"/>
      <c r="G349" s="248"/>
      <c r="H349" s="32"/>
      <c r="I349" s="248"/>
      <c r="J349" s="248"/>
      <c r="K349" s="251"/>
      <c r="L349" s="238"/>
      <c r="M349" s="248"/>
      <c r="N349" s="248"/>
      <c r="O349" s="248"/>
      <c r="P349" s="250"/>
      <c r="Q349" s="252"/>
      <c r="R349" s="248"/>
      <c r="S349" s="248"/>
      <c r="T349" s="248"/>
      <c r="U349" s="248"/>
      <c r="V349" s="248"/>
      <c r="W349" s="248"/>
      <c r="X349" s="248"/>
      <c r="Y349" s="248"/>
      <c r="Z349" s="253"/>
      <c r="AA349" s="253"/>
      <c r="AB349" s="253"/>
      <c r="AC349" s="253"/>
      <c r="AD349" s="253"/>
      <c r="AE349" s="253"/>
      <c r="AF349" s="254"/>
      <c r="AG349" s="257"/>
      <c r="AH349" s="257"/>
      <c r="AI349" s="257"/>
      <c r="AJ349" s="258"/>
      <c r="AK349" s="259"/>
      <c r="AL349" s="257"/>
      <c r="AM349" s="257"/>
      <c r="AN349" s="257"/>
      <c r="AO349" s="257"/>
      <c r="AP349" s="257"/>
      <c r="AQ349" s="258"/>
      <c r="AR349" s="260"/>
      <c r="AS349" s="257"/>
      <c r="AT349" s="257"/>
      <c r="AU349" s="257"/>
      <c r="AV349" s="257"/>
      <c r="AW349" s="257"/>
      <c r="AX349" s="258"/>
      <c r="AY349" s="260"/>
      <c r="AZ349" s="257"/>
      <c r="BA349" s="257"/>
      <c r="BB349" s="257"/>
      <c r="BC349" s="257"/>
      <c r="BD349" s="258"/>
      <c r="BE349" s="260"/>
      <c r="BF349" s="258"/>
      <c r="BG349" s="260"/>
      <c r="BH349" s="257"/>
      <c r="BI349" s="14"/>
    </row>
    <row r="350" spans="1:61" ht="13.15" x14ac:dyDescent="0.4">
      <c r="A350" s="248"/>
      <c r="B350" s="256"/>
      <c r="C350" s="248"/>
      <c r="D350" s="248"/>
      <c r="E350" s="248"/>
      <c r="F350" s="250"/>
      <c r="G350" s="248"/>
      <c r="H350" s="32"/>
      <c r="I350" s="248"/>
      <c r="J350" s="248"/>
      <c r="K350" s="251"/>
      <c r="L350" s="238"/>
      <c r="M350" s="248"/>
      <c r="N350" s="248"/>
      <c r="O350" s="248"/>
      <c r="P350" s="250"/>
      <c r="Q350" s="252"/>
      <c r="R350" s="248"/>
      <c r="S350" s="248"/>
      <c r="T350" s="248"/>
      <c r="U350" s="248"/>
      <c r="V350" s="248"/>
      <c r="W350" s="248"/>
      <c r="X350" s="248"/>
      <c r="Y350" s="248"/>
      <c r="Z350" s="253"/>
      <c r="AA350" s="253"/>
      <c r="AB350" s="253"/>
      <c r="AC350" s="253"/>
      <c r="AD350" s="253"/>
      <c r="AE350" s="253"/>
      <c r="AF350" s="254"/>
      <c r="AG350" s="257"/>
      <c r="AH350" s="257"/>
      <c r="AI350" s="257"/>
      <c r="AJ350" s="258"/>
      <c r="AK350" s="259"/>
      <c r="AL350" s="257"/>
      <c r="AM350" s="257"/>
      <c r="AN350" s="257"/>
      <c r="AO350" s="257"/>
      <c r="AP350" s="257"/>
      <c r="AQ350" s="258"/>
      <c r="AR350" s="260"/>
      <c r="AS350" s="257"/>
      <c r="AT350" s="257"/>
      <c r="AU350" s="257"/>
      <c r="AV350" s="257"/>
      <c r="AW350" s="257"/>
      <c r="AX350" s="258"/>
      <c r="AY350" s="260"/>
      <c r="AZ350" s="257"/>
      <c r="BA350" s="257"/>
      <c r="BB350" s="257"/>
      <c r="BC350" s="257"/>
      <c r="BD350" s="258"/>
      <c r="BE350" s="260"/>
      <c r="BF350" s="258"/>
      <c r="BG350" s="260"/>
      <c r="BH350" s="257"/>
      <c r="BI350" s="14"/>
    </row>
    <row r="351" spans="1:61" ht="13.15" x14ac:dyDescent="0.4">
      <c r="A351" s="248"/>
      <c r="B351" s="256"/>
      <c r="C351" s="248"/>
      <c r="D351" s="248"/>
      <c r="E351" s="248"/>
      <c r="F351" s="250"/>
      <c r="G351" s="248"/>
      <c r="H351" s="32"/>
      <c r="I351" s="248"/>
      <c r="J351" s="248"/>
      <c r="K351" s="251"/>
      <c r="L351" s="238"/>
      <c r="M351" s="248"/>
      <c r="N351" s="248"/>
      <c r="O351" s="248"/>
      <c r="P351" s="250"/>
      <c r="Q351" s="252"/>
      <c r="R351" s="248"/>
      <c r="S351" s="248"/>
      <c r="T351" s="248"/>
      <c r="U351" s="248"/>
      <c r="V351" s="248"/>
      <c r="W351" s="248"/>
      <c r="X351" s="248"/>
      <c r="Y351" s="248"/>
      <c r="Z351" s="253"/>
      <c r="AA351" s="253"/>
      <c r="AB351" s="253"/>
      <c r="AC351" s="253"/>
      <c r="AD351" s="253"/>
      <c r="AE351" s="253"/>
      <c r="AF351" s="254"/>
      <c r="AG351" s="257"/>
      <c r="AH351" s="257"/>
      <c r="AI351" s="257"/>
      <c r="AJ351" s="258"/>
      <c r="AK351" s="259"/>
      <c r="AL351" s="257"/>
      <c r="AM351" s="257"/>
      <c r="AN351" s="257"/>
      <c r="AO351" s="257"/>
      <c r="AP351" s="257"/>
      <c r="AQ351" s="258"/>
      <c r="AR351" s="260"/>
      <c r="AS351" s="257"/>
      <c r="AT351" s="257"/>
      <c r="AU351" s="257"/>
      <c r="AV351" s="257"/>
      <c r="AW351" s="257"/>
      <c r="AX351" s="258"/>
      <c r="AY351" s="260"/>
      <c r="AZ351" s="257"/>
      <c r="BA351" s="257"/>
      <c r="BB351" s="257"/>
      <c r="BC351" s="257"/>
      <c r="BD351" s="258"/>
      <c r="BE351" s="260"/>
      <c r="BF351" s="258"/>
      <c r="BG351" s="260"/>
      <c r="BH351" s="257"/>
      <c r="BI351" s="14"/>
    </row>
    <row r="352" spans="1:61" ht="13.15" x14ac:dyDescent="0.4">
      <c r="A352" s="248"/>
      <c r="B352" s="256"/>
      <c r="C352" s="248"/>
      <c r="D352" s="248"/>
      <c r="E352" s="248"/>
      <c r="F352" s="250"/>
      <c r="G352" s="248"/>
      <c r="H352" s="32"/>
      <c r="I352" s="248"/>
      <c r="J352" s="248"/>
      <c r="K352" s="251"/>
      <c r="L352" s="238"/>
      <c r="M352" s="248"/>
      <c r="N352" s="248"/>
      <c r="O352" s="248"/>
      <c r="P352" s="250"/>
      <c r="Q352" s="252"/>
      <c r="R352" s="248"/>
      <c r="S352" s="248"/>
      <c r="T352" s="248"/>
      <c r="U352" s="248"/>
      <c r="V352" s="248"/>
      <c r="W352" s="248"/>
      <c r="X352" s="248"/>
      <c r="Y352" s="248"/>
      <c r="Z352" s="253"/>
      <c r="AA352" s="253"/>
      <c r="AB352" s="253"/>
      <c r="AC352" s="253"/>
      <c r="AD352" s="253"/>
      <c r="AE352" s="253"/>
      <c r="AF352" s="254"/>
      <c r="AG352" s="257"/>
      <c r="AH352" s="257"/>
      <c r="AI352" s="257"/>
      <c r="AJ352" s="258"/>
      <c r="AK352" s="259"/>
      <c r="AL352" s="257"/>
      <c r="AM352" s="257"/>
      <c r="AN352" s="257"/>
      <c r="AO352" s="257"/>
      <c r="AP352" s="257"/>
      <c r="AQ352" s="258"/>
      <c r="AR352" s="260"/>
      <c r="AS352" s="257"/>
      <c r="AT352" s="257"/>
      <c r="AU352" s="257"/>
      <c r="AV352" s="257"/>
      <c r="AW352" s="257"/>
      <c r="AX352" s="258"/>
      <c r="AY352" s="260"/>
      <c r="AZ352" s="257"/>
      <c r="BA352" s="257"/>
      <c r="BB352" s="257"/>
      <c r="BC352" s="257"/>
      <c r="BD352" s="258"/>
      <c r="BE352" s="260"/>
      <c r="BF352" s="258"/>
      <c r="BG352" s="260"/>
      <c r="BH352" s="257"/>
      <c r="BI352" s="14"/>
    </row>
    <row r="353" spans="1:61" ht="13.15" x14ac:dyDescent="0.4">
      <c r="A353" s="248"/>
      <c r="B353" s="256"/>
      <c r="C353" s="248"/>
      <c r="D353" s="248"/>
      <c r="E353" s="248"/>
      <c r="F353" s="250"/>
      <c r="G353" s="248"/>
      <c r="H353" s="32"/>
      <c r="I353" s="248"/>
      <c r="J353" s="248"/>
      <c r="K353" s="251"/>
      <c r="L353" s="238"/>
      <c r="M353" s="248"/>
      <c r="N353" s="248"/>
      <c r="O353" s="248"/>
      <c r="P353" s="250"/>
      <c r="Q353" s="252"/>
      <c r="R353" s="248"/>
      <c r="S353" s="248"/>
      <c r="T353" s="248"/>
      <c r="U353" s="248"/>
      <c r="V353" s="248"/>
      <c r="W353" s="248"/>
      <c r="X353" s="248"/>
      <c r="Y353" s="248"/>
      <c r="Z353" s="253"/>
      <c r="AA353" s="253"/>
      <c r="AB353" s="253"/>
      <c r="AC353" s="253"/>
      <c r="AD353" s="253"/>
      <c r="AE353" s="253"/>
      <c r="AF353" s="254"/>
      <c r="AG353" s="257"/>
      <c r="AH353" s="257"/>
      <c r="AI353" s="257"/>
      <c r="AJ353" s="258"/>
      <c r="AK353" s="259"/>
      <c r="AL353" s="257"/>
      <c r="AM353" s="257"/>
      <c r="AN353" s="257"/>
      <c r="AO353" s="257"/>
      <c r="AP353" s="257"/>
      <c r="AQ353" s="258"/>
      <c r="AR353" s="260"/>
      <c r="AS353" s="257"/>
      <c r="AT353" s="257"/>
      <c r="AU353" s="257"/>
      <c r="AV353" s="257"/>
      <c r="AW353" s="257"/>
      <c r="AX353" s="258"/>
      <c r="AY353" s="260"/>
      <c r="AZ353" s="257"/>
      <c r="BA353" s="257"/>
      <c r="BB353" s="257"/>
      <c r="BC353" s="257"/>
      <c r="BD353" s="258"/>
      <c r="BE353" s="260"/>
      <c r="BF353" s="258"/>
      <c r="BG353" s="260"/>
      <c r="BH353" s="257"/>
      <c r="BI353" s="14"/>
    </row>
    <row r="354" spans="1:61" ht="13.15" x14ac:dyDescent="0.4">
      <c r="A354" s="248"/>
      <c r="B354" s="256"/>
      <c r="C354" s="248"/>
      <c r="D354" s="248"/>
      <c r="E354" s="248"/>
      <c r="F354" s="250"/>
      <c r="G354" s="248"/>
      <c r="H354" s="32"/>
      <c r="I354" s="248"/>
      <c r="J354" s="248"/>
      <c r="K354" s="251"/>
      <c r="L354" s="238"/>
      <c r="M354" s="248"/>
      <c r="N354" s="248"/>
      <c r="O354" s="248"/>
      <c r="P354" s="250"/>
      <c r="Q354" s="252"/>
      <c r="R354" s="248"/>
      <c r="S354" s="248"/>
      <c r="T354" s="248"/>
      <c r="U354" s="248"/>
      <c r="V354" s="248"/>
      <c r="W354" s="248"/>
      <c r="X354" s="248"/>
      <c r="Y354" s="248"/>
      <c r="Z354" s="253"/>
      <c r="AA354" s="253"/>
      <c r="AB354" s="253"/>
      <c r="AC354" s="253"/>
      <c r="AD354" s="253"/>
      <c r="AE354" s="253"/>
      <c r="AF354" s="254"/>
      <c r="AG354" s="257"/>
      <c r="AH354" s="257"/>
      <c r="AI354" s="257"/>
      <c r="AJ354" s="258"/>
      <c r="AK354" s="259"/>
      <c r="AL354" s="257"/>
      <c r="AM354" s="257"/>
      <c r="AN354" s="257"/>
      <c r="AO354" s="257"/>
      <c r="AP354" s="257"/>
      <c r="AQ354" s="258"/>
      <c r="AR354" s="260"/>
      <c r="AS354" s="257"/>
      <c r="AT354" s="257"/>
      <c r="AU354" s="257"/>
      <c r="AV354" s="257"/>
      <c r="AW354" s="257"/>
      <c r="AX354" s="258"/>
      <c r="AY354" s="260"/>
      <c r="AZ354" s="257"/>
      <c r="BA354" s="257"/>
      <c r="BB354" s="257"/>
      <c r="BC354" s="257"/>
      <c r="BD354" s="258"/>
      <c r="BE354" s="260"/>
      <c r="BF354" s="258"/>
      <c r="BG354" s="260"/>
      <c r="BH354" s="257"/>
      <c r="BI354" s="14"/>
    </row>
    <row r="355" spans="1:61" ht="13.15" x14ac:dyDescent="0.4">
      <c r="A355" s="248"/>
      <c r="B355" s="256"/>
      <c r="C355" s="248"/>
      <c r="D355" s="248"/>
      <c r="E355" s="248"/>
      <c r="F355" s="250"/>
      <c r="G355" s="248"/>
      <c r="H355" s="32"/>
      <c r="I355" s="248"/>
      <c r="J355" s="248"/>
      <c r="K355" s="251"/>
      <c r="L355" s="238"/>
      <c r="M355" s="248"/>
      <c r="N355" s="248"/>
      <c r="O355" s="248"/>
      <c r="P355" s="250"/>
      <c r="Q355" s="252"/>
      <c r="R355" s="248"/>
      <c r="S355" s="248"/>
      <c r="T355" s="248"/>
      <c r="U355" s="248"/>
      <c r="V355" s="248"/>
      <c r="W355" s="248"/>
      <c r="X355" s="248"/>
      <c r="Y355" s="248"/>
      <c r="Z355" s="253"/>
      <c r="AA355" s="253"/>
      <c r="AB355" s="253"/>
      <c r="AC355" s="253"/>
      <c r="AD355" s="253"/>
      <c r="AE355" s="253"/>
      <c r="AF355" s="254"/>
      <c r="AG355" s="257"/>
      <c r="AH355" s="257"/>
      <c r="AI355" s="257"/>
      <c r="AJ355" s="258"/>
      <c r="AK355" s="259"/>
      <c r="AL355" s="257"/>
      <c r="AM355" s="257"/>
      <c r="AN355" s="257"/>
      <c r="AO355" s="257"/>
      <c r="AP355" s="257"/>
      <c r="AQ355" s="258"/>
      <c r="AR355" s="260"/>
      <c r="AS355" s="257"/>
      <c r="AT355" s="257"/>
      <c r="AU355" s="257"/>
      <c r="AV355" s="257"/>
      <c r="AW355" s="257"/>
      <c r="AX355" s="258"/>
      <c r="AY355" s="260"/>
      <c r="AZ355" s="257"/>
      <c r="BA355" s="257"/>
      <c r="BB355" s="257"/>
      <c r="BC355" s="257"/>
      <c r="BD355" s="258"/>
      <c r="BE355" s="260"/>
      <c r="BF355" s="258"/>
      <c r="BG355" s="260"/>
      <c r="BH355" s="257"/>
      <c r="BI355" s="14"/>
    </row>
    <row r="356" spans="1:61" ht="13.15" x14ac:dyDescent="0.4">
      <c r="A356" s="248"/>
      <c r="B356" s="256"/>
      <c r="C356" s="248"/>
      <c r="D356" s="248"/>
      <c r="E356" s="248"/>
      <c r="F356" s="250"/>
      <c r="G356" s="248"/>
      <c r="H356" s="32"/>
      <c r="I356" s="248"/>
      <c r="J356" s="248"/>
      <c r="K356" s="251"/>
      <c r="L356" s="238"/>
      <c r="M356" s="248"/>
      <c r="N356" s="248"/>
      <c r="O356" s="248"/>
      <c r="P356" s="250"/>
      <c r="Q356" s="252"/>
      <c r="R356" s="248"/>
      <c r="S356" s="248"/>
      <c r="T356" s="248"/>
      <c r="U356" s="248"/>
      <c r="V356" s="248"/>
      <c r="W356" s="248"/>
      <c r="X356" s="248"/>
      <c r="Y356" s="248"/>
      <c r="Z356" s="253"/>
      <c r="AA356" s="253"/>
      <c r="AB356" s="253"/>
      <c r="AC356" s="253"/>
      <c r="AD356" s="253"/>
      <c r="AE356" s="253"/>
      <c r="AF356" s="254"/>
      <c r="AG356" s="257"/>
      <c r="AH356" s="257"/>
      <c r="AI356" s="257"/>
      <c r="AJ356" s="258"/>
      <c r="AK356" s="259"/>
      <c r="AL356" s="257"/>
      <c r="AM356" s="257"/>
      <c r="AN356" s="257"/>
      <c r="AO356" s="257"/>
      <c r="AP356" s="257"/>
      <c r="AQ356" s="258"/>
      <c r="AR356" s="260"/>
      <c r="AS356" s="257"/>
      <c r="AT356" s="257"/>
      <c r="AU356" s="257"/>
      <c r="AV356" s="257"/>
      <c r="AW356" s="257"/>
      <c r="AX356" s="258"/>
      <c r="AY356" s="260"/>
      <c r="AZ356" s="257"/>
      <c r="BA356" s="257"/>
      <c r="BB356" s="257"/>
      <c r="BC356" s="257"/>
      <c r="BD356" s="258"/>
      <c r="BE356" s="260"/>
      <c r="BF356" s="258"/>
      <c r="BG356" s="260"/>
      <c r="BH356" s="257"/>
      <c r="BI356" s="14"/>
    </row>
    <row r="357" spans="1:61" ht="13.15" x14ac:dyDescent="0.4">
      <c r="A357" s="248"/>
      <c r="B357" s="256"/>
      <c r="C357" s="248"/>
      <c r="D357" s="248"/>
      <c r="E357" s="248"/>
      <c r="F357" s="250"/>
      <c r="G357" s="248"/>
      <c r="H357" s="32"/>
      <c r="I357" s="248"/>
      <c r="J357" s="248"/>
      <c r="K357" s="251"/>
      <c r="L357" s="238"/>
      <c r="M357" s="248"/>
      <c r="N357" s="248"/>
      <c r="O357" s="248"/>
      <c r="P357" s="250"/>
      <c r="Q357" s="252"/>
      <c r="R357" s="248"/>
      <c r="S357" s="248"/>
      <c r="T357" s="248"/>
      <c r="U357" s="248"/>
      <c r="V357" s="248"/>
      <c r="W357" s="248"/>
      <c r="X357" s="248"/>
      <c r="Y357" s="248"/>
      <c r="Z357" s="253"/>
      <c r="AA357" s="253"/>
      <c r="AB357" s="253"/>
      <c r="AC357" s="253"/>
      <c r="AD357" s="253"/>
      <c r="AE357" s="253"/>
      <c r="AF357" s="254"/>
      <c r="AG357" s="257"/>
      <c r="AH357" s="257"/>
      <c r="AI357" s="257"/>
      <c r="AJ357" s="258"/>
      <c r="AK357" s="259"/>
      <c r="AL357" s="257"/>
      <c r="AM357" s="257"/>
      <c r="AN357" s="257"/>
      <c r="AO357" s="257"/>
      <c r="AP357" s="257"/>
      <c r="AQ357" s="258"/>
      <c r="AR357" s="260"/>
      <c r="AS357" s="257"/>
      <c r="AT357" s="257"/>
      <c r="AU357" s="257"/>
      <c r="AV357" s="257"/>
      <c r="AW357" s="257"/>
      <c r="AX357" s="258"/>
      <c r="AY357" s="260"/>
      <c r="AZ357" s="257"/>
      <c r="BA357" s="257"/>
      <c r="BB357" s="257"/>
      <c r="BC357" s="257"/>
      <c r="BD357" s="258"/>
      <c r="BE357" s="260"/>
      <c r="BF357" s="258"/>
      <c r="BG357" s="260"/>
      <c r="BH357" s="257"/>
      <c r="BI357" s="14"/>
    </row>
    <row r="358" spans="1:61" ht="13.15" x14ac:dyDescent="0.4">
      <c r="A358" s="248"/>
      <c r="B358" s="256"/>
      <c r="C358" s="248"/>
      <c r="D358" s="248"/>
      <c r="E358" s="248"/>
      <c r="F358" s="250"/>
      <c r="G358" s="248"/>
      <c r="H358" s="32"/>
      <c r="I358" s="248"/>
      <c r="J358" s="248"/>
      <c r="K358" s="251"/>
      <c r="L358" s="238"/>
      <c r="M358" s="248"/>
      <c r="N358" s="248"/>
      <c r="O358" s="248"/>
      <c r="P358" s="250"/>
      <c r="Q358" s="252"/>
      <c r="R358" s="248"/>
      <c r="S358" s="248"/>
      <c r="T358" s="248"/>
      <c r="U358" s="248"/>
      <c r="V358" s="248"/>
      <c r="W358" s="248"/>
      <c r="X358" s="248"/>
      <c r="Y358" s="248"/>
      <c r="Z358" s="253"/>
      <c r="AA358" s="253"/>
      <c r="AB358" s="253"/>
      <c r="AC358" s="253"/>
      <c r="AD358" s="253"/>
      <c r="AE358" s="253"/>
      <c r="AF358" s="254"/>
      <c r="AG358" s="257"/>
      <c r="AH358" s="257"/>
      <c r="AI358" s="257"/>
      <c r="AJ358" s="258"/>
      <c r="AK358" s="259"/>
      <c r="AL358" s="257"/>
      <c r="AM358" s="257"/>
      <c r="AN358" s="257"/>
      <c r="AO358" s="257"/>
      <c r="AP358" s="257"/>
      <c r="AQ358" s="258"/>
      <c r="AR358" s="260"/>
      <c r="AS358" s="257"/>
      <c r="AT358" s="257"/>
      <c r="AU358" s="257"/>
      <c r="AV358" s="257"/>
      <c r="AW358" s="257"/>
      <c r="AX358" s="258"/>
      <c r="AY358" s="260"/>
      <c r="AZ358" s="257"/>
      <c r="BA358" s="257"/>
      <c r="BB358" s="257"/>
      <c r="BC358" s="257"/>
      <c r="BD358" s="258"/>
      <c r="BE358" s="260"/>
      <c r="BF358" s="258"/>
      <c r="BG358" s="260"/>
      <c r="BH358" s="257"/>
      <c r="BI358" s="14"/>
    </row>
    <row r="359" spans="1:61" ht="13.15" x14ac:dyDescent="0.4">
      <c r="A359" s="248"/>
      <c r="B359" s="256"/>
      <c r="C359" s="248"/>
      <c r="D359" s="248"/>
      <c r="E359" s="248"/>
      <c r="F359" s="250"/>
      <c r="G359" s="248"/>
      <c r="H359" s="32"/>
      <c r="I359" s="248"/>
      <c r="J359" s="248"/>
      <c r="K359" s="251"/>
      <c r="L359" s="238"/>
      <c r="M359" s="248"/>
      <c r="N359" s="248"/>
      <c r="O359" s="248"/>
      <c r="P359" s="250"/>
      <c r="Q359" s="252"/>
      <c r="R359" s="248"/>
      <c r="S359" s="248"/>
      <c r="T359" s="248"/>
      <c r="U359" s="248"/>
      <c r="V359" s="248"/>
      <c r="W359" s="248"/>
      <c r="X359" s="248"/>
      <c r="Y359" s="248"/>
      <c r="Z359" s="253"/>
      <c r="AA359" s="253"/>
      <c r="AB359" s="253"/>
      <c r="AC359" s="253"/>
      <c r="AD359" s="253"/>
      <c r="AE359" s="253"/>
      <c r="AF359" s="254"/>
      <c r="AG359" s="257"/>
      <c r="AH359" s="257"/>
      <c r="AI359" s="257"/>
      <c r="AJ359" s="258"/>
      <c r="AK359" s="259"/>
      <c r="AL359" s="257"/>
      <c r="AM359" s="257"/>
      <c r="AN359" s="257"/>
      <c r="AO359" s="257"/>
      <c r="AP359" s="257"/>
      <c r="AQ359" s="258"/>
      <c r="AR359" s="260"/>
      <c r="AS359" s="257"/>
      <c r="AT359" s="257"/>
      <c r="AU359" s="257"/>
      <c r="AV359" s="257"/>
      <c r="AW359" s="257"/>
      <c r="AX359" s="258"/>
      <c r="AY359" s="260"/>
      <c r="AZ359" s="257"/>
      <c r="BA359" s="257"/>
      <c r="BB359" s="257"/>
      <c r="BC359" s="257"/>
      <c r="BD359" s="258"/>
      <c r="BE359" s="260"/>
      <c r="BF359" s="258"/>
      <c r="BG359" s="260"/>
      <c r="BH359" s="257"/>
      <c r="BI359" s="14"/>
    </row>
    <row r="360" spans="1:61" ht="13.15" x14ac:dyDescent="0.4">
      <c r="A360" s="248"/>
      <c r="B360" s="256"/>
      <c r="C360" s="248"/>
      <c r="D360" s="248"/>
      <c r="E360" s="248"/>
      <c r="F360" s="250"/>
      <c r="G360" s="248"/>
      <c r="H360" s="32"/>
      <c r="I360" s="248"/>
      <c r="J360" s="248"/>
      <c r="K360" s="251"/>
      <c r="L360" s="238"/>
      <c r="M360" s="248"/>
      <c r="N360" s="248"/>
      <c r="O360" s="248"/>
      <c r="P360" s="250"/>
      <c r="Q360" s="252"/>
      <c r="R360" s="248"/>
      <c r="S360" s="248"/>
      <c r="T360" s="248"/>
      <c r="U360" s="248"/>
      <c r="V360" s="248"/>
      <c r="W360" s="248"/>
      <c r="X360" s="248"/>
      <c r="Y360" s="248"/>
      <c r="Z360" s="253"/>
      <c r="AA360" s="253"/>
      <c r="AB360" s="253"/>
      <c r="AC360" s="253"/>
      <c r="AD360" s="253"/>
      <c r="AE360" s="253"/>
      <c r="AF360" s="254"/>
      <c r="AG360" s="257"/>
      <c r="AH360" s="257"/>
      <c r="AI360" s="257"/>
      <c r="AJ360" s="258"/>
      <c r="AK360" s="259"/>
      <c r="AL360" s="257"/>
      <c r="AM360" s="257"/>
      <c r="AN360" s="257"/>
      <c r="AO360" s="257"/>
      <c r="AP360" s="257"/>
      <c r="AQ360" s="258"/>
      <c r="AR360" s="260"/>
      <c r="AS360" s="257"/>
      <c r="AT360" s="257"/>
      <c r="AU360" s="257"/>
      <c r="AV360" s="257"/>
      <c r="AW360" s="257"/>
      <c r="AX360" s="258"/>
      <c r="AY360" s="260"/>
      <c r="AZ360" s="257"/>
      <c r="BA360" s="257"/>
      <c r="BB360" s="257"/>
      <c r="BC360" s="257"/>
      <c r="BD360" s="258"/>
      <c r="BE360" s="260"/>
      <c r="BF360" s="258"/>
      <c r="BG360" s="260"/>
      <c r="BH360" s="257"/>
      <c r="BI360" s="14"/>
    </row>
    <row r="361" spans="1:61" ht="13.15" x14ac:dyDescent="0.4">
      <c r="A361" s="248"/>
      <c r="B361" s="256"/>
      <c r="C361" s="248"/>
      <c r="D361" s="248"/>
      <c r="E361" s="248"/>
      <c r="F361" s="250"/>
      <c r="G361" s="248"/>
      <c r="H361" s="32"/>
      <c r="I361" s="248"/>
      <c r="J361" s="248"/>
      <c r="K361" s="251"/>
      <c r="L361" s="238"/>
      <c r="M361" s="248"/>
      <c r="N361" s="248"/>
      <c r="O361" s="248"/>
      <c r="P361" s="250"/>
      <c r="Q361" s="252"/>
      <c r="R361" s="248"/>
      <c r="S361" s="248"/>
      <c r="T361" s="248"/>
      <c r="U361" s="248"/>
      <c r="V361" s="248"/>
      <c r="W361" s="248"/>
      <c r="X361" s="248"/>
      <c r="Y361" s="248"/>
      <c r="Z361" s="253"/>
      <c r="AA361" s="253"/>
      <c r="AB361" s="253"/>
      <c r="AC361" s="253"/>
      <c r="AD361" s="253"/>
      <c r="AE361" s="253"/>
      <c r="AF361" s="254"/>
      <c r="AG361" s="257"/>
      <c r="AH361" s="257"/>
      <c r="AI361" s="257"/>
      <c r="AJ361" s="258"/>
      <c r="AK361" s="259"/>
      <c r="AL361" s="257"/>
      <c r="AM361" s="257"/>
      <c r="AN361" s="257"/>
      <c r="AO361" s="257"/>
      <c r="AP361" s="257"/>
      <c r="AQ361" s="258"/>
      <c r="AR361" s="260"/>
      <c r="AS361" s="257"/>
      <c r="AT361" s="257"/>
      <c r="AU361" s="257"/>
      <c r="AV361" s="257"/>
      <c r="AW361" s="257"/>
      <c r="AX361" s="258"/>
      <c r="AY361" s="260"/>
      <c r="AZ361" s="257"/>
      <c r="BA361" s="257"/>
      <c r="BB361" s="257"/>
      <c r="BC361" s="257"/>
      <c r="BD361" s="258"/>
      <c r="BE361" s="260"/>
      <c r="BF361" s="258"/>
      <c r="BG361" s="260"/>
      <c r="BH361" s="257"/>
      <c r="BI361" s="14"/>
    </row>
    <row r="362" spans="1:61" ht="13.15" x14ac:dyDescent="0.4">
      <c r="A362" s="248"/>
      <c r="B362" s="256"/>
      <c r="C362" s="248"/>
      <c r="D362" s="248"/>
      <c r="E362" s="248"/>
      <c r="F362" s="250"/>
      <c r="G362" s="248"/>
      <c r="H362" s="32"/>
      <c r="I362" s="248"/>
      <c r="J362" s="248"/>
      <c r="K362" s="251"/>
      <c r="L362" s="238"/>
      <c r="M362" s="248"/>
      <c r="N362" s="248"/>
      <c r="O362" s="248"/>
      <c r="P362" s="250"/>
      <c r="Q362" s="252"/>
      <c r="R362" s="248"/>
      <c r="S362" s="248"/>
      <c r="T362" s="248"/>
      <c r="U362" s="248"/>
      <c r="V362" s="248"/>
      <c r="W362" s="248"/>
      <c r="X362" s="248"/>
      <c r="Y362" s="248"/>
      <c r="Z362" s="253"/>
      <c r="AA362" s="253"/>
      <c r="AB362" s="253"/>
      <c r="AC362" s="253"/>
      <c r="AD362" s="253"/>
      <c r="AE362" s="253"/>
      <c r="AF362" s="254"/>
      <c r="AG362" s="257"/>
      <c r="AH362" s="257"/>
      <c r="AI362" s="257"/>
      <c r="AJ362" s="258"/>
      <c r="AK362" s="259"/>
      <c r="AL362" s="257"/>
      <c r="AM362" s="257"/>
      <c r="AN362" s="257"/>
      <c r="AO362" s="257"/>
      <c r="AP362" s="257"/>
      <c r="AQ362" s="258"/>
      <c r="AR362" s="260"/>
      <c r="AS362" s="257"/>
      <c r="AT362" s="257"/>
      <c r="AU362" s="257"/>
      <c r="AV362" s="257"/>
      <c r="AW362" s="257"/>
      <c r="AX362" s="258"/>
      <c r="AY362" s="260"/>
      <c r="AZ362" s="257"/>
      <c r="BA362" s="257"/>
      <c r="BB362" s="257"/>
      <c r="BC362" s="257"/>
      <c r="BD362" s="258"/>
      <c r="BE362" s="260"/>
      <c r="BF362" s="258"/>
      <c r="BG362" s="260"/>
      <c r="BH362" s="257"/>
      <c r="BI362" s="14"/>
    </row>
    <row r="363" spans="1:61" ht="13.15" x14ac:dyDescent="0.4">
      <c r="A363" s="248"/>
      <c r="B363" s="256"/>
      <c r="C363" s="248"/>
      <c r="D363" s="248"/>
      <c r="E363" s="248"/>
      <c r="F363" s="250"/>
      <c r="G363" s="248"/>
      <c r="H363" s="32"/>
      <c r="I363" s="248"/>
      <c r="J363" s="248"/>
      <c r="K363" s="251"/>
      <c r="L363" s="238"/>
      <c r="M363" s="248"/>
      <c r="N363" s="248"/>
      <c r="O363" s="248"/>
      <c r="P363" s="250"/>
      <c r="Q363" s="252"/>
      <c r="R363" s="248"/>
      <c r="S363" s="248"/>
      <c r="T363" s="248"/>
      <c r="U363" s="248"/>
      <c r="V363" s="248"/>
      <c r="W363" s="248"/>
      <c r="X363" s="248"/>
      <c r="Y363" s="248"/>
      <c r="Z363" s="253"/>
      <c r="AA363" s="253"/>
      <c r="AB363" s="253"/>
      <c r="AC363" s="253"/>
      <c r="AD363" s="253"/>
      <c r="AE363" s="253"/>
      <c r="AF363" s="254"/>
      <c r="AG363" s="257"/>
      <c r="AH363" s="257"/>
      <c r="AI363" s="257"/>
      <c r="AJ363" s="258"/>
      <c r="AK363" s="259"/>
      <c r="AL363" s="257"/>
      <c r="AM363" s="257"/>
      <c r="AN363" s="257"/>
      <c r="AO363" s="257"/>
      <c r="AP363" s="257"/>
      <c r="AQ363" s="258"/>
      <c r="AR363" s="260"/>
      <c r="AS363" s="257"/>
      <c r="AT363" s="257"/>
      <c r="AU363" s="257"/>
      <c r="AV363" s="257"/>
      <c r="AW363" s="257"/>
      <c r="AX363" s="258"/>
      <c r="AY363" s="260"/>
      <c r="AZ363" s="257"/>
      <c r="BA363" s="257"/>
      <c r="BB363" s="257"/>
      <c r="BC363" s="257"/>
      <c r="BD363" s="258"/>
      <c r="BE363" s="260"/>
      <c r="BF363" s="258"/>
      <c r="BG363" s="260"/>
      <c r="BH363" s="257"/>
      <c r="BI363" s="14"/>
    </row>
    <row r="364" spans="1:61" ht="13.15" x14ac:dyDescent="0.4">
      <c r="A364" s="248"/>
      <c r="B364" s="256"/>
      <c r="C364" s="248"/>
      <c r="D364" s="248"/>
      <c r="E364" s="248"/>
      <c r="F364" s="250"/>
      <c r="G364" s="248"/>
      <c r="H364" s="32"/>
      <c r="I364" s="248"/>
      <c r="J364" s="248"/>
      <c r="K364" s="251"/>
      <c r="L364" s="238"/>
      <c r="M364" s="248"/>
      <c r="N364" s="248"/>
      <c r="O364" s="248"/>
      <c r="P364" s="250"/>
      <c r="Q364" s="252"/>
      <c r="R364" s="248"/>
      <c r="S364" s="248"/>
      <c r="T364" s="248"/>
      <c r="U364" s="248"/>
      <c r="V364" s="248"/>
      <c r="W364" s="248"/>
      <c r="X364" s="248"/>
      <c r="Y364" s="248"/>
      <c r="Z364" s="253"/>
      <c r="AA364" s="253"/>
      <c r="AB364" s="253"/>
      <c r="AC364" s="253"/>
      <c r="AD364" s="253"/>
      <c r="AE364" s="253"/>
      <c r="AF364" s="254"/>
      <c r="AG364" s="257"/>
      <c r="AH364" s="257"/>
      <c r="AI364" s="257"/>
      <c r="AJ364" s="258"/>
      <c r="AK364" s="259"/>
      <c r="AL364" s="257"/>
      <c r="AM364" s="257"/>
      <c r="AN364" s="257"/>
      <c r="AO364" s="257"/>
      <c r="AP364" s="257"/>
      <c r="AQ364" s="258"/>
      <c r="AR364" s="260"/>
      <c r="AS364" s="257"/>
      <c r="AT364" s="257"/>
      <c r="AU364" s="257"/>
      <c r="AV364" s="257"/>
      <c r="AW364" s="257"/>
      <c r="AX364" s="258"/>
      <c r="AY364" s="260"/>
      <c r="AZ364" s="257"/>
      <c r="BA364" s="257"/>
      <c r="BB364" s="257"/>
      <c r="BC364" s="257"/>
      <c r="BD364" s="258"/>
      <c r="BE364" s="260"/>
      <c r="BF364" s="258"/>
      <c r="BG364" s="260"/>
      <c r="BH364" s="257"/>
      <c r="BI364" s="14"/>
    </row>
    <row r="365" spans="1:61" ht="13.15" x14ac:dyDescent="0.4">
      <c r="A365" s="248"/>
      <c r="B365" s="256"/>
      <c r="C365" s="248"/>
      <c r="D365" s="248"/>
      <c r="E365" s="248"/>
      <c r="F365" s="250"/>
      <c r="G365" s="248"/>
      <c r="H365" s="32"/>
      <c r="I365" s="248"/>
      <c r="J365" s="248"/>
      <c r="K365" s="251"/>
      <c r="L365" s="238"/>
      <c r="M365" s="248"/>
      <c r="N365" s="248"/>
      <c r="O365" s="248"/>
      <c r="P365" s="250"/>
      <c r="Q365" s="252"/>
      <c r="R365" s="248"/>
      <c r="S365" s="248"/>
      <c r="T365" s="248"/>
      <c r="U365" s="248"/>
      <c r="V365" s="248"/>
      <c r="W365" s="248"/>
      <c r="X365" s="248"/>
      <c r="Y365" s="248"/>
      <c r="Z365" s="253"/>
      <c r="AA365" s="253"/>
      <c r="AB365" s="253"/>
      <c r="AC365" s="253"/>
      <c r="AD365" s="253"/>
      <c r="AE365" s="253"/>
      <c r="AF365" s="254"/>
      <c r="AG365" s="257"/>
      <c r="AH365" s="257"/>
      <c r="AI365" s="257"/>
      <c r="AJ365" s="258"/>
      <c r="AK365" s="259"/>
      <c r="AL365" s="257"/>
      <c r="AM365" s="257"/>
      <c r="AN365" s="257"/>
      <c r="AO365" s="257"/>
      <c r="AP365" s="257"/>
      <c r="AQ365" s="258"/>
      <c r="AR365" s="260"/>
      <c r="AS365" s="257"/>
      <c r="AT365" s="257"/>
      <c r="AU365" s="257"/>
      <c r="AV365" s="257"/>
      <c r="AW365" s="257"/>
      <c r="AX365" s="258"/>
      <c r="AY365" s="260"/>
      <c r="AZ365" s="257"/>
      <c r="BA365" s="257"/>
      <c r="BB365" s="257"/>
      <c r="BC365" s="257"/>
      <c r="BD365" s="258"/>
      <c r="BE365" s="260"/>
      <c r="BF365" s="258"/>
      <c r="BG365" s="260"/>
      <c r="BH365" s="257"/>
      <c r="BI365" s="14"/>
    </row>
    <row r="366" spans="1:61" ht="13.15" x14ac:dyDescent="0.4">
      <c r="A366" s="248"/>
      <c r="B366" s="256"/>
      <c r="C366" s="248"/>
      <c r="D366" s="248"/>
      <c r="E366" s="248"/>
      <c r="F366" s="250"/>
      <c r="G366" s="248"/>
      <c r="H366" s="32"/>
      <c r="I366" s="248"/>
      <c r="J366" s="248"/>
      <c r="K366" s="251"/>
      <c r="L366" s="238"/>
      <c r="M366" s="248"/>
      <c r="N366" s="248"/>
      <c r="O366" s="248"/>
      <c r="P366" s="250"/>
      <c r="Q366" s="252"/>
      <c r="R366" s="248"/>
      <c r="S366" s="248"/>
      <c r="T366" s="248"/>
      <c r="U366" s="248"/>
      <c r="V366" s="248"/>
      <c r="W366" s="248"/>
      <c r="X366" s="248"/>
      <c r="Y366" s="248"/>
      <c r="Z366" s="253"/>
      <c r="AA366" s="253"/>
      <c r="AB366" s="253"/>
      <c r="AC366" s="253"/>
      <c r="AD366" s="253"/>
      <c r="AE366" s="253"/>
      <c r="AF366" s="254"/>
      <c r="AG366" s="257"/>
      <c r="AH366" s="257"/>
      <c r="AI366" s="257"/>
      <c r="AJ366" s="258"/>
      <c r="AK366" s="259"/>
      <c r="AL366" s="257"/>
      <c r="AM366" s="257"/>
      <c r="AN366" s="257"/>
      <c r="AO366" s="257"/>
      <c r="AP366" s="257"/>
      <c r="AQ366" s="258"/>
      <c r="AR366" s="260"/>
      <c r="AS366" s="257"/>
      <c r="AT366" s="257"/>
      <c r="AU366" s="257"/>
      <c r="AV366" s="257"/>
      <c r="AW366" s="257"/>
      <c r="AX366" s="258"/>
      <c r="AY366" s="260"/>
      <c r="AZ366" s="257"/>
      <c r="BA366" s="257"/>
      <c r="BB366" s="257"/>
      <c r="BC366" s="257"/>
      <c r="BD366" s="258"/>
      <c r="BE366" s="260"/>
      <c r="BF366" s="258"/>
      <c r="BG366" s="260"/>
      <c r="BH366" s="257"/>
      <c r="BI366" s="14"/>
    </row>
    <row r="367" spans="1:61" ht="13.15" x14ac:dyDescent="0.4">
      <c r="A367" s="248"/>
      <c r="B367" s="256"/>
      <c r="C367" s="248"/>
      <c r="D367" s="248"/>
      <c r="E367" s="248"/>
      <c r="F367" s="250"/>
      <c r="G367" s="248"/>
      <c r="H367" s="32"/>
      <c r="I367" s="248"/>
      <c r="J367" s="248"/>
      <c r="K367" s="251"/>
      <c r="L367" s="238"/>
      <c r="M367" s="248"/>
      <c r="N367" s="248"/>
      <c r="O367" s="248"/>
      <c r="P367" s="250"/>
      <c r="Q367" s="252"/>
      <c r="R367" s="248"/>
      <c r="S367" s="248"/>
      <c r="T367" s="248"/>
      <c r="U367" s="248"/>
      <c r="V367" s="248"/>
      <c r="W367" s="248"/>
      <c r="X367" s="248"/>
      <c r="Y367" s="248"/>
      <c r="Z367" s="253"/>
      <c r="AA367" s="253"/>
      <c r="AB367" s="253"/>
      <c r="AC367" s="253"/>
      <c r="AD367" s="253"/>
      <c r="AE367" s="253"/>
      <c r="AF367" s="254"/>
      <c r="AG367" s="257"/>
      <c r="AH367" s="257"/>
      <c r="AI367" s="257"/>
      <c r="AJ367" s="258"/>
      <c r="AK367" s="259"/>
      <c r="AL367" s="257"/>
      <c r="AM367" s="257"/>
      <c r="AN367" s="257"/>
      <c r="AO367" s="257"/>
      <c r="AP367" s="257"/>
      <c r="AQ367" s="258"/>
      <c r="AR367" s="260"/>
      <c r="AS367" s="257"/>
      <c r="AT367" s="257"/>
      <c r="AU367" s="257"/>
      <c r="AV367" s="257"/>
      <c r="AW367" s="257"/>
      <c r="AX367" s="258"/>
      <c r="AY367" s="260"/>
      <c r="AZ367" s="257"/>
      <c r="BA367" s="257"/>
      <c r="BB367" s="257"/>
      <c r="BC367" s="257"/>
      <c r="BD367" s="258"/>
      <c r="BE367" s="260"/>
      <c r="BF367" s="258"/>
      <c r="BG367" s="260"/>
      <c r="BH367" s="257"/>
      <c r="BI367" s="14"/>
    </row>
    <row r="368" spans="1:61" ht="13.15" x14ac:dyDescent="0.4">
      <c r="A368" s="248"/>
      <c r="B368" s="256"/>
      <c r="C368" s="248"/>
      <c r="D368" s="248"/>
      <c r="E368" s="248"/>
      <c r="F368" s="250"/>
      <c r="G368" s="248"/>
      <c r="H368" s="32"/>
      <c r="I368" s="248"/>
      <c r="J368" s="248"/>
      <c r="K368" s="251"/>
      <c r="L368" s="238"/>
      <c r="M368" s="248"/>
      <c r="N368" s="248"/>
      <c r="O368" s="248"/>
      <c r="P368" s="250"/>
      <c r="Q368" s="252"/>
      <c r="R368" s="248"/>
      <c r="S368" s="248"/>
      <c r="T368" s="248"/>
      <c r="U368" s="248"/>
      <c r="V368" s="248"/>
      <c r="W368" s="248"/>
      <c r="X368" s="248"/>
      <c r="Y368" s="248"/>
      <c r="Z368" s="253"/>
      <c r="AA368" s="253"/>
      <c r="AB368" s="253"/>
      <c r="AC368" s="253"/>
      <c r="AD368" s="253"/>
      <c r="AE368" s="253"/>
      <c r="AF368" s="254"/>
      <c r="AG368" s="257"/>
      <c r="AH368" s="257"/>
      <c r="AI368" s="257"/>
      <c r="AJ368" s="258"/>
      <c r="AK368" s="259"/>
      <c r="AL368" s="257"/>
      <c r="AM368" s="257"/>
      <c r="AN368" s="257"/>
      <c r="AO368" s="257"/>
      <c r="AP368" s="257"/>
      <c r="AQ368" s="258"/>
      <c r="AR368" s="260"/>
      <c r="AS368" s="257"/>
      <c r="AT368" s="257"/>
      <c r="AU368" s="257"/>
      <c r="AV368" s="257"/>
      <c r="AW368" s="257"/>
      <c r="AX368" s="258"/>
      <c r="AY368" s="260"/>
      <c r="AZ368" s="257"/>
      <c r="BA368" s="257"/>
      <c r="BB368" s="257"/>
      <c r="BC368" s="257"/>
      <c r="BD368" s="258"/>
      <c r="BE368" s="260"/>
      <c r="BF368" s="258"/>
      <c r="BG368" s="260"/>
      <c r="BH368" s="257"/>
      <c r="BI368" s="14"/>
    </row>
    <row r="369" spans="1:61" ht="13.15" x14ac:dyDescent="0.4">
      <c r="A369" s="248"/>
      <c r="B369" s="256"/>
      <c r="C369" s="248"/>
      <c r="D369" s="248"/>
      <c r="E369" s="248"/>
      <c r="F369" s="250"/>
      <c r="G369" s="248"/>
      <c r="H369" s="32"/>
      <c r="I369" s="248"/>
      <c r="J369" s="248"/>
      <c r="K369" s="251"/>
      <c r="L369" s="238"/>
      <c r="M369" s="248"/>
      <c r="N369" s="248"/>
      <c r="O369" s="248"/>
      <c r="P369" s="250"/>
      <c r="Q369" s="252"/>
      <c r="R369" s="248"/>
      <c r="S369" s="248"/>
      <c r="T369" s="248"/>
      <c r="U369" s="248"/>
      <c r="V369" s="248"/>
      <c r="W369" s="248"/>
      <c r="X369" s="248"/>
      <c r="Y369" s="248"/>
      <c r="Z369" s="253"/>
      <c r="AA369" s="253"/>
      <c r="AB369" s="253"/>
      <c r="AC369" s="253"/>
      <c r="AD369" s="253"/>
      <c r="AE369" s="253"/>
      <c r="AF369" s="254"/>
      <c r="AG369" s="257"/>
      <c r="AH369" s="257"/>
      <c r="AI369" s="257"/>
      <c r="AJ369" s="258"/>
      <c r="AK369" s="259"/>
      <c r="AL369" s="257"/>
      <c r="AM369" s="257"/>
      <c r="AN369" s="257"/>
      <c r="AO369" s="257"/>
      <c r="AP369" s="257"/>
      <c r="AQ369" s="258"/>
      <c r="AR369" s="260"/>
      <c r="AS369" s="257"/>
      <c r="AT369" s="257"/>
      <c r="AU369" s="257"/>
      <c r="AV369" s="257"/>
      <c r="AW369" s="257"/>
      <c r="AX369" s="258"/>
      <c r="AY369" s="260"/>
      <c r="AZ369" s="257"/>
      <c r="BA369" s="257"/>
      <c r="BB369" s="257"/>
      <c r="BC369" s="257"/>
      <c r="BD369" s="258"/>
      <c r="BE369" s="260"/>
      <c r="BF369" s="258"/>
      <c r="BG369" s="260"/>
      <c r="BH369" s="257"/>
      <c r="BI369" s="14"/>
    </row>
    <row r="370" spans="1:61" ht="13.15" x14ac:dyDescent="0.4">
      <c r="A370" s="248"/>
      <c r="B370" s="256"/>
      <c r="C370" s="248"/>
      <c r="D370" s="248"/>
      <c r="E370" s="248"/>
      <c r="F370" s="250"/>
      <c r="G370" s="248"/>
      <c r="H370" s="32"/>
      <c r="I370" s="248"/>
      <c r="J370" s="248"/>
      <c r="K370" s="251"/>
      <c r="L370" s="238"/>
      <c r="M370" s="248"/>
      <c r="N370" s="248"/>
      <c r="O370" s="248"/>
      <c r="P370" s="250"/>
      <c r="Q370" s="252"/>
      <c r="R370" s="248"/>
      <c r="S370" s="248"/>
      <c r="T370" s="248"/>
      <c r="U370" s="248"/>
      <c r="V370" s="248"/>
      <c r="W370" s="248"/>
      <c r="X370" s="248"/>
      <c r="Y370" s="248"/>
      <c r="Z370" s="253"/>
      <c r="AA370" s="253"/>
      <c r="AB370" s="253"/>
      <c r="AC370" s="253"/>
      <c r="AD370" s="253"/>
      <c r="AE370" s="253"/>
      <c r="AF370" s="254"/>
      <c r="AG370" s="257"/>
      <c r="AH370" s="257"/>
      <c r="AI370" s="257"/>
      <c r="AJ370" s="258"/>
      <c r="AK370" s="259"/>
      <c r="AL370" s="257"/>
      <c r="AM370" s="257"/>
      <c r="AN370" s="257"/>
      <c r="AO370" s="257"/>
      <c r="AP370" s="257"/>
      <c r="AQ370" s="258"/>
      <c r="AR370" s="260"/>
      <c r="AS370" s="257"/>
      <c r="AT370" s="257"/>
      <c r="AU370" s="257"/>
      <c r="AV370" s="257"/>
      <c r="AW370" s="257"/>
      <c r="AX370" s="258"/>
      <c r="AY370" s="260"/>
      <c r="AZ370" s="257"/>
      <c r="BA370" s="257"/>
      <c r="BB370" s="257"/>
      <c r="BC370" s="257"/>
      <c r="BD370" s="258"/>
      <c r="BE370" s="260"/>
      <c r="BF370" s="258"/>
      <c r="BG370" s="260"/>
      <c r="BH370" s="257"/>
      <c r="BI370" s="14"/>
    </row>
    <row r="371" spans="1:61" ht="13.15" x14ac:dyDescent="0.4">
      <c r="A371" s="248"/>
      <c r="B371" s="256"/>
      <c r="C371" s="248"/>
      <c r="D371" s="248"/>
      <c r="E371" s="248"/>
      <c r="F371" s="250"/>
      <c r="G371" s="248"/>
      <c r="H371" s="32"/>
      <c r="I371" s="248"/>
      <c r="J371" s="248"/>
      <c r="K371" s="251"/>
      <c r="L371" s="238"/>
      <c r="M371" s="248"/>
      <c r="N371" s="248"/>
      <c r="O371" s="248"/>
      <c r="P371" s="250"/>
      <c r="Q371" s="252"/>
      <c r="R371" s="248"/>
      <c r="S371" s="248"/>
      <c r="T371" s="248"/>
      <c r="U371" s="248"/>
      <c r="V371" s="248"/>
      <c r="W371" s="248"/>
      <c r="X371" s="248"/>
      <c r="Y371" s="248"/>
      <c r="Z371" s="253"/>
      <c r="AA371" s="253"/>
      <c r="AB371" s="253"/>
      <c r="AC371" s="253"/>
      <c r="AD371" s="253"/>
      <c r="AE371" s="253"/>
      <c r="AF371" s="254"/>
      <c r="AG371" s="257"/>
      <c r="AH371" s="257"/>
      <c r="AI371" s="257"/>
      <c r="AJ371" s="258"/>
      <c r="AK371" s="259"/>
      <c r="AL371" s="257"/>
      <c r="AM371" s="257"/>
      <c r="AN371" s="257"/>
      <c r="AO371" s="257"/>
      <c r="AP371" s="257"/>
      <c r="AQ371" s="258"/>
      <c r="AR371" s="260"/>
      <c r="AS371" s="257"/>
      <c r="AT371" s="257"/>
      <c r="AU371" s="257"/>
      <c r="AV371" s="257"/>
      <c r="AW371" s="257"/>
      <c r="AX371" s="258"/>
      <c r="AY371" s="260"/>
      <c r="AZ371" s="257"/>
      <c r="BA371" s="257"/>
      <c r="BB371" s="257"/>
      <c r="BC371" s="257"/>
      <c r="BD371" s="258"/>
      <c r="BE371" s="260"/>
      <c r="BF371" s="258"/>
      <c r="BG371" s="260"/>
      <c r="BH371" s="257"/>
      <c r="BI371" s="14"/>
    </row>
    <row r="372" spans="1:61" ht="13.15" x14ac:dyDescent="0.4">
      <c r="A372" s="248"/>
      <c r="B372" s="256"/>
      <c r="C372" s="248"/>
      <c r="D372" s="248"/>
      <c r="E372" s="248"/>
      <c r="F372" s="250"/>
      <c r="G372" s="248"/>
      <c r="H372" s="32"/>
      <c r="I372" s="248"/>
      <c r="J372" s="248"/>
      <c r="K372" s="251"/>
      <c r="L372" s="238"/>
      <c r="M372" s="248"/>
      <c r="N372" s="248"/>
      <c r="O372" s="248"/>
      <c r="P372" s="250"/>
      <c r="Q372" s="252"/>
      <c r="R372" s="248"/>
      <c r="S372" s="248"/>
      <c r="T372" s="248"/>
      <c r="U372" s="248"/>
      <c r="V372" s="248"/>
      <c r="W372" s="248"/>
      <c r="X372" s="248"/>
      <c r="Y372" s="248"/>
      <c r="Z372" s="253"/>
      <c r="AA372" s="253"/>
      <c r="AB372" s="253"/>
      <c r="AC372" s="253"/>
      <c r="AD372" s="253"/>
      <c r="AE372" s="253"/>
      <c r="AF372" s="254"/>
      <c r="AG372" s="257"/>
      <c r="AH372" s="257"/>
      <c r="AI372" s="257"/>
      <c r="AJ372" s="258"/>
      <c r="AK372" s="259"/>
      <c r="AL372" s="257"/>
      <c r="AM372" s="257"/>
      <c r="AN372" s="257"/>
      <c r="AO372" s="257"/>
      <c r="AP372" s="257"/>
      <c r="AQ372" s="258"/>
      <c r="AR372" s="260"/>
      <c r="AS372" s="257"/>
      <c r="AT372" s="257"/>
      <c r="AU372" s="257"/>
      <c r="AV372" s="257"/>
      <c r="AW372" s="257"/>
      <c r="AX372" s="258"/>
      <c r="AY372" s="260"/>
      <c r="AZ372" s="257"/>
      <c r="BA372" s="257"/>
      <c r="BB372" s="257"/>
      <c r="BC372" s="257"/>
      <c r="BD372" s="258"/>
      <c r="BE372" s="260"/>
      <c r="BF372" s="258"/>
      <c r="BG372" s="260"/>
      <c r="BH372" s="257"/>
      <c r="BI372" s="14"/>
    </row>
    <row r="373" spans="1:61" ht="13.15" x14ac:dyDescent="0.4">
      <c r="A373" s="248"/>
      <c r="B373" s="256"/>
      <c r="C373" s="248"/>
      <c r="D373" s="248"/>
      <c r="E373" s="248"/>
      <c r="F373" s="250"/>
      <c r="G373" s="248"/>
      <c r="H373" s="32"/>
      <c r="I373" s="248"/>
      <c r="J373" s="248"/>
      <c r="K373" s="251"/>
      <c r="L373" s="238"/>
      <c r="M373" s="248"/>
      <c r="N373" s="248"/>
      <c r="O373" s="248"/>
      <c r="P373" s="250"/>
      <c r="Q373" s="252"/>
      <c r="R373" s="248"/>
      <c r="S373" s="248"/>
      <c r="T373" s="248"/>
      <c r="U373" s="248"/>
      <c r="V373" s="248"/>
      <c r="W373" s="248"/>
      <c r="X373" s="248"/>
      <c r="Y373" s="248"/>
      <c r="Z373" s="253"/>
      <c r="AA373" s="253"/>
      <c r="AB373" s="253"/>
      <c r="AC373" s="253"/>
      <c r="AD373" s="253"/>
      <c r="AE373" s="253"/>
      <c r="AF373" s="254"/>
      <c r="AG373" s="257"/>
      <c r="AH373" s="257"/>
      <c r="AI373" s="257"/>
      <c r="AJ373" s="258"/>
      <c r="AK373" s="259"/>
      <c r="AL373" s="257"/>
      <c r="AM373" s="257"/>
      <c r="AN373" s="257"/>
      <c r="AO373" s="257"/>
      <c r="AP373" s="257"/>
      <c r="AQ373" s="258"/>
      <c r="AR373" s="260"/>
      <c r="AS373" s="257"/>
      <c r="AT373" s="257"/>
      <c r="AU373" s="257"/>
      <c r="AV373" s="257"/>
      <c r="AW373" s="257"/>
      <c r="AX373" s="258"/>
      <c r="AY373" s="260"/>
      <c r="AZ373" s="257"/>
      <c r="BA373" s="257"/>
      <c r="BB373" s="257"/>
      <c r="BC373" s="257"/>
      <c r="BD373" s="258"/>
      <c r="BE373" s="260"/>
      <c r="BF373" s="258"/>
      <c r="BG373" s="260"/>
      <c r="BH373" s="257"/>
      <c r="BI373" s="14"/>
    </row>
    <row r="374" spans="1:61" ht="13.15" x14ac:dyDescent="0.4">
      <c r="A374" s="248"/>
      <c r="B374" s="256"/>
      <c r="C374" s="248"/>
      <c r="D374" s="248"/>
      <c r="E374" s="248"/>
      <c r="F374" s="250"/>
      <c r="G374" s="248"/>
      <c r="H374" s="32"/>
      <c r="I374" s="248"/>
      <c r="J374" s="248"/>
      <c r="K374" s="251"/>
      <c r="L374" s="238"/>
      <c r="M374" s="248"/>
      <c r="N374" s="248"/>
      <c r="O374" s="248"/>
      <c r="P374" s="250"/>
      <c r="Q374" s="252"/>
      <c r="R374" s="248"/>
      <c r="S374" s="248"/>
      <c r="T374" s="248"/>
      <c r="U374" s="248"/>
      <c r="V374" s="248"/>
      <c r="W374" s="248"/>
      <c r="X374" s="248"/>
      <c r="Y374" s="248"/>
      <c r="Z374" s="253"/>
      <c r="AA374" s="253"/>
      <c r="AB374" s="253"/>
      <c r="AC374" s="253"/>
      <c r="AD374" s="253"/>
      <c r="AE374" s="253"/>
      <c r="AF374" s="254"/>
      <c r="AG374" s="257"/>
      <c r="AH374" s="257"/>
      <c r="AI374" s="257"/>
      <c r="AJ374" s="258"/>
      <c r="AK374" s="259"/>
      <c r="AL374" s="257"/>
      <c r="AM374" s="257"/>
      <c r="AN374" s="257"/>
      <c r="AO374" s="257"/>
      <c r="AP374" s="257"/>
      <c r="AQ374" s="258"/>
      <c r="AR374" s="260"/>
      <c r="AS374" s="257"/>
      <c r="AT374" s="257"/>
      <c r="AU374" s="257"/>
      <c r="AV374" s="257"/>
      <c r="AW374" s="257"/>
      <c r="AX374" s="258"/>
      <c r="AY374" s="260"/>
      <c r="AZ374" s="257"/>
      <c r="BA374" s="257"/>
      <c r="BB374" s="257"/>
      <c r="BC374" s="257"/>
      <c r="BD374" s="258"/>
      <c r="BE374" s="260"/>
      <c r="BF374" s="258"/>
      <c r="BG374" s="260"/>
      <c r="BH374" s="257"/>
      <c r="BI374" s="14"/>
    </row>
    <row r="375" spans="1:61" ht="13.15" x14ac:dyDescent="0.4">
      <c r="A375" s="248"/>
      <c r="B375" s="256"/>
      <c r="C375" s="248"/>
      <c r="D375" s="248"/>
      <c r="E375" s="248"/>
      <c r="F375" s="250"/>
      <c r="G375" s="248"/>
      <c r="H375" s="32"/>
      <c r="I375" s="248"/>
      <c r="J375" s="248"/>
      <c r="K375" s="251"/>
      <c r="L375" s="238"/>
      <c r="M375" s="248"/>
      <c r="N375" s="248"/>
      <c r="O375" s="248"/>
      <c r="P375" s="250"/>
      <c r="Q375" s="252"/>
      <c r="R375" s="248"/>
      <c r="S375" s="248"/>
      <c r="T375" s="248"/>
      <c r="U375" s="248"/>
      <c r="V375" s="248"/>
      <c r="W375" s="248"/>
      <c r="X375" s="248"/>
      <c r="Y375" s="248"/>
      <c r="Z375" s="253"/>
      <c r="AA375" s="253"/>
      <c r="AB375" s="253"/>
      <c r="AC375" s="253"/>
      <c r="AD375" s="253"/>
      <c r="AE375" s="253"/>
      <c r="AF375" s="254"/>
      <c r="AG375" s="257"/>
      <c r="AH375" s="257"/>
      <c r="AI375" s="257"/>
      <c r="AJ375" s="258"/>
      <c r="AK375" s="259"/>
      <c r="AL375" s="257"/>
      <c r="AM375" s="257"/>
      <c r="AN375" s="257"/>
      <c r="AO375" s="257"/>
      <c r="AP375" s="257"/>
      <c r="AQ375" s="258"/>
      <c r="AR375" s="260"/>
      <c r="AS375" s="257"/>
      <c r="AT375" s="257"/>
      <c r="AU375" s="257"/>
      <c r="AV375" s="257"/>
      <c r="AW375" s="257"/>
      <c r="AX375" s="258"/>
      <c r="AY375" s="260"/>
      <c r="AZ375" s="257"/>
      <c r="BA375" s="257"/>
      <c r="BB375" s="257"/>
      <c r="BC375" s="257"/>
      <c r="BD375" s="258"/>
      <c r="BE375" s="260"/>
      <c r="BF375" s="258"/>
      <c r="BG375" s="260"/>
      <c r="BH375" s="257"/>
      <c r="BI375" s="14"/>
    </row>
    <row r="376" spans="1:61" ht="13.15" x14ac:dyDescent="0.4">
      <c r="A376" s="248"/>
      <c r="B376" s="256"/>
      <c r="C376" s="248"/>
      <c r="D376" s="248"/>
      <c r="E376" s="248"/>
      <c r="F376" s="250"/>
      <c r="G376" s="248"/>
      <c r="H376" s="32"/>
      <c r="I376" s="248"/>
      <c r="J376" s="248"/>
      <c r="K376" s="251"/>
      <c r="L376" s="238"/>
      <c r="M376" s="248"/>
      <c r="N376" s="248"/>
      <c r="O376" s="248"/>
      <c r="P376" s="250"/>
      <c r="Q376" s="252"/>
      <c r="R376" s="248"/>
      <c r="S376" s="248"/>
      <c r="T376" s="248"/>
      <c r="U376" s="248"/>
      <c r="V376" s="248"/>
      <c r="W376" s="248"/>
      <c r="X376" s="248"/>
      <c r="Y376" s="248"/>
      <c r="Z376" s="253"/>
      <c r="AA376" s="253"/>
      <c r="AB376" s="253"/>
      <c r="AC376" s="253"/>
      <c r="AD376" s="253"/>
      <c r="AE376" s="253"/>
      <c r="AF376" s="254"/>
      <c r="AG376" s="257"/>
      <c r="AH376" s="257"/>
      <c r="AI376" s="257"/>
      <c r="AJ376" s="258"/>
      <c r="AK376" s="259"/>
      <c r="AL376" s="257"/>
      <c r="AM376" s="257"/>
      <c r="AN376" s="257"/>
      <c r="AO376" s="257"/>
      <c r="AP376" s="257"/>
      <c r="AQ376" s="258"/>
      <c r="AR376" s="260"/>
      <c r="AS376" s="257"/>
      <c r="AT376" s="257"/>
      <c r="AU376" s="257"/>
      <c r="AV376" s="257"/>
      <c r="AW376" s="257"/>
      <c r="AX376" s="258"/>
      <c r="AY376" s="260"/>
      <c r="AZ376" s="257"/>
      <c r="BA376" s="257"/>
      <c r="BB376" s="257"/>
      <c r="BC376" s="257"/>
      <c r="BD376" s="258"/>
      <c r="BE376" s="260"/>
      <c r="BF376" s="258"/>
      <c r="BG376" s="260"/>
      <c r="BH376" s="257"/>
      <c r="BI376" s="14"/>
    </row>
    <row r="377" spans="1:61" ht="13.15" x14ac:dyDescent="0.4">
      <c r="A377" s="248"/>
      <c r="B377" s="256"/>
      <c r="C377" s="248"/>
      <c r="D377" s="248"/>
      <c r="E377" s="248"/>
      <c r="F377" s="250"/>
      <c r="G377" s="248"/>
      <c r="H377" s="32"/>
      <c r="I377" s="248"/>
      <c r="J377" s="248"/>
      <c r="K377" s="251"/>
      <c r="L377" s="238"/>
      <c r="M377" s="248"/>
      <c r="N377" s="248"/>
      <c r="O377" s="248"/>
      <c r="P377" s="250"/>
      <c r="Q377" s="252"/>
      <c r="R377" s="248"/>
      <c r="S377" s="248"/>
      <c r="T377" s="248"/>
      <c r="U377" s="248"/>
      <c r="V377" s="248"/>
      <c r="W377" s="248"/>
      <c r="X377" s="248"/>
      <c r="Y377" s="248"/>
      <c r="Z377" s="253"/>
      <c r="AA377" s="253"/>
      <c r="AB377" s="253"/>
      <c r="AC377" s="253"/>
      <c r="AD377" s="253"/>
      <c r="AE377" s="253"/>
      <c r="AF377" s="254"/>
      <c r="AG377" s="257"/>
      <c r="AH377" s="257"/>
      <c r="AI377" s="257"/>
      <c r="AJ377" s="258"/>
      <c r="AK377" s="259"/>
      <c r="AL377" s="257"/>
      <c r="AM377" s="257"/>
      <c r="AN377" s="257"/>
      <c r="AO377" s="257"/>
      <c r="AP377" s="257"/>
      <c r="AQ377" s="258"/>
      <c r="AR377" s="260"/>
      <c r="AS377" s="257"/>
      <c r="AT377" s="257"/>
      <c r="AU377" s="257"/>
      <c r="AV377" s="257"/>
      <c r="AW377" s="257"/>
      <c r="AX377" s="258"/>
      <c r="AY377" s="260"/>
      <c r="AZ377" s="257"/>
      <c r="BA377" s="257"/>
      <c r="BB377" s="257"/>
      <c r="BC377" s="257"/>
      <c r="BD377" s="258"/>
      <c r="BE377" s="260"/>
      <c r="BF377" s="258"/>
      <c r="BG377" s="260"/>
      <c r="BH377" s="257"/>
      <c r="BI377" s="14"/>
    </row>
    <row r="378" spans="1:61" ht="13.15" x14ac:dyDescent="0.4">
      <c r="A378" s="248"/>
      <c r="B378" s="256"/>
      <c r="C378" s="248"/>
      <c r="D378" s="248"/>
      <c r="E378" s="248"/>
      <c r="F378" s="250"/>
      <c r="G378" s="248"/>
      <c r="H378" s="32"/>
      <c r="I378" s="248"/>
      <c r="J378" s="248"/>
      <c r="K378" s="251"/>
      <c r="L378" s="238"/>
      <c r="M378" s="248"/>
      <c r="N378" s="248"/>
      <c r="O378" s="248"/>
      <c r="P378" s="250"/>
      <c r="Q378" s="252"/>
      <c r="R378" s="248"/>
      <c r="S378" s="248"/>
      <c r="T378" s="248"/>
      <c r="U378" s="248"/>
      <c r="V378" s="248"/>
      <c r="W378" s="248"/>
      <c r="X378" s="248"/>
      <c r="Y378" s="248"/>
      <c r="Z378" s="253"/>
      <c r="AA378" s="253"/>
      <c r="AB378" s="253"/>
      <c r="AC378" s="253"/>
      <c r="AD378" s="253"/>
      <c r="AE378" s="253"/>
      <c r="AF378" s="254"/>
      <c r="AG378" s="257"/>
      <c r="AH378" s="257"/>
      <c r="AI378" s="257"/>
      <c r="AJ378" s="258"/>
      <c r="AK378" s="259"/>
      <c r="AL378" s="257"/>
      <c r="AM378" s="257"/>
      <c r="AN378" s="257"/>
      <c r="AO378" s="257"/>
      <c r="AP378" s="257"/>
      <c r="AQ378" s="258"/>
      <c r="AR378" s="260"/>
      <c r="AS378" s="257"/>
      <c r="AT378" s="257"/>
      <c r="AU378" s="257"/>
      <c r="AV378" s="257"/>
      <c r="AW378" s="257"/>
      <c r="AX378" s="258"/>
      <c r="AY378" s="260"/>
      <c r="AZ378" s="257"/>
      <c r="BA378" s="257"/>
      <c r="BB378" s="257"/>
      <c r="BC378" s="257"/>
      <c r="BD378" s="258"/>
      <c r="BE378" s="260"/>
      <c r="BF378" s="258"/>
      <c r="BG378" s="260"/>
      <c r="BH378" s="257"/>
      <c r="BI378" s="14"/>
    </row>
    <row r="379" spans="1:61" ht="13.15" x14ac:dyDescent="0.4">
      <c r="A379" s="248"/>
      <c r="B379" s="256"/>
      <c r="C379" s="248"/>
      <c r="D379" s="248"/>
      <c r="E379" s="248"/>
      <c r="F379" s="250"/>
      <c r="G379" s="248"/>
      <c r="H379" s="32"/>
      <c r="I379" s="248"/>
      <c r="J379" s="248"/>
      <c r="K379" s="251"/>
      <c r="L379" s="238"/>
      <c r="M379" s="248"/>
      <c r="N379" s="248"/>
      <c r="O379" s="248"/>
      <c r="P379" s="250"/>
      <c r="Q379" s="252"/>
      <c r="R379" s="248"/>
      <c r="S379" s="248"/>
      <c r="T379" s="248"/>
      <c r="U379" s="248"/>
      <c r="V379" s="248"/>
      <c r="W379" s="248"/>
      <c r="X379" s="248"/>
      <c r="Y379" s="248"/>
      <c r="Z379" s="253"/>
      <c r="AA379" s="253"/>
      <c r="AB379" s="253"/>
      <c r="AC379" s="253"/>
      <c r="AD379" s="253"/>
      <c r="AE379" s="253"/>
      <c r="AF379" s="254"/>
      <c r="AG379" s="257"/>
      <c r="AH379" s="257"/>
      <c r="AI379" s="257"/>
      <c r="AJ379" s="258"/>
      <c r="AK379" s="259"/>
      <c r="AL379" s="257"/>
      <c r="AM379" s="257"/>
      <c r="AN379" s="257"/>
      <c r="AO379" s="257"/>
      <c r="AP379" s="257"/>
      <c r="AQ379" s="258"/>
      <c r="AR379" s="260"/>
      <c r="AS379" s="257"/>
      <c r="AT379" s="257"/>
      <c r="AU379" s="257"/>
      <c r="AV379" s="257"/>
      <c r="AW379" s="257"/>
      <c r="AX379" s="258"/>
      <c r="AY379" s="260"/>
      <c r="AZ379" s="257"/>
      <c r="BA379" s="257"/>
      <c r="BB379" s="257"/>
      <c r="BC379" s="257"/>
      <c r="BD379" s="258"/>
      <c r="BE379" s="260"/>
      <c r="BF379" s="258"/>
      <c r="BG379" s="260"/>
      <c r="BH379" s="257"/>
      <c r="BI379" s="14"/>
    </row>
    <row r="380" spans="1:61" ht="13.15" x14ac:dyDescent="0.4">
      <c r="A380" s="248"/>
      <c r="B380" s="256"/>
      <c r="C380" s="248"/>
      <c r="D380" s="248"/>
      <c r="E380" s="248"/>
      <c r="F380" s="250"/>
      <c r="G380" s="248"/>
      <c r="H380" s="32"/>
      <c r="I380" s="248"/>
      <c r="J380" s="248"/>
      <c r="K380" s="251"/>
      <c r="L380" s="238"/>
      <c r="M380" s="248"/>
      <c r="N380" s="248"/>
      <c r="O380" s="248"/>
      <c r="P380" s="250"/>
      <c r="Q380" s="252"/>
      <c r="R380" s="248"/>
      <c r="S380" s="248"/>
      <c r="T380" s="248"/>
      <c r="U380" s="248"/>
      <c r="V380" s="248"/>
      <c r="W380" s="248"/>
      <c r="X380" s="248"/>
      <c r="Y380" s="248"/>
      <c r="Z380" s="253"/>
      <c r="AA380" s="253"/>
      <c r="AB380" s="253"/>
      <c r="AC380" s="253"/>
      <c r="AD380" s="253"/>
      <c r="AE380" s="253"/>
      <c r="AF380" s="254"/>
      <c r="AG380" s="257"/>
      <c r="AH380" s="257"/>
      <c r="AI380" s="257"/>
      <c r="AJ380" s="258"/>
      <c r="AK380" s="259"/>
      <c r="AL380" s="257"/>
      <c r="AM380" s="257"/>
      <c r="AN380" s="257"/>
      <c r="AO380" s="257"/>
      <c r="AP380" s="257"/>
      <c r="AQ380" s="258"/>
      <c r="AR380" s="260"/>
      <c r="AS380" s="257"/>
      <c r="AT380" s="257"/>
      <c r="AU380" s="257"/>
      <c r="AV380" s="257"/>
      <c r="AW380" s="257"/>
      <c r="AX380" s="258"/>
      <c r="AY380" s="260"/>
      <c r="AZ380" s="257"/>
      <c r="BA380" s="257"/>
      <c r="BB380" s="257"/>
      <c r="BC380" s="257"/>
      <c r="BD380" s="258"/>
      <c r="BE380" s="260"/>
      <c r="BF380" s="258"/>
      <c r="BG380" s="260"/>
      <c r="BH380" s="257"/>
      <c r="BI380" s="14"/>
    </row>
    <row r="381" spans="1:61" ht="13.15" x14ac:dyDescent="0.4">
      <c r="A381" s="248"/>
      <c r="B381" s="256"/>
      <c r="C381" s="248"/>
      <c r="D381" s="248"/>
      <c r="E381" s="248"/>
      <c r="F381" s="250"/>
      <c r="G381" s="248"/>
      <c r="H381" s="32"/>
      <c r="I381" s="248"/>
      <c r="J381" s="248"/>
      <c r="K381" s="251"/>
      <c r="L381" s="238"/>
      <c r="M381" s="248"/>
      <c r="N381" s="248"/>
      <c r="O381" s="248"/>
      <c r="P381" s="250"/>
      <c r="Q381" s="252"/>
      <c r="R381" s="248"/>
      <c r="S381" s="248"/>
      <c r="T381" s="248"/>
      <c r="U381" s="248"/>
      <c r="V381" s="248"/>
      <c r="W381" s="248"/>
      <c r="X381" s="248"/>
      <c r="Y381" s="248"/>
      <c r="Z381" s="253"/>
      <c r="AA381" s="253"/>
      <c r="AB381" s="253"/>
      <c r="AC381" s="253"/>
      <c r="AD381" s="253"/>
      <c r="AE381" s="253"/>
      <c r="AF381" s="254"/>
      <c r="AG381" s="257"/>
      <c r="AH381" s="257"/>
      <c r="AI381" s="257"/>
      <c r="AJ381" s="258"/>
      <c r="AK381" s="259"/>
      <c r="AL381" s="257"/>
      <c r="AM381" s="257"/>
      <c r="AN381" s="257"/>
      <c r="AO381" s="257"/>
      <c r="AP381" s="257"/>
      <c r="AQ381" s="258"/>
      <c r="AR381" s="260"/>
      <c r="AS381" s="257"/>
      <c r="AT381" s="257"/>
      <c r="AU381" s="257"/>
      <c r="AV381" s="257"/>
      <c r="AW381" s="257"/>
      <c r="AX381" s="258"/>
      <c r="AY381" s="260"/>
      <c r="AZ381" s="257"/>
      <c r="BA381" s="257"/>
      <c r="BB381" s="257"/>
      <c r="BC381" s="257"/>
      <c r="BD381" s="258"/>
      <c r="BE381" s="260"/>
      <c r="BF381" s="258"/>
      <c r="BG381" s="260"/>
      <c r="BH381" s="257"/>
      <c r="BI381" s="14"/>
    </row>
    <row r="382" spans="1:61" ht="13.15" x14ac:dyDescent="0.4">
      <c r="A382" s="248"/>
      <c r="B382" s="256"/>
      <c r="C382" s="248"/>
      <c r="D382" s="248"/>
      <c r="E382" s="248"/>
      <c r="F382" s="250"/>
      <c r="G382" s="248"/>
      <c r="H382" s="32"/>
      <c r="I382" s="248"/>
      <c r="J382" s="248"/>
      <c r="K382" s="251"/>
      <c r="L382" s="238"/>
      <c r="M382" s="248"/>
      <c r="N382" s="248"/>
      <c r="O382" s="248"/>
      <c r="P382" s="250"/>
      <c r="Q382" s="252"/>
      <c r="R382" s="248"/>
      <c r="S382" s="248"/>
      <c r="T382" s="248"/>
      <c r="U382" s="248"/>
      <c r="V382" s="248"/>
      <c r="W382" s="248"/>
      <c r="X382" s="248"/>
      <c r="Y382" s="248"/>
      <c r="Z382" s="253"/>
      <c r="AA382" s="253"/>
      <c r="AB382" s="253"/>
      <c r="AC382" s="253"/>
      <c r="AD382" s="253"/>
      <c r="AE382" s="253"/>
      <c r="AF382" s="254"/>
      <c r="AG382" s="257"/>
      <c r="AH382" s="257"/>
      <c r="AI382" s="257"/>
      <c r="AJ382" s="258"/>
      <c r="AK382" s="259"/>
      <c r="AL382" s="257"/>
      <c r="AM382" s="257"/>
      <c r="AN382" s="257"/>
      <c r="AO382" s="257"/>
      <c r="AP382" s="257"/>
      <c r="AQ382" s="258"/>
      <c r="AR382" s="260"/>
      <c r="AS382" s="257"/>
      <c r="AT382" s="257"/>
      <c r="AU382" s="257"/>
      <c r="AV382" s="257"/>
      <c r="AW382" s="257"/>
      <c r="AX382" s="258"/>
      <c r="AY382" s="260"/>
      <c r="AZ382" s="257"/>
      <c r="BA382" s="257"/>
      <c r="BB382" s="257"/>
      <c r="BC382" s="257"/>
      <c r="BD382" s="258"/>
      <c r="BE382" s="260"/>
      <c r="BF382" s="258"/>
      <c r="BG382" s="260"/>
      <c r="BH382" s="257"/>
      <c r="BI382" s="14"/>
    </row>
    <row r="383" spans="1:61" ht="13.15" x14ac:dyDescent="0.4">
      <c r="A383" s="248"/>
      <c r="B383" s="256"/>
      <c r="C383" s="248"/>
      <c r="D383" s="248"/>
      <c r="E383" s="248"/>
      <c r="F383" s="250"/>
      <c r="G383" s="248"/>
      <c r="H383" s="32"/>
      <c r="I383" s="248"/>
      <c r="J383" s="248"/>
      <c r="K383" s="251"/>
      <c r="L383" s="238"/>
      <c r="M383" s="248"/>
      <c r="N383" s="248"/>
      <c r="O383" s="248"/>
      <c r="P383" s="250"/>
      <c r="Q383" s="252"/>
      <c r="R383" s="248"/>
      <c r="S383" s="248"/>
      <c r="T383" s="248"/>
      <c r="U383" s="248"/>
      <c r="V383" s="248"/>
      <c r="W383" s="248"/>
      <c r="X383" s="248"/>
      <c r="Y383" s="248"/>
      <c r="Z383" s="253"/>
      <c r="AA383" s="253"/>
      <c r="AB383" s="253"/>
      <c r="AC383" s="253"/>
      <c r="AD383" s="253"/>
      <c r="AE383" s="253"/>
      <c r="AF383" s="254"/>
      <c r="AG383" s="257"/>
      <c r="AH383" s="257"/>
      <c r="AI383" s="257"/>
      <c r="AJ383" s="258"/>
      <c r="AK383" s="259"/>
      <c r="AL383" s="257"/>
      <c r="AM383" s="257"/>
      <c r="AN383" s="257"/>
      <c r="AO383" s="257"/>
      <c r="AP383" s="257"/>
      <c r="AQ383" s="258"/>
      <c r="AR383" s="260"/>
      <c r="AS383" s="257"/>
      <c r="AT383" s="257"/>
      <c r="AU383" s="257"/>
      <c r="AV383" s="257"/>
      <c r="AW383" s="257"/>
      <c r="AX383" s="258"/>
      <c r="AY383" s="260"/>
      <c r="AZ383" s="257"/>
      <c r="BA383" s="257"/>
      <c r="BB383" s="257"/>
      <c r="BC383" s="257"/>
      <c r="BD383" s="258"/>
      <c r="BE383" s="260"/>
      <c r="BF383" s="258"/>
      <c r="BG383" s="260"/>
      <c r="BH383" s="257"/>
      <c r="BI383" s="14"/>
    </row>
    <row r="384" spans="1:61" ht="13.15" x14ac:dyDescent="0.4">
      <c r="A384" s="248"/>
      <c r="B384" s="256"/>
      <c r="C384" s="248"/>
      <c r="D384" s="248"/>
      <c r="E384" s="248"/>
      <c r="F384" s="250"/>
      <c r="G384" s="248"/>
      <c r="H384" s="32"/>
      <c r="I384" s="248"/>
      <c r="J384" s="248"/>
      <c r="K384" s="251"/>
      <c r="L384" s="238"/>
      <c r="M384" s="248"/>
      <c r="N384" s="248"/>
      <c r="O384" s="248"/>
      <c r="P384" s="250"/>
      <c r="Q384" s="252"/>
      <c r="R384" s="248"/>
      <c r="S384" s="248"/>
      <c r="T384" s="248"/>
      <c r="U384" s="248"/>
      <c r="V384" s="248"/>
      <c r="W384" s="248"/>
      <c r="X384" s="248"/>
      <c r="Y384" s="248"/>
      <c r="Z384" s="253"/>
      <c r="AA384" s="253"/>
      <c r="AB384" s="253"/>
      <c r="AC384" s="253"/>
      <c r="AD384" s="253"/>
      <c r="AE384" s="253"/>
      <c r="AF384" s="254"/>
      <c r="AG384" s="257"/>
      <c r="AH384" s="257"/>
      <c r="AI384" s="257"/>
      <c r="AJ384" s="258"/>
      <c r="AK384" s="259"/>
      <c r="AL384" s="257"/>
      <c r="AM384" s="257"/>
      <c r="AN384" s="257"/>
      <c r="AO384" s="257"/>
      <c r="AP384" s="257"/>
      <c r="AQ384" s="258"/>
      <c r="AR384" s="260"/>
      <c r="AS384" s="257"/>
      <c r="AT384" s="257"/>
      <c r="AU384" s="257"/>
      <c r="AV384" s="257"/>
      <c r="AW384" s="257"/>
      <c r="AX384" s="258"/>
      <c r="AY384" s="260"/>
      <c r="AZ384" s="257"/>
      <c r="BA384" s="257"/>
      <c r="BB384" s="257"/>
      <c r="BC384" s="257"/>
      <c r="BD384" s="258"/>
      <c r="BE384" s="260"/>
      <c r="BF384" s="258"/>
      <c r="BG384" s="260"/>
      <c r="BH384" s="257"/>
      <c r="BI384" s="14"/>
    </row>
    <row r="385" spans="1:61" ht="13.15" x14ac:dyDescent="0.4">
      <c r="A385" s="248"/>
      <c r="B385" s="256"/>
      <c r="C385" s="248"/>
      <c r="D385" s="248"/>
      <c r="E385" s="248"/>
      <c r="F385" s="250"/>
      <c r="G385" s="248"/>
      <c r="H385" s="32"/>
      <c r="I385" s="248"/>
      <c r="J385" s="248"/>
      <c r="K385" s="251"/>
      <c r="L385" s="238"/>
      <c r="M385" s="248"/>
      <c r="N385" s="248"/>
      <c r="O385" s="248"/>
      <c r="P385" s="250"/>
      <c r="Q385" s="252"/>
      <c r="R385" s="248"/>
      <c r="S385" s="248"/>
      <c r="T385" s="248"/>
      <c r="U385" s="248"/>
      <c r="V385" s="248"/>
      <c r="W385" s="248"/>
      <c r="X385" s="248"/>
      <c r="Y385" s="248"/>
      <c r="Z385" s="253"/>
      <c r="AA385" s="253"/>
      <c r="AB385" s="253"/>
      <c r="AC385" s="253"/>
      <c r="AD385" s="253"/>
      <c r="AE385" s="253"/>
      <c r="AF385" s="254"/>
      <c r="AG385" s="257"/>
      <c r="AH385" s="257"/>
      <c r="AI385" s="257"/>
      <c r="AJ385" s="258"/>
      <c r="AK385" s="259"/>
      <c r="AL385" s="257"/>
      <c r="AM385" s="257"/>
      <c r="AN385" s="257"/>
      <c r="AO385" s="257"/>
      <c r="AP385" s="257"/>
      <c r="AQ385" s="258"/>
      <c r="AR385" s="260"/>
      <c r="AS385" s="257"/>
      <c r="AT385" s="257"/>
      <c r="AU385" s="257"/>
      <c r="AV385" s="257"/>
      <c r="AW385" s="257"/>
      <c r="AX385" s="258"/>
      <c r="AY385" s="260"/>
      <c r="AZ385" s="257"/>
      <c r="BA385" s="257"/>
      <c r="BB385" s="257"/>
      <c r="BC385" s="257"/>
      <c r="BD385" s="258"/>
      <c r="BE385" s="260"/>
      <c r="BF385" s="258"/>
      <c r="BG385" s="260"/>
      <c r="BH385" s="257"/>
      <c r="BI385" s="14"/>
    </row>
    <row r="386" spans="1:61" ht="13.15" x14ac:dyDescent="0.4">
      <c r="A386" s="248"/>
      <c r="B386" s="256"/>
      <c r="C386" s="248"/>
      <c r="D386" s="248"/>
      <c r="E386" s="248"/>
      <c r="F386" s="250"/>
      <c r="G386" s="248"/>
      <c r="H386" s="32"/>
      <c r="I386" s="248"/>
      <c r="J386" s="248"/>
      <c r="K386" s="251"/>
      <c r="L386" s="238"/>
      <c r="M386" s="248"/>
      <c r="N386" s="248"/>
      <c r="O386" s="248"/>
      <c r="P386" s="250"/>
      <c r="Q386" s="252"/>
      <c r="R386" s="248"/>
      <c r="S386" s="248"/>
      <c r="T386" s="248"/>
      <c r="U386" s="248"/>
      <c r="V386" s="248"/>
      <c r="W386" s="248"/>
      <c r="X386" s="248"/>
      <c r="Y386" s="248"/>
      <c r="Z386" s="253"/>
      <c r="AA386" s="253"/>
      <c r="AB386" s="253"/>
      <c r="AC386" s="253"/>
      <c r="AD386" s="253"/>
      <c r="AE386" s="253"/>
      <c r="AF386" s="254"/>
      <c r="AG386" s="257"/>
      <c r="AH386" s="257"/>
      <c r="AI386" s="257"/>
      <c r="AJ386" s="258"/>
      <c r="AK386" s="259"/>
      <c r="AL386" s="257"/>
      <c r="AM386" s="257"/>
      <c r="AN386" s="257"/>
      <c r="AO386" s="257"/>
      <c r="AP386" s="257"/>
      <c r="AQ386" s="258"/>
      <c r="AR386" s="260"/>
      <c r="AS386" s="257"/>
      <c r="AT386" s="257"/>
      <c r="AU386" s="257"/>
      <c r="AV386" s="257"/>
      <c r="AW386" s="257"/>
      <c r="AX386" s="258"/>
      <c r="AY386" s="260"/>
      <c r="AZ386" s="257"/>
      <c r="BA386" s="257"/>
      <c r="BB386" s="257"/>
      <c r="BC386" s="257"/>
      <c r="BD386" s="258"/>
      <c r="BE386" s="260"/>
      <c r="BF386" s="258"/>
      <c r="BG386" s="260"/>
      <c r="BH386" s="257"/>
      <c r="BI386" s="14"/>
    </row>
    <row r="387" spans="1:61" ht="13.15" x14ac:dyDescent="0.4">
      <c r="A387" s="248"/>
      <c r="B387" s="256"/>
      <c r="C387" s="248"/>
      <c r="D387" s="248"/>
      <c r="E387" s="248"/>
      <c r="F387" s="250"/>
      <c r="G387" s="248"/>
      <c r="H387" s="32"/>
      <c r="I387" s="248"/>
      <c r="J387" s="248"/>
      <c r="K387" s="251"/>
      <c r="L387" s="238"/>
      <c r="M387" s="248"/>
      <c r="N387" s="248"/>
      <c r="O387" s="248"/>
      <c r="P387" s="250"/>
      <c r="Q387" s="252"/>
      <c r="R387" s="248"/>
      <c r="S387" s="248"/>
      <c r="T387" s="248"/>
      <c r="U387" s="248"/>
      <c r="V387" s="248"/>
      <c r="W387" s="248"/>
      <c r="X387" s="248"/>
      <c r="Y387" s="248"/>
      <c r="Z387" s="253"/>
      <c r="AA387" s="253"/>
      <c r="AB387" s="253"/>
      <c r="AC387" s="253"/>
      <c r="AD387" s="253"/>
      <c r="AE387" s="253"/>
      <c r="AF387" s="254"/>
      <c r="AG387" s="257"/>
      <c r="AH387" s="257"/>
      <c r="AI387" s="257"/>
      <c r="AJ387" s="258"/>
      <c r="AK387" s="259"/>
      <c r="AL387" s="257"/>
      <c r="AM387" s="257"/>
      <c r="AN387" s="257"/>
      <c r="AO387" s="257"/>
      <c r="AP387" s="257"/>
      <c r="AQ387" s="258"/>
      <c r="AR387" s="260"/>
      <c r="AS387" s="257"/>
      <c r="AT387" s="257"/>
      <c r="AU387" s="257"/>
      <c r="AV387" s="257"/>
      <c r="AW387" s="257"/>
      <c r="AX387" s="258"/>
      <c r="AY387" s="260"/>
      <c r="AZ387" s="257"/>
      <c r="BA387" s="257"/>
      <c r="BB387" s="257"/>
      <c r="BC387" s="257"/>
      <c r="BD387" s="258"/>
      <c r="BE387" s="260"/>
      <c r="BF387" s="258"/>
      <c r="BG387" s="260"/>
      <c r="BH387" s="257"/>
      <c r="BI387" s="14"/>
    </row>
    <row r="388" spans="1:61" ht="13.15" x14ac:dyDescent="0.4">
      <c r="A388" s="248"/>
      <c r="B388" s="256"/>
      <c r="C388" s="248"/>
      <c r="D388" s="248"/>
      <c r="E388" s="248"/>
      <c r="F388" s="250"/>
      <c r="G388" s="248"/>
      <c r="H388" s="32"/>
      <c r="I388" s="248"/>
      <c r="J388" s="248"/>
      <c r="K388" s="251"/>
      <c r="L388" s="238"/>
      <c r="M388" s="248"/>
      <c r="N388" s="248"/>
      <c r="O388" s="248"/>
      <c r="P388" s="250"/>
      <c r="Q388" s="252"/>
      <c r="R388" s="248"/>
      <c r="S388" s="248"/>
      <c r="T388" s="248"/>
      <c r="U388" s="248"/>
      <c r="V388" s="248"/>
      <c r="W388" s="248"/>
      <c r="X388" s="248"/>
      <c r="Y388" s="248"/>
      <c r="Z388" s="253"/>
      <c r="AA388" s="253"/>
      <c r="AB388" s="253"/>
      <c r="AC388" s="253"/>
      <c r="AD388" s="253"/>
      <c r="AE388" s="253"/>
      <c r="AF388" s="254"/>
      <c r="AG388" s="257"/>
      <c r="AH388" s="257"/>
      <c r="AI388" s="257"/>
      <c r="AJ388" s="258"/>
      <c r="AK388" s="259"/>
      <c r="AL388" s="257"/>
      <c r="AM388" s="257"/>
      <c r="AN388" s="257"/>
      <c r="AO388" s="257"/>
      <c r="AP388" s="257"/>
      <c r="AQ388" s="258"/>
      <c r="AR388" s="260"/>
      <c r="AS388" s="257"/>
      <c r="AT388" s="257"/>
      <c r="AU388" s="257"/>
      <c r="AV388" s="257"/>
      <c r="AW388" s="257"/>
      <c r="AX388" s="258"/>
      <c r="AY388" s="260"/>
      <c r="AZ388" s="257"/>
      <c r="BA388" s="257"/>
      <c r="BB388" s="257"/>
      <c r="BC388" s="257"/>
      <c r="BD388" s="258"/>
      <c r="BE388" s="260"/>
      <c r="BF388" s="258"/>
      <c r="BG388" s="260"/>
      <c r="BH388" s="257"/>
      <c r="BI388" s="14"/>
    </row>
    <row r="389" spans="1:61" ht="13.15" x14ac:dyDescent="0.4">
      <c r="A389" s="248"/>
      <c r="B389" s="256"/>
      <c r="C389" s="248"/>
      <c r="D389" s="248"/>
      <c r="E389" s="248"/>
      <c r="F389" s="250"/>
      <c r="G389" s="248"/>
      <c r="H389" s="32"/>
      <c r="I389" s="248"/>
      <c r="J389" s="248"/>
      <c r="K389" s="251"/>
      <c r="L389" s="238"/>
      <c r="M389" s="248"/>
      <c r="N389" s="248"/>
      <c r="O389" s="248"/>
      <c r="P389" s="250"/>
      <c r="Q389" s="252"/>
      <c r="R389" s="248"/>
      <c r="S389" s="248"/>
      <c r="T389" s="248"/>
      <c r="U389" s="248"/>
      <c r="V389" s="248"/>
      <c r="W389" s="248"/>
      <c r="X389" s="248"/>
      <c r="Y389" s="248"/>
      <c r="Z389" s="253"/>
      <c r="AA389" s="253"/>
      <c r="AB389" s="253"/>
      <c r="AC389" s="253"/>
      <c r="AD389" s="253"/>
      <c r="AE389" s="253"/>
      <c r="AF389" s="254"/>
      <c r="AG389" s="257"/>
      <c r="AH389" s="257"/>
      <c r="AI389" s="257"/>
      <c r="AJ389" s="258"/>
      <c r="AK389" s="259"/>
      <c r="AL389" s="257"/>
      <c r="AM389" s="257"/>
      <c r="AN389" s="257"/>
      <c r="AO389" s="257"/>
      <c r="AP389" s="257"/>
      <c r="AQ389" s="258"/>
      <c r="AR389" s="260"/>
      <c r="AS389" s="257"/>
      <c r="AT389" s="257"/>
      <c r="AU389" s="257"/>
      <c r="AV389" s="257"/>
      <c r="AW389" s="257"/>
      <c r="AX389" s="258"/>
      <c r="AY389" s="260"/>
      <c r="AZ389" s="257"/>
      <c r="BA389" s="257"/>
      <c r="BB389" s="257"/>
      <c r="BC389" s="257"/>
      <c r="BD389" s="258"/>
      <c r="BE389" s="260"/>
      <c r="BF389" s="258"/>
      <c r="BG389" s="260"/>
      <c r="BH389" s="257"/>
      <c r="BI389" s="14"/>
    </row>
    <row r="390" spans="1:61" ht="13.15" x14ac:dyDescent="0.4">
      <c r="A390" s="248"/>
      <c r="B390" s="256"/>
      <c r="C390" s="248"/>
      <c r="D390" s="248"/>
      <c r="E390" s="248"/>
      <c r="F390" s="250"/>
      <c r="G390" s="248"/>
      <c r="H390" s="32"/>
      <c r="I390" s="248"/>
      <c r="J390" s="248"/>
      <c r="K390" s="251"/>
      <c r="L390" s="238"/>
      <c r="M390" s="248"/>
      <c r="N390" s="248"/>
      <c r="O390" s="248"/>
      <c r="P390" s="250"/>
      <c r="Q390" s="252"/>
      <c r="R390" s="248"/>
      <c r="S390" s="248"/>
      <c r="T390" s="248"/>
      <c r="U390" s="248"/>
      <c r="V390" s="248"/>
      <c r="W390" s="248"/>
      <c r="X390" s="248"/>
      <c r="Y390" s="248"/>
      <c r="Z390" s="253"/>
      <c r="AA390" s="253"/>
      <c r="AB390" s="253"/>
      <c r="AC390" s="253"/>
      <c r="AD390" s="253"/>
      <c r="AE390" s="253"/>
      <c r="AF390" s="254"/>
      <c r="AG390" s="257"/>
      <c r="AH390" s="257"/>
      <c r="AI390" s="257"/>
      <c r="AJ390" s="258"/>
      <c r="AK390" s="259"/>
      <c r="AL390" s="257"/>
      <c r="AM390" s="257"/>
      <c r="AN390" s="257"/>
      <c r="AO390" s="257"/>
      <c r="AP390" s="257"/>
      <c r="AQ390" s="258"/>
      <c r="AR390" s="260"/>
      <c r="AS390" s="257"/>
      <c r="AT390" s="257"/>
      <c r="AU390" s="257"/>
      <c r="AV390" s="257"/>
      <c r="AW390" s="257"/>
      <c r="AX390" s="258"/>
      <c r="AY390" s="260"/>
      <c r="AZ390" s="257"/>
      <c r="BA390" s="257"/>
      <c r="BB390" s="257"/>
      <c r="BC390" s="257"/>
      <c r="BD390" s="258"/>
      <c r="BE390" s="260"/>
      <c r="BF390" s="258"/>
      <c r="BG390" s="260"/>
      <c r="BH390" s="257"/>
      <c r="BI390" s="14"/>
    </row>
    <row r="391" spans="1:61" ht="13.15" x14ac:dyDescent="0.4">
      <c r="A391" s="248"/>
      <c r="B391" s="256"/>
      <c r="C391" s="248"/>
      <c r="D391" s="248"/>
      <c r="E391" s="248"/>
      <c r="F391" s="250"/>
      <c r="G391" s="248"/>
      <c r="H391" s="32"/>
      <c r="I391" s="248"/>
      <c r="J391" s="248"/>
      <c r="K391" s="251"/>
      <c r="L391" s="238"/>
      <c r="M391" s="248"/>
      <c r="N391" s="248"/>
      <c r="O391" s="248"/>
      <c r="P391" s="250"/>
      <c r="Q391" s="252"/>
      <c r="R391" s="248"/>
      <c r="S391" s="248"/>
      <c r="T391" s="248"/>
      <c r="U391" s="248"/>
      <c r="V391" s="248"/>
      <c r="W391" s="248"/>
      <c r="X391" s="248"/>
      <c r="Y391" s="248"/>
      <c r="Z391" s="253"/>
      <c r="AA391" s="253"/>
      <c r="AB391" s="253"/>
      <c r="AC391" s="253"/>
      <c r="AD391" s="253"/>
      <c r="AE391" s="253"/>
      <c r="AF391" s="254"/>
      <c r="AG391" s="257"/>
      <c r="AH391" s="257"/>
      <c r="AI391" s="257"/>
      <c r="AJ391" s="258"/>
      <c r="AK391" s="259"/>
      <c r="AL391" s="257"/>
      <c r="AM391" s="257"/>
      <c r="AN391" s="257"/>
      <c r="AO391" s="257"/>
      <c r="AP391" s="257"/>
      <c r="AQ391" s="258"/>
      <c r="AR391" s="260"/>
      <c r="AS391" s="257"/>
      <c r="AT391" s="257"/>
      <c r="AU391" s="257"/>
      <c r="AV391" s="257"/>
      <c r="AW391" s="257"/>
      <c r="AX391" s="258"/>
      <c r="AY391" s="260"/>
      <c r="AZ391" s="257"/>
      <c r="BA391" s="257"/>
      <c r="BB391" s="257"/>
      <c r="BC391" s="257"/>
      <c r="BD391" s="258"/>
      <c r="BE391" s="260"/>
      <c r="BF391" s="258"/>
      <c r="BG391" s="260"/>
      <c r="BH391" s="257"/>
      <c r="BI391" s="14"/>
    </row>
    <row r="392" spans="1:61" ht="13.15" x14ac:dyDescent="0.4">
      <c r="A392" s="248"/>
      <c r="B392" s="256"/>
      <c r="C392" s="248"/>
      <c r="D392" s="248"/>
      <c r="E392" s="248"/>
      <c r="F392" s="250"/>
      <c r="G392" s="248"/>
      <c r="H392" s="32"/>
      <c r="I392" s="248"/>
      <c r="J392" s="248"/>
      <c r="K392" s="251"/>
      <c r="L392" s="238"/>
      <c r="M392" s="248"/>
      <c r="N392" s="248"/>
      <c r="O392" s="248"/>
      <c r="P392" s="250"/>
      <c r="Q392" s="252"/>
      <c r="R392" s="248"/>
      <c r="S392" s="248"/>
      <c r="T392" s="248"/>
      <c r="U392" s="248"/>
      <c r="V392" s="248"/>
      <c r="W392" s="248"/>
      <c r="X392" s="248"/>
      <c r="Y392" s="248"/>
      <c r="Z392" s="253"/>
      <c r="AA392" s="253"/>
      <c r="AB392" s="253"/>
      <c r="AC392" s="253"/>
      <c r="AD392" s="253"/>
      <c r="AE392" s="253"/>
      <c r="AF392" s="254"/>
      <c r="AG392" s="257"/>
      <c r="AH392" s="257"/>
      <c r="AI392" s="257"/>
      <c r="AJ392" s="258"/>
      <c r="AK392" s="259"/>
      <c r="AL392" s="257"/>
      <c r="AM392" s="257"/>
      <c r="AN392" s="257"/>
      <c r="AO392" s="257"/>
      <c r="AP392" s="257"/>
      <c r="AQ392" s="258"/>
      <c r="AR392" s="260"/>
      <c r="AS392" s="257"/>
      <c r="AT392" s="257"/>
      <c r="AU392" s="257"/>
      <c r="AV392" s="257"/>
      <c r="AW392" s="257"/>
      <c r="AX392" s="258"/>
      <c r="AY392" s="260"/>
      <c r="AZ392" s="257"/>
      <c r="BA392" s="257"/>
      <c r="BB392" s="257"/>
      <c r="BC392" s="257"/>
      <c r="BD392" s="258"/>
      <c r="BE392" s="260"/>
      <c r="BF392" s="258"/>
      <c r="BG392" s="260"/>
      <c r="BH392" s="257"/>
      <c r="BI392" s="14"/>
    </row>
    <row r="393" spans="1:61" ht="13.15" x14ac:dyDescent="0.4">
      <c r="A393" s="248"/>
      <c r="B393" s="256"/>
      <c r="C393" s="248"/>
      <c r="D393" s="248"/>
      <c r="E393" s="248"/>
      <c r="F393" s="250"/>
      <c r="G393" s="248"/>
      <c r="H393" s="32"/>
      <c r="I393" s="248"/>
      <c r="J393" s="248"/>
      <c r="K393" s="251"/>
      <c r="L393" s="238"/>
      <c r="M393" s="248"/>
      <c r="N393" s="248"/>
      <c r="O393" s="248"/>
      <c r="P393" s="250"/>
      <c r="Q393" s="252"/>
      <c r="R393" s="248"/>
      <c r="S393" s="248"/>
      <c r="T393" s="248"/>
      <c r="U393" s="248"/>
      <c r="V393" s="248"/>
      <c r="W393" s="248"/>
      <c r="X393" s="248"/>
      <c r="Y393" s="248"/>
      <c r="Z393" s="253"/>
      <c r="AA393" s="253"/>
      <c r="AB393" s="253"/>
      <c r="AC393" s="253"/>
      <c r="AD393" s="253"/>
      <c r="AE393" s="253"/>
      <c r="AF393" s="254"/>
      <c r="AG393" s="257"/>
      <c r="AH393" s="257"/>
      <c r="AI393" s="257"/>
      <c r="AJ393" s="258"/>
      <c r="AK393" s="259"/>
      <c r="AL393" s="257"/>
      <c r="AM393" s="257"/>
      <c r="AN393" s="257"/>
      <c r="AO393" s="257"/>
      <c r="AP393" s="257"/>
      <c r="AQ393" s="258"/>
      <c r="AR393" s="260"/>
      <c r="AS393" s="257"/>
      <c r="AT393" s="257"/>
      <c r="AU393" s="257"/>
      <c r="AV393" s="257"/>
      <c r="AW393" s="257"/>
      <c r="AX393" s="258"/>
      <c r="AY393" s="260"/>
      <c r="AZ393" s="257"/>
      <c r="BA393" s="257"/>
      <c r="BB393" s="257"/>
      <c r="BC393" s="257"/>
      <c r="BD393" s="258"/>
      <c r="BE393" s="260"/>
      <c r="BF393" s="258"/>
      <c r="BG393" s="260"/>
      <c r="BH393" s="257"/>
      <c r="BI393" s="14"/>
    </row>
    <row r="394" spans="1:61" ht="13.15" x14ac:dyDescent="0.4">
      <c r="A394" s="248"/>
      <c r="B394" s="256"/>
      <c r="C394" s="248"/>
      <c r="D394" s="248"/>
      <c r="E394" s="248"/>
      <c r="F394" s="250"/>
      <c r="G394" s="248"/>
      <c r="H394" s="32"/>
      <c r="I394" s="248"/>
      <c r="J394" s="248"/>
      <c r="K394" s="251"/>
      <c r="L394" s="238"/>
      <c r="M394" s="248"/>
      <c r="N394" s="248"/>
      <c r="O394" s="248"/>
      <c r="P394" s="250"/>
      <c r="Q394" s="252"/>
      <c r="R394" s="248"/>
      <c r="S394" s="248"/>
      <c r="T394" s="248"/>
      <c r="U394" s="248"/>
      <c r="V394" s="248"/>
      <c r="W394" s="248"/>
      <c r="X394" s="248"/>
      <c r="Y394" s="248"/>
      <c r="Z394" s="253"/>
      <c r="AA394" s="253"/>
      <c r="AB394" s="253"/>
      <c r="AC394" s="253"/>
      <c r="AD394" s="253"/>
      <c r="AE394" s="253"/>
      <c r="AF394" s="254"/>
      <c r="AG394" s="257"/>
      <c r="AH394" s="257"/>
      <c r="AI394" s="257"/>
      <c r="AJ394" s="258"/>
      <c r="AK394" s="259"/>
      <c r="AL394" s="257"/>
      <c r="AM394" s="257"/>
      <c r="AN394" s="257"/>
      <c r="AO394" s="257"/>
      <c r="AP394" s="257"/>
      <c r="AQ394" s="258"/>
      <c r="AR394" s="260"/>
      <c r="AS394" s="257"/>
      <c r="AT394" s="257"/>
      <c r="AU394" s="257"/>
      <c r="AV394" s="257"/>
      <c r="AW394" s="257"/>
      <c r="AX394" s="258"/>
      <c r="AY394" s="260"/>
      <c r="AZ394" s="257"/>
      <c r="BA394" s="257"/>
      <c r="BB394" s="257"/>
      <c r="BC394" s="257"/>
      <c r="BD394" s="258"/>
      <c r="BE394" s="260"/>
      <c r="BF394" s="258"/>
      <c r="BG394" s="260"/>
      <c r="BH394" s="257"/>
      <c r="BI394" s="14"/>
    </row>
    <row r="395" spans="1:61" ht="13.15" x14ac:dyDescent="0.4">
      <c r="A395" s="248"/>
      <c r="B395" s="256"/>
      <c r="C395" s="248"/>
      <c r="D395" s="248"/>
      <c r="E395" s="248"/>
      <c r="F395" s="250"/>
      <c r="G395" s="248"/>
      <c r="H395" s="32"/>
      <c r="I395" s="248"/>
      <c r="J395" s="248"/>
      <c r="K395" s="251"/>
      <c r="L395" s="238"/>
      <c r="M395" s="248"/>
      <c r="N395" s="248"/>
      <c r="O395" s="248"/>
      <c r="P395" s="250"/>
      <c r="Q395" s="252"/>
      <c r="R395" s="248"/>
      <c r="S395" s="248"/>
      <c r="T395" s="248"/>
      <c r="U395" s="248"/>
      <c r="V395" s="248"/>
      <c r="W395" s="248"/>
      <c r="X395" s="248"/>
      <c r="Y395" s="248"/>
      <c r="Z395" s="253"/>
      <c r="AA395" s="253"/>
      <c r="AB395" s="253"/>
      <c r="AC395" s="253"/>
      <c r="AD395" s="253"/>
      <c r="AE395" s="253"/>
      <c r="AF395" s="254"/>
      <c r="AG395" s="257"/>
      <c r="AH395" s="257"/>
      <c r="AI395" s="257"/>
      <c r="AJ395" s="258"/>
      <c r="AK395" s="259"/>
      <c r="AL395" s="257"/>
      <c r="AM395" s="257"/>
      <c r="AN395" s="257"/>
      <c r="AO395" s="257"/>
      <c r="AP395" s="257"/>
      <c r="AQ395" s="258"/>
      <c r="AR395" s="260"/>
      <c r="AS395" s="257"/>
      <c r="AT395" s="257"/>
      <c r="AU395" s="257"/>
      <c r="AV395" s="257"/>
      <c r="AW395" s="257"/>
      <c r="AX395" s="258"/>
      <c r="AY395" s="260"/>
      <c r="AZ395" s="257"/>
      <c r="BA395" s="257"/>
      <c r="BB395" s="257"/>
      <c r="BC395" s="257"/>
      <c r="BD395" s="258"/>
      <c r="BE395" s="260"/>
      <c r="BF395" s="258"/>
      <c r="BG395" s="260"/>
      <c r="BH395" s="257"/>
      <c r="BI395" s="14"/>
    </row>
    <row r="396" spans="1:61" ht="13.15" x14ac:dyDescent="0.4">
      <c r="A396" s="248"/>
      <c r="B396" s="256"/>
      <c r="C396" s="248"/>
      <c r="D396" s="248"/>
      <c r="E396" s="248"/>
      <c r="F396" s="250"/>
      <c r="G396" s="248"/>
      <c r="H396" s="32"/>
      <c r="I396" s="248"/>
      <c r="J396" s="248"/>
      <c r="K396" s="251"/>
      <c r="L396" s="238"/>
      <c r="M396" s="248"/>
      <c r="N396" s="248"/>
      <c r="O396" s="248"/>
      <c r="P396" s="250"/>
      <c r="Q396" s="252"/>
      <c r="R396" s="248"/>
      <c r="S396" s="248"/>
      <c r="T396" s="248"/>
      <c r="U396" s="248"/>
      <c r="V396" s="248"/>
      <c r="W396" s="248"/>
      <c r="X396" s="248"/>
      <c r="Y396" s="248"/>
      <c r="Z396" s="253"/>
      <c r="AA396" s="253"/>
      <c r="AB396" s="253"/>
      <c r="AC396" s="253"/>
      <c r="AD396" s="253"/>
      <c r="AE396" s="253"/>
      <c r="AF396" s="254"/>
      <c r="AG396" s="257"/>
      <c r="AH396" s="257"/>
      <c r="AI396" s="257"/>
      <c r="AJ396" s="258"/>
      <c r="AK396" s="259"/>
      <c r="AL396" s="257"/>
      <c r="AM396" s="257"/>
      <c r="AN396" s="257"/>
      <c r="AO396" s="257"/>
      <c r="AP396" s="257"/>
      <c r="AQ396" s="258"/>
      <c r="AR396" s="260"/>
      <c r="AS396" s="257"/>
      <c r="AT396" s="257"/>
      <c r="AU396" s="257"/>
      <c r="AV396" s="257"/>
      <c r="AW396" s="257"/>
      <c r="AX396" s="258"/>
      <c r="AY396" s="260"/>
      <c r="AZ396" s="257"/>
      <c r="BA396" s="257"/>
      <c r="BB396" s="257"/>
      <c r="BC396" s="257"/>
      <c r="BD396" s="258"/>
      <c r="BE396" s="260"/>
      <c r="BF396" s="258"/>
      <c r="BG396" s="260"/>
      <c r="BH396" s="257"/>
      <c r="BI396" s="14"/>
    </row>
    <row r="397" spans="1:61" ht="13.15" x14ac:dyDescent="0.4">
      <c r="A397" s="248"/>
      <c r="B397" s="256"/>
      <c r="C397" s="248"/>
      <c r="D397" s="248"/>
      <c r="E397" s="248"/>
      <c r="F397" s="250"/>
      <c r="G397" s="248"/>
      <c r="H397" s="32"/>
      <c r="I397" s="248"/>
      <c r="J397" s="248"/>
      <c r="K397" s="251"/>
      <c r="L397" s="238"/>
      <c r="M397" s="248"/>
      <c r="N397" s="248"/>
      <c r="O397" s="248"/>
      <c r="P397" s="250"/>
      <c r="Q397" s="252"/>
      <c r="R397" s="248"/>
      <c r="S397" s="248"/>
      <c r="T397" s="248"/>
      <c r="U397" s="248"/>
      <c r="V397" s="248"/>
      <c r="W397" s="248"/>
      <c r="X397" s="248"/>
      <c r="Y397" s="248"/>
      <c r="Z397" s="253"/>
      <c r="AA397" s="253"/>
      <c r="AB397" s="253"/>
      <c r="AC397" s="253"/>
      <c r="AD397" s="253"/>
      <c r="AE397" s="253"/>
      <c r="AF397" s="254"/>
      <c r="AG397" s="257"/>
      <c r="AH397" s="257"/>
      <c r="AI397" s="257"/>
      <c r="AJ397" s="258"/>
      <c r="AK397" s="259"/>
      <c r="AL397" s="257"/>
      <c r="AM397" s="257"/>
      <c r="AN397" s="257"/>
      <c r="AO397" s="257"/>
      <c r="AP397" s="257"/>
      <c r="AQ397" s="258"/>
      <c r="AR397" s="260"/>
      <c r="AS397" s="257"/>
      <c r="AT397" s="257"/>
      <c r="AU397" s="257"/>
      <c r="AV397" s="257"/>
      <c r="AW397" s="257"/>
      <c r="AX397" s="258"/>
      <c r="AY397" s="260"/>
      <c r="AZ397" s="257"/>
      <c r="BA397" s="257"/>
      <c r="BB397" s="257"/>
      <c r="BC397" s="257"/>
      <c r="BD397" s="258"/>
      <c r="BE397" s="260"/>
      <c r="BF397" s="258"/>
      <c r="BG397" s="260"/>
      <c r="BH397" s="257"/>
      <c r="BI397" s="14"/>
    </row>
    <row r="398" spans="1:61" ht="13.15" x14ac:dyDescent="0.4">
      <c r="A398" s="248"/>
      <c r="B398" s="256"/>
      <c r="C398" s="248"/>
      <c r="D398" s="248"/>
      <c r="E398" s="248"/>
      <c r="F398" s="250"/>
      <c r="G398" s="248"/>
      <c r="H398" s="32"/>
      <c r="I398" s="248"/>
      <c r="J398" s="248"/>
      <c r="K398" s="251"/>
      <c r="L398" s="238"/>
      <c r="M398" s="248"/>
      <c r="N398" s="248"/>
      <c r="O398" s="248"/>
      <c r="P398" s="250"/>
      <c r="Q398" s="252"/>
      <c r="R398" s="248"/>
      <c r="S398" s="248"/>
      <c r="T398" s="248"/>
      <c r="U398" s="248"/>
      <c r="V398" s="248"/>
      <c r="W398" s="248"/>
      <c r="X398" s="248"/>
      <c r="Y398" s="248"/>
      <c r="Z398" s="253"/>
      <c r="AA398" s="253"/>
      <c r="AB398" s="253"/>
      <c r="AC398" s="253"/>
      <c r="AD398" s="253"/>
      <c r="AE398" s="253"/>
      <c r="AF398" s="254"/>
      <c r="AG398" s="257"/>
      <c r="AH398" s="257"/>
      <c r="AI398" s="257"/>
      <c r="AJ398" s="258"/>
      <c r="AK398" s="259"/>
      <c r="AL398" s="257"/>
      <c r="AM398" s="257"/>
      <c r="AN398" s="257"/>
      <c r="AO398" s="257"/>
      <c r="AP398" s="257"/>
      <c r="AQ398" s="258"/>
      <c r="AR398" s="260"/>
      <c r="AS398" s="257"/>
      <c r="AT398" s="257"/>
      <c r="AU398" s="257"/>
      <c r="AV398" s="257"/>
      <c r="AW398" s="257"/>
      <c r="AX398" s="258"/>
      <c r="AY398" s="260"/>
      <c r="AZ398" s="257"/>
      <c r="BA398" s="257"/>
      <c r="BB398" s="257"/>
      <c r="BC398" s="257"/>
      <c r="BD398" s="258"/>
      <c r="BE398" s="260"/>
      <c r="BF398" s="258"/>
      <c r="BG398" s="260"/>
      <c r="BH398" s="257"/>
      <c r="BI398" s="14"/>
    </row>
    <row r="399" spans="1:61" ht="13.15" x14ac:dyDescent="0.4">
      <c r="A399" s="248"/>
      <c r="B399" s="256"/>
      <c r="C399" s="248"/>
      <c r="D399" s="248"/>
      <c r="E399" s="248"/>
      <c r="F399" s="250"/>
      <c r="G399" s="248"/>
      <c r="H399" s="32"/>
      <c r="I399" s="248"/>
      <c r="J399" s="248"/>
      <c r="K399" s="251"/>
      <c r="L399" s="238"/>
      <c r="M399" s="248"/>
      <c r="N399" s="248"/>
      <c r="O399" s="248"/>
      <c r="P399" s="250"/>
      <c r="Q399" s="252"/>
      <c r="R399" s="248"/>
      <c r="S399" s="248"/>
      <c r="T399" s="248"/>
      <c r="U399" s="248"/>
      <c r="V399" s="248"/>
      <c r="W399" s="248"/>
      <c r="X399" s="248"/>
      <c r="Y399" s="248"/>
      <c r="Z399" s="253"/>
      <c r="AA399" s="253"/>
      <c r="AB399" s="253"/>
      <c r="AC399" s="253"/>
      <c r="AD399" s="253"/>
      <c r="AE399" s="253"/>
      <c r="AF399" s="254"/>
      <c r="AG399" s="257"/>
      <c r="AH399" s="257"/>
      <c r="AI399" s="257"/>
      <c r="AJ399" s="258"/>
      <c r="AK399" s="259"/>
      <c r="AL399" s="257"/>
      <c r="AM399" s="257"/>
      <c r="AN399" s="257"/>
      <c r="AO399" s="257"/>
      <c r="AP399" s="257"/>
      <c r="AQ399" s="258"/>
      <c r="AR399" s="260"/>
      <c r="AS399" s="257"/>
      <c r="AT399" s="257"/>
      <c r="AU399" s="257"/>
      <c r="AV399" s="257"/>
      <c r="AW399" s="257"/>
      <c r="AX399" s="258"/>
      <c r="AY399" s="260"/>
      <c r="AZ399" s="257"/>
      <c r="BA399" s="257"/>
      <c r="BB399" s="257"/>
      <c r="BC399" s="257"/>
      <c r="BD399" s="258"/>
      <c r="BE399" s="260"/>
      <c r="BF399" s="258"/>
      <c r="BG399" s="260"/>
      <c r="BH399" s="257"/>
      <c r="BI399" s="14"/>
    </row>
    <row r="400" spans="1:61" ht="13.15" x14ac:dyDescent="0.4">
      <c r="A400" s="248"/>
      <c r="B400" s="256"/>
      <c r="C400" s="248"/>
      <c r="D400" s="248"/>
      <c r="E400" s="248"/>
      <c r="F400" s="250"/>
      <c r="G400" s="248"/>
      <c r="H400" s="32"/>
      <c r="I400" s="248"/>
      <c r="J400" s="248"/>
      <c r="K400" s="251"/>
      <c r="L400" s="238"/>
      <c r="M400" s="248"/>
      <c r="N400" s="248"/>
      <c r="O400" s="248"/>
      <c r="P400" s="250"/>
      <c r="Q400" s="252"/>
      <c r="R400" s="248"/>
      <c r="S400" s="248"/>
      <c r="T400" s="248"/>
      <c r="U400" s="248"/>
      <c r="V400" s="248"/>
      <c r="W400" s="248"/>
      <c r="X400" s="248"/>
      <c r="Y400" s="248"/>
      <c r="Z400" s="253"/>
      <c r="AA400" s="253"/>
      <c r="AB400" s="253"/>
      <c r="AC400" s="253"/>
      <c r="AD400" s="253"/>
      <c r="AE400" s="253"/>
      <c r="AF400" s="254"/>
      <c r="AG400" s="257"/>
      <c r="AH400" s="257"/>
      <c r="AI400" s="257"/>
      <c r="AJ400" s="258"/>
      <c r="AK400" s="259"/>
      <c r="AL400" s="257"/>
      <c r="AM400" s="257"/>
      <c r="AN400" s="257"/>
      <c r="AO400" s="257"/>
      <c r="AP400" s="257"/>
      <c r="AQ400" s="258"/>
      <c r="AR400" s="260"/>
      <c r="AS400" s="257"/>
      <c r="AT400" s="257"/>
      <c r="AU400" s="257"/>
      <c r="AV400" s="257"/>
      <c r="AW400" s="257"/>
      <c r="AX400" s="258"/>
      <c r="AY400" s="260"/>
      <c r="AZ400" s="257"/>
      <c r="BA400" s="257"/>
      <c r="BB400" s="257"/>
      <c r="BC400" s="257"/>
      <c r="BD400" s="258"/>
      <c r="BE400" s="260"/>
      <c r="BF400" s="258"/>
      <c r="BG400" s="260"/>
      <c r="BH400" s="257"/>
      <c r="BI400" s="14"/>
    </row>
    <row r="401" spans="1:61" ht="13.15" x14ac:dyDescent="0.4">
      <c r="A401" s="248"/>
      <c r="B401" s="256"/>
      <c r="C401" s="248"/>
      <c r="D401" s="248"/>
      <c r="E401" s="248"/>
      <c r="F401" s="250"/>
      <c r="G401" s="248"/>
      <c r="H401" s="32"/>
      <c r="I401" s="248"/>
      <c r="J401" s="248"/>
      <c r="K401" s="251"/>
      <c r="L401" s="238"/>
      <c r="M401" s="248"/>
      <c r="N401" s="248"/>
      <c r="O401" s="248"/>
      <c r="P401" s="250"/>
      <c r="Q401" s="252"/>
      <c r="R401" s="248"/>
      <c r="S401" s="248"/>
      <c r="T401" s="248"/>
      <c r="U401" s="248"/>
      <c r="V401" s="248"/>
      <c r="W401" s="248"/>
      <c r="X401" s="248"/>
      <c r="Y401" s="248"/>
      <c r="Z401" s="253"/>
      <c r="AA401" s="253"/>
      <c r="AB401" s="253"/>
      <c r="AC401" s="253"/>
      <c r="AD401" s="253"/>
      <c r="AE401" s="253"/>
      <c r="AF401" s="254"/>
      <c r="AG401" s="257"/>
      <c r="AH401" s="257"/>
      <c r="AI401" s="257"/>
      <c r="AJ401" s="258"/>
      <c r="AK401" s="259"/>
      <c r="AL401" s="257"/>
      <c r="AM401" s="257"/>
      <c r="AN401" s="257"/>
      <c r="AO401" s="257"/>
      <c r="AP401" s="257"/>
      <c r="AQ401" s="258"/>
      <c r="AR401" s="260"/>
      <c r="AS401" s="257"/>
      <c r="AT401" s="257"/>
      <c r="AU401" s="257"/>
      <c r="AV401" s="257"/>
      <c r="AW401" s="257"/>
      <c r="AX401" s="258"/>
      <c r="AY401" s="260"/>
      <c r="AZ401" s="257"/>
      <c r="BA401" s="257"/>
      <c r="BB401" s="257"/>
      <c r="BC401" s="257"/>
      <c r="BD401" s="258"/>
      <c r="BE401" s="260"/>
      <c r="BF401" s="258"/>
      <c r="BG401" s="260"/>
      <c r="BH401" s="257"/>
      <c r="BI401" s="14"/>
    </row>
    <row r="402" spans="1:61" ht="13.15" x14ac:dyDescent="0.4">
      <c r="A402" s="248"/>
      <c r="B402" s="256"/>
      <c r="C402" s="248"/>
      <c r="D402" s="248"/>
      <c r="E402" s="248"/>
      <c r="F402" s="250"/>
      <c r="G402" s="248"/>
      <c r="H402" s="32"/>
      <c r="I402" s="248"/>
      <c r="J402" s="248"/>
      <c r="K402" s="251"/>
      <c r="L402" s="238"/>
      <c r="M402" s="248"/>
      <c r="N402" s="248"/>
      <c r="O402" s="248"/>
      <c r="P402" s="250"/>
      <c r="Q402" s="252"/>
      <c r="R402" s="248"/>
      <c r="S402" s="248"/>
      <c r="T402" s="248"/>
      <c r="U402" s="248"/>
      <c r="V402" s="248"/>
      <c r="W402" s="248"/>
      <c r="X402" s="248"/>
      <c r="Y402" s="248"/>
      <c r="Z402" s="253"/>
      <c r="AA402" s="253"/>
      <c r="AB402" s="253"/>
      <c r="AC402" s="253"/>
      <c r="AD402" s="253"/>
      <c r="AE402" s="253"/>
      <c r="AF402" s="254"/>
      <c r="AG402" s="257"/>
      <c r="AH402" s="257"/>
      <c r="AI402" s="257"/>
      <c r="AJ402" s="258"/>
      <c r="AK402" s="259"/>
      <c r="AL402" s="257"/>
      <c r="AM402" s="257"/>
      <c r="AN402" s="257"/>
      <c r="AO402" s="257"/>
      <c r="AP402" s="257"/>
      <c r="AQ402" s="258"/>
      <c r="AR402" s="260"/>
      <c r="AS402" s="257"/>
      <c r="AT402" s="257"/>
      <c r="AU402" s="257"/>
      <c r="AV402" s="257"/>
      <c r="AW402" s="257"/>
      <c r="AX402" s="258"/>
      <c r="AY402" s="260"/>
      <c r="AZ402" s="257"/>
      <c r="BA402" s="257"/>
      <c r="BB402" s="257"/>
      <c r="BC402" s="257"/>
      <c r="BD402" s="258"/>
      <c r="BE402" s="260"/>
      <c r="BF402" s="258"/>
      <c r="BG402" s="260"/>
      <c r="BH402" s="257"/>
      <c r="BI402" s="14"/>
    </row>
    <row r="403" spans="1:61" ht="13.15" x14ac:dyDescent="0.4">
      <c r="A403" s="248"/>
      <c r="B403" s="256"/>
      <c r="C403" s="248"/>
      <c r="D403" s="248"/>
      <c r="E403" s="248"/>
      <c r="F403" s="250"/>
      <c r="G403" s="248"/>
      <c r="H403" s="32"/>
      <c r="I403" s="248"/>
      <c r="J403" s="248"/>
      <c r="K403" s="251"/>
      <c r="L403" s="238"/>
      <c r="M403" s="248"/>
      <c r="N403" s="248"/>
      <c r="O403" s="248"/>
      <c r="P403" s="250"/>
      <c r="Q403" s="252"/>
      <c r="R403" s="248"/>
      <c r="S403" s="248"/>
      <c r="T403" s="248"/>
      <c r="U403" s="248"/>
      <c r="V403" s="248"/>
      <c r="W403" s="248"/>
      <c r="X403" s="248"/>
      <c r="Y403" s="248"/>
      <c r="Z403" s="253"/>
      <c r="AA403" s="253"/>
      <c r="AB403" s="253"/>
      <c r="AC403" s="253"/>
      <c r="AD403" s="253"/>
      <c r="AE403" s="253"/>
      <c r="AF403" s="254"/>
      <c r="AG403" s="257"/>
      <c r="AH403" s="257"/>
      <c r="AI403" s="257"/>
      <c r="AJ403" s="258"/>
      <c r="AK403" s="259"/>
      <c r="AL403" s="257"/>
      <c r="AM403" s="257"/>
      <c r="AN403" s="257"/>
      <c r="AO403" s="257"/>
      <c r="AP403" s="257"/>
      <c r="AQ403" s="258"/>
      <c r="AR403" s="260"/>
      <c r="AS403" s="257"/>
      <c r="AT403" s="257"/>
      <c r="AU403" s="257"/>
      <c r="AV403" s="257"/>
      <c r="AW403" s="257"/>
      <c r="AX403" s="258"/>
      <c r="AY403" s="260"/>
      <c r="AZ403" s="257"/>
      <c r="BA403" s="257"/>
      <c r="BB403" s="257"/>
      <c r="BC403" s="257"/>
      <c r="BD403" s="258"/>
      <c r="BE403" s="260"/>
      <c r="BF403" s="258"/>
      <c r="BG403" s="260"/>
      <c r="BH403" s="257"/>
      <c r="BI403" s="14"/>
    </row>
    <row r="404" spans="1:61" ht="13.15" x14ac:dyDescent="0.4">
      <c r="A404" s="248"/>
      <c r="B404" s="256"/>
      <c r="C404" s="248"/>
      <c r="D404" s="248"/>
      <c r="E404" s="248"/>
      <c r="F404" s="250"/>
      <c r="G404" s="248"/>
      <c r="H404" s="32"/>
      <c r="I404" s="248"/>
      <c r="J404" s="248"/>
      <c r="K404" s="251"/>
      <c r="L404" s="238"/>
      <c r="M404" s="248"/>
      <c r="N404" s="248"/>
      <c r="O404" s="248"/>
      <c r="P404" s="250"/>
      <c r="Q404" s="252"/>
      <c r="R404" s="248"/>
      <c r="S404" s="248"/>
      <c r="T404" s="248"/>
      <c r="U404" s="248"/>
      <c r="V404" s="248"/>
      <c r="W404" s="248"/>
      <c r="X404" s="248"/>
      <c r="Y404" s="248"/>
      <c r="Z404" s="253"/>
      <c r="AA404" s="253"/>
      <c r="AB404" s="253"/>
      <c r="AC404" s="253"/>
      <c r="AD404" s="253"/>
      <c r="AE404" s="253"/>
      <c r="AF404" s="254"/>
      <c r="AG404" s="257"/>
      <c r="AH404" s="257"/>
      <c r="AI404" s="257"/>
      <c r="AJ404" s="258"/>
      <c r="AK404" s="259"/>
      <c r="AL404" s="257"/>
      <c r="AM404" s="257"/>
      <c r="AN404" s="257"/>
      <c r="AO404" s="257"/>
      <c r="AP404" s="257"/>
      <c r="AQ404" s="258"/>
      <c r="AR404" s="260"/>
      <c r="AS404" s="257"/>
      <c r="AT404" s="257"/>
      <c r="AU404" s="257"/>
      <c r="AV404" s="257"/>
      <c r="AW404" s="257"/>
      <c r="AX404" s="258"/>
      <c r="AY404" s="260"/>
      <c r="AZ404" s="257"/>
      <c r="BA404" s="257"/>
      <c r="BB404" s="257"/>
      <c r="BC404" s="257"/>
      <c r="BD404" s="258"/>
      <c r="BE404" s="260"/>
      <c r="BF404" s="258"/>
      <c r="BG404" s="260"/>
      <c r="BH404" s="257"/>
      <c r="BI404" s="14"/>
    </row>
    <row r="405" spans="1:61" ht="13.15" x14ac:dyDescent="0.4">
      <c r="A405" s="248"/>
      <c r="B405" s="256"/>
      <c r="C405" s="248"/>
      <c r="D405" s="248"/>
      <c r="E405" s="248"/>
      <c r="F405" s="250"/>
      <c r="G405" s="248"/>
      <c r="H405" s="32"/>
      <c r="I405" s="248"/>
      <c r="J405" s="248"/>
      <c r="K405" s="251"/>
      <c r="L405" s="238"/>
      <c r="M405" s="248"/>
      <c r="N405" s="248"/>
      <c r="O405" s="248"/>
      <c r="P405" s="250"/>
      <c r="Q405" s="252"/>
      <c r="R405" s="248"/>
      <c r="S405" s="248"/>
      <c r="T405" s="248"/>
      <c r="U405" s="248"/>
      <c r="V405" s="248"/>
      <c r="W405" s="248"/>
      <c r="X405" s="248"/>
      <c r="Y405" s="248"/>
      <c r="Z405" s="253"/>
      <c r="AA405" s="253"/>
      <c r="AB405" s="253"/>
      <c r="AC405" s="253"/>
      <c r="AD405" s="253"/>
      <c r="AE405" s="253"/>
      <c r="AF405" s="254"/>
      <c r="AG405" s="257"/>
      <c r="AH405" s="257"/>
      <c r="AI405" s="257"/>
      <c r="AJ405" s="258"/>
      <c r="AK405" s="259"/>
      <c r="AL405" s="257"/>
      <c r="AM405" s="257"/>
      <c r="AN405" s="257"/>
      <c r="AO405" s="257"/>
      <c r="AP405" s="257"/>
      <c r="AQ405" s="258"/>
      <c r="AR405" s="260"/>
      <c r="AS405" s="257"/>
      <c r="AT405" s="257"/>
      <c r="AU405" s="257"/>
      <c r="AV405" s="257"/>
      <c r="AW405" s="257"/>
      <c r="AX405" s="258"/>
      <c r="AY405" s="260"/>
      <c r="AZ405" s="257"/>
      <c r="BA405" s="257"/>
      <c r="BB405" s="257"/>
      <c r="BC405" s="257"/>
      <c r="BD405" s="258"/>
      <c r="BE405" s="260"/>
      <c r="BF405" s="258"/>
      <c r="BG405" s="260"/>
      <c r="BH405" s="257"/>
      <c r="BI405" s="14"/>
    </row>
    <row r="406" spans="1:61" ht="13.15" x14ac:dyDescent="0.4">
      <c r="A406" s="248"/>
      <c r="B406" s="256"/>
      <c r="C406" s="248"/>
      <c r="D406" s="248"/>
      <c r="E406" s="248"/>
      <c r="F406" s="250"/>
      <c r="G406" s="248"/>
      <c r="H406" s="32"/>
      <c r="I406" s="248"/>
      <c r="J406" s="248"/>
      <c r="K406" s="251"/>
      <c r="L406" s="238"/>
      <c r="M406" s="248"/>
      <c r="N406" s="248"/>
      <c r="O406" s="248"/>
      <c r="P406" s="250"/>
      <c r="Q406" s="252"/>
      <c r="R406" s="248"/>
      <c r="S406" s="248"/>
      <c r="T406" s="248"/>
      <c r="U406" s="248"/>
      <c r="V406" s="248"/>
      <c r="W406" s="248"/>
      <c r="X406" s="248"/>
      <c r="Y406" s="248"/>
      <c r="Z406" s="253"/>
      <c r="AA406" s="253"/>
      <c r="AB406" s="253"/>
      <c r="AC406" s="253"/>
      <c r="AD406" s="253"/>
      <c r="AE406" s="253"/>
      <c r="AF406" s="254"/>
      <c r="AG406" s="257"/>
      <c r="AH406" s="257"/>
      <c r="AI406" s="257"/>
      <c r="AJ406" s="258"/>
      <c r="AK406" s="259"/>
      <c r="AL406" s="257"/>
      <c r="AM406" s="257"/>
      <c r="AN406" s="257"/>
      <c r="AO406" s="257"/>
      <c r="AP406" s="257"/>
      <c r="AQ406" s="258"/>
      <c r="AR406" s="260"/>
      <c r="AS406" s="257"/>
      <c r="AT406" s="257"/>
      <c r="AU406" s="257"/>
      <c r="AV406" s="257"/>
      <c r="AW406" s="257"/>
      <c r="AX406" s="258"/>
      <c r="AY406" s="260"/>
      <c r="AZ406" s="257"/>
      <c r="BA406" s="257"/>
      <c r="BB406" s="257"/>
      <c r="BC406" s="257"/>
      <c r="BD406" s="258"/>
      <c r="BE406" s="260"/>
      <c r="BF406" s="258"/>
      <c r="BG406" s="260"/>
      <c r="BH406" s="257"/>
      <c r="BI406" s="14"/>
    </row>
    <row r="407" spans="1:61" ht="13.15" x14ac:dyDescent="0.4">
      <c r="A407" s="248"/>
      <c r="B407" s="256"/>
      <c r="C407" s="248"/>
      <c r="D407" s="248"/>
      <c r="E407" s="248"/>
      <c r="F407" s="250"/>
      <c r="G407" s="248"/>
      <c r="H407" s="32"/>
      <c r="I407" s="248"/>
      <c r="J407" s="248"/>
      <c r="K407" s="251"/>
      <c r="L407" s="238"/>
      <c r="M407" s="248"/>
      <c r="N407" s="248"/>
      <c r="O407" s="248"/>
      <c r="P407" s="250"/>
      <c r="Q407" s="252"/>
      <c r="R407" s="248"/>
      <c r="S407" s="248"/>
      <c r="T407" s="248"/>
      <c r="U407" s="248"/>
      <c r="V407" s="248"/>
      <c r="W407" s="248"/>
      <c r="X407" s="248"/>
      <c r="Y407" s="248"/>
      <c r="Z407" s="253"/>
      <c r="AA407" s="253"/>
      <c r="AB407" s="253"/>
      <c r="AC407" s="253"/>
      <c r="AD407" s="253"/>
      <c r="AE407" s="253"/>
      <c r="AF407" s="254"/>
      <c r="AG407" s="257"/>
      <c r="AH407" s="257"/>
      <c r="AI407" s="257"/>
      <c r="AJ407" s="258"/>
      <c r="AK407" s="259"/>
      <c r="AL407" s="257"/>
      <c r="AM407" s="257"/>
      <c r="AN407" s="257"/>
      <c r="AO407" s="257"/>
      <c r="AP407" s="257"/>
      <c r="AQ407" s="258"/>
      <c r="AR407" s="260"/>
      <c r="AS407" s="257"/>
      <c r="AT407" s="257"/>
      <c r="AU407" s="257"/>
      <c r="AV407" s="257"/>
      <c r="AW407" s="257"/>
      <c r="AX407" s="258"/>
      <c r="AY407" s="260"/>
      <c r="AZ407" s="257"/>
      <c r="BA407" s="257"/>
      <c r="BB407" s="257"/>
      <c r="BC407" s="257"/>
      <c r="BD407" s="258"/>
      <c r="BE407" s="260"/>
      <c r="BF407" s="258"/>
      <c r="BG407" s="260"/>
      <c r="BH407" s="257"/>
      <c r="BI407" s="14"/>
    </row>
    <row r="408" spans="1:61" ht="13.15" x14ac:dyDescent="0.4">
      <c r="A408" s="248"/>
      <c r="B408" s="256"/>
      <c r="C408" s="248"/>
      <c r="D408" s="248"/>
      <c r="E408" s="248"/>
      <c r="F408" s="250"/>
      <c r="G408" s="248"/>
      <c r="H408" s="32"/>
      <c r="I408" s="248"/>
      <c r="J408" s="248"/>
      <c r="K408" s="251"/>
      <c r="L408" s="238"/>
      <c r="M408" s="248"/>
      <c r="N408" s="248"/>
      <c r="O408" s="248"/>
      <c r="P408" s="250"/>
      <c r="Q408" s="252"/>
      <c r="R408" s="248"/>
      <c r="S408" s="248"/>
      <c r="T408" s="248"/>
      <c r="U408" s="248"/>
      <c r="V408" s="248"/>
      <c r="W408" s="248"/>
      <c r="X408" s="248"/>
      <c r="Y408" s="248"/>
      <c r="Z408" s="253"/>
      <c r="AA408" s="253"/>
      <c r="AB408" s="253"/>
      <c r="AC408" s="253"/>
      <c r="AD408" s="253"/>
      <c r="AE408" s="253"/>
      <c r="AF408" s="254"/>
      <c r="AG408" s="257"/>
      <c r="AH408" s="257"/>
      <c r="AI408" s="257"/>
      <c r="AJ408" s="258"/>
      <c r="AK408" s="259"/>
      <c r="AL408" s="257"/>
      <c r="AM408" s="257"/>
      <c r="AN408" s="257"/>
      <c r="AO408" s="257"/>
      <c r="AP408" s="257"/>
      <c r="AQ408" s="258"/>
      <c r="AR408" s="260"/>
      <c r="AS408" s="257"/>
      <c r="AT408" s="257"/>
      <c r="AU408" s="257"/>
      <c r="AV408" s="257"/>
      <c r="AW408" s="257"/>
      <c r="AX408" s="258"/>
      <c r="AY408" s="260"/>
      <c r="AZ408" s="257"/>
      <c r="BA408" s="257"/>
      <c r="BB408" s="257"/>
      <c r="BC408" s="257"/>
      <c r="BD408" s="258"/>
      <c r="BE408" s="260"/>
      <c r="BF408" s="258"/>
      <c r="BG408" s="260"/>
      <c r="BH408" s="257"/>
      <c r="BI408" s="14"/>
    </row>
    <row r="409" spans="1:61" ht="13.15" x14ac:dyDescent="0.4">
      <c r="A409" s="248"/>
      <c r="B409" s="256"/>
      <c r="C409" s="248"/>
      <c r="D409" s="248"/>
      <c r="E409" s="248"/>
      <c r="F409" s="250"/>
      <c r="G409" s="248"/>
      <c r="H409" s="32"/>
      <c r="I409" s="248"/>
      <c r="J409" s="248"/>
      <c r="K409" s="251"/>
      <c r="L409" s="238"/>
      <c r="M409" s="248"/>
      <c r="N409" s="248"/>
      <c r="O409" s="248"/>
      <c r="P409" s="250"/>
      <c r="Q409" s="252"/>
      <c r="R409" s="248"/>
      <c r="S409" s="248"/>
      <c r="T409" s="248"/>
      <c r="U409" s="248"/>
      <c r="V409" s="248"/>
      <c r="W409" s="248"/>
      <c r="X409" s="248"/>
      <c r="Y409" s="248"/>
      <c r="Z409" s="253"/>
      <c r="AA409" s="253"/>
      <c r="AB409" s="253"/>
      <c r="AC409" s="253"/>
      <c r="AD409" s="253"/>
      <c r="AE409" s="253"/>
      <c r="AF409" s="254"/>
      <c r="AG409" s="257"/>
      <c r="AH409" s="257"/>
      <c r="AI409" s="257"/>
      <c r="AJ409" s="258"/>
      <c r="AK409" s="259"/>
      <c r="AL409" s="257"/>
      <c r="AM409" s="257"/>
      <c r="AN409" s="257"/>
      <c r="AO409" s="257"/>
      <c r="AP409" s="257"/>
      <c r="AQ409" s="258"/>
      <c r="AR409" s="260"/>
      <c r="AS409" s="257"/>
      <c r="AT409" s="257"/>
      <c r="AU409" s="257"/>
      <c r="AV409" s="257"/>
      <c r="AW409" s="257"/>
      <c r="AX409" s="258"/>
      <c r="AY409" s="260"/>
      <c r="AZ409" s="257"/>
      <c r="BA409" s="257"/>
      <c r="BB409" s="257"/>
      <c r="BC409" s="257"/>
      <c r="BD409" s="258"/>
      <c r="BE409" s="260"/>
      <c r="BF409" s="258"/>
      <c r="BG409" s="260"/>
      <c r="BH409" s="257"/>
      <c r="BI409" s="14"/>
    </row>
    <row r="410" spans="1:61" ht="13.15" x14ac:dyDescent="0.4">
      <c r="A410" s="248"/>
      <c r="B410" s="256"/>
      <c r="C410" s="248"/>
      <c r="D410" s="248"/>
      <c r="E410" s="248"/>
      <c r="F410" s="250"/>
      <c r="G410" s="248"/>
      <c r="H410" s="32"/>
      <c r="I410" s="248"/>
      <c r="J410" s="248"/>
      <c r="K410" s="251"/>
      <c r="L410" s="238"/>
      <c r="M410" s="248"/>
      <c r="N410" s="248"/>
      <c r="O410" s="248"/>
      <c r="P410" s="250"/>
      <c r="Q410" s="252"/>
      <c r="R410" s="248"/>
      <c r="S410" s="248"/>
      <c r="T410" s="248"/>
      <c r="U410" s="248"/>
      <c r="V410" s="248"/>
      <c r="W410" s="248"/>
      <c r="X410" s="248"/>
      <c r="Y410" s="248"/>
      <c r="Z410" s="253"/>
      <c r="AA410" s="253"/>
      <c r="AB410" s="253"/>
      <c r="AC410" s="253"/>
      <c r="AD410" s="253"/>
      <c r="AE410" s="253"/>
      <c r="AF410" s="254"/>
      <c r="AG410" s="257"/>
      <c r="AH410" s="257"/>
      <c r="AI410" s="257"/>
      <c r="AJ410" s="258"/>
      <c r="AK410" s="259"/>
      <c r="AL410" s="257"/>
      <c r="AM410" s="257"/>
      <c r="AN410" s="257"/>
      <c r="AO410" s="257"/>
      <c r="AP410" s="257"/>
      <c r="AQ410" s="258"/>
      <c r="AR410" s="260"/>
      <c r="AS410" s="257"/>
      <c r="AT410" s="257"/>
      <c r="AU410" s="257"/>
      <c r="AV410" s="257"/>
      <c r="AW410" s="257"/>
      <c r="AX410" s="258"/>
      <c r="AY410" s="260"/>
      <c r="AZ410" s="257"/>
      <c r="BA410" s="257"/>
      <c r="BB410" s="257"/>
      <c r="BC410" s="257"/>
      <c r="BD410" s="258"/>
      <c r="BE410" s="260"/>
      <c r="BF410" s="258"/>
      <c r="BG410" s="260"/>
      <c r="BH410" s="257"/>
      <c r="BI410" s="14"/>
    </row>
    <row r="411" spans="1:61" ht="13.15" x14ac:dyDescent="0.4">
      <c r="A411" s="248"/>
      <c r="B411" s="256"/>
      <c r="C411" s="248"/>
      <c r="D411" s="248"/>
      <c r="E411" s="248"/>
      <c r="F411" s="250"/>
      <c r="G411" s="248"/>
      <c r="H411" s="32"/>
      <c r="I411" s="248"/>
      <c r="J411" s="248"/>
      <c r="K411" s="251"/>
      <c r="L411" s="238"/>
      <c r="M411" s="248"/>
      <c r="N411" s="248"/>
      <c r="O411" s="248"/>
      <c r="P411" s="250"/>
      <c r="Q411" s="252"/>
      <c r="R411" s="248"/>
      <c r="S411" s="248"/>
      <c r="T411" s="248"/>
      <c r="U411" s="248"/>
      <c r="V411" s="248"/>
      <c r="W411" s="248"/>
      <c r="X411" s="248"/>
      <c r="Y411" s="248"/>
      <c r="Z411" s="253"/>
      <c r="AA411" s="253"/>
      <c r="AB411" s="253"/>
      <c r="AC411" s="253"/>
      <c r="AD411" s="253"/>
      <c r="AE411" s="253"/>
      <c r="AF411" s="254"/>
      <c r="AG411" s="257"/>
      <c r="AH411" s="257"/>
      <c r="AI411" s="257"/>
      <c r="AJ411" s="258"/>
      <c r="AK411" s="259"/>
      <c r="AL411" s="257"/>
      <c r="AM411" s="257"/>
      <c r="AN411" s="257"/>
      <c r="AO411" s="257"/>
      <c r="AP411" s="257"/>
      <c r="AQ411" s="258"/>
      <c r="AR411" s="260"/>
      <c r="AS411" s="257"/>
      <c r="AT411" s="257"/>
      <c r="AU411" s="257"/>
      <c r="AV411" s="257"/>
      <c r="AW411" s="257"/>
      <c r="AX411" s="258"/>
      <c r="AY411" s="260"/>
      <c r="AZ411" s="257"/>
      <c r="BA411" s="257"/>
      <c r="BB411" s="257"/>
      <c r="BC411" s="257"/>
      <c r="BD411" s="258"/>
      <c r="BE411" s="260"/>
      <c r="BF411" s="258"/>
      <c r="BG411" s="260"/>
      <c r="BH411" s="257"/>
      <c r="BI411" s="14"/>
    </row>
    <row r="412" spans="1:61" ht="13.15" x14ac:dyDescent="0.4">
      <c r="A412" s="248"/>
      <c r="B412" s="256"/>
      <c r="C412" s="248"/>
      <c r="D412" s="248"/>
      <c r="E412" s="248"/>
      <c r="F412" s="250"/>
      <c r="G412" s="248"/>
      <c r="H412" s="32"/>
      <c r="I412" s="248"/>
      <c r="J412" s="248"/>
      <c r="K412" s="251"/>
      <c r="L412" s="238"/>
      <c r="M412" s="248"/>
      <c r="N412" s="248"/>
      <c r="O412" s="248"/>
      <c r="P412" s="250"/>
      <c r="Q412" s="252"/>
      <c r="R412" s="248"/>
      <c r="S412" s="248"/>
      <c r="T412" s="248"/>
      <c r="U412" s="248"/>
      <c r="V412" s="248"/>
      <c r="W412" s="248"/>
      <c r="X412" s="248"/>
      <c r="Y412" s="248"/>
      <c r="Z412" s="253"/>
      <c r="AA412" s="253"/>
      <c r="AB412" s="253"/>
      <c r="AC412" s="253"/>
      <c r="AD412" s="253"/>
      <c r="AE412" s="253"/>
      <c r="AF412" s="254"/>
      <c r="AG412" s="257"/>
      <c r="AH412" s="257"/>
      <c r="AI412" s="257"/>
      <c r="AJ412" s="258"/>
      <c r="AK412" s="259"/>
      <c r="AL412" s="257"/>
      <c r="AM412" s="257"/>
      <c r="AN412" s="257"/>
      <c r="AO412" s="257"/>
      <c r="AP412" s="257"/>
      <c r="AQ412" s="258"/>
      <c r="AR412" s="260"/>
      <c r="AS412" s="257"/>
      <c r="AT412" s="257"/>
      <c r="AU412" s="257"/>
      <c r="AV412" s="257"/>
      <c r="AW412" s="257"/>
      <c r="AX412" s="258"/>
      <c r="AY412" s="260"/>
      <c r="AZ412" s="257"/>
      <c r="BA412" s="257"/>
      <c r="BB412" s="257"/>
      <c r="BC412" s="257"/>
      <c r="BD412" s="258"/>
      <c r="BE412" s="260"/>
      <c r="BF412" s="258"/>
      <c r="BG412" s="260"/>
      <c r="BH412" s="257"/>
      <c r="BI412" s="14"/>
    </row>
    <row r="413" spans="1:61" ht="13.15" x14ac:dyDescent="0.4">
      <c r="A413" s="248"/>
      <c r="B413" s="256"/>
      <c r="C413" s="248"/>
      <c r="D413" s="248"/>
      <c r="E413" s="248"/>
      <c r="F413" s="250"/>
      <c r="G413" s="248"/>
      <c r="H413" s="32"/>
      <c r="I413" s="248"/>
      <c r="J413" s="248"/>
      <c r="K413" s="251"/>
      <c r="L413" s="238"/>
      <c r="M413" s="248"/>
      <c r="N413" s="248"/>
      <c r="O413" s="248"/>
      <c r="P413" s="250"/>
      <c r="Q413" s="252"/>
      <c r="R413" s="248"/>
      <c r="S413" s="248"/>
      <c r="T413" s="248"/>
      <c r="U413" s="248"/>
      <c r="V413" s="248"/>
      <c r="W413" s="248"/>
      <c r="X413" s="248"/>
      <c r="Y413" s="248"/>
      <c r="Z413" s="253"/>
      <c r="AA413" s="253"/>
      <c r="AB413" s="253"/>
      <c r="AC413" s="253"/>
      <c r="AD413" s="253"/>
      <c r="AE413" s="253"/>
      <c r="AF413" s="254"/>
      <c r="AG413" s="257"/>
      <c r="AH413" s="257"/>
      <c r="AI413" s="257"/>
      <c r="AJ413" s="258"/>
      <c r="AK413" s="259"/>
      <c r="AL413" s="257"/>
      <c r="AM413" s="257"/>
      <c r="AN413" s="257"/>
      <c r="AO413" s="257"/>
      <c r="AP413" s="257"/>
      <c r="AQ413" s="258"/>
      <c r="AR413" s="260"/>
      <c r="AS413" s="257"/>
      <c r="AT413" s="257"/>
      <c r="AU413" s="257"/>
      <c r="AV413" s="257"/>
      <c r="AW413" s="257"/>
      <c r="AX413" s="258"/>
      <c r="AY413" s="260"/>
      <c r="AZ413" s="257"/>
      <c r="BA413" s="257"/>
      <c r="BB413" s="257"/>
      <c r="BC413" s="257"/>
      <c r="BD413" s="258"/>
      <c r="BE413" s="260"/>
      <c r="BF413" s="258"/>
      <c r="BG413" s="260"/>
      <c r="BH413" s="257"/>
      <c r="BI413" s="14"/>
    </row>
    <row r="414" spans="1:61" ht="13.15" x14ac:dyDescent="0.4">
      <c r="A414" s="248"/>
      <c r="B414" s="256"/>
      <c r="C414" s="248"/>
      <c r="D414" s="248"/>
      <c r="E414" s="248"/>
      <c r="F414" s="250"/>
      <c r="G414" s="248"/>
      <c r="H414" s="32"/>
      <c r="I414" s="248"/>
      <c r="J414" s="248"/>
      <c r="K414" s="251"/>
      <c r="L414" s="238"/>
      <c r="M414" s="248"/>
      <c r="N414" s="248"/>
      <c r="O414" s="248"/>
      <c r="P414" s="250"/>
      <c r="Q414" s="252"/>
      <c r="R414" s="248"/>
      <c r="S414" s="248"/>
      <c r="T414" s="248"/>
      <c r="U414" s="248"/>
      <c r="V414" s="248"/>
      <c r="W414" s="248"/>
      <c r="X414" s="248"/>
      <c r="Y414" s="248"/>
      <c r="Z414" s="253"/>
      <c r="AA414" s="253"/>
      <c r="AB414" s="253"/>
      <c r="AC414" s="253"/>
      <c r="AD414" s="253"/>
      <c r="AE414" s="253"/>
      <c r="AF414" s="254"/>
      <c r="AG414" s="257"/>
      <c r="AH414" s="257"/>
      <c r="AI414" s="257"/>
      <c r="AJ414" s="258"/>
      <c r="AK414" s="259"/>
      <c r="AL414" s="257"/>
      <c r="AM414" s="257"/>
      <c r="AN414" s="257"/>
      <c r="AO414" s="257"/>
      <c r="AP414" s="257"/>
      <c r="AQ414" s="258"/>
      <c r="AR414" s="260"/>
      <c r="AS414" s="257"/>
      <c r="AT414" s="257"/>
      <c r="AU414" s="257"/>
      <c r="AV414" s="257"/>
      <c r="AW414" s="257"/>
      <c r="AX414" s="258"/>
      <c r="AY414" s="260"/>
      <c r="AZ414" s="257"/>
      <c r="BA414" s="257"/>
      <c r="BB414" s="257"/>
      <c r="BC414" s="257"/>
      <c r="BD414" s="258"/>
      <c r="BE414" s="260"/>
      <c r="BF414" s="258"/>
      <c r="BG414" s="260"/>
      <c r="BH414" s="257"/>
      <c r="BI414" s="14"/>
    </row>
    <row r="415" spans="1:61" ht="13.15" x14ac:dyDescent="0.4">
      <c r="A415" s="248"/>
      <c r="B415" s="256"/>
      <c r="C415" s="248"/>
      <c r="D415" s="248"/>
      <c r="E415" s="248"/>
      <c r="F415" s="250"/>
      <c r="G415" s="248"/>
      <c r="H415" s="32"/>
      <c r="I415" s="248"/>
      <c r="J415" s="248"/>
      <c r="K415" s="251"/>
      <c r="L415" s="238"/>
      <c r="M415" s="248"/>
      <c r="N415" s="248"/>
      <c r="O415" s="248"/>
      <c r="P415" s="250"/>
      <c r="Q415" s="252"/>
      <c r="R415" s="248"/>
      <c r="S415" s="248"/>
      <c r="T415" s="248"/>
      <c r="U415" s="248"/>
      <c r="V415" s="248"/>
      <c r="W415" s="248"/>
      <c r="X415" s="248"/>
      <c r="Y415" s="248"/>
      <c r="Z415" s="253"/>
      <c r="AA415" s="253"/>
      <c r="AB415" s="253"/>
      <c r="AC415" s="253"/>
      <c r="AD415" s="253"/>
      <c r="AE415" s="253"/>
      <c r="AF415" s="254"/>
      <c r="AG415" s="257"/>
      <c r="AH415" s="257"/>
      <c r="AI415" s="257"/>
      <c r="AJ415" s="258"/>
      <c r="AK415" s="259"/>
      <c r="AL415" s="257"/>
      <c r="AM415" s="257"/>
      <c r="AN415" s="257"/>
      <c r="AO415" s="257"/>
      <c r="AP415" s="257"/>
      <c r="AQ415" s="258"/>
      <c r="AR415" s="260"/>
      <c r="AS415" s="257"/>
      <c r="AT415" s="257"/>
      <c r="AU415" s="257"/>
      <c r="AV415" s="257"/>
      <c r="AW415" s="257"/>
      <c r="AX415" s="258"/>
      <c r="AY415" s="260"/>
      <c r="AZ415" s="257"/>
      <c r="BA415" s="257"/>
      <c r="BB415" s="257"/>
      <c r="BC415" s="257"/>
      <c r="BD415" s="258"/>
      <c r="BE415" s="260"/>
      <c r="BF415" s="258"/>
      <c r="BG415" s="260"/>
      <c r="BH415" s="257"/>
      <c r="BI415" s="14"/>
    </row>
    <row r="416" spans="1:61" ht="13.15" x14ac:dyDescent="0.4">
      <c r="A416" s="248"/>
      <c r="B416" s="256"/>
      <c r="C416" s="248"/>
      <c r="D416" s="248"/>
      <c r="E416" s="248"/>
      <c r="F416" s="250"/>
      <c r="G416" s="248"/>
      <c r="H416" s="32"/>
      <c r="I416" s="248"/>
      <c r="J416" s="248"/>
      <c r="K416" s="251"/>
      <c r="L416" s="238"/>
      <c r="M416" s="248"/>
      <c r="N416" s="248"/>
      <c r="O416" s="248"/>
      <c r="P416" s="250"/>
      <c r="Q416" s="252"/>
      <c r="R416" s="248"/>
      <c r="S416" s="248"/>
      <c r="T416" s="248"/>
      <c r="U416" s="248"/>
      <c r="V416" s="248"/>
      <c r="W416" s="248"/>
      <c r="X416" s="248"/>
      <c r="Y416" s="248"/>
      <c r="Z416" s="253"/>
      <c r="AA416" s="253"/>
      <c r="AB416" s="253"/>
      <c r="AC416" s="253"/>
      <c r="AD416" s="253"/>
      <c r="AE416" s="253"/>
      <c r="AF416" s="254"/>
      <c r="AG416" s="257"/>
      <c r="AH416" s="257"/>
      <c r="AI416" s="257"/>
      <c r="AJ416" s="258"/>
      <c r="AK416" s="259"/>
      <c r="AL416" s="257"/>
      <c r="AM416" s="257"/>
      <c r="AN416" s="257"/>
      <c r="AO416" s="257"/>
      <c r="AP416" s="257"/>
      <c r="AQ416" s="258"/>
      <c r="AR416" s="260"/>
      <c r="AS416" s="257"/>
      <c r="AT416" s="257"/>
      <c r="AU416" s="257"/>
      <c r="AV416" s="257"/>
      <c r="AW416" s="257"/>
      <c r="AX416" s="258"/>
      <c r="AY416" s="260"/>
      <c r="AZ416" s="257"/>
      <c r="BA416" s="257"/>
      <c r="BB416" s="257"/>
      <c r="BC416" s="257"/>
      <c r="BD416" s="258"/>
      <c r="BE416" s="260"/>
      <c r="BF416" s="258"/>
      <c r="BG416" s="260"/>
      <c r="BH416" s="257"/>
      <c r="BI416" s="14"/>
    </row>
    <row r="417" spans="1:61" ht="13.15" x14ac:dyDescent="0.4">
      <c r="A417" s="248"/>
      <c r="B417" s="256"/>
      <c r="C417" s="248"/>
      <c r="D417" s="248"/>
      <c r="E417" s="248"/>
      <c r="F417" s="250"/>
      <c r="G417" s="248"/>
      <c r="H417" s="32"/>
      <c r="I417" s="248"/>
      <c r="J417" s="248"/>
      <c r="K417" s="251"/>
      <c r="L417" s="238"/>
      <c r="M417" s="248"/>
      <c r="N417" s="248"/>
      <c r="O417" s="248"/>
      <c r="P417" s="250"/>
      <c r="Q417" s="252"/>
      <c r="R417" s="248"/>
      <c r="S417" s="248"/>
      <c r="T417" s="248"/>
      <c r="U417" s="248"/>
      <c r="V417" s="248"/>
      <c r="W417" s="248"/>
      <c r="X417" s="248"/>
      <c r="Y417" s="248"/>
      <c r="Z417" s="253"/>
      <c r="AA417" s="253"/>
      <c r="AB417" s="253"/>
      <c r="AC417" s="253"/>
      <c r="AD417" s="253"/>
      <c r="AE417" s="253"/>
      <c r="AF417" s="254"/>
      <c r="AG417" s="257"/>
      <c r="AH417" s="257"/>
      <c r="AI417" s="257"/>
      <c r="AJ417" s="258"/>
      <c r="AK417" s="259"/>
      <c r="AL417" s="257"/>
      <c r="AM417" s="257"/>
      <c r="AN417" s="257"/>
      <c r="AO417" s="257"/>
      <c r="AP417" s="257"/>
      <c r="AQ417" s="258"/>
      <c r="AR417" s="260"/>
      <c r="AS417" s="257"/>
      <c r="AT417" s="257"/>
      <c r="AU417" s="257"/>
      <c r="AV417" s="257"/>
      <c r="AW417" s="257"/>
      <c r="AX417" s="258"/>
      <c r="AY417" s="260"/>
      <c r="AZ417" s="257"/>
      <c r="BA417" s="257"/>
      <c r="BB417" s="257"/>
      <c r="BC417" s="257"/>
      <c r="BD417" s="258"/>
      <c r="BE417" s="260"/>
      <c r="BF417" s="258"/>
      <c r="BG417" s="260"/>
      <c r="BH417" s="257"/>
      <c r="BI417" s="14"/>
    </row>
    <row r="418" spans="1:61" ht="13.15" x14ac:dyDescent="0.4">
      <c r="A418" s="248"/>
      <c r="B418" s="256"/>
      <c r="C418" s="248"/>
      <c r="D418" s="248"/>
      <c r="E418" s="248"/>
      <c r="F418" s="250"/>
      <c r="G418" s="248"/>
      <c r="H418" s="32"/>
      <c r="I418" s="248"/>
      <c r="J418" s="248"/>
      <c r="K418" s="251"/>
      <c r="L418" s="238"/>
      <c r="M418" s="248"/>
      <c r="N418" s="248"/>
      <c r="O418" s="248"/>
      <c r="P418" s="250"/>
      <c r="Q418" s="252"/>
      <c r="R418" s="248"/>
      <c r="S418" s="248"/>
      <c r="T418" s="248"/>
      <c r="U418" s="248"/>
      <c r="V418" s="248"/>
      <c r="W418" s="248"/>
      <c r="X418" s="248"/>
      <c r="Y418" s="248"/>
      <c r="Z418" s="253"/>
      <c r="AA418" s="253"/>
      <c r="AB418" s="253"/>
      <c r="AC418" s="253"/>
      <c r="AD418" s="253"/>
      <c r="AE418" s="253"/>
      <c r="AF418" s="254"/>
      <c r="AG418" s="257"/>
      <c r="AH418" s="257"/>
      <c r="AI418" s="257"/>
      <c r="AJ418" s="258"/>
      <c r="AK418" s="259"/>
      <c r="AL418" s="257"/>
      <c r="AM418" s="257"/>
      <c r="AN418" s="257"/>
      <c r="AO418" s="257"/>
      <c r="AP418" s="257"/>
      <c r="AQ418" s="258"/>
      <c r="AR418" s="260"/>
      <c r="AS418" s="257"/>
      <c r="AT418" s="257"/>
      <c r="AU418" s="257"/>
      <c r="AV418" s="257"/>
      <c r="AW418" s="257"/>
      <c r="AX418" s="258"/>
      <c r="AY418" s="260"/>
      <c r="AZ418" s="257"/>
      <c r="BA418" s="257"/>
      <c r="BB418" s="257"/>
      <c r="BC418" s="257"/>
      <c r="BD418" s="258"/>
      <c r="BE418" s="260"/>
      <c r="BF418" s="258"/>
      <c r="BG418" s="260"/>
      <c r="BH418" s="257"/>
      <c r="BI418" s="14"/>
    </row>
    <row r="419" spans="1:61" ht="13.15" x14ac:dyDescent="0.4">
      <c r="A419" s="248"/>
      <c r="B419" s="256"/>
      <c r="C419" s="248"/>
      <c r="D419" s="248"/>
      <c r="E419" s="248"/>
      <c r="F419" s="250"/>
      <c r="G419" s="248"/>
      <c r="H419" s="32"/>
      <c r="I419" s="248"/>
      <c r="J419" s="248"/>
      <c r="K419" s="251"/>
      <c r="L419" s="238"/>
      <c r="M419" s="248"/>
      <c r="N419" s="248"/>
      <c r="O419" s="248"/>
      <c r="P419" s="250"/>
      <c r="Q419" s="252"/>
      <c r="R419" s="248"/>
      <c r="S419" s="248"/>
      <c r="T419" s="248"/>
      <c r="U419" s="248"/>
      <c r="V419" s="248"/>
      <c r="W419" s="248"/>
      <c r="X419" s="248"/>
      <c r="Y419" s="248"/>
      <c r="Z419" s="253"/>
      <c r="AA419" s="253"/>
      <c r="AB419" s="253"/>
      <c r="AC419" s="253"/>
      <c r="AD419" s="253"/>
      <c r="AE419" s="253"/>
      <c r="AF419" s="254"/>
      <c r="AG419" s="257"/>
      <c r="AH419" s="257"/>
      <c r="AI419" s="257"/>
      <c r="AJ419" s="258"/>
      <c r="AK419" s="259"/>
      <c r="AL419" s="257"/>
      <c r="AM419" s="257"/>
      <c r="AN419" s="257"/>
      <c r="AO419" s="257"/>
      <c r="AP419" s="257"/>
      <c r="AQ419" s="258"/>
      <c r="AR419" s="260"/>
      <c r="AS419" s="257"/>
      <c r="AT419" s="257"/>
      <c r="AU419" s="257"/>
      <c r="AV419" s="257"/>
      <c r="AW419" s="257"/>
      <c r="AX419" s="258"/>
      <c r="AY419" s="260"/>
      <c r="AZ419" s="257"/>
      <c r="BA419" s="257"/>
      <c r="BB419" s="257"/>
      <c r="BC419" s="257"/>
      <c r="BD419" s="258"/>
      <c r="BE419" s="260"/>
      <c r="BF419" s="258"/>
      <c r="BG419" s="260"/>
      <c r="BH419" s="257"/>
      <c r="BI419" s="14"/>
    </row>
    <row r="420" spans="1:61" ht="13.15" x14ac:dyDescent="0.4">
      <c r="A420" s="248"/>
      <c r="B420" s="256"/>
      <c r="C420" s="248"/>
      <c r="D420" s="248"/>
      <c r="E420" s="248"/>
      <c r="F420" s="250"/>
      <c r="G420" s="248"/>
      <c r="H420" s="32"/>
      <c r="I420" s="248"/>
      <c r="J420" s="248"/>
      <c r="K420" s="251"/>
      <c r="L420" s="238"/>
      <c r="M420" s="248"/>
      <c r="N420" s="248"/>
      <c r="O420" s="248"/>
      <c r="P420" s="250"/>
      <c r="Q420" s="252"/>
      <c r="R420" s="248"/>
      <c r="S420" s="248"/>
      <c r="T420" s="248"/>
      <c r="U420" s="248"/>
      <c r="V420" s="248"/>
      <c r="W420" s="248"/>
      <c r="X420" s="248"/>
      <c r="Y420" s="248"/>
      <c r="Z420" s="253"/>
      <c r="AA420" s="253"/>
      <c r="AB420" s="253"/>
      <c r="AC420" s="253"/>
      <c r="AD420" s="253"/>
      <c r="AE420" s="253"/>
      <c r="AF420" s="254"/>
      <c r="AG420" s="257"/>
      <c r="AH420" s="257"/>
      <c r="AI420" s="257"/>
      <c r="AJ420" s="258"/>
      <c r="AK420" s="259"/>
      <c r="AL420" s="257"/>
      <c r="AM420" s="257"/>
      <c r="AN420" s="257"/>
      <c r="AO420" s="257"/>
      <c r="AP420" s="257"/>
      <c r="AQ420" s="258"/>
      <c r="AR420" s="260"/>
      <c r="AS420" s="257"/>
      <c r="AT420" s="257"/>
      <c r="AU420" s="257"/>
      <c r="AV420" s="257"/>
      <c r="AW420" s="257"/>
      <c r="AX420" s="258"/>
      <c r="AY420" s="260"/>
      <c r="AZ420" s="257"/>
      <c r="BA420" s="257"/>
      <c r="BB420" s="257"/>
      <c r="BC420" s="257"/>
      <c r="BD420" s="258"/>
      <c r="BE420" s="260"/>
      <c r="BF420" s="258"/>
      <c r="BG420" s="260"/>
      <c r="BH420" s="257"/>
      <c r="BI420" s="14"/>
    </row>
    <row r="421" spans="1:61" ht="13.15" x14ac:dyDescent="0.4">
      <c r="A421" s="248"/>
      <c r="B421" s="256"/>
      <c r="C421" s="248"/>
      <c r="D421" s="248"/>
      <c r="E421" s="248"/>
      <c r="F421" s="250"/>
      <c r="G421" s="248"/>
      <c r="H421" s="32"/>
      <c r="I421" s="248"/>
      <c r="J421" s="248"/>
      <c r="K421" s="251"/>
      <c r="L421" s="238"/>
      <c r="M421" s="248"/>
      <c r="N421" s="248"/>
      <c r="O421" s="248"/>
      <c r="P421" s="250"/>
      <c r="Q421" s="252"/>
      <c r="R421" s="248"/>
      <c r="S421" s="248"/>
      <c r="T421" s="248"/>
      <c r="U421" s="248"/>
      <c r="V421" s="248"/>
      <c r="W421" s="248"/>
      <c r="X421" s="248"/>
      <c r="Y421" s="248"/>
      <c r="Z421" s="253"/>
      <c r="AA421" s="253"/>
      <c r="AB421" s="253"/>
      <c r="AC421" s="253"/>
      <c r="AD421" s="253"/>
      <c r="AE421" s="253"/>
      <c r="AF421" s="254"/>
      <c r="AG421" s="257"/>
      <c r="AH421" s="257"/>
      <c r="AI421" s="257"/>
      <c r="AJ421" s="258"/>
      <c r="AK421" s="259"/>
      <c r="AL421" s="257"/>
      <c r="AM421" s="257"/>
      <c r="AN421" s="257"/>
      <c r="AO421" s="257"/>
      <c r="AP421" s="257"/>
      <c r="AQ421" s="258"/>
      <c r="AR421" s="260"/>
      <c r="AS421" s="257"/>
      <c r="AT421" s="257"/>
      <c r="AU421" s="257"/>
      <c r="AV421" s="257"/>
      <c r="AW421" s="257"/>
      <c r="AX421" s="258"/>
      <c r="AY421" s="260"/>
      <c r="AZ421" s="257"/>
      <c r="BA421" s="257"/>
      <c r="BB421" s="257"/>
      <c r="BC421" s="257"/>
      <c r="BD421" s="258"/>
      <c r="BE421" s="260"/>
      <c r="BF421" s="258"/>
      <c r="BG421" s="260"/>
      <c r="BH421" s="257"/>
      <c r="BI421" s="14"/>
    </row>
    <row r="422" spans="1:61" ht="13.15" x14ac:dyDescent="0.4">
      <c r="A422" s="248"/>
      <c r="B422" s="256"/>
      <c r="C422" s="248"/>
      <c r="D422" s="248"/>
      <c r="E422" s="248"/>
      <c r="F422" s="250"/>
      <c r="G422" s="248"/>
      <c r="H422" s="32"/>
      <c r="I422" s="248"/>
      <c r="J422" s="248"/>
      <c r="K422" s="251"/>
      <c r="L422" s="238"/>
      <c r="M422" s="248"/>
      <c r="N422" s="248"/>
      <c r="O422" s="248"/>
      <c r="P422" s="250"/>
      <c r="Q422" s="252"/>
      <c r="R422" s="248"/>
      <c r="S422" s="248"/>
      <c r="T422" s="248"/>
      <c r="U422" s="248"/>
      <c r="V422" s="248"/>
      <c r="W422" s="248"/>
      <c r="X422" s="248"/>
      <c r="Y422" s="248"/>
      <c r="Z422" s="253"/>
      <c r="AA422" s="253"/>
      <c r="AB422" s="253"/>
      <c r="AC422" s="253"/>
      <c r="AD422" s="253"/>
      <c r="AE422" s="253"/>
      <c r="AF422" s="254"/>
      <c r="AG422" s="257"/>
      <c r="AH422" s="257"/>
      <c r="AI422" s="257"/>
      <c r="AJ422" s="258"/>
      <c r="AK422" s="259"/>
      <c r="AL422" s="257"/>
      <c r="AM422" s="257"/>
      <c r="AN422" s="257"/>
      <c r="AO422" s="257"/>
      <c r="AP422" s="257"/>
      <c r="AQ422" s="258"/>
      <c r="AR422" s="260"/>
      <c r="AS422" s="257"/>
      <c r="AT422" s="257"/>
      <c r="AU422" s="257"/>
      <c r="AV422" s="257"/>
      <c r="AW422" s="257"/>
      <c r="AX422" s="258"/>
      <c r="AY422" s="260"/>
      <c r="AZ422" s="257"/>
      <c r="BA422" s="257"/>
      <c r="BB422" s="257"/>
      <c r="BC422" s="257"/>
      <c r="BD422" s="258"/>
      <c r="BE422" s="260"/>
      <c r="BF422" s="258"/>
      <c r="BG422" s="260"/>
      <c r="BH422" s="257"/>
      <c r="BI422" s="14"/>
    </row>
    <row r="423" spans="1:61" ht="13.15" x14ac:dyDescent="0.4">
      <c r="A423" s="248"/>
      <c r="B423" s="256"/>
      <c r="C423" s="248"/>
      <c r="D423" s="248"/>
      <c r="E423" s="248"/>
      <c r="F423" s="250"/>
      <c r="G423" s="248"/>
      <c r="H423" s="32"/>
      <c r="I423" s="248"/>
      <c r="J423" s="248"/>
      <c r="K423" s="251"/>
      <c r="L423" s="238"/>
      <c r="M423" s="248"/>
      <c r="N423" s="248"/>
      <c r="O423" s="248"/>
      <c r="P423" s="250"/>
      <c r="Q423" s="252"/>
      <c r="R423" s="248"/>
      <c r="S423" s="248"/>
      <c r="T423" s="248"/>
      <c r="U423" s="248"/>
      <c r="V423" s="248"/>
      <c r="W423" s="248"/>
      <c r="X423" s="248"/>
      <c r="Y423" s="248"/>
      <c r="Z423" s="253"/>
      <c r="AA423" s="253"/>
      <c r="AB423" s="253"/>
      <c r="AC423" s="253"/>
      <c r="AD423" s="253"/>
      <c r="AE423" s="253"/>
      <c r="AF423" s="254"/>
      <c r="AG423" s="257"/>
      <c r="AH423" s="257"/>
      <c r="AI423" s="257"/>
      <c r="AJ423" s="258"/>
      <c r="AK423" s="259"/>
      <c r="AL423" s="257"/>
      <c r="AM423" s="257"/>
      <c r="AN423" s="257"/>
      <c r="AO423" s="257"/>
      <c r="AP423" s="257"/>
      <c r="AQ423" s="258"/>
      <c r="AR423" s="260"/>
      <c r="AS423" s="257"/>
      <c r="AT423" s="257"/>
      <c r="AU423" s="257"/>
      <c r="AV423" s="257"/>
      <c r="AW423" s="257"/>
      <c r="AX423" s="258"/>
      <c r="AY423" s="260"/>
      <c r="AZ423" s="257"/>
      <c r="BA423" s="257"/>
      <c r="BB423" s="257"/>
      <c r="BC423" s="257"/>
      <c r="BD423" s="258"/>
      <c r="BE423" s="260"/>
      <c r="BF423" s="258"/>
      <c r="BG423" s="260"/>
      <c r="BH423" s="257"/>
      <c r="BI423" s="14"/>
    </row>
    <row r="424" spans="1:61" ht="13.15" x14ac:dyDescent="0.4">
      <c r="A424" s="248"/>
      <c r="B424" s="256"/>
      <c r="C424" s="248"/>
      <c r="D424" s="248"/>
      <c r="E424" s="248"/>
      <c r="F424" s="250"/>
      <c r="G424" s="248"/>
      <c r="H424" s="32"/>
      <c r="I424" s="248"/>
      <c r="J424" s="248"/>
      <c r="K424" s="251"/>
      <c r="L424" s="238"/>
      <c r="M424" s="248"/>
      <c r="N424" s="248"/>
      <c r="O424" s="248"/>
      <c r="P424" s="250"/>
      <c r="Q424" s="252"/>
      <c r="R424" s="248"/>
      <c r="S424" s="248"/>
      <c r="T424" s="248"/>
      <c r="U424" s="248"/>
      <c r="V424" s="248"/>
      <c r="W424" s="248"/>
      <c r="X424" s="248"/>
      <c r="Y424" s="248"/>
      <c r="Z424" s="253"/>
      <c r="AA424" s="253"/>
      <c r="AB424" s="253"/>
      <c r="AC424" s="253"/>
      <c r="AD424" s="253"/>
      <c r="AE424" s="253"/>
      <c r="AF424" s="254"/>
      <c r="AG424" s="257"/>
      <c r="AH424" s="257"/>
      <c r="AI424" s="257"/>
      <c r="AJ424" s="258"/>
      <c r="AK424" s="259"/>
      <c r="AL424" s="257"/>
      <c r="AM424" s="257"/>
      <c r="AN424" s="257"/>
      <c r="AO424" s="257"/>
      <c r="AP424" s="257"/>
      <c r="AQ424" s="258"/>
      <c r="AR424" s="260"/>
      <c r="AS424" s="257"/>
      <c r="AT424" s="257"/>
      <c r="AU424" s="257"/>
      <c r="AV424" s="257"/>
      <c r="AW424" s="257"/>
      <c r="AX424" s="258"/>
      <c r="AY424" s="260"/>
      <c r="AZ424" s="257"/>
      <c r="BA424" s="257"/>
      <c r="BB424" s="257"/>
      <c r="BC424" s="257"/>
      <c r="BD424" s="258"/>
      <c r="BE424" s="260"/>
      <c r="BF424" s="258"/>
      <c r="BG424" s="260"/>
      <c r="BH424" s="257"/>
      <c r="BI424" s="14"/>
    </row>
    <row r="425" spans="1:61" ht="13.15" x14ac:dyDescent="0.4">
      <c r="A425" s="248"/>
      <c r="B425" s="256"/>
      <c r="C425" s="248"/>
      <c r="D425" s="248"/>
      <c r="E425" s="248"/>
      <c r="F425" s="250"/>
      <c r="G425" s="248"/>
      <c r="H425" s="32"/>
      <c r="I425" s="248"/>
      <c r="J425" s="248"/>
      <c r="K425" s="251"/>
      <c r="L425" s="238"/>
      <c r="M425" s="248"/>
      <c r="N425" s="248"/>
      <c r="O425" s="248"/>
      <c r="P425" s="250"/>
      <c r="Q425" s="252"/>
      <c r="R425" s="248"/>
      <c r="S425" s="248"/>
      <c r="T425" s="248"/>
      <c r="U425" s="248"/>
      <c r="V425" s="248"/>
      <c r="W425" s="248"/>
      <c r="X425" s="248"/>
      <c r="Y425" s="248"/>
      <c r="Z425" s="253"/>
      <c r="AA425" s="253"/>
      <c r="AB425" s="253"/>
      <c r="AC425" s="253"/>
      <c r="AD425" s="253"/>
      <c r="AE425" s="253"/>
      <c r="AF425" s="254"/>
      <c r="AG425" s="257"/>
      <c r="AH425" s="257"/>
      <c r="AI425" s="257"/>
      <c r="AJ425" s="258"/>
      <c r="AK425" s="259"/>
      <c r="AL425" s="257"/>
      <c r="AM425" s="257"/>
      <c r="AN425" s="257"/>
      <c r="AO425" s="257"/>
      <c r="AP425" s="257"/>
      <c r="AQ425" s="258"/>
      <c r="AR425" s="260"/>
      <c r="AS425" s="257"/>
      <c r="AT425" s="257"/>
      <c r="AU425" s="257"/>
      <c r="AV425" s="257"/>
      <c r="AW425" s="257"/>
      <c r="AX425" s="258"/>
      <c r="AY425" s="260"/>
      <c r="AZ425" s="257"/>
      <c r="BA425" s="257"/>
      <c r="BB425" s="257"/>
      <c r="BC425" s="257"/>
      <c r="BD425" s="258"/>
      <c r="BE425" s="260"/>
      <c r="BF425" s="258"/>
      <c r="BG425" s="260"/>
      <c r="BH425" s="257"/>
      <c r="BI425" s="14"/>
    </row>
    <row r="426" spans="1:61" ht="13.15" x14ac:dyDescent="0.4">
      <c r="A426" s="248"/>
      <c r="B426" s="256"/>
      <c r="C426" s="248"/>
      <c r="D426" s="248"/>
      <c r="E426" s="248"/>
      <c r="F426" s="250"/>
      <c r="G426" s="248"/>
      <c r="H426" s="32"/>
      <c r="I426" s="248"/>
      <c r="J426" s="248"/>
      <c r="K426" s="251"/>
      <c r="L426" s="238"/>
      <c r="M426" s="248"/>
      <c r="N426" s="248"/>
      <c r="O426" s="248"/>
      <c r="P426" s="250"/>
      <c r="Q426" s="252"/>
      <c r="R426" s="248"/>
      <c r="S426" s="248"/>
      <c r="T426" s="248"/>
      <c r="U426" s="248"/>
      <c r="V426" s="248"/>
      <c r="W426" s="248"/>
      <c r="X426" s="248"/>
      <c r="Y426" s="248"/>
      <c r="Z426" s="253"/>
      <c r="AA426" s="253"/>
      <c r="AB426" s="253"/>
      <c r="AC426" s="253"/>
      <c r="AD426" s="253"/>
      <c r="AE426" s="253"/>
      <c r="AF426" s="254"/>
      <c r="AG426" s="257"/>
      <c r="AH426" s="257"/>
      <c r="AI426" s="257"/>
      <c r="AJ426" s="258"/>
      <c r="AK426" s="259"/>
      <c r="AL426" s="257"/>
      <c r="AM426" s="257"/>
      <c r="AN426" s="257"/>
      <c r="AO426" s="257"/>
      <c r="AP426" s="257"/>
      <c r="AQ426" s="258"/>
      <c r="AR426" s="260"/>
      <c r="AS426" s="257"/>
      <c r="AT426" s="257"/>
      <c r="AU426" s="257"/>
      <c r="AV426" s="257"/>
      <c r="AW426" s="257"/>
      <c r="AX426" s="258"/>
      <c r="AY426" s="260"/>
      <c r="AZ426" s="257"/>
      <c r="BA426" s="257"/>
      <c r="BB426" s="257"/>
      <c r="BC426" s="257"/>
      <c r="BD426" s="258"/>
      <c r="BE426" s="260"/>
      <c r="BF426" s="258"/>
      <c r="BG426" s="260"/>
      <c r="BH426" s="257"/>
      <c r="BI426" s="14"/>
    </row>
    <row r="427" spans="1:61" ht="13.15" x14ac:dyDescent="0.4">
      <c r="A427" s="248"/>
      <c r="B427" s="256"/>
      <c r="C427" s="248"/>
      <c r="D427" s="248"/>
      <c r="E427" s="248"/>
      <c r="F427" s="250"/>
      <c r="G427" s="248"/>
      <c r="H427" s="32"/>
      <c r="I427" s="248"/>
      <c r="J427" s="248"/>
      <c r="K427" s="251"/>
      <c r="L427" s="238"/>
      <c r="M427" s="248"/>
      <c r="N427" s="248"/>
      <c r="O427" s="248"/>
      <c r="P427" s="250"/>
      <c r="Q427" s="252"/>
      <c r="R427" s="248"/>
      <c r="S427" s="248"/>
      <c r="T427" s="248"/>
      <c r="U427" s="248"/>
      <c r="V427" s="248"/>
      <c r="W427" s="248"/>
      <c r="X427" s="248"/>
      <c r="Y427" s="248"/>
      <c r="Z427" s="253"/>
      <c r="AA427" s="253"/>
      <c r="AB427" s="253"/>
      <c r="AC427" s="253"/>
      <c r="AD427" s="253"/>
      <c r="AE427" s="253"/>
      <c r="AF427" s="254"/>
      <c r="AG427" s="257"/>
      <c r="AH427" s="257"/>
      <c r="AI427" s="257"/>
      <c r="AJ427" s="258"/>
      <c r="AK427" s="259"/>
      <c r="AL427" s="257"/>
      <c r="AM427" s="257"/>
      <c r="AN427" s="257"/>
      <c r="AO427" s="257"/>
      <c r="AP427" s="257"/>
      <c r="AQ427" s="258"/>
      <c r="AR427" s="260"/>
      <c r="AS427" s="257"/>
      <c r="AT427" s="257"/>
      <c r="AU427" s="257"/>
      <c r="AV427" s="257"/>
      <c r="AW427" s="257"/>
      <c r="AX427" s="258"/>
      <c r="AY427" s="260"/>
      <c r="AZ427" s="257"/>
      <c r="BA427" s="257"/>
      <c r="BB427" s="257"/>
      <c r="BC427" s="257"/>
      <c r="BD427" s="258"/>
      <c r="BE427" s="260"/>
      <c r="BF427" s="258"/>
      <c r="BG427" s="260"/>
      <c r="BH427" s="257"/>
      <c r="BI427" s="14"/>
    </row>
    <row r="428" spans="1:61" ht="13.15" x14ac:dyDescent="0.4">
      <c r="A428" s="248"/>
      <c r="B428" s="256"/>
      <c r="C428" s="248"/>
      <c r="D428" s="248"/>
      <c r="E428" s="248"/>
      <c r="F428" s="250"/>
      <c r="G428" s="248"/>
      <c r="H428" s="32"/>
      <c r="I428" s="248"/>
      <c r="J428" s="248"/>
      <c r="K428" s="251"/>
      <c r="L428" s="238"/>
      <c r="M428" s="248"/>
      <c r="N428" s="248"/>
      <c r="O428" s="248"/>
      <c r="P428" s="250"/>
      <c r="Q428" s="252"/>
      <c r="R428" s="248"/>
      <c r="S428" s="248"/>
      <c r="T428" s="248"/>
      <c r="U428" s="248"/>
      <c r="V428" s="248"/>
      <c r="W428" s="248"/>
      <c r="X428" s="248"/>
      <c r="Y428" s="248"/>
      <c r="Z428" s="253"/>
      <c r="AA428" s="253"/>
      <c r="AB428" s="253"/>
      <c r="AC428" s="253"/>
      <c r="AD428" s="253"/>
      <c r="AE428" s="253"/>
      <c r="AF428" s="254"/>
      <c r="AG428" s="257"/>
      <c r="AH428" s="257"/>
      <c r="AI428" s="257"/>
      <c r="AJ428" s="258"/>
      <c r="AK428" s="259"/>
      <c r="AL428" s="257"/>
      <c r="AM428" s="257"/>
      <c r="AN428" s="257"/>
      <c r="AO428" s="257"/>
      <c r="AP428" s="257"/>
      <c r="AQ428" s="258"/>
      <c r="AR428" s="260"/>
      <c r="AS428" s="257"/>
      <c r="AT428" s="257"/>
      <c r="AU428" s="257"/>
      <c r="AV428" s="257"/>
      <c r="AW428" s="257"/>
      <c r="AX428" s="258"/>
      <c r="AY428" s="260"/>
      <c r="AZ428" s="257"/>
      <c r="BA428" s="257"/>
      <c r="BB428" s="257"/>
      <c r="BC428" s="257"/>
      <c r="BD428" s="258"/>
      <c r="BE428" s="260"/>
      <c r="BF428" s="258"/>
      <c r="BG428" s="260"/>
      <c r="BH428" s="257"/>
      <c r="BI428" s="14"/>
    </row>
    <row r="429" spans="1:61" ht="13.15" x14ac:dyDescent="0.4">
      <c r="A429" s="248"/>
      <c r="B429" s="256"/>
      <c r="C429" s="248"/>
      <c r="D429" s="248"/>
      <c r="E429" s="248"/>
      <c r="F429" s="250"/>
      <c r="G429" s="248"/>
      <c r="H429" s="32"/>
      <c r="I429" s="248"/>
      <c r="J429" s="248"/>
      <c r="K429" s="251"/>
      <c r="L429" s="238"/>
      <c r="M429" s="248"/>
      <c r="N429" s="248"/>
      <c r="O429" s="248"/>
      <c r="P429" s="250"/>
      <c r="Q429" s="252"/>
      <c r="R429" s="248"/>
      <c r="S429" s="248"/>
      <c r="T429" s="248"/>
      <c r="U429" s="248"/>
      <c r="V429" s="248"/>
      <c r="W429" s="248"/>
      <c r="X429" s="248"/>
      <c r="Y429" s="248"/>
      <c r="Z429" s="253"/>
      <c r="AA429" s="253"/>
      <c r="AB429" s="253"/>
      <c r="AC429" s="253"/>
      <c r="AD429" s="253"/>
      <c r="AE429" s="253"/>
      <c r="AF429" s="254"/>
      <c r="AG429" s="257"/>
      <c r="AH429" s="257"/>
      <c r="AI429" s="257"/>
      <c r="AJ429" s="258"/>
      <c r="AK429" s="259"/>
      <c r="AL429" s="257"/>
      <c r="AM429" s="257"/>
      <c r="AN429" s="257"/>
      <c r="AO429" s="257"/>
      <c r="AP429" s="257"/>
      <c r="AQ429" s="258"/>
      <c r="AR429" s="260"/>
      <c r="AS429" s="257"/>
      <c r="AT429" s="257"/>
      <c r="AU429" s="257"/>
      <c r="AV429" s="257"/>
      <c r="AW429" s="257"/>
      <c r="AX429" s="258"/>
      <c r="AY429" s="260"/>
      <c r="AZ429" s="257"/>
      <c r="BA429" s="257"/>
      <c r="BB429" s="257"/>
      <c r="BC429" s="257"/>
      <c r="BD429" s="258"/>
      <c r="BE429" s="260"/>
      <c r="BF429" s="258"/>
      <c r="BG429" s="260"/>
      <c r="BH429" s="257"/>
      <c r="BI429" s="14"/>
    </row>
    <row r="430" spans="1:61" ht="13.15" x14ac:dyDescent="0.4">
      <c r="A430" s="248"/>
      <c r="B430" s="256"/>
      <c r="C430" s="248"/>
      <c r="D430" s="248"/>
      <c r="E430" s="248"/>
      <c r="F430" s="250"/>
      <c r="G430" s="248"/>
      <c r="H430" s="32"/>
      <c r="I430" s="248"/>
      <c r="J430" s="248"/>
      <c r="K430" s="251"/>
      <c r="L430" s="238"/>
      <c r="M430" s="248"/>
      <c r="N430" s="248"/>
      <c r="O430" s="248"/>
      <c r="P430" s="250"/>
      <c r="Q430" s="252"/>
      <c r="R430" s="248"/>
      <c r="S430" s="248"/>
      <c r="T430" s="248"/>
      <c r="U430" s="248"/>
      <c r="V430" s="248"/>
      <c r="W430" s="248"/>
      <c r="X430" s="248"/>
      <c r="Y430" s="248"/>
      <c r="Z430" s="253"/>
      <c r="AA430" s="253"/>
      <c r="AB430" s="253"/>
      <c r="AC430" s="253"/>
      <c r="AD430" s="253"/>
      <c r="AE430" s="253"/>
      <c r="AF430" s="254"/>
      <c r="AG430" s="257"/>
      <c r="AH430" s="257"/>
      <c r="AI430" s="257"/>
      <c r="AJ430" s="258"/>
      <c r="AK430" s="259"/>
      <c r="AL430" s="257"/>
      <c r="AM430" s="257"/>
      <c r="AN430" s="257"/>
      <c r="AO430" s="257"/>
      <c r="AP430" s="257"/>
      <c r="AQ430" s="258"/>
      <c r="AR430" s="260"/>
      <c r="AS430" s="257"/>
      <c r="AT430" s="257"/>
      <c r="AU430" s="257"/>
      <c r="AV430" s="257"/>
      <c r="AW430" s="257"/>
      <c r="AX430" s="258"/>
      <c r="AY430" s="260"/>
      <c r="AZ430" s="257"/>
      <c r="BA430" s="257"/>
      <c r="BB430" s="257"/>
      <c r="BC430" s="257"/>
      <c r="BD430" s="258"/>
      <c r="BE430" s="260"/>
      <c r="BF430" s="258"/>
      <c r="BG430" s="260"/>
      <c r="BH430" s="257"/>
      <c r="BI430" s="14"/>
    </row>
    <row r="431" spans="1:61" ht="13.15" x14ac:dyDescent="0.4">
      <c r="A431" s="248"/>
      <c r="B431" s="256"/>
      <c r="C431" s="248"/>
      <c r="D431" s="248"/>
      <c r="E431" s="248"/>
      <c r="F431" s="250"/>
      <c r="G431" s="248"/>
      <c r="H431" s="32"/>
      <c r="I431" s="248"/>
      <c r="J431" s="248"/>
      <c r="K431" s="251"/>
      <c r="L431" s="238"/>
      <c r="M431" s="248"/>
      <c r="N431" s="248"/>
      <c r="O431" s="248"/>
      <c r="P431" s="250"/>
      <c r="Q431" s="252"/>
      <c r="R431" s="248"/>
      <c r="S431" s="248"/>
      <c r="T431" s="248"/>
      <c r="U431" s="248"/>
      <c r="V431" s="248"/>
      <c r="W431" s="248"/>
      <c r="X431" s="248"/>
      <c r="Y431" s="248"/>
      <c r="Z431" s="253"/>
      <c r="AA431" s="253"/>
      <c r="AB431" s="253"/>
      <c r="AC431" s="253"/>
      <c r="AD431" s="253"/>
      <c r="AE431" s="253"/>
      <c r="AF431" s="254"/>
      <c r="AG431" s="257"/>
      <c r="AH431" s="257"/>
      <c r="AI431" s="257"/>
      <c r="AJ431" s="258"/>
      <c r="AK431" s="259"/>
      <c r="AL431" s="257"/>
      <c r="AM431" s="257"/>
      <c r="AN431" s="257"/>
      <c r="AO431" s="257"/>
      <c r="AP431" s="257"/>
      <c r="AQ431" s="258"/>
      <c r="AR431" s="260"/>
      <c r="AS431" s="257"/>
      <c r="AT431" s="257"/>
      <c r="AU431" s="257"/>
      <c r="AV431" s="257"/>
      <c r="AW431" s="257"/>
      <c r="AX431" s="258"/>
      <c r="AY431" s="260"/>
      <c r="AZ431" s="257"/>
      <c r="BA431" s="257"/>
      <c r="BB431" s="257"/>
      <c r="BC431" s="257"/>
      <c r="BD431" s="258"/>
      <c r="BE431" s="260"/>
      <c r="BF431" s="258"/>
      <c r="BG431" s="260"/>
      <c r="BH431" s="257"/>
      <c r="BI431" s="14"/>
    </row>
    <row r="432" spans="1:61" ht="13.15" x14ac:dyDescent="0.4">
      <c r="A432" s="248"/>
      <c r="B432" s="256"/>
      <c r="C432" s="248"/>
      <c r="D432" s="248"/>
      <c r="E432" s="248"/>
      <c r="F432" s="250"/>
      <c r="G432" s="248"/>
      <c r="H432" s="32"/>
      <c r="I432" s="248"/>
      <c r="J432" s="248"/>
      <c r="K432" s="251"/>
      <c r="L432" s="238"/>
      <c r="M432" s="248"/>
      <c r="N432" s="248"/>
      <c r="O432" s="248"/>
      <c r="P432" s="250"/>
      <c r="Q432" s="252"/>
      <c r="R432" s="248"/>
      <c r="S432" s="248"/>
      <c r="T432" s="248"/>
      <c r="U432" s="248"/>
      <c r="V432" s="248"/>
      <c r="W432" s="248"/>
      <c r="X432" s="248"/>
      <c r="Y432" s="248"/>
      <c r="Z432" s="253"/>
      <c r="AA432" s="253"/>
      <c r="AB432" s="253"/>
      <c r="AC432" s="253"/>
      <c r="AD432" s="253"/>
      <c r="AE432" s="253"/>
      <c r="AF432" s="254"/>
      <c r="AG432" s="257"/>
      <c r="AH432" s="257"/>
      <c r="AI432" s="257"/>
      <c r="AJ432" s="258"/>
      <c r="AK432" s="259"/>
      <c r="AL432" s="257"/>
      <c r="AM432" s="257"/>
      <c r="AN432" s="257"/>
      <c r="AO432" s="257"/>
      <c r="AP432" s="257"/>
      <c r="AQ432" s="258"/>
      <c r="AR432" s="260"/>
      <c r="AS432" s="257"/>
      <c r="AT432" s="257"/>
      <c r="AU432" s="257"/>
      <c r="AV432" s="257"/>
      <c r="AW432" s="257"/>
      <c r="AX432" s="258"/>
      <c r="AY432" s="260"/>
      <c r="AZ432" s="257"/>
      <c r="BA432" s="257"/>
      <c r="BB432" s="257"/>
      <c r="BC432" s="257"/>
      <c r="BD432" s="258"/>
      <c r="BE432" s="260"/>
      <c r="BF432" s="258"/>
      <c r="BG432" s="260"/>
      <c r="BH432" s="257"/>
      <c r="BI432" s="14"/>
    </row>
    <row r="433" spans="1:61" ht="13.15" x14ac:dyDescent="0.4">
      <c r="A433" s="248"/>
      <c r="B433" s="256"/>
      <c r="C433" s="248"/>
      <c r="D433" s="248"/>
      <c r="E433" s="248"/>
      <c r="F433" s="250"/>
      <c r="G433" s="248"/>
      <c r="H433" s="32"/>
      <c r="I433" s="248"/>
      <c r="J433" s="248"/>
      <c r="K433" s="251"/>
      <c r="L433" s="238"/>
      <c r="M433" s="248"/>
      <c r="N433" s="248"/>
      <c r="O433" s="248"/>
      <c r="P433" s="250"/>
      <c r="Q433" s="252"/>
      <c r="R433" s="248"/>
      <c r="S433" s="248"/>
      <c r="T433" s="248"/>
      <c r="U433" s="248"/>
      <c r="V433" s="248"/>
      <c r="W433" s="248"/>
      <c r="X433" s="248"/>
      <c r="Y433" s="248"/>
      <c r="Z433" s="253"/>
      <c r="AA433" s="253"/>
      <c r="AB433" s="253"/>
      <c r="AC433" s="253"/>
      <c r="AD433" s="253"/>
      <c r="AE433" s="253"/>
      <c r="AF433" s="254"/>
      <c r="AG433" s="257"/>
      <c r="AH433" s="257"/>
      <c r="AI433" s="257"/>
      <c r="AJ433" s="258"/>
      <c r="AK433" s="259"/>
      <c r="AL433" s="257"/>
      <c r="AM433" s="257"/>
      <c r="AN433" s="257"/>
      <c r="AO433" s="257"/>
      <c r="AP433" s="257"/>
      <c r="AQ433" s="258"/>
      <c r="AR433" s="260"/>
      <c r="AS433" s="257"/>
      <c r="AT433" s="257"/>
      <c r="AU433" s="257"/>
      <c r="AV433" s="257"/>
      <c r="AW433" s="257"/>
      <c r="AX433" s="258"/>
      <c r="AY433" s="260"/>
      <c r="AZ433" s="257"/>
      <c r="BA433" s="257"/>
      <c r="BB433" s="257"/>
      <c r="BC433" s="257"/>
      <c r="BD433" s="258"/>
      <c r="BE433" s="260"/>
      <c r="BF433" s="258"/>
      <c r="BG433" s="260"/>
      <c r="BH433" s="257"/>
      <c r="BI433" s="14"/>
    </row>
    <row r="434" spans="1:61" ht="13.15" x14ac:dyDescent="0.4">
      <c r="A434" s="248"/>
      <c r="B434" s="256"/>
      <c r="C434" s="248"/>
      <c r="D434" s="248"/>
      <c r="E434" s="248"/>
      <c r="F434" s="250"/>
      <c r="G434" s="248"/>
      <c r="H434" s="32"/>
      <c r="I434" s="248"/>
      <c r="J434" s="248"/>
      <c r="K434" s="251"/>
      <c r="L434" s="238"/>
      <c r="M434" s="248"/>
      <c r="N434" s="248"/>
      <c r="O434" s="248"/>
      <c r="P434" s="250"/>
      <c r="Q434" s="252"/>
      <c r="R434" s="248"/>
      <c r="S434" s="248"/>
      <c r="T434" s="248"/>
      <c r="U434" s="248"/>
      <c r="V434" s="248"/>
      <c r="W434" s="248"/>
      <c r="X434" s="248"/>
      <c r="Y434" s="248"/>
      <c r="Z434" s="253"/>
      <c r="AA434" s="253"/>
      <c r="AB434" s="253"/>
      <c r="AC434" s="253"/>
      <c r="AD434" s="253"/>
      <c r="AE434" s="253"/>
      <c r="AF434" s="254"/>
      <c r="AG434" s="257"/>
      <c r="AH434" s="257"/>
      <c r="AI434" s="257"/>
      <c r="AJ434" s="258"/>
      <c r="AK434" s="259"/>
      <c r="AL434" s="257"/>
      <c r="AM434" s="257"/>
      <c r="AN434" s="257"/>
      <c r="AO434" s="257"/>
      <c r="AP434" s="257"/>
      <c r="AQ434" s="258"/>
      <c r="AR434" s="260"/>
      <c r="AS434" s="257"/>
      <c r="AT434" s="257"/>
      <c r="AU434" s="257"/>
      <c r="AV434" s="257"/>
      <c r="AW434" s="257"/>
      <c r="AX434" s="258"/>
      <c r="AY434" s="260"/>
      <c r="AZ434" s="257"/>
      <c r="BA434" s="257"/>
      <c r="BB434" s="257"/>
      <c r="BC434" s="257"/>
      <c r="BD434" s="258"/>
      <c r="BE434" s="260"/>
      <c r="BF434" s="258"/>
      <c r="BG434" s="260"/>
      <c r="BH434" s="257"/>
      <c r="BI434" s="14"/>
    </row>
    <row r="435" spans="1:61" ht="13.15" x14ac:dyDescent="0.4">
      <c r="A435" s="248"/>
      <c r="B435" s="256"/>
      <c r="C435" s="248"/>
      <c r="D435" s="248"/>
      <c r="E435" s="248"/>
      <c r="F435" s="250"/>
      <c r="G435" s="248"/>
      <c r="H435" s="32"/>
      <c r="I435" s="248"/>
      <c r="J435" s="248"/>
      <c r="K435" s="251"/>
      <c r="L435" s="238"/>
      <c r="M435" s="248"/>
      <c r="N435" s="248"/>
      <c r="O435" s="248"/>
      <c r="P435" s="250"/>
      <c r="Q435" s="252"/>
      <c r="R435" s="248"/>
      <c r="S435" s="248"/>
      <c r="T435" s="248"/>
      <c r="U435" s="248"/>
      <c r="V435" s="248"/>
      <c r="W435" s="248"/>
      <c r="X435" s="248"/>
      <c r="Y435" s="248"/>
      <c r="Z435" s="253"/>
      <c r="AA435" s="253"/>
      <c r="AB435" s="253"/>
      <c r="AC435" s="253"/>
      <c r="AD435" s="253"/>
      <c r="AE435" s="253"/>
      <c r="AF435" s="254"/>
      <c r="AG435" s="257"/>
      <c r="AH435" s="257"/>
      <c r="AI435" s="257"/>
      <c r="AJ435" s="258"/>
      <c r="AK435" s="259"/>
      <c r="AL435" s="257"/>
      <c r="AM435" s="257"/>
      <c r="AN435" s="257"/>
      <c r="AO435" s="257"/>
      <c r="AP435" s="257"/>
      <c r="AQ435" s="258"/>
      <c r="AR435" s="260"/>
      <c r="AS435" s="257"/>
      <c r="AT435" s="257"/>
      <c r="AU435" s="257"/>
      <c r="AV435" s="257"/>
      <c r="AW435" s="257"/>
      <c r="AX435" s="258"/>
      <c r="AY435" s="260"/>
      <c r="AZ435" s="257"/>
      <c r="BA435" s="257"/>
      <c r="BB435" s="257"/>
      <c r="BC435" s="257"/>
      <c r="BD435" s="258"/>
      <c r="BE435" s="260"/>
      <c r="BF435" s="258"/>
      <c r="BG435" s="260"/>
      <c r="BH435" s="257"/>
      <c r="BI435" s="14"/>
    </row>
    <row r="436" spans="1:61" ht="13.15" x14ac:dyDescent="0.4">
      <c r="A436" s="248"/>
      <c r="B436" s="256"/>
      <c r="C436" s="248"/>
      <c r="D436" s="248"/>
      <c r="E436" s="248"/>
      <c r="F436" s="250"/>
      <c r="G436" s="248"/>
      <c r="H436" s="32"/>
      <c r="I436" s="248"/>
      <c r="J436" s="248"/>
      <c r="K436" s="251"/>
      <c r="L436" s="238"/>
      <c r="M436" s="248"/>
      <c r="N436" s="248"/>
      <c r="O436" s="248"/>
      <c r="P436" s="250"/>
      <c r="Q436" s="252"/>
      <c r="R436" s="248"/>
      <c r="S436" s="248"/>
      <c r="T436" s="248"/>
      <c r="U436" s="248"/>
      <c r="V436" s="248"/>
      <c r="W436" s="248"/>
      <c r="X436" s="248"/>
      <c r="Y436" s="248"/>
      <c r="Z436" s="253"/>
      <c r="AA436" s="253"/>
      <c r="AB436" s="253"/>
      <c r="AC436" s="253"/>
      <c r="AD436" s="253"/>
      <c r="AE436" s="253"/>
      <c r="AF436" s="254"/>
      <c r="AG436" s="257"/>
      <c r="AH436" s="257"/>
      <c r="AI436" s="257"/>
      <c r="AJ436" s="258"/>
      <c r="AK436" s="259"/>
      <c r="AL436" s="257"/>
      <c r="AM436" s="257"/>
      <c r="AN436" s="257"/>
      <c r="AO436" s="257"/>
      <c r="AP436" s="257"/>
      <c r="AQ436" s="258"/>
      <c r="AR436" s="260"/>
      <c r="AS436" s="257"/>
      <c r="AT436" s="257"/>
      <c r="AU436" s="257"/>
      <c r="AV436" s="257"/>
      <c r="AW436" s="257"/>
      <c r="AX436" s="258"/>
      <c r="AY436" s="260"/>
      <c r="AZ436" s="257"/>
      <c r="BA436" s="257"/>
      <c r="BB436" s="257"/>
      <c r="BC436" s="257"/>
      <c r="BD436" s="258"/>
      <c r="BE436" s="260"/>
      <c r="BF436" s="258"/>
      <c r="BG436" s="260"/>
      <c r="BH436" s="257"/>
      <c r="BI436" s="14"/>
    </row>
    <row r="437" spans="1:61" ht="13.15" x14ac:dyDescent="0.4">
      <c r="A437" s="248"/>
      <c r="B437" s="256"/>
      <c r="C437" s="248"/>
      <c r="D437" s="248"/>
      <c r="E437" s="248"/>
      <c r="F437" s="250"/>
      <c r="G437" s="248"/>
      <c r="H437" s="32"/>
      <c r="I437" s="248"/>
      <c r="J437" s="248"/>
      <c r="K437" s="251"/>
      <c r="L437" s="238"/>
      <c r="M437" s="248"/>
      <c r="N437" s="248"/>
      <c r="O437" s="248"/>
      <c r="P437" s="250"/>
      <c r="Q437" s="252"/>
      <c r="R437" s="248"/>
      <c r="S437" s="248"/>
      <c r="T437" s="248"/>
      <c r="U437" s="248"/>
      <c r="V437" s="248"/>
      <c r="W437" s="248"/>
      <c r="X437" s="248"/>
      <c r="Y437" s="248"/>
      <c r="Z437" s="253"/>
      <c r="AA437" s="253"/>
      <c r="AB437" s="253"/>
      <c r="AC437" s="253"/>
      <c r="AD437" s="253"/>
      <c r="AE437" s="253"/>
      <c r="AF437" s="254"/>
      <c r="AG437" s="257"/>
      <c r="AH437" s="257"/>
      <c r="AI437" s="257"/>
      <c r="AJ437" s="258"/>
      <c r="AK437" s="259"/>
      <c r="AL437" s="257"/>
      <c r="AM437" s="257"/>
      <c r="AN437" s="257"/>
      <c r="AO437" s="257"/>
      <c r="AP437" s="257"/>
      <c r="AQ437" s="258"/>
      <c r="AR437" s="260"/>
      <c r="AS437" s="257"/>
      <c r="AT437" s="257"/>
      <c r="AU437" s="257"/>
      <c r="AV437" s="257"/>
      <c r="AW437" s="257"/>
      <c r="AX437" s="258"/>
      <c r="AY437" s="260"/>
      <c r="AZ437" s="257"/>
      <c r="BA437" s="257"/>
      <c r="BB437" s="257"/>
      <c r="BC437" s="257"/>
      <c r="BD437" s="258"/>
      <c r="BE437" s="260"/>
      <c r="BF437" s="258"/>
      <c r="BG437" s="260"/>
      <c r="BH437" s="257"/>
      <c r="BI437" s="14"/>
    </row>
    <row r="438" spans="1:61" ht="13.15" x14ac:dyDescent="0.4">
      <c r="A438" s="248"/>
      <c r="B438" s="256"/>
      <c r="C438" s="248"/>
      <c r="D438" s="248"/>
      <c r="E438" s="248"/>
      <c r="F438" s="250"/>
      <c r="G438" s="248"/>
      <c r="H438" s="32"/>
      <c r="I438" s="248"/>
      <c r="J438" s="248"/>
      <c r="K438" s="251"/>
      <c r="L438" s="238"/>
      <c r="M438" s="248"/>
      <c r="N438" s="248"/>
      <c r="O438" s="248"/>
      <c r="P438" s="250"/>
      <c r="Q438" s="252"/>
      <c r="R438" s="248"/>
      <c r="S438" s="248"/>
      <c r="T438" s="248"/>
      <c r="U438" s="248"/>
      <c r="V438" s="248"/>
      <c r="W438" s="248"/>
      <c r="X438" s="248"/>
      <c r="Y438" s="248"/>
      <c r="Z438" s="253"/>
      <c r="AA438" s="253"/>
      <c r="AB438" s="253"/>
      <c r="AC438" s="253"/>
      <c r="AD438" s="253"/>
      <c r="AE438" s="253"/>
      <c r="AF438" s="254"/>
      <c r="AG438" s="257"/>
      <c r="AH438" s="257"/>
      <c r="AI438" s="257"/>
      <c r="AJ438" s="258"/>
      <c r="AK438" s="259"/>
      <c r="AL438" s="257"/>
      <c r="AM438" s="257"/>
      <c r="AN438" s="257"/>
      <c r="AO438" s="257"/>
      <c r="AP438" s="257"/>
      <c r="AQ438" s="258"/>
      <c r="AR438" s="260"/>
      <c r="AS438" s="257"/>
      <c r="AT438" s="257"/>
      <c r="AU438" s="257"/>
      <c r="AV438" s="257"/>
      <c r="AW438" s="257"/>
      <c r="AX438" s="258"/>
      <c r="AY438" s="260"/>
      <c r="AZ438" s="257"/>
      <c r="BA438" s="257"/>
      <c r="BB438" s="257"/>
      <c r="BC438" s="257"/>
      <c r="BD438" s="258"/>
      <c r="BE438" s="260"/>
      <c r="BF438" s="258"/>
      <c r="BG438" s="260"/>
      <c r="BH438" s="257"/>
      <c r="BI438" s="14"/>
    </row>
    <row r="439" spans="1:61" ht="13.15" x14ac:dyDescent="0.4">
      <c r="A439" s="248"/>
      <c r="B439" s="256"/>
      <c r="C439" s="248"/>
      <c r="D439" s="248"/>
      <c r="E439" s="248"/>
      <c r="F439" s="250"/>
      <c r="G439" s="248"/>
      <c r="H439" s="32"/>
      <c r="I439" s="248"/>
      <c r="J439" s="248"/>
      <c r="K439" s="251"/>
      <c r="L439" s="238"/>
      <c r="M439" s="248"/>
      <c r="N439" s="248"/>
      <c r="O439" s="248"/>
      <c r="P439" s="250"/>
      <c r="Q439" s="252"/>
      <c r="R439" s="248"/>
      <c r="S439" s="248"/>
      <c r="T439" s="248"/>
      <c r="U439" s="248"/>
      <c r="V439" s="248"/>
      <c r="W439" s="248"/>
      <c r="X439" s="248"/>
      <c r="Y439" s="248"/>
      <c r="Z439" s="253"/>
      <c r="AA439" s="253"/>
      <c r="AB439" s="253"/>
      <c r="AC439" s="253"/>
      <c r="AD439" s="253"/>
      <c r="AE439" s="253"/>
      <c r="AF439" s="254"/>
      <c r="AG439" s="257"/>
      <c r="AH439" s="257"/>
      <c r="AI439" s="257"/>
      <c r="AJ439" s="258"/>
      <c r="AK439" s="259"/>
      <c r="AL439" s="257"/>
      <c r="AM439" s="257"/>
      <c r="AN439" s="257"/>
      <c r="AO439" s="257"/>
      <c r="AP439" s="257"/>
      <c r="AQ439" s="258"/>
      <c r="AR439" s="260"/>
      <c r="AS439" s="257"/>
      <c r="AT439" s="257"/>
      <c r="AU439" s="257"/>
      <c r="AV439" s="257"/>
      <c r="AW439" s="257"/>
      <c r="AX439" s="258"/>
      <c r="AY439" s="260"/>
      <c r="AZ439" s="257"/>
      <c r="BA439" s="257"/>
      <c r="BB439" s="257"/>
      <c r="BC439" s="257"/>
      <c r="BD439" s="258"/>
      <c r="BE439" s="260"/>
      <c r="BF439" s="258"/>
      <c r="BG439" s="260"/>
      <c r="BH439" s="257"/>
      <c r="BI439" s="14"/>
    </row>
    <row r="440" spans="1:61" ht="13.15" x14ac:dyDescent="0.4">
      <c r="A440" s="248"/>
      <c r="B440" s="256"/>
      <c r="C440" s="248"/>
      <c r="D440" s="248"/>
      <c r="E440" s="248"/>
      <c r="F440" s="250"/>
      <c r="G440" s="248"/>
      <c r="H440" s="32"/>
      <c r="I440" s="248"/>
      <c r="J440" s="248"/>
      <c r="K440" s="251"/>
      <c r="L440" s="238"/>
      <c r="M440" s="248"/>
      <c r="N440" s="248"/>
      <c r="O440" s="248"/>
      <c r="P440" s="250"/>
      <c r="Q440" s="252"/>
      <c r="R440" s="248"/>
      <c r="S440" s="248"/>
      <c r="T440" s="248"/>
      <c r="U440" s="248"/>
      <c r="V440" s="248"/>
      <c r="W440" s="248"/>
      <c r="X440" s="248"/>
      <c r="Y440" s="248"/>
      <c r="Z440" s="253"/>
      <c r="AA440" s="253"/>
      <c r="AB440" s="253"/>
      <c r="AC440" s="253"/>
      <c r="AD440" s="253"/>
      <c r="AE440" s="253"/>
      <c r="AF440" s="254"/>
      <c r="AG440" s="257"/>
      <c r="AH440" s="257"/>
      <c r="AI440" s="257"/>
      <c r="AJ440" s="258"/>
      <c r="AK440" s="259"/>
      <c r="AL440" s="257"/>
      <c r="AM440" s="257"/>
      <c r="AN440" s="257"/>
      <c r="AO440" s="257"/>
      <c r="AP440" s="257"/>
      <c r="AQ440" s="258"/>
      <c r="AR440" s="260"/>
      <c r="AS440" s="257"/>
      <c r="AT440" s="257"/>
      <c r="AU440" s="257"/>
      <c r="AV440" s="257"/>
      <c r="AW440" s="257"/>
      <c r="AX440" s="258"/>
      <c r="AY440" s="260"/>
      <c r="AZ440" s="257"/>
      <c r="BA440" s="257"/>
      <c r="BB440" s="257"/>
      <c r="BC440" s="257"/>
      <c r="BD440" s="258"/>
      <c r="BE440" s="260"/>
      <c r="BF440" s="258"/>
      <c r="BG440" s="260"/>
      <c r="BH440" s="257"/>
      <c r="BI440" s="14"/>
    </row>
    <row r="441" spans="1:61" ht="13.15" x14ac:dyDescent="0.4">
      <c r="A441" s="248"/>
      <c r="B441" s="256"/>
      <c r="C441" s="248"/>
      <c r="D441" s="248"/>
      <c r="E441" s="248"/>
      <c r="F441" s="250"/>
      <c r="G441" s="248"/>
      <c r="H441" s="32"/>
      <c r="I441" s="248"/>
      <c r="J441" s="248"/>
      <c r="K441" s="251"/>
      <c r="L441" s="238"/>
      <c r="M441" s="248"/>
      <c r="N441" s="248"/>
      <c r="O441" s="248"/>
      <c r="P441" s="250"/>
      <c r="Q441" s="252"/>
      <c r="R441" s="248"/>
      <c r="S441" s="248"/>
      <c r="T441" s="248"/>
      <c r="U441" s="248"/>
      <c r="V441" s="248"/>
      <c r="W441" s="248"/>
      <c r="X441" s="248"/>
      <c r="Y441" s="248"/>
      <c r="Z441" s="253"/>
      <c r="AA441" s="253"/>
      <c r="AB441" s="253"/>
      <c r="AC441" s="253"/>
      <c r="AD441" s="253"/>
      <c r="AE441" s="253"/>
      <c r="AF441" s="254"/>
      <c r="AG441" s="257"/>
      <c r="AH441" s="257"/>
      <c r="AI441" s="257"/>
      <c r="AJ441" s="258"/>
      <c r="AK441" s="259"/>
      <c r="AL441" s="257"/>
      <c r="AM441" s="257"/>
      <c r="AN441" s="257"/>
      <c r="AO441" s="257"/>
      <c r="AP441" s="257"/>
      <c r="AQ441" s="258"/>
      <c r="AR441" s="260"/>
      <c r="AS441" s="257"/>
      <c r="AT441" s="257"/>
      <c r="AU441" s="257"/>
      <c r="AV441" s="257"/>
      <c r="AW441" s="257"/>
      <c r="AX441" s="258"/>
      <c r="AY441" s="260"/>
      <c r="AZ441" s="257"/>
      <c r="BA441" s="257"/>
      <c r="BB441" s="257"/>
      <c r="BC441" s="257"/>
      <c r="BD441" s="258"/>
      <c r="BE441" s="260"/>
      <c r="BF441" s="258"/>
      <c r="BG441" s="260"/>
      <c r="BH441" s="257"/>
      <c r="BI441" s="14"/>
    </row>
    <row r="442" spans="1:61" ht="13.15" x14ac:dyDescent="0.4">
      <c r="A442" s="248"/>
      <c r="B442" s="256"/>
      <c r="C442" s="248"/>
      <c r="D442" s="248"/>
      <c r="E442" s="248"/>
      <c r="F442" s="250"/>
      <c r="G442" s="248"/>
      <c r="H442" s="32"/>
      <c r="I442" s="248"/>
      <c r="J442" s="248"/>
      <c r="K442" s="251"/>
      <c r="L442" s="238"/>
      <c r="M442" s="248"/>
      <c r="N442" s="248"/>
      <c r="O442" s="248"/>
      <c r="P442" s="250"/>
      <c r="Q442" s="252"/>
      <c r="R442" s="248"/>
      <c r="S442" s="248"/>
      <c r="T442" s="248"/>
      <c r="U442" s="248"/>
      <c r="V442" s="248"/>
      <c r="W442" s="248"/>
      <c r="X442" s="248"/>
      <c r="Y442" s="248"/>
      <c r="Z442" s="253"/>
      <c r="AA442" s="253"/>
      <c r="AB442" s="253"/>
      <c r="AC442" s="253"/>
      <c r="AD442" s="253"/>
      <c r="AE442" s="253"/>
      <c r="AF442" s="254"/>
      <c r="AG442" s="257"/>
      <c r="AH442" s="257"/>
      <c r="AI442" s="257"/>
      <c r="AJ442" s="258"/>
      <c r="AK442" s="259"/>
      <c r="AL442" s="257"/>
      <c r="AM442" s="257"/>
      <c r="AN442" s="257"/>
      <c r="AO442" s="257"/>
      <c r="AP442" s="257"/>
      <c r="AQ442" s="258"/>
      <c r="AR442" s="260"/>
      <c r="AS442" s="257"/>
      <c r="AT442" s="257"/>
      <c r="AU442" s="257"/>
      <c r="AV442" s="257"/>
      <c r="AW442" s="257"/>
      <c r="AX442" s="258"/>
      <c r="AY442" s="260"/>
      <c r="AZ442" s="257"/>
      <c r="BA442" s="257"/>
      <c r="BB442" s="257"/>
      <c r="BC442" s="257"/>
      <c r="BD442" s="258"/>
      <c r="BE442" s="260"/>
      <c r="BF442" s="258"/>
      <c r="BG442" s="260"/>
      <c r="BH442" s="257"/>
      <c r="BI442" s="14"/>
    </row>
    <row r="443" spans="1:61" ht="13.15" x14ac:dyDescent="0.4">
      <c r="A443" s="248"/>
      <c r="B443" s="256"/>
      <c r="C443" s="248"/>
      <c r="D443" s="248"/>
      <c r="E443" s="248"/>
      <c r="F443" s="250"/>
      <c r="G443" s="248"/>
      <c r="H443" s="32"/>
      <c r="I443" s="248"/>
      <c r="J443" s="248"/>
      <c r="K443" s="251"/>
      <c r="L443" s="238"/>
      <c r="M443" s="248"/>
      <c r="N443" s="248"/>
      <c r="O443" s="248"/>
      <c r="P443" s="250"/>
      <c r="Q443" s="252"/>
      <c r="R443" s="248"/>
      <c r="S443" s="248"/>
      <c r="T443" s="248"/>
      <c r="U443" s="248"/>
      <c r="V443" s="248"/>
      <c r="W443" s="248"/>
      <c r="X443" s="248"/>
      <c r="Y443" s="248"/>
      <c r="Z443" s="253"/>
      <c r="AA443" s="253"/>
      <c r="AB443" s="253"/>
      <c r="AC443" s="253"/>
      <c r="AD443" s="253"/>
      <c r="AE443" s="253"/>
      <c r="AF443" s="254"/>
      <c r="AG443" s="257"/>
      <c r="AH443" s="257"/>
      <c r="AI443" s="257"/>
      <c r="AJ443" s="258"/>
      <c r="AK443" s="259"/>
      <c r="AL443" s="257"/>
      <c r="AM443" s="257"/>
      <c r="AN443" s="257"/>
      <c r="AO443" s="257"/>
      <c r="AP443" s="257"/>
      <c r="AQ443" s="258"/>
      <c r="AR443" s="260"/>
      <c r="AS443" s="257"/>
      <c r="AT443" s="257"/>
      <c r="AU443" s="257"/>
      <c r="AV443" s="257"/>
      <c r="AW443" s="257"/>
      <c r="AX443" s="258"/>
      <c r="AY443" s="260"/>
      <c r="AZ443" s="257"/>
      <c r="BA443" s="257"/>
      <c r="BB443" s="257"/>
      <c r="BC443" s="257"/>
      <c r="BD443" s="258"/>
      <c r="BE443" s="260"/>
      <c r="BF443" s="258"/>
      <c r="BG443" s="260"/>
      <c r="BH443" s="257"/>
      <c r="BI443" s="14"/>
    </row>
    <row r="444" spans="1:61" ht="13.15" x14ac:dyDescent="0.4">
      <c r="A444" s="248"/>
      <c r="B444" s="256"/>
      <c r="C444" s="248"/>
      <c r="D444" s="248"/>
      <c r="E444" s="248"/>
      <c r="F444" s="250"/>
      <c r="G444" s="248"/>
      <c r="H444" s="32"/>
      <c r="I444" s="248"/>
      <c r="J444" s="248"/>
      <c r="K444" s="251"/>
      <c r="L444" s="238"/>
      <c r="M444" s="248"/>
      <c r="N444" s="248"/>
      <c r="O444" s="248"/>
      <c r="P444" s="250"/>
      <c r="Q444" s="252"/>
      <c r="R444" s="248"/>
      <c r="S444" s="248"/>
      <c r="T444" s="248"/>
      <c r="U444" s="248"/>
      <c r="V444" s="248"/>
      <c r="W444" s="248"/>
      <c r="X444" s="248"/>
      <c r="Y444" s="248"/>
      <c r="Z444" s="253"/>
      <c r="AA444" s="253"/>
      <c r="AB444" s="253"/>
      <c r="AC444" s="253"/>
      <c r="AD444" s="253"/>
      <c r="AE444" s="253"/>
      <c r="AF444" s="254"/>
      <c r="AG444" s="257"/>
      <c r="AH444" s="257"/>
      <c r="AI444" s="257"/>
      <c r="AJ444" s="258"/>
      <c r="AK444" s="259"/>
      <c r="AL444" s="257"/>
      <c r="AM444" s="257"/>
      <c r="AN444" s="257"/>
      <c r="AO444" s="257"/>
      <c r="AP444" s="257"/>
      <c r="AQ444" s="258"/>
      <c r="AR444" s="260"/>
      <c r="AS444" s="257"/>
      <c r="AT444" s="257"/>
      <c r="AU444" s="257"/>
      <c r="AV444" s="257"/>
      <c r="AW444" s="257"/>
      <c r="AX444" s="258"/>
      <c r="AY444" s="260"/>
      <c r="AZ444" s="257"/>
      <c r="BA444" s="257"/>
      <c r="BB444" s="257"/>
      <c r="BC444" s="257"/>
      <c r="BD444" s="258"/>
      <c r="BE444" s="260"/>
      <c r="BF444" s="258"/>
      <c r="BG444" s="260"/>
      <c r="BH444" s="257"/>
      <c r="BI444" s="14"/>
    </row>
    <row r="445" spans="1:61" ht="13.15" x14ac:dyDescent="0.4">
      <c r="A445" s="248"/>
      <c r="B445" s="256"/>
      <c r="C445" s="248"/>
      <c r="D445" s="248"/>
      <c r="E445" s="248"/>
      <c r="F445" s="250"/>
      <c r="G445" s="248"/>
      <c r="H445" s="32"/>
      <c r="I445" s="248"/>
      <c r="J445" s="248"/>
      <c r="K445" s="251"/>
      <c r="L445" s="238"/>
      <c r="M445" s="248"/>
      <c r="N445" s="248"/>
      <c r="O445" s="248"/>
      <c r="P445" s="250"/>
      <c r="Q445" s="252"/>
      <c r="R445" s="248"/>
      <c r="S445" s="248"/>
      <c r="T445" s="248"/>
      <c r="U445" s="248"/>
      <c r="V445" s="248"/>
      <c r="W445" s="248"/>
      <c r="X445" s="248"/>
      <c r="Y445" s="248"/>
      <c r="Z445" s="253"/>
      <c r="AA445" s="253"/>
      <c r="AB445" s="253"/>
      <c r="AC445" s="253"/>
      <c r="AD445" s="253"/>
      <c r="AE445" s="253"/>
      <c r="AF445" s="254"/>
      <c r="AG445" s="257"/>
      <c r="AH445" s="257"/>
      <c r="AI445" s="257"/>
      <c r="AJ445" s="258"/>
      <c r="AK445" s="259"/>
      <c r="AL445" s="257"/>
      <c r="AM445" s="257"/>
      <c r="AN445" s="257"/>
      <c r="AO445" s="257"/>
      <c r="AP445" s="257"/>
      <c r="AQ445" s="258"/>
      <c r="AR445" s="260"/>
      <c r="AS445" s="257"/>
      <c r="AT445" s="257"/>
      <c r="AU445" s="257"/>
      <c r="AV445" s="257"/>
      <c r="AW445" s="257"/>
      <c r="AX445" s="258"/>
      <c r="AY445" s="260"/>
      <c r="AZ445" s="257"/>
      <c r="BA445" s="257"/>
      <c r="BB445" s="257"/>
      <c r="BC445" s="257"/>
      <c r="BD445" s="258"/>
      <c r="BE445" s="260"/>
      <c r="BF445" s="258"/>
      <c r="BG445" s="260"/>
      <c r="BH445" s="257"/>
      <c r="BI445" s="14"/>
    </row>
    <row r="446" spans="1:61" ht="13.15" x14ac:dyDescent="0.4">
      <c r="A446" s="248"/>
      <c r="B446" s="256"/>
      <c r="C446" s="248"/>
      <c r="D446" s="248"/>
      <c r="E446" s="248"/>
      <c r="F446" s="250"/>
      <c r="G446" s="248"/>
      <c r="H446" s="32"/>
      <c r="I446" s="248"/>
      <c r="J446" s="248"/>
      <c r="K446" s="251"/>
      <c r="L446" s="238"/>
      <c r="M446" s="248"/>
      <c r="N446" s="248"/>
      <c r="O446" s="248"/>
      <c r="P446" s="250"/>
      <c r="Q446" s="252"/>
      <c r="R446" s="248"/>
      <c r="S446" s="248"/>
      <c r="T446" s="248"/>
      <c r="U446" s="248"/>
      <c r="V446" s="248"/>
      <c r="W446" s="248"/>
      <c r="X446" s="248"/>
      <c r="Y446" s="248"/>
      <c r="Z446" s="253"/>
      <c r="AA446" s="253"/>
      <c r="AB446" s="253"/>
      <c r="AC446" s="253"/>
      <c r="AD446" s="253"/>
      <c r="AE446" s="253"/>
      <c r="AF446" s="254"/>
      <c r="AG446" s="257"/>
      <c r="AH446" s="257"/>
      <c r="AI446" s="257"/>
      <c r="AJ446" s="258"/>
      <c r="AK446" s="259"/>
      <c r="AL446" s="257"/>
      <c r="AM446" s="257"/>
      <c r="AN446" s="257"/>
      <c r="AO446" s="257"/>
      <c r="AP446" s="257"/>
      <c r="AQ446" s="258"/>
      <c r="AR446" s="260"/>
      <c r="AS446" s="257"/>
      <c r="AT446" s="257"/>
      <c r="AU446" s="257"/>
      <c r="AV446" s="257"/>
      <c r="AW446" s="257"/>
      <c r="AX446" s="258"/>
      <c r="AY446" s="260"/>
      <c r="AZ446" s="257"/>
      <c r="BA446" s="257"/>
      <c r="BB446" s="257"/>
      <c r="BC446" s="257"/>
      <c r="BD446" s="258"/>
      <c r="BE446" s="260"/>
      <c r="BF446" s="258"/>
      <c r="BG446" s="260"/>
      <c r="BH446" s="257"/>
      <c r="BI446" s="14"/>
    </row>
    <row r="447" spans="1:61" ht="13.15" x14ac:dyDescent="0.4">
      <c r="A447" s="248"/>
      <c r="B447" s="256"/>
      <c r="C447" s="248"/>
      <c r="D447" s="248"/>
      <c r="E447" s="248"/>
      <c r="F447" s="250"/>
      <c r="G447" s="248"/>
      <c r="H447" s="32"/>
      <c r="I447" s="248"/>
      <c r="J447" s="248"/>
      <c r="K447" s="251"/>
      <c r="L447" s="238"/>
      <c r="M447" s="248"/>
      <c r="N447" s="248"/>
      <c r="O447" s="248"/>
      <c r="P447" s="250"/>
      <c r="Q447" s="252"/>
      <c r="R447" s="248"/>
      <c r="S447" s="248"/>
      <c r="T447" s="248"/>
      <c r="U447" s="248"/>
      <c r="V447" s="248"/>
      <c r="W447" s="248"/>
      <c r="X447" s="248"/>
      <c r="Y447" s="248"/>
      <c r="Z447" s="253"/>
      <c r="AA447" s="253"/>
      <c r="AB447" s="253"/>
      <c r="AC447" s="253"/>
      <c r="AD447" s="253"/>
      <c r="AE447" s="253"/>
      <c r="AF447" s="254"/>
      <c r="AG447" s="257"/>
      <c r="AH447" s="257"/>
      <c r="AI447" s="257"/>
      <c r="AJ447" s="258"/>
      <c r="AK447" s="259"/>
      <c r="AL447" s="257"/>
      <c r="AM447" s="257"/>
      <c r="AN447" s="257"/>
      <c r="AO447" s="257"/>
      <c r="AP447" s="257"/>
      <c r="AQ447" s="258"/>
      <c r="AR447" s="260"/>
      <c r="AS447" s="257"/>
      <c r="AT447" s="257"/>
      <c r="AU447" s="257"/>
      <c r="AV447" s="257"/>
      <c r="AW447" s="257"/>
      <c r="AX447" s="258"/>
      <c r="AY447" s="260"/>
      <c r="AZ447" s="257"/>
      <c r="BA447" s="257"/>
      <c r="BB447" s="257"/>
      <c r="BC447" s="257"/>
      <c r="BD447" s="258"/>
      <c r="BE447" s="260"/>
      <c r="BF447" s="258"/>
      <c r="BG447" s="260"/>
      <c r="BH447" s="257"/>
      <c r="BI447" s="14"/>
    </row>
    <row r="448" spans="1:61" ht="13.15" x14ac:dyDescent="0.4">
      <c r="A448" s="248"/>
      <c r="B448" s="256"/>
      <c r="C448" s="248"/>
      <c r="D448" s="248"/>
      <c r="E448" s="248"/>
      <c r="F448" s="250"/>
      <c r="G448" s="248"/>
      <c r="H448" s="32"/>
      <c r="I448" s="248"/>
      <c r="J448" s="248"/>
      <c r="K448" s="251"/>
      <c r="L448" s="238"/>
      <c r="M448" s="248"/>
      <c r="N448" s="248"/>
      <c r="O448" s="248"/>
      <c r="P448" s="250"/>
      <c r="Q448" s="252"/>
      <c r="R448" s="248"/>
      <c r="S448" s="248"/>
      <c r="T448" s="248"/>
      <c r="U448" s="248"/>
      <c r="V448" s="248"/>
      <c r="W448" s="248"/>
      <c r="X448" s="248"/>
      <c r="Y448" s="248"/>
      <c r="Z448" s="253"/>
      <c r="AA448" s="253"/>
      <c r="AB448" s="253"/>
      <c r="AC448" s="253"/>
      <c r="AD448" s="253"/>
      <c r="AE448" s="253"/>
      <c r="AF448" s="254"/>
      <c r="AG448" s="257"/>
      <c r="AH448" s="257"/>
      <c r="AI448" s="257"/>
      <c r="AJ448" s="258"/>
      <c r="AK448" s="259"/>
      <c r="AL448" s="257"/>
      <c r="AM448" s="257"/>
      <c r="AN448" s="257"/>
      <c r="AO448" s="257"/>
      <c r="AP448" s="257"/>
      <c r="AQ448" s="258"/>
      <c r="AR448" s="260"/>
      <c r="AS448" s="257"/>
      <c r="AT448" s="257"/>
      <c r="AU448" s="257"/>
      <c r="AV448" s="257"/>
      <c r="AW448" s="257"/>
      <c r="AX448" s="258"/>
      <c r="AY448" s="260"/>
      <c r="AZ448" s="257"/>
      <c r="BA448" s="257"/>
      <c r="BB448" s="257"/>
      <c r="BC448" s="257"/>
      <c r="BD448" s="258"/>
      <c r="BE448" s="260"/>
      <c r="BF448" s="258"/>
      <c r="BG448" s="260"/>
      <c r="BH448" s="257"/>
      <c r="BI448" s="14"/>
    </row>
    <row r="449" spans="1:61" ht="13.15" x14ac:dyDescent="0.4">
      <c r="A449" s="248"/>
      <c r="B449" s="256"/>
      <c r="C449" s="248"/>
      <c r="D449" s="248"/>
      <c r="E449" s="248"/>
      <c r="F449" s="250"/>
      <c r="G449" s="248"/>
      <c r="H449" s="32"/>
      <c r="I449" s="248"/>
      <c r="J449" s="248"/>
      <c r="K449" s="251"/>
      <c r="L449" s="238"/>
      <c r="M449" s="248"/>
      <c r="N449" s="248"/>
      <c r="O449" s="248"/>
      <c r="P449" s="250"/>
      <c r="Q449" s="252"/>
      <c r="R449" s="248"/>
      <c r="S449" s="248"/>
      <c r="T449" s="248"/>
      <c r="U449" s="248"/>
      <c r="V449" s="248"/>
      <c r="W449" s="248"/>
      <c r="X449" s="248"/>
      <c r="Y449" s="248"/>
      <c r="Z449" s="253"/>
      <c r="AA449" s="253"/>
      <c r="AB449" s="253"/>
      <c r="AC449" s="253"/>
      <c r="AD449" s="253"/>
      <c r="AE449" s="253"/>
      <c r="AF449" s="254"/>
      <c r="AG449" s="257"/>
      <c r="AH449" s="257"/>
      <c r="AI449" s="257"/>
      <c r="AJ449" s="258"/>
      <c r="AK449" s="259"/>
      <c r="AL449" s="257"/>
      <c r="AM449" s="257"/>
      <c r="AN449" s="257"/>
      <c r="AO449" s="257"/>
      <c r="AP449" s="257"/>
      <c r="AQ449" s="258"/>
      <c r="AR449" s="260"/>
      <c r="AS449" s="257"/>
      <c r="AT449" s="257"/>
      <c r="AU449" s="257"/>
      <c r="AV449" s="257"/>
      <c r="AW449" s="257"/>
      <c r="AX449" s="258"/>
      <c r="AY449" s="260"/>
      <c r="AZ449" s="257"/>
      <c r="BA449" s="257"/>
      <c r="BB449" s="257"/>
      <c r="BC449" s="257"/>
      <c r="BD449" s="258"/>
      <c r="BE449" s="260"/>
      <c r="BF449" s="258"/>
      <c r="BG449" s="260"/>
      <c r="BH449" s="257"/>
      <c r="BI449" s="14"/>
    </row>
    <row r="450" spans="1:61" ht="13.15" x14ac:dyDescent="0.4">
      <c r="A450" s="248"/>
      <c r="B450" s="256"/>
      <c r="C450" s="248"/>
      <c r="D450" s="248"/>
      <c r="E450" s="248"/>
      <c r="F450" s="250"/>
      <c r="G450" s="248"/>
      <c r="H450" s="32"/>
      <c r="I450" s="248"/>
      <c r="J450" s="248"/>
      <c r="K450" s="251"/>
      <c r="L450" s="238"/>
      <c r="M450" s="248"/>
      <c r="N450" s="248"/>
      <c r="O450" s="248"/>
      <c r="P450" s="250"/>
      <c r="Q450" s="252"/>
      <c r="R450" s="248"/>
      <c r="S450" s="248"/>
      <c r="T450" s="248"/>
      <c r="U450" s="248"/>
      <c r="V450" s="248"/>
      <c r="W450" s="248"/>
      <c r="X450" s="248"/>
      <c r="Y450" s="248"/>
      <c r="Z450" s="253"/>
      <c r="AA450" s="253"/>
      <c r="AB450" s="253"/>
      <c r="AC450" s="253"/>
      <c r="AD450" s="253"/>
      <c r="AE450" s="253"/>
      <c r="AF450" s="254"/>
      <c r="AG450" s="257"/>
      <c r="AH450" s="257"/>
      <c r="AI450" s="257"/>
      <c r="AJ450" s="258"/>
      <c r="AK450" s="259"/>
      <c r="AL450" s="257"/>
      <c r="AM450" s="257"/>
      <c r="AN450" s="257"/>
      <c r="AO450" s="257"/>
      <c r="AP450" s="257"/>
      <c r="AQ450" s="258"/>
      <c r="AR450" s="260"/>
      <c r="AS450" s="257"/>
      <c r="AT450" s="257"/>
      <c r="AU450" s="257"/>
      <c r="AV450" s="257"/>
      <c r="AW450" s="257"/>
      <c r="AX450" s="258"/>
      <c r="AY450" s="260"/>
      <c r="AZ450" s="257"/>
      <c r="BA450" s="257"/>
      <c r="BB450" s="257"/>
      <c r="BC450" s="257"/>
      <c r="BD450" s="258"/>
      <c r="BE450" s="260"/>
      <c r="BF450" s="258"/>
      <c r="BG450" s="260"/>
      <c r="BH450" s="257"/>
      <c r="BI450" s="14"/>
    </row>
    <row r="451" spans="1:61" ht="13.15" x14ac:dyDescent="0.4">
      <c r="A451" s="248"/>
      <c r="B451" s="256"/>
      <c r="C451" s="248"/>
      <c r="D451" s="248"/>
      <c r="E451" s="248"/>
      <c r="F451" s="250"/>
      <c r="G451" s="248"/>
      <c r="H451" s="32"/>
      <c r="I451" s="248"/>
      <c r="J451" s="248"/>
      <c r="K451" s="251"/>
      <c r="L451" s="238"/>
      <c r="M451" s="248"/>
      <c r="N451" s="248"/>
      <c r="O451" s="248"/>
      <c r="P451" s="250"/>
      <c r="Q451" s="252"/>
      <c r="R451" s="248"/>
      <c r="S451" s="248"/>
      <c r="T451" s="248"/>
      <c r="U451" s="248"/>
      <c r="V451" s="248"/>
      <c r="W451" s="248"/>
      <c r="X451" s="248"/>
      <c r="Y451" s="248"/>
      <c r="Z451" s="253"/>
      <c r="AA451" s="253"/>
      <c r="AB451" s="253"/>
      <c r="AC451" s="253"/>
      <c r="AD451" s="253"/>
      <c r="AE451" s="253"/>
      <c r="AF451" s="254"/>
      <c r="AG451" s="257"/>
      <c r="AH451" s="257"/>
      <c r="AI451" s="257"/>
      <c r="AJ451" s="258"/>
      <c r="AK451" s="259"/>
      <c r="AL451" s="257"/>
      <c r="AM451" s="257"/>
      <c r="AN451" s="257"/>
      <c r="AO451" s="257"/>
      <c r="AP451" s="257"/>
      <c r="AQ451" s="258"/>
      <c r="AR451" s="260"/>
      <c r="AS451" s="257"/>
      <c r="AT451" s="257"/>
      <c r="AU451" s="257"/>
      <c r="AV451" s="257"/>
      <c r="AW451" s="257"/>
      <c r="AX451" s="258"/>
      <c r="AY451" s="260"/>
      <c r="AZ451" s="257"/>
      <c r="BA451" s="257"/>
      <c r="BB451" s="257"/>
      <c r="BC451" s="257"/>
      <c r="BD451" s="258"/>
      <c r="BE451" s="260"/>
      <c r="BF451" s="258"/>
      <c r="BG451" s="260"/>
      <c r="BH451" s="257"/>
      <c r="BI451" s="14"/>
    </row>
    <row r="452" spans="1:61" ht="13.15" x14ac:dyDescent="0.4">
      <c r="A452" s="248"/>
      <c r="B452" s="256"/>
      <c r="C452" s="248"/>
      <c r="D452" s="248"/>
      <c r="E452" s="248"/>
      <c r="F452" s="250"/>
      <c r="G452" s="248"/>
      <c r="H452" s="32"/>
      <c r="I452" s="248"/>
      <c r="J452" s="248"/>
      <c r="K452" s="251"/>
      <c r="L452" s="238"/>
      <c r="M452" s="248"/>
      <c r="N452" s="248"/>
      <c r="O452" s="248"/>
      <c r="P452" s="250"/>
      <c r="Q452" s="252"/>
      <c r="R452" s="248"/>
      <c r="S452" s="248"/>
      <c r="T452" s="248"/>
      <c r="U452" s="248"/>
      <c r="V452" s="248"/>
      <c r="W452" s="248"/>
      <c r="X452" s="248"/>
      <c r="Y452" s="248"/>
      <c r="Z452" s="253"/>
      <c r="AA452" s="253"/>
      <c r="AB452" s="253"/>
      <c r="AC452" s="253"/>
      <c r="AD452" s="253"/>
      <c r="AE452" s="253"/>
      <c r="AF452" s="254"/>
      <c r="AG452" s="257"/>
      <c r="AH452" s="257"/>
      <c r="AI452" s="257"/>
      <c r="AJ452" s="258"/>
      <c r="AK452" s="259"/>
      <c r="AL452" s="257"/>
      <c r="AM452" s="257"/>
      <c r="AN452" s="257"/>
      <c r="AO452" s="257"/>
      <c r="AP452" s="257"/>
      <c r="AQ452" s="258"/>
      <c r="AR452" s="260"/>
      <c r="AS452" s="257"/>
      <c r="AT452" s="257"/>
      <c r="AU452" s="257"/>
      <c r="AV452" s="257"/>
      <c r="AW452" s="257"/>
      <c r="AX452" s="258"/>
      <c r="AY452" s="260"/>
      <c r="AZ452" s="257"/>
      <c r="BA452" s="257"/>
      <c r="BB452" s="257"/>
      <c r="BC452" s="257"/>
      <c r="BD452" s="258"/>
      <c r="BE452" s="260"/>
      <c r="BF452" s="258"/>
      <c r="BG452" s="260"/>
      <c r="BH452" s="257"/>
      <c r="BI452" s="14"/>
    </row>
    <row r="453" spans="1:61" ht="13.15" x14ac:dyDescent="0.4">
      <c r="A453" s="248"/>
      <c r="B453" s="256"/>
      <c r="C453" s="248"/>
      <c r="D453" s="248"/>
      <c r="E453" s="248"/>
      <c r="F453" s="250"/>
      <c r="G453" s="248"/>
      <c r="H453" s="32"/>
      <c r="I453" s="248"/>
      <c r="J453" s="248"/>
      <c r="K453" s="251"/>
      <c r="L453" s="238"/>
      <c r="M453" s="248"/>
      <c r="N453" s="248"/>
      <c r="O453" s="248"/>
      <c r="P453" s="250"/>
      <c r="Q453" s="252"/>
      <c r="R453" s="248"/>
      <c r="S453" s="248"/>
      <c r="T453" s="248"/>
      <c r="U453" s="248"/>
      <c r="V453" s="248"/>
      <c r="W453" s="248"/>
      <c r="X453" s="248"/>
      <c r="Y453" s="248"/>
      <c r="Z453" s="253"/>
      <c r="AA453" s="253"/>
      <c r="AB453" s="253"/>
      <c r="AC453" s="253"/>
      <c r="AD453" s="253"/>
      <c r="AE453" s="253"/>
      <c r="AF453" s="254"/>
      <c r="AG453" s="257"/>
      <c r="AH453" s="257"/>
      <c r="AI453" s="257"/>
      <c r="AJ453" s="258"/>
      <c r="AK453" s="259"/>
      <c r="AL453" s="257"/>
      <c r="AM453" s="257"/>
      <c r="AN453" s="257"/>
      <c r="AO453" s="257"/>
      <c r="AP453" s="257"/>
      <c r="AQ453" s="258"/>
      <c r="AR453" s="260"/>
      <c r="AS453" s="257"/>
      <c r="AT453" s="257"/>
      <c r="AU453" s="257"/>
      <c r="AV453" s="257"/>
      <c r="AW453" s="257"/>
      <c r="AX453" s="258"/>
      <c r="AY453" s="260"/>
      <c r="AZ453" s="257"/>
      <c r="BA453" s="257"/>
      <c r="BB453" s="257"/>
      <c r="BC453" s="257"/>
      <c r="BD453" s="258"/>
      <c r="BE453" s="260"/>
      <c r="BF453" s="258"/>
      <c r="BG453" s="260"/>
      <c r="BH453" s="257"/>
      <c r="BI453" s="14"/>
    </row>
    <row r="454" spans="1:61" ht="13.15" x14ac:dyDescent="0.4">
      <c r="A454" s="248"/>
      <c r="B454" s="256"/>
      <c r="C454" s="248"/>
      <c r="D454" s="248"/>
      <c r="E454" s="248"/>
      <c r="F454" s="250"/>
      <c r="G454" s="248"/>
      <c r="H454" s="32"/>
      <c r="I454" s="248"/>
      <c r="J454" s="248"/>
      <c r="K454" s="251"/>
      <c r="L454" s="238"/>
      <c r="M454" s="248"/>
      <c r="N454" s="248"/>
      <c r="O454" s="248"/>
      <c r="P454" s="250"/>
      <c r="Q454" s="252"/>
      <c r="R454" s="248"/>
      <c r="S454" s="248"/>
      <c r="T454" s="248"/>
      <c r="U454" s="248"/>
      <c r="V454" s="248"/>
      <c r="W454" s="248"/>
      <c r="X454" s="248"/>
      <c r="Y454" s="248"/>
      <c r="Z454" s="253"/>
      <c r="AA454" s="253"/>
      <c r="AB454" s="253"/>
      <c r="AC454" s="253"/>
      <c r="AD454" s="253"/>
      <c r="AE454" s="253"/>
      <c r="AF454" s="254"/>
      <c r="AG454" s="257"/>
      <c r="AH454" s="257"/>
      <c r="AI454" s="257"/>
      <c r="AJ454" s="258"/>
      <c r="AK454" s="259"/>
      <c r="AL454" s="257"/>
      <c r="AM454" s="257"/>
      <c r="AN454" s="257"/>
      <c r="AO454" s="257"/>
      <c r="AP454" s="257"/>
      <c r="AQ454" s="258"/>
      <c r="AR454" s="260"/>
      <c r="AS454" s="257"/>
      <c r="AT454" s="257"/>
      <c r="AU454" s="257"/>
      <c r="AV454" s="257"/>
      <c r="AW454" s="257"/>
      <c r="AX454" s="258"/>
      <c r="AY454" s="260"/>
      <c r="AZ454" s="257"/>
      <c r="BA454" s="257"/>
      <c r="BB454" s="257"/>
      <c r="BC454" s="257"/>
      <c r="BD454" s="258"/>
      <c r="BE454" s="260"/>
      <c r="BF454" s="258"/>
      <c r="BG454" s="260"/>
      <c r="BH454" s="257"/>
      <c r="BI454" s="14"/>
    </row>
    <row r="455" spans="1:61" ht="13.15" x14ac:dyDescent="0.4">
      <c r="A455" s="248"/>
      <c r="B455" s="256"/>
      <c r="C455" s="248"/>
      <c r="D455" s="248"/>
      <c r="E455" s="248"/>
      <c r="F455" s="250"/>
      <c r="G455" s="248"/>
      <c r="H455" s="32"/>
      <c r="I455" s="248"/>
      <c r="J455" s="248"/>
      <c r="K455" s="251"/>
      <c r="L455" s="238"/>
      <c r="M455" s="248"/>
      <c r="N455" s="248"/>
      <c r="O455" s="248"/>
      <c r="P455" s="250"/>
      <c r="Q455" s="252"/>
      <c r="R455" s="248"/>
      <c r="S455" s="248"/>
      <c r="T455" s="248"/>
      <c r="U455" s="248"/>
      <c r="V455" s="248"/>
      <c r="W455" s="248"/>
      <c r="X455" s="248"/>
      <c r="Y455" s="248"/>
      <c r="Z455" s="253"/>
      <c r="AA455" s="253"/>
      <c r="AB455" s="253"/>
      <c r="AC455" s="253"/>
      <c r="AD455" s="253"/>
      <c r="AE455" s="253"/>
      <c r="AF455" s="254"/>
      <c r="AG455" s="257"/>
      <c r="AH455" s="257"/>
      <c r="AI455" s="257"/>
      <c r="AJ455" s="258"/>
      <c r="AK455" s="259"/>
      <c r="AL455" s="257"/>
      <c r="AM455" s="257"/>
      <c r="AN455" s="257"/>
      <c r="AO455" s="257"/>
      <c r="AP455" s="257"/>
      <c r="AQ455" s="258"/>
      <c r="AR455" s="260"/>
      <c r="AS455" s="257"/>
      <c r="AT455" s="257"/>
      <c r="AU455" s="257"/>
      <c r="AV455" s="257"/>
      <c r="AW455" s="257"/>
      <c r="AX455" s="258"/>
      <c r="AY455" s="260"/>
      <c r="AZ455" s="257"/>
      <c r="BA455" s="257"/>
      <c r="BB455" s="257"/>
      <c r="BC455" s="257"/>
      <c r="BD455" s="258"/>
      <c r="BE455" s="260"/>
      <c r="BF455" s="258"/>
      <c r="BG455" s="260"/>
      <c r="BH455" s="257"/>
      <c r="BI455" s="14"/>
    </row>
    <row r="456" spans="1:61" ht="13.15" x14ac:dyDescent="0.4">
      <c r="A456" s="248"/>
      <c r="B456" s="256"/>
      <c r="C456" s="248"/>
      <c r="D456" s="248"/>
      <c r="E456" s="248"/>
      <c r="F456" s="250"/>
      <c r="G456" s="248"/>
      <c r="H456" s="32"/>
      <c r="I456" s="248"/>
      <c r="J456" s="248"/>
      <c r="K456" s="251"/>
      <c r="L456" s="238"/>
      <c r="M456" s="248"/>
      <c r="N456" s="248"/>
      <c r="O456" s="248"/>
      <c r="P456" s="250"/>
      <c r="Q456" s="252"/>
      <c r="R456" s="248"/>
      <c r="S456" s="248"/>
      <c r="T456" s="248"/>
      <c r="U456" s="248"/>
      <c r="V456" s="248"/>
      <c r="W456" s="248"/>
      <c r="X456" s="248"/>
      <c r="Y456" s="248"/>
      <c r="Z456" s="253"/>
      <c r="AA456" s="253"/>
      <c r="AB456" s="253"/>
      <c r="AC456" s="253"/>
      <c r="AD456" s="253"/>
      <c r="AE456" s="253"/>
      <c r="AF456" s="254"/>
      <c r="AG456" s="257"/>
      <c r="AH456" s="257"/>
      <c r="AI456" s="257"/>
      <c r="AJ456" s="258"/>
      <c r="AK456" s="259"/>
      <c r="AL456" s="257"/>
      <c r="AM456" s="257"/>
      <c r="AN456" s="257"/>
      <c r="AO456" s="257"/>
      <c r="AP456" s="257"/>
      <c r="AQ456" s="258"/>
      <c r="AR456" s="260"/>
      <c r="AS456" s="257"/>
      <c r="AT456" s="257"/>
      <c r="AU456" s="257"/>
      <c r="AV456" s="257"/>
      <c r="AW456" s="257"/>
      <c r="AX456" s="258"/>
      <c r="AY456" s="260"/>
      <c r="AZ456" s="257"/>
      <c r="BA456" s="257"/>
      <c r="BB456" s="257"/>
      <c r="BC456" s="257"/>
      <c r="BD456" s="258"/>
      <c r="BE456" s="260"/>
      <c r="BF456" s="258"/>
      <c r="BG456" s="260"/>
      <c r="BH456" s="257"/>
      <c r="BI456" s="14"/>
    </row>
    <row r="457" spans="1:61" ht="13.15" x14ac:dyDescent="0.4">
      <c r="A457" s="248"/>
      <c r="B457" s="256"/>
      <c r="C457" s="248"/>
      <c r="D457" s="248"/>
      <c r="E457" s="248"/>
      <c r="F457" s="250"/>
      <c r="G457" s="248"/>
      <c r="H457" s="32"/>
      <c r="I457" s="248"/>
      <c r="J457" s="248"/>
      <c r="K457" s="251"/>
      <c r="L457" s="238"/>
      <c r="M457" s="248"/>
      <c r="N457" s="248"/>
      <c r="O457" s="248"/>
      <c r="P457" s="250"/>
      <c r="Q457" s="252"/>
      <c r="R457" s="248"/>
      <c r="S457" s="248"/>
      <c r="T457" s="248"/>
      <c r="U457" s="248"/>
      <c r="V457" s="248"/>
      <c r="W457" s="248"/>
      <c r="X457" s="248"/>
      <c r="Y457" s="248"/>
      <c r="Z457" s="253"/>
      <c r="AA457" s="253"/>
      <c r="AB457" s="253"/>
      <c r="AC457" s="253"/>
      <c r="AD457" s="253"/>
      <c r="AE457" s="253"/>
      <c r="AF457" s="254"/>
      <c r="AG457" s="257"/>
      <c r="AH457" s="257"/>
      <c r="AI457" s="257"/>
      <c r="AJ457" s="258"/>
      <c r="AK457" s="259"/>
      <c r="AL457" s="257"/>
      <c r="AM457" s="257"/>
      <c r="AN457" s="257"/>
      <c r="AO457" s="257"/>
      <c r="AP457" s="257"/>
      <c r="AQ457" s="258"/>
      <c r="AR457" s="260"/>
      <c r="AS457" s="257"/>
      <c r="AT457" s="257"/>
      <c r="AU457" s="257"/>
      <c r="AV457" s="257"/>
      <c r="AW457" s="257"/>
      <c r="AX457" s="258"/>
      <c r="AY457" s="260"/>
      <c r="AZ457" s="257"/>
      <c r="BA457" s="257"/>
      <c r="BB457" s="257"/>
      <c r="BC457" s="257"/>
      <c r="BD457" s="258"/>
      <c r="BE457" s="260"/>
      <c r="BF457" s="258"/>
      <c r="BG457" s="260"/>
      <c r="BH457" s="257"/>
      <c r="BI457" s="14"/>
    </row>
    <row r="458" spans="1:61" ht="13.15" x14ac:dyDescent="0.4">
      <c r="A458" s="248"/>
      <c r="B458" s="256"/>
      <c r="C458" s="248"/>
      <c r="D458" s="248"/>
      <c r="E458" s="248"/>
      <c r="F458" s="250"/>
      <c r="G458" s="248"/>
      <c r="H458" s="32"/>
      <c r="I458" s="248"/>
      <c r="J458" s="248"/>
      <c r="K458" s="251"/>
      <c r="L458" s="238"/>
      <c r="M458" s="248"/>
      <c r="N458" s="248"/>
      <c r="O458" s="248"/>
      <c r="P458" s="250"/>
      <c r="Q458" s="252"/>
      <c r="R458" s="248"/>
      <c r="S458" s="248"/>
      <c r="T458" s="248"/>
      <c r="U458" s="248"/>
      <c r="V458" s="248"/>
      <c r="W458" s="248"/>
      <c r="X458" s="248"/>
      <c r="Y458" s="248"/>
      <c r="Z458" s="253"/>
      <c r="AA458" s="253"/>
      <c r="AB458" s="253"/>
      <c r="AC458" s="253"/>
      <c r="AD458" s="253"/>
      <c r="AE458" s="253"/>
      <c r="AF458" s="254"/>
      <c r="AG458" s="257"/>
      <c r="AH458" s="257"/>
      <c r="AI458" s="257"/>
      <c r="AJ458" s="258"/>
      <c r="AK458" s="259"/>
      <c r="AL458" s="257"/>
      <c r="AM458" s="257"/>
      <c r="AN458" s="257"/>
      <c r="AO458" s="257"/>
      <c r="AP458" s="257"/>
      <c r="AQ458" s="258"/>
      <c r="AR458" s="260"/>
      <c r="AS458" s="257"/>
      <c r="AT458" s="257"/>
      <c r="AU458" s="257"/>
      <c r="AV458" s="257"/>
      <c r="AW458" s="257"/>
      <c r="AX458" s="258"/>
      <c r="AY458" s="260"/>
      <c r="AZ458" s="257"/>
      <c r="BA458" s="257"/>
      <c r="BB458" s="257"/>
      <c r="BC458" s="257"/>
      <c r="BD458" s="258"/>
      <c r="BE458" s="260"/>
      <c r="BF458" s="258"/>
      <c r="BG458" s="260"/>
      <c r="BH458" s="257"/>
      <c r="BI458" s="14"/>
    </row>
    <row r="459" spans="1:61" ht="13.15" x14ac:dyDescent="0.4">
      <c r="A459" s="248"/>
      <c r="B459" s="256"/>
      <c r="C459" s="248"/>
      <c r="D459" s="248"/>
      <c r="E459" s="248"/>
      <c r="F459" s="250"/>
      <c r="G459" s="248"/>
      <c r="H459" s="32"/>
      <c r="I459" s="248"/>
      <c r="J459" s="248"/>
      <c r="K459" s="251"/>
      <c r="L459" s="238"/>
      <c r="M459" s="248"/>
      <c r="N459" s="248"/>
      <c r="O459" s="248"/>
      <c r="P459" s="250"/>
      <c r="Q459" s="252"/>
      <c r="R459" s="248"/>
      <c r="S459" s="248"/>
      <c r="T459" s="248"/>
      <c r="U459" s="248"/>
      <c r="V459" s="248"/>
      <c r="W459" s="248"/>
      <c r="X459" s="248"/>
      <c r="Y459" s="248"/>
      <c r="Z459" s="253"/>
      <c r="AA459" s="253"/>
      <c r="AB459" s="253"/>
      <c r="AC459" s="253"/>
      <c r="AD459" s="253"/>
      <c r="AE459" s="253"/>
      <c r="AF459" s="254"/>
      <c r="AG459" s="257"/>
      <c r="AH459" s="257"/>
      <c r="AI459" s="257"/>
      <c r="AJ459" s="258"/>
      <c r="AK459" s="259"/>
      <c r="AL459" s="257"/>
      <c r="AM459" s="257"/>
      <c r="AN459" s="257"/>
      <c r="AO459" s="257"/>
      <c r="AP459" s="257"/>
      <c r="AQ459" s="258"/>
      <c r="AR459" s="260"/>
      <c r="AS459" s="257"/>
      <c r="AT459" s="257"/>
      <c r="AU459" s="257"/>
      <c r="AV459" s="257"/>
      <c r="AW459" s="257"/>
      <c r="AX459" s="258"/>
      <c r="AY459" s="260"/>
      <c r="AZ459" s="257"/>
      <c r="BA459" s="257"/>
      <c r="BB459" s="257"/>
      <c r="BC459" s="257"/>
      <c r="BD459" s="258"/>
      <c r="BE459" s="260"/>
      <c r="BF459" s="258"/>
      <c r="BG459" s="260"/>
      <c r="BH459" s="257"/>
      <c r="BI459" s="14"/>
    </row>
    <row r="460" spans="1:61" ht="13.15" x14ac:dyDescent="0.4">
      <c r="A460" s="248"/>
      <c r="B460" s="256"/>
      <c r="C460" s="248"/>
      <c r="D460" s="248"/>
      <c r="E460" s="248"/>
      <c r="F460" s="250"/>
      <c r="G460" s="248"/>
      <c r="H460" s="32"/>
      <c r="I460" s="248"/>
      <c r="J460" s="248"/>
      <c r="K460" s="251"/>
      <c r="L460" s="238"/>
      <c r="M460" s="248"/>
      <c r="N460" s="248"/>
      <c r="O460" s="248"/>
      <c r="P460" s="250"/>
      <c r="Q460" s="252"/>
      <c r="R460" s="248"/>
      <c r="S460" s="248"/>
      <c r="T460" s="248"/>
      <c r="U460" s="248"/>
      <c r="V460" s="248"/>
      <c r="W460" s="248"/>
      <c r="X460" s="248"/>
      <c r="Y460" s="248"/>
      <c r="Z460" s="253"/>
      <c r="AA460" s="253"/>
      <c r="AB460" s="253"/>
      <c r="AC460" s="253"/>
      <c r="AD460" s="253"/>
      <c r="AE460" s="253"/>
      <c r="AF460" s="254"/>
      <c r="AG460" s="257"/>
      <c r="AH460" s="257"/>
      <c r="AI460" s="257"/>
      <c r="AJ460" s="258"/>
      <c r="AK460" s="259"/>
      <c r="AL460" s="257"/>
      <c r="AM460" s="257"/>
      <c r="AN460" s="257"/>
      <c r="AO460" s="257"/>
      <c r="AP460" s="257"/>
      <c r="AQ460" s="258"/>
      <c r="AR460" s="260"/>
      <c r="AS460" s="257"/>
      <c r="AT460" s="257"/>
      <c r="AU460" s="257"/>
      <c r="AV460" s="257"/>
      <c r="AW460" s="257"/>
      <c r="AX460" s="258"/>
      <c r="AY460" s="260"/>
      <c r="AZ460" s="257"/>
      <c r="BA460" s="257"/>
      <c r="BB460" s="257"/>
      <c r="BC460" s="257"/>
      <c r="BD460" s="258"/>
      <c r="BE460" s="260"/>
      <c r="BF460" s="258"/>
      <c r="BG460" s="260"/>
      <c r="BH460" s="257"/>
      <c r="BI460" s="14"/>
    </row>
    <row r="461" spans="1:61" ht="13.15" x14ac:dyDescent="0.4">
      <c r="A461" s="248"/>
      <c r="B461" s="256"/>
      <c r="C461" s="248"/>
      <c r="D461" s="248"/>
      <c r="E461" s="248"/>
      <c r="F461" s="250"/>
      <c r="G461" s="248"/>
      <c r="H461" s="32"/>
      <c r="I461" s="248"/>
      <c r="J461" s="248"/>
      <c r="K461" s="251"/>
      <c r="L461" s="238"/>
      <c r="M461" s="248"/>
      <c r="N461" s="248"/>
      <c r="O461" s="248"/>
      <c r="P461" s="250"/>
      <c r="Q461" s="252"/>
      <c r="R461" s="248"/>
      <c r="S461" s="248"/>
      <c r="T461" s="248"/>
      <c r="U461" s="248"/>
      <c r="V461" s="248"/>
      <c r="W461" s="248"/>
      <c r="X461" s="248"/>
      <c r="Y461" s="248"/>
      <c r="Z461" s="253"/>
      <c r="AA461" s="253"/>
      <c r="AB461" s="253"/>
      <c r="AC461" s="253"/>
      <c r="AD461" s="253"/>
      <c r="AE461" s="253"/>
      <c r="AF461" s="254"/>
      <c r="AG461" s="257"/>
      <c r="AH461" s="257"/>
      <c r="AI461" s="257"/>
      <c r="AJ461" s="258"/>
      <c r="AK461" s="259"/>
      <c r="AL461" s="257"/>
      <c r="AM461" s="257"/>
      <c r="AN461" s="257"/>
      <c r="AO461" s="257"/>
      <c r="AP461" s="257"/>
      <c r="AQ461" s="258"/>
      <c r="AR461" s="260"/>
      <c r="AS461" s="257"/>
      <c r="AT461" s="257"/>
      <c r="AU461" s="257"/>
      <c r="AV461" s="257"/>
      <c r="AW461" s="257"/>
      <c r="AX461" s="258"/>
      <c r="AY461" s="260"/>
      <c r="AZ461" s="257"/>
      <c r="BA461" s="257"/>
      <c r="BB461" s="257"/>
      <c r="BC461" s="257"/>
      <c r="BD461" s="258"/>
      <c r="BE461" s="260"/>
      <c r="BF461" s="258"/>
      <c r="BG461" s="260"/>
      <c r="BH461" s="257"/>
      <c r="BI461" s="14"/>
    </row>
    <row r="462" spans="1:61" ht="13.15" x14ac:dyDescent="0.4">
      <c r="A462" s="248"/>
      <c r="B462" s="256"/>
      <c r="C462" s="248"/>
      <c r="D462" s="248"/>
      <c r="E462" s="248"/>
      <c r="F462" s="250"/>
      <c r="G462" s="248"/>
      <c r="H462" s="32"/>
      <c r="I462" s="248"/>
      <c r="J462" s="248"/>
      <c r="K462" s="251"/>
      <c r="L462" s="238"/>
      <c r="M462" s="248"/>
      <c r="N462" s="248"/>
      <c r="O462" s="248"/>
      <c r="P462" s="250"/>
      <c r="Q462" s="252"/>
      <c r="R462" s="248"/>
      <c r="S462" s="248"/>
      <c r="T462" s="248"/>
      <c r="U462" s="248"/>
      <c r="V462" s="248"/>
      <c r="W462" s="248"/>
      <c r="X462" s="248"/>
      <c r="Y462" s="248"/>
      <c r="Z462" s="253"/>
      <c r="AA462" s="253"/>
      <c r="AB462" s="253"/>
      <c r="AC462" s="253"/>
      <c r="AD462" s="253"/>
      <c r="AE462" s="253"/>
      <c r="AF462" s="254"/>
      <c r="AG462" s="257"/>
      <c r="AH462" s="257"/>
      <c r="AI462" s="257"/>
      <c r="AJ462" s="258"/>
      <c r="AK462" s="259"/>
      <c r="AL462" s="257"/>
      <c r="AM462" s="257"/>
      <c r="AN462" s="257"/>
      <c r="AO462" s="257"/>
      <c r="AP462" s="257"/>
      <c r="AQ462" s="258"/>
      <c r="AR462" s="260"/>
      <c r="AS462" s="257"/>
      <c r="AT462" s="257"/>
      <c r="AU462" s="257"/>
      <c r="AV462" s="257"/>
      <c r="AW462" s="257"/>
      <c r="AX462" s="258"/>
      <c r="AY462" s="260"/>
      <c r="AZ462" s="257"/>
      <c r="BA462" s="257"/>
      <c r="BB462" s="257"/>
      <c r="BC462" s="257"/>
      <c r="BD462" s="258"/>
      <c r="BE462" s="260"/>
      <c r="BF462" s="258"/>
      <c r="BG462" s="260"/>
      <c r="BH462" s="257"/>
      <c r="BI462" s="14"/>
    </row>
    <row r="463" spans="1:61" ht="13.15" x14ac:dyDescent="0.4">
      <c r="A463" s="248"/>
      <c r="B463" s="256"/>
      <c r="C463" s="248"/>
      <c r="D463" s="248"/>
      <c r="E463" s="248"/>
      <c r="F463" s="250"/>
      <c r="G463" s="248"/>
      <c r="H463" s="32"/>
      <c r="I463" s="248"/>
      <c r="J463" s="248"/>
      <c r="K463" s="251"/>
      <c r="L463" s="238"/>
      <c r="M463" s="248"/>
      <c r="N463" s="248"/>
      <c r="O463" s="248"/>
      <c r="P463" s="250"/>
      <c r="Q463" s="252"/>
      <c r="R463" s="248"/>
      <c r="S463" s="248"/>
      <c r="T463" s="248"/>
      <c r="U463" s="248"/>
      <c r="V463" s="248"/>
      <c r="W463" s="248"/>
      <c r="X463" s="248"/>
      <c r="Y463" s="248"/>
      <c r="Z463" s="253"/>
      <c r="AA463" s="253"/>
      <c r="AB463" s="253"/>
      <c r="AC463" s="253"/>
      <c r="AD463" s="253"/>
      <c r="AE463" s="253"/>
      <c r="AF463" s="254"/>
      <c r="AG463" s="257"/>
      <c r="AH463" s="257"/>
      <c r="AI463" s="257"/>
      <c r="AJ463" s="258"/>
      <c r="AK463" s="259"/>
      <c r="AL463" s="257"/>
      <c r="AM463" s="257"/>
      <c r="AN463" s="257"/>
      <c r="AO463" s="257"/>
      <c r="AP463" s="257"/>
      <c r="AQ463" s="258"/>
      <c r="AR463" s="260"/>
      <c r="AS463" s="257"/>
      <c r="AT463" s="257"/>
      <c r="AU463" s="257"/>
      <c r="AV463" s="257"/>
      <c r="AW463" s="257"/>
      <c r="AX463" s="258"/>
      <c r="AY463" s="260"/>
      <c r="AZ463" s="257"/>
      <c r="BA463" s="257"/>
      <c r="BB463" s="257"/>
      <c r="BC463" s="257"/>
      <c r="BD463" s="258"/>
      <c r="BE463" s="260"/>
      <c r="BF463" s="258"/>
      <c r="BG463" s="260"/>
      <c r="BH463" s="257"/>
      <c r="BI463" s="14"/>
    </row>
    <row r="464" spans="1:61" ht="13.15" x14ac:dyDescent="0.4">
      <c r="A464" s="248"/>
      <c r="B464" s="256"/>
      <c r="C464" s="248"/>
      <c r="D464" s="248"/>
      <c r="E464" s="248"/>
      <c r="F464" s="250"/>
      <c r="G464" s="248"/>
      <c r="H464" s="32"/>
      <c r="I464" s="248"/>
      <c r="J464" s="248"/>
      <c r="K464" s="251"/>
      <c r="L464" s="238"/>
      <c r="M464" s="248"/>
      <c r="N464" s="248"/>
      <c r="O464" s="248"/>
      <c r="P464" s="250"/>
      <c r="Q464" s="252"/>
      <c r="R464" s="248"/>
      <c r="S464" s="248"/>
      <c r="T464" s="248"/>
      <c r="U464" s="248"/>
      <c r="V464" s="248"/>
      <c r="W464" s="248"/>
      <c r="X464" s="248"/>
      <c r="Y464" s="248"/>
      <c r="Z464" s="253"/>
      <c r="AA464" s="253"/>
      <c r="AB464" s="253"/>
      <c r="AC464" s="253"/>
      <c r="AD464" s="253"/>
      <c r="AE464" s="253"/>
      <c r="AF464" s="254"/>
      <c r="AG464" s="257"/>
      <c r="AH464" s="257"/>
      <c r="AI464" s="257"/>
      <c r="AJ464" s="258"/>
      <c r="AK464" s="259"/>
      <c r="AL464" s="257"/>
      <c r="AM464" s="257"/>
      <c r="AN464" s="257"/>
      <c r="AO464" s="257"/>
      <c r="AP464" s="257"/>
      <c r="AQ464" s="258"/>
      <c r="AR464" s="260"/>
      <c r="AS464" s="257"/>
      <c r="AT464" s="257"/>
      <c r="AU464" s="257"/>
      <c r="AV464" s="257"/>
      <c r="AW464" s="257"/>
      <c r="AX464" s="258"/>
      <c r="AY464" s="260"/>
      <c r="AZ464" s="257"/>
      <c r="BA464" s="257"/>
      <c r="BB464" s="257"/>
      <c r="BC464" s="257"/>
      <c r="BD464" s="258"/>
      <c r="BE464" s="260"/>
      <c r="BF464" s="258"/>
      <c r="BG464" s="260"/>
      <c r="BH464" s="257"/>
      <c r="BI464" s="14"/>
    </row>
    <row r="465" spans="1:61" ht="13.15" x14ac:dyDescent="0.4">
      <c r="A465" s="248"/>
      <c r="B465" s="256"/>
      <c r="C465" s="248"/>
      <c r="D465" s="248"/>
      <c r="E465" s="248"/>
      <c r="F465" s="250"/>
      <c r="G465" s="248"/>
      <c r="H465" s="32"/>
      <c r="I465" s="248"/>
      <c r="J465" s="248"/>
      <c r="K465" s="251"/>
      <c r="L465" s="238"/>
      <c r="M465" s="248"/>
      <c r="N465" s="248"/>
      <c r="O465" s="248"/>
      <c r="P465" s="250"/>
      <c r="Q465" s="252"/>
      <c r="R465" s="248"/>
      <c r="S465" s="248"/>
      <c r="T465" s="248"/>
      <c r="U465" s="248"/>
      <c r="V465" s="248"/>
      <c r="W465" s="248"/>
      <c r="X465" s="248"/>
      <c r="Y465" s="248"/>
      <c r="Z465" s="253"/>
      <c r="AA465" s="253"/>
      <c r="AB465" s="253"/>
      <c r="AC465" s="253"/>
      <c r="AD465" s="253"/>
      <c r="AE465" s="253"/>
      <c r="AF465" s="254"/>
      <c r="AG465" s="257"/>
      <c r="AH465" s="257"/>
      <c r="AI465" s="257"/>
      <c r="AJ465" s="258"/>
      <c r="AK465" s="259"/>
      <c r="AL465" s="257"/>
      <c r="AM465" s="257"/>
      <c r="AN465" s="257"/>
      <c r="AO465" s="257"/>
      <c r="AP465" s="257"/>
      <c r="AQ465" s="258"/>
      <c r="AR465" s="260"/>
      <c r="AS465" s="257"/>
      <c r="AT465" s="257"/>
      <c r="AU465" s="257"/>
      <c r="AV465" s="257"/>
      <c r="AW465" s="257"/>
      <c r="AX465" s="258"/>
      <c r="AY465" s="260"/>
      <c r="AZ465" s="257"/>
      <c r="BA465" s="257"/>
      <c r="BB465" s="257"/>
      <c r="BC465" s="257"/>
      <c r="BD465" s="258"/>
      <c r="BE465" s="260"/>
      <c r="BF465" s="258"/>
      <c r="BG465" s="260"/>
      <c r="BH465" s="257"/>
      <c r="BI465" s="14"/>
    </row>
    <row r="466" spans="1:61" ht="13.15" x14ac:dyDescent="0.4">
      <c r="A466" s="248"/>
      <c r="B466" s="256"/>
      <c r="C466" s="248"/>
      <c r="D466" s="248"/>
      <c r="E466" s="248"/>
      <c r="F466" s="250"/>
      <c r="G466" s="248"/>
      <c r="H466" s="32"/>
      <c r="I466" s="248"/>
      <c r="J466" s="248"/>
      <c r="K466" s="251"/>
      <c r="L466" s="238"/>
      <c r="M466" s="248"/>
      <c r="N466" s="248"/>
      <c r="O466" s="248"/>
      <c r="P466" s="250"/>
      <c r="Q466" s="252"/>
      <c r="R466" s="248"/>
      <c r="S466" s="248"/>
      <c r="T466" s="248"/>
      <c r="U466" s="248"/>
      <c r="V466" s="248"/>
      <c r="W466" s="248"/>
      <c r="X466" s="248"/>
      <c r="Y466" s="248"/>
      <c r="Z466" s="253"/>
      <c r="AA466" s="253"/>
      <c r="AB466" s="253"/>
      <c r="AC466" s="253"/>
      <c r="AD466" s="253"/>
      <c r="AE466" s="253"/>
      <c r="AF466" s="254"/>
      <c r="AG466" s="257"/>
      <c r="AH466" s="257"/>
      <c r="AI466" s="257"/>
      <c r="AJ466" s="258"/>
      <c r="AK466" s="259"/>
      <c r="AL466" s="257"/>
      <c r="AM466" s="257"/>
      <c r="AN466" s="257"/>
      <c r="AO466" s="257"/>
      <c r="AP466" s="257"/>
      <c r="AQ466" s="258"/>
      <c r="AR466" s="260"/>
      <c r="AS466" s="257"/>
      <c r="AT466" s="257"/>
      <c r="AU466" s="257"/>
      <c r="AV466" s="257"/>
      <c r="AW466" s="257"/>
      <c r="AX466" s="258"/>
      <c r="AY466" s="260"/>
      <c r="AZ466" s="257"/>
      <c r="BA466" s="257"/>
      <c r="BB466" s="257"/>
      <c r="BC466" s="257"/>
      <c r="BD466" s="258"/>
      <c r="BE466" s="260"/>
      <c r="BF466" s="258"/>
      <c r="BG466" s="260"/>
      <c r="BH466" s="257"/>
      <c r="BI466" s="14"/>
    </row>
    <row r="467" spans="1:61" ht="13.15" x14ac:dyDescent="0.4">
      <c r="A467" s="248"/>
      <c r="B467" s="256"/>
      <c r="C467" s="248"/>
      <c r="D467" s="248"/>
      <c r="E467" s="248"/>
      <c r="F467" s="250"/>
      <c r="G467" s="248"/>
      <c r="H467" s="32"/>
      <c r="I467" s="248"/>
      <c r="J467" s="248"/>
      <c r="K467" s="251"/>
      <c r="L467" s="238"/>
      <c r="M467" s="248"/>
      <c r="N467" s="248"/>
      <c r="O467" s="248"/>
      <c r="P467" s="250"/>
      <c r="Q467" s="252"/>
      <c r="R467" s="248"/>
      <c r="S467" s="248"/>
      <c r="T467" s="248"/>
      <c r="U467" s="248"/>
      <c r="V467" s="248"/>
      <c r="W467" s="248"/>
      <c r="X467" s="248"/>
      <c r="Y467" s="248"/>
      <c r="Z467" s="253"/>
      <c r="AA467" s="253"/>
      <c r="AB467" s="253"/>
      <c r="AC467" s="253"/>
      <c r="AD467" s="253"/>
      <c r="AE467" s="253"/>
      <c r="AF467" s="254"/>
      <c r="AG467" s="257"/>
      <c r="AH467" s="257"/>
      <c r="AI467" s="257"/>
      <c r="AJ467" s="258"/>
      <c r="AK467" s="259"/>
      <c r="AL467" s="257"/>
      <c r="AM467" s="257"/>
      <c r="AN467" s="257"/>
      <c r="AO467" s="257"/>
      <c r="AP467" s="257"/>
      <c r="AQ467" s="258"/>
      <c r="AR467" s="260"/>
      <c r="AS467" s="257"/>
      <c r="AT467" s="257"/>
      <c r="AU467" s="257"/>
      <c r="AV467" s="257"/>
      <c r="AW467" s="257"/>
      <c r="AX467" s="258"/>
      <c r="AY467" s="260"/>
      <c r="AZ467" s="257"/>
      <c r="BA467" s="257"/>
      <c r="BB467" s="257"/>
      <c r="BC467" s="257"/>
      <c r="BD467" s="258"/>
      <c r="BE467" s="260"/>
      <c r="BF467" s="258"/>
      <c r="BG467" s="260"/>
      <c r="BH467" s="257"/>
      <c r="BI467" s="14"/>
    </row>
    <row r="468" spans="1:61" ht="13.15" x14ac:dyDescent="0.4">
      <c r="A468" s="248"/>
      <c r="B468" s="256"/>
      <c r="C468" s="248"/>
      <c r="D468" s="248"/>
      <c r="E468" s="248"/>
      <c r="F468" s="250"/>
      <c r="G468" s="248"/>
      <c r="H468" s="32"/>
      <c r="I468" s="248"/>
      <c r="J468" s="248"/>
      <c r="K468" s="251"/>
      <c r="L468" s="238"/>
      <c r="M468" s="248"/>
      <c r="N468" s="248"/>
      <c r="O468" s="248"/>
      <c r="P468" s="250"/>
      <c r="Q468" s="252"/>
      <c r="R468" s="248"/>
      <c r="S468" s="248"/>
      <c r="T468" s="248"/>
      <c r="U468" s="248"/>
      <c r="V468" s="248"/>
      <c r="W468" s="248"/>
      <c r="X468" s="248"/>
      <c r="Y468" s="248"/>
      <c r="Z468" s="253"/>
      <c r="AA468" s="253"/>
      <c r="AB468" s="253"/>
      <c r="AC468" s="253"/>
      <c r="AD468" s="253"/>
      <c r="AE468" s="253"/>
      <c r="AF468" s="254"/>
      <c r="AG468" s="257"/>
      <c r="AH468" s="257"/>
      <c r="AI468" s="257"/>
      <c r="AJ468" s="258"/>
      <c r="AK468" s="259"/>
      <c r="AL468" s="257"/>
      <c r="AM468" s="257"/>
      <c r="AN468" s="257"/>
      <c r="AO468" s="257"/>
      <c r="AP468" s="257"/>
      <c r="AQ468" s="258"/>
      <c r="AR468" s="260"/>
      <c r="AS468" s="257"/>
      <c r="AT468" s="257"/>
      <c r="AU468" s="257"/>
      <c r="AV468" s="257"/>
      <c r="AW468" s="257"/>
      <c r="AX468" s="258"/>
      <c r="AY468" s="260"/>
      <c r="AZ468" s="257"/>
      <c r="BA468" s="257"/>
      <c r="BB468" s="257"/>
      <c r="BC468" s="257"/>
      <c r="BD468" s="258"/>
      <c r="BE468" s="260"/>
      <c r="BF468" s="258"/>
      <c r="BG468" s="260"/>
      <c r="BH468" s="257"/>
      <c r="BI468" s="14"/>
    </row>
    <row r="469" spans="1:61" ht="13.15" x14ac:dyDescent="0.4">
      <c r="A469" s="248"/>
      <c r="B469" s="256"/>
      <c r="C469" s="248"/>
      <c r="D469" s="248"/>
      <c r="E469" s="248"/>
      <c r="F469" s="250"/>
      <c r="G469" s="248"/>
      <c r="H469" s="32"/>
      <c r="I469" s="248"/>
      <c r="J469" s="248"/>
      <c r="K469" s="251"/>
      <c r="L469" s="238"/>
      <c r="M469" s="248"/>
      <c r="N469" s="248"/>
      <c r="O469" s="248"/>
      <c r="P469" s="250"/>
      <c r="Q469" s="252"/>
      <c r="R469" s="248"/>
      <c r="S469" s="248"/>
      <c r="T469" s="248"/>
      <c r="U469" s="248"/>
      <c r="V469" s="248"/>
      <c r="W469" s="248"/>
      <c r="X469" s="248"/>
      <c r="Y469" s="248"/>
      <c r="Z469" s="253"/>
      <c r="AA469" s="253"/>
      <c r="AB469" s="253"/>
      <c r="AC469" s="253"/>
      <c r="AD469" s="253"/>
      <c r="AE469" s="253"/>
      <c r="AF469" s="254"/>
      <c r="AG469" s="257"/>
      <c r="AH469" s="257"/>
      <c r="AI469" s="257"/>
      <c r="AJ469" s="258"/>
      <c r="AK469" s="259"/>
      <c r="AL469" s="257"/>
      <c r="AM469" s="257"/>
      <c r="AN469" s="257"/>
      <c r="AO469" s="257"/>
      <c r="AP469" s="257"/>
      <c r="AQ469" s="258"/>
      <c r="AR469" s="260"/>
      <c r="AS469" s="257"/>
      <c r="AT469" s="257"/>
      <c r="AU469" s="257"/>
      <c r="AV469" s="257"/>
      <c r="AW469" s="257"/>
      <c r="AX469" s="258"/>
      <c r="AY469" s="260"/>
      <c r="AZ469" s="257"/>
      <c r="BA469" s="257"/>
      <c r="BB469" s="257"/>
      <c r="BC469" s="257"/>
      <c r="BD469" s="258"/>
      <c r="BE469" s="260"/>
      <c r="BF469" s="258"/>
      <c r="BG469" s="260"/>
      <c r="BH469" s="257"/>
      <c r="BI469" s="14"/>
    </row>
    <row r="470" spans="1:61" ht="13.15" x14ac:dyDescent="0.4">
      <c r="A470" s="248"/>
      <c r="B470" s="256"/>
      <c r="C470" s="248"/>
      <c r="D470" s="248"/>
      <c r="E470" s="248"/>
      <c r="F470" s="250"/>
      <c r="G470" s="248"/>
      <c r="H470" s="32"/>
      <c r="I470" s="248"/>
      <c r="J470" s="248"/>
      <c r="K470" s="251"/>
      <c r="L470" s="238"/>
      <c r="M470" s="248"/>
      <c r="N470" s="248"/>
      <c r="O470" s="248"/>
      <c r="P470" s="250"/>
      <c r="Q470" s="252"/>
      <c r="R470" s="248"/>
      <c r="S470" s="248"/>
      <c r="T470" s="248"/>
      <c r="U470" s="248"/>
      <c r="V470" s="248"/>
      <c r="W470" s="248"/>
      <c r="X470" s="248"/>
      <c r="Y470" s="248"/>
      <c r="Z470" s="253"/>
      <c r="AA470" s="253"/>
      <c r="AB470" s="253"/>
      <c r="AC470" s="253"/>
      <c r="AD470" s="253"/>
      <c r="AE470" s="253"/>
      <c r="AF470" s="254"/>
      <c r="AG470" s="257"/>
      <c r="AH470" s="257"/>
      <c r="AI470" s="257"/>
      <c r="AJ470" s="258"/>
      <c r="AK470" s="259"/>
      <c r="AL470" s="257"/>
      <c r="AM470" s="257"/>
      <c r="AN470" s="257"/>
      <c r="AO470" s="257"/>
      <c r="AP470" s="257"/>
      <c r="AQ470" s="258"/>
      <c r="AR470" s="260"/>
      <c r="AS470" s="257"/>
      <c r="AT470" s="257"/>
      <c r="AU470" s="257"/>
      <c r="AV470" s="257"/>
      <c r="AW470" s="257"/>
      <c r="AX470" s="258"/>
      <c r="AY470" s="260"/>
      <c r="AZ470" s="257"/>
      <c r="BA470" s="257"/>
      <c r="BB470" s="257"/>
      <c r="BC470" s="257"/>
      <c r="BD470" s="258"/>
      <c r="BE470" s="260"/>
      <c r="BF470" s="258"/>
      <c r="BG470" s="260"/>
      <c r="BH470" s="257"/>
      <c r="BI470" s="14"/>
    </row>
    <row r="471" spans="1:61" ht="13.15" x14ac:dyDescent="0.4">
      <c r="A471" s="248"/>
      <c r="B471" s="256"/>
      <c r="C471" s="248"/>
      <c r="D471" s="248"/>
      <c r="E471" s="248"/>
      <c r="F471" s="250"/>
      <c r="G471" s="248"/>
      <c r="H471" s="32"/>
      <c r="I471" s="248"/>
      <c r="J471" s="248"/>
      <c r="K471" s="251"/>
      <c r="L471" s="238"/>
      <c r="M471" s="248"/>
      <c r="N471" s="248"/>
      <c r="O471" s="248"/>
      <c r="P471" s="250"/>
      <c r="Q471" s="252"/>
      <c r="R471" s="248"/>
      <c r="S471" s="248"/>
      <c r="T471" s="248"/>
      <c r="U471" s="248"/>
      <c r="V471" s="248"/>
      <c r="W471" s="248"/>
      <c r="X471" s="248"/>
      <c r="Y471" s="248"/>
      <c r="Z471" s="253"/>
      <c r="AA471" s="253"/>
      <c r="AB471" s="253"/>
      <c r="AC471" s="253"/>
      <c r="AD471" s="253"/>
      <c r="AE471" s="253"/>
      <c r="AF471" s="254"/>
      <c r="AG471" s="257"/>
      <c r="AH471" s="257"/>
      <c r="AI471" s="257"/>
      <c r="AJ471" s="258"/>
      <c r="AK471" s="259"/>
      <c r="AL471" s="257"/>
      <c r="AM471" s="257"/>
      <c r="AN471" s="257"/>
      <c r="AO471" s="257"/>
      <c r="AP471" s="257"/>
      <c r="AQ471" s="258"/>
      <c r="AR471" s="260"/>
      <c r="AS471" s="257"/>
      <c r="AT471" s="257"/>
      <c r="AU471" s="257"/>
      <c r="AV471" s="257"/>
      <c r="AW471" s="257"/>
      <c r="AX471" s="258"/>
      <c r="AY471" s="260"/>
      <c r="AZ471" s="257"/>
      <c r="BA471" s="257"/>
      <c r="BB471" s="257"/>
      <c r="BC471" s="257"/>
      <c r="BD471" s="258"/>
      <c r="BE471" s="260"/>
      <c r="BF471" s="258"/>
      <c r="BG471" s="260"/>
      <c r="BH471" s="257"/>
      <c r="BI471" s="14"/>
    </row>
    <row r="472" spans="1:61" ht="13.15" x14ac:dyDescent="0.4">
      <c r="A472" s="248"/>
      <c r="B472" s="256"/>
      <c r="C472" s="248"/>
      <c r="D472" s="248"/>
      <c r="E472" s="248"/>
      <c r="F472" s="250"/>
      <c r="G472" s="248"/>
      <c r="H472" s="32"/>
      <c r="I472" s="248"/>
      <c r="J472" s="248"/>
      <c r="K472" s="251"/>
      <c r="L472" s="238"/>
      <c r="M472" s="248"/>
      <c r="N472" s="248"/>
      <c r="O472" s="248"/>
      <c r="P472" s="250"/>
      <c r="Q472" s="252"/>
      <c r="R472" s="248"/>
      <c r="S472" s="248"/>
      <c r="T472" s="248"/>
      <c r="U472" s="248"/>
      <c r="V472" s="248"/>
      <c r="W472" s="248"/>
      <c r="X472" s="248"/>
      <c r="Y472" s="248"/>
      <c r="Z472" s="253"/>
      <c r="AA472" s="253"/>
      <c r="AB472" s="253"/>
      <c r="AC472" s="253"/>
      <c r="AD472" s="253"/>
      <c r="AE472" s="253"/>
      <c r="AF472" s="254"/>
      <c r="AG472" s="257"/>
      <c r="AH472" s="257"/>
      <c r="AI472" s="257"/>
      <c r="AJ472" s="258"/>
      <c r="AK472" s="259"/>
      <c r="AL472" s="257"/>
      <c r="AM472" s="257"/>
      <c r="AN472" s="257"/>
      <c r="AO472" s="257"/>
      <c r="AP472" s="257"/>
      <c r="AQ472" s="258"/>
      <c r="AR472" s="260"/>
      <c r="AS472" s="257"/>
      <c r="AT472" s="257"/>
      <c r="AU472" s="257"/>
      <c r="AV472" s="257"/>
      <c r="AW472" s="257"/>
      <c r="AX472" s="258"/>
      <c r="AY472" s="260"/>
      <c r="AZ472" s="257"/>
      <c r="BA472" s="257"/>
      <c r="BB472" s="257"/>
      <c r="BC472" s="257"/>
      <c r="BD472" s="258"/>
      <c r="BE472" s="260"/>
      <c r="BF472" s="258"/>
      <c r="BG472" s="260"/>
      <c r="BH472" s="257"/>
      <c r="BI472" s="14"/>
    </row>
    <row r="473" spans="1:61" ht="13.15" x14ac:dyDescent="0.4">
      <c r="A473" s="248"/>
      <c r="B473" s="256"/>
      <c r="C473" s="248"/>
      <c r="D473" s="248"/>
      <c r="E473" s="248"/>
      <c r="F473" s="250"/>
      <c r="G473" s="248"/>
      <c r="H473" s="32"/>
      <c r="I473" s="248"/>
      <c r="J473" s="248"/>
      <c r="K473" s="251"/>
      <c r="L473" s="238"/>
      <c r="M473" s="248"/>
      <c r="N473" s="248"/>
      <c r="O473" s="248"/>
      <c r="P473" s="250"/>
      <c r="Q473" s="252"/>
      <c r="R473" s="248"/>
      <c r="S473" s="248"/>
      <c r="T473" s="248"/>
      <c r="U473" s="248"/>
      <c r="V473" s="248"/>
      <c r="W473" s="248"/>
      <c r="X473" s="248"/>
      <c r="Y473" s="248"/>
      <c r="Z473" s="253"/>
      <c r="AA473" s="253"/>
      <c r="AB473" s="253"/>
      <c r="AC473" s="253"/>
      <c r="AD473" s="253"/>
      <c r="AE473" s="253"/>
      <c r="AF473" s="254"/>
      <c r="AG473" s="257"/>
      <c r="AH473" s="257"/>
      <c r="AI473" s="257"/>
      <c r="AJ473" s="258"/>
      <c r="AK473" s="259"/>
      <c r="AL473" s="257"/>
      <c r="AM473" s="257"/>
      <c r="AN473" s="257"/>
      <c r="AO473" s="257"/>
      <c r="AP473" s="257"/>
      <c r="AQ473" s="258"/>
      <c r="AR473" s="260"/>
      <c r="AS473" s="257"/>
      <c r="AT473" s="257"/>
      <c r="AU473" s="257"/>
      <c r="AV473" s="257"/>
      <c r="AW473" s="257"/>
      <c r="AX473" s="258"/>
      <c r="AY473" s="260"/>
      <c r="AZ473" s="257"/>
      <c r="BA473" s="257"/>
      <c r="BB473" s="257"/>
      <c r="BC473" s="257"/>
      <c r="BD473" s="258"/>
      <c r="BE473" s="260"/>
      <c r="BF473" s="258"/>
      <c r="BG473" s="260"/>
      <c r="BH473" s="257"/>
      <c r="BI473" s="14"/>
    </row>
    <row r="474" spans="1:61" ht="13.15" x14ac:dyDescent="0.4">
      <c r="A474" s="248"/>
      <c r="B474" s="256"/>
      <c r="C474" s="248"/>
      <c r="D474" s="248"/>
      <c r="E474" s="248"/>
      <c r="F474" s="250"/>
      <c r="G474" s="248"/>
      <c r="H474" s="32"/>
      <c r="I474" s="248"/>
      <c r="J474" s="248"/>
      <c r="K474" s="251"/>
      <c r="L474" s="238"/>
      <c r="M474" s="248"/>
      <c r="N474" s="248"/>
      <c r="O474" s="248"/>
      <c r="P474" s="250"/>
      <c r="Q474" s="252"/>
      <c r="R474" s="248"/>
      <c r="S474" s="248"/>
      <c r="T474" s="248"/>
      <c r="U474" s="248"/>
      <c r="V474" s="248"/>
      <c r="W474" s="248"/>
      <c r="X474" s="248"/>
      <c r="Y474" s="248"/>
      <c r="Z474" s="253"/>
      <c r="AA474" s="253"/>
      <c r="AB474" s="253"/>
      <c r="AC474" s="253"/>
      <c r="AD474" s="253"/>
      <c r="AE474" s="253"/>
      <c r="AF474" s="254"/>
      <c r="AG474" s="257"/>
      <c r="AH474" s="257"/>
      <c r="AI474" s="257"/>
      <c r="AJ474" s="258"/>
      <c r="AK474" s="259"/>
      <c r="AL474" s="257"/>
      <c r="AM474" s="257"/>
      <c r="AN474" s="257"/>
      <c r="AO474" s="257"/>
      <c r="AP474" s="257"/>
      <c r="AQ474" s="258"/>
      <c r="AR474" s="260"/>
      <c r="AS474" s="257"/>
      <c r="AT474" s="257"/>
      <c r="AU474" s="257"/>
      <c r="AV474" s="257"/>
      <c r="AW474" s="257"/>
      <c r="AX474" s="258"/>
      <c r="AY474" s="260"/>
      <c r="AZ474" s="257"/>
      <c r="BA474" s="257"/>
      <c r="BB474" s="257"/>
      <c r="BC474" s="257"/>
      <c r="BD474" s="258"/>
      <c r="BE474" s="260"/>
      <c r="BF474" s="258"/>
      <c r="BG474" s="260"/>
      <c r="BH474" s="257"/>
      <c r="BI474" s="14"/>
    </row>
    <row r="475" spans="1:61" ht="13.15" x14ac:dyDescent="0.4">
      <c r="A475" s="248"/>
      <c r="B475" s="256"/>
      <c r="C475" s="248"/>
      <c r="D475" s="248"/>
      <c r="E475" s="248"/>
      <c r="F475" s="250"/>
      <c r="G475" s="248"/>
      <c r="H475" s="32"/>
      <c r="I475" s="248"/>
      <c r="J475" s="248"/>
      <c r="K475" s="251"/>
      <c r="L475" s="238"/>
      <c r="M475" s="248"/>
      <c r="N475" s="248"/>
      <c r="O475" s="248"/>
      <c r="P475" s="250"/>
      <c r="Q475" s="252"/>
      <c r="R475" s="248"/>
      <c r="S475" s="248"/>
      <c r="T475" s="248"/>
      <c r="U475" s="248"/>
      <c r="V475" s="248"/>
      <c r="W475" s="248"/>
      <c r="X475" s="248"/>
      <c r="Y475" s="248"/>
      <c r="Z475" s="253"/>
      <c r="AA475" s="253"/>
      <c r="AB475" s="253"/>
      <c r="AC475" s="253"/>
      <c r="AD475" s="253"/>
      <c r="AE475" s="253"/>
      <c r="AF475" s="254"/>
      <c r="AG475" s="257"/>
      <c r="AH475" s="257"/>
      <c r="AI475" s="257"/>
      <c r="AJ475" s="258"/>
      <c r="AK475" s="259"/>
      <c r="AL475" s="257"/>
      <c r="AM475" s="257"/>
      <c r="AN475" s="257"/>
      <c r="AO475" s="257"/>
      <c r="AP475" s="257"/>
      <c r="AQ475" s="258"/>
      <c r="AR475" s="260"/>
      <c r="AS475" s="257"/>
      <c r="AT475" s="257"/>
      <c r="AU475" s="257"/>
      <c r="AV475" s="257"/>
      <c r="AW475" s="257"/>
      <c r="AX475" s="258"/>
      <c r="AY475" s="260"/>
      <c r="AZ475" s="257"/>
      <c r="BA475" s="257"/>
      <c r="BB475" s="257"/>
      <c r="BC475" s="257"/>
      <c r="BD475" s="258"/>
      <c r="BE475" s="260"/>
      <c r="BF475" s="258"/>
      <c r="BG475" s="260"/>
      <c r="BH475" s="257"/>
      <c r="BI475" s="14"/>
    </row>
    <row r="476" spans="1:61" ht="13.15" x14ac:dyDescent="0.4">
      <c r="A476" s="248"/>
      <c r="B476" s="256"/>
      <c r="C476" s="248"/>
      <c r="D476" s="248"/>
      <c r="E476" s="248"/>
      <c r="F476" s="250"/>
      <c r="G476" s="248"/>
      <c r="H476" s="32"/>
      <c r="I476" s="248"/>
      <c r="J476" s="248"/>
      <c r="K476" s="251"/>
      <c r="L476" s="238"/>
      <c r="M476" s="248"/>
      <c r="N476" s="248"/>
      <c r="O476" s="248"/>
      <c r="P476" s="250"/>
      <c r="Q476" s="252"/>
      <c r="R476" s="248"/>
      <c r="S476" s="248"/>
      <c r="T476" s="248"/>
      <c r="U476" s="248"/>
      <c r="V476" s="248"/>
      <c r="W476" s="248"/>
      <c r="X476" s="248"/>
      <c r="Y476" s="248"/>
      <c r="Z476" s="253"/>
      <c r="AA476" s="253"/>
      <c r="AB476" s="253"/>
      <c r="AC476" s="253"/>
      <c r="AD476" s="253"/>
      <c r="AE476" s="253"/>
      <c r="AF476" s="254"/>
      <c r="AG476" s="257"/>
      <c r="AH476" s="257"/>
      <c r="AI476" s="257"/>
      <c r="AJ476" s="258"/>
      <c r="AK476" s="259"/>
      <c r="AL476" s="257"/>
      <c r="AM476" s="257"/>
      <c r="AN476" s="257"/>
      <c r="AO476" s="257"/>
      <c r="AP476" s="257"/>
      <c r="AQ476" s="258"/>
      <c r="AR476" s="260"/>
      <c r="AS476" s="257"/>
      <c r="AT476" s="257"/>
      <c r="AU476" s="257"/>
      <c r="AV476" s="257"/>
      <c r="AW476" s="257"/>
      <c r="AX476" s="258"/>
      <c r="AY476" s="260"/>
      <c r="AZ476" s="257"/>
      <c r="BA476" s="257"/>
      <c r="BB476" s="257"/>
      <c r="BC476" s="257"/>
      <c r="BD476" s="258"/>
      <c r="BE476" s="260"/>
      <c r="BF476" s="258"/>
      <c r="BG476" s="260"/>
      <c r="BH476" s="257"/>
      <c r="BI476" s="14"/>
    </row>
    <row r="477" spans="1:61" ht="13.15" x14ac:dyDescent="0.4">
      <c r="A477" s="248"/>
      <c r="B477" s="256"/>
      <c r="C477" s="248"/>
      <c r="D477" s="248"/>
      <c r="E477" s="248"/>
      <c r="F477" s="250"/>
      <c r="G477" s="248"/>
      <c r="H477" s="32"/>
      <c r="I477" s="248"/>
      <c r="J477" s="248"/>
      <c r="K477" s="251"/>
      <c r="L477" s="238"/>
      <c r="M477" s="248"/>
      <c r="N477" s="248"/>
      <c r="O477" s="248"/>
      <c r="P477" s="250"/>
      <c r="Q477" s="252"/>
      <c r="R477" s="248"/>
      <c r="S477" s="248"/>
      <c r="T477" s="248"/>
      <c r="U477" s="248"/>
      <c r="V477" s="248"/>
      <c r="W477" s="248"/>
      <c r="X477" s="248"/>
      <c r="Y477" s="248"/>
      <c r="Z477" s="253"/>
      <c r="AA477" s="253"/>
      <c r="AB477" s="253"/>
      <c r="AC477" s="253"/>
      <c r="AD477" s="253"/>
      <c r="AE477" s="253"/>
      <c r="AF477" s="254"/>
      <c r="AG477" s="257"/>
      <c r="AH477" s="257"/>
      <c r="AI477" s="257"/>
      <c r="AJ477" s="258"/>
      <c r="AK477" s="259"/>
      <c r="AL477" s="257"/>
      <c r="AM477" s="257"/>
      <c r="AN477" s="257"/>
      <c r="AO477" s="257"/>
      <c r="AP477" s="257"/>
      <c r="AQ477" s="258"/>
      <c r="AR477" s="260"/>
      <c r="AS477" s="257"/>
      <c r="AT477" s="257"/>
      <c r="AU477" s="257"/>
      <c r="AV477" s="257"/>
      <c r="AW477" s="257"/>
      <c r="AX477" s="258"/>
      <c r="AY477" s="260"/>
      <c r="AZ477" s="257"/>
      <c r="BA477" s="257"/>
      <c r="BB477" s="257"/>
      <c r="BC477" s="257"/>
      <c r="BD477" s="258"/>
      <c r="BE477" s="260"/>
      <c r="BF477" s="258"/>
      <c r="BG477" s="260"/>
      <c r="BH477" s="257"/>
      <c r="BI477" s="14"/>
    </row>
    <row r="478" spans="1:61" ht="13.15" x14ac:dyDescent="0.4">
      <c r="A478" s="248"/>
      <c r="B478" s="256"/>
      <c r="C478" s="248"/>
      <c r="D478" s="248"/>
      <c r="E478" s="248"/>
      <c r="F478" s="250"/>
      <c r="G478" s="248"/>
      <c r="H478" s="32"/>
      <c r="I478" s="248"/>
      <c r="J478" s="248"/>
      <c r="K478" s="251"/>
      <c r="L478" s="238"/>
      <c r="M478" s="248"/>
      <c r="N478" s="248"/>
      <c r="O478" s="248"/>
      <c r="P478" s="250"/>
      <c r="Q478" s="252"/>
      <c r="R478" s="248"/>
      <c r="S478" s="248"/>
      <c r="T478" s="248"/>
      <c r="U478" s="248"/>
      <c r="V478" s="248"/>
      <c r="W478" s="248"/>
      <c r="X478" s="248"/>
      <c r="Y478" s="248"/>
      <c r="Z478" s="253"/>
      <c r="AA478" s="253"/>
      <c r="AB478" s="253"/>
      <c r="AC478" s="253"/>
      <c r="AD478" s="253"/>
      <c r="AE478" s="253"/>
      <c r="AF478" s="254"/>
      <c r="AG478" s="257"/>
      <c r="AH478" s="257"/>
      <c r="AI478" s="257"/>
      <c r="AJ478" s="258"/>
      <c r="AK478" s="259"/>
      <c r="AL478" s="257"/>
      <c r="AM478" s="257"/>
      <c r="AN478" s="257"/>
      <c r="AO478" s="257"/>
      <c r="AP478" s="257"/>
      <c r="AQ478" s="258"/>
      <c r="AR478" s="260"/>
      <c r="AS478" s="257"/>
      <c r="AT478" s="257"/>
      <c r="AU478" s="257"/>
      <c r="AV478" s="257"/>
      <c r="AW478" s="257"/>
      <c r="AX478" s="258"/>
      <c r="AY478" s="260"/>
      <c r="AZ478" s="257"/>
      <c r="BA478" s="257"/>
      <c r="BB478" s="257"/>
      <c r="BC478" s="257"/>
      <c r="BD478" s="258"/>
      <c r="BE478" s="260"/>
      <c r="BF478" s="258"/>
      <c r="BG478" s="260"/>
      <c r="BH478" s="257"/>
      <c r="BI478" s="14"/>
    </row>
    <row r="479" spans="1:61" ht="13.15" x14ac:dyDescent="0.4">
      <c r="A479" s="248"/>
      <c r="B479" s="256"/>
      <c r="C479" s="248"/>
      <c r="D479" s="248"/>
      <c r="E479" s="248"/>
      <c r="F479" s="250"/>
      <c r="G479" s="248"/>
      <c r="H479" s="32"/>
      <c r="I479" s="248"/>
      <c r="J479" s="248"/>
      <c r="K479" s="251"/>
      <c r="L479" s="238"/>
      <c r="M479" s="248"/>
      <c r="N479" s="248"/>
      <c r="O479" s="248"/>
      <c r="P479" s="250"/>
      <c r="Q479" s="252"/>
      <c r="R479" s="248"/>
      <c r="S479" s="248"/>
      <c r="T479" s="248"/>
      <c r="U479" s="248"/>
      <c r="V479" s="248"/>
      <c r="W479" s="248"/>
      <c r="X479" s="248"/>
      <c r="Y479" s="248"/>
      <c r="Z479" s="253"/>
      <c r="AA479" s="253"/>
      <c r="AB479" s="253"/>
      <c r="AC479" s="253"/>
      <c r="AD479" s="253"/>
      <c r="AE479" s="253"/>
      <c r="AF479" s="254"/>
      <c r="AG479" s="257"/>
      <c r="AH479" s="257"/>
      <c r="AI479" s="257"/>
      <c r="AJ479" s="258"/>
      <c r="AK479" s="259"/>
      <c r="AL479" s="257"/>
      <c r="AM479" s="257"/>
      <c r="AN479" s="257"/>
      <c r="AO479" s="257"/>
      <c r="AP479" s="257"/>
      <c r="AQ479" s="258"/>
      <c r="AR479" s="260"/>
      <c r="AS479" s="257"/>
      <c r="AT479" s="257"/>
      <c r="AU479" s="257"/>
      <c r="AV479" s="257"/>
      <c r="AW479" s="257"/>
      <c r="AX479" s="258"/>
      <c r="AY479" s="260"/>
      <c r="AZ479" s="257"/>
      <c r="BA479" s="257"/>
      <c r="BB479" s="257"/>
      <c r="BC479" s="257"/>
      <c r="BD479" s="258"/>
      <c r="BE479" s="260"/>
      <c r="BF479" s="258"/>
      <c r="BG479" s="260"/>
      <c r="BH479" s="257"/>
      <c r="BI479" s="14"/>
    </row>
    <row r="480" spans="1:61" ht="13.15" x14ac:dyDescent="0.4">
      <c r="A480" s="248"/>
      <c r="B480" s="256"/>
      <c r="C480" s="248"/>
      <c r="D480" s="248"/>
      <c r="E480" s="248"/>
      <c r="F480" s="250"/>
      <c r="G480" s="248"/>
      <c r="H480" s="32"/>
      <c r="I480" s="248"/>
      <c r="J480" s="248"/>
      <c r="K480" s="251"/>
      <c r="L480" s="238"/>
      <c r="M480" s="248"/>
      <c r="N480" s="248"/>
      <c r="O480" s="248"/>
      <c r="P480" s="250"/>
      <c r="Q480" s="252"/>
      <c r="R480" s="248"/>
      <c r="S480" s="248"/>
      <c r="T480" s="248"/>
      <c r="U480" s="248"/>
      <c r="V480" s="248"/>
      <c r="W480" s="248"/>
      <c r="X480" s="248"/>
      <c r="Y480" s="248"/>
      <c r="Z480" s="253"/>
      <c r="AA480" s="253"/>
      <c r="AB480" s="253"/>
      <c r="AC480" s="253"/>
      <c r="AD480" s="253"/>
      <c r="AE480" s="253"/>
      <c r="AF480" s="254"/>
      <c r="AG480" s="257"/>
      <c r="AH480" s="257"/>
      <c r="AI480" s="257"/>
      <c r="AJ480" s="258"/>
      <c r="AK480" s="259"/>
      <c r="AL480" s="257"/>
      <c r="AM480" s="257"/>
      <c r="AN480" s="257"/>
      <c r="AO480" s="257"/>
      <c r="AP480" s="257"/>
      <c r="AQ480" s="258"/>
      <c r="AR480" s="260"/>
      <c r="AS480" s="257"/>
      <c r="AT480" s="257"/>
      <c r="AU480" s="257"/>
      <c r="AV480" s="257"/>
      <c r="AW480" s="257"/>
      <c r="AX480" s="258"/>
      <c r="AY480" s="260"/>
      <c r="AZ480" s="257"/>
      <c r="BA480" s="257"/>
      <c r="BB480" s="257"/>
      <c r="BC480" s="257"/>
      <c r="BD480" s="258"/>
      <c r="BE480" s="260"/>
      <c r="BF480" s="258"/>
      <c r="BG480" s="260"/>
      <c r="BH480" s="257"/>
      <c r="BI480" s="14"/>
    </row>
    <row r="481" spans="1:61" ht="13.15" x14ac:dyDescent="0.4">
      <c r="A481" s="248"/>
      <c r="B481" s="256"/>
      <c r="C481" s="248"/>
      <c r="D481" s="248"/>
      <c r="E481" s="248"/>
      <c r="F481" s="250"/>
      <c r="G481" s="248"/>
      <c r="H481" s="32"/>
      <c r="I481" s="248"/>
      <c r="J481" s="248"/>
      <c r="K481" s="251"/>
      <c r="L481" s="238"/>
      <c r="M481" s="248"/>
      <c r="N481" s="248"/>
      <c r="O481" s="248"/>
      <c r="P481" s="250"/>
      <c r="Q481" s="252"/>
      <c r="R481" s="248"/>
      <c r="S481" s="248"/>
      <c r="T481" s="248"/>
      <c r="U481" s="248"/>
      <c r="V481" s="248"/>
      <c r="W481" s="248"/>
      <c r="X481" s="248"/>
      <c r="Y481" s="248"/>
      <c r="Z481" s="253"/>
      <c r="AA481" s="253"/>
      <c r="AB481" s="253"/>
      <c r="AC481" s="253"/>
      <c r="AD481" s="253"/>
      <c r="AE481" s="253"/>
      <c r="AF481" s="254"/>
      <c r="AG481" s="257"/>
      <c r="AH481" s="257"/>
      <c r="AI481" s="257"/>
      <c r="AJ481" s="258"/>
      <c r="AK481" s="259"/>
      <c r="AL481" s="257"/>
      <c r="AM481" s="257"/>
      <c r="AN481" s="257"/>
      <c r="AO481" s="257"/>
      <c r="AP481" s="257"/>
      <c r="AQ481" s="258"/>
      <c r="AR481" s="260"/>
      <c r="AS481" s="257"/>
      <c r="AT481" s="257"/>
      <c r="AU481" s="257"/>
      <c r="AV481" s="257"/>
      <c r="AW481" s="257"/>
      <c r="AX481" s="258"/>
      <c r="AY481" s="260"/>
      <c r="AZ481" s="257"/>
      <c r="BA481" s="257"/>
      <c r="BB481" s="257"/>
      <c r="BC481" s="257"/>
      <c r="BD481" s="258"/>
      <c r="BE481" s="260"/>
      <c r="BF481" s="258"/>
      <c r="BG481" s="260"/>
      <c r="BH481" s="257"/>
      <c r="BI481" s="14"/>
    </row>
    <row r="482" spans="1:61" ht="13.15" x14ac:dyDescent="0.4">
      <c r="A482" s="248"/>
      <c r="B482" s="256"/>
      <c r="C482" s="248"/>
      <c r="D482" s="248"/>
      <c r="E482" s="248"/>
      <c r="F482" s="250"/>
      <c r="G482" s="248"/>
      <c r="H482" s="32"/>
      <c r="I482" s="248"/>
      <c r="J482" s="248"/>
      <c r="K482" s="251"/>
      <c r="L482" s="238"/>
      <c r="M482" s="248"/>
      <c r="N482" s="248"/>
      <c r="O482" s="248"/>
      <c r="P482" s="250"/>
      <c r="Q482" s="252"/>
      <c r="R482" s="248"/>
      <c r="S482" s="248"/>
      <c r="T482" s="248"/>
      <c r="U482" s="248"/>
      <c r="V482" s="248"/>
      <c r="W482" s="248"/>
      <c r="X482" s="248"/>
      <c r="Y482" s="248"/>
      <c r="Z482" s="253"/>
      <c r="AA482" s="253"/>
      <c r="AB482" s="253"/>
      <c r="AC482" s="253"/>
      <c r="AD482" s="253"/>
      <c r="AE482" s="253"/>
      <c r="AF482" s="254"/>
      <c r="AG482" s="257"/>
      <c r="AH482" s="257"/>
      <c r="AI482" s="257"/>
      <c r="AJ482" s="258"/>
      <c r="AK482" s="259"/>
      <c r="AL482" s="257"/>
      <c r="AM482" s="257"/>
      <c r="AN482" s="257"/>
      <c r="AO482" s="257"/>
      <c r="AP482" s="257"/>
      <c r="AQ482" s="258"/>
      <c r="AR482" s="260"/>
      <c r="AS482" s="257"/>
      <c r="AT482" s="257"/>
      <c r="AU482" s="257"/>
      <c r="AV482" s="257"/>
      <c r="AW482" s="257"/>
      <c r="AX482" s="258"/>
      <c r="AY482" s="260"/>
      <c r="AZ482" s="257"/>
      <c r="BA482" s="257"/>
      <c r="BB482" s="257"/>
      <c r="BC482" s="257"/>
      <c r="BD482" s="258"/>
      <c r="BE482" s="260"/>
      <c r="BF482" s="258"/>
      <c r="BG482" s="260"/>
      <c r="BH482" s="257"/>
      <c r="BI482" s="14"/>
    </row>
    <row r="483" spans="1:61" ht="13.15" x14ac:dyDescent="0.4">
      <c r="A483" s="248"/>
      <c r="B483" s="256"/>
      <c r="C483" s="248"/>
      <c r="D483" s="248"/>
      <c r="E483" s="248"/>
      <c r="F483" s="250"/>
      <c r="G483" s="248"/>
      <c r="H483" s="32"/>
      <c r="I483" s="248"/>
      <c r="J483" s="248"/>
      <c r="K483" s="251"/>
      <c r="L483" s="238"/>
      <c r="M483" s="248"/>
      <c r="N483" s="248"/>
      <c r="O483" s="248"/>
      <c r="P483" s="250"/>
      <c r="Q483" s="252"/>
      <c r="R483" s="248"/>
      <c r="S483" s="248"/>
      <c r="T483" s="248"/>
      <c r="U483" s="248"/>
      <c r="V483" s="248"/>
      <c r="W483" s="248"/>
      <c r="X483" s="248"/>
      <c r="Y483" s="248"/>
      <c r="Z483" s="253"/>
      <c r="AA483" s="253"/>
      <c r="AB483" s="253"/>
      <c r="AC483" s="253"/>
      <c r="AD483" s="253"/>
      <c r="AE483" s="253"/>
      <c r="AF483" s="254"/>
      <c r="AG483" s="257"/>
      <c r="AH483" s="257"/>
      <c r="AI483" s="257"/>
      <c r="AJ483" s="258"/>
      <c r="AK483" s="259"/>
      <c r="AL483" s="257"/>
      <c r="AM483" s="257"/>
      <c r="AN483" s="257"/>
      <c r="AO483" s="257"/>
      <c r="AP483" s="257"/>
      <c r="AQ483" s="258"/>
      <c r="AR483" s="260"/>
      <c r="AS483" s="257"/>
      <c r="AT483" s="257"/>
      <c r="AU483" s="257"/>
      <c r="AV483" s="257"/>
      <c r="AW483" s="257"/>
      <c r="AX483" s="258"/>
      <c r="AY483" s="260"/>
      <c r="AZ483" s="257"/>
      <c r="BA483" s="257"/>
      <c r="BB483" s="257"/>
      <c r="BC483" s="257"/>
      <c r="BD483" s="258"/>
      <c r="BE483" s="260"/>
      <c r="BF483" s="258"/>
      <c r="BG483" s="260"/>
      <c r="BH483" s="257"/>
      <c r="BI483" s="14"/>
    </row>
    <row r="484" spans="1:61" ht="13.15" x14ac:dyDescent="0.4">
      <c r="A484" s="248"/>
      <c r="B484" s="256"/>
      <c r="C484" s="248"/>
      <c r="D484" s="248"/>
      <c r="E484" s="248"/>
      <c r="F484" s="250"/>
      <c r="G484" s="248"/>
      <c r="H484" s="32"/>
      <c r="I484" s="248"/>
      <c r="J484" s="248"/>
      <c r="K484" s="251"/>
      <c r="L484" s="238"/>
      <c r="M484" s="248"/>
      <c r="N484" s="248"/>
      <c r="O484" s="248"/>
      <c r="P484" s="250"/>
      <c r="Q484" s="252"/>
      <c r="R484" s="248"/>
      <c r="S484" s="248"/>
      <c r="T484" s="248"/>
      <c r="U484" s="248"/>
      <c r="V484" s="248"/>
      <c r="W484" s="248"/>
      <c r="X484" s="248"/>
      <c r="Y484" s="248"/>
      <c r="Z484" s="253"/>
      <c r="AA484" s="253"/>
      <c r="AB484" s="253"/>
      <c r="AC484" s="253"/>
      <c r="AD484" s="253"/>
      <c r="AE484" s="253"/>
      <c r="AF484" s="254"/>
      <c r="AG484" s="257"/>
      <c r="AH484" s="257"/>
      <c r="AI484" s="257"/>
      <c r="AJ484" s="258"/>
      <c r="AK484" s="259"/>
      <c r="AL484" s="257"/>
      <c r="AM484" s="257"/>
      <c r="AN484" s="257"/>
      <c r="AO484" s="257"/>
      <c r="AP484" s="257"/>
      <c r="AQ484" s="258"/>
      <c r="AR484" s="260"/>
      <c r="AS484" s="257"/>
      <c r="AT484" s="257"/>
      <c r="AU484" s="257"/>
      <c r="AV484" s="257"/>
      <c r="AW484" s="257"/>
      <c r="AX484" s="258"/>
      <c r="AY484" s="260"/>
      <c r="AZ484" s="257"/>
      <c r="BA484" s="257"/>
      <c r="BB484" s="257"/>
      <c r="BC484" s="257"/>
      <c r="BD484" s="258"/>
      <c r="BE484" s="260"/>
      <c r="BF484" s="258"/>
      <c r="BG484" s="260"/>
      <c r="BH484" s="257"/>
      <c r="BI484" s="14"/>
    </row>
    <row r="485" spans="1:61" ht="13.15" x14ac:dyDescent="0.4">
      <c r="A485" s="248"/>
      <c r="B485" s="256"/>
      <c r="C485" s="248"/>
      <c r="D485" s="248"/>
      <c r="E485" s="248"/>
      <c r="F485" s="250"/>
      <c r="G485" s="248"/>
      <c r="H485" s="32"/>
      <c r="I485" s="248"/>
      <c r="J485" s="248"/>
      <c r="K485" s="251"/>
      <c r="L485" s="238"/>
      <c r="M485" s="248"/>
      <c r="N485" s="248"/>
      <c r="O485" s="248"/>
      <c r="P485" s="250"/>
      <c r="Q485" s="252"/>
      <c r="R485" s="248"/>
      <c r="S485" s="248"/>
      <c r="T485" s="248"/>
      <c r="U485" s="248"/>
      <c r="V485" s="248"/>
      <c r="W485" s="248"/>
      <c r="X485" s="248"/>
      <c r="Y485" s="248"/>
      <c r="Z485" s="253"/>
      <c r="AA485" s="253"/>
      <c r="AB485" s="253"/>
      <c r="AC485" s="253"/>
      <c r="AD485" s="253"/>
      <c r="AE485" s="253"/>
      <c r="AF485" s="254"/>
      <c r="AG485" s="257"/>
      <c r="AH485" s="257"/>
      <c r="AI485" s="257"/>
      <c r="AJ485" s="258"/>
      <c r="AK485" s="259"/>
      <c r="AL485" s="257"/>
      <c r="AM485" s="257"/>
      <c r="AN485" s="257"/>
      <c r="AO485" s="257"/>
      <c r="AP485" s="257"/>
      <c r="AQ485" s="258"/>
      <c r="AR485" s="260"/>
      <c r="AS485" s="257"/>
      <c r="AT485" s="257"/>
      <c r="AU485" s="257"/>
      <c r="AV485" s="257"/>
      <c r="AW485" s="257"/>
      <c r="AX485" s="258"/>
      <c r="AY485" s="260"/>
      <c r="AZ485" s="257"/>
      <c r="BA485" s="257"/>
      <c r="BB485" s="257"/>
      <c r="BC485" s="257"/>
      <c r="BD485" s="258"/>
      <c r="BE485" s="260"/>
      <c r="BF485" s="258"/>
      <c r="BG485" s="260"/>
      <c r="BH485" s="257"/>
      <c r="BI485" s="14"/>
    </row>
    <row r="486" spans="1:61" ht="13.15" x14ac:dyDescent="0.4">
      <c r="A486" s="248"/>
      <c r="B486" s="256"/>
      <c r="C486" s="248"/>
      <c r="D486" s="248"/>
      <c r="E486" s="248"/>
      <c r="F486" s="250"/>
      <c r="G486" s="248"/>
      <c r="H486" s="32"/>
      <c r="I486" s="248"/>
      <c r="J486" s="248"/>
      <c r="K486" s="251"/>
      <c r="L486" s="238"/>
      <c r="M486" s="248"/>
      <c r="N486" s="248"/>
      <c r="O486" s="248"/>
      <c r="P486" s="250"/>
      <c r="Q486" s="252"/>
      <c r="R486" s="248"/>
      <c r="S486" s="248"/>
      <c r="T486" s="248"/>
      <c r="U486" s="248"/>
      <c r="V486" s="248"/>
      <c r="W486" s="248"/>
      <c r="X486" s="248"/>
      <c r="Y486" s="248"/>
      <c r="Z486" s="253"/>
      <c r="AA486" s="253"/>
      <c r="AB486" s="253"/>
      <c r="AC486" s="253"/>
      <c r="AD486" s="253"/>
      <c r="AE486" s="253"/>
      <c r="AF486" s="254"/>
      <c r="AG486" s="257"/>
      <c r="AH486" s="257"/>
      <c r="AI486" s="257"/>
      <c r="AJ486" s="258"/>
      <c r="AK486" s="259"/>
      <c r="AL486" s="257"/>
      <c r="AM486" s="257"/>
      <c r="AN486" s="257"/>
      <c r="AO486" s="257"/>
      <c r="AP486" s="257"/>
      <c r="AQ486" s="258"/>
      <c r="AR486" s="260"/>
      <c r="AS486" s="257"/>
      <c r="AT486" s="257"/>
      <c r="AU486" s="257"/>
      <c r="AV486" s="257"/>
      <c r="AW486" s="257"/>
      <c r="AX486" s="258"/>
      <c r="AY486" s="260"/>
      <c r="AZ486" s="257"/>
      <c r="BA486" s="257"/>
      <c r="BB486" s="257"/>
      <c r="BC486" s="257"/>
      <c r="BD486" s="258"/>
      <c r="BE486" s="260"/>
      <c r="BF486" s="258"/>
      <c r="BG486" s="260"/>
      <c r="BH486" s="257"/>
      <c r="BI486" s="14"/>
    </row>
    <row r="487" spans="1:61" ht="13.15" x14ac:dyDescent="0.4">
      <c r="A487" s="248"/>
      <c r="B487" s="256"/>
      <c r="C487" s="248"/>
      <c r="D487" s="248"/>
      <c r="E487" s="248"/>
      <c r="F487" s="250"/>
      <c r="G487" s="248"/>
      <c r="H487" s="32"/>
      <c r="I487" s="248"/>
      <c r="J487" s="248"/>
      <c r="K487" s="251"/>
      <c r="L487" s="238"/>
      <c r="M487" s="248"/>
      <c r="N487" s="248"/>
      <c r="O487" s="248"/>
      <c r="P487" s="250"/>
      <c r="Q487" s="252"/>
      <c r="R487" s="248"/>
      <c r="S487" s="248"/>
      <c r="T487" s="248"/>
      <c r="U487" s="248"/>
      <c r="V487" s="248"/>
      <c r="W487" s="248"/>
      <c r="X487" s="248"/>
      <c r="Y487" s="248"/>
      <c r="Z487" s="253"/>
      <c r="AA487" s="253"/>
      <c r="AB487" s="253"/>
      <c r="AC487" s="253"/>
      <c r="AD487" s="253"/>
      <c r="AE487" s="253"/>
      <c r="AF487" s="254"/>
      <c r="AG487" s="257"/>
      <c r="AH487" s="257"/>
      <c r="AI487" s="257"/>
      <c r="AJ487" s="258"/>
      <c r="AK487" s="259"/>
      <c r="AL487" s="257"/>
      <c r="AM487" s="257"/>
      <c r="AN487" s="257"/>
      <c r="AO487" s="257"/>
      <c r="AP487" s="257"/>
      <c r="AQ487" s="258"/>
      <c r="AR487" s="260"/>
      <c r="AS487" s="257"/>
      <c r="AT487" s="257"/>
      <c r="AU487" s="257"/>
      <c r="AV487" s="257"/>
      <c r="AW487" s="257"/>
      <c r="AX487" s="258"/>
      <c r="AY487" s="260"/>
      <c r="AZ487" s="257"/>
      <c r="BA487" s="257"/>
      <c r="BB487" s="257"/>
      <c r="BC487" s="257"/>
      <c r="BD487" s="258"/>
      <c r="BE487" s="260"/>
      <c r="BF487" s="258"/>
      <c r="BG487" s="260"/>
      <c r="BH487" s="257"/>
      <c r="BI487" s="14"/>
    </row>
    <row r="488" spans="1:61" ht="13.15" x14ac:dyDescent="0.4">
      <c r="A488" s="248"/>
      <c r="B488" s="256"/>
      <c r="C488" s="248"/>
      <c r="D488" s="248"/>
      <c r="E488" s="248"/>
      <c r="F488" s="250"/>
      <c r="G488" s="248"/>
      <c r="H488" s="32"/>
      <c r="I488" s="248"/>
      <c r="J488" s="248"/>
      <c r="K488" s="251"/>
      <c r="L488" s="238"/>
      <c r="M488" s="248"/>
      <c r="N488" s="248"/>
      <c r="O488" s="248"/>
      <c r="P488" s="250"/>
      <c r="Q488" s="252"/>
      <c r="R488" s="248"/>
      <c r="S488" s="248"/>
      <c r="T488" s="248"/>
      <c r="U488" s="248"/>
      <c r="V488" s="248"/>
      <c r="W488" s="248"/>
      <c r="X488" s="248"/>
      <c r="Y488" s="248"/>
      <c r="Z488" s="253"/>
      <c r="AA488" s="253"/>
      <c r="AB488" s="253"/>
      <c r="AC488" s="253"/>
      <c r="AD488" s="253"/>
      <c r="AE488" s="253"/>
      <c r="AF488" s="254"/>
      <c r="AG488" s="257"/>
      <c r="AH488" s="257"/>
      <c r="AI488" s="257"/>
      <c r="AJ488" s="258"/>
      <c r="AK488" s="259"/>
      <c r="AL488" s="257"/>
      <c r="AM488" s="257"/>
      <c r="AN488" s="257"/>
      <c r="AO488" s="257"/>
      <c r="AP488" s="257"/>
      <c r="AQ488" s="258"/>
      <c r="AR488" s="260"/>
      <c r="AS488" s="257"/>
      <c r="AT488" s="257"/>
      <c r="AU488" s="257"/>
      <c r="AV488" s="257"/>
      <c r="AW488" s="257"/>
      <c r="AX488" s="258"/>
      <c r="AY488" s="260"/>
      <c r="AZ488" s="257"/>
      <c r="BA488" s="257"/>
      <c r="BB488" s="257"/>
      <c r="BC488" s="257"/>
      <c r="BD488" s="258"/>
      <c r="BE488" s="260"/>
      <c r="BF488" s="258"/>
      <c r="BG488" s="260"/>
      <c r="BH488" s="257"/>
      <c r="BI488" s="14"/>
    </row>
    <row r="489" spans="1:61" ht="13.15" x14ac:dyDescent="0.4">
      <c r="A489" s="248"/>
      <c r="B489" s="256"/>
      <c r="C489" s="248"/>
      <c r="D489" s="248"/>
      <c r="E489" s="248"/>
      <c r="F489" s="250"/>
      <c r="G489" s="248"/>
      <c r="H489" s="32"/>
      <c r="I489" s="248"/>
      <c r="J489" s="248"/>
      <c r="K489" s="251"/>
      <c r="L489" s="238"/>
      <c r="M489" s="248"/>
      <c r="N489" s="248"/>
      <c r="O489" s="248"/>
      <c r="P489" s="250"/>
      <c r="Q489" s="252"/>
      <c r="R489" s="248"/>
      <c r="S489" s="248"/>
      <c r="T489" s="248"/>
      <c r="U489" s="248"/>
      <c r="V489" s="248"/>
      <c r="W489" s="248"/>
      <c r="X489" s="248"/>
      <c r="Y489" s="248"/>
      <c r="Z489" s="253"/>
      <c r="AA489" s="253"/>
      <c r="AB489" s="253"/>
      <c r="AC489" s="253"/>
      <c r="AD489" s="253"/>
      <c r="AE489" s="253"/>
      <c r="AF489" s="254"/>
      <c r="AG489" s="257"/>
      <c r="AH489" s="257"/>
      <c r="AI489" s="257"/>
      <c r="AJ489" s="258"/>
      <c r="AK489" s="259"/>
      <c r="AL489" s="257"/>
      <c r="AM489" s="257"/>
      <c r="AN489" s="257"/>
      <c r="AO489" s="257"/>
      <c r="AP489" s="257"/>
      <c r="AQ489" s="258"/>
      <c r="AR489" s="260"/>
      <c r="AS489" s="257"/>
      <c r="AT489" s="257"/>
      <c r="AU489" s="257"/>
      <c r="AV489" s="257"/>
      <c r="AW489" s="257"/>
      <c r="AX489" s="258"/>
      <c r="AY489" s="260"/>
      <c r="AZ489" s="257"/>
      <c r="BA489" s="257"/>
      <c r="BB489" s="257"/>
      <c r="BC489" s="257"/>
      <c r="BD489" s="258"/>
      <c r="BE489" s="260"/>
      <c r="BF489" s="258"/>
      <c r="BG489" s="260"/>
      <c r="BH489" s="257"/>
      <c r="BI489" s="14"/>
    </row>
    <row r="490" spans="1:61" ht="13.15" x14ac:dyDescent="0.4">
      <c r="A490" s="248"/>
      <c r="B490" s="256"/>
      <c r="C490" s="248"/>
      <c r="D490" s="248"/>
      <c r="E490" s="248"/>
      <c r="F490" s="250"/>
      <c r="G490" s="248"/>
      <c r="H490" s="32"/>
      <c r="I490" s="248"/>
      <c r="J490" s="248"/>
      <c r="K490" s="251"/>
      <c r="L490" s="238"/>
      <c r="M490" s="248"/>
      <c r="N490" s="248"/>
      <c r="O490" s="248"/>
      <c r="P490" s="250"/>
      <c r="Q490" s="252"/>
      <c r="R490" s="248"/>
      <c r="S490" s="248"/>
      <c r="T490" s="248"/>
      <c r="U490" s="248"/>
      <c r="V490" s="248"/>
      <c r="W490" s="248"/>
      <c r="X490" s="248"/>
      <c r="Y490" s="248"/>
      <c r="Z490" s="253"/>
      <c r="AA490" s="253"/>
      <c r="AB490" s="253"/>
      <c r="AC490" s="253"/>
      <c r="AD490" s="253"/>
      <c r="AE490" s="253"/>
      <c r="AF490" s="254"/>
      <c r="AG490" s="257"/>
      <c r="AH490" s="257"/>
      <c r="AI490" s="257"/>
      <c r="AJ490" s="258"/>
      <c r="AK490" s="259"/>
      <c r="AL490" s="257"/>
      <c r="AM490" s="257"/>
      <c r="AN490" s="257"/>
      <c r="AO490" s="257"/>
      <c r="AP490" s="257"/>
      <c r="AQ490" s="258"/>
      <c r="AR490" s="260"/>
      <c r="AS490" s="257"/>
      <c r="AT490" s="257"/>
      <c r="AU490" s="257"/>
      <c r="AV490" s="257"/>
      <c r="AW490" s="257"/>
      <c r="AX490" s="258"/>
      <c r="AY490" s="260"/>
      <c r="AZ490" s="257"/>
      <c r="BA490" s="257"/>
      <c r="BB490" s="257"/>
      <c r="BC490" s="257"/>
      <c r="BD490" s="258"/>
      <c r="BE490" s="260"/>
      <c r="BF490" s="258"/>
      <c r="BG490" s="260"/>
      <c r="BH490" s="257"/>
      <c r="BI490" s="14"/>
    </row>
    <row r="491" spans="1:61" ht="13.15" x14ac:dyDescent="0.4">
      <c r="A491" s="248"/>
      <c r="B491" s="256"/>
      <c r="C491" s="248"/>
      <c r="D491" s="248"/>
      <c r="E491" s="248"/>
      <c r="F491" s="250"/>
      <c r="G491" s="248"/>
      <c r="H491" s="32"/>
      <c r="I491" s="248"/>
      <c r="J491" s="248"/>
      <c r="K491" s="251"/>
      <c r="L491" s="238"/>
      <c r="M491" s="248"/>
      <c r="N491" s="248"/>
      <c r="O491" s="248"/>
      <c r="P491" s="250"/>
      <c r="Q491" s="252"/>
      <c r="R491" s="248"/>
      <c r="S491" s="248"/>
      <c r="T491" s="248"/>
      <c r="U491" s="248"/>
      <c r="V491" s="248"/>
      <c r="W491" s="248"/>
      <c r="X491" s="248"/>
      <c r="Y491" s="248"/>
      <c r="Z491" s="253"/>
      <c r="AA491" s="253"/>
      <c r="AB491" s="253"/>
      <c r="AC491" s="253"/>
      <c r="AD491" s="253"/>
      <c r="AE491" s="253"/>
      <c r="AF491" s="254"/>
      <c r="AG491" s="257"/>
      <c r="AH491" s="257"/>
      <c r="AI491" s="257"/>
      <c r="AJ491" s="258"/>
      <c r="AK491" s="259"/>
      <c r="AL491" s="257"/>
      <c r="AM491" s="257"/>
      <c r="AN491" s="257"/>
      <c r="AO491" s="257"/>
      <c r="AP491" s="257"/>
      <c r="AQ491" s="258"/>
      <c r="AR491" s="260"/>
      <c r="AS491" s="257"/>
      <c r="AT491" s="257"/>
      <c r="AU491" s="257"/>
      <c r="AV491" s="257"/>
      <c r="AW491" s="257"/>
      <c r="AX491" s="258"/>
      <c r="AY491" s="260"/>
      <c r="AZ491" s="257"/>
      <c r="BA491" s="257"/>
      <c r="BB491" s="257"/>
      <c r="BC491" s="257"/>
      <c r="BD491" s="258"/>
      <c r="BE491" s="260"/>
      <c r="BF491" s="258"/>
      <c r="BG491" s="260"/>
      <c r="BH491" s="257"/>
      <c r="BI491" s="14"/>
    </row>
    <row r="492" spans="1:61" ht="13.15" x14ac:dyDescent="0.4">
      <c r="A492" s="248"/>
      <c r="B492" s="256"/>
      <c r="C492" s="248"/>
      <c r="D492" s="248"/>
      <c r="E492" s="248"/>
      <c r="F492" s="250"/>
      <c r="G492" s="248"/>
      <c r="H492" s="32"/>
      <c r="I492" s="248"/>
      <c r="J492" s="248"/>
      <c r="K492" s="251"/>
      <c r="L492" s="238"/>
      <c r="M492" s="248"/>
      <c r="N492" s="248"/>
      <c r="O492" s="248"/>
      <c r="P492" s="250"/>
      <c r="Q492" s="252"/>
      <c r="R492" s="248"/>
      <c r="S492" s="248"/>
      <c r="T492" s="248"/>
      <c r="U492" s="248"/>
      <c r="V492" s="248"/>
      <c r="W492" s="248"/>
      <c r="X492" s="248"/>
      <c r="Y492" s="248"/>
      <c r="Z492" s="253"/>
      <c r="AA492" s="253"/>
      <c r="AB492" s="253"/>
      <c r="AC492" s="253"/>
      <c r="AD492" s="253"/>
      <c r="AE492" s="253"/>
      <c r="AF492" s="254"/>
      <c r="AG492" s="257"/>
      <c r="AH492" s="257"/>
      <c r="AI492" s="257"/>
      <c r="AJ492" s="258"/>
      <c r="AK492" s="259"/>
      <c r="AL492" s="257"/>
      <c r="AM492" s="257"/>
      <c r="AN492" s="257"/>
      <c r="AO492" s="257"/>
      <c r="AP492" s="257"/>
      <c r="AQ492" s="258"/>
      <c r="AR492" s="260"/>
      <c r="AS492" s="257"/>
      <c r="AT492" s="257"/>
      <c r="AU492" s="257"/>
      <c r="AV492" s="257"/>
      <c r="AW492" s="257"/>
      <c r="AX492" s="258"/>
      <c r="AY492" s="260"/>
      <c r="AZ492" s="257"/>
      <c r="BA492" s="257"/>
      <c r="BB492" s="257"/>
      <c r="BC492" s="257"/>
      <c r="BD492" s="258"/>
      <c r="BE492" s="260"/>
      <c r="BF492" s="258"/>
      <c r="BG492" s="260"/>
      <c r="BH492" s="257"/>
      <c r="BI492" s="14"/>
    </row>
    <row r="493" spans="1:61" ht="13.15" x14ac:dyDescent="0.4">
      <c r="A493" s="248"/>
      <c r="B493" s="256"/>
      <c r="C493" s="248"/>
      <c r="D493" s="248"/>
      <c r="E493" s="248"/>
      <c r="F493" s="250"/>
      <c r="G493" s="248"/>
      <c r="H493" s="32"/>
      <c r="I493" s="248"/>
      <c r="J493" s="248"/>
      <c r="K493" s="251"/>
      <c r="L493" s="238"/>
      <c r="M493" s="248"/>
      <c r="N493" s="248"/>
      <c r="O493" s="248"/>
      <c r="P493" s="250"/>
      <c r="Q493" s="252"/>
      <c r="R493" s="248"/>
      <c r="S493" s="248"/>
      <c r="T493" s="248"/>
      <c r="U493" s="248"/>
      <c r="V493" s="248"/>
      <c r="W493" s="248"/>
      <c r="X493" s="248"/>
      <c r="Y493" s="248"/>
      <c r="Z493" s="253"/>
      <c r="AA493" s="253"/>
      <c r="AB493" s="253"/>
      <c r="AC493" s="253"/>
      <c r="AD493" s="253"/>
      <c r="AE493" s="253"/>
      <c r="AF493" s="254"/>
      <c r="AG493" s="257"/>
      <c r="AH493" s="257"/>
      <c r="AI493" s="257"/>
      <c r="AJ493" s="258"/>
      <c r="AK493" s="259"/>
      <c r="AL493" s="257"/>
      <c r="AM493" s="257"/>
      <c r="AN493" s="257"/>
      <c r="AO493" s="257"/>
      <c r="AP493" s="257"/>
      <c r="AQ493" s="258"/>
      <c r="AR493" s="260"/>
      <c r="AS493" s="257"/>
      <c r="AT493" s="257"/>
      <c r="AU493" s="257"/>
      <c r="AV493" s="257"/>
      <c r="AW493" s="257"/>
      <c r="AX493" s="258"/>
      <c r="AY493" s="260"/>
      <c r="AZ493" s="257"/>
      <c r="BA493" s="257"/>
      <c r="BB493" s="257"/>
      <c r="BC493" s="257"/>
      <c r="BD493" s="258"/>
      <c r="BE493" s="260"/>
      <c r="BF493" s="258"/>
      <c r="BG493" s="260"/>
      <c r="BH493" s="257"/>
      <c r="BI493" s="14"/>
    </row>
    <row r="494" spans="1:61" ht="13.15" x14ac:dyDescent="0.4">
      <c r="A494" s="248"/>
      <c r="B494" s="256"/>
      <c r="C494" s="248"/>
      <c r="D494" s="248"/>
      <c r="E494" s="248"/>
      <c r="F494" s="250"/>
      <c r="G494" s="248"/>
      <c r="H494" s="32"/>
      <c r="I494" s="248"/>
      <c r="J494" s="248"/>
      <c r="K494" s="251"/>
      <c r="L494" s="238"/>
      <c r="M494" s="248"/>
      <c r="N494" s="248"/>
      <c r="O494" s="248"/>
      <c r="P494" s="250"/>
      <c r="Q494" s="252"/>
      <c r="R494" s="248"/>
      <c r="S494" s="248"/>
      <c r="T494" s="248"/>
      <c r="U494" s="248"/>
      <c r="V494" s="248"/>
      <c r="W494" s="248"/>
      <c r="X494" s="248"/>
      <c r="Y494" s="248"/>
      <c r="Z494" s="253"/>
      <c r="AA494" s="253"/>
      <c r="AB494" s="253"/>
      <c r="AC494" s="253"/>
      <c r="AD494" s="253"/>
      <c r="AE494" s="253"/>
      <c r="AF494" s="254"/>
      <c r="AG494" s="257"/>
      <c r="AH494" s="257"/>
      <c r="AI494" s="257"/>
      <c r="AJ494" s="258"/>
      <c r="AK494" s="259"/>
      <c r="AL494" s="257"/>
      <c r="AM494" s="257"/>
      <c r="AN494" s="257"/>
      <c r="AO494" s="257"/>
      <c r="AP494" s="257"/>
      <c r="AQ494" s="258"/>
      <c r="AR494" s="260"/>
      <c r="AS494" s="257"/>
      <c r="AT494" s="257"/>
      <c r="AU494" s="257"/>
      <c r="AV494" s="257"/>
      <c r="AW494" s="257"/>
      <c r="AX494" s="258"/>
      <c r="AY494" s="260"/>
      <c r="AZ494" s="257"/>
      <c r="BA494" s="257"/>
      <c r="BB494" s="257"/>
      <c r="BC494" s="257"/>
      <c r="BD494" s="258"/>
      <c r="BE494" s="260"/>
      <c r="BF494" s="258"/>
      <c r="BG494" s="260"/>
      <c r="BH494" s="257"/>
      <c r="BI494" s="14"/>
    </row>
    <row r="495" spans="1:61" ht="13.15" x14ac:dyDescent="0.4">
      <c r="A495" s="248"/>
      <c r="B495" s="256"/>
      <c r="C495" s="248"/>
      <c r="D495" s="248"/>
      <c r="E495" s="248"/>
      <c r="F495" s="250"/>
      <c r="G495" s="248"/>
      <c r="H495" s="32"/>
      <c r="I495" s="248"/>
      <c r="J495" s="248"/>
      <c r="K495" s="251"/>
      <c r="L495" s="238"/>
      <c r="M495" s="248"/>
      <c r="N495" s="248"/>
      <c r="O495" s="248"/>
      <c r="P495" s="250"/>
      <c r="Q495" s="252"/>
      <c r="R495" s="248"/>
      <c r="S495" s="248"/>
      <c r="T495" s="248"/>
      <c r="U495" s="248"/>
      <c r="V495" s="248"/>
      <c r="W495" s="248"/>
      <c r="X495" s="248"/>
      <c r="Y495" s="248"/>
      <c r="Z495" s="253"/>
      <c r="AA495" s="253"/>
      <c r="AB495" s="253"/>
      <c r="AC495" s="253"/>
      <c r="AD495" s="253"/>
      <c r="AE495" s="253"/>
      <c r="AF495" s="254"/>
      <c r="AG495" s="257"/>
      <c r="AH495" s="257"/>
      <c r="AI495" s="257"/>
      <c r="AJ495" s="258"/>
      <c r="AK495" s="259"/>
      <c r="AL495" s="257"/>
      <c r="AM495" s="257"/>
      <c r="AN495" s="257"/>
      <c r="AO495" s="257"/>
      <c r="AP495" s="257"/>
      <c r="AQ495" s="258"/>
      <c r="AR495" s="260"/>
      <c r="AS495" s="257"/>
      <c r="AT495" s="257"/>
      <c r="AU495" s="257"/>
      <c r="AV495" s="257"/>
      <c r="AW495" s="257"/>
      <c r="AX495" s="258"/>
      <c r="AY495" s="260"/>
      <c r="AZ495" s="257"/>
      <c r="BA495" s="257"/>
      <c r="BB495" s="257"/>
      <c r="BC495" s="257"/>
      <c r="BD495" s="258"/>
      <c r="BE495" s="260"/>
      <c r="BF495" s="258"/>
      <c r="BG495" s="260"/>
      <c r="BH495" s="257"/>
      <c r="BI495" s="14"/>
    </row>
    <row r="496" spans="1:61" ht="13.15" x14ac:dyDescent="0.4">
      <c r="A496" s="248"/>
      <c r="B496" s="256"/>
      <c r="C496" s="248"/>
      <c r="D496" s="248"/>
      <c r="E496" s="248"/>
      <c r="F496" s="250"/>
      <c r="G496" s="248"/>
      <c r="H496" s="32"/>
      <c r="I496" s="248"/>
      <c r="J496" s="248"/>
      <c r="K496" s="251"/>
      <c r="L496" s="238"/>
      <c r="M496" s="248"/>
      <c r="N496" s="248"/>
      <c r="O496" s="248"/>
      <c r="P496" s="250"/>
      <c r="Q496" s="252"/>
      <c r="R496" s="248"/>
      <c r="S496" s="248"/>
      <c r="T496" s="248"/>
      <c r="U496" s="248"/>
      <c r="V496" s="248"/>
      <c r="W496" s="248"/>
      <c r="X496" s="248"/>
      <c r="Y496" s="248"/>
      <c r="Z496" s="253"/>
      <c r="AA496" s="253"/>
      <c r="AB496" s="253"/>
      <c r="AC496" s="253"/>
      <c r="AD496" s="253"/>
      <c r="AE496" s="253"/>
      <c r="AF496" s="254"/>
      <c r="AG496" s="257"/>
      <c r="AH496" s="257"/>
      <c r="AI496" s="257"/>
      <c r="AJ496" s="258"/>
      <c r="AK496" s="259"/>
      <c r="AL496" s="257"/>
      <c r="AM496" s="257"/>
      <c r="AN496" s="257"/>
      <c r="AO496" s="257"/>
      <c r="AP496" s="257"/>
      <c r="AQ496" s="258"/>
      <c r="AR496" s="260"/>
      <c r="AS496" s="257"/>
      <c r="AT496" s="257"/>
      <c r="AU496" s="257"/>
      <c r="AV496" s="257"/>
      <c r="AW496" s="257"/>
      <c r="AX496" s="258"/>
      <c r="AY496" s="260"/>
      <c r="AZ496" s="257"/>
      <c r="BA496" s="257"/>
      <c r="BB496" s="257"/>
      <c r="BC496" s="257"/>
      <c r="BD496" s="258"/>
      <c r="BE496" s="260"/>
      <c r="BF496" s="258"/>
      <c r="BG496" s="260"/>
      <c r="BH496" s="257"/>
      <c r="BI496" s="14"/>
    </row>
    <row r="497" spans="1:61" ht="13.15" x14ac:dyDescent="0.4">
      <c r="A497" s="248"/>
      <c r="B497" s="256"/>
      <c r="C497" s="248"/>
      <c r="D497" s="248"/>
      <c r="E497" s="248"/>
      <c r="F497" s="250"/>
      <c r="G497" s="248"/>
      <c r="H497" s="32"/>
      <c r="I497" s="248"/>
      <c r="J497" s="248"/>
      <c r="K497" s="251"/>
      <c r="L497" s="238"/>
      <c r="M497" s="248"/>
      <c r="N497" s="248"/>
      <c r="O497" s="248"/>
      <c r="P497" s="250"/>
      <c r="Q497" s="252"/>
      <c r="R497" s="248"/>
      <c r="S497" s="248"/>
      <c r="T497" s="248"/>
      <c r="U497" s="248"/>
      <c r="V497" s="248"/>
      <c r="W497" s="248"/>
      <c r="X497" s="248"/>
      <c r="Y497" s="248"/>
      <c r="Z497" s="253"/>
      <c r="AA497" s="253"/>
      <c r="AB497" s="253"/>
      <c r="AC497" s="253"/>
      <c r="AD497" s="253"/>
      <c r="AE497" s="253"/>
      <c r="AF497" s="254"/>
      <c r="AG497" s="257"/>
      <c r="AH497" s="257"/>
      <c r="AI497" s="257"/>
      <c r="AJ497" s="258"/>
      <c r="AK497" s="259"/>
      <c r="AL497" s="257"/>
      <c r="AM497" s="257"/>
      <c r="AN497" s="257"/>
      <c r="AO497" s="257"/>
      <c r="AP497" s="257"/>
      <c r="AQ497" s="258"/>
      <c r="AR497" s="260"/>
      <c r="AS497" s="257"/>
      <c r="AT497" s="257"/>
      <c r="AU497" s="257"/>
      <c r="AV497" s="257"/>
      <c r="AW497" s="257"/>
      <c r="AX497" s="258"/>
      <c r="AY497" s="260"/>
      <c r="AZ497" s="257"/>
      <c r="BA497" s="257"/>
      <c r="BB497" s="257"/>
      <c r="BC497" s="257"/>
      <c r="BD497" s="258"/>
      <c r="BE497" s="260"/>
      <c r="BF497" s="258"/>
      <c r="BG497" s="260"/>
      <c r="BH497" s="257"/>
      <c r="BI497" s="14"/>
    </row>
    <row r="498" spans="1:61" ht="13.15" x14ac:dyDescent="0.4">
      <c r="A498" s="248"/>
      <c r="B498" s="256"/>
      <c r="C498" s="248"/>
      <c r="D498" s="248"/>
      <c r="E498" s="248"/>
      <c r="F498" s="250"/>
      <c r="G498" s="248"/>
      <c r="H498" s="32"/>
      <c r="I498" s="248"/>
      <c r="J498" s="248"/>
      <c r="K498" s="251"/>
      <c r="L498" s="238"/>
      <c r="M498" s="248"/>
      <c r="N498" s="248"/>
      <c r="O498" s="248"/>
      <c r="P498" s="250"/>
      <c r="Q498" s="252"/>
      <c r="R498" s="248"/>
      <c r="S498" s="248"/>
      <c r="T498" s="248"/>
      <c r="U498" s="248"/>
      <c r="V498" s="248"/>
      <c r="W498" s="248"/>
      <c r="X498" s="248"/>
      <c r="Y498" s="248"/>
      <c r="Z498" s="253"/>
      <c r="AA498" s="253"/>
      <c r="AB498" s="253"/>
      <c r="AC498" s="253"/>
      <c r="AD498" s="253"/>
      <c r="AE498" s="253"/>
      <c r="AF498" s="254"/>
      <c r="AG498" s="257"/>
      <c r="AH498" s="257"/>
      <c r="AI498" s="257"/>
      <c r="AJ498" s="258"/>
      <c r="AK498" s="259"/>
      <c r="AL498" s="257"/>
      <c r="AM498" s="257"/>
      <c r="AN498" s="257"/>
      <c r="AO498" s="257"/>
      <c r="AP498" s="257"/>
      <c r="AQ498" s="258"/>
      <c r="AR498" s="260"/>
      <c r="AS498" s="257"/>
      <c r="AT498" s="257"/>
      <c r="AU498" s="257"/>
      <c r="AV498" s="257"/>
      <c r="AW498" s="257"/>
      <c r="AX498" s="258"/>
      <c r="AY498" s="260"/>
      <c r="AZ498" s="257"/>
      <c r="BA498" s="257"/>
      <c r="BB498" s="257"/>
      <c r="BC498" s="257"/>
      <c r="BD498" s="258"/>
      <c r="BE498" s="260"/>
      <c r="BF498" s="258"/>
      <c r="BG498" s="260"/>
      <c r="BH498" s="257"/>
      <c r="BI498" s="14"/>
    </row>
    <row r="499" spans="1:61" ht="13.15" x14ac:dyDescent="0.4">
      <c r="A499" s="248"/>
      <c r="B499" s="256"/>
      <c r="C499" s="248"/>
      <c r="D499" s="248"/>
      <c r="E499" s="248"/>
      <c r="F499" s="250"/>
      <c r="G499" s="248"/>
      <c r="H499" s="32"/>
      <c r="I499" s="248"/>
      <c r="J499" s="248"/>
      <c r="K499" s="251"/>
      <c r="L499" s="238"/>
      <c r="M499" s="248"/>
      <c r="N499" s="248"/>
      <c r="O499" s="248"/>
      <c r="P499" s="250"/>
      <c r="Q499" s="252"/>
      <c r="R499" s="248"/>
      <c r="S499" s="248"/>
      <c r="T499" s="248"/>
      <c r="U499" s="248"/>
      <c r="V499" s="248"/>
      <c r="W499" s="248"/>
      <c r="X499" s="248"/>
      <c r="Y499" s="248"/>
      <c r="Z499" s="253"/>
      <c r="AA499" s="253"/>
      <c r="AB499" s="253"/>
      <c r="AC499" s="253"/>
      <c r="AD499" s="253"/>
      <c r="AE499" s="253"/>
      <c r="AF499" s="254"/>
      <c r="AG499" s="257"/>
      <c r="AH499" s="257"/>
      <c r="AI499" s="257"/>
      <c r="AJ499" s="258"/>
      <c r="AK499" s="259"/>
      <c r="AL499" s="257"/>
      <c r="AM499" s="257"/>
      <c r="AN499" s="257"/>
      <c r="AO499" s="257"/>
      <c r="AP499" s="257"/>
      <c r="AQ499" s="258"/>
      <c r="AR499" s="260"/>
      <c r="AS499" s="257"/>
      <c r="AT499" s="257"/>
      <c r="AU499" s="257"/>
      <c r="AV499" s="257"/>
      <c r="AW499" s="257"/>
      <c r="AX499" s="258"/>
      <c r="AY499" s="260"/>
      <c r="AZ499" s="257"/>
      <c r="BA499" s="257"/>
      <c r="BB499" s="257"/>
      <c r="BC499" s="257"/>
      <c r="BD499" s="258"/>
      <c r="BE499" s="260"/>
      <c r="BF499" s="258"/>
      <c r="BG499" s="260"/>
      <c r="BH499" s="257"/>
      <c r="BI499" s="14"/>
    </row>
    <row r="500" spans="1:61" ht="13.15" x14ac:dyDescent="0.4">
      <c r="A500" s="248"/>
      <c r="B500" s="256"/>
      <c r="C500" s="248"/>
      <c r="D500" s="248"/>
      <c r="E500" s="248"/>
      <c r="F500" s="250"/>
      <c r="G500" s="248"/>
      <c r="H500" s="32"/>
      <c r="I500" s="248"/>
      <c r="J500" s="248"/>
      <c r="K500" s="251"/>
      <c r="L500" s="238"/>
      <c r="M500" s="248"/>
      <c r="N500" s="248"/>
      <c r="O500" s="248"/>
      <c r="P500" s="250"/>
      <c r="Q500" s="252"/>
      <c r="R500" s="248"/>
      <c r="S500" s="248"/>
      <c r="T500" s="248"/>
      <c r="U500" s="248"/>
      <c r="V500" s="248"/>
      <c r="W500" s="248"/>
      <c r="X500" s="248"/>
      <c r="Y500" s="248"/>
      <c r="Z500" s="253"/>
      <c r="AA500" s="253"/>
      <c r="AB500" s="253"/>
      <c r="AC500" s="253"/>
      <c r="AD500" s="253"/>
      <c r="AE500" s="253"/>
      <c r="AF500" s="254"/>
      <c r="AG500" s="257"/>
      <c r="AH500" s="257"/>
      <c r="AI500" s="257"/>
      <c r="AJ500" s="258"/>
      <c r="AK500" s="259"/>
      <c r="AL500" s="257"/>
      <c r="AM500" s="257"/>
      <c r="AN500" s="257"/>
      <c r="AO500" s="257"/>
      <c r="AP500" s="257"/>
      <c r="AQ500" s="258"/>
      <c r="AR500" s="260"/>
      <c r="AS500" s="257"/>
      <c r="AT500" s="257"/>
      <c r="AU500" s="257"/>
      <c r="AV500" s="257"/>
      <c r="AW500" s="257"/>
      <c r="AX500" s="258"/>
      <c r="AY500" s="260"/>
      <c r="AZ500" s="257"/>
      <c r="BA500" s="257"/>
      <c r="BB500" s="257"/>
      <c r="BC500" s="257"/>
      <c r="BD500" s="258"/>
      <c r="BE500" s="260"/>
      <c r="BF500" s="258"/>
      <c r="BG500" s="260"/>
      <c r="BH500" s="257"/>
      <c r="BI500" s="14"/>
    </row>
    <row r="501" spans="1:61" ht="13.15" x14ac:dyDescent="0.4">
      <c r="A501" s="248"/>
      <c r="B501" s="256"/>
      <c r="C501" s="248"/>
      <c r="D501" s="248"/>
      <c r="E501" s="248"/>
      <c r="F501" s="250"/>
      <c r="G501" s="248"/>
      <c r="H501" s="32"/>
      <c r="I501" s="248"/>
      <c r="J501" s="248"/>
      <c r="K501" s="251"/>
      <c r="L501" s="238"/>
      <c r="M501" s="248"/>
      <c r="N501" s="248"/>
      <c r="O501" s="248"/>
      <c r="P501" s="250"/>
      <c r="Q501" s="252"/>
      <c r="R501" s="248"/>
      <c r="S501" s="248"/>
      <c r="T501" s="248"/>
      <c r="U501" s="248"/>
      <c r="V501" s="248"/>
      <c r="W501" s="248"/>
      <c r="X501" s="248"/>
      <c r="Y501" s="248"/>
      <c r="Z501" s="253"/>
      <c r="AA501" s="253"/>
      <c r="AB501" s="253"/>
      <c r="AC501" s="253"/>
      <c r="AD501" s="253"/>
      <c r="AE501" s="253"/>
      <c r="AF501" s="254"/>
      <c r="AG501" s="257"/>
      <c r="AH501" s="257"/>
      <c r="AI501" s="257"/>
      <c r="AJ501" s="258"/>
      <c r="AK501" s="259"/>
      <c r="AL501" s="257"/>
      <c r="AM501" s="257"/>
      <c r="AN501" s="257"/>
      <c r="AO501" s="257"/>
      <c r="AP501" s="257"/>
      <c r="AQ501" s="258"/>
      <c r="AR501" s="260"/>
      <c r="AS501" s="257"/>
      <c r="AT501" s="257"/>
      <c r="AU501" s="257"/>
      <c r="AV501" s="257"/>
      <c r="AW501" s="257"/>
      <c r="AX501" s="258"/>
      <c r="AY501" s="260"/>
      <c r="AZ501" s="257"/>
      <c r="BA501" s="257"/>
      <c r="BB501" s="257"/>
      <c r="BC501" s="257"/>
      <c r="BD501" s="258"/>
      <c r="BE501" s="260"/>
      <c r="BF501" s="258"/>
      <c r="BG501" s="260"/>
      <c r="BH501" s="257"/>
      <c r="BI501" s="14"/>
    </row>
    <row r="502" spans="1:61" ht="13.15" x14ac:dyDescent="0.4">
      <c r="A502" s="248"/>
      <c r="B502" s="256"/>
      <c r="C502" s="248"/>
      <c r="D502" s="248"/>
      <c r="E502" s="248"/>
      <c r="F502" s="250"/>
      <c r="G502" s="248"/>
      <c r="H502" s="32"/>
      <c r="I502" s="248"/>
      <c r="J502" s="248"/>
      <c r="K502" s="251"/>
      <c r="L502" s="238"/>
      <c r="M502" s="248"/>
      <c r="N502" s="248"/>
      <c r="O502" s="248"/>
      <c r="P502" s="250"/>
      <c r="Q502" s="252"/>
      <c r="R502" s="248"/>
      <c r="S502" s="248"/>
      <c r="T502" s="248"/>
      <c r="U502" s="248"/>
      <c r="V502" s="248"/>
      <c r="W502" s="248"/>
      <c r="X502" s="248"/>
      <c r="Y502" s="248"/>
      <c r="Z502" s="253"/>
      <c r="AA502" s="253"/>
      <c r="AB502" s="253"/>
      <c r="AC502" s="253"/>
      <c r="AD502" s="253"/>
      <c r="AE502" s="253"/>
      <c r="AF502" s="254"/>
      <c r="AG502" s="257"/>
      <c r="AH502" s="257"/>
      <c r="AI502" s="257"/>
      <c r="AJ502" s="258"/>
      <c r="AK502" s="259"/>
      <c r="AL502" s="257"/>
      <c r="AM502" s="257"/>
      <c r="AN502" s="257"/>
      <c r="AO502" s="257"/>
      <c r="AP502" s="257"/>
      <c r="AQ502" s="258"/>
      <c r="AR502" s="260"/>
      <c r="AS502" s="257"/>
      <c r="AT502" s="257"/>
      <c r="AU502" s="257"/>
      <c r="AV502" s="257"/>
      <c r="AW502" s="257"/>
      <c r="AX502" s="258"/>
      <c r="AY502" s="260"/>
      <c r="AZ502" s="257"/>
      <c r="BA502" s="257"/>
      <c r="BB502" s="257"/>
      <c r="BC502" s="257"/>
      <c r="BD502" s="258"/>
      <c r="BE502" s="260"/>
      <c r="BF502" s="258"/>
      <c r="BG502" s="260"/>
      <c r="BH502" s="257"/>
      <c r="BI502" s="14"/>
    </row>
    <row r="503" spans="1:61" ht="13.15" x14ac:dyDescent="0.4">
      <c r="A503" s="248"/>
      <c r="B503" s="256"/>
      <c r="C503" s="248"/>
      <c r="D503" s="248"/>
      <c r="E503" s="248"/>
      <c r="F503" s="250"/>
      <c r="G503" s="248"/>
      <c r="H503" s="32"/>
      <c r="I503" s="248"/>
      <c r="J503" s="248"/>
      <c r="K503" s="251"/>
      <c r="L503" s="238"/>
      <c r="M503" s="248"/>
      <c r="N503" s="248"/>
      <c r="O503" s="248"/>
      <c r="P503" s="250"/>
      <c r="Q503" s="252"/>
      <c r="R503" s="248"/>
      <c r="S503" s="248"/>
      <c r="T503" s="248"/>
      <c r="U503" s="248"/>
      <c r="V503" s="248"/>
      <c r="W503" s="248"/>
      <c r="X503" s="248"/>
      <c r="Y503" s="248"/>
      <c r="Z503" s="253"/>
      <c r="AA503" s="253"/>
      <c r="AB503" s="253"/>
      <c r="AC503" s="253"/>
      <c r="AD503" s="253"/>
      <c r="AE503" s="253"/>
      <c r="AF503" s="254"/>
      <c r="AG503" s="257"/>
      <c r="AH503" s="257"/>
      <c r="AI503" s="257"/>
      <c r="AJ503" s="258"/>
      <c r="AK503" s="259"/>
      <c r="AL503" s="257"/>
      <c r="AM503" s="257"/>
      <c r="AN503" s="257"/>
      <c r="AO503" s="257"/>
      <c r="AP503" s="257"/>
      <c r="AQ503" s="258"/>
      <c r="AR503" s="260"/>
      <c r="AS503" s="257"/>
      <c r="AT503" s="257"/>
      <c r="AU503" s="257"/>
      <c r="AV503" s="257"/>
      <c r="AW503" s="257"/>
      <c r="AX503" s="258"/>
      <c r="AY503" s="260"/>
      <c r="AZ503" s="257"/>
      <c r="BA503" s="257"/>
      <c r="BB503" s="257"/>
      <c r="BC503" s="257"/>
      <c r="BD503" s="258"/>
      <c r="BE503" s="260"/>
      <c r="BF503" s="258"/>
      <c r="BG503" s="260"/>
      <c r="BH503" s="257"/>
      <c r="BI503" s="14"/>
    </row>
    <row r="504" spans="1:61" ht="13.15" x14ac:dyDescent="0.4">
      <c r="A504" s="248"/>
      <c r="B504" s="256"/>
      <c r="C504" s="248"/>
      <c r="D504" s="248"/>
      <c r="E504" s="248"/>
      <c r="F504" s="250"/>
      <c r="G504" s="248"/>
      <c r="H504" s="32"/>
      <c r="I504" s="248"/>
      <c r="J504" s="248"/>
      <c r="K504" s="251"/>
      <c r="L504" s="238"/>
      <c r="M504" s="248"/>
      <c r="N504" s="248"/>
      <c r="O504" s="248"/>
      <c r="P504" s="250"/>
      <c r="Q504" s="252"/>
      <c r="R504" s="248"/>
      <c r="S504" s="248"/>
      <c r="T504" s="248"/>
      <c r="U504" s="248"/>
      <c r="V504" s="248"/>
      <c r="W504" s="248"/>
      <c r="X504" s="248"/>
      <c r="Y504" s="248"/>
      <c r="Z504" s="253"/>
      <c r="AA504" s="253"/>
      <c r="AB504" s="253"/>
      <c r="AC504" s="253"/>
      <c r="AD504" s="253"/>
      <c r="AE504" s="253"/>
      <c r="AF504" s="254"/>
      <c r="AG504" s="257"/>
      <c r="AH504" s="257"/>
      <c r="AI504" s="257"/>
      <c r="AJ504" s="258"/>
      <c r="AK504" s="259"/>
      <c r="AL504" s="257"/>
      <c r="AM504" s="257"/>
      <c r="AN504" s="257"/>
      <c r="AO504" s="257"/>
      <c r="AP504" s="257"/>
      <c r="AQ504" s="258"/>
      <c r="AR504" s="260"/>
      <c r="AS504" s="257"/>
      <c r="AT504" s="257"/>
      <c r="AU504" s="257"/>
      <c r="AV504" s="257"/>
      <c r="AW504" s="257"/>
      <c r="AX504" s="258"/>
      <c r="AY504" s="260"/>
      <c r="AZ504" s="257"/>
      <c r="BA504" s="257"/>
      <c r="BB504" s="257"/>
      <c r="BC504" s="257"/>
      <c r="BD504" s="258"/>
      <c r="BE504" s="260"/>
      <c r="BF504" s="258"/>
      <c r="BG504" s="260"/>
      <c r="BH504" s="257"/>
      <c r="BI504" s="14"/>
    </row>
    <row r="505" spans="1:61" ht="13.15" x14ac:dyDescent="0.4">
      <c r="A505" s="248"/>
      <c r="B505" s="256"/>
      <c r="C505" s="248"/>
      <c r="D505" s="248"/>
      <c r="E505" s="248"/>
      <c r="F505" s="250"/>
      <c r="G505" s="248"/>
      <c r="H505" s="32"/>
      <c r="I505" s="248"/>
      <c r="J505" s="248"/>
      <c r="K505" s="251"/>
      <c r="L505" s="238"/>
      <c r="M505" s="248"/>
      <c r="N505" s="248"/>
      <c r="O505" s="248"/>
      <c r="P505" s="250"/>
      <c r="Q505" s="252"/>
      <c r="R505" s="248"/>
      <c r="S505" s="248"/>
      <c r="T505" s="248"/>
      <c r="U505" s="248"/>
      <c r="V505" s="248"/>
      <c r="W505" s="248"/>
      <c r="X505" s="248"/>
      <c r="Y505" s="248"/>
      <c r="Z505" s="253"/>
      <c r="AA505" s="253"/>
      <c r="AB505" s="253"/>
      <c r="AC505" s="253"/>
      <c r="AD505" s="253"/>
      <c r="AE505" s="253"/>
      <c r="AF505" s="254"/>
      <c r="AG505" s="257"/>
      <c r="AH505" s="257"/>
      <c r="AI505" s="257"/>
      <c r="AJ505" s="258"/>
      <c r="AK505" s="259"/>
      <c r="AL505" s="257"/>
      <c r="AM505" s="257"/>
      <c r="AN505" s="257"/>
      <c r="AO505" s="257"/>
      <c r="AP505" s="257"/>
      <c r="AQ505" s="258"/>
      <c r="AR505" s="260"/>
      <c r="AS505" s="257"/>
      <c r="AT505" s="257"/>
      <c r="AU505" s="257"/>
      <c r="AV505" s="257"/>
      <c r="AW505" s="257"/>
      <c r="AX505" s="258"/>
      <c r="AY505" s="260"/>
      <c r="AZ505" s="257"/>
      <c r="BA505" s="257"/>
      <c r="BB505" s="257"/>
      <c r="BC505" s="257"/>
      <c r="BD505" s="258"/>
      <c r="BE505" s="260"/>
      <c r="BF505" s="258"/>
      <c r="BG505" s="260"/>
      <c r="BH505" s="257"/>
      <c r="BI505" s="14"/>
    </row>
    <row r="506" spans="1:61" ht="13.15" x14ac:dyDescent="0.4">
      <c r="A506" s="248"/>
      <c r="B506" s="256"/>
      <c r="C506" s="248"/>
      <c r="D506" s="248"/>
      <c r="E506" s="248"/>
      <c r="F506" s="250"/>
      <c r="G506" s="248"/>
      <c r="H506" s="32"/>
      <c r="I506" s="248"/>
      <c r="J506" s="248"/>
      <c r="K506" s="251"/>
      <c r="L506" s="238"/>
      <c r="M506" s="248"/>
      <c r="N506" s="248"/>
      <c r="O506" s="248"/>
      <c r="P506" s="250"/>
      <c r="Q506" s="252"/>
      <c r="R506" s="248"/>
      <c r="S506" s="248"/>
      <c r="T506" s="248"/>
      <c r="U506" s="248"/>
      <c r="V506" s="248"/>
      <c r="W506" s="248"/>
      <c r="X506" s="248"/>
      <c r="Y506" s="248"/>
      <c r="Z506" s="253"/>
      <c r="AA506" s="253"/>
      <c r="AB506" s="253"/>
      <c r="AC506" s="253"/>
      <c r="AD506" s="253"/>
      <c r="AE506" s="253"/>
      <c r="AF506" s="254"/>
      <c r="AG506" s="257"/>
      <c r="AH506" s="257"/>
      <c r="AI506" s="257"/>
      <c r="AJ506" s="258"/>
      <c r="AK506" s="259"/>
      <c r="AL506" s="257"/>
      <c r="AM506" s="257"/>
      <c r="AN506" s="257"/>
      <c r="AO506" s="257"/>
      <c r="AP506" s="257"/>
      <c r="AQ506" s="258"/>
      <c r="AR506" s="260"/>
      <c r="AS506" s="257"/>
      <c r="AT506" s="257"/>
      <c r="AU506" s="257"/>
      <c r="AV506" s="257"/>
      <c r="AW506" s="257"/>
      <c r="AX506" s="258"/>
      <c r="AY506" s="260"/>
      <c r="AZ506" s="257"/>
      <c r="BA506" s="257"/>
      <c r="BB506" s="257"/>
      <c r="BC506" s="257"/>
      <c r="BD506" s="258"/>
      <c r="BE506" s="260"/>
      <c r="BF506" s="258"/>
      <c r="BG506" s="260"/>
      <c r="BH506" s="257"/>
      <c r="BI506" s="14"/>
    </row>
    <row r="507" spans="1:61" ht="13.15" x14ac:dyDescent="0.4">
      <c r="A507" s="248"/>
      <c r="B507" s="256"/>
      <c r="C507" s="248"/>
      <c r="D507" s="248"/>
      <c r="E507" s="248"/>
      <c r="F507" s="250"/>
      <c r="G507" s="248"/>
      <c r="H507" s="32"/>
      <c r="I507" s="248"/>
      <c r="J507" s="248"/>
      <c r="K507" s="251"/>
      <c r="L507" s="238"/>
      <c r="M507" s="248"/>
      <c r="N507" s="248"/>
      <c r="O507" s="248"/>
      <c r="P507" s="250"/>
      <c r="Q507" s="252"/>
      <c r="R507" s="248"/>
      <c r="S507" s="248"/>
      <c r="T507" s="248"/>
      <c r="U507" s="248"/>
      <c r="V507" s="248"/>
      <c r="W507" s="248"/>
      <c r="X507" s="248"/>
      <c r="Y507" s="248"/>
      <c r="Z507" s="253"/>
      <c r="AA507" s="253"/>
      <c r="AB507" s="253"/>
      <c r="AC507" s="253"/>
      <c r="AD507" s="253"/>
      <c r="AE507" s="253"/>
      <c r="AF507" s="254"/>
      <c r="AG507" s="257"/>
      <c r="AH507" s="257"/>
      <c r="AI507" s="257"/>
      <c r="AJ507" s="258"/>
      <c r="AK507" s="259"/>
      <c r="AL507" s="257"/>
      <c r="AM507" s="257"/>
      <c r="AN507" s="257"/>
      <c r="AO507" s="257"/>
      <c r="AP507" s="257"/>
      <c r="AQ507" s="258"/>
      <c r="AR507" s="260"/>
      <c r="AS507" s="257"/>
      <c r="AT507" s="257"/>
      <c r="AU507" s="257"/>
      <c r="AV507" s="257"/>
      <c r="AW507" s="257"/>
      <c r="AX507" s="258"/>
      <c r="AY507" s="260"/>
      <c r="AZ507" s="257"/>
      <c r="BA507" s="257"/>
      <c r="BB507" s="257"/>
      <c r="BC507" s="257"/>
      <c r="BD507" s="258"/>
      <c r="BE507" s="260"/>
      <c r="BF507" s="258"/>
      <c r="BG507" s="260"/>
      <c r="BH507" s="257"/>
      <c r="BI507" s="14"/>
    </row>
    <row r="508" spans="1:61" ht="13.15" x14ac:dyDescent="0.4">
      <c r="A508" s="248"/>
      <c r="B508" s="256"/>
      <c r="C508" s="248"/>
      <c r="D508" s="248"/>
      <c r="E508" s="248"/>
      <c r="F508" s="250"/>
      <c r="G508" s="248"/>
      <c r="H508" s="32"/>
      <c r="I508" s="248"/>
      <c r="J508" s="248"/>
      <c r="K508" s="251"/>
      <c r="L508" s="238"/>
      <c r="M508" s="248"/>
      <c r="N508" s="248"/>
      <c r="O508" s="248"/>
      <c r="P508" s="250"/>
      <c r="Q508" s="252"/>
      <c r="R508" s="248"/>
      <c r="S508" s="248"/>
      <c r="T508" s="248"/>
      <c r="U508" s="248"/>
      <c r="V508" s="248"/>
      <c r="W508" s="248"/>
      <c r="X508" s="248"/>
      <c r="Y508" s="248"/>
      <c r="Z508" s="253"/>
      <c r="AA508" s="253"/>
      <c r="AB508" s="253"/>
      <c r="AC508" s="253"/>
      <c r="AD508" s="253"/>
      <c r="AE508" s="253"/>
      <c r="AF508" s="254"/>
      <c r="AG508" s="257"/>
      <c r="AH508" s="257"/>
      <c r="AI508" s="257"/>
      <c r="AJ508" s="258"/>
      <c r="AK508" s="259"/>
      <c r="AL508" s="257"/>
      <c r="AM508" s="257"/>
      <c r="AN508" s="257"/>
      <c r="AO508" s="257"/>
      <c r="AP508" s="257"/>
      <c r="AQ508" s="258"/>
      <c r="AR508" s="260"/>
      <c r="AS508" s="257"/>
      <c r="AT508" s="257"/>
      <c r="AU508" s="257"/>
      <c r="AV508" s="257"/>
      <c r="AW508" s="257"/>
      <c r="AX508" s="258"/>
      <c r="AY508" s="260"/>
      <c r="AZ508" s="257"/>
      <c r="BA508" s="257"/>
      <c r="BB508" s="257"/>
      <c r="BC508" s="257"/>
      <c r="BD508" s="258"/>
      <c r="BE508" s="260"/>
      <c r="BF508" s="258"/>
      <c r="BG508" s="260"/>
      <c r="BH508" s="257"/>
      <c r="BI508" s="14"/>
    </row>
    <row r="509" spans="1:61" ht="13.15" x14ac:dyDescent="0.4">
      <c r="A509" s="248"/>
      <c r="B509" s="256"/>
      <c r="C509" s="248"/>
      <c r="D509" s="248"/>
      <c r="E509" s="248"/>
      <c r="F509" s="250"/>
      <c r="G509" s="248"/>
      <c r="H509" s="32"/>
      <c r="I509" s="248"/>
      <c r="J509" s="248"/>
      <c r="K509" s="251"/>
      <c r="L509" s="238"/>
      <c r="M509" s="248"/>
      <c r="N509" s="248"/>
      <c r="O509" s="248"/>
      <c r="P509" s="250"/>
      <c r="Q509" s="252"/>
      <c r="R509" s="248"/>
      <c r="S509" s="248"/>
      <c r="T509" s="248"/>
      <c r="U509" s="248"/>
      <c r="V509" s="248"/>
      <c r="W509" s="248"/>
      <c r="X509" s="248"/>
      <c r="Y509" s="248"/>
      <c r="Z509" s="253"/>
      <c r="AA509" s="253"/>
      <c r="AB509" s="253"/>
      <c r="AC509" s="253"/>
      <c r="AD509" s="253"/>
      <c r="AE509" s="253"/>
      <c r="AF509" s="254"/>
      <c r="AG509" s="257"/>
      <c r="AH509" s="257"/>
      <c r="AI509" s="257"/>
      <c r="AJ509" s="258"/>
      <c r="AK509" s="259"/>
      <c r="AL509" s="257"/>
      <c r="AM509" s="257"/>
      <c r="AN509" s="257"/>
      <c r="AO509" s="257"/>
      <c r="AP509" s="257"/>
      <c r="AQ509" s="258"/>
      <c r="AR509" s="260"/>
      <c r="AS509" s="257"/>
      <c r="AT509" s="257"/>
      <c r="AU509" s="257"/>
      <c r="AV509" s="257"/>
      <c r="AW509" s="257"/>
      <c r="AX509" s="258"/>
      <c r="AY509" s="260"/>
      <c r="AZ509" s="257"/>
      <c r="BA509" s="257"/>
      <c r="BB509" s="257"/>
      <c r="BC509" s="257"/>
      <c r="BD509" s="258"/>
      <c r="BE509" s="260"/>
      <c r="BF509" s="258"/>
      <c r="BG509" s="260"/>
      <c r="BH509" s="257"/>
      <c r="BI509" s="14"/>
    </row>
    <row r="510" spans="1:61" ht="13.15" x14ac:dyDescent="0.4">
      <c r="A510" s="248"/>
      <c r="B510" s="256"/>
      <c r="C510" s="248"/>
      <c r="D510" s="248"/>
      <c r="E510" s="248"/>
      <c r="F510" s="250"/>
      <c r="G510" s="248"/>
      <c r="H510" s="32"/>
      <c r="I510" s="248"/>
      <c r="J510" s="248"/>
      <c r="K510" s="251"/>
      <c r="L510" s="238"/>
      <c r="M510" s="248"/>
      <c r="N510" s="248"/>
      <c r="O510" s="248"/>
      <c r="P510" s="250"/>
      <c r="Q510" s="252"/>
      <c r="R510" s="248"/>
      <c r="S510" s="248"/>
      <c r="T510" s="248"/>
      <c r="U510" s="248"/>
      <c r="V510" s="248"/>
      <c r="W510" s="248"/>
      <c r="X510" s="248"/>
      <c r="Y510" s="248"/>
      <c r="Z510" s="253"/>
      <c r="AA510" s="253"/>
      <c r="AB510" s="253"/>
      <c r="AC510" s="253"/>
      <c r="AD510" s="253"/>
      <c r="AE510" s="253"/>
      <c r="AF510" s="254"/>
      <c r="AG510" s="257"/>
      <c r="AH510" s="257"/>
      <c r="AI510" s="257"/>
      <c r="AJ510" s="258"/>
      <c r="AK510" s="259"/>
      <c r="AL510" s="257"/>
      <c r="AM510" s="257"/>
      <c r="AN510" s="257"/>
      <c r="AO510" s="257"/>
      <c r="AP510" s="257"/>
      <c r="AQ510" s="258"/>
      <c r="AR510" s="260"/>
      <c r="AS510" s="257"/>
      <c r="AT510" s="257"/>
      <c r="AU510" s="257"/>
      <c r="AV510" s="257"/>
      <c r="AW510" s="257"/>
      <c r="AX510" s="258"/>
      <c r="AY510" s="260"/>
      <c r="AZ510" s="257"/>
      <c r="BA510" s="257"/>
      <c r="BB510" s="257"/>
      <c r="BC510" s="257"/>
      <c r="BD510" s="258"/>
      <c r="BE510" s="260"/>
      <c r="BF510" s="258"/>
      <c r="BG510" s="260"/>
      <c r="BH510" s="257"/>
      <c r="BI510" s="14"/>
    </row>
    <row r="511" spans="1:61" ht="13.15" x14ac:dyDescent="0.4">
      <c r="A511" s="248"/>
      <c r="B511" s="256"/>
      <c r="C511" s="248"/>
      <c r="D511" s="248"/>
      <c r="E511" s="248"/>
      <c r="F511" s="250"/>
      <c r="G511" s="248"/>
      <c r="H511" s="32"/>
      <c r="I511" s="248"/>
      <c r="J511" s="248"/>
      <c r="K511" s="251"/>
      <c r="L511" s="238"/>
      <c r="M511" s="248"/>
      <c r="N511" s="248"/>
      <c r="O511" s="248"/>
      <c r="P511" s="250"/>
      <c r="Q511" s="252"/>
      <c r="R511" s="248"/>
      <c r="S511" s="248"/>
      <c r="T511" s="248"/>
      <c r="U511" s="248"/>
      <c r="V511" s="248"/>
      <c r="W511" s="248"/>
      <c r="X511" s="248"/>
      <c r="Y511" s="248"/>
      <c r="Z511" s="253"/>
      <c r="AA511" s="253"/>
      <c r="AB511" s="253"/>
      <c r="AC511" s="253"/>
      <c r="AD511" s="253"/>
      <c r="AE511" s="253"/>
      <c r="AF511" s="254"/>
      <c r="AG511" s="257"/>
      <c r="AH511" s="257"/>
      <c r="AI511" s="257"/>
      <c r="AJ511" s="258"/>
      <c r="AK511" s="259"/>
      <c r="AL511" s="257"/>
      <c r="AM511" s="257"/>
      <c r="AN511" s="257"/>
      <c r="AO511" s="257"/>
      <c r="AP511" s="257"/>
      <c r="AQ511" s="258"/>
      <c r="AR511" s="260"/>
      <c r="AS511" s="257"/>
      <c r="AT511" s="257"/>
      <c r="AU511" s="257"/>
      <c r="AV511" s="257"/>
      <c r="AW511" s="257"/>
      <c r="AX511" s="258"/>
      <c r="AY511" s="260"/>
      <c r="AZ511" s="257"/>
      <c r="BA511" s="257"/>
      <c r="BB511" s="257"/>
      <c r="BC511" s="257"/>
      <c r="BD511" s="258"/>
      <c r="BE511" s="260"/>
      <c r="BF511" s="258"/>
      <c r="BG511" s="260"/>
      <c r="BH511" s="257"/>
      <c r="BI511" s="14"/>
    </row>
    <row r="512" spans="1:61" ht="13.15" x14ac:dyDescent="0.4">
      <c r="A512" s="248"/>
      <c r="B512" s="256"/>
      <c r="C512" s="248"/>
      <c r="D512" s="248"/>
      <c r="E512" s="248"/>
      <c r="F512" s="250"/>
      <c r="G512" s="248"/>
      <c r="H512" s="32"/>
      <c r="I512" s="248"/>
      <c r="J512" s="248"/>
      <c r="K512" s="251"/>
      <c r="L512" s="238"/>
      <c r="M512" s="248"/>
      <c r="N512" s="248"/>
      <c r="O512" s="248"/>
      <c r="P512" s="250"/>
      <c r="Q512" s="252"/>
      <c r="R512" s="248"/>
      <c r="S512" s="248"/>
      <c r="T512" s="248"/>
      <c r="U512" s="248"/>
      <c r="V512" s="248"/>
      <c r="W512" s="248"/>
      <c r="X512" s="248"/>
      <c r="Y512" s="248"/>
      <c r="Z512" s="253"/>
      <c r="AA512" s="253"/>
      <c r="AB512" s="253"/>
      <c r="AC512" s="253"/>
      <c r="AD512" s="253"/>
      <c r="AE512" s="253"/>
      <c r="AF512" s="254"/>
      <c r="AG512" s="257"/>
      <c r="AH512" s="257"/>
      <c r="AI512" s="257"/>
      <c r="AJ512" s="258"/>
      <c r="AK512" s="259"/>
      <c r="AL512" s="257"/>
      <c r="AM512" s="257"/>
      <c r="AN512" s="257"/>
      <c r="AO512" s="257"/>
      <c r="AP512" s="257"/>
      <c r="AQ512" s="258"/>
      <c r="AR512" s="260"/>
      <c r="AS512" s="257"/>
      <c r="AT512" s="257"/>
      <c r="AU512" s="257"/>
      <c r="AV512" s="257"/>
      <c r="AW512" s="257"/>
      <c r="AX512" s="258"/>
      <c r="AY512" s="260"/>
      <c r="AZ512" s="257"/>
      <c r="BA512" s="257"/>
      <c r="BB512" s="257"/>
      <c r="BC512" s="257"/>
      <c r="BD512" s="258"/>
      <c r="BE512" s="260"/>
      <c r="BF512" s="258"/>
      <c r="BG512" s="260"/>
      <c r="BH512" s="257"/>
      <c r="BI512" s="14"/>
    </row>
    <row r="513" spans="1:61" ht="13.15" x14ac:dyDescent="0.4">
      <c r="A513" s="248"/>
      <c r="B513" s="256"/>
      <c r="C513" s="248"/>
      <c r="D513" s="248"/>
      <c r="E513" s="248"/>
      <c r="F513" s="250"/>
      <c r="G513" s="248"/>
      <c r="H513" s="32"/>
      <c r="I513" s="248"/>
      <c r="J513" s="248"/>
      <c r="K513" s="251"/>
      <c r="L513" s="238"/>
      <c r="M513" s="248"/>
      <c r="N513" s="248"/>
      <c r="O513" s="248"/>
      <c r="P513" s="250"/>
      <c r="Q513" s="252"/>
      <c r="R513" s="248"/>
      <c r="S513" s="248"/>
      <c r="T513" s="248"/>
      <c r="U513" s="248"/>
      <c r="V513" s="248"/>
      <c r="W513" s="248"/>
      <c r="X513" s="248"/>
      <c r="Y513" s="248"/>
      <c r="Z513" s="253"/>
      <c r="AA513" s="253"/>
      <c r="AB513" s="253"/>
      <c r="AC513" s="253"/>
      <c r="AD513" s="253"/>
      <c r="AE513" s="253"/>
      <c r="AF513" s="254"/>
      <c r="AG513" s="257"/>
      <c r="AH513" s="257"/>
      <c r="AI513" s="257"/>
      <c r="AJ513" s="258"/>
      <c r="AK513" s="259"/>
      <c r="AL513" s="257"/>
      <c r="AM513" s="257"/>
      <c r="AN513" s="257"/>
      <c r="AO513" s="257"/>
      <c r="AP513" s="257"/>
      <c r="AQ513" s="258"/>
      <c r="AR513" s="260"/>
      <c r="AS513" s="257"/>
      <c r="AT513" s="257"/>
      <c r="AU513" s="257"/>
      <c r="AV513" s="257"/>
      <c r="AW513" s="257"/>
      <c r="AX513" s="258"/>
      <c r="AY513" s="260"/>
      <c r="AZ513" s="257"/>
      <c r="BA513" s="257"/>
      <c r="BB513" s="257"/>
      <c r="BC513" s="257"/>
      <c r="BD513" s="258"/>
      <c r="BE513" s="260"/>
      <c r="BF513" s="258"/>
      <c r="BG513" s="260"/>
      <c r="BH513" s="257"/>
      <c r="BI513" s="14"/>
    </row>
    <row r="514" spans="1:61" ht="13.15" x14ac:dyDescent="0.4">
      <c r="A514" s="248"/>
      <c r="B514" s="256"/>
      <c r="C514" s="248"/>
      <c r="D514" s="248"/>
      <c r="E514" s="248"/>
      <c r="F514" s="250"/>
      <c r="G514" s="248"/>
      <c r="H514" s="32"/>
      <c r="I514" s="248"/>
      <c r="J514" s="248"/>
      <c r="K514" s="251"/>
      <c r="L514" s="238"/>
      <c r="M514" s="248"/>
      <c r="N514" s="248"/>
      <c r="O514" s="248"/>
      <c r="P514" s="250"/>
      <c r="Q514" s="252"/>
      <c r="R514" s="248"/>
      <c r="S514" s="248"/>
      <c r="T514" s="248"/>
      <c r="U514" s="248"/>
      <c r="V514" s="248"/>
      <c r="W514" s="248"/>
      <c r="X514" s="248"/>
      <c r="Y514" s="248"/>
      <c r="Z514" s="253"/>
      <c r="AA514" s="253"/>
      <c r="AB514" s="253"/>
      <c r="AC514" s="253"/>
      <c r="AD514" s="253"/>
      <c r="AE514" s="253"/>
      <c r="AF514" s="254"/>
      <c r="AG514" s="257"/>
      <c r="AH514" s="257"/>
      <c r="AI514" s="257"/>
      <c r="AJ514" s="258"/>
      <c r="AK514" s="259"/>
      <c r="AL514" s="257"/>
      <c r="AM514" s="257"/>
      <c r="AN514" s="257"/>
      <c r="AO514" s="257"/>
      <c r="AP514" s="257"/>
      <c r="AQ514" s="258"/>
      <c r="AR514" s="260"/>
      <c r="AS514" s="257"/>
      <c r="AT514" s="257"/>
      <c r="AU514" s="257"/>
      <c r="AV514" s="257"/>
      <c r="AW514" s="257"/>
      <c r="AX514" s="258"/>
      <c r="AY514" s="260"/>
      <c r="AZ514" s="257"/>
      <c r="BA514" s="257"/>
      <c r="BB514" s="257"/>
      <c r="BC514" s="257"/>
      <c r="BD514" s="258"/>
      <c r="BE514" s="260"/>
      <c r="BF514" s="258"/>
      <c r="BG514" s="260"/>
      <c r="BH514" s="257"/>
      <c r="BI514" s="14"/>
    </row>
    <row r="515" spans="1:61" ht="13.15" x14ac:dyDescent="0.4">
      <c r="A515" s="248"/>
      <c r="B515" s="256"/>
      <c r="C515" s="248"/>
      <c r="D515" s="248"/>
      <c r="E515" s="248"/>
      <c r="F515" s="250"/>
      <c r="G515" s="248"/>
      <c r="H515" s="32"/>
      <c r="I515" s="248"/>
      <c r="J515" s="248"/>
      <c r="K515" s="251"/>
      <c r="L515" s="238"/>
      <c r="M515" s="248"/>
      <c r="N515" s="248"/>
      <c r="O515" s="248"/>
      <c r="P515" s="250"/>
      <c r="Q515" s="252"/>
      <c r="R515" s="248"/>
      <c r="S515" s="248"/>
      <c r="T515" s="248"/>
      <c r="U515" s="248"/>
      <c r="V515" s="248"/>
      <c r="W515" s="248"/>
      <c r="X515" s="248"/>
      <c r="Y515" s="248"/>
      <c r="Z515" s="253"/>
      <c r="AA515" s="253"/>
      <c r="AB515" s="253"/>
      <c r="AC515" s="253"/>
      <c r="AD515" s="253"/>
      <c r="AE515" s="253"/>
      <c r="AF515" s="254"/>
      <c r="AG515" s="257"/>
      <c r="AH515" s="257"/>
      <c r="AI515" s="257"/>
      <c r="AJ515" s="258"/>
      <c r="AK515" s="259"/>
      <c r="AL515" s="257"/>
      <c r="AM515" s="257"/>
      <c r="AN515" s="257"/>
      <c r="AO515" s="257"/>
      <c r="AP515" s="257"/>
      <c r="AQ515" s="258"/>
      <c r="AR515" s="260"/>
      <c r="AS515" s="257"/>
      <c r="AT515" s="257"/>
      <c r="AU515" s="257"/>
      <c r="AV515" s="257"/>
      <c r="AW515" s="257"/>
      <c r="AX515" s="258"/>
      <c r="AY515" s="260"/>
      <c r="AZ515" s="257"/>
      <c r="BA515" s="257"/>
      <c r="BB515" s="257"/>
      <c r="BC515" s="257"/>
      <c r="BD515" s="258"/>
      <c r="BE515" s="260"/>
      <c r="BF515" s="258"/>
      <c r="BG515" s="260"/>
      <c r="BH515" s="257"/>
      <c r="BI515" s="14"/>
    </row>
    <row r="516" spans="1:61" ht="13.15" x14ac:dyDescent="0.4">
      <c r="A516" s="248"/>
      <c r="B516" s="256"/>
      <c r="C516" s="248"/>
      <c r="D516" s="248"/>
      <c r="E516" s="248"/>
      <c r="F516" s="250"/>
      <c r="G516" s="248"/>
      <c r="H516" s="32"/>
      <c r="I516" s="248"/>
      <c r="J516" s="248"/>
      <c r="K516" s="251"/>
      <c r="L516" s="238"/>
      <c r="M516" s="248"/>
      <c r="N516" s="248"/>
      <c r="O516" s="248"/>
      <c r="P516" s="250"/>
      <c r="Q516" s="252"/>
      <c r="R516" s="248"/>
      <c r="S516" s="248"/>
      <c r="T516" s="248"/>
      <c r="U516" s="248"/>
      <c r="V516" s="248"/>
      <c r="W516" s="248"/>
      <c r="X516" s="248"/>
      <c r="Y516" s="248"/>
      <c r="Z516" s="253"/>
      <c r="AA516" s="253"/>
      <c r="AB516" s="253"/>
      <c r="AC516" s="253"/>
      <c r="AD516" s="253"/>
      <c r="AE516" s="253"/>
      <c r="AF516" s="254"/>
      <c r="AG516" s="257"/>
      <c r="AH516" s="257"/>
      <c r="AI516" s="257"/>
      <c r="AJ516" s="258"/>
      <c r="AK516" s="259"/>
      <c r="AL516" s="257"/>
      <c r="AM516" s="257"/>
      <c r="AN516" s="257"/>
      <c r="AO516" s="257"/>
      <c r="AP516" s="257"/>
      <c r="AQ516" s="258"/>
      <c r="AR516" s="260"/>
      <c r="AS516" s="257"/>
      <c r="AT516" s="257"/>
      <c r="AU516" s="257"/>
      <c r="AV516" s="257"/>
      <c r="AW516" s="257"/>
      <c r="AX516" s="258"/>
      <c r="AY516" s="260"/>
      <c r="AZ516" s="257"/>
      <c r="BA516" s="257"/>
      <c r="BB516" s="257"/>
      <c r="BC516" s="257"/>
      <c r="BD516" s="258"/>
      <c r="BE516" s="260"/>
      <c r="BF516" s="258"/>
      <c r="BG516" s="260"/>
      <c r="BH516" s="257"/>
      <c r="BI516" s="14"/>
    </row>
    <row r="517" spans="1:61" ht="13.15" x14ac:dyDescent="0.4">
      <c r="A517" s="248"/>
      <c r="B517" s="256"/>
      <c r="C517" s="248"/>
      <c r="D517" s="248"/>
      <c r="E517" s="248"/>
      <c r="F517" s="250"/>
      <c r="G517" s="248"/>
      <c r="H517" s="32"/>
      <c r="I517" s="248"/>
      <c r="J517" s="248"/>
      <c r="K517" s="251"/>
      <c r="L517" s="238"/>
      <c r="M517" s="248"/>
      <c r="N517" s="248"/>
      <c r="O517" s="248"/>
      <c r="P517" s="250"/>
      <c r="Q517" s="252"/>
      <c r="R517" s="248"/>
      <c r="S517" s="248"/>
      <c r="T517" s="248"/>
      <c r="U517" s="248"/>
      <c r="V517" s="248"/>
      <c r="W517" s="248"/>
      <c r="X517" s="248"/>
      <c r="Y517" s="248"/>
      <c r="Z517" s="253"/>
      <c r="AA517" s="253"/>
      <c r="AB517" s="253"/>
      <c r="AC517" s="253"/>
      <c r="AD517" s="253"/>
      <c r="AE517" s="253"/>
      <c r="AF517" s="254"/>
      <c r="AG517" s="257"/>
      <c r="AH517" s="257"/>
      <c r="AI517" s="257"/>
      <c r="AJ517" s="258"/>
      <c r="AK517" s="259"/>
      <c r="AL517" s="257"/>
      <c r="AM517" s="257"/>
      <c r="AN517" s="257"/>
      <c r="AO517" s="257"/>
      <c r="AP517" s="257"/>
      <c r="AQ517" s="258"/>
      <c r="AR517" s="260"/>
      <c r="AS517" s="257"/>
      <c r="AT517" s="257"/>
      <c r="AU517" s="257"/>
      <c r="AV517" s="257"/>
      <c r="AW517" s="257"/>
      <c r="AX517" s="258"/>
      <c r="AY517" s="260"/>
      <c r="AZ517" s="257"/>
      <c r="BA517" s="257"/>
      <c r="BB517" s="257"/>
      <c r="BC517" s="257"/>
      <c r="BD517" s="258"/>
      <c r="BE517" s="260"/>
      <c r="BF517" s="258"/>
      <c r="BG517" s="260"/>
      <c r="BH517" s="257"/>
      <c r="BI517" s="14"/>
    </row>
    <row r="518" spans="1:61" ht="13.15" x14ac:dyDescent="0.4">
      <c r="A518" s="248"/>
      <c r="B518" s="256"/>
      <c r="C518" s="248"/>
      <c r="D518" s="248"/>
      <c r="E518" s="248"/>
      <c r="F518" s="250"/>
      <c r="G518" s="248"/>
      <c r="H518" s="32"/>
      <c r="I518" s="248"/>
      <c r="J518" s="248"/>
      <c r="K518" s="251"/>
      <c r="L518" s="238"/>
      <c r="M518" s="248"/>
      <c r="N518" s="248"/>
      <c r="O518" s="248"/>
      <c r="P518" s="250"/>
      <c r="Q518" s="252"/>
      <c r="R518" s="248"/>
      <c r="S518" s="248"/>
      <c r="T518" s="248"/>
      <c r="U518" s="248"/>
      <c r="V518" s="248"/>
      <c r="W518" s="248"/>
      <c r="X518" s="248"/>
      <c r="Y518" s="248"/>
      <c r="Z518" s="253"/>
      <c r="AA518" s="253"/>
      <c r="AB518" s="253"/>
      <c r="AC518" s="253"/>
      <c r="AD518" s="253"/>
      <c r="AE518" s="253"/>
      <c r="AF518" s="254"/>
      <c r="AG518" s="257"/>
      <c r="AH518" s="257"/>
      <c r="AI518" s="257"/>
      <c r="AJ518" s="258"/>
      <c r="AK518" s="259"/>
      <c r="AL518" s="257"/>
      <c r="AM518" s="257"/>
      <c r="AN518" s="257"/>
      <c r="AO518" s="257"/>
      <c r="AP518" s="257"/>
      <c r="AQ518" s="258"/>
      <c r="AR518" s="260"/>
      <c r="AS518" s="257"/>
      <c r="AT518" s="257"/>
      <c r="AU518" s="257"/>
      <c r="AV518" s="257"/>
      <c r="AW518" s="257"/>
      <c r="AX518" s="258"/>
      <c r="AY518" s="260"/>
      <c r="AZ518" s="257"/>
      <c r="BA518" s="257"/>
      <c r="BB518" s="257"/>
      <c r="BC518" s="257"/>
      <c r="BD518" s="258"/>
      <c r="BE518" s="260"/>
      <c r="BF518" s="258"/>
      <c r="BG518" s="260"/>
      <c r="BH518" s="257"/>
      <c r="BI518" s="14"/>
    </row>
    <row r="519" spans="1:61" ht="13.15" x14ac:dyDescent="0.4">
      <c r="A519" s="248"/>
      <c r="B519" s="256"/>
      <c r="C519" s="248"/>
      <c r="D519" s="248"/>
      <c r="E519" s="248"/>
      <c r="F519" s="250"/>
      <c r="G519" s="248"/>
      <c r="H519" s="32"/>
      <c r="I519" s="248"/>
      <c r="J519" s="248"/>
      <c r="K519" s="251"/>
      <c r="L519" s="238"/>
      <c r="M519" s="248"/>
      <c r="N519" s="248"/>
      <c r="O519" s="248"/>
      <c r="P519" s="250"/>
      <c r="Q519" s="252"/>
      <c r="R519" s="248"/>
      <c r="S519" s="248"/>
      <c r="T519" s="248"/>
      <c r="U519" s="248"/>
      <c r="V519" s="248"/>
      <c r="W519" s="248"/>
      <c r="X519" s="248"/>
      <c r="Y519" s="248"/>
      <c r="Z519" s="253"/>
      <c r="AA519" s="253"/>
      <c r="AB519" s="253"/>
      <c r="AC519" s="253"/>
      <c r="AD519" s="253"/>
      <c r="AE519" s="253"/>
      <c r="AF519" s="254"/>
      <c r="AG519" s="257"/>
      <c r="AH519" s="257"/>
      <c r="AI519" s="257"/>
      <c r="AJ519" s="258"/>
      <c r="AK519" s="259"/>
      <c r="AL519" s="257"/>
      <c r="AM519" s="257"/>
      <c r="AN519" s="257"/>
      <c r="AO519" s="257"/>
      <c r="AP519" s="257"/>
      <c r="AQ519" s="258"/>
      <c r="AR519" s="260"/>
      <c r="AS519" s="257"/>
      <c r="AT519" s="257"/>
      <c r="AU519" s="257"/>
      <c r="AV519" s="257"/>
      <c r="AW519" s="257"/>
      <c r="AX519" s="258"/>
      <c r="AY519" s="260"/>
      <c r="AZ519" s="257"/>
      <c r="BA519" s="257"/>
      <c r="BB519" s="257"/>
      <c r="BC519" s="257"/>
      <c r="BD519" s="258"/>
      <c r="BE519" s="260"/>
      <c r="BF519" s="258"/>
      <c r="BG519" s="260"/>
      <c r="BH519" s="257"/>
      <c r="BI519" s="14"/>
    </row>
    <row r="520" spans="1:61" ht="13.15" x14ac:dyDescent="0.4">
      <c r="A520" s="248"/>
      <c r="B520" s="256"/>
      <c r="C520" s="248"/>
      <c r="D520" s="248"/>
      <c r="E520" s="248"/>
      <c r="F520" s="250"/>
      <c r="G520" s="248"/>
      <c r="H520" s="32"/>
      <c r="I520" s="248"/>
      <c r="J520" s="248"/>
      <c r="K520" s="251"/>
      <c r="L520" s="238"/>
      <c r="M520" s="248"/>
      <c r="N520" s="248"/>
      <c r="O520" s="248"/>
      <c r="P520" s="250"/>
      <c r="Q520" s="252"/>
      <c r="R520" s="248"/>
      <c r="S520" s="248"/>
      <c r="T520" s="248"/>
      <c r="U520" s="248"/>
      <c r="V520" s="248"/>
      <c r="W520" s="248"/>
      <c r="X520" s="248"/>
      <c r="Y520" s="248"/>
      <c r="Z520" s="253"/>
      <c r="AA520" s="253"/>
      <c r="AB520" s="253"/>
      <c r="AC520" s="253"/>
      <c r="AD520" s="253"/>
      <c r="AE520" s="253"/>
      <c r="AF520" s="254"/>
      <c r="AG520" s="257"/>
      <c r="AH520" s="257"/>
      <c r="AI520" s="257"/>
      <c r="AJ520" s="258"/>
      <c r="AK520" s="259"/>
      <c r="AL520" s="257"/>
      <c r="AM520" s="257"/>
      <c r="AN520" s="257"/>
      <c r="AO520" s="257"/>
      <c r="AP520" s="257"/>
      <c r="AQ520" s="258"/>
      <c r="AR520" s="260"/>
      <c r="AS520" s="257"/>
      <c r="AT520" s="257"/>
      <c r="AU520" s="257"/>
      <c r="AV520" s="257"/>
      <c r="AW520" s="257"/>
      <c r="AX520" s="258"/>
      <c r="AY520" s="260"/>
      <c r="AZ520" s="257"/>
      <c r="BA520" s="257"/>
      <c r="BB520" s="257"/>
      <c r="BC520" s="257"/>
      <c r="BD520" s="258"/>
      <c r="BE520" s="260"/>
      <c r="BF520" s="258"/>
      <c r="BG520" s="260"/>
      <c r="BH520" s="257"/>
      <c r="BI520" s="14"/>
    </row>
    <row r="521" spans="1:61" ht="13.15" x14ac:dyDescent="0.4">
      <c r="A521" s="248"/>
      <c r="B521" s="256"/>
      <c r="C521" s="248"/>
      <c r="D521" s="248"/>
      <c r="E521" s="248"/>
      <c r="F521" s="250"/>
      <c r="G521" s="248"/>
      <c r="H521" s="32"/>
      <c r="I521" s="248"/>
      <c r="J521" s="248"/>
      <c r="K521" s="251"/>
      <c r="L521" s="238"/>
      <c r="M521" s="248"/>
      <c r="N521" s="248"/>
      <c r="O521" s="248"/>
      <c r="P521" s="250"/>
      <c r="Q521" s="252"/>
      <c r="R521" s="248"/>
      <c r="S521" s="248"/>
      <c r="T521" s="248"/>
      <c r="U521" s="248"/>
      <c r="V521" s="248"/>
      <c r="W521" s="248"/>
      <c r="X521" s="248"/>
      <c r="Y521" s="248"/>
      <c r="Z521" s="253"/>
      <c r="AA521" s="253"/>
      <c r="AB521" s="253"/>
      <c r="AC521" s="253"/>
      <c r="AD521" s="253"/>
      <c r="AE521" s="253"/>
      <c r="AF521" s="254"/>
      <c r="AG521" s="257"/>
      <c r="AH521" s="257"/>
      <c r="AI521" s="257"/>
      <c r="AJ521" s="258"/>
      <c r="AK521" s="259"/>
      <c r="AL521" s="257"/>
      <c r="AM521" s="257"/>
      <c r="AN521" s="257"/>
      <c r="AO521" s="257"/>
      <c r="AP521" s="257"/>
      <c r="AQ521" s="258"/>
      <c r="AR521" s="260"/>
      <c r="AS521" s="257"/>
      <c r="AT521" s="257"/>
      <c r="AU521" s="257"/>
      <c r="AV521" s="257"/>
      <c r="AW521" s="257"/>
      <c r="AX521" s="258"/>
      <c r="AY521" s="260"/>
      <c r="AZ521" s="257"/>
      <c r="BA521" s="257"/>
      <c r="BB521" s="257"/>
      <c r="BC521" s="257"/>
      <c r="BD521" s="258"/>
      <c r="BE521" s="260"/>
      <c r="BF521" s="258"/>
      <c r="BG521" s="260"/>
      <c r="BH521" s="257"/>
      <c r="BI521" s="14"/>
    </row>
    <row r="522" spans="1:61" ht="13.15" x14ac:dyDescent="0.4">
      <c r="A522" s="248"/>
      <c r="B522" s="256"/>
      <c r="C522" s="248"/>
      <c r="D522" s="248"/>
      <c r="E522" s="248"/>
      <c r="F522" s="250"/>
      <c r="G522" s="248"/>
      <c r="H522" s="32"/>
      <c r="I522" s="248"/>
      <c r="J522" s="248"/>
      <c r="K522" s="251"/>
      <c r="L522" s="238"/>
      <c r="M522" s="248"/>
      <c r="N522" s="248"/>
      <c r="O522" s="248"/>
      <c r="P522" s="250"/>
      <c r="Q522" s="252"/>
      <c r="R522" s="248"/>
      <c r="S522" s="248"/>
      <c r="T522" s="248"/>
      <c r="U522" s="248"/>
      <c r="V522" s="248"/>
      <c r="W522" s="248"/>
      <c r="X522" s="248"/>
      <c r="Y522" s="248"/>
      <c r="Z522" s="253"/>
      <c r="AA522" s="253"/>
      <c r="AB522" s="253"/>
      <c r="AC522" s="253"/>
      <c r="AD522" s="253"/>
      <c r="AE522" s="253"/>
      <c r="AF522" s="254"/>
      <c r="AG522" s="257"/>
      <c r="AH522" s="257"/>
      <c r="AI522" s="257"/>
      <c r="AJ522" s="258"/>
      <c r="AK522" s="259"/>
      <c r="AL522" s="257"/>
      <c r="AM522" s="257"/>
      <c r="AN522" s="257"/>
      <c r="AO522" s="257"/>
      <c r="AP522" s="257"/>
      <c r="AQ522" s="258"/>
      <c r="AR522" s="260"/>
      <c r="AS522" s="257"/>
      <c r="AT522" s="257"/>
      <c r="AU522" s="257"/>
      <c r="AV522" s="257"/>
      <c r="AW522" s="257"/>
      <c r="AX522" s="258"/>
      <c r="AY522" s="260"/>
      <c r="AZ522" s="257"/>
      <c r="BA522" s="257"/>
      <c r="BB522" s="257"/>
      <c r="BC522" s="257"/>
      <c r="BD522" s="258"/>
      <c r="BE522" s="260"/>
      <c r="BF522" s="258"/>
      <c r="BG522" s="260"/>
      <c r="BH522" s="257"/>
      <c r="BI522" s="14"/>
    </row>
    <row r="523" spans="1:61" ht="13.15" x14ac:dyDescent="0.4">
      <c r="A523" s="248"/>
      <c r="B523" s="256"/>
      <c r="C523" s="248"/>
      <c r="D523" s="248"/>
      <c r="E523" s="248"/>
      <c r="F523" s="250"/>
      <c r="G523" s="248"/>
      <c r="H523" s="32"/>
      <c r="I523" s="248"/>
      <c r="J523" s="248"/>
      <c r="K523" s="251"/>
      <c r="L523" s="238"/>
      <c r="M523" s="248"/>
      <c r="N523" s="248"/>
      <c r="O523" s="248"/>
      <c r="P523" s="250"/>
      <c r="Q523" s="252"/>
      <c r="R523" s="248"/>
      <c r="S523" s="248"/>
      <c r="T523" s="248"/>
      <c r="U523" s="248"/>
      <c r="V523" s="248"/>
      <c r="W523" s="248"/>
      <c r="X523" s="248"/>
      <c r="Y523" s="248"/>
      <c r="Z523" s="253"/>
      <c r="AA523" s="253"/>
      <c r="AB523" s="253"/>
      <c r="AC523" s="253"/>
      <c r="AD523" s="253"/>
      <c r="AE523" s="253"/>
      <c r="AF523" s="254"/>
      <c r="AG523" s="257"/>
      <c r="AH523" s="257"/>
      <c r="AI523" s="257"/>
      <c r="AJ523" s="258"/>
      <c r="AK523" s="259"/>
      <c r="AL523" s="257"/>
      <c r="AM523" s="257"/>
      <c r="AN523" s="257"/>
      <c r="AO523" s="257"/>
      <c r="AP523" s="257"/>
      <c r="AQ523" s="258"/>
      <c r="AR523" s="260"/>
      <c r="AS523" s="257"/>
      <c r="AT523" s="257"/>
      <c r="AU523" s="257"/>
      <c r="AV523" s="257"/>
      <c r="AW523" s="257"/>
      <c r="AX523" s="258"/>
      <c r="AY523" s="260"/>
      <c r="AZ523" s="257"/>
      <c r="BA523" s="257"/>
      <c r="BB523" s="257"/>
      <c r="BC523" s="257"/>
      <c r="BD523" s="258"/>
      <c r="BE523" s="260"/>
      <c r="BF523" s="258"/>
      <c r="BG523" s="260"/>
      <c r="BH523" s="257"/>
      <c r="BI523" s="14"/>
    </row>
    <row r="524" spans="1:61" ht="13.15" x14ac:dyDescent="0.4">
      <c r="A524" s="248"/>
      <c r="B524" s="256"/>
      <c r="C524" s="248"/>
      <c r="D524" s="248"/>
      <c r="E524" s="248"/>
      <c r="F524" s="250"/>
      <c r="G524" s="248"/>
      <c r="H524" s="32"/>
      <c r="I524" s="248"/>
      <c r="J524" s="248"/>
      <c r="K524" s="251"/>
      <c r="L524" s="238"/>
      <c r="M524" s="248"/>
      <c r="N524" s="248"/>
      <c r="O524" s="248"/>
      <c r="P524" s="250"/>
      <c r="Q524" s="252"/>
      <c r="R524" s="248"/>
      <c r="S524" s="248"/>
      <c r="T524" s="248"/>
      <c r="U524" s="248"/>
      <c r="V524" s="248"/>
      <c r="W524" s="248"/>
      <c r="X524" s="248"/>
      <c r="Y524" s="248"/>
      <c r="Z524" s="253"/>
      <c r="AA524" s="253"/>
      <c r="AB524" s="253"/>
      <c r="AC524" s="253"/>
      <c r="AD524" s="253"/>
      <c r="AE524" s="253"/>
      <c r="AF524" s="254"/>
      <c r="AG524" s="257"/>
      <c r="AH524" s="257"/>
      <c r="AI524" s="257"/>
      <c r="AJ524" s="258"/>
      <c r="AK524" s="259"/>
      <c r="AL524" s="257"/>
      <c r="AM524" s="257"/>
      <c r="AN524" s="257"/>
      <c r="AO524" s="257"/>
      <c r="AP524" s="257"/>
      <c r="AQ524" s="258"/>
      <c r="AR524" s="260"/>
      <c r="AS524" s="257"/>
      <c r="AT524" s="257"/>
      <c r="AU524" s="257"/>
      <c r="AV524" s="257"/>
      <c r="AW524" s="257"/>
      <c r="AX524" s="258"/>
      <c r="AY524" s="260"/>
      <c r="AZ524" s="257"/>
      <c r="BA524" s="257"/>
      <c r="BB524" s="257"/>
      <c r="BC524" s="257"/>
      <c r="BD524" s="258"/>
      <c r="BE524" s="260"/>
      <c r="BF524" s="258"/>
      <c r="BG524" s="260"/>
      <c r="BH524" s="257"/>
      <c r="BI524" s="14"/>
    </row>
    <row r="525" spans="1:61" ht="13.15" x14ac:dyDescent="0.4">
      <c r="A525" s="248"/>
      <c r="B525" s="256"/>
      <c r="C525" s="248"/>
      <c r="D525" s="248"/>
      <c r="E525" s="248"/>
      <c r="F525" s="250"/>
      <c r="G525" s="248"/>
      <c r="H525" s="32"/>
      <c r="I525" s="248"/>
      <c r="J525" s="248"/>
      <c r="K525" s="251"/>
      <c r="L525" s="238"/>
      <c r="M525" s="248"/>
      <c r="N525" s="248"/>
      <c r="O525" s="248"/>
      <c r="P525" s="250"/>
      <c r="Q525" s="252"/>
      <c r="R525" s="248"/>
      <c r="S525" s="248"/>
      <c r="T525" s="248"/>
      <c r="U525" s="248"/>
      <c r="V525" s="248"/>
      <c r="W525" s="248"/>
      <c r="X525" s="248"/>
      <c r="Y525" s="248"/>
      <c r="Z525" s="253"/>
      <c r="AA525" s="253"/>
      <c r="AB525" s="253"/>
      <c r="AC525" s="253"/>
      <c r="AD525" s="253"/>
      <c r="AE525" s="253"/>
      <c r="AF525" s="254"/>
      <c r="AG525" s="257"/>
      <c r="AH525" s="257"/>
      <c r="AI525" s="257"/>
      <c r="AJ525" s="258"/>
      <c r="AK525" s="259"/>
      <c r="AL525" s="257"/>
      <c r="AM525" s="257"/>
      <c r="AN525" s="257"/>
      <c r="AO525" s="257"/>
      <c r="AP525" s="257"/>
      <c r="AQ525" s="258"/>
      <c r="AR525" s="260"/>
      <c r="AS525" s="257"/>
      <c r="AT525" s="257"/>
      <c r="AU525" s="257"/>
      <c r="AV525" s="257"/>
      <c r="AW525" s="257"/>
      <c r="AX525" s="258"/>
      <c r="AY525" s="260"/>
      <c r="AZ525" s="257"/>
      <c r="BA525" s="257"/>
      <c r="BB525" s="257"/>
      <c r="BC525" s="257"/>
      <c r="BD525" s="258"/>
      <c r="BE525" s="260"/>
      <c r="BF525" s="258"/>
      <c r="BG525" s="260"/>
      <c r="BH525" s="257"/>
      <c r="BI525" s="14"/>
    </row>
    <row r="526" spans="1:61" ht="13.15" x14ac:dyDescent="0.4">
      <c r="A526" s="248"/>
      <c r="B526" s="256"/>
      <c r="C526" s="248"/>
      <c r="D526" s="248"/>
      <c r="E526" s="248"/>
      <c r="F526" s="250"/>
      <c r="G526" s="248"/>
      <c r="H526" s="32"/>
      <c r="I526" s="248"/>
      <c r="J526" s="248"/>
      <c r="K526" s="251"/>
      <c r="L526" s="238"/>
      <c r="M526" s="248"/>
      <c r="N526" s="248"/>
      <c r="O526" s="248"/>
      <c r="P526" s="250"/>
      <c r="Q526" s="252"/>
      <c r="R526" s="248"/>
      <c r="S526" s="248"/>
      <c r="T526" s="248"/>
      <c r="U526" s="248"/>
      <c r="V526" s="248"/>
      <c r="W526" s="248"/>
      <c r="X526" s="248"/>
      <c r="Y526" s="248"/>
      <c r="Z526" s="253"/>
      <c r="AA526" s="253"/>
      <c r="AB526" s="253"/>
      <c r="AC526" s="253"/>
      <c r="AD526" s="253"/>
      <c r="AE526" s="253"/>
      <c r="AF526" s="254"/>
      <c r="AG526" s="257"/>
      <c r="AH526" s="257"/>
      <c r="AI526" s="257"/>
      <c r="AJ526" s="258"/>
      <c r="AK526" s="259"/>
      <c r="AL526" s="257"/>
      <c r="AM526" s="257"/>
      <c r="AN526" s="257"/>
      <c r="AO526" s="257"/>
      <c r="AP526" s="257"/>
      <c r="AQ526" s="258"/>
      <c r="AR526" s="260"/>
      <c r="AS526" s="257"/>
      <c r="AT526" s="257"/>
      <c r="AU526" s="257"/>
      <c r="AV526" s="257"/>
      <c r="AW526" s="257"/>
      <c r="AX526" s="258"/>
      <c r="AY526" s="260"/>
      <c r="AZ526" s="257"/>
      <c r="BA526" s="257"/>
      <c r="BB526" s="257"/>
      <c r="BC526" s="257"/>
      <c r="BD526" s="258"/>
      <c r="BE526" s="260"/>
      <c r="BF526" s="258"/>
      <c r="BG526" s="260"/>
      <c r="BH526" s="257"/>
      <c r="BI526" s="14"/>
    </row>
    <row r="527" spans="1:61" ht="13.15" x14ac:dyDescent="0.4">
      <c r="A527" s="248"/>
      <c r="B527" s="256"/>
      <c r="C527" s="248"/>
      <c r="D527" s="248"/>
      <c r="E527" s="248"/>
      <c r="F527" s="250"/>
      <c r="G527" s="248"/>
      <c r="H527" s="32"/>
      <c r="I527" s="248"/>
      <c r="J527" s="248"/>
      <c r="K527" s="251"/>
      <c r="L527" s="238"/>
      <c r="M527" s="248"/>
      <c r="N527" s="248"/>
      <c r="O527" s="248"/>
      <c r="P527" s="250"/>
      <c r="Q527" s="252"/>
      <c r="R527" s="248"/>
      <c r="S527" s="248"/>
      <c r="T527" s="248"/>
      <c r="U527" s="248"/>
      <c r="V527" s="248"/>
      <c r="W527" s="248"/>
      <c r="X527" s="248"/>
      <c r="Y527" s="248"/>
      <c r="Z527" s="253"/>
      <c r="AA527" s="253"/>
      <c r="AB527" s="253"/>
      <c r="AC527" s="253"/>
      <c r="AD527" s="253"/>
      <c r="AE527" s="253"/>
      <c r="AF527" s="254"/>
      <c r="AG527" s="257"/>
      <c r="AH527" s="257"/>
      <c r="AI527" s="257"/>
      <c r="AJ527" s="258"/>
      <c r="AK527" s="259"/>
      <c r="AL527" s="257"/>
      <c r="AM527" s="257"/>
      <c r="AN527" s="257"/>
      <c r="AO527" s="257"/>
      <c r="AP527" s="257"/>
      <c r="AQ527" s="258"/>
      <c r="AR527" s="260"/>
      <c r="AS527" s="257"/>
      <c r="AT527" s="257"/>
      <c r="AU527" s="257"/>
      <c r="AV527" s="257"/>
      <c r="AW527" s="257"/>
      <c r="AX527" s="258"/>
      <c r="AY527" s="260"/>
      <c r="AZ527" s="257"/>
      <c r="BA527" s="257"/>
      <c r="BB527" s="257"/>
      <c r="BC527" s="257"/>
      <c r="BD527" s="258"/>
      <c r="BE527" s="260"/>
      <c r="BF527" s="258"/>
      <c r="BG527" s="260"/>
      <c r="BH527" s="257"/>
      <c r="BI527" s="14"/>
    </row>
    <row r="528" spans="1:61" ht="13.15" x14ac:dyDescent="0.4">
      <c r="A528" s="248"/>
      <c r="B528" s="256"/>
      <c r="C528" s="248"/>
      <c r="D528" s="248"/>
      <c r="E528" s="248"/>
      <c r="F528" s="250"/>
      <c r="G528" s="248"/>
      <c r="H528" s="32"/>
      <c r="I528" s="248"/>
      <c r="J528" s="248"/>
      <c r="K528" s="251"/>
      <c r="L528" s="238"/>
      <c r="M528" s="248"/>
      <c r="N528" s="248"/>
      <c r="O528" s="248"/>
      <c r="P528" s="250"/>
      <c r="Q528" s="252"/>
      <c r="R528" s="248"/>
      <c r="S528" s="248"/>
      <c r="T528" s="248"/>
      <c r="U528" s="248"/>
      <c r="V528" s="248"/>
      <c r="W528" s="248"/>
      <c r="X528" s="248"/>
      <c r="Y528" s="248"/>
      <c r="Z528" s="253"/>
      <c r="AA528" s="253"/>
      <c r="AB528" s="253"/>
      <c r="AC528" s="253"/>
      <c r="AD528" s="253"/>
      <c r="AE528" s="253"/>
      <c r="AF528" s="254"/>
      <c r="AG528" s="257"/>
      <c r="AH528" s="257"/>
      <c r="AI528" s="257"/>
      <c r="AJ528" s="258"/>
      <c r="AK528" s="259"/>
      <c r="AL528" s="257"/>
      <c r="AM528" s="257"/>
      <c r="AN528" s="257"/>
      <c r="AO528" s="257"/>
      <c r="AP528" s="257"/>
      <c r="AQ528" s="258"/>
      <c r="AR528" s="260"/>
      <c r="AS528" s="257"/>
      <c r="AT528" s="257"/>
      <c r="AU528" s="257"/>
      <c r="AV528" s="257"/>
      <c r="AW528" s="257"/>
      <c r="AX528" s="258"/>
      <c r="AY528" s="260"/>
      <c r="AZ528" s="257"/>
      <c r="BA528" s="257"/>
      <c r="BB528" s="257"/>
      <c r="BC528" s="257"/>
      <c r="BD528" s="258"/>
      <c r="BE528" s="260"/>
      <c r="BF528" s="258"/>
      <c r="BG528" s="260"/>
      <c r="BH528" s="257"/>
      <c r="BI528" s="14"/>
    </row>
    <row r="529" spans="1:61" ht="13.15" x14ac:dyDescent="0.4">
      <c r="A529" s="248"/>
      <c r="B529" s="256"/>
      <c r="C529" s="248"/>
      <c r="D529" s="248"/>
      <c r="E529" s="248"/>
      <c r="F529" s="250"/>
      <c r="G529" s="248"/>
      <c r="H529" s="32"/>
      <c r="I529" s="248"/>
      <c r="J529" s="248"/>
      <c r="K529" s="251"/>
      <c r="L529" s="238"/>
      <c r="M529" s="248"/>
      <c r="N529" s="248"/>
      <c r="O529" s="248"/>
      <c r="P529" s="250"/>
      <c r="Q529" s="252"/>
      <c r="R529" s="248"/>
      <c r="S529" s="248"/>
      <c r="T529" s="248"/>
      <c r="U529" s="248"/>
      <c r="V529" s="248"/>
      <c r="W529" s="248"/>
      <c r="X529" s="248"/>
      <c r="Y529" s="248"/>
      <c r="Z529" s="253"/>
      <c r="AA529" s="253"/>
      <c r="AB529" s="253"/>
      <c r="AC529" s="253"/>
      <c r="AD529" s="253"/>
      <c r="AE529" s="253"/>
      <c r="AF529" s="254"/>
      <c r="AG529" s="257"/>
      <c r="AH529" s="257"/>
      <c r="AI529" s="257"/>
      <c r="AJ529" s="258"/>
      <c r="AK529" s="259"/>
      <c r="AL529" s="257"/>
      <c r="AM529" s="257"/>
      <c r="AN529" s="257"/>
      <c r="AO529" s="257"/>
      <c r="AP529" s="257"/>
      <c r="AQ529" s="258"/>
      <c r="AR529" s="260"/>
      <c r="AS529" s="257"/>
      <c r="AT529" s="257"/>
      <c r="AU529" s="257"/>
      <c r="AV529" s="257"/>
      <c r="AW529" s="257"/>
      <c r="AX529" s="258"/>
      <c r="AY529" s="260"/>
      <c r="AZ529" s="257"/>
      <c r="BA529" s="257"/>
      <c r="BB529" s="257"/>
      <c r="BC529" s="257"/>
      <c r="BD529" s="258"/>
      <c r="BE529" s="260"/>
      <c r="BF529" s="258"/>
      <c r="BG529" s="260"/>
      <c r="BH529" s="257"/>
      <c r="BI529" s="14"/>
    </row>
    <row r="530" spans="1:61" ht="13.15" x14ac:dyDescent="0.4">
      <c r="A530" s="248"/>
      <c r="B530" s="256"/>
      <c r="C530" s="248"/>
      <c r="D530" s="248"/>
      <c r="E530" s="248"/>
      <c r="F530" s="250"/>
      <c r="G530" s="248"/>
      <c r="H530" s="32"/>
      <c r="I530" s="248"/>
      <c r="J530" s="248"/>
      <c r="K530" s="251"/>
      <c r="L530" s="238"/>
      <c r="M530" s="248"/>
      <c r="N530" s="248"/>
      <c r="O530" s="248"/>
      <c r="P530" s="250"/>
      <c r="Q530" s="252"/>
      <c r="R530" s="248"/>
      <c r="S530" s="248"/>
      <c r="T530" s="248"/>
      <c r="U530" s="248"/>
      <c r="V530" s="248"/>
      <c r="W530" s="248"/>
      <c r="X530" s="248"/>
      <c r="Y530" s="248"/>
      <c r="Z530" s="253"/>
      <c r="AA530" s="253"/>
      <c r="AB530" s="253"/>
      <c r="AC530" s="253"/>
      <c r="AD530" s="253"/>
      <c r="AE530" s="253"/>
      <c r="AF530" s="254"/>
      <c r="AG530" s="257"/>
      <c r="AH530" s="257"/>
      <c r="AI530" s="257"/>
      <c r="AJ530" s="258"/>
      <c r="AK530" s="259"/>
      <c r="AL530" s="257"/>
      <c r="AM530" s="257"/>
      <c r="AN530" s="257"/>
      <c r="AO530" s="257"/>
      <c r="AP530" s="257"/>
      <c r="AQ530" s="258"/>
      <c r="AR530" s="260"/>
      <c r="AS530" s="257"/>
      <c r="AT530" s="257"/>
      <c r="AU530" s="257"/>
      <c r="AV530" s="257"/>
      <c r="AW530" s="257"/>
      <c r="AX530" s="258"/>
      <c r="AY530" s="260"/>
      <c r="AZ530" s="257"/>
      <c r="BA530" s="257"/>
      <c r="BB530" s="257"/>
      <c r="BC530" s="257"/>
      <c r="BD530" s="258"/>
      <c r="BE530" s="260"/>
      <c r="BF530" s="258"/>
      <c r="BG530" s="260"/>
      <c r="BH530" s="257"/>
      <c r="BI530" s="14"/>
    </row>
    <row r="531" spans="1:61" ht="13.15" x14ac:dyDescent="0.4">
      <c r="A531" s="248"/>
      <c r="B531" s="256"/>
      <c r="C531" s="248"/>
      <c r="D531" s="248"/>
      <c r="E531" s="248"/>
      <c r="F531" s="250"/>
      <c r="G531" s="248"/>
      <c r="H531" s="32"/>
      <c r="I531" s="248"/>
      <c r="J531" s="248"/>
      <c r="K531" s="251"/>
      <c r="L531" s="238"/>
      <c r="M531" s="248"/>
      <c r="N531" s="248"/>
      <c r="O531" s="248"/>
      <c r="P531" s="250"/>
      <c r="Q531" s="252"/>
      <c r="R531" s="248"/>
      <c r="S531" s="248"/>
      <c r="T531" s="248"/>
      <c r="U531" s="248"/>
      <c r="V531" s="248"/>
      <c r="W531" s="248"/>
      <c r="X531" s="248"/>
      <c r="Y531" s="248"/>
      <c r="Z531" s="253"/>
      <c r="AA531" s="253"/>
      <c r="AB531" s="253"/>
      <c r="AC531" s="253"/>
      <c r="AD531" s="253"/>
      <c r="AE531" s="253"/>
      <c r="AF531" s="254"/>
      <c r="AG531" s="257"/>
      <c r="AH531" s="257"/>
      <c r="AI531" s="257"/>
      <c r="AJ531" s="258"/>
      <c r="AK531" s="259"/>
      <c r="AL531" s="257"/>
      <c r="AM531" s="257"/>
      <c r="AN531" s="257"/>
      <c r="AO531" s="257"/>
      <c r="AP531" s="257"/>
      <c r="AQ531" s="258"/>
      <c r="AR531" s="260"/>
      <c r="AS531" s="257"/>
      <c r="AT531" s="257"/>
      <c r="AU531" s="257"/>
      <c r="AV531" s="257"/>
      <c r="AW531" s="257"/>
      <c r="AX531" s="258"/>
      <c r="AY531" s="260"/>
      <c r="AZ531" s="257"/>
      <c r="BA531" s="257"/>
      <c r="BB531" s="257"/>
      <c r="BC531" s="257"/>
      <c r="BD531" s="258"/>
      <c r="BE531" s="260"/>
      <c r="BF531" s="258"/>
      <c r="BG531" s="260"/>
      <c r="BH531" s="257"/>
      <c r="BI531" s="14"/>
    </row>
    <row r="532" spans="1:61" ht="13.15" x14ac:dyDescent="0.4">
      <c r="A532" s="248"/>
      <c r="B532" s="256"/>
      <c r="C532" s="248"/>
      <c r="D532" s="248"/>
      <c r="E532" s="248"/>
      <c r="F532" s="250"/>
      <c r="G532" s="248"/>
      <c r="H532" s="32"/>
      <c r="I532" s="248"/>
      <c r="J532" s="248"/>
      <c r="K532" s="251"/>
      <c r="L532" s="238"/>
      <c r="M532" s="248"/>
      <c r="N532" s="248"/>
      <c r="O532" s="248"/>
      <c r="P532" s="250"/>
      <c r="Q532" s="252"/>
      <c r="R532" s="248"/>
      <c r="S532" s="248"/>
      <c r="T532" s="248"/>
      <c r="U532" s="248"/>
      <c r="V532" s="248"/>
      <c r="W532" s="248"/>
      <c r="X532" s="248"/>
      <c r="Y532" s="248"/>
      <c r="Z532" s="253"/>
      <c r="AA532" s="253"/>
      <c r="AB532" s="253"/>
      <c r="AC532" s="253"/>
      <c r="AD532" s="253"/>
      <c r="AE532" s="253"/>
      <c r="AF532" s="254"/>
      <c r="AG532" s="257"/>
      <c r="AH532" s="257"/>
      <c r="AI532" s="257"/>
      <c r="AJ532" s="258"/>
      <c r="AK532" s="259"/>
      <c r="AL532" s="257"/>
      <c r="AM532" s="257"/>
      <c r="AN532" s="257"/>
      <c r="AO532" s="257"/>
      <c r="AP532" s="257"/>
      <c r="AQ532" s="258"/>
      <c r="AR532" s="260"/>
      <c r="AS532" s="257"/>
      <c r="AT532" s="257"/>
      <c r="AU532" s="257"/>
      <c r="AV532" s="257"/>
      <c r="AW532" s="257"/>
      <c r="AX532" s="258"/>
      <c r="AY532" s="260"/>
      <c r="AZ532" s="257"/>
      <c r="BA532" s="257"/>
      <c r="BB532" s="257"/>
      <c r="BC532" s="257"/>
      <c r="BD532" s="258"/>
      <c r="BE532" s="260"/>
      <c r="BF532" s="258"/>
      <c r="BG532" s="260"/>
      <c r="BH532" s="257"/>
      <c r="BI532" s="14"/>
    </row>
    <row r="533" spans="1:61" ht="13.15" x14ac:dyDescent="0.4">
      <c r="A533" s="248"/>
      <c r="B533" s="256"/>
      <c r="C533" s="248"/>
      <c r="D533" s="248"/>
      <c r="E533" s="248"/>
      <c r="F533" s="250"/>
      <c r="G533" s="248"/>
      <c r="H533" s="32"/>
      <c r="I533" s="248"/>
      <c r="J533" s="248"/>
      <c r="K533" s="251"/>
      <c r="L533" s="238"/>
      <c r="M533" s="248"/>
      <c r="N533" s="248"/>
      <c r="O533" s="248"/>
      <c r="P533" s="250"/>
      <c r="Q533" s="252"/>
      <c r="R533" s="248"/>
      <c r="S533" s="248"/>
      <c r="T533" s="248"/>
      <c r="U533" s="248"/>
      <c r="V533" s="248"/>
      <c r="W533" s="248"/>
      <c r="X533" s="248"/>
      <c r="Y533" s="248"/>
      <c r="Z533" s="253"/>
      <c r="AA533" s="253"/>
      <c r="AB533" s="253"/>
      <c r="AC533" s="253"/>
      <c r="AD533" s="253"/>
      <c r="AE533" s="253"/>
      <c r="AF533" s="254"/>
      <c r="AG533" s="257"/>
      <c r="AH533" s="257"/>
      <c r="AI533" s="257"/>
      <c r="AJ533" s="258"/>
      <c r="AK533" s="259"/>
      <c r="AL533" s="257"/>
      <c r="AM533" s="257"/>
      <c r="AN533" s="257"/>
      <c r="AO533" s="257"/>
      <c r="AP533" s="257"/>
      <c r="AQ533" s="258"/>
      <c r="AR533" s="260"/>
      <c r="AS533" s="257"/>
      <c r="AT533" s="257"/>
      <c r="AU533" s="257"/>
      <c r="AV533" s="257"/>
      <c r="AW533" s="257"/>
      <c r="AX533" s="258"/>
      <c r="AY533" s="260"/>
      <c r="AZ533" s="257"/>
      <c r="BA533" s="257"/>
      <c r="BB533" s="257"/>
      <c r="BC533" s="257"/>
      <c r="BD533" s="258"/>
      <c r="BE533" s="260"/>
      <c r="BF533" s="258"/>
      <c r="BG533" s="260"/>
      <c r="BH533" s="257"/>
      <c r="BI533" s="14"/>
    </row>
    <row r="534" spans="1:61" ht="13.15" x14ac:dyDescent="0.4">
      <c r="A534" s="248"/>
      <c r="B534" s="256"/>
      <c r="C534" s="248"/>
      <c r="D534" s="248"/>
      <c r="E534" s="248"/>
      <c r="F534" s="250"/>
      <c r="G534" s="248"/>
      <c r="H534" s="32"/>
      <c r="I534" s="248"/>
      <c r="J534" s="248"/>
      <c r="K534" s="251"/>
      <c r="L534" s="238"/>
      <c r="M534" s="248"/>
      <c r="N534" s="248"/>
      <c r="O534" s="248"/>
      <c r="P534" s="250"/>
      <c r="Q534" s="252"/>
      <c r="R534" s="248"/>
      <c r="S534" s="248"/>
      <c r="T534" s="248"/>
      <c r="U534" s="248"/>
      <c r="V534" s="248"/>
      <c r="W534" s="248"/>
      <c r="X534" s="248"/>
      <c r="Y534" s="248"/>
      <c r="Z534" s="253"/>
      <c r="AA534" s="253"/>
      <c r="AB534" s="253"/>
      <c r="AC534" s="253"/>
      <c r="AD534" s="253"/>
      <c r="AE534" s="253"/>
      <c r="AF534" s="254"/>
      <c r="AG534" s="257"/>
      <c r="AH534" s="257"/>
      <c r="AI534" s="257"/>
      <c r="AJ534" s="258"/>
      <c r="AK534" s="259"/>
      <c r="AL534" s="257"/>
      <c r="AM534" s="257"/>
      <c r="AN534" s="257"/>
      <c r="AO534" s="257"/>
      <c r="AP534" s="257"/>
      <c r="AQ534" s="258"/>
      <c r="AR534" s="260"/>
      <c r="AS534" s="257"/>
      <c r="AT534" s="257"/>
      <c r="AU534" s="257"/>
      <c r="AV534" s="257"/>
      <c r="AW534" s="257"/>
      <c r="AX534" s="258"/>
      <c r="AY534" s="260"/>
      <c r="AZ534" s="257"/>
      <c r="BA534" s="257"/>
      <c r="BB534" s="257"/>
      <c r="BC534" s="257"/>
      <c r="BD534" s="258"/>
      <c r="BE534" s="260"/>
      <c r="BF534" s="258"/>
      <c r="BG534" s="260"/>
      <c r="BH534" s="257"/>
      <c r="BI534" s="14"/>
    </row>
    <row r="535" spans="1:61" ht="13.15" x14ac:dyDescent="0.4">
      <c r="A535" s="248"/>
      <c r="B535" s="256"/>
      <c r="C535" s="248"/>
      <c r="D535" s="248"/>
      <c r="E535" s="248"/>
      <c r="F535" s="250"/>
      <c r="G535" s="248"/>
      <c r="H535" s="32"/>
      <c r="I535" s="248"/>
      <c r="J535" s="248"/>
      <c r="K535" s="251"/>
      <c r="L535" s="238"/>
      <c r="M535" s="248"/>
      <c r="N535" s="248"/>
      <c r="O535" s="248"/>
      <c r="P535" s="250"/>
      <c r="Q535" s="252"/>
      <c r="R535" s="248"/>
      <c r="S535" s="248"/>
      <c r="T535" s="248"/>
      <c r="U535" s="248"/>
      <c r="V535" s="248"/>
      <c r="W535" s="248"/>
      <c r="X535" s="248"/>
      <c r="Y535" s="248"/>
      <c r="Z535" s="253"/>
      <c r="AA535" s="253"/>
      <c r="AB535" s="253"/>
      <c r="AC535" s="253"/>
      <c r="AD535" s="253"/>
      <c r="AE535" s="253"/>
      <c r="AF535" s="254"/>
      <c r="AG535" s="257"/>
      <c r="AH535" s="257"/>
      <c r="AI535" s="257"/>
      <c r="AJ535" s="258"/>
      <c r="AK535" s="259"/>
      <c r="AL535" s="257"/>
      <c r="AM535" s="257"/>
      <c r="AN535" s="257"/>
      <c r="AO535" s="257"/>
      <c r="AP535" s="257"/>
      <c r="AQ535" s="258"/>
      <c r="AR535" s="260"/>
      <c r="AS535" s="257"/>
      <c r="AT535" s="257"/>
      <c r="AU535" s="257"/>
      <c r="AV535" s="257"/>
      <c r="AW535" s="257"/>
      <c r="AX535" s="258"/>
      <c r="AY535" s="260"/>
      <c r="AZ535" s="257"/>
      <c r="BA535" s="257"/>
      <c r="BB535" s="257"/>
      <c r="BC535" s="257"/>
      <c r="BD535" s="258"/>
      <c r="BE535" s="260"/>
      <c r="BF535" s="258"/>
      <c r="BG535" s="260"/>
      <c r="BH535" s="257"/>
      <c r="BI535" s="14"/>
    </row>
    <row r="536" spans="1:61" ht="13.15" x14ac:dyDescent="0.4">
      <c r="A536" s="248"/>
      <c r="B536" s="256"/>
      <c r="C536" s="248"/>
      <c r="D536" s="248"/>
      <c r="E536" s="248"/>
      <c r="F536" s="250"/>
      <c r="G536" s="248"/>
      <c r="H536" s="32"/>
      <c r="I536" s="248"/>
      <c r="J536" s="248"/>
      <c r="K536" s="251"/>
      <c r="L536" s="238"/>
      <c r="M536" s="248"/>
      <c r="N536" s="248"/>
      <c r="O536" s="248"/>
      <c r="P536" s="250"/>
      <c r="Q536" s="252"/>
      <c r="R536" s="248"/>
      <c r="S536" s="248"/>
      <c r="T536" s="248"/>
      <c r="U536" s="248"/>
      <c r="V536" s="248"/>
      <c r="W536" s="248"/>
      <c r="X536" s="248"/>
      <c r="Y536" s="248"/>
      <c r="Z536" s="253"/>
      <c r="AA536" s="253"/>
      <c r="AB536" s="253"/>
      <c r="AC536" s="253"/>
      <c r="AD536" s="253"/>
      <c r="AE536" s="253"/>
      <c r="AF536" s="254"/>
      <c r="AG536" s="257"/>
      <c r="AH536" s="257"/>
      <c r="AI536" s="257"/>
      <c r="AJ536" s="258"/>
      <c r="AK536" s="259"/>
      <c r="AL536" s="257"/>
      <c r="AM536" s="257"/>
      <c r="AN536" s="257"/>
      <c r="AO536" s="257"/>
      <c r="AP536" s="257"/>
      <c r="AQ536" s="258"/>
      <c r="AR536" s="260"/>
      <c r="AS536" s="257"/>
      <c r="AT536" s="257"/>
      <c r="AU536" s="257"/>
      <c r="AV536" s="257"/>
      <c r="AW536" s="257"/>
      <c r="AX536" s="258"/>
      <c r="AY536" s="260"/>
      <c r="AZ536" s="257"/>
      <c r="BA536" s="257"/>
      <c r="BB536" s="257"/>
      <c r="BC536" s="257"/>
      <c r="BD536" s="258"/>
      <c r="BE536" s="260"/>
      <c r="BF536" s="258"/>
      <c r="BG536" s="260"/>
      <c r="BH536" s="257"/>
      <c r="BI536" s="14"/>
    </row>
    <row r="537" spans="1:61" ht="13.15" x14ac:dyDescent="0.4">
      <c r="A537" s="248"/>
      <c r="B537" s="256"/>
      <c r="C537" s="248"/>
      <c r="D537" s="248"/>
      <c r="E537" s="248"/>
      <c r="F537" s="250"/>
      <c r="G537" s="248"/>
      <c r="H537" s="32"/>
      <c r="I537" s="248"/>
      <c r="J537" s="248"/>
      <c r="K537" s="251"/>
      <c r="L537" s="238"/>
      <c r="M537" s="248"/>
      <c r="N537" s="248"/>
      <c r="O537" s="248"/>
      <c r="P537" s="250"/>
      <c r="Q537" s="252"/>
      <c r="R537" s="248"/>
      <c r="S537" s="248"/>
      <c r="T537" s="248"/>
      <c r="U537" s="248"/>
      <c r="V537" s="248"/>
      <c r="W537" s="248"/>
      <c r="X537" s="248"/>
      <c r="Y537" s="248"/>
      <c r="Z537" s="253"/>
      <c r="AA537" s="253"/>
      <c r="AB537" s="253"/>
      <c r="AC537" s="253"/>
      <c r="AD537" s="253"/>
      <c r="AE537" s="253"/>
      <c r="AF537" s="254"/>
      <c r="AG537" s="257"/>
      <c r="AH537" s="257"/>
      <c r="AI537" s="257"/>
      <c r="AJ537" s="258"/>
      <c r="AK537" s="259"/>
      <c r="AL537" s="257"/>
      <c r="AM537" s="257"/>
      <c r="AN537" s="257"/>
      <c r="AO537" s="257"/>
      <c r="AP537" s="257"/>
      <c r="AQ537" s="258"/>
      <c r="AR537" s="260"/>
      <c r="AS537" s="257"/>
      <c r="AT537" s="257"/>
      <c r="AU537" s="257"/>
      <c r="AV537" s="257"/>
      <c r="AW537" s="257"/>
      <c r="AX537" s="258"/>
      <c r="AY537" s="260"/>
      <c r="AZ537" s="257"/>
      <c r="BA537" s="257"/>
      <c r="BB537" s="257"/>
      <c r="BC537" s="257"/>
      <c r="BD537" s="258"/>
      <c r="BE537" s="260"/>
      <c r="BF537" s="258"/>
      <c r="BG537" s="260"/>
      <c r="BH537" s="257"/>
      <c r="BI537" s="14"/>
    </row>
    <row r="538" spans="1:61" ht="13.15" x14ac:dyDescent="0.4">
      <c r="A538" s="248"/>
      <c r="B538" s="256"/>
      <c r="C538" s="248"/>
      <c r="D538" s="248"/>
      <c r="E538" s="248"/>
      <c r="F538" s="250"/>
      <c r="G538" s="248"/>
      <c r="H538" s="32"/>
      <c r="I538" s="248"/>
      <c r="J538" s="248"/>
      <c r="K538" s="251"/>
      <c r="L538" s="238"/>
      <c r="M538" s="248"/>
      <c r="N538" s="248"/>
      <c r="O538" s="248"/>
      <c r="P538" s="250"/>
      <c r="Q538" s="252"/>
      <c r="R538" s="248"/>
      <c r="S538" s="248"/>
      <c r="T538" s="248"/>
      <c r="U538" s="248"/>
      <c r="V538" s="248"/>
      <c r="W538" s="248"/>
      <c r="X538" s="248"/>
      <c r="Y538" s="248"/>
      <c r="Z538" s="253"/>
      <c r="AA538" s="253"/>
      <c r="AB538" s="253"/>
      <c r="AC538" s="253"/>
      <c r="AD538" s="253"/>
      <c r="AE538" s="253"/>
      <c r="AF538" s="254"/>
      <c r="AG538" s="257"/>
      <c r="AH538" s="257"/>
      <c r="AI538" s="257"/>
      <c r="AJ538" s="258"/>
      <c r="AK538" s="259"/>
      <c r="AL538" s="257"/>
      <c r="AM538" s="257"/>
      <c r="AN538" s="257"/>
      <c r="AO538" s="257"/>
      <c r="AP538" s="257"/>
      <c r="AQ538" s="258"/>
      <c r="AR538" s="260"/>
      <c r="AS538" s="257"/>
      <c r="AT538" s="257"/>
      <c r="AU538" s="257"/>
      <c r="AV538" s="257"/>
      <c r="AW538" s="257"/>
      <c r="AX538" s="258"/>
      <c r="AY538" s="260"/>
      <c r="AZ538" s="257"/>
      <c r="BA538" s="257"/>
      <c r="BB538" s="257"/>
      <c r="BC538" s="257"/>
      <c r="BD538" s="258"/>
      <c r="BE538" s="260"/>
      <c r="BF538" s="258"/>
      <c r="BG538" s="260"/>
      <c r="BH538" s="257"/>
      <c r="BI538" s="14"/>
    </row>
    <row r="539" spans="1:61" ht="13.15" x14ac:dyDescent="0.4">
      <c r="A539" s="248"/>
      <c r="B539" s="256"/>
      <c r="C539" s="248"/>
      <c r="D539" s="248"/>
      <c r="E539" s="248"/>
      <c r="F539" s="250"/>
      <c r="G539" s="248"/>
      <c r="H539" s="32"/>
      <c r="I539" s="248"/>
      <c r="J539" s="248"/>
      <c r="K539" s="251"/>
      <c r="L539" s="238"/>
      <c r="M539" s="248"/>
      <c r="N539" s="248"/>
      <c r="O539" s="248"/>
      <c r="P539" s="250"/>
      <c r="Q539" s="252"/>
      <c r="R539" s="248"/>
      <c r="S539" s="248"/>
      <c r="T539" s="248"/>
      <c r="U539" s="248"/>
      <c r="V539" s="248"/>
      <c r="W539" s="248"/>
      <c r="X539" s="248"/>
      <c r="Y539" s="248"/>
      <c r="Z539" s="253"/>
      <c r="AA539" s="253"/>
      <c r="AB539" s="253"/>
      <c r="AC539" s="253"/>
      <c r="AD539" s="253"/>
      <c r="AE539" s="253"/>
      <c r="AF539" s="254"/>
      <c r="AG539" s="257"/>
      <c r="AH539" s="257"/>
      <c r="AI539" s="257"/>
      <c r="AJ539" s="258"/>
      <c r="AK539" s="259"/>
      <c r="AL539" s="257"/>
      <c r="AM539" s="257"/>
      <c r="AN539" s="257"/>
      <c r="AO539" s="257"/>
      <c r="AP539" s="257"/>
      <c r="AQ539" s="258"/>
      <c r="AR539" s="260"/>
      <c r="AS539" s="257"/>
      <c r="AT539" s="257"/>
      <c r="AU539" s="257"/>
      <c r="AV539" s="257"/>
      <c r="AW539" s="257"/>
      <c r="AX539" s="258"/>
      <c r="AY539" s="260"/>
      <c r="AZ539" s="257"/>
      <c r="BA539" s="257"/>
      <c r="BB539" s="257"/>
      <c r="BC539" s="257"/>
      <c r="BD539" s="258"/>
      <c r="BE539" s="260"/>
      <c r="BF539" s="258"/>
      <c r="BG539" s="260"/>
      <c r="BH539" s="257"/>
      <c r="BI539" s="14"/>
    </row>
    <row r="540" spans="1:61" ht="13.15" x14ac:dyDescent="0.4">
      <c r="A540" s="248"/>
      <c r="B540" s="256"/>
      <c r="C540" s="248"/>
      <c r="D540" s="248"/>
      <c r="E540" s="248"/>
      <c r="F540" s="250"/>
      <c r="G540" s="248"/>
      <c r="H540" s="32"/>
      <c r="I540" s="248"/>
      <c r="J540" s="248"/>
      <c r="K540" s="251"/>
      <c r="L540" s="238"/>
      <c r="M540" s="248"/>
      <c r="N540" s="248"/>
      <c r="O540" s="248"/>
      <c r="P540" s="250"/>
      <c r="Q540" s="252"/>
      <c r="R540" s="248"/>
      <c r="S540" s="248"/>
      <c r="T540" s="248"/>
      <c r="U540" s="248"/>
      <c r="V540" s="248"/>
      <c r="W540" s="248"/>
      <c r="X540" s="248"/>
      <c r="Y540" s="248"/>
      <c r="Z540" s="253"/>
      <c r="AA540" s="253"/>
      <c r="AB540" s="253"/>
      <c r="AC540" s="253"/>
      <c r="AD540" s="253"/>
      <c r="AE540" s="253"/>
      <c r="AF540" s="254"/>
      <c r="AG540" s="257"/>
      <c r="AH540" s="257"/>
      <c r="AI540" s="257"/>
      <c r="AJ540" s="258"/>
      <c r="AK540" s="259"/>
      <c r="AL540" s="257"/>
      <c r="AM540" s="257"/>
      <c r="AN540" s="257"/>
      <c r="AO540" s="257"/>
      <c r="AP540" s="257"/>
      <c r="AQ540" s="258"/>
      <c r="AR540" s="260"/>
      <c r="AS540" s="257"/>
      <c r="AT540" s="257"/>
      <c r="AU540" s="257"/>
      <c r="AV540" s="257"/>
      <c r="AW540" s="257"/>
      <c r="AX540" s="258"/>
      <c r="AY540" s="260"/>
      <c r="AZ540" s="257"/>
      <c r="BA540" s="257"/>
      <c r="BB540" s="257"/>
      <c r="BC540" s="257"/>
      <c r="BD540" s="258"/>
      <c r="BE540" s="260"/>
      <c r="BF540" s="258"/>
      <c r="BG540" s="260"/>
      <c r="BH540" s="257"/>
      <c r="BI540" s="14"/>
    </row>
    <row r="541" spans="1:61" ht="13.15" x14ac:dyDescent="0.4">
      <c r="A541" s="248"/>
      <c r="B541" s="256"/>
      <c r="C541" s="248"/>
      <c r="D541" s="248"/>
      <c r="E541" s="248"/>
      <c r="F541" s="250"/>
      <c r="G541" s="248"/>
      <c r="H541" s="32"/>
      <c r="I541" s="248"/>
      <c r="J541" s="248"/>
      <c r="K541" s="251"/>
      <c r="L541" s="238"/>
      <c r="M541" s="248"/>
      <c r="N541" s="248"/>
      <c r="O541" s="248"/>
      <c r="P541" s="250"/>
      <c r="Q541" s="252"/>
      <c r="R541" s="248"/>
      <c r="S541" s="248"/>
      <c r="T541" s="248"/>
      <c r="U541" s="248"/>
      <c r="V541" s="248"/>
      <c r="W541" s="248"/>
      <c r="X541" s="248"/>
      <c r="Y541" s="248"/>
      <c r="Z541" s="253"/>
      <c r="AA541" s="253"/>
      <c r="AB541" s="253"/>
      <c r="AC541" s="253"/>
      <c r="AD541" s="253"/>
      <c r="AE541" s="253"/>
      <c r="AF541" s="254"/>
      <c r="AG541" s="257"/>
      <c r="AH541" s="257"/>
      <c r="AI541" s="257"/>
      <c r="AJ541" s="258"/>
      <c r="AK541" s="259"/>
      <c r="AL541" s="257"/>
      <c r="AM541" s="257"/>
      <c r="AN541" s="257"/>
      <c r="AO541" s="257"/>
      <c r="AP541" s="257"/>
      <c r="AQ541" s="258"/>
      <c r="AR541" s="260"/>
      <c r="AS541" s="257"/>
      <c r="AT541" s="257"/>
      <c r="AU541" s="257"/>
      <c r="AV541" s="257"/>
      <c r="AW541" s="257"/>
      <c r="AX541" s="258"/>
      <c r="AY541" s="260"/>
      <c r="AZ541" s="257"/>
      <c r="BA541" s="257"/>
      <c r="BB541" s="257"/>
      <c r="BC541" s="257"/>
      <c r="BD541" s="258"/>
      <c r="BE541" s="260"/>
      <c r="BF541" s="258"/>
      <c r="BG541" s="260"/>
      <c r="BH541" s="257"/>
      <c r="BI541" s="14"/>
    </row>
    <row r="542" spans="1:61" ht="13.15" x14ac:dyDescent="0.4">
      <c r="A542" s="248"/>
      <c r="B542" s="256"/>
      <c r="C542" s="248"/>
      <c r="D542" s="248"/>
      <c r="E542" s="248"/>
      <c r="F542" s="250"/>
      <c r="G542" s="248"/>
      <c r="H542" s="32"/>
      <c r="I542" s="248"/>
      <c r="J542" s="248"/>
      <c r="K542" s="251"/>
      <c r="L542" s="238"/>
      <c r="M542" s="248"/>
      <c r="N542" s="248"/>
      <c r="O542" s="248"/>
      <c r="P542" s="250"/>
      <c r="Q542" s="252"/>
      <c r="R542" s="248"/>
      <c r="S542" s="248"/>
      <c r="T542" s="248"/>
      <c r="U542" s="248"/>
      <c r="V542" s="248"/>
      <c r="W542" s="248"/>
      <c r="X542" s="248"/>
      <c r="Y542" s="248"/>
      <c r="Z542" s="253"/>
      <c r="AA542" s="253"/>
      <c r="AB542" s="253"/>
      <c r="AC542" s="253"/>
      <c r="AD542" s="253"/>
      <c r="AE542" s="253"/>
      <c r="AF542" s="254"/>
      <c r="AG542" s="257"/>
      <c r="AH542" s="257"/>
      <c r="AI542" s="257"/>
      <c r="AJ542" s="258"/>
      <c r="AK542" s="259"/>
      <c r="AL542" s="257"/>
      <c r="AM542" s="257"/>
      <c r="AN542" s="257"/>
      <c r="AO542" s="257"/>
      <c r="AP542" s="257"/>
      <c r="AQ542" s="258"/>
      <c r="AR542" s="260"/>
      <c r="AS542" s="257"/>
      <c r="AT542" s="257"/>
      <c r="AU542" s="257"/>
      <c r="AV542" s="257"/>
      <c r="AW542" s="257"/>
      <c r="AX542" s="258"/>
      <c r="AY542" s="260"/>
      <c r="AZ542" s="257"/>
      <c r="BA542" s="257"/>
      <c r="BB542" s="257"/>
      <c r="BC542" s="257"/>
      <c r="BD542" s="258"/>
      <c r="BE542" s="260"/>
      <c r="BF542" s="258"/>
      <c r="BG542" s="260"/>
      <c r="BH542" s="257"/>
      <c r="BI542" s="14"/>
    </row>
    <row r="543" spans="1:61" ht="13.15" x14ac:dyDescent="0.4">
      <c r="A543" s="248"/>
      <c r="B543" s="256"/>
      <c r="C543" s="248"/>
      <c r="D543" s="248"/>
      <c r="E543" s="248"/>
      <c r="F543" s="250"/>
      <c r="G543" s="248"/>
      <c r="H543" s="32"/>
      <c r="I543" s="248"/>
      <c r="J543" s="248"/>
      <c r="K543" s="251"/>
      <c r="L543" s="238"/>
      <c r="M543" s="248"/>
      <c r="N543" s="248"/>
      <c r="O543" s="248"/>
      <c r="P543" s="250"/>
      <c r="Q543" s="252"/>
      <c r="R543" s="248"/>
      <c r="S543" s="248"/>
      <c r="T543" s="248"/>
      <c r="U543" s="248"/>
      <c r="V543" s="248"/>
      <c r="W543" s="248"/>
      <c r="X543" s="248"/>
      <c r="Y543" s="248"/>
      <c r="Z543" s="253"/>
      <c r="AA543" s="253"/>
      <c r="AB543" s="253"/>
      <c r="AC543" s="253"/>
      <c r="AD543" s="253"/>
      <c r="AE543" s="253"/>
      <c r="AF543" s="254"/>
      <c r="AG543" s="257"/>
      <c r="AH543" s="257"/>
      <c r="AI543" s="257"/>
      <c r="AJ543" s="258"/>
      <c r="AK543" s="259"/>
      <c r="AL543" s="257"/>
      <c r="AM543" s="257"/>
      <c r="AN543" s="257"/>
      <c r="AO543" s="257"/>
      <c r="AP543" s="257"/>
      <c r="AQ543" s="258"/>
      <c r="AR543" s="260"/>
      <c r="AS543" s="257"/>
      <c r="AT543" s="257"/>
      <c r="AU543" s="257"/>
      <c r="AV543" s="257"/>
      <c r="AW543" s="257"/>
      <c r="AX543" s="258"/>
      <c r="AY543" s="260"/>
      <c r="AZ543" s="257"/>
      <c r="BA543" s="257"/>
      <c r="BB543" s="257"/>
      <c r="BC543" s="257"/>
      <c r="BD543" s="258"/>
      <c r="BE543" s="260"/>
      <c r="BF543" s="258"/>
      <c r="BG543" s="260"/>
      <c r="BH543" s="257"/>
      <c r="BI543" s="14"/>
    </row>
    <row r="544" spans="1:61" ht="13.15" x14ac:dyDescent="0.4">
      <c r="A544" s="248"/>
      <c r="B544" s="256"/>
      <c r="C544" s="248"/>
      <c r="D544" s="248"/>
      <c r="E544" s="248"/>
      <c r="F544" s="250"/>
      <c r="G544" s="248"/>
      <c r="H544" s="32"/>
      <c r="I544" s="248"/>
      <c r="J544" s="248"/>
      <c r="K544" s="251"/>
      <c r="L544" s="238"/>
      <c r="M544" s="248"/>
      <c r="N544" s="248"/>
      <c r="O544" s="248"/>
      <c r="P544" s="250"/>
      <c r="Q544" s="252"/>
      <c r="R544" s="248"/>
      <c r="S544" s="248"/>
      <c r="T544" s="248"/>
      <c r="U544" s="248"/>
      <c r="V544" s="248"/>
      <c r="W544" s="248"/>
      <c r="X544" s="248"/>
      <c r="Y544" s="248"/>
      <c r="Z544" s="253"/>
      <c r="AA544" s="253"/>
      <c r="AB544" s="253"/>
      <c r="AC544" s="253"/>
      <c r="AD544" s="253"/>
      <c r="AE544" s="253"/>
      <c r="AF544" s="254"/>
      <c r="AG544" s="257"/>
      <c r="AH544" s="257"/>
      <c r="AI544" s="257"/>
      <c r="AJ544" s="258"/>
      <c r="AK544" s="259"/>
      <c r="AL544" s="257"/>
      <c r="AM544" s="257"/>
      <c r="AN544" s="257"/>
      <c r="AO544" s="257"/>
      <c r="AP544" s="257"/>
      <c r="AQ544" s="258"/>
      <c r="AR544" s="260"/>
      <c r="AS544" s="257"/>
      <c r="AT544" s="257"/>
      <c r="AU544" s="257"/>
      <c r="AV544" s="257"/>
      <c r="AW544" s="257"/>
      <c r="AX544" s="258"/>
      <c r="AY544" s="260"/>
      <c r="AZ544" s="257"/>
      <c r="BA544" s="257"/>
      <c r="BB544" s="257"/>
      <c r="BC544" s="257"/>
      <c r="BD544" s="258"/>
      <c r="BE544" s="260"/>
      <c r="BF544" s="258"/>
      <c r="BG544" s="260"/>
      <c r="BH544" s="257"/>
      <c r="BI544" s="14"/>
    </row>
    <row r="545" spans="1:61" ht="13.15" x14ac:dyDescent="0.4">
      <c r="A545" s="248"/>
      <c r="B545" s="256"/>
      <c r="C545" s="248"/>
      <c r="D545" s="248"/>
      <c r="E545" s="248"/>
      <c r="F545" s="250"/>
      <c r="G545" s="248"/>
      <c r="H545" s="32"/>
      <c r="I545" s="248"/>
      <c r="J545" s="248"/>
      <c r="K545" s="251"/>
      <c r="L545" s="238"/>
      <c r="M545" s="248"/>
      <c r="N545" s="248"/>
      <c r="O545" s="248"/>
      <c r="P545" s="250"/>
      <c r="Q545" s="252"/>
      <c r="R545" s="248"/>
      <c r="S545" s="248"/>
      <c r="T545" s="248"/>
      <c r="U545" s="248"/>
      <c r="V545" s="248"/>
      <c r="W545" s="248"/>
      <c r="X545" s="248"/>
      <c r="Y545" s="248"/>
      <c r="Z545" s="253"/>
      <c r="AA545" s="253"/>
      <c r="AB545" s="253"/>
      <c r="AC545" s="253"/>
      <c r="AD545" s="253"/>
      <c r="AE545" s="253"/>
      <c r="AF545" s="254"/>
      <c r="AG545" s="257"/>
      <c r="AH545" s="257"/>
      <c r="AI545" s="257"/>
      <c r="AJ545" s="258"/>
      <c r="AK545" s="259"/>
      <c r="AL545" s="257"/>
      <c r="AM545" s="257"/>
      <c r="AN545" s="257"/>
      <c r="AO545" s="257"/>
      <c r="AP545" s="257"/>
      <c r="AQ545" s="258"/>
      <c r="AR545" s="260"/>
      <c r="AS545" s="257"/>
      <c r="AT545" s="257"/>
      <c r="AU545" s="257"/>
      <c r="AV545" s="257"/>
      <c r="AW545" s="257"/>
      <c r="AX545" s="258"/>
      <c r="AY545" s="260"/>
      <c r="AZ545" s="257"/>
      <c r="BA545" s="257"/>
      <c r="BB545" s="257"/>
      <c r="BC545" s="257"/>
      <c r="BD545" s="258"/>
      <c r="BE545" s="260"/>
      <c r="BF545" s="258"/>
      <c r="BG545" s="260"/>
      <c r="BH545" s="257"/>
      <c r="BI545" s="14"/>
    </row>
    <row r="546" spans="1:61" ht="13.15" x14ac:dyDescent="0.4">
      <c r="A546" s="248"/>
      <c r="B546" s="256"/>
      <c r="C546" s="248"/>
      <c r="D546" s="248"/>
      <c r="E546" s="248"/>
      <c r="F546" s="250"/>
      <c r="G546" s="248"/>
      <c r="H546" s="32"/>
      <c r="I546" s="248"/>
      <c r="J546" s="248"/>
      <c r="K546" s="251"/>
      <c r="L546" s="238"/>
      <c r="M546" s="248"/>
      <c r="N546" s="248"/>
      <c r="O546" s="248"/>
      <c r="P546" s="250"/>
      <c r="Q546" s="252"/>
      <c r="R546" s="248"/>
      <c r="S546" s="248"/>
      <c r="T546" s="248"/>
      <c r="U546" s="248"/>
      <c r="V546" s="248"/>
      <c r="W546" s="248"/>
      <c r="X546" s="248"/>
      <c r="Y546" s="248"/>
      <c r="Z546" s="253"/>
      <c r="AA546" s="253"/>
      <c r="AB546" s="253"/>
      <c r="AC546" s="253"/>
      <c r="AD546" s="253"/>
      <c r="AE546" s="253"/>
      <c r="AF546" s="254"/>
      <c r="AG546" s="257"/>
      <c r="AH546" s="257"/>
      <c r="AI546" s="257"/>
      <c r="AJ546" s="258"/>
      <c r="AK546" s="259"/>
      <c r="AL546" s="257"/>
      <c r="AM546" s="257"/>
      <c r="AN546" s="257"/>
      <c r="AO546" s="257"/>
      <c r="AP546" s="257"/>
      <c r="AQ546" s="258"/>
      <c r="AR546" s="260"/>
      <c r="AS546" s="257"/>
      <c r="AT546" s="257"/>
      <c r="AU546" s="257"/>
      <c r="AV546" s="257"/>
      <c r="AW546" s="257"/>
      <c r="AX546" s="258"/>
      <c r="AY546" s="260"/>
      <c r="AZ546" s="257"/>
      <c r="BA546" s="257"/>
      <c r="BB546" s="257"/>
      <c r="BC546" s="257"/>
      <c r="BD546" s="258"/>
      <c r="BE546" s="260"/>
      <c r="BF546" s="258"/>
      <c r="BG546" s="260"/>
      <c r="BH546" s="257"/>
      <c r="BI546" s="14"/>
    </row>
    <row r="547" spans="1:61" ht="13.15" x14ac:dyDescent="0.4">
      <c r="A547" s="248"/>
      <c r="B547" s="256"/>
      <c r="C547" s="248"/>
      <c r="D547" s="248"/>
      <c r="E547" s="248"/>
      <c r="F547" s="250"/>
      <c r="G547" s="248"/>
      <c r="H547" s="32"/>
      <c r="I547" s="248"/>
      <c r="J547" s="248"/>
      <c r="K547" s="251"/>
      <c r="L547" s="238"/>
      <c r="M547" s="248"/>
      <c r="N547" s="248"/>
      <c r="O547" s="248"/>
      <c r="P547" s="250"/>
      <c r="Q547" s="252"/>
      <c r="R547" s="248"/>
      <c r="S547" s="248"/>
      <c r="T547" s="248"/>
      <c r="U547" s="248"/>
      <c r="V547" s="248"/>
      <c r="W547" s="248"/>
      <c r="X547" s="248"/>
      <c r="Y547" s="248"/>
      <c r="Z547" s="253"/>
      <c r="AA547" s="253"/>
      <c r="AB547" s="253"/>
      <c r="AC547" s="253"/>
      <c r="AD547" s="253"/>
      <c r="AE547" s="253"/>
      <c r="AF547" s="254"/>
      <c r="AG547" s="257"/>
      <c r="AH547" s="257"/>
      <c r="AI547" s="257"/>
      <c r="AJ547" s="258"/>
      <c r="AK547" s="259"/>
      <c r="AL547" s="257"/>
      <c r="AM547" s="257"/>
      <c r="AN547" s="257"/>
      <c r="AO547" s="257"/>
      <c r="AP547" s="257"/>
      <c r="AQ547" s="258"/>
      <c r="AR547" s="260"/>
      <c r="AS547" s="257"/>
      <c r="AT547" s="257"/>
      <c r="AU547" s="257"/>
      <c r="AV547" s="257"/>
      <c r="AW547" s="257"/>
      <c r="AX547" s="258"/>
      <c r="AY547" s="260"/>
      <c r="AZ547" s="257"/>
      <c r="BA547" s="257"/>
      <c r="BB547" s="257"/>
      <c r="BC547" s="257"/>
      <c r="BD547" s="258"/>
      <c r="BE547" s="260"/>
      <c r="BF547" s="258"/>
      <c r="BG547" s="260"/>
      <c r="BH547" s="257"/>
      <c r="BI547" s="14"/>
    </row>
    <row r="548" spans="1:61" ht="13.15" x14ac:dyDescent="0.4">
      <c r="A548" s="248"/>
      <c r="B548" s="256"/>
      <c r="C548" s="248"/>
      <c r="D548" s="248"/>
      <c r="E548" s="248"/>
      <c r="F548" s="250"/>
      <c r="G548" s="248"/>
      <c r="H548" s="32"/>
      <c r="I548" s="248"/>
      <c r="J548" s="248"/>
      <c r="K548" s="251"/>
      <c r="L548" s="238"/>
      <c r="M548" s="248"/>
      <c r="N548" s="248"/>
      <c r="O548" s="248"/>
      <c r="P548" s="250"/>
      <c r="Q548" s="252"/>
      <c r="R548" s="248"/>
      <c r="S548" s="248"/>
      <c r="T548" s="248"/>
      <c r="U548" s="248"/>
      <c r="V548" s="248"/>
      <c r="W548" s="248"/>
      <c r="X548" s="248"/>
      <c r="Y548" s="248"/>
      <c r="Z548" s="253"/>
      <c r="AA548" s="253"/>
      <c r="AB548" s="253"/>
      <c r="AC548" s="253"/>
      <c r="AD548" s="253"/>
      <c r="AE548" s="253"/>
      <c r="AF548" s="254"/>
      <c r="AG548" s="257"/>
      <c r="AH548" s="257"/>
      <c r="AI548" s="257"/>
      <c r="AJ548" s="258"/>
      <c r="AK548" s="259"/>
      <c r="AL548" s="257"/>
      <c r="AM548" s="257"/>
      <c r="AN548" s="257"/>
      <c r="AO548" s="257"/>
      <c r="AP548" s="257"/>
      <c r="AQ548" s="258"/>
      <c r="AR548" s="260"/>
      <c r="AS548" s="257"/>
      <c r="AT548" s="257"/>
      <c r="AU548" s="257"/>
      <c r="AV548" s="257"/>
      <c r="AW548" s="257"/>
      <c r="AX548" s="258"/>
      <c r="AY548" s="260"/>
      <c r="AZ548" s="257"/>
      <c r="BA548" s="257"/>
      <c r="BB548" s="257"/>
      <c r="BC548" s="257"/>
      <c r="BD548" s="258"/>
      <c r="BE548" s="260"/>
      <c r="BF548" s="258"/>
      <c r="BG548" s="260"/>
      <c r="BH548" s="257"/>
      <c r="BI548" s="14"/>
    </row>
    <row r="549" spans="1:61" ht="13.15" x14ac:dyDescent="0.4">
      <c r="A549" s="248"/>
      <c r="B549" s="256"/>
      <c r="C549" s="248"/>
      <c r="D549" s="248"/>
      <c r="E549" s="248"/>
      <c r="F549" s="250"/>
      <c r="G549" s="248"/>
      <c r="H549" s="32"/>
      <c r="I549" s="248"/>
      <c r="J549" s="248"/>
      <c r="K549" s="251"/>
      <c r="L549" s="238"/>
      <c r="M549" s="248"/>
      <c r="N549" s="248"/>
      <c r="O549" s="248"/>
      <c r="P549" s="250"/>
      <c r="Q549" s="252"/>
      <c r="R549" s="248"/>
      <c r="S549" s="248"/>
      <c r="T549" s="248"/>
      <c r="U549" s="248"/>
      <c r="V549" s="248"/>
      <c r="W549" s="248"/>
      <c r="X549" s="248"/>
      <c r="Y549" s="248"/>
      <c r="Z549" s="253"/>
      <c r="AA549" s="253"/>
      <c r="AB549" s="253"/>
      <c r="AC549" s="253"/>
      <c r="AD549" s="253"/>
      <c r="AE549" s="253"/>
      <c r="AF549" s="254"/>
      <c r="AG549" s="257"/>
      <c r="AH549" s="257"/>
      <c r="AI549" s="257"/>
      <c r="AJ549" s="258"/>
      <c r="AK549" s="259"/>
      <c r="AL549" s="257"/>
      <c r="AM549" s="257"/>
      <c r="AN549" s="257"/>
      <c r="AO549" s="257"/>
      <c r="AP549" s="257"/>
      <c r="AQ549" s="258"/>
      <c r="AR549" s="260"/>
      <c r="AS549" s="257"/>
      <c r="AT549" s="257"/>
      <c r="AU549" s="257"/>
      <c r="AV549" s="257"/>
      <c r="AW549" s="257"/>
      <c r="AX549" s="258"/>
      <c r="AY549" s="260"/>
      <c r="AZ549" s="257"/>
      <c r="BA549" s="257"/>
      <c r="BB549" s="257"/>
      <c r="BC549" s="257"/>
      <c r="BD549" s="258"/>
      <c r="BE549" s="260"/>
      <c r="BF549" s="258"/>
      <c r="BG549" s="260"/>
      <c r="BH549" s="257"/>
      <c r="BI549" s="14"/>
    </row>
    <row r="550" spans="1:61" ht="13.15" x14ac:dyDescent="0.4">
      <c r="A550" s="248"/>
      <c r="B550" s="256"/>
      <c r="C550" s="248"/>
      <c r="D550" s="248"/>
      <c r="E550" s="248"/>
      <c r="F550" s="250"/>
      <c r="G550" s="248"/>
      <c r="H550" s="32"/>
      <c r="I550" s="248"/>
      <c r="J550" s="248"/>
      <c r="K550" s="251"/>
      <c r="L550" s="238"/>
      <c r="M550" s="248"/>
      <c r="N550" s="248"/>
      <c r="O550" s="248"/>
      <c r="P550" s="250"/>
      <c r="Q550" s="252"/>
      <c r="R550" s="248"/>
      <c r="S550" s="248"/>
      <c r="T550" s="248"/>
      <c r="U550" s="248"/>
      <c r="V550" s="248"/>
      <c r="W550" s="248"/>
      <c r="X550" s="248"/>
      <c r="Y550" s="248"/>
      <c r="Z550" s="253"/>
      <c r="AA550" s="253"/>
      <c r="AB550" s="253"/>
      <c r="AC550" s="253"/>
      <c r="AD550" s="253"/>
      <c r="AE550" s="253"/>
      <c r="AF550" s="254"/>
      <c r="AG550" s="257"/>
      <c r="AH550" s="257"/>
      <c r="AI550" s="257"/>
      <c r="AJ550" s="258"/>
      <c r="AK550" s="259"/>
      <c r="AL550" s="257"/>
      <c r="AM550" s="257"/>
      <c r="AN550" s="257"/>
      <c r="AO550" s="257"/>
      <c r="AP550" s="257"/>
      <c r="AQ550" s="258"/>
      <c r="AR550" s="260"/>
      <c r="AS550" s="257"/>
      <c r="AT550" s="257"/>
      <c r="AU550" s="257"/>
      <c r="AV550" s="257"/>
      <c r="AW550" s="257"/>
      <c r="AX550" s="258"/>
      <c r="AY550" s="260"/>
      <c r="AZ550" s="257"/>
      <c r="BA550" s="257"/>
      <c r="BB550" s="257"/>
      <c r="BC550" s="257"/>
      <c r="BD550" s="258"/>
      <c r="BE550" s="260"/>
      <c r="BF550" s="258"/>
      <c r="BG550" s="260"/>
      <c r="BH550" s="257"/>
      <c r="BI550" s="14"/>
    </row>
    <row r="551" spans="1:61" ht="13.15" x14ac:dyDescent="0.4">
      <c r="A551" s="248"/>
      <c r="B551" s="256"/>
      <c r="C551" s="248"/>
      <c r="D551" s="248"/>
      <c r="E551" s="248"/>
      <c r="F551" s="250"/>
      <c r="G551" s="248"/>
      <c r="H551" s="32"/>
      <c r="I551" s="248"/>
      <c r="J551" s="248"/>
      <c r="K551" s="251"/>
      <c r="L551" s="238"/>
      <c r="M551" s="248"/>
      <c r="N551" s="248"/>
      <c r="O551" s="248"/>
      <c r="P551" s="250"/>
      <c r="Q551" s="252"/>
      <c r="R551" s="248"/>
      <c r="S551" s="248"/>
      <c r="T551" s="248"/>
      <c r="U551" s="248"/>
      <c r="V551" s="248"/>
      <c r="W551" s="248"/>
      <c r="X551" s="248"/>
      <c r="Y551" s="248"/>
      <c r="Z551" s="253"/>
      <c r="AA551" s="253"/>
      <c r="AB551" s="253"/>
      <c r="AC551" s="253"/>
      <c r="AD551" s="253"/>
      <c r="AE551" s="253"/>
      <c r="AF551" s="254"/>
      <c r="AG551" s="257"/>
      <c r="AH551" s="257"/>
      <c r="AI551" s="257"/>
      <c r="AJ551" s="258"/>
      <c r="AK551" s="259"/>
      <c r="AL551" s="257"/>
      <c r="AM551" s="257"/>
      <c r="AN551" s="257"/>
      <c r="AO551" s="257"/>
      <c r="AP551" s="257"/>
      <c r="AQ551" s="258"/>
      <c r="AR551" s="260"/>
      <c r="AS551" s="257"/>
      <c r="AT551" s="257"/>
      <c r="AU551" s="257"/>
      <c r="AV551" s="257"/>
      <c r="AW551" s="257"/>
      <c r="AX551" s="258"/>
      <c r="AY551" s="260"/>
      <c r="AZ551" s="257"/>
      <c r="BA551" s="257"/>
      <c r="BB551" s="257"/>
      <c r="BC551" s="257"/>
      <c r="BD551" s="258"/>
      <c r="BE551" s="260"/>
      <c r="BF551" s="258"/>
      <c r="BG551" s="260"/>
      <c r="BH551" s="257"/>
      <c r="BI551" s="14"/>
    </row>
    <row r="552" spans="1:61" ht="13.15" x14ac:dyDescent="0.4">
      <c r="A552" s="248"/>
      <c r="B552" s="256"/>
      <c r="C552" s="248"/>
      <c r="D552" s="248"/>
      <c r="E552" s="248"/>
      <c r="F552" s="250"/>
      <c r="G552" s="248"/>
      <c r="H552" s="32"/>
      <c r="I552" s="248"/>
      <c r="J552" s="248"/>
      <c r="K552" s="251"/>
      <c r="L552" s="238"/>
      <c r="M552" s="248"/>
      <c r="N552" s="248"/>
      <c r="O552" s="248"/>
      <c r="P552" s="250"/>
      <c r="Q552" s="252"/>
      <c r="R552" s="248"/>
      <c r="S552" s="248"/>
      <c r="T552" s="248"/>
      <c r="U552" s="248"/>
      <c r="V552" s="248"/>
      <c r="W552" s="248"/>
      <c r="X552" s="248"/>
      <c r="Y552" s="248"/>
      <c r="Z552" s="253"/>
      <c r="AA552" s="253"/>
      <c r="AB552" s="253"/>
      <c r="AC552" s="253"/>
      <c r="AD552" s="253"/>
      <c r="AE552" s="253"/>
      <c r="AF552" s="254"/>
      <c r="AG552" s="257"/>
      <c r="AH552" s="257"/>
      <c r="AI552" s="257"/>
      <c r="AJ552" s="258"/>
      <c r="AK552" s="259"/>
      <c r="AL552" s="257"/>
      <c r="AM552" s="257"/>
      <c r="AN552" s="257"/>
      <c r="AO552" s="257"/>
      <c r="AP552" s="257"/>
      <c r="AQ552" s="258"/>
      <c r="AR552" s="260"/>
      <c r="AS552" s="257"/>
      <c r="AT552" s="257"/>
      <c r="AU552" s="257"/>
      <c r="AV552" s="257"/>
      <c r="AW552" s="257"/>
      <c r="AX552" s="258"/>
      <c r="AY552" s="260"/>
      <c r="AZ552" s="257"/>
      <c r="BA552" s="257"/>
      <c r="BB552" s="257"/>
      <c r="BC552" s="257"/>
      <c r="BD552" s="258"/>
      <c r="BE552" s="260"/>
      <c r="BF552" s="258"/>
      <c r="BG552" s="260"/>
      <c r="BH552" s="257"/>
      <c r="BI552" s="14"/>
    </row>
    <row r="553" spans="1:61" ht="13.15" x14ac:dyDescent="0.4">
      <c r="A553" s="248"/>
      <c r="B553" s="256"/>
      <c r="C553" s="248"/>
      <c r="D553" s="248"/>
      <c r="E553" s="248"/>
      <c r="F553" s="250"/>
      <c r="G553" s="248"/>
      <c r="H553" s="32"/>
      <c r="I553" s="248"/>
      <c r="J553" s="248"/>
      <c r="K553" s="251"/>
      <c r="L553" s="238"/>
      <c r="M553" s="248"/>
      <c r="N553" s="248"/>
      <c r="O553" s="248"/>
      <c r="P553" s="250"/>
      <c r="Q553" s="252"/>
      <c r="R553" s="248"/>
      <c r="S553" s="248"/>
      <c r="T553" s="248"/>
      <c r="U553" s="248"/>
      <c r="V553" s="248"/>
      <c r="W553" s="248"/>
      <c r="X553" s="248"/>
      <c r="Y553" s="248"/>
      <c r="Z553" s="253"/>
      <c r="AA553" s="253"/>
      <c r="AB553" s="253"/>
      <c r="AC553" s="253"/>
      <c r="AD553" s="253"/>
      <c r="AE553" s="253"/>
      <c r="AF553" s="254"/>
      <c r="AG553" s="257"/>
      <c r="AH553" s="257"/>
      <c r="AI553" s="257"/>
      <c r="AJ553" s="258"/>
      <c r="AK553" s="259"/>
      <c r="AL553" s="257"/>
      <c r="AM553" s="257"/>
      <c r="AN553" s="257"/>
      <c r="AO553" s="257"/>
      <c r="AP553" s="257"/>
      <c r="AQ553" s="258"/>
      <c r="AR553" s="260"/>
      <c r="AS553" s="257"/>
      <c r="AT553" s="257"/>
      <c r="AU553" s="257"/>
      <c r="AV553" s="257"/>
      <c r="AW553" s="257"/>
      <c r="AX553" s="258"/>
      <c r="AY553" s="260"/>
      <c r="AZ553" s="257"/>
      <c r="BA553" s="257"/>
      <c r="BB553" s="257"/>
      <c r="BC553" s="257"/>
      <c r="BD553" s="258"/>
      <c r="BE553" s="260"/>
      <c r="BF553" s="258"/>
      <c r="BG553" s="260"/>
      <c r="BH553" s="257"/>
      <c r="BI553" s="14"/>
    </row>
    <row r="554" spans="1:61" ht="13.15" x14ac:dyDescent="0.4">
      <c r="A554" s="248"/>
      <c r="B554" s="256"/>
      <c r="C554" s="248"/>
      <c r="D554" s="248"/>
      <c r="E554" s="248"/>
      <c r="F554" s="250"/>
      <c r="G554" s="248"/>
      <c r="H554" s="32"/>
      <c r="I554" s="248"/>
      <c r="J554" s="248"/>
      <c r="K554" s="251"/>
      <c r="L554" s="238"/>
      <c r="M554" s="248"/>
      <c r="N554" s="248"/>
      <c r="O554" s="248"/>
      <c r="P554" s="250"/>
      <c r="Q554" s="252"/>
      <c r="R554" s="248"/>
      <c r="S554" s="248"/>
      <c r="T554" s="248"/>
      <c r="U554" s="248"/>
      <c r="V554" s="248"/>
      <c r="W554" s="248"/>
      <c r="X554" s="248"/>
      <c r="Y554" s="248"/>
      <c r="Z554" s="253"/>
      <c r="AA554" s="253"/>
      <c r="AB554" s="253"/>
      <c r="AC554" s="253"/>
      <c r="AD554" s="253"/>
      <c r="AE554" s="253"/>
      <c r="AF554" s="254"/>
      <c r="AG554" s="257"/>
      <c r="AH554" s="257"/>
      <c r="AI554" s="257"/>
      <c r="AJ554" s="258"/>
      <c r="AK554" s="259"/>
      <c r="AL554" s="257"/>
      <c r="AM554" s="257"/>
      <c r="AN554" s="257"/>
      <c r="AO554" s="257"/>
      <c r="AP554" s="257"/>
      <c r="AQ554" s="258"/>
      <c r="AR554" s="260"/>
      <c r="AS554" s="257"/>
      <c r="AT554" s="257"/>
      <c r="AU554" s="257"/>
      <c r="AV554" s="257"/>
      <c r="AW554" s="257"/>
      <c r="AX554" s="258"/>
      <c r="AY554" s="260"/>
      <c r="AZ554" s="257"/>
      <c r="BA554" s="257"/>
      <c r="BB554" s="257"/>
      <c r="BC554" s="257"/>
      <c r="BD554" s="258"/>
      <c r="BE554" s="260"/>
      <c r="BF554" s="258"/>
      <c r="BG554" s="260"/>
      <c r="BH554" s="257"/>
      <c r="BI554" s="14"/>
    </row>
    <row r="555" spans="1:61" ht="13.15" x14ac:dyDescent="0.4">
      <c r="A555" s="248"/>
      <c r="B555" s="256"/>
      <c r="C555" s="248"/>
      <c r="D555" s="248"/>
      <c r="E555" s="248"/>
      <c r="F555" s="250"/>
      <c r="G555" s="248"/>
      <c r="H555" s="32"/>
      <c r="I555" s="248"/>
      <c r="J555" s="248"/>
      <c r="K555" s="251"/>
      <c r="L555" s="238"/>
      <c r="M555" s="248"/>
      <c r="N555" s="248"/>
      <c r="O555" s="248"/>
      <c r="P555" s="250"/>
      <c r="Q555" s="252"/>
      <c r="R555" s="248"/>
      <c r="S555" s="248"/>
      <c r="T555" s="248"/>
      <c r="U555" s="248"/>
      <c r="V555" s="248"/>
      <c r="W555" s="248"/>
      <c r="X555" s="248"/>
      <c r="Y555" s="248"/>
      <c r="Z555" s="253"/>
      <c r="AA555" s="253"/>
      <c r="AB555" s="253"/>
      <c r="AC555" s="253"/>
      <c r="AD555" s="253"/>
      <c r="AE555" s="253"/>
      <c r="AF555" s="254"/>
      <c r="AG555" s="257"/>
      <c r="AH555" s="257"/>
      <c r="AI555" s="257"/>
      <c r="AJ555" s="258"/>
      <c r="AK555" s="259"/>
      <c r="AL555" s="257"/>
      <c r="AM555" s="257"/>
      <c r="AN555" s="257"/>
      <c r="AO555" s="257"/>
      <c r="AP555" s="257"/>
      <c r="AQ555" s="258"/>
      <c r="AR555" s="260"/>
      <c r="AS555" s="257"/>
      <c r="AT555" s="257"/>
      <c r="AU555" s="257"/>
      <c r="AV555" s="257"/>
      <c r="AW555" s="257"/>
      <c r="AX555" s="258"/>
      <c r="AY555" s="260"/>
      <c r="AZ555" s="257"/>
      <c r="BA555" s="257"/>
      <c r="BB555" s="257"/>
      <c r="BC555" s="257"/>
      <c r="BD555" s="258"/>
      <c r="BE555" s="260"/>
      <c r="BF555" s="258"/>
      <c r="BG555" s="260"/>
      <c r="BH555" s="257"/>
      <c r="BI555" s="14"/>
    </row>
    <row r="556" spans="1:61" ht="13.15" x14ac:dyDescent="0.4">
      <c r="A556" s="248"/>
      <c r="B556" s="256"/>
      <c r="C556" s="248"/>
      <c r="D556" s="248"/>
      <c r="E556" s="248"/>
      <c r="F556" s="250"/>
      <c r="G556" s="248"/>
      <c r="H556" s="32"/>
      <c r="I556" s="248"/>
      <c r="J556" s="248"/>
      <c r="K556" s="251"/>
      <c r="L556" s="238"/>
      <c r="M556" s="248"/>
      <c r="N556" s="248"/>
      <c r="O556" s="248"/>
      <c r="P556" s="250"/>
      <c r="Q556" s="252"/>
      <c r="R556" s="248"/>
      <c r="S556" s="248"/>
      <c r="T556" s="248"/>
      <c r="U556" s="248"/>
      <c r="V556" s="248"/>
      <c r="W556" s="248"/>
      <c r="X556" s="248"/>
      <c r="Y556" s="248"/>
      <c r="Z556" s="253"/>
      <c r="AA556" s="253"/>
      <c r="AB556" s="253"/>
      <c r="AC556" s="253"/>
      <c r="AD556" s="253"/>
      <c r="AE556" s="253"/>
      <c r="AF556" s="254"/>
      <c r="AG556" s="257"/>
      <c r="AH556" s="257"/>
      <c r="AI556" s="257"/>
      <c r="AJ556" s="258"/>
      <c r="AK556" s="259"/>
      <c r="AL556" s="257"/>
      <c r="AM556" s="257"/>
      <c r="AN556" s="257"/>
      <c r="AO556" s="257"/>
      <c r="AP556" s="257"/>
      <c r="AQ556" s="258"/>
      <c r="AR556" s="260"/>
      <c r="AS556" s="257"/>
      <c r="AT556" s="257"/>
      <c r="AU556" s="257"/>
      <c r="AV556" s="257"/>
      <c r="AW556" s="257"/>
      <c r="AX556" s="258"/>
      <c r="AY556" s="260"/>
      <c r="AZ556" s="257"/>
      <c r="BA556" s="257"/>
      <c r="BB556" s="257"/>
      <c r="BC556" s="257"/>
      <c r="BD556" s="258"/>
      <c r="BE556" s="260"/>
      <c r="BF556" s="258"/>
      <c r="BG556" s="260"/>
      <c r="BH556" s="257"/>
      <c r="BI556" s="14"/>
    </row>
    <row r="557" spans="1:61" ht="13.15" x14ac:dyDescent="0.4">
      <c r="A557" s="248"/>
      <c r="B557" s="256"/>
      <c r="C557" s="248"/>
      <c r="D557" s="248"/>
      <c r="E557" s="248"/>
      <c r="F557" s="250"/>
      <c r="G557" s="248"/>
      <c r="H557" s="32"/>
      <c r="I557" s="248"/>
      <c r="J557" s="248"/>
      <c r="K557" s="251"/>
      <c r="L557" s="238"/>
      <c r="M557" s="248"/>
      <c r="N557" s="248"/>
      <c r="O557" s="248"/>
      <c r="P557" s="250"/>
      <c r="Q557" s="252"/>
      <c r="R557" s="248"/>
      <c r="S557" s="248"/>
      <c r="T557" s="248"/>
      <c r="U557" s="248"/>
      <c r="V557" s="248"/>
      <c r="W557" s="248"/>
      <c r="X557" s="248"/>
      <c r="Y557" s="248"/>
      <c r="Z557" s="253"/>
      <c r="AA557" s="253"/>
      <c r="AB557" s="253"/>
      <c r="AC557" s="253"/>
      <c r="AD557" s="253"/>
      <c r="AE557" s="253"/>
      <c r="AF557" s="254"/>
      <c r="AG557" s="257"/>
      <c r="AH557" s="257"/>
      <c r="AI557" s="257"/>
      <c r="AJ557" s="258"/>
      <c r="AK557" s="259"/>
      <c r="AL557" s="257"/>
      <c r="AM557" s="257"/>
      <c r="AN557" s="257"/>
      <c r="AO557" s="257"/>
      <c r="AP557" s="257"/>
      <c r="AQ557" s="258"/>
      <c r="AR557" s="260"/>
      <c r="AS557" s="257"/>
      <c r="AT557" s="257"/>
      <c r="AU557" s="257"/>
      <c r="AV557" s="257"/>
      <c r="AW557" s="257"/>
      <c r="AX557" s="258"/>
      <c r="AY557" s="260"/>
      <c r="AZ557" s="257"/>
      <c r="BA557" s="257"/>
      <c r="BB557" s="257"/>
      <c r="BC557" s="257"/>
      <c r="BD557" s="258"/>
      <c r="BE557" s="260"/>
      <c r="BF557" s="258"/>
      <c r="BG557" s="260"/>
      <c r="BH557" s="257"/>
      <c r="BI557" s="14"/>
    </row>
    <row r="558" spans="1:61" ht="13.15" x14ac:dyDescent="0.4">
      <c r="A558" s="248"/>
      <c r="B558" s="256"/>
      <c r="C558" s="248"/>
      <c r="D558" s="248"/>
      <c r="E558" s="248"/>
      <c r="F558" s="250"/>
      <c r="G558" s="248"/>
      <c r="H558" s="32"/>
      <c r="I558" s="248"/>
      <c r="J558" s="248"/>
      <c r="K558" s="251"/>
      <c r="L558" s="238"/>
      <c r="M558" s="248"/>
      <c r="N558" s="248"/>
      <c r="O558" s="248"/>
      <c r="P558" s="250"/>
      <c r="Q558" s="252"/>
      <c r="R558" s="248"/>
      <c r="S558" s="248"/>
      <c r="T558" s="248"/>
      <c r="U558" s="248"/>
      <c r="V558" s="248"/>
      <c r="W558" s="248"/>
      <c r="X558" s="248"/>
      <c r="Y558" s="248"/>
      <c r="Z558" s="253"/>
      <c r="AA558" s="253"/>
      <c r="AB558" s="253"/>
      <c r="AC558" s="253"/>
      <c r="AD558" s="253"/>
      <c r="AE558" s="253"/>
      <c r="AF558" s="254"/>
      <c r="AG558" s="257"/>
      <c r="AH558" s="257"/>
      <c r="AI558" s="257"/>
      <c r="AJ558" s="258"/>
      <c r="AK558" s="259"/>
      <c r="AL558" s="257"/>
      <c r="AM558" s="257"/>
      <c r="AN558" s="257"/>
      <c r="AO558" s="257"/>
      <c r="AP558" s="257"/>
      <c r="AQ558" s="258"/>
      <c r="AR558" s="260"/>
      <c r="AS558" s="257"/>
      <c r="AT558" s="257"/>
      <c r="AU558" s="257"/>
      <c r="AV558" s="257"/>
      <c r="AW558" s="257"/>
      <c r="AX558" s="258"/>
      <c r="AY558" s="260"/>
      <c r="AZ558" s="257"/>
      <c r="BA558" s="257"/>
      <c r="BB558" s="257"/>
      <c r="BC558" s="257"/>
      <c r="BD558" s="258"/>
      <c r="BE558" s="260"/>
      <c r="BF558" s="258"/>
      <c r="BG558" s="260"/>
      <c r="BH558" s="257"/>
      <c r="BI558" s="14"/>
    </row>
    <row r="559" spans="1:61" ht="13.15" x14ac:dyDescent="0.4">
      <c r="A559" s="248"/>
      <c r="B559" s="256"/>
      <c r="C559" s="248"/>
      <c r="D559" s="248"/>
      <c r="E559" s="248"/>
      <c r="F559" s="250"/>
      <c r="G559" s="248"/>
      <c r="H559" s="32"/>
      <c r="I559" s="248"/>
      <c r="J559" s="248"/>
      <c r="K559" s="251"/>
      <c r="L559" s="238"/>
      <c r="M559" s="248"/>
      <c r="N559" s="248"/>
      <c r="O559" s="248"/>
      <c r="P559" s="250"/>
      <c r="Q559" s="252"/>
      <c r="R559" s="248"/>
      <c r="S559" s="248"/>
      <c r="T559" s="248"/>
      <c r="U559" s="248"/>
      <c r="V559" s="248"/>
      <c r="W559" s="248"/>
      <c r="X559" s="248"/>
      <c r="Y559" s="248"/>
      <c r="Z559" s="253"/>
      <c r="AA559" s="253"/>
      <c r="AB559" s="253"/>
      <c r="AC559" s="253"/>
      <c r="AD559" s="253"/>
      <c r="AE559" s="253"/>
      <c r="AF559" s="254"/>
      <c r="AG559" s="257"/>
      <c r="AH559" s="257"/>
      <c r="AI559" s="257"/>
      <c r="AJ559" s="258"/>
      <c r="AK559" s="259"/>
      <c r="AL559" s="257"/>
      <c r="AM559" s="257"/>
      <c r="AN559" s="257"/>
      <c r="AO559" s="257"/>
      <c r="AP559" s="257"/>
      <c r="AQ559" s="258"/>
      <c r="AR559" s="260"/>
      <c r="AS559" s="257"/>
      <c r="AT559" s="257"/>
      <c r="AU559" s="257"/>
      <c r="AV559" s="257"/>
      <c r="AW559" s="257"/>
      <c r="AX559" s="258"/>
      <c r="AY559" s="260"/>
      <c r="AZ559" s="257"/>
      <c r="BA559" s="257"/>
      <c r="BB559" s="257"/>
      <c r="BC559" s="257"/>
      <c r="BD559" s="258"/>
      <c r="BE559" s="260"/>
      <c r="BF559" s="258"/>
      <c r="BG559" s="260"/>
      <c r="BH559" s="257"/>
      <c r="BI559" s="14"/>
    </row>
    <row r="560" spans="1:61" ht="13.15" x14ac:dyDescent="0.4">
      <c r="A560" s="248"/>
      <c r="B560" s="256"/>
      <c r="C560" s="248"/>
      <c r="D560" s="248"/>
      <c r="E560" s="248"/>
      <c r="F560" s="250"/>
      <c r="G560" s="248"/>
      <c r="H560" s="32"/>
      <c r="I560" s="248"/>
      <c r="J560" s="248"/>
      <c r="K560" s="251"/>
      <c r="L560" s="238"/>
      <c r="M560" s="248"/>
      <c r="N560" s="248"/>
      <c r="O560" s="248"/>
      <c r="P560" s="250"/>
      <c r="Q560" s="252"/>
      <c r="R560" s="248"/>
      <c r="S560" s="248"/>
      <c r="T560" s="248"/>
      <c r="U560" s="248"/>
      <c r="V560" s="248"/>
      <c r="W560" s="248"/>
      <c r="X560" s="248"/>
      <c r="Y560" s="248"/>
      <c r="Z560" s="253"/>
      <c r="AA560" s="253"/>
      <c r="AB560" s="253"/>
      <c r="AC560" s="253"/>
      <c r="AD560" s="253"/>
      <c r="AE560" s="253"/>
      <c r="AF560" s="254"/>
      <c r="AG560" s="257"/>
      <c r="AH560" s="257"/>
      <c r="AI560" s="257"/>
      <c r="AJ560" s="258"/>
      <c r="AK560" s="259"/>
      <c r="AL560" s="257"/>
      <c r="AM560" s="257"/>
      <c r="AN560" s="257"/>
      <c r="AO560" s="257"/>
      <c r="AP560" s="257"/>
      <c r="AQ560" s="258"/>
      <c r="AR560" s="260"/>
      <c r="AS560" s="257"/>
      <c r="AT560" s="257"/>
      <c r="AU560" s="257"/>
      <c r="AV560" s="257"/>
      <c r="AW560" s="257"/>
      <c r="AX560" s="258"/>
      <c r="AY560" s="260"/>
      <c r="AZ560" s="257"/>
      <c r="BA560" s="257"/>
      <c r="BB560" s="257"/>
      <c r="BC560" s="257"/>
      <c r="BD560" s="258"/>
      <c r="BE560" s="260"/>
      <c r="BF560" s="258"/>
      <c r="BG560" s="260"/>
      <c r="BH560" s="257"/>
      <c r="BI560" s="14"/>
    </row>
    <row r="561" spans="1:61" ht="13.15" x14ac:dyDescent="0.4">
      <c r="A561" s="248"/>
      <c r="B561" s="256"/>
      <c r="C561" s="248"/>
      <c r="D561" s="248"/>
      <c r="E561" s="248"/>
      <c r="F561" s="250"/>
      <c r="G561" s="248"/>
      <c r="H561" s="32"/>
      <c r="I561" s="248"/>
      <c r="J561" s="248"/>
      <c r="K561" s="251"/>
      <c r="L561" s="238"/>
      <c r="M561" s="248"/>
      <c r="N561" s="248"/>
      <c r="O561" s="248"/>
      <c r="P561" s="250"/>
      <c r="Q561" s="252"/>
      <c r="R561" s="248"/>
      <c r="S561" s="248"/>
      <c r="T561" s="248"/>
      <c r="U561" s="248"/>
      <c r="V561" s="248"/>
      <c r="W561" s="248"/>
      <c r="X561" s="248"/>
      <c r="Y561" s="248"/>
      <c r="Z561" s="253"/>
      <c r="AA561" s="253"/>
      <c r="AB561" s="253"/>
      <c r="AC561" s="253"/>
      <c r="AD561" s="253"/>
      <c r="AE561" s="253"/>
      <c r="AF561" s="254"/>
      <c r="AG561" s="257"/>
      <c r="AH561" s="257"/>
      <c r="AI561" s="257"/>
      <c r="AJ561" s="258"/>
      <c r="AK561" s="259"/>
      <c r="AL561" s="257"/>
      <c r="AM561" s="257"/>
      <c r="AN561" s="257"/>
      <c r="AO561" s="257"/>
      <c r="AP561" s="257"/>
      <c r="AQ561" s="258"/>
      <c r="AR561" s="260"/>
      <c r="AS561" s="257"/>
      <c r="AT561" s="257"/>
      <c r="AU561" s="257"/>
      <c r="AV561" s="257"/>
      <c r="AW561" s="257"/>
      <c r="AX561" s="258"/>
      <c r="AY561" s="260"/>
      <c r="AZ561" s="257"/>
      <c r="BA561" s="257"/>
      <c r="BB561" s="257"/>
      <c r="BC561" s="257"/>
      <c r="BD561" s="258"/>
      <c r="BE561" s="260"/>
      <c r="BF561" s="258"/>
      <c r="BG561" s="260"/>
      <c r="BH561" s="257"/>
      <c r="BI561" s="14"/>
    </row>
    <row r="562" spans="1:61" ht="13.15" x14ac:dyDescent="0.4">
      <c r="A562" s="248"/>
      <c r="B562" s="256"/>
      <c r="C562" s="248"/>
      <c r="D562" s="248"/>
      <c r="E562" s="248"/>
      <c r="F562" s="250"/>
      <c r="G562" s="248"/>
      <c r="H562" s="32"/>
      <c r="I562" s="248"/>
      <c r="J562" s="248"/>
      <c r="K562" s="251"/>
      <c r="L562" s="238"/>
      <c r="M562" s="248"/>
      <c r="N562" s="248"/>
      <c r="O562" s="248"/>
      <c r="P562" s="250"/>
      <c r="Q562" s="252"/>
      <c r="R562" s="248"/>
      <c r="S562" s="248"/>
      <c r="T562" s="248"/>
      <c r="U562" s="248"/>
      <c r="V562" s="248"/>
      <c r="W562" s="248"/>
      <c r="X562" s="248"/>
      <c r="Y562" s="248"/>
      <c r="Z562" s="253"/>
      <c r="AA562" s="253"/>
      <c r="AB562" s="253"/>
      <c r="AC562" s="253"/>
      <c r="AD562" s="253"/>
      <c r="AE562" s="253"/>
      <c r="AF562" s="254"/>
      <c r="AG562" s="257"/>
      <c r="AH562" s="257"/>
      <c r="AI562" s="257"/>
      <c r="AJ562" s="258"/>
      <c r="AK562" s="259"/>
      <c r="AL562" s="257"/>
      <c r="AM562" s="257"/>
      <c r="AN562" s="257"/>
      <c r="AO562" s="257"/>
      <c r="AP562" s="257"/>
      <c r="AQ562" s="258"/>
      <c r="AR562" s="260"/>
      <c r="AS562" s="257"/>
      <c r="AT562" s="257"/>
      <c r="AU562" s="257"/>
      <c r="AV562" s="257"/>
      <c r="AW562" s="257"/>
      <c r="AX562" s="258"/>
      <c r="AY562" s="260"/>
      <c r="AZ562" s="257"/>
      <c r="BA562" s="257"/>
      <c r="BB562" s="257"/>
      <c r="BC562" s="257"/>
      <c r="BD562" s="258"/>
      <c r="BE562" s="260"/>
      <c r="BF562" s="258"/>
      <c r="BG562" s="260"/>
      <c r="BH562" s="257"/>
      <c r="BI562" s="14"/>
    </row>
    <row r="563" spans="1:61" ht="13.15" x14ac:dyDescent="0.4">
      <c r="A563" s="248"/>
      <c r="B563" s="256"/>
      <c r="C563" s="248"/>
      <c r="D563" s="248"/>
      <c r="E563" s="248"/>
      <c r="F563" s="250"/>
      <c r="G563" s="248"/>
      <c r="H563" s="32"/>
      <c r="I563" s="248"/>
      <c r="J563" s="248"/>
      <c r="K563" s="251"/>
      <c r="L563" s="238"/>
      <c r="M563" s="248"/>
      <c r="N563" s="248"/>
      <c r="O563" s="248"/>
      <c r="P563" s="250"/>
      <c r="Q563" s="252"/>
      <c r="R563" s="248"/>
      <c r="S563" s="248"/>
      <c r="T563" s="248"/>
      <c r="U563" s="248"/>
      <c r="V563" s="248"/>
      <c r="W563" s="248"/>
      <c r="X563" s="248"/>
      <c r="Y563" s="248"/>
      <c r="Z563" s="253"/>
      <c r="AA563" s="253"/>
      <c r="AB563" s="253"/>
      <c r="AC563" s="253"/>
      <c r="AD563" s="253"/>
      <c r="AE563" s="253"/>
      <c r="AF563" s="254"/>
      <c r="AG563" s="257"/>
      <c r="AH563" s="257"/>
      <c r="AI563" s="257"/>
      <c r="AJ563" s="258"/>
      <c r="AK563" s="259"/>
      <c r="AL563" s="257"/>
      <c r="AM563" s="257"/>
      <c r="AN563" s="257"/>
      <c r="AO563" s="257"/>
      <c r="AP563" s="257"/>
      <c r="AQ563" s="258"/>
      <c r="AR563" s="260"/>
      <c r="AS563" s="257"/>
      <c r="AT563" s="257"/>
      <c r="AU563" s="257"/>
      <c r="AV563" s="257"/>
      <c r="AW563" s="257"/>
      <c r="AX563" s="258"/>
      <c r="AY563" s="260"/>
      <c r="AZ563" s="257"/>
      <c r="BA563" s="257"/>
      <c r="BB563" s="257"/>
      <c r="BC563" s="257"/>
      <c r="BD563" s="258"/>
      <c r="BE563" s="260"/>
      <c r="BF563" s="258"/>
      <c r="BG563" s="260"/>
      <c r="BH563" s="257"/>
      <c r="BI563" s="14"/>
    </row>
    <row r="564" spans="1:61" ht="13.15" x14ac:dyDescent="0.4">
      <c r="A564" s="248"/>
      <c r="B564" s="256"/>
      <c r="C564" s="248"/>
      <c r="D564" s="248"/>
      <c r="E564" s="248"/>
      <c r="F564" s="250"/>
      <c r="G564" s="248"/>
      <c r="H564" s="32"/>
      <c r="I564" s="248"/>
      <c r="J564" s="248"/>
      <c r="K564" s="251"/>
      <c r="L564" s="238"/>
      <c r="M564" s="248"/>
      <c r="N564" s="248"/>
      <c r="O564" s="248"/>
      <c r="P564" s="250"/>
      <c r="Q564" s="252"/>
      <c r="R564" s="248"/>
      <c r="S564" s="248"/>
      <c r="T564" s="248"/>
      <c r="U564" s="248"/>
      <c r="V564" s="248"/>
      <c r="W564" s="248"/>
      <c r="X564" s="248"/>
      <c r="Y564" s="248"/>
      <c r="Z564" s="253"/>
      <c r="AA564" s="253"/>
      <c r="AB564" s="253"/>
      <c r="AC564" s="253"/>
      <c r="AD564" s="253"/>
      <c r="AE564" s="253"/>
      <c r="AF564" s="254"/>
      <c r="AG564" s="257"/>
      <c r="AH564" s="257"/>
      <c r="AI564" s="257"/>
      <c r="AJ564" s="258"/>
      <c r="AK564" s="259"/>
      <c r="AL564" s="257"/>
      <c r="AM564" s="257"/>
      <c r="AN564" s="257"/>
      <c r="AO564" s="257"/>
      <c r="AP564" s="257"/>
      <c r="AQ564" s="258"/>
      <c r="AR564" s="260"/>
      <c r="AS564" s="257"/>
      <c r="AT564" s="257"/>
      <c r="AU564" s="257"/>
      <c r="AV564" s="257"/>
      <c r="AW564" s="257"/>
      <c r="AX564" s="258"/>
      <c r="AY564" s="260"/>
      <c r="AZ564" s="257"/>
      <c r="BA564" s="257"/>
      <c r="BB564" s="257"/>
      <c r="BC564" s="257"/>
      <c r="BD564" s="258"/>
      <c r="BE564" s="260"/>
      <c r="BF564" s="258"/>
      <c r="BG564" s="260"/>
      <c r="BH564" s="257"/>
      <c r="BI564" s="14"/>
    </row>
    <row r="565" spans="1:61" ht="13.15" x14ac:dyDescent="0.4">
      <c r="A565" s="248"/>
      <c r="B565" s="256"/>
      <c r="C565" s="248"/>
      <c r="D565" s="248"/>
      <c r="E565" s="248"/>
      <c r="F565" s="250"/>
      <c r="G565" s="248"/>
      <c r="H565" s="32"/>
      <c r="I565" s="248"/>
      <c r="J565" s="248"/>
      <c r="K565" s="251"/>
      <c r="L565" s="238"/>
      <c r="M565" s="248"/>
      <c r="N565" s="248"/>
      <c r="O565" s="248"/>
      <c r="P565" s="250"/>
      <c r="Q565" s="252"/>
      <c r="R565" s="248"/>
      <c r="S565" s="248"/>
      <c r="T565" s="248"/>
      <c r="U565" s="248"/>
      <c r="V565" s="248"/>
      <c r="W565" s="248"/>
      <c r="X565" s="248"/>
      <c r="Y565" s="248"/>
      <c r="Z565" s="253"/>
      <c r="AA565" s="253"/>
      <c r="AB565" s="253"/>
      <c r="AC565" s="253"/>
      <c r="AD565" s="253"/>
      <c r="AE565" s="253"/>
      <c r="AF565" s="254"/>
      <c r="AG565" s="257"/>
      <c r="AH565" s="257"/>
      <c r="AI565" s="257"/>
      <c r="AJ565" s="258"/>
      <c r="AK565" s="259"/>
      <c r="AL565" s="257"/>
      <c r="AM565" s="257"/>
      <c r="AN565" s="257"/>
      <c r="AO565" s="257"/>
      <c r="AP565" s="257"/>
      <c r="AQ565" s="258"/>
      <c r="AR565" s="260"/>
      <c r="AS565" s="257"/>
      <c r="AT565" s="257"/>
      <c r="AU565" s="257"/>
      <c r="AV565" s="257"/>
      <c r="AW565" s="257"/>
      <c r="AX565" s="258"/>
      <c r="AY565" s="260"/>
      <c r="AZ565" s="257"/>
      <c r="BA565" s="257"/>
      <c r="BB565" s="257"/>
      <c r="BC565" s="257"/>
      <c r="BD565" s="258"/>
      <c r="BE565" s="260"/>
      <c r="BF565" s="258"/>
      <c r="BG565" s="260"/>
      <c r="BH565" s="257"/>
      <c r="BI565" s="14"/>
    </row>
    <row r="566" spans="1:61" ht="13.15" x14ac:dyDescent="0.4">
      <c r="A566" s="248"/>
      <c r="B566" s="256"/>
      <c r="C566" s="248"/>
      <c r="D566" s="248"/>
      <c r="E566" s="248"/>
      <c r="F566" s="250"/>
      <c r="G566" s="248"/>
      <c r="H566" s="32"/>
      <c r="I566" s="248"/>
      <c r="J566" s="248"/>
      <c r="K566" s="251"/>
      <c r="L566" s="238"/>
      <c r="M566" s="248"/>
      <c r="N566" s="248"/>
      <c r="O566" s="248"/>
      <c r="P566" s="250"/>
      <c r="Q566" s="252"/>
      <c r="R566" s="248"/>
      <c r="S566" s="248"/>
      <c r="T566" s="248"/>
      <c r="U566" s="248"/>
      <c r="V566" s="248"/>
      <c r="W566" s="248"/>
      <c r="X566" s="248"/>
      <c r="Y566" s="248"/>
      <c r="Z566" s="253"/>
      <c r="AA566" s="253"/>
      <c r="AB566" s="253"/>
      <c r="AC566" s="253"/>
      <c r="AD566" s="253"/>
      <c r="AE566" s="253"/>
      <c r="AF566" s="254"/>
      <c r="AG566" s="257"/>
      <c r="AH566" s="257"/>
      <c r="AI566" s="257"/>
      <c r="AJ566" s="258"/>
      <c r="AK566" s="259"/>
      <c r="AL566" s="257"/>
      <c r="AM566" s="257"/>
      <c r="AN566" s="257"/>
      <c r="AO566" s="257"/>
      <c r="AP566" s="257"/>
      <c r="AQ566" s="258"/>
      <c r="AR566" s="260"/>
      <c r="AS566" s="257"/>
      <c r="AT566" s="257"/>
      <c r="AU566" s="257"/>
      <c r="AV566" s="257"/>
      <c r="AW566" s="257"/>
      <c r="AX566" s="258"/>
      <c r="AY566" s="260"/>
      <c r="AZ566" s="257"/>
      <c r="BA566" s="257"/>
      <c r="BB566" s="257"/>
      <c r="BC566" s="257"/>
      <c r="BD566" s="258"/>
      <c r="BE566" s="260"/>
      <c r="BF566" s="258"/>
      <c r="BG566" s="260"/>
      <c r="BH566" s="257"/>
      <c r="BI566" s="14"/>
    </row>
    <row r="567" spans="1:61" ht="13.15" x14ac:dyDescent="0.4">
      <c r="A567" s="248"/>
      <c r="B567" s="256"/>
      <c r="C567" s="248"/>
      <c r="D567" s="248"/>
      <c r="E567" s="248"/>
      <c r="F567" s="250"/>
      <c r="G567" s="248"/>
      <c r="H567" s="32"/>
      <c r="I567" s="248"/>
      <c r="J567" s="248"/>
      <c r="K567" s="251"/>
      <c r="L567" s="238"/>
      <c r="M567" s="248"/>
      <c r="N567" s="248"/>
      <c r="O567" s="248"/>
      <c r="P567" s="250"/>
      <c r="Q567" s="252"/>
      <c r="R567" s="248"/>
      <c r="S567" s="248"/>
      <c r="T567" s="248"/>
      <c r="U567" s="248"/>
      <c r="V567" s="248"/>
      <c r="W567" s="248"/>
      <c r="X567" s="248"/>
      <c r="Y567" s="248"/>
      <c r="Z567" s="253"/>
      <c r="AA567" s="253"/>
      <c r="AB567" s="253"/>
      <c r="AC567" s="253"/>
      <c r="AD567" s="253"/>
      <c r="AE567" s="253"/>
      <c r="AF567" s="254"/>
      <c r="AG567" s="257"/>
      <c r="AH567" s="257"/>
      <c r="AI567" s="257"/>
      <c r="AJ567" s="258"/>
      <c r="AK567" s="259"/>
      <c r="AL567" s="257"/>
      <c r="AM567" s="257"/>
      <c r="AN567" s="257"/>
      <c r="AO567" s="257"/>
      <c r="AP567" s="257"/>
      <c r="AQ567" s="258"/>
      <c r="AR567" s="260"/>
      <c r="AS567" s="257"/>
      <c r="AT567" s="257"/>
      <c r="AU567" s="257"/>
      <c r="AV567" s="257"/>
      <c r="AW567" s="257"/>
      <c r="AX567" s="258"/>
      <c r="AY567" s="260"/>
      <c r="AZ567" s="257"/>
      <c r="BA567" s="257"/>
      <c r="BB567" s="257"/>
      <c r="BC567" s="257"/>
      <c r="BD567" s="258"/>
      <c r="BE567" s="260"/>
      <c r="BF567" s="258"/>
      <c r="BG567" s="260"/>
      <c r="BH567" s="257"/>
      <c r="BI567" s="14"/>
    </row>
    <row r="568" spans="1:61" ht="13.15" x14ac:dyDescent="0.4">
      <c r="A568" s="248"/>
      <c r="B568" s="256"/>
      <c r="C568" s="248"/>
      <c r="D568" s="248"/>
      <c r="E568" s="248"/>
      <c r="F568" s="250"/>
      <c r="G568" s="248"/>
      <c r="H568" s="32"/>
      <c r="I568" s="248"/>
      <c r="J568" s="248"/>
      <c r="K568" s="251"/>
      <c r="L568" s="238"/>
      <c r="M568" s="248"/>
      <c r="N568" s="248"/>
      <c r="O568" s="248"/>
      <c r="P568" s="250"/>
      <c r="Q568" s="252"/>
      <c r="R568" s="248"/>
      <c r="S568" s="248"/>
      <c r="T568" s="248"/>
      <c r="U568" s="248"/>
      <c r="V568" s="248"/>
      <c r="W568" s="248"/>
      <c r="X568" s="248"/>
      <c r="Y568" s="248"/>
      <c r="Z568" s="253"/>
      <c r="AA568" s="253"/>
      <c r="AB568" s="253"/>
      <c r="AC568" s="253"/>
      <c r="AD568" s="253"/>
      <c r="AE568" s="253"/>
      <c r="AF568" s="254"/>
      <c r="AG568" s="257"/>
      <c r="AH568" s="257"/>
      <c r="AI568" s="257"/>
      <c r="AJ568" s="258"/>
      <c r="AK568" s="259"/>
      <c r="AL568" s="257"/>
      <c r="AM568" s="257"/>
      <c r="AN568" s="257"/>
      <c r="AO568" s="257"/>
      <c r="AP568" s="257"/>
      <c r="AQ568" s="258"/>
      <c r="AR568" s="260"/>
      <c r="AS568" s="257"/>
      <c r="AT568" s="257"/>
      <c r="AU568" s="257"/>
      <c r="AV568" s="257"/>
      <c r="AW568" s="257"/>
      <c r="AX568" s="258"/>
      <c r="AY568" s="260"/>
      <c r="AZ568" s="257"/>
      <c r="BA568" s="257"/>
      <c r="BB568" s="257"/>
      <c r="BC568" s="257"/>
      <c r="BD568" s="258"/>
      <c r="BE568" s="260"/>
      <c r="BF568" s="258"/>
      <c r="BG568" s="260"/>
      <c r="BH568" s="257"/>
      <c r="BI568" s="14"/>
    </row>
    <row r="569" spans="1:61" ht="13.15" x14ac:dyDescent="0.4">
      <c r="A569" s="248"/>
      <c r="B569" s="256"/>
      <c r="C569" s="248"/>
      <c r="D569" s="248"/>
      <c r="E569" s="248"/>
      <c r="F569" s="250"/>
      <c r="G569" s="248"/>
      <c r="H569" s="32"/>
      <c r="I569" s="248"/>
      <c r="J569" s="248"/>
      <c r="K569" s="251"/>
      <c r="L569" s="238"/>
      <c r="M569" s="248"/>
      <c r="N569" s="248"/>
      <c r="O569" s="248"/>
      <c r="P569" s="250"/>
      <c r="Q569" s="252"/>
      <c r="R569" s="248"/>
      <c r="S569" s="248"/>
      <c r="T569" s="248"/>
      <c r="U569" s="248"/>
      <c r="V569" s="248"/>
      <c r="W569" s="248"/>
      <c r="X569" s="248"/>
      <c r="Y569" s="248"/>
      <c r="Z569" s="253"/>
      <c r="AA569" s="253"/>
      <c r="AB569" s="253"/>
      <c r="AC569" s="253"/>
      <c r="AD569" s="253"/>
      <c r="AE569" s="253"/>
      <c r="AF569" s="254"/>
      <c r="AG569" s="257"/>
      <c r="AH569" s="257"/>
      <c r="AI569" s="257"/>
      <c r="AJ569" s="258"/>
      <c r="AK569" s="259"/>
      <c r="AL569" s="257"/>
      <c r="AM569" s="257"/>
      <c r="AN569" s="257"/>
      <c r="AO569" s="257"/>
      <c r="AP569" s="257"/>
      <c r="AQ569" s="258"/>
      <c r="AR569" s="260"/>
      <c r="AS569" s="257"/>
      <c r="AT569" s="257"/>
      <c r="AU569" s="257"/>
      <c r="AV569" s="257"/>
      <c r="AW569" s="257"/>
      <c r="AX569" s="258"/>
      <c r="AY569" s="260"/>
      <c r="AZ569" s="257"/>
      <c r="BA569" s="257"/>
      <c r="BB569" s="257"/>
      <c r="BC569" s="257"/>
      <c r="BD569" s="258"/>
      <c r="BE569" s="260"/>
      <c r="BF569" s="258"/>
      <c r="BG569" s="260"/>
      <c r="BH569" s="257"/>
      <c r="BI569" s="14"/>
    </row>
    <row r="570" spans="1:61" ht="13.15" x14ac:dyDescent="0.4">
      <c r="A570" s="248"/>
      <c r="B570" s="256"/>
      <c r="C570" s="248"/>
      <c r="D570" s="248"/>
      <c r="E570" s="248"/>
      <c r="F570" s="250"/>
      <c r="G570" s="248"/>
      <c r="H570" s="32"/>
      <c r="I570" s="248"/>
      <c r="J570" s="248"/>
      <c r="K570" s="251"/>
      <c r="L570" s="238"/>
      <c r="M570" s="248"/>
      <c r="N570" s="248"/>
      <c r="O570" s="248"/>
      <c r="P570" s="250"/>
      <c r="Q570" s="252"/>
      <c r="R570" s="248"/>
      <c r="S570" s="248"/>
      <c r="T570" s="248"/>
      <c r="U570" s="248"/>
      <c r="V570" s="248"/>
      <c r="W570" s="248"/>
      <c r="X570" s="248"/>
      <c r="Y570" s="248"/>
      <c r="Z570" s="253"/>
      <c r="AA570" s="253"/>
      <c r="AB570" s="253"/>
      <c r="AC570" s="253"/>
      <c r="AD570" s="253"/>
      <c r="AE570" s="253"/>
      <c r="AF570" s="254"/>
      <c r="AG570" s="257"/>
      <c r="AH570" s="257"/>
      <c r="AI570" s="257"/>
      <c r="AJ570" s="258"/>
      <c r="AK570" s="259"/>
      <c r="AL570" s="257"/>
      <c r="AM570" s="257"/>
      <c r="AN570" s="257"/>
      <c r="AO570" s="257"/>
      <c r="AP570" s="257"/>
      <c r="AQ570" s="258"/>
      <c r="AR570" s="260"/>
      <c r="AS570" s="257"/>
      <c r="AT570" s="257"/>
      <c r="AU570" s="257"/>
      <c r="AV570" s="257"/>
      <c r="AW570" s="257"/>
      <c r="AX570" s="258"/>
      <c r="AY570" s="260"/>
      <c r="AZ570" s="257"/>
      <c r="BA570" s="257"/>
      <c r="BB570" s="257"/>
      <c r="BC570" s="257"/>
      <c r="BD570" s="258"/>
      <c r="BE570" s="260"/>
      <c r="BF570" s="258"/>
      <c r="BG570" s="260"/>
      <c r="BH570" s="257"/>
      <c r="BI570" s="14"/>
    </row>
    <row r="571" spans="1:61" ht="13.15" x14ac:dyDescent="0.4">
      <c r="A571" s="248"/>
      <c r="B571" s="256"/>
      <c r="C571" s="248"/>
      <c r="D571" s="248"/>
      <c r="E571" s="248"/>
      <c r="F571" s="250"/>
      <c r="G571" s="248"/>
      <c r="H571" s="32"/>
      <c r="I571" s="248"/>
      <c r="J571" s="248"/>
      <c r="K571" s="251"/>
      <c r="L571" s="238"/>
      <c r="M571" s="248"/>
      <c r="N571" s="248"/>
      <c r="O571" s="248"/>
      <c r="P571" s="250"/>
      <c r="Q571" s="252"/>
      <c r="R571" s="248"/>
      <c r="S571" s="248"/>
      <c r="T571" s="248"/>
      <c r="U571" s="248"/>
      <c r="V571" s="248"/>
      <c r="W571" s="248"/>
      <c r="X571" s="248"/>
      <c r="Y571" s="248"/>
      <c r="Z571" s="253"/>
      <c r="AA571" s="253"/>
      <c r="AB571" s="253"/>
      <c r="AC571" s="253"/>
      <c r="AD571" s="253"/>
      <c r="AE571" s="253"/>
      <c r="AF571" s="254"/>
      <c r="AG571" s="257"/>
      <c r="AH571" s="257"/>
      <c r="AI571" s="257"/>
      <c r="AJ571" s="258"/>
      <c r="AK571" s="259"/>
      <c r="AL571" s="257"/>
      <c r="AM571" s="257"/>
      <c r="AN571" s="257"/>
      <c r="AO571" s="257"/>
      <c r="AP571" s="257"/>
      <c r="AQ571" s="258"/>
      <c r="AR571" s="260"/>
      <c r="AS571" s="257"/>
      <c r="AT571" s="257"/>
      <c r="AU571" s="257"/>
      <c r="AV571" s="257"/>
      <c r="AW571" s="257"/>
      <c r="AX571" s="258"/>
      <c r="AY571" s="260"/>
      <c r="AZ571" s="257"/>
      <c r="BA571" s="257"/>
      <c r="BB571" s="257"/>
      <c r="BC571" s="257"/>
      <c r="BD571" s="258"/>
      <c r="BE571" s="260"/>
      <c r="BF571" s="258"/>
      <c r="BG571" s="260"/>
      <c r="BH571" s="257"/>
      <c r="BI571" s="14"/>
    </row>
    <row r="572" spans="1:61" ht="13.15" x14ac:dyDescent="0.4">
      <c r="A572" s="248"/>
      <c r="B572" s="256"/>
      <c r="C572" s="248"/>
      <c r="D572" s="248"/>
      <c r="E572" s="248"/>
      <c r="F572" s="250"/>
      <c r="G572" s="248"/>
      <c r="H572" s="32"/>
      <c r="I572" s="248"/>
      <c r="J572" s="248"/>
      <c r="K572" s="251"/>
      <c r="L572" s="238"/>
      <c r="M572" s="248"/>
      <c r="N572" s="248"/>
      <c r="O572" s="248"/>
      <c r="P572" s="250"/>
      <c r="Q572" s="252"/>
      <c r="R572" s="248"/>
      <c r="S572" s="248"/>
      <c r="T572" s="248"/>
      <c r="U572" s="248"/>
      <c r="V572" s="248"/>
      <c r="W572" s="248"/>
      <c r="X572" s="248"/>
      <c r="Y572" s="248"/>
      <c r="Z572" s="253"/>
      <c r="AA572" s="253"/>
      <c r="AB572" s="253"/>
      <c r="AC572" s="253"/>
      <c r="AD572" s="253"/>
      <c r="AE572" s="253"/>
      <c r="AF572" s="254"/>
      <c r="AG572" s="257"/>
      <c r="AH572" s="257"/>
      <c r="AI572" s="257"/>
      <c r="AJ572" s="258"/>
      <c r="AK572" s="259"/>
      <c r="AL572" s="257"/>
      <c r="AM572" s="257"/>
      <c r="AN572" s="257"/>
      <c r="AO572" s="257"/>
      <c r="AP572" s="257"/>
      <c r="AQ572" s="258"/>
      <c r="AR572" s="260"/>
      <c r="AS572" s="257"/>
      <c r="AT572" s="257"/>
      <c r="AU572" s="257"/>
      <c r="AV572" s="257"/>
      <c r="AW572" s="257"/>
      <c r="AX572" s="258"/>
      <c r="AY572" s="260"/>
      <c r="AZ572" s="257"/>
      <c r="BA572" s="257"/>
      <c r="BB572" s="257"/>
      <c r="BC572" s="257"/>
      <c r="BD572" s="258"/>
      <c r="BE572" s="260"/>
      <c r="BF572" s="258"/>
      <c r="BG572" s="260"/>
      <c r="BH572" s="257"/>
      <c r="BI572" s="14"/>
    </row>
    <row r="573" spans="1:61" ht="13.15" x14ac:dyDescent="0.4">
      <c r="A573" s="248"/>
      <c r="B573" s="256"/>
      <c r="C573" s="248"/>
      <c r="D573" s="248"/>
      <c r="E573" s="248"/>
      <c r="F573" s="250"/>
      <c r="G573" s="248"/>
      <c r="H573" s="32"/>
      <c r="I573" s="248"/>
      <c r="J573" s="248"/>
      <c r="K573" s="251"/>
      <c r="L573" s="238"/>
      <c r="M573" s="248"/>
      <c r="N573" s="248"/>
      <c r="O573" s="248"/>
      <c r="P573" s="250"/>
      <c r="Q573" s="252"/>
      <c r="R573" s="248"/>
      <c r="S573" s="248"/>
      <c r="T573" s="248"/>
      <c r="U573" s="248"/>
      <c r="V573" s="248"/>
      <c r="W573" s="248"/>
      <c r="X573" s="248"/>
      <c r="Y573" s="248"/>
      <c r="Z573" s="253"/>
      <c r="AA573" s="253"/>
      <c r="AB573" s="253"/>
      <c r="AC573" s="253"/>
      <c r="AD573" s="253"/>
      <c r="AE573" s="253"/>
      <c r="AF573" s="254"/>
      <c r="AG573" s="257"/>
      <c r="AH573" s="257"/>
      <c r="AI573" s="257"/>
      <c r="AJ573" s="258"/>
      <c r="AK573" s="259"/>
      <c r="AL573" s="257"/>
      <c r="AM573" s="257"/>
      <c r="AN573" s="257"/>
      <c r="AO573" s="257"/>
      <c r="AP573" s="257"/>
      <c r="AQ573" s="258"/>
      <c r="AR573" s="260"/>
      <c r="AS573" s="257"/>
      <c r="AT573" s="257"/>
      <c r="AU573" s="257"/>
      <c r="AV573" s="257"/>
      <c r="AW573" s="257"/>
      <c r="AX573" s="258"/>
      <c r="AY573" s="260"/>
      <c r="AZ573" s="257"/>
      <c r="BA573" s="257"/>
      <c r="BB573" s="257"/>
      <c r="BC573" s="257"/>
      <c r="BD573" s="258"/>
      <c r="BE573" s="260"/>
      <c r="BF573" s="258"/>
      <c r="BG573" s="260"/>
      <c r="BH573" s="257"/>
      <c r="BI573" s="14"/>
    </row>
    <row r="574" spans="1:61" ht="13.15" x14ac:dyDescent="0.4">
      <c r="A574" s="248"/>
      <c r="B574" s="256"/>
      <c r="C574" s="248"/>
      <c r="D574" s="248"/>
      <c r="E574" s="248"/>
      <c r="F574" s="250"/>
      <c r="G574" s="248"/>
      <c r="H574" s="32"/>
      <c r="I574" s="248"/>
      <c r="J574" s="248"/>
      <c r="K574" s="251"/>
      <c r="L574" s="238"/>
      <c r="M574" s="248"/>
      <c r="N574" s="248"/>
      <c r="O574" s="248"/>
      <c r="P574" s="250"/>
      <c r="Q574" s="252"/>
      <c r="R574" s="248"/>
      <c r="S574" s="248"/>
      <c r="T574" s="248"/>
      <c r="U574" s="248"/>
      <c r="V574" s="248"/>
      <c r="W574" s="248"/>
      <c r="X574" s="248"/>
      <c r="Y574" s="248"/>
      <c r="Z574" s="253"/>
      <c r="AA574" s="253"/>
      <c r="AB574" s="253"/>
      <c r="AC574" s="253"/>
      <c r="AD574" s="253"/>
      <c r="AE574" s="253"/>
      <c r="AF574" s="254"/>
      <c r="AG574" s="257"/>
      <c r="AH574" s="257"/>
      <c r="AI574" s="257"/>
      <c r="AJ574" s="258"/>
      <c r="AK574" s="259"/>
      <c r="AL574" s="257"/>
      <c r="AM574" s="257"/>
      <c r="AN574" s="257"/>
      <c r="AO574" s="257"/>
      <c r="AP574" s="257"/>
      <c r="AQ574" s="258"/>
      <c r="AR574" s="260"/>
      <c r="AS574" s="257"/>
      <c r="AT574" s="257"/>
      <c r="AU574" s="257"/>
      <c r="AV574" s="257"/>
      <c r="AW574" s="257"/>
      <c r="AX574" s="258"/>
      <c r="AY574" s="260"/>
      <c r="AZ574" s="257"/>
      <c r="BA574" s="257"/>
      <c r="BB574" s="257"/>
      <c r="BC574" s="257"/>
      <c r="BD574" s="258"/>
      <c r="BE574" s="260"/>
      <c r="BF574" s="258"/>
      <c r="BG574" s="260"/>
      <c r="BH574" s="257"/>
      <c r="BI574" s="14"/>
    </row>
    <row r="575" spans="1:61" ht="13.15" x14ac:dyDescent="0.4">
      <c r="A575" s="248"/>
      <c r="B575" s="256"/>
      <c r="C575" s="248"/>
      <c r="D575" s="248"/>
      <c r="E575" s="248"/>
      <c r="F575" s="250"/>
      <c r="G575" s="248"/>
      <c r="H575" s="32"/>
      <c r="I575" s="248"/>
      <c r="J575" s="248"/>
      <c r="K575" s="251"/>
      <c r="L575" s="238"/>
      <c r="M575" s="248"/>
      <c r="N575" s="248"/>
      <c r="O575" s="248"/>
      <c r="P575" s="250"/>
      <c r="Q575" s="252"/>
      <c r="R575" s="248"/>
      <c r="S575" s="248"/>
      <c r="T575" s="248"/>
      <c r="U575" s="248"/>
      <c r="V575" s="248"/>
      <c r="W575" s="248"/>
      <c r="X575" s="248"/>
      <c r="Y575" s="248"/>
      <c r="Z575" s="253"/>
      <c r="AA575" s="253"/>
      <c r="AB575" s="253"/>
      <c r="AC575" s="253"/>
      <c r="AD575" s="253"/>
      <c r="AE575" s="253"/>
      <c r="AF575" s="254"/>
      <c r="AG575" s="257"/>
      <c r="AH575" s="257"/>
      <c r="AI575" s="257"/>
      <c r="AJ575" s="258"/>
      <c r="AK575" s="259"/>
      <c r="AL575" s="257"/>
      <c r="AM575" s="257"/>
      <c r="AN575" s="257"/>
      <c r="AO575" s="257"/>
      <c r="AP575" s="257"/>
      <c r="AQ575" s="258"/>
      <c r="AR575" s="260"/>
      <c r="AS575" s="257"/>
      <c r="AT575" s="257"/>
      <c r="AU575" s="257"/>
      <c r="AV575" s="257"/>
      <c r="AW575" s="257"/>
      <c r="AX575" s="258"/>
      <c r="AY575" s="260"/>
      <c r="AZ575" s="257"/>
      <c r="BA575" s="257"/>
      <c r="BB575" s="257"/>
      <c r="BC575" s="257"/>
      <c r="BD575" s="258"/>
      <c r="BE575" s="260"/>
      <c r="BF575" s="258"/>
      <c r="BG575" s="260"/>
      <c r="BH575" s="257"/>
      <c r="BI575" s="14"/>
    </row>
    <row r="576" spans="1:61" ht="13.15" x14ac:dyDescent="0.4">
      <c r="A576" s="248"/>
      <c r="B576" s="256"/>
      <c r="C576" s="248"/>
      <c r="D576" s="248"/>
      <c r="E576" s="248"/>
      <c r="F576" s="250"/>
      <c r="G576" s="248"/>
      <c r="H576" s="32"/>
      <c r="I576" s="248"/>
      <c r="J576" s="248"/>
      <c r="K576" s="251"/>
      <c r="L576" s="238"/>
      <c r="M576" s="248"/>
      <c r="N576" s="248"/>
      <c r="O576" s="248"/>
      <c r="P576" s="250"/>
      <c r="Q576" s="252"/>
      <c r="R576" s="248"/>
      <c r="S576" s="248"/>
      <c r="T576" s="248"/>
      <c r="U576" s="248"/>
      <c r="V576" s="248"/>
      <c r="W576" s="248"/>
      <c r="X576" s="248"/>
      <c r="Y576" s="248"/>
      <c r="Z576" s="253"/>
      <c r="AA576" s="253"/>
      <c r="AB576" s="253"/>
      <c r="AC576" s="253"/>
      <c r="AD576" s="253"/>
      <c r="AE576" s="253"/>
      <c r="AF576" s="254"/>
      <c r="AG576" s="257"/>
      <c r="AH576" s="257"/>
      <c r="AI576" s="257"/>
      <c r="AJ576" s="258"/>
      <c r="AK576" s="259"/>
      <c r="AL576" s="257"/>
      <c r="AM576" s="257"/>
      <c r="AN576" s="257"/>
      <c r="AO576" s="257"/>
      <c r="AP576" s="257"/>
      <c r="AQ576" s="258"/>
      <c r="AR576" s="260"/>
      <c r="AS576" s="257"/>
      <c r="AT576" s="257"/>
      <c r="AU576" s="257"/>
      <c r="AV576" s="257"/>
      <c r="AW576" s="257"/>
      <c r="AX576" s="258"/>
      <c r="AY576" s="260"/>
      <c r="AZ576" s="257"/>
      <c r="BA576" s="257"/>
      <c r="BB576" s="257"/>
      <c r="BC576" s="257"/>
      <c r="BD576" s="258"/>
      <c r="BE576" s="260"/>
      <c r="BF576" s="258"/>
      <c r="BG576" s="260"/>
      <c r="BH576" s="257"/>
      <c r="BI576" s="14"/>
    </row>
    <row r="577" spans="1:61" ht="13.15" x14ac:dyDescent="0.4">
      <c r="A577" s="248"/>
      <c r="B577" s="256"/>
      <c r="C577" s="248"/>
      <c r="D577" s="248"/>
      <c r="E577" s="248"/>
      <c r="F577" s="250"/>
      <c r="G577" s="248"/>
      <c r="H577" s="32"/>
      <c r="I577" s="248"/>
      <c r="J577" s="248"/>
      <c r="K577" s="251"/>
      <c r="L577" s="238"/>
      <c r="M577" s="248"/>
      <c r="N577" s="248"/>
      <c r="O577" s="248"/>
      <c r="P577" s="250"/>
      <c r="Q577" s="252"/>
      <c r="R577" s="248"/>
      <c r="S577" s="248"/>
      <c r="T577" s="248"/>
      <c r="U577" s="248"/>
      <c r="V577" s="248"/>
      <c r="W577" s="248"/>
      <c r="X577" s="248"/>
      <c r="Y577" s="248"/>
      <c r="Z577" s="253"/>
      <c r="AA577" s="253"/>
      <c r="AB577" s="253"/>
      <c r="AC577" s="253"/>
      <c r="AD577" s="253"/>
      <c r="AE577" s="253"/>
      <c r="AF577" s="254"/>
      <c r="AG577" s="257"/>
      <c r="AH577" s="257"/>
      <c r="AI577" s="257"/>
      <c r="AJ577" s="258"/>
      <c r="AK577" s="259"/>
      <c r="AL577" s="257"/>
      <c r="AM577" s="257"/>
      <c r="AN577" s="257"/>
      <c r="AO577" s="257"/>
      <c r="AP577" s="257"/>
      <c r="AQ577" s="258"/>
      <c r="AR577" s="260"/>
      <c r="AS577" s="257"/>
      <c r="AT577" s="257"/>
      <c r="AU577" s="257"/>
      <c r="AV577" s="257"/>
      <c r="AW577" s="257"/>
      <c r="AX577" s="258"/>
      <c r="AY577" s="260"/>
      <c r="AZ577" s="257"/>
      <c r="BA577" s="257"/>
      <c r="BB577" s="257"/>
      <c r="BC577" s="257"/>
      <c r="BD577" s="258"/>
      <c r="BE577" s="260"/>
      <c r="BF577" s="258"/>
      <c r="BG577" s="260"/>
      <c r="BH577" s="257"/>
      <c r="BI577" s="14"/>
    </row>
    <row r="578" spans="1:61" ht="13.15" x14ac:dyDescent="0.4">
      <c r="A578" s="248"/>
      <c r="B578" s="256"/>
      <c r="C578" s="248"/>
      <c r="D578" s="248"/>
      <c r="E578" s="248"/>
      <c r="F578" s="250"/>
      <c r="G578" s="248"/>
      <c r="H578" s="32"/>
      <c r="I578" s="248"/>
      <c r="J578" s="248"/>
      <c r="K578" s="251"/>
      <c r="L578" s="238"/>
      <c r="M578" s="248"/>
      <c r="N578" s="248"/>
      <c r="O578" s="248"/>
      <c r="P578" s="250"/>
      <c r="Q578" s="252"/>
      <c r="R578" s="248"/>
      <c r="S578" s="248"/>
      <c r="T578" s="248"/>
      <c r="U578" s="248"/>
      <c r="V578" s="248"/>
      <c r="W578" s="248"/>
      <c r="X578" s="248"/>
      <c r="Y578" s="248"/>
      <c r="Z578" s="253"/>
      <c r="AA578" s="253"/>
      <c r="AB578" s="253"/>
      <c r="AC578" s="253"/>
      <c r="AD578" s="253"/>
      <c r="AE578" s="253"/>
      <c r="AF578" s="254"/>
      <c r="AG578" s="257"/>
      <c r="AH578" s="257"/>
      <c r="AI578" s="257"/>
      <c r="AJ578" s="258"/>
      <c r="AK578" s="259"/>
      <c r="AL578" s="257"/>
      <c r="AM578" s="257"/>
      <c r="AN578" s="257"/>
      <c r="AO578" s="257"/>
      <c r="AP578" s="257"/>
      <c r="AQ578" s="258"/>
      <c r="AR578" s="260"/>
      <c r="AS578" s="257"/>
      <c r="AT578" s="257"/>
      <c r="AU578" s="257"/>
      <c r="AV578" s="257"/>
      <c r="AW578" s="257"/>
      <c r="AX578" s="258"/>
      <c r="AY578" s="260"/>
      <c r="AZ578" s="257"/>
      <c r="BA578" s="257"/>
      <c r="BB578" s="257"/>
      <c r="BC578" s="257"/>
      <c r="BD578" s="258"/>
      <c r="BE578" s="260"/>
      <c r="BF578" s="258"/>
      <c r="BG578" s="260"/>
      <c r="BH578" s="257"/>
      <c r="BI578" s="14"/>
    </row>
    <row r="579" spans="1:61" ht="13.15" x14ac:dyDescent="0.4">
      <c r="A579" s="248"/>
      <c r="B579" s="256"/>
      <c r="C579" s="248"/>
      <c r="D579" s="248"/>
      <c r="E579" s="248"/>
      <c r="F579" s="250"/>
      <c r="G579" s="248"/>
      <c r="H579" s="32"/>
      <c r="I579" s="248"/>
      <c r="J579" s="248"/>
      <c r="K579" s="251"/>
      <c r="L579" s="238"/>
      <c r="M579" s="248"/>
      <c r="N579" s="248"/>
      <c r="O579" s="248"/>
      <c r="P579" s="250"/>
      <c r="Q579" s="252"/>
      <c r="R579" s="248"/>
      <c r="S579" s="248"/>
      <c r="T579" s="248"/>
      <c r="U579" s="248"/>
      <c r="V579" s="248"/>
      <c r="W579" s="248"/>
      <c r="X579" s="248"/>
      <c r="Y579" s="248"/>
      <c r="Z579" s="253"/>
      <c r="AA579" s="253"/>
      <c r="AB579" s="253"/>
      <c r="AC579" s="253"/>
      <c r="AD579" s="253"/>
      <c r="AE579" s="253"/>
      <c r="AF579" s="254"/>
      <c r="AG579" s="257"/>
      <c r="AH579" s="257"/>
      <c r="AI579" s="257"/>
      <c r="AJ579" s="258"/>
      <c r="AK579" s="259"/>
      <c r="AL579" s="257"/>
      <c r="AM579" s="257"/>
      <c r="AN579" s="257"/>
      <c r="AO579" s="257"/>
      <c r="AP579" s="257"/>
      <c r="AQ579" s="258"/>
      <c r="AR579" s="260"/>
      <c r="AS579" s="257"/>
      <c r="AT579" s="257"/>
      <c r="AU579" s="257"/>
      <c r="AV579" s="257"/>
      <c r="AW579" s="257"/>
      <c r="AX579" s="258"/>
      <c r="AY579" s="260"/>
      <c r="AZ579" s="257"/>
      <c r="BA579" s="257"/>
      <c r="BB579" s="257"/>
      <c r="BC579" s="257"/>
      <c r="BD579" s="258"/>
      <c r="BE579" s="260"/>
      <c r="BF579" s="258"/>
      <c r="BG579" s="260"/>
      <c r="BH579" s="257"/>
      <c r="BI579" s="14"/>
    </row>
    <row r="580" spans="1:61" ht="13.15" x14ac:dyDescent="0.4">
      <c r="A580" s="248"/>
      <c r="B580" s="256"/>
      <c r="C580" s="248"/>
      <c r="D580" s="248"/>
      <c r="E580" s="248"/>
      <c r="F580" s="250"/>
      <c r="G580" s="248"/>
      <c r="H580" s="32"/>
      <c r="I580" s="248"/>
      <c r="J580" s="248"/>
      <c r="K580" s="251"/>
      <c r="L580" s="238"/>
      <c r="M580" s="248"/>
      <c r="N580" s="248"/>
      <c r="O580" s="248"/>
      <c r="P580" s="250"/>
      <c r="Q580" s="252"/>
      <c r="R580" s="248"/>
      <c r="S580" s="248"/>
      <c r="T580" s="248"/>
      <c r="U580" s="248"/>
      <c r="V580" s="248"/>
      <c r="W580" s="248"/>
      <c r="X580" s="248"/>
      <c r="Y580" s="248"/>
      <c r="Z580" s="253"/>
      <c r="AA580" s="253"/>
      <c r="AB580" s="253"/>
      <c r="AC580" s="253"/>
      <c r="AD580" s="253"/>
      <c r="AE580" s="253"/>
      <c r="AF580" s="254"/>
      <c r="AG580" s="257"/>
      <c r="AH580" s="257"/>
      <c r="AI580" s="257"/>
      <c r="AJ580" s="258"/>
      <c r="AK580" s="259"/>
      <c r="AL580" s="257"/>
      <c r="AM580" s="257"/>
      <c r="AN580" s="257"/>
      <c r="AO580" s="257"/>
      <c r="AP580" s="257"/>
      <c r="AQ580" s="258"/>
      <c r="AR580" s="260"/>
      <c r="AS580" s="257"/>
      <c r="AT580" s="257"/>
      <c r="AU580" s="257"/>
      <c r="AV580" s="257"/>
      <c r="AW580" s="257"/>
      <c r="AX580" s="258"/>
      <c r="AY580" s="260"/>
      <c r="AZ580" s="257"/>
      <c r="BA580" s="257"/>
      <c r="BB580" s="257"/>
      <c r="BC580" s="257"/>
      <c r="BD580" s="258"/>
      <c r="BE580" s="260"/>
      <c r="BF580" s="258"/>
      <c r="BG580" s="260"/>
      <c r="BH580" s="257"/>
      <c r="BI580" s="14"/>
    </row>
    <row r="581" spans="1:61" ht="13.15" x14ac:dyDescent="0.4">
      <c r="A581" s="248"/>
      <c r="B581" s="256"/>
      <c r="C581" s="248"/>
      <c r="D581" s="248"/>
      <c r="E581" s="248"/>
      <c r="F581" s="250"/>
      <c r="G581" s="248"/>
      <c r="H581" s="32"/>
      <c r="I581" s="248"/>
      <c r="J581" s="248"/>
      <c r="K581" s="251"/>
      <c r="L581" s="238"/>
      <c r="M581" s="248"/>
      <c r="N581" s="248"/>
      <c r="O581" s="248"/>
      <c r="P581" s="250"/>
      <c r="Q581" s="252"/>
      <c r="R581" s="248"/>
      <c r="S581" s="248"/>
      <c r="T581" s="248"/>
      <c r="U581" s="248"/>
      <c r="V581" s="248"/>
      <c r="W581" s="248"/>
      <c r="X581" s="248"/>
      <c r="Y581" s="248"/>
      <c r="Z581" s="253"/>
      <c r="AA581" s="253"/>
      <c r="AB581" s="253"/>
      <c r="AC581" s="253"/>
      <c r="AD581" s="253"/>
      <c r="AE581" s="253"/>
      <c r="AF581" s="254"/>
      <c r="AG581" s="257"/>
      <c r="AH581" s="257"/>
      <c r="AI581" s="257"/>
      <c r="AJ581" s="258"/>
      <c r="AK581" s="259"/>
      <c r="AL581" s="257"/>
      <c r="AM581" s="257"/>
      <c r="AN581" s="257"/>
      <c r="AO581" s="257"/>
      <c r="AP581" s="257"/>
      <c r="AQ581" s="258"/>
      <c r="AR581" s="260"/>
      <c r="AS581" s="257"/>
      <c r="AT581" s="257"/>
      <c r="AU581" s="257"/>
      <c r="AV581" s="257"/>
      <c r="AW581" s="257"/>
      <c r="AX581" s="258"/>
      <c r="AY581" s="260"/>
      <c r="AZ581" s="257"/>
      <c r="BA581" s="257"/>
      <c r="BB581" s="257"/>
      <c r="BC581" s="257"/>
      <c r="BD581" s="258"/>
      <c r="BE581" s="260"/>
      <c r="BF581" s="258"/>
      <c r="BG581" s="260"/>
      <c r="BH581" s="257"/>
      <c r="BI581" s="14"/>
    </row>
    <row r="582" spans="1:61" ht="13.15" x14ac:dyDescent="0.4">
      <c r="A582" s="248"/>
      <c r="B582" s="256"/>
      <c r="C582" s="248"/>
      <c r="D582" s="248"/>
      <c r="E582" s="248"/>
      <c r="F582" s="250"/>
      <c r="G582" s="248"/>
      <c r="H582" s="32"/>
      <c r="I582" s="248"/>
      <c r="J582" s="248"/>
      <c r="K582" s="251"/>
      <c r="L582" s="238"/>
      <c r="M582" s="248"/>
      <c r="N582" s="248"/>
      <c r="O582" s="248"/>
      <c r="P582" s="250"/>
      <c r="Q582" s="252"/>
      <c r="R582" s="248"/>
      <c r="S582" s="248"/>
      <c r="T582" s="248"/>
      <c r="U582" s="248"/>
      <c r="V582" s="248"/>
      <c r="W582" s="248"/>
      <c r="X582" s="248"/>
      <c r="Y582" s="248"/>
      <c r="Z582" s="253"/>
      <c r="AA582" s="253"/>
      <c r="AB582" s="253"/>
      <c r="AC582" s="253"/>
      <c r="AD582" s="253"/>
      <c r="AE582" s="253"/>
      <c r="AF582" s="254"/>
      <c r="AG582" s="257"/>
      <c r="AH582" s="257"/>
      <c r="AI582" s="257"/>
      <c r="AJ582" s="258"/>
      <c r="AK582" s="259"/>
      <c r="AL582" s="257"/>
      <c r="AM582" s="257"/>
      <c r="AN582" s="257"/>
      <c r="AO582" s="257"/>
      <c r="AP582" s="257"/>
      <c r="AQ582" s="258"/>
      <c r="AR582" s="260"/>
      <c r="AS582" s="257"/>
      <c r="AT582" s="257"/>
      <c r="AU582" s="257"/>
      <c r="AV582" s="257"/>
      <c r="AW582" s="257"/>
      <c r="AX582" s="258"/>
      <c r="AY582" s="260"/>
      <c r="AZ582" s="257"/>
      <c r="BA582" s="257"/>
      <c r="BB582" s="257"/>
      <c r="BC582" s="257"/>
      <c r="BD582" s="258"/>
      <c r="BE582" s="260"/>
      <c r="BF582" s="258"/>
      <c r="BG582" s="260"/>
      <c r="BH582" s="257"/>
      <c r="BI582" s="14"/>
    </row>
    <row r="583" spans="1:61" ht="13.15" x14ac:dyDescent="0.4">
      <c r="A583" s="248"/>
      <c r="B583" s="256"/>
      <c r="C583" s="248"/>
      <c r="D583" s="248"/>
      <c r="E583" s="248"/>
      <c r="F583" s="250"/>
      <c r="G583" s="248"/>
      <c r="H583" s="32"/>
      <c r="I583" s="248"/>
      <c r="J583" s="248"/>
      <c r="K583" s="251"/>
      <c r="L583" s="238"/>
      <c r="M583" s="248"/>
      <c r="N583" s="248"/>
      <c r="O583" s="248"/>
      <c r="P583" s="250"/>
      <c r="Q583" s="252"/>
      <c r="R583" s="248"/>
      <c r="S583" s="248"/>
      <c r="T583" s="248"/>
      <c r="U583" s="248"/>
      <c r="V583" s="248"/>
      <c r="W583" s="248"/>
      <c r="X583" s="248"/>
      <c r="Y583" s="248"/>
      <c r="Z583" s="253"/>
      <c r="AA583" s="253"/>
      <c r="AB583" s="253"/>
      <c r="AC583" s="253"/>
      <c r="AD583" s="253"/>
      <c r="AE583" s="253"/>
      <c r="AF583" s="254"/>
      <c r="AG583" s="257"/>
      <c r="AH583" s="257"/>
      <c r="AI583" s="257"/>
      <c r="AJ583" s="258"/>
      <c r="AK583" s="259"/>
      <c r="AL583" s="257"/>
      <c r="AM583" s="257"/>
      <c r="AN583" s="257"/>
      <c r="AO583" s="257"/>
      <c r="AP583" s="257"/>
      <c r="AQ583" s="258"/>
      <c r="AR583" s="260"/>
      <c r="AS583" s="257"/>
      <c r="AT583" s="257"/>
      <c r="AU583" s="257"/>
      <c r="AV583" s="257"/>
      <c r="AW583" s="257"/>
      <c r="AX583" s="258"/>
      <c r="AY583" s="260"/>
      <c r="AZ583" s="257"/>
      <c r="BA583" s="257"/>
      <c r="BB583" s="257"/>
      <c r="BC583" s="257"/>
      <c r="BD583" s="258"/>
      <c r="BE583" s="260"/>
      <c r="BF583" s="258"/>
      <c r="BG583" s="260"/>
      <c r="BH583" s="257"/>
      <c r="BI583" s="14"/>
    </row>
    <row r="584" spans="1:61" ht="13.15" x14ac:dyDescent="0.4">
      <c r="A584" s="248"/>
      <c r="B584" s="256"/>
      <c r="C584" s="248"/>
      <c r="D584" s="248"/>
      <c r="E584" s="248"/>
      <c r="F584" s="250"/>
      <c r="G584" s="248"/>
      <c r="H584" s="32"/>
      <c r="I584" s="248"/>
      <c r="J584" s="248"/>
      <c r="K584" s="251"/>
      <c r="L584" s="238"/>
      <c r="M584" s="248"/>
      <c r="N584" s="248"/>
      <c r="O584" s="248"/>
      <c r="P584" s="250"/>
      <c r="Q584" s="252"/>
      <c r="R584" s="248"/>
      <c r="S584" s="248"/>
      <c r="T584" s="248"/>
      <c r="U584" s="248"/>
      <c r="V584" s="248"/>
      <c r="W584" s="248"/>
      <c r="X584" s="248"/>
      <c r="Y584" s="248"/>
      <c r="Z584" s="253"/>
      <c r="AA584" s="253"/>
      <c r="AB584" s="253"/>
      <c r="AC584" s="253"/>
      <c r="AD584" s="253"/>
      <c r="AE584" s="253"/>
      <c r="AF584" s="254"/>
      <c r="AG584" s="257"/>
      <c r="AH584" s="257"/>
      <c r="AI584" s="257"/>
      <c r="AJ584" s="258"/>
      <c r="AK584" s="259"/>
      <c r="AL584" s="257"/>
      <c r="AM584" s="257"/>
      <c r="AN584" s="257"/>
      <c r="AO584" s="257"/>
      <c r="AP584" s="257"/>
      <c r="AQ584" s="258"/>
      <c r="AR584" s="260"/>
      <c r="AS584" s="257"/>
      <c r="AT584" s="257"/>
      <c r="AU584" s="257"/>
      <c r="AV584" s="257"/>
      <c r="AW584" s="257"/>
      <c r="AX584" s="258"/>
      <c r="AY584" s="260"/>
      <c r="AZ584" s="257"/>
      <c r="BA584" s="257"/>
      <c r="BB584" s="257"/>
      <c r="BC584" s="257"/>
      <c r="BD584" s="258"/>
      <c r="BE584" s="260"/>
      <c r="BF584" s="258"/>
      <c r="BG584" s="260"/>
      <c r="BH584" s="257"/>
      <c r="BI584" s="14"/>
    </row>
    <row r="585" spans="1:61" ht="13.15" x14ac:dyDescent="0.4">
      <c r="A585" s="248"/>
      <c r="B585" s="256"/>
      <c r="C585" s="248"/>
      <c r="D585" s="248"/>
      <c r="E585" s="248"/>
      <c r="F585" s="250"/>
      <c r="G585" s="248"/>
      <c r="H585" s="32"/>
      <c r="I585" s="248"/>
      <c r="J585" s="248"/>
      <c r="K585" s="251"/>
      <c r="L585" s="238"/>
      <c r="M585" s="248"/>
      <c r="N585" s="248"/>
      <c r="O585" s="248"/>
      <c r="P585" s="250"/>
      <c r="Q585" s="252"/>
      <c r="R585" s="248"/>
      <c r="S585" s="248"/>
      <c r="T585" s="248"/>
      <c r="U585" s="248"/>
      <c r="V585" s="248"/>
      <c r="W585" s="248"/>
      <c r="X585" s="248"/>
      <c r="Y585" s="248"/>
      <c r="Z585" s="253"/>
      <c r="AA585" s="253"/>
      <c r="AB585" s="253"/>
      <c r="AC585" s="253"/>
      <c r="AD585" s="253"/>
      <c r="AE585" s="253"/>
      <c r="AF585" s="254"/>
      <c r="AG585" s="257"/>
      <c r="AH585" s="257"/>
      <c r="AI585" s="257"/>
      <c r="AJ585" s="258"/>
      <c r="AK585" s="259"/>
      <c r="AL585" s="257"/>
      <c r="AM585" s="257"/>
      <c r="AN585" s="257"/>
      <c r="AO585" s="257"/>
      <c r="AP585" s="257"/>
      <c r="AQ585" s="258"/>
      <c r="AR585" s="260"/>
      <c r="AS585" s="257"/>
      <c r="AT585" s="257"/>
      <c r="AU585" s="257"/>
      <c r="AV585" s="257"/>
      <c r="AW585" s="257"/>
      <c r="AX585" s="258"/>
      <c r="AY585" s="260"/>
      <c r="AZ585" s="257"/>
      <c r="BA585" s="257"/>
      <c r="BB585" s="257"/>
      <c r="BC585" s="257"/>
      <c r="BD585" s="258"/>
      <c r="BE585" s="260"/>
      <c r="BF585" s="258"/>
      <c r="BG585" s="260"/>
      <c r="BH585" s="257"/>
      <c r="BI585" s="14"/>
    </row>
    <row r="586" spans="1:61" ht="13.15" x14ac:dyDescent="0.4">
      <c r="A586" s="248"/>
      <c r="B586" s="256"/>
      <c r="C586" s="248"/>
      <c r="D586" s="248"/>
      <c r="E586" s="248"/>
      <c r="F586" s="250"/>
      <c r="G586" s="248"/>
      <c r="H586" s="32"/>
      <c r="I586" s="248"/>
      <c r="J586" s="248"/>
      <c r="K586" s="251"/>
      <c r="L586" s="238"/>
      <c r="M586" s="248"/>
      <c r="N586" s="248"/>
      <c r="O586" s="248"/>
      <c r="P586" s="250"/>
      <c r="Q586" s="252"/>
      <c r="R586" s="248"/>
      <c r="S586" s="248"/>
      <c r="T586" s="248"/>
      <c r="U586" s="248"/>
      <c r="V586" s="248"/>
      <c r="W586" s="248"/>
      <c r="X586" s="248"/>
      <c r="Y586" s="248"/>
      <c r="Z586" s="253"/>
      <c r="AA586" s="253"/>
      <c r="AB586" s="253"/>
      <c r="AC586" s="253"/>
      <c r="AD586" s="253"/>
      <c r="AE586" s="253"/>
      <c r="AF586" s="254"/>
      <c r="AG586" s="257"/>
      <c r="AH586" s="257"/>
      <c r="AI586" s="257"/>
      <c r="AJ586" s="258"/>
      <c r="AK586" s="259"/>
      <c r="AL586" s="257"/>
      <c r="AM586" s="257"/>
      <c r="AN586" s="257"/>
      <c r="AO586" s="257"/>
      <c r="AP586" s="257"/>
      <c r="AQ586" s="258"/>
      <c r="AR586" s="260"/>
      <c r="AS586" s="257"/>
      <c r="AT586" s="257"/>
      <c r="AU586" s="257"/>
      <c r="AV586" s="257"/>
      <c r="AW586" s="257"/>
      <c r="AX586" s="258"/>
      <c r="AY586" s="260"/>
      <c r="AZ586" s="257"/>
      <c r="BA586" s="257"/>
      <c r="BB586" s="257"/>
      <c r="BC586" s="257"/>
      <c r="BD586" s="258"/>
      <c r="BE586" s="260"/>
      <c r="BF586" s="258"/>
      <c r="BG586" s="260"/>
      <c r="BH586" s="257"/>
      <c r="BI586" s="14"/>
    </row>
    <row r="587" spans="1:61" ht="13.15" x14ac:dyDescent="0.4">
      <c r="A587" s="248"/>
      <c r="B587" s="256"/>
      <c r="C587" s="248"/>
      <c r="D587" s="248"/>
      <c r="E587" s="248"/>
      <c r="F587" s="250"/>
      <c r="G587" s="248"/>
      <c r="H587" s="32"/>
      <c r="I587" s="248"/>
      <c r="J587" s="248"/>
      <c r="K587" s="251"/>
      <c r="L587" s="238"/>
      <c r="M587" s="248"/>
      <c r="N587" s="248"/>
      <c r="O587" s="248"/>
      <c r="P587" s="250"/>
      <c r="Q587" s="252"/>
      <c r="R587" s="248"/>
      <c r="S587" s="248"/>
      <c r="T587" s="248"/>
      <c r="U587" s="248"/>
      <c r="V587" s="248"/>
      <c r="W587" s="248"/>
      <c r="X587" s="248"/>
      <c r="Y587" s="248"/>
      <c r="Z587" s="253"/>
      <c r="AA587" s="253"/>
      <c r="AB587" s="253"/>
      <c r="AC587" s="253"/>
      <c r="AD587" s="253"/>
      <c r="AE587" s="253"/>
      <c r="AF587" s="254"/>
      <c r="AG587" s="257"/>
      <c r="AH587" s="257"/>
      <c r="AI587" s="257"/>
      <c r="AJ587" s="258"/>
      <c r="AK587" s="259"/>
      <c r="AL587" s="257"/>
      <c r="AM587" s="257"/>
      <c r="AN587" s="257"/>
      <c r="AO587" s="257"/>
      <c r="AP587" s="257"/>
      <c r="AQ587" s="258"/>
      <c r="AR587" s="260"/>
      <c r="AS587" s="257"/>
      <c r="AT587" s="257"/>
      <c r="AU587" s="257"/>
      <c r="AV587" s="257"/>
      <c r="AW587" s="257"/>
      <c r="AX587" s="258"/>
      <c r="AY587" s="260"/>
      <c r="AZ587" s="257"/>
      <c r="BA587" s="257"/>
      <c r="BB587" s="257"/>
      <c r="BC587" s="257"/>
      <c r="BD587" s="258"/>
      <c r="BE587" s="260"/>
      <c r="BF587" s="258"/>
      <c r="BG587" s="260"/>
      <c r="BH587" s="257"/>
      <c r="BI587" s="14"/>
    </row>
    <row r="588" spans="1:61" ht="13.15" x14ac:dyDescent="0.4">
      <c r="A588" s="248"/>
      <c r="B588" s="256"/>
      <c r="C588" s="248"/>
      <c r="D588" s="248"/>
      <c r="E588" s="248"/>
      <c r="F588" s="250"/>
      <c r="G588" s="248"/>
      <c r="H588" s="32"/>
      <c r="I588" s="248"/>
      <c r="J588" s="248"/>
      <c r="K588" s="251"/>
      <c r="L588" s="238"/>
      <c r="M588" s="248"/>
      <c r="N588" s="248"/>
      <c r="O588" s="248"/>
      <c r="P588" s="250"/>
      <c r="Q588" s="252"/>
      <c r="R588" s="248"/>
      <c r="S588" s="248"/>
      <c r="T588" s="248"/>
      <c r="U588" s="248"/>
      <c r="V588" s="248"/>
      <c r="W588" s="248"/>
      <c r="X588" s="248"/>
      <c r="Y588" s="248"/>
      <c r="Z588" s="253"/>
      <c r="AA588" s="253"/>
      <c r="AB588" s="253"/>
      <c r="AC588" s="253"/>
      <c r="AD588" s="253"/>
      <c r="AE588" s="253"/>
      <c r="AF588" s="254"/>
      <c r="AG588" s="257"/>
      <c r="AH588" s="257"/>
      <c r="AI588" s="257"/>
      <c r="AJ588" s="258"/>
      <c r="AK588" s="259"/>
      <c r="AL588" s="257"/>
      <c r="AM588" s="257"/>
      <c r="AN588" s="257"/>
      <c r="AO588" s="257"/>
      <c r="AP588" s="257"/>
      <c r="AQ588" s="258"/>
      <c r="AR588" s="260"/>
      <c r="AS588" s="257"/>
      <c r="AT588" s="257"/>
      <c r="AU588" s="257"/>
      <c r="AV588" s="257"/>
      <c r="AW588" s="257"/>
      <c r="AX588" s="258"/>
      <c r="AY588" s="260"/>
      <c r="AZ588" s="257"/>
      <c r="BA588" s="257"/>
      <c r="BB588" s="257"/>
      <c r="BC588" s="257"/>
      <c r="BD588" s="258"/>
      <c r="BE588" s="260"/>
      <c r="BF588" s="258"/>
      <c r="BG588" s="260"/>
      <c r="BH588" s="257"/>
      <c r="BI588" s="14"/>
    </row>
    <row r="589" spans="1:61" ht="13.15" x14ac:dyDescent="0.4">
      <c r="A589" s="248"/>
      <c r="B589" s="256"/>
      <c r="C589" s="248"/>
      <c r="D589" s="248"/>
      <c r="E589" s="248"/>
      <c r="F589" s="250"/>
      <c r="G589" s="248"/>
      <c r="H589" s="32"/>
      <c r="I589" s="248"/>
      <c r="J589" s="248"/>
      <c r="K589" s="251"/>
      <c r="L589" s="238"/>
      <c r="M589" s="248"/>
      <c r="N589" s="248"/>
      <c r="O589" s="248"/>
      <c r="P589" s="250"/>
      <c r="Q589" s="252"/>
      <c r="R589" s="248"/>
      <c r="S589" s="248"/>
      <c r="T589" s="248"/>
      <c r="U589" s="248"/>
      <c r="V589" s="248"/>
      <c r="W589" s="248"/>
      <c r="X589" s="248"/>
      <c r="Y589" s="248"/>
      <c r="Z589" s="253"/>
      <c r="AA589" s="253"/>
      <c r="AB589" s="253"/>
      <c r="AC589" s="253"/>
      <c r="AD589" s="253"/>
      <c r="AE589" s="253"/>
      <c r="AF589" s="254"/>
      <c r="AG589" s="257"/>
      <c r="AH589" s="257"/>
      <c r="AI589" s="257"/>
      <c r="AJ589" s="258"/>
      <c r="AK589" s="259"/>
      <c r="AL589" s="257"/>
      <c r="AM589" s="257"/>
      <c r="AN589" s="257"/>
      <c r="AO589" s="257"/>
      <c r="AP589" s="257"/>
      <c r="AQ589" s="258"/>
      <c r="AR589" s="260"/>
      <c r="AS589" s="257"/>
      <c r="AT589" s="257"/>
      <c r="AU589" s="257"/>
      <c r="AV589" s="257"/>
      <c r="AW589" s="257"/>
      <c r="AX589" s="258"/>
      <c r="AY589" s="260"/>
      <c r="AZ589" s="257"/>
      <c r="BA589" s="257"/>
      <c r="BB589" s="257"/>
      <c r="BC589" s="257"/>
      <c r="BD589" s="258"/>
      <c r="BE589" s="260"/>
      <c r="BF589" s="258"/>
      <c r="BG589" s="260"/>
      <c r="BH589" s="257"/>
      <c r="BI589" s="14"/>
    </row>
    <row r="590" spans="1:61" ht="13.15" x14ac:dyDescent="0.4">
      <c r="A590" s="248"/>
      <c r="B590" s="256"/>
      <c r="C590" s="248"/>
      <c r="D590" s="248"/>
      <c r="E590" s="248"/>
      <c r="F590" s="250"/>
      <c r="G590" s="248"/>
      <c r="H590" s="32"/>
      <c r="I590" s="248"/>
      <c r="J590" s="248"/>
      <c r="K590" s="251"/>
      <c r="L590" s="238"/>
      <c r="M590" s="248"/>
      <c r="N590" s="248"/>
      <c r="O590" s="248"/>
      <c r="P590" s="250"/>
      <c r="Q590" s="252"/>
      <c r="R590" s="248"/>
      <c r="S590" s="248"/>
      <c r="T590" s="248"/>
      <c r="U590" s="248"/>
      <c r="V590" s="248"/>
      <c r="W590" s="248"/>
      <c r="X590" s="248"/>
      <c r="Y590" s="248"/>
      <c r="Z590" s="253"/>
      <c r="AA590" s="253"/>
      <c r="AB590" s="253"/>
      <c r="AC590" s="253"/>
      <c r="AD590" s="253"/>
      <c r="AE590" s="253"/>
      <c r="AF590" s="254"/>
      <c r="AG590" s="257"/>
      <c r="AH590" s="257"/>
      <c r="AI590" s="257"/>
      <c r="AJ590" s="258"/>
      <c r="AK590" s="259"/>
      <c r="AL590" s="257"/>
      <c r="AM590" s="257"/>
      <c r="AN590" s="257"/>
      <c r="AO590" s="257"/>
      <c r="AP590" s="257"/>
      <c r="AQ590" s="258"/>
      <c r="AR590" s="260"/>
      <c r="AS590" s="257"/>
      <c r="AT590" s="257"/>
      <c r="AU590" s="257"/>
      <c r="AV590" s="257"/>
      <c r="AW590" s="257"/>
      <c r="AX590" s="258"/>
      <c r="AY590" s="260"/>
      <c r="AZ590" s="257"/>
      <c r="BA590" s="257"/>
      <c r="BB590" s="257"/>
      <c r="BC590" s="257"/>
      <c r="BD590" s="258"/>
      <c r="BE590" s="260"/>
      <c r="BF590" s="258"/>
      <c r="BG590" s="260"/>
      <c r="BH590" s="257"/>
      <c r="BI590" s="14"/>
    </row>
    <row r="591" spans="1:61" ht="13.15" x14ac:dyDescent="0.4">
      <c r="A591" s="248"/>
      <c r="B591" s="256"/>
      <c r="C591" s="248"/>
      <c r="D591" s="248"/>
      <c r="E591" s="248"/>
      <c r="F591" s="250"/>
      <c r="G591" s="248"/>
      <c r="H591" s="32"/>
      <c r="I591" s="248"/>
      <c r="J591" s="248"/>
      <c r="K591" s="251"/>
      <c r="L591" s="238"/>
      <c r="M591" s="248"/>
      <c r="N591" s="248"/>
      <c r="O591" s="248"/>
      <c r="P591" s="250"/>
      <c r="Q591" s="252"/>
      <c r="R591" s="248"/>
      <c r="S591" s="248"/>
      <c r="T591" s="248"/>
      <c r="U591" s="248"/>
      <c r="V591" s="248"/>
      <c r="W591" s="248"/>
      <c r="X591" s="248"/>
      <c r="Y591" s="248"/>
      <c r="Z591" s="253"/>
      <c r="AA591" s="253"/>
      <c r="AB591" s="253"/>
      <c r="AC591" s="253"/>
      <c r="AD591" s="253"/>
      <c r="AE591" s="253"/>
      <c r="AF591" s="254"/>
      <c r="AG591" s="257"/>
      <c r="AH591" s="257"/>
      <c r="AI591" s="257"/>
      <c r="AJ591" s="258"/>
      <c r="AK591" s="259"/>
      <c r="AL591" s="257"/>
      <c r="AM591" s="257"/>
      <c r="AN591" s="257"/>
      <c r="AO591" s="257"/>
      <c r="AP591" s="257"/>
      <c r="AQ591" s="258"/>
      <c r="AR591" s="260"/>
      <c r="AS591" s="257"/>
      <c r="AT591" s="257"/>
      <c r="AU591" s="257"/>
      <c r="AV591" s="257"/>
      <c r="AW591" s="257"/>
      <c r="AX591" s="258"/>
      <c r="AY591" s="260"/>
      <c r="AZ591" s="257"/>
      <c r="BA591" s="257"/>
      <c r="BB591" s="257"/>
      <c r="BC591" s="257"/>
      <c r="BD591" s="258"/>
      <c r="BE591" s="260"/>
      <c r="BF591" s="258"/>
      <c r="BG591" s="260"/>
      <c r="BH591" s="257"/>
      <c r="BI591" s="14"/>
    </row>
    <row r="592" spans="1:61" ht="13.15" x14ac:dyDescent="0.4">
      <c r="A592" s="248"/>
      <c r="B592" s="256"/>
      <c r="C592" s="248"/>
      <c r="D592" s="248"/>
      <c r="E592" s="248"/>
      <c r="F592" s="250"/>
      <c r="G592" s="248"/>
      <c r="H592" s="32"/>
      <c r="I592" s="248"/>
      <c r="J592" s="248"/>
      <c r="K592" s="251"/>
      <c r="L592" s="238"/>
      <c r="M592" s="248"/>
      <c r="N592" s="248"/>
      <c r="O592" s="248"/>
      <c r="P592" s="250"/>
      <c r="Q592" s="252"/>
      <c r="R592" s="248"/>
      <c r="S592" s="248"/>
      <c r="T592" s="248"/>
      <c r="U592" s="248"/>
      <c r="V592" s="248"/>
      <c r="W592" s="248"/>
      <c r="X592" s="248"/>
      <c r="Y592" s="248"/>
      <c r="Z592" s="253"/>
      <c r="AA592" s="253"/>
      <c r="AB592" s="253"/>
      <c r="AC592" s="253"/>
      <c r="AD592" s="253"/>
      <c r="AE592" s="253"/>
      <c r="AF592" s="254"/>
      <c r="AG592" s="257"/>
      <c r="AH592" s="257"/>
      <c r="AI592" s="257"/>
      <c r="AJ592" s="258"/>
      <c r="AK592" s="259"/>
      <c r="AL592" s="257"/>
      <c r="AM592" s="257"/>
      <c r="AN592" s="257"/>
      <c r="AO592" s="257"/>
      <c r="AP592" s="257"/>
      <c r="AQ592" s="258"/>
      <c r="AR592" s="260"/>
      <c r="AS592" s="257"/>
      <c r="AT592" s="257"/>
      <c r="AU592" s="257"/>
      <c r="AV592" s="257"/>
      <c r="AW592" s="257"/>
      <c r="AX592" s="258"/>
      <c r="AY592" s="260"/>
      <c r="AZ592" s="257"/>
      <c r="BA592" s="257"/>
      <c r="BB592" s="257"/>
      <c r="BC592" s="257"/>
      <c r="BD592" s="258"/>
      <c r="BE592" s="260"/>
      <c r="BF592" s="258"/>
      <c r="BG592" s="260"/>
      <c r="BH592" s="257"/>
      <c r="BI592" s="14"/>
    </row>
    <row r="593" spans="1:61" ht="13.15" x14ac:dyDescent="0.4">
      <c r="A593" s="248"/>
      <c r="B593" s="256"/>
      <c r="C593" s="248"/>
      <c r="D593" s="248"/>
      <c r="E593" s="248"/>
      <c r="F593" s="250"/>
      <c r="G593" s="248"/>
      <c r="H593" s="32"/>
      <c r="I593" s="248"/>
      <c r="J593" s="248"/>
      <c r="K593" s="251"/>
      <c r="L593" s="238"/>
      <c r="M593" s="248"/>
      <c r="N593" s="248"/>
      <c r="O593" s="248"/>
      <c r="P593" s="250"/>
      <c r="Q593" s="252"/>
      <c r="R593" s="248"/>
      <c r="S593" s="248"/>
      <c r="T593" s="248"/>
      <c r="U593" s="248"/>
      <c r="V593" s="248"/>
      <c r="W593" s="248"/>
      <c r="X593" s="248"/>
      <c r="Y593" s="248"/>
      <c r="Z593" s="253"/>
      <c r="AA593" s="253"/>
      <c r="AB593" s="253"/>
      <c r="AC593" s="253"/>
      <c r="AD593" s="253"/>
      <c r="AE593" s="253"/>
      <c r="AF593" s="254"/>
      <c r="AG593" s="257"/>
      <c r="AH593" s="257"/>
      <c r="AI593" s="257"/>
      <c r="AJ593" s="258"/>
      <c r="AK593" s="259"/>
      <c r="AL593" s="257"/>
      <c r="AM593" s="257"/>
      <c r="AN593" s="257"/>
      <c r="AO593" s="257"/>
      <c r="AP593" s="257"/>
      <c r="AQ593" s="258"/>
      <c r="AR593" s="260"/>
      <c r="AS593" s="257"/>
      <c r="AT593" s="257"/>
      <c r="AU593" s="257"/>
      <c r="AV593" s="257"/>
      <c r="AW593" s="257"/>
      <c r="AX593" s="258"/>
      <c r="AY593" s="260"/>
      <c r="AZ593" s="257"/>
      <c r="BA593" s="257"/>
      <c r="BB593" s="257"/>
      <c r="BC593" s="257"/>
      <c r="BD593" s="258"/>
      <c r="BE593" s="260"/>
      <c r="BF593" s="258"/>
      <c r="BG593" s="260"/>
      <c r="BH593" s="257"/>
      <c r="BI593" s="14"/>
    </row>
    <row r="594" spans="1:61" ht="13.15" x14ac:dyDescent="0.4">
      <c r="A594" s="248"/>
      <c r="B594" s="256"/>
      <c r="C594" s="248"/>
      <c r="D594" s="248"/>
      <c r="E594" s="248"/>
      <c r="F594" s="250"/>
      <c r="G594" s="248"/>
      <c r="H594" s="32"/>
      <c r="I594" s="248"/>
      <c r="J594" s="248"/>
      <c r="K594" s="251"/>
      <c r="L594" s="238"/>
      <c r="M594" s="248"/>
      <c r="N594" s="248"/>
      <c r="O594" s="248"/>
      <c r="P594" s="250"/>
      <c r="Q594" s="252"/>
      <c r="R594" s="248"/>
      <c r="S594" s="248"/>
      <c r="T594" s="248"/>
      <c r="U594" s="248"/>
      <c r="V594" s="248"/>
      <c r="W594" s="248"/>
      <c r="X594" s="248"/>
      <c r="Y594" s="248"/>
      <c r="Z594" s="253"/>
      <c r="AA594" s="253"/>
      <c r="AB594" s="253"/>
      <c r="AC594" s="253"/>
      <c r="AD594" s="253"/>
      <c r="AE594" s="253"/>
      <c r="AF594" s="254"/>
      <c r="AG594" s="257"/>
      <c r="AH594" s="257"/>
      <c r="AI594" s="257"/>
      <c r="AJ594" s="258"/>
      <c r="AK594" s="259"/>
      <c r="AL594" s="257"/>
      <c r="AM594" s="257"/>
      <c r="AN594" s="257"/>
      <c r="AO594" s="257"/>
      <c r="AP594" s="257"/>
      <c r="AQ594" s="258"/>
      <c r="AR594" s="260"/>
      <c r="AS594" s="257"/>
      <c r="AT594" s="257"/>
      <c r="AU594" s="257"/>
      <c r="AV594" s="257"/>
      <c r="AW594" s="257"/>
      <c r="AX594" s="258"/>
      <c r="AY594" s="260"/>
      <c r="AZ594" s="257"/>
      <c r="BA594" s="257"/>
      <c r="BB594" s="257"/>
      <c r="BC594" s="257"/>
      <c r="BD594" s="258"/>
      <c r="BE594" s="260"/>
      <c r="BF594" s="258"/>
      <c r="BG594" s="260"/>
      <c r="BH594" s="257"/>
      <c r="BI594" s="14"/>
    </row>
    <row r="595" spans="1:61" ht="13.15" x14ac:dyDescent="0.4">
      <c r="A595" s="248"/>
      <c r="B595" s="256"/>
      <c r="C595" s="248"/>
      <c r="D595" s="248"/>
      <c r="E595" s="248"/>
      <c r="F595" s="250"/>
      <c r="G595" s="248"/>
      <c r="H595" s="32"/>
      <c r="I595" s="248"/>
      <c r="J595" s="248"/>
      <c r="K595" s="251"/>
      <c r="L595" s="238"/>
      <c r="M595" s="248"/>
      <c r="N595" s="248"/>
      <c r="O595" s="248"/>
      <c r="P595" s="250"/>
      <c r="Q595" s="252"/>
      <c r="R595" s="248"/>
      <c r="S595" s="248"/>
      <c r="T595" s="248"/>
      <c r="U595" s="248"/>
      <c r="V595" s="248"/>
      <c r="W595" s="248"/>
      <c r="X595" s="248"/>
      <c r="Y595" s="248"/>
      <c r="Z595" s="253"/>
      <c r="AA595" s="253"/>
      <c r="AB595" s="253"/>
      <c r="AC595" s="253"/>
      <c r="AD595" s="253"/>
      <c r="AE595" s="253"/>
      <c r="AF595" s="254"/>
      <c r="AG595" s="257"/>
      <c r="AH595" s="257"/>
      <c r="AI595" s="257"/>
      <c r="AJ595" s="258"/>
      <c r="AK595" s="259"/>
      <c r="AL595" s="257"/>
      <c r="AM595" s="257"/>
      <c r="AN595" s="257"/>
      <c r="AO595" s="257"/>
      <c r="AP595" s="257"/>
      <c r="AQ595" s="258"/>
      <c r="AR595" s="260"/>
      <c r="AS595" s="257"/>
      <c r="AT595" s="257"/>
      <c r="AU595" s="257"/>
      <c r="AV595" s="257"/>
      <c r="AW595" s="257"/>
      <c r="AX595" s="258"/>
      <c r="AY595" s="260"/>
      <c r="AZ595" s="257"/>
      <c r="BA595" s="257"/>
      <c r="BB595" s="257"/>
      <c r="BC595" s="257"/>
      <c r="BD595" s="258"/>
      <c r="BE595" s="260"/>
      <c r="BF595" s="258"/>
      <c r="BG595" s="260"/>
      <c r="BH595" s="257"/>
      <c r="BI595" s="14"/>
    </row>
    <row r="596" spans="1:61" ht="13.15" x14ac:dyDescent="0.4">
      <c r="A596" s="248"/>
      <c r="B596" s="256"/>
      <c r="C596" s="248"/>
      <c r="D596" s="248"/>
      <c r="E596" s="248"/>
      <c r="F596" s="250"/>
      <c r="G596" s="248"/>
      <c r="H596" s="32"/>
      <c r="I596" s="248"/>
      <c r="J596" s="248"/>
      <c r="K596" s="251"/>
      <c r="L596" s="238"/>
      <c r="M596" s="248"/>
      <c r="N596" s="248"/>
      <c r="O596" s="248"/>
      <c r="P596" s="250"/>
      <c r="Q596" s="252"/>
      <c r="R596" s="248"/>
      <c r="S596" s="248"/>
      <c r="T596" s="248"/>
      <c r="U596" s="248"/>
      <c r="V596" s="248"/>
      <c r="W596" s="248"/>
      <c r="X596" s="248"/>
      <c r="Y596" s="248"/>
      <c r="Z596" s="253"/>
      <c r="AA596" s="253"/>
      <c r="AB596" s="253"/>
      <c r="AC596" s="253"/>
      <c r="AD596" s="253"/>
      <c r="AE596" s="253"/>
      <c r="AF596" s="254"/>
      <c r="AG596" s="257"/>
      <c r="AH596" s="257"/>
      <c r="AI596" s="257"/>
      <c r="AJ596" s="258"/>
      <c r="AK596" s="259"/>
      <c r="AL596" s="257"/>
      <c r="AM596" s="257"/>
      <c r="AN596" s="257"/>
      <c r="AO596" s="257"/>
      <c r="AP596" s="257"/>
      <c r="AQ596" s="258"/>
      <c r="AR596" s="260"/>
      <c r="AS596" s="257"/>
      <c r="AT596" s="257"/>
      <c r="AU596" s="257"/>
      <c r="AV596" s="257"/>
      <c r="AW596" s="257"/>
      <c r="AX596" s="258"/>
      <c r="AY596" s="260"/>
      <c r="AZ596" s="257"/>
      <c r="BA596" s="257"/>
      <c r="BB596" s="257"/>
      <c r="BC596" s="257"/>
      <c r="BD596" s="258"/>
      <c r="BE596" s="260"/>
      <c r="BF596" s="258"/>
      <c r="BG596" s="260"/>
      <c r="BH596" s="257"/>
      <c r="BI596" s="14"/>
    </row>
    <row r="597" spans="1:61" ht="13.15" x14ac:dyDescent="0.4">
      <c r="A597" s="248"/>
      <c r="B597" s="256"/>
      <c r="C597" s="248"/>
      <c r="D597" s="248"/>
      <c r="E597" s="248"/>
      <c r="F597" s="250"/>
      <c r="G597" s="248"/>
      <c r="H597" s="32"/>
      <c r="I597" s="248"/>
      <c r="J597" s="248"/>
      <c r="K597" s="251"/>
      <c r="L597" s="238"/>
      <c r="M597" s="248"/>
      <c r="N597" s="248"/>
      <c r="O597" s="248"/>
      <c r="P597" s="250"/>
      <c r="Q597" s="252"/>
      <c r="R597" s="248"/>
      <c r="S597" s="248"/>
      <c r="T597" s="248"/>
      <c r="U597" s="248"/>
      <c r="V597" s="248"/>
      <c r="W597" s="248"/>
      <c r="X597" s="248"/>
      <c r="Y597" s="248"/>
      <c r="Z597" s="253"/>
      <c r="AA597" s="253"/>
      <c r="AB597" s="253"/>
      <c r="AC597" s="253"/>
      <c r="AD597" s="253"/>
      <c r="AE597" s="253"/>
      <c r="AF597" s="254"/>
      <c r="AG597" s="257"/>
      <c r="AH597" s="257"/>
      <c r="AI597" s="257"/>
      <c r="AJ597" s="258"/>
      <c r="AK597" s="259"/>
      <c r="AL597" s="257"/>
      <c r="AM597" s="257"/>
      <c r="AN597" s="257"/>
      <c r="AO597" s="257"/>
      <c r="AP597" s="257"/>
      <c r="AQ597" s="258"/>
      <c r="AR597" s="260"/>
      <c r="AS597" s="257"/>
      <c r="AT597" s="257"/>
      <c r="AU597" s="257"/>
      <c r="AV597" s="257"/>
      <c r="AW597" s="257"/>
      <c r="AX597" s="258"/>
      <c r="AY597" s="260"/>
      <c r="AZ597" s="257"/>
      <c r="BA597" s="257"/>
      <c r="BB597" s="257"/>
      <c r="BC597" s="257"/>
      <c r="BD597" s="258"/>
      <c r="BE597" s="260"/>
      <c r="BF597" s="258"/>
      <c r="BG597" s="260"/>
      <c r="BH597" s="257"/>
      <c r="BI597" s="14"/>
    </row>
    <row r="598" spans="1:61" ht="13.15" x14ac:dyDescent="0.4">
      <c r="A598" s="248"/>
      <c r="B598" s="256"/>
      <c r="C598" s="248"/>
      <c r="D598" s="248"/>
      <c r="E598" s="248"/>
      <c r="F598" s="250"/>
      <c r="G598" s="248"/>
      <c r="H598" s="32"/>
      <c r="I598" s="248"/>
      <c r="J598" s="248"/>
      <c r="K598" s="251"/>
      <c r="L598" s="238"/>
      <c r="M598" s="248"/>
      <c r="N598" s="248"/>
      <c r="O598" s="248"/>
      <c r="P598" s="250"/>
      <c r="Q598" s="252"/>
      <c r="R598" s="248"/>
      <c r="S598" s="248"/>
      <c r="T598" s="248"/>
      <c r="U598" s="248"/>
      <c r="V598" s="248"/>
      <c r="W598" s="248"/>
      <c r="X598" s="248"/>
      <c r="Y598" s="248"/>
      <c r="Z598" s="253"/>
      <c r="AA598" s="253"/>
      <c r="AB598" s="253"/>
      <c r="AC598" s="253"/>
      <c r="AD598" s="253"/>
      <c r="AE598" s="253"/>
      <c r="AF598" s="254"/>
      <c r="AG598" s="257"/>
      <c r="AH598" s="257"/>
      <c r="AI598" s="257"/>
      <c r="AJ598" s="258"/>
      <c r="AK598" s="259"/>
      <c r="AL598" s="257"/>
      <c r="AM598" s="257"/>
      <c r="AN598" s="257"/>
      <c r="AO598" s="257"/>
      <c r="AP598" s="257"/>
      <c r="AQ598" s="258"/>
      <c r="AR598" s="260"/>
      <c r="AS598" s="257"/>
      <c r="AT598" s="257"/>
      <c r="AU598" s="257"/>
      <c r="AV598" s="257"/>
      <c r="AW598" s="257"/>
      <c r="AX598" s="258"/>
      <c r="AY598" s="260"/>
      <c r="AZ598" s="257"/>
      <c r="BA598" s="257"/>
      <c r="BB598" s="257"/>
      <c r="BC598" s="257"/>
      <c r="BD598" s="258"/>
      <c r="BE598" s="260"/>
      <c r="BF598" s="258"/>
      <c r="BG598" s="260"/>
      <c r="BH598" s="257"/>
      <c r="BI598" s="14"/>
    </row>
    <row r="599" spans="1:61" ht="13.15" x14ac:dyDescent="0.4">
      <c r="A599" s="248"/>
      <c r="B599" s="256"/>
      <c r="C599" s="248"/>
      <c r="D599" s="248"/>
      <c r="E599" s="248"/>
      <c r="F599" s="250"/>
      <c r="G599" s="248"/>
      <c r="H599" s="32"/>
      <c r="I599" s="248"/>
      <c r="J599" s="248"/>
      <c r="K599" s="251"/>
      <c r="L599" s="238"/>
      <c r="M599" s="248"/>
      <c r="N599" s="248"/>
      <c r="O599" s="248"/>
      <c r="P599" s="250"/>
      <c r="Q599" s="252"/>
      <c r="R599" s="248"/>
      <c r="S599" s="248"/>
      <c r="T599" s="248"/>
      <c r="U599" s="248"/>
      <c r="V599" s="248"/>
      <c r="W599" s="248"/>
      <c r="X599" s="248"/>
      <c r="Y599" s="248"/>
      <c r="Z599" s="253"/>
      <c r="AA599" s="253"/>
      <c r="AB599" s="253"/>
      <c r="AC599" s="253"/>
      <c r="AD599" s="253"/>
      <c r="AE599" s="253"/>
      <c r="AF599" s="254"/>
      <c r="AG599" s="257"/>
      <c r="AH599" s="257"/>
      <c r="AI599" s="257"/>
      <c r="AJ599" s="258"/>
      <c r="AK599" s="259"/>
      <c r="AL599" s="257"/>
      <c r="AM599" s="257"/>
      <c r="AN599" s="257"/>
      <c r="AO599" s="257"/>
      <c r="AP599" s="257"/>
      <c r="AQ599" s="258"/>
      <c r="AR599" s="260"/>
      <c r="AS599" s="257"/>
      <c r="AT599" s="257"/>
      <c r="AU599" s="257"/>
      <c r="AV599" s="257"/>
      <c r="AW599" s="257"/>
      <c r="AX599" s="258"/>
      <c r="AY599" s="260"/>
      <c r="AZ599" s="257"/>
      <c r="BA599" s="257"/>
      <c r="BB599" s="257"/>
      <c r="BC599" s="257"/>
      <c r="BD599" s="258"/>
      <c r="BE599" s="260"/>
      <c r="BF599" s="258"/>
      <c r="BG599" s="260"/>
      <c r="BH599" s="257"/>
      <c r="BI599" s="14"/>
    </row>
    <row r="600" spans="1:61" ht="13.15" x14ac:dyDescent="0.4">
      <c r="A600" s="248"/>
      <c r="B600" s="256"/>
      <c r="C600" s="248"/>
      <c r="D600" s="248"/>
      <c r="E600" s="248"/>
      <c r="F600" s="250"/>
      <c r="G600" s="248"/>
      <c r="H600" s="32"/>
      <c r="I600" s="248"/>
      <c r="J600" s="248"/>
      <c r="K600" s="251"/>
      <c r="L600" s="238"/>
      <c r="M600" s="248"/>
      <c r="N600" s="248"/>
      <c r="O600" s="248"/>
      <c r="P600" s="250"/>
      <c r="Q600" s="252"/>
      <c r="R600" s="248"/>
      <c r="S600" s="248"/>
      <c r="T600" s="248"/>
      <c r="U600" s="248"/>
      <c r="V600" s="248"/>
      <c r="W600" s="248"/>
      <c r="X600" s="248"/>
      <c r="Y600" s="248"/>
      <c r="Z600" s="253"/>
      <c r="AA600" s="253"/>
      <c r="AB600" s="253"/>
      <c r="AC600" s="253"/>
      <c r="AD600" s="253"/>
      <c r="AE600" s="253"/>
      <c r="AF600" s="254"/>
      <c r="AG600" s="257"/>
      <c r="AH600" s="257"/>
      <c r="AI600" s="257"/>
      <c r="AJ600" s="258"/>
      <c r="AK600" s="259"/>
      <c r="AL600" s="257"/>
      <c r="AM600" s="257"/>
      <c r="AN600" s="257"/>
      <c r="AO600" s="257"/>
      <c r="AP600" s="257"/>
      <c r="AQ600" s="258"/>
      <c r="AR600" s="260"/>
      <c r="AS600" s="257"/>
      <c r="AT600" s="257"/>
      <c r="AU600" s="257"/>
      <c r="AV600" s="257"/>
      <c r="AW600" s="257"/>
      <c r="AX600" s="258"/>
      <c r="AY600" s="260"/>
      <c r="AZ600" s="257"/>
      <c r="BA600" s="257"/>
      <c r="BB600" s="257"/>
      <c r="BC600" s="257"/>
      <c r="BD600" s="258"/>
      <c r="BE600" s="260"/>
      <c r="BF600" s="258"/>
      <c r="BG600" s="260"/>
      <c r="BH600" s="257"/>
      <c r="BI600" s="14"/>
    </row>
    <row r="601" spans="1:61" ht="13.15" x14ac:dyDescent="0.4">
      <c r="A601" s="248"/>
      <c r="B601" s="256"/>
      <c r="C601" s="248"/>
      <c r="D601" s="248"/>
      <c r="E601" s="248"/>
      <c r="F601" s="250"/>
      <c r="G601" s="248"/>
      <c r="H601" s="32"/>
      <c r="I601" s="248"/>
      <c r="J601" s="248"/>
      <c r="K601" s="251"/>
      <c r="L601" s="238"/>
      <c r="M601" s="248"/>
      <c r="N601" s="248"/>
      <c r="O601" s="248"/>
      <c r="P601" s="250"/>
      <c r="Q601" s="252"/>
      <c r="R601" s="248"/>
      <c r="S601" s="248"/>
      <c r="T601" s="248"/>
      <c r="U601" s="248"/>
      <c r="V601" s="248"/>
      <c r="W601" s="248"/>
      <c r="X601" s="248"/>
      <c r="Y601" s="248"/>
      <c r="Z601" s="253"/>
      <c r="AA601" s="253"/>
      <c r="AB601" s="253"/>
      <c r="AC601" s="253"/>
      <c r="AD601" s="253"/>
      <c r="AE601" s="253"/>
      <c r="AF601" s="254"/>
      <c r="AG601" s="257"/>
      <c r="AH601" s="257"/>
      <c r="AI601" s="257"/>
      <c r="AJ601" s="258"/>
      <c r="AK601" s="259"/>
      <c r="AL601" s="257"/>
      <c r="AM601" s="257"/>
      <c r="AN601" s="257"/>
      <c r="AO601" s="257"/>
      <c r="AP601" s="257"/>
      <c r="AQ601" s="258"/>
      <c r="AR601" s="260"/>
      <c r="AS601" s="257"/>
      <c r="AT601" s="257"/>
      <c r="AU601" s="257"/>
      <c r="AV601" s="257"/>
      <c r="AW601" s="257"/>
      <c r="AX601" s="258"/>
      <c r="AY601" s="260"/>
      <c r="AZ601" s="257"/>
      <c r="BA601" s="257"/>
      <c r="BB601" s="257"/>
      <c r="BC601" s="257"/>
      <c r="BD601" s="258"/>
      <c r="BE601" s="260"/>
      <c r="BF601" s="258"/>
      <c r="BG601" s="260"/>
      <c r="BH601" s="257"/>
      <c r="BI601" s="14"/>
    </row>
    <row r="602" spans="1:61" ht="13.15" x14ac:dyDescent="0.4">
      <c r="A602" s="248"/>
      <c r="B602" s="256"/>
      <c r="C602" s="248"/>
      <c r="D602" s="248"/>
      <c r="E602" s="248"/>
      <c r="F602" s="250"/>
      <c r="G602" s="248"/>
      <c r="H602" s="32"/>
      <c r="I602" s="248"/>
      <c r="J602" s="248"/>
      <c r="K602" s="251"/>
      <c r="L602" s="238"/>
      <c r="M602" s="248"/>
      <c r="N602" s="248"/>
      <c r="O602" s="248"/>
      <c r="P602" s="250"/>
      <c r="Q602" s="252"/>
      <c r="R602" s="248"/>
      <c r="S602" s="248"/>
      <c r="T602" s="248"/>
      <c r="U602" s="248"/>
      <c r="V602" s="248"/>
      <c r="W602" s="248"/>
      <c r="X602" s="248"/>
      <c r="Y602" s="248"/>
      <c r="Z602" s="253"/>
      <c r="AA602" s="253"/>
      <c r="AB602" s="253"/>
      <c r="AC602" s="253"/>
      <c r="AD602" s="253"/>
      <c r="AE602" s="253"/>
      <c r="AF602" s="254"/>
      <c r="AG602" s="257"/>
      <c r="AH602" s="257"/>
      <c r="AI602" s="257"/>
      <c r="AJ602" s="258"/>
      <c r="AK602" s="259"/>
      <c r="AL602" s="257"/>
      <c r="AM602" s="257"/>
      <c r="AN602" s="257"/>
      <c r="AO602" s="257"/>
      <c r="AP602" s="257"/>
      <c r="AQ602" s="258"/>
      <c r="AR602" s="260"/>
      <c r="AS602" s="257"/>
      <c r="AT602" s="257"/>
      <c r="AU602" s="257"/>
      <c r="AV602" s="257"/>
      <c r="AW602" s="257"/>
      <c r="AX602" s="258"/>
      <c r="AY602" s="260"/>
      <c r="AZ602" s="257"/>
      <c r="BA602" s="257"/>
      <c r="BB602" s="257"/>
      <c r="BC602" s="257"/>
      <c r="BD602" s="258"/>
      <c r="BE602" s="260"/>
      <c r="BF602" s="258"/>
      <c r="BG602" s="260"/>
      <c r="BH602" s="257"/>
      <c r="BI602" s="14"/>
    </row>
    <row r="603" spans="1:61" ht="13.15" x14ac:dyDescent="0.4">
      <c r="A603" s="248"/>
      <c r="B603" s="256"/>
      <c r="C603" s="248"/>
      <c r="D603" s="248"/>
      <c r="E603" s="248"/>
      <c r="F603" s="250"/>
      <c r="G603" s="248"/>
      <c r="H603" s="32"/>
      <c r="I603" s="248"/>
      <c r="J603" s="248"/>
      <c r="K603" s="251"/>
      <c r="L603" s="238"/>
      <c r="M603" s="248"/>
      <c r="N603" s="248"/>
      <c r="O603" s="248"/>
      <c r="P603" s="250"/>
      <c r="Q603" s="252"/>
      <c r="R603" s="248"/>
      <c r="S603" s="248"/>
      <c r="T603" s="248"/>
      <c r="U603" s="248"/>
      <c r="V603" s="248"/>
      <c r="W603" s="248"/>
      <c r="X603" s="248"/>
      <c r="Y603" s="248"/>
      <c r="Z603" s="253"/>
      <c r="AA603" s="253"/>
      <c r="AB603" s="253"/>
      <c r="AC603" s="253"/>
      <c r="AD603" s="253"/>
      <c r="AE603" s="253"/>
      <c r="AF603" s="254"/>
      <c r="AG603" s="257"/>
      <c r="AH603" s="257"/>
      <c r="AI603" s="257"/>
      <c r="AJ603" s="258"/>
      <c r="AK603" s="259"/>
      <c r="AL603" s="257"/>
      <c r="AM603" s="257"/>
      <c r="AN603" s="257"/>
      <c r="AO603" s="257"/>
      <c r="AP603" s="257"/>
      <c r="AQ603" s="258"/>
      <c r="AR603" s="260"/>
      <c r="AS603" s="257"/>
      <c r="AT603" s="257"/>
      <c r="AU603" s="257"/>
      <c r="AV603" s="257"/>
      <c r="AW603" s="257"/>
      <c r="AX603" s="258"/>
      <c r="AY603" s="260"/>
      <c r="AZ603" s="257"/>
      <c r="BA603" s="257"/>
      <c r="BB603" s="257"/>
      <c r="BC603" s="257"/>
      <c r="BD603" s="258"/>
      <c r="BE603" s="260"/>
      <c r="BF603" s="258"/>
      <c r="BG603" s="260"/>
      <c r="BH603" s="257"/>
      <c r="BI603" s="14"/>
    </row>
    <row r="604" spans="1:61" ht="13.15" x14ac:dyDescent="0.4">
      <c r="A604" s="248"/>
      <c r="B604" s="256"/>
      <c r="C604" s="248"/>
      <c r="D604" s="248"/>
      <c r="E604" s="248"/>
      <c r="F604" s="250"/>
      <c r="G604" s="248"/>
      <c r="H604" s="32"/>
      <c r="I604" s="248"/>
      <c r="J604" s="248"/>
      <c r="K604" s="251"/>
      <c r="L604" s="238"/>
      <c r="M604" s="248"/>
      <c r="N604" s="248"/>
      <c r="O604" s="248"/>
      <c r="P604" s="250"/>
      <c r="Q604" s="252"/>
      <c r="R604" s="248"/>
      <c r="S604" s="248"/>
      <c r="T604" s="248"/>
      <c r="U604" s="248"/>
      <c r="V604" s="248"/>
      <c r="W604" s="248"/>
      <c r="X604" s="248"/>
      <c r="Y604" s="248"/>
      <c r="Z604" s="253"/>
      <c r="AA604" s="253"/>
      <c r="AB604" s="253"/>
      <c r="AC604" s="253"/>
      <c r="AD604" s="253"/>
      <c r="AE604" s="253"/>
      <c r="AF604" s="254"/>
      <c r="AG604" s="257"/>
      <c r="AH604" s="257"/>
      <c r="AI604" s="257"/>
      <c r="AJ604" s="258"/>
      <c r="AK604" s="259"/>
      <c r="AL604" s="257"/>
      <c r="AM604" s="257"/>
      <c r="AN604" s="257"/>
      <c r="AO604" s="257"/>
      <c r="AP604" s="257"/>
      <c r="AQ604" s="258"/>
      <c r="AR604" s="260"/>
      <c r="AS604" s="257"/>
      <c r="AT604" s="257"/>
      <c r="AU604" s="257"/>
      <c r="AV604" s="257"/>
      <c r="AW604" s="257"/>
      <c r="AX604" s="258"/>
      <c r="AY604" s="260"/>
      <c r="AZ604" s="257"/>
      <c r="BA604" s="257"/>
      <c r="BB604" s="257"/>
      <c r="BC604" s="257"/>
      <c r="BD604" s="258"/>
      <c r="BE604" s="260"/>
      <c r="BF604" s="258"/>
      <c r="BG604" s="260"/>
      <c r="BH604" s="257"/>
      <c r="BI604" s="14"/>
    </row>
    <row r="605" spans="1:61" ht="13.15" x14ac:dyDescent="0.4">
      <c r="A605" s="248"/>
      <c r="B605" s="256"/>
      <c r="C605" s="248"/>
      <c r="D605" s="248"/>
      <c r="E605" s="248"/>
      <c r="F605" s="250"/>
      <c r="G605" s="248"/>
      <c r="H605" s="32"/>
      <c r="I605" s="248"/>
      <c r="J605" s="248"/>
      <c r="K605" s="251"/>
      <c r="L605" s="238"/>
      <c r="M605" s="248"/>
      <c r="N605" s="248"/>
      <c r="O605" s="248"/>
      <c r="P605" s="250"/>
      <c r="Q605" s="252"/>
      <c r="R605" s="248"/>
      <c r="S605" s="248"/>
      <c r="T605" s="248"/>
      <c r="U605" s="248"/>
      <c r="V605" s="248"/>
      <c r="W605" s="248"/>
      <c r="X605" s="248"/>
      <c r="Y605" s="248"/>
      <c r="Z605" s="253"/>
      <c r="AA605" s="253"/>
      <c r="AB605" s="253"/>
      <c r="AC605" s="253"/>
      <c r="AD605" s="253"/>
      <c r="AE605" s="253"/>
      <c r="AF605" s="254"/>
      <c r="AG605" s="257"/>
      <c r="AH605" s="257"/>
      <c r="AI605" s="257"/>
      <c r="AJ605" s="258"/>
      <c r="AK605" s="259"/>
      <c r="AL605" s="257"/>
      <c r="AM605" s="257"/>
      <c r="AN605" s="257"/>
      <c r="AO605" s="257"/>
      <c r="AP605" s="257"/>
      <c r="AQ605" s="258"/>
      <c r="AR605" s="260"/>
      <c r="AS605" s="257"/>
      <c r="AT605" s="257"/>
      <c r="AU605" s="257"/>
      <c r="AV605" s="257"/>
      <c r="AW605" s="257"/>
      <c r="AX605" s="258"/>
      <c r="AY605" s="260"/>
      <c r="AZ605" s="257"/>
      <c r="BA605" s="257"/>
      <c r="BB605" s="257"/>
      <c r="BC605" s="257"/>
      <c r="BD605" s="258"/>
      <c r="BE605" s="260"/>
      <c r="BF605" s="258"/>
      <c r="BG605" s="260"/>
      <c r="BH605" s="257"/>
      <c r="BI605" s="14"/>
    </row>
    <row r="606" spans="1:61" ht="13.15" x14ac:dyDescent="0.4">
      <c r="A606" s="248"/>
      <c r="B606" s="256"/>
      <c r="C606" s="248"/>
      <c r="D606" s="248"/>
      <c r="E606" s="248"/>
      <c r="F606" s="250"/>
      <c r="G606" s="248"/>
      <c r="H606" s="32"/>
      <c r="I606" s="248"/>
      <c r="J606" s="248"/>
      <c r="K606" s="251"/>
      <c r="L606" s="238"/>
      <c r="M606" s="248"/>
      <c r="N606" s="248"/>
      <c r="O606" s="248"/>
      <c r="P606" s="250"/>
      <c r="Q606" s="252"/>
      <c r="R606" s="248"/>
      <c r="S606" s="248"/>
      <c r="T606" s="248"/>
      <c r="U606" s="248"/>
      <c r="V606" s="248"/>
      <c r="W606" s="248"/>
      <c r="X606" s="248"/>
      <c r="Y606" s="248"/>
      <c r="Z606" s="253"/>
      <c r="AA606" s="253"/>
      <c r="AB606" s="253"/>
      <c r="AC606" s="253"/>
      <c r="AD606" s="253"/>
      <c r="AE606" s="253"/>
      <c r="AF606" s="254"/>
      <c r="AG606" s="257"/>
      <c r="AH606" s="257"/>
      <c r="AI606" s="257"/>
      <c r="AJ606" s="258"/>
      <c r="AK606" s="259"/>
      <c r="AL606" s="257"/>
      <c r="AM606" s="257"/>
      <c r="AN606" s="257"/>
      <c r="AO606" s="257"/>
      <c r="AP606" s="257"/>
      <c r="AQ606" s="258"/>
      <c r="AR606" s="260"/>
      <c r="AS606" s="257"/>
      <c r="AT606" s="257"/>
      <c r="AU606" s="257"/>
      <c r="AV606" s="257"/>
      <c r="AW606" s="257"/>
      <c r="AX606" s="258"/>
      <c r="AY606" s="260"/>
      <c r="AZ606" s="257"/>
      <c r="BA606" s="257"/>
      <c r="BB606" s="257"/>
      <c r="BC606" s="257"/>
      <c r="BD606" s="258"/>
      <c r="BE606" s="260"/>
      <c r="BF606" s="258"/>
      <c r="BG606" s="260"/>
      <c r="BH606" s="257"/>
      <c r="BI606" s="14"/>
    </row>
    <row r="607" spans="1:61" ht="13.15" x14ac:dyDescent="0.4">
      <c r="A607" s="248"/>
      <c r="B607" s="256"/>
      <c r="C607" s="248"/>
      <c r="D607" s="248"/>
      <c r="E607" s="248"/>
      <c r="F607" s="250"/>
      <c r="G607" s="248"/>
      <c r="H607" s="32"/>
      <c r="I607" s="248"/>
      <c r="J607" s="248"/>
      <c r="K607" s="251"/>
      <c r="L607" s="238"/>
      <c r="M607" s="248"/>
      <c r="N607" s="248"/>
      <c r="O607" s="248"/>
      <c r="P607" s="250"/>
      <c r="Q607" s="252"/>
      <c r="R607" s="248"/>
      <c r="S607" s="248"/>
      <c r="T607" s="248"/>
      <c r="U607" s="248"/>
      <c r="V607" s="248"/>
      <c r="W607" s="248"/>
      <c r="X607" s="248"/>
      <c r="Y607" s="248"/>
      <c r="Z607" s="253"/>
      <c r="AA607" s="253"/>
      <c r="AB607" s="253"/>
      <c r="AC607" s="253"/>
      <c r="AD607" s="253"/>
      <c r="AE607" s="253"/>
      <c r="AF607" s="254"/>
      <c r="AG607" s="257"/>
      <c r="AH607" s="257"/>
      <c r="AI607" s="257"/>
      <c r="AJ607" s="258"/>
      <c r="AK607" s="259"/>
      <c r="AL607" s="257"/>
      <c r="AM607" s="257"/>
      <c r="AN607" s="257"/>
      <c r="AO607" s="257"/>
      <c r="AP607" s="257"/>
      <c r="AQ607" s="258"/>
      <c r="AR607" s="260"/>
      <c r="AS607" s="257"/>
      <c r="AT607" s="257"/>
      <c r="AU607" s="257"/>
      <c r="AV607" s="257"/>
      <c r="AW607" s="257"/>
      <c r="AX607" s="258"/>
      <c r="AY607" s="260"/>
      <c r="AZ607" s="257"/>
      <c r="BA607" s="257"/>
      <c r="BB607" s="257"/>
      <c r="BC607" s="257"/>
      <c r="BD607" s="258"/>
      <c r="BE607" s="260"/>
      <c r="BF607" s="258"/>
      <c r="BG607" s="260"/>
      <c r="BH607" s="257"/>
      <c r="BI607" s="14"/>
    </row>
    <row r="608" spans="1:61" ht="13.15" x14ac:dyDescent="0.4">
      <c r="A608" s="248"/>
      <c r="B608" s="256"/>
      <c r="C608" s="248"/>
      <c r="D608" s="248"/>
      <c r="E608" s="248"/>
      <c r="F608" s="250"/>
      <c r="G608" s="248"/>
      <c r="H608" s="32"/>
      <c r="I608" s="248"/>
      <c r="J608" s="248"/>
      <c r="K608" s="251"/>
      <c r="L608" s="238"/>
      <c r="M608" s="248"/>
      <c r="N608" s="248"/>
      <c r="O608" s="248"/>
      <c r="P608" s="250"/>
      <c r="Q608" s="252"/>
      <c r="R608" s="248"/>
      <c r="S608" s="248"/>
      <c r="T608" s="248"/>
      <c r="U608" s="248"/>
      <c r="V608" s="248"/>
      <c r="W608" s="248"/>
      <c r="X608" s="248"/>
      <c r="Y608" s="248"/>
      <c r="Z608" s="253"/>
      <c r="AA608" s="253"/>
      <c r="AB608" s="253"/>
      <c r="AC608" s="253"/>
      <c r="AD608" s="253"/>
      <c r="AE608" s="253"/>
      <c r="AF608" s="254"/>
      <c r="AG608" s="257"/>
      <c r="AH608" s="257"/>
      <c r="AI608" s="257"/>
      <c r="AJ608" s="258"/>
      <c r="AK608" s="259"/>
      <c r="AL608" s="257"/>
      <c r="AM608" s="257"/>
      <c r="AN608" s="257"/>
      <c r="AO608" s="257"/>
      <c r="AP608" s="257"/>
      <c r="AQ608" s="258"/>
      <c r="AR608" s="260"/>
      <c r="AS608" s="257"/>
      <c r="AT608" s="257"/>
      <c r="AU608" s="257"/>
      <c r="AV608" s="257"/>
      <c r="AW608" s="257"/>
      <c r="AX608" s="258"/>
      <c r="AY608" s="260"/>
      <c r="AZ608" s="257"/>
      <c r="BA608" s="257"/>
      <c r="BB608" s="257"/>
      <c r="BC608" s="257"/>
      <c r="BD608" s="258"/>
      <c r="BE608" s="260"/>
      <c r="BF608" s="258"/>
      <c r="BG608" s="260"/>
      <c r="BH608" s="257"/>
      <c r="BI608" s="14"/>
    </row>
    <row r="609" spans="1:61" ht="13.15" x14ac:dyDescent="0.4">
      <c r="A609" s="248"/>
      <c r="B609" s="256"/>
      <c r="C609" s="248"/>
      <c r="D609" s="248"/>
      <c r="E609" s="248"/>
      <c r="F609" s="250"/>
      <c r="G609" s="248"/>
      <c r="H609" s="32"/>
      <c r="I609" s="248"/>
      <c r="J609" s="248"/>
      <c r="K609" s="251"/>
      <c r="L609" s="238"/>
      <c r="M609" s="248"/>
      <c r="N609" s="248"/>
      <c r="O609" s="248"/>
      <c r="P609" s="250"/>
      <c r="Q609" s="252"/>
      <c r="R609" s="248"/>
      <c r="S609" s="248"/>
      <c r="T609" s="248"/>
      <c r="U609" s="248"/>
      <c r="V609" s="248"/>
      <c r="W609" s="248"/>
      <c r="X609" s="248"/>
      <c r="Y609" s="248"/>
      <c r="Z609" s="253"/>
      <c r="AA609" s="253"/>
      <c r="AB609" s="253"/>
      <c r="AC609" s="253"/>
      <c r="AD609" s="253"/>
      <c r="AE609" s="253"/>
      <c r="AF609" s="254"/>
      <c r="AG609" s="257"/>
      <c r="AH609" s="257"/>
      <c r="AI609" s="257"/>
      <c r="AJ609" s="258"/>
      <c r="AK609" s="259"/>
      <c r="AL609" s="257"/>
      <c r="AM609" s="257"/>
      <c r="AN609" s="257"/>
      <c r="AO609" s="257"/>
      <c r="AP609" s="257"/>
      <c r="AQ609" s="258"/>
      <c r="AR609" s="260"/>
      <c r="AS609" s="257"/>
      <c r="AT609" s="257"/>
      <c r="AU609" s="257"/>
      <c r="AV609" s="257"/>
      <c r="AW609" s="257"/>
      <c r="AX609" s="258"/>
      <c r="AY609" s="260"/>
      <c r="AZ609" s="257"/>
      <c r="BA609" s="257"/>
      <c r="BB609" s="257"/>
      <c r="BC609" s="257"/>
      <c r="BD609" s="258"/>
      <c r="BE609" s="260"/>
      <c r="BF609" s="258"/>
      <c r="BG609" s="260"/>
      <c r="BH609" s="257"/>
      <c r="BI609" s="14"/>
    </row>
    <row r="610" spans="1:61" ht="13.15" x14ac:dyDescent="0.4">
      <c r="A610" s="248"/>
      <c r="B610" s="256"/>
      <c r="C610" s="248"/>
      <c r="D610" s="248"/>
      <c r="E610" s="248"/>
      <c r="F610" s="250"/>
      <c r="G610" s="248"/>
      <c r="H610" s="32"/>
      <c r="I610" s="248"/>
      <c r="J610" s="248"/>
      <c r="K610" s="251"/>
      <c r="L610" s="238"/>
      <c r="M610" s="248"/>
      <c r="N610" s="248"/>
      <c r="O610" s="248"/>
      <c r="P610" s="250"/>
      <c r="Q610" s="252"/>
      <c r="R610" s="248"/>
      <c r="S610" s="248"/>
      <c r="T610" s="248"/>
      <c r="U610" s="248"/>
      <c r="V610" s="248"/>
      <c r="W610" s="248"/>
      <c r="X610" s="248"/>
      <c r="Y610" s="248"/>
      <c r="Z610" s="253"/>
      <c r="AA610" s="253"/>
      <c r="AB610" s="253"/>
      <c r="AC610" s="253"/>
      <c r="AD610" s="253"/>
      <c r="AE610" s="253"/>
      <c r="AF610" s="254"/>
      <c r="AG610" s="257"/>
      <c r="AH610" s="257"/>
      <c r="AI610" s="257"/>
      <c r="AJ610" s="258"/>
      <c r="AK610" s="259"/>
      <c r="AL610" s="257"/>
      <c r="AM610" s="257"/>
      <c r="AN610" s="257"/>
      <c r="AO610" s="257"/>
      <c r="AP610" s="257"/>
      <c r="AQ610" s="258"/>
      <c r="AR610" s="260"/>
      <c r="AS610" s="257"/>
      <c r="AT610" s="257"/>
      <c r="AU610" s="257"/>
      <c r="AV610" s="257"/>
      <c r="AW610" s="257"/>
      <c r="AX610" s="258"/>
      <c r="AY610" s="260"/>
      <c r="AZ610" s="257"/>
      <c r="BA610" s="257"/>
      <c r="BB610" s="257"/>
      <c r="BC610" s="257"/>
      <c r="BD610" s="258"/>
      <c r="BE610" s="260"/>
      <c r="BF610" s="258"/>
      <c r="BG610" s="260"/>
      <c r="BH610" s="257"/>
      <c r="BI610" s="14"/>
    </row>
    <row r="611" spans="1:61" ht="13.15" x14ac:dyDescent="0.4">
      <c r="A611" s="248"/>
      <c r="B611" s="256"/>
      <c r="C611" s="248"/>
      <c r="D611" s="248"/>
      <c r="E611" s="248"/>
      <c r="F611" s="250"/>
      <c r="G611" s="248"/>
      <c r="H611" s="32"/>
      <c r="I611" s="248"/>
      <c r="J611" s="248"/>
      <c r="K611" s="251"/>
      <c r="L611" s="238"/>
      <c r="M611" s="248"/>
      <c r="N611" s="248"/>
      <c r="O611" s="248"/>
      <c r="P611" s="250"/>
      <c r="Q611" s="252"/>
      <c r="R611" s="248"/>
      <c r="S611" s="248"/>
      <c r="T611" s="248"/>
      <c r="U611" s="248"/>
      <c r="V611" s="248"/>
      <c r="W611" s="248"/>
      <c r="X611" s="248"/>
      <c r="Y611" s="248"/>
      <c r="Z611" s="253"/>
      <c r="AA611" s="253"/>
      <c r="AB611" s="253"/>
      <c r="AC611" s="253"/>
      <c r="AD611" s="253"/>
      <c r="AE611" s="253"/>
      <c r="AF611" s="254"/>
      <c r="AG611" s="257"/>
      <c r="AH611" s="257"/>
      <c r="AI611" s="257"/>
      <c r="AJ611" s="258"/>
      <c r="AK611" s="259"/>
      <c r="AL611" s="257"/>
      <c r="AM611" s="257"/>
      <c r="AN611" s="257"/>
      <c r="AO611" s="257"/>
      <c r="AP611" s="257"/>
      <c r="AQ611" s="258"/>
      <c r="AR611" s="260"/>
      <c r="AS611" s="257"/>
      <c r="AT611" s="257"/>
      <c r="AU611" s="257"/>
      <c r="AV611" s="257"/>
      <c r="AW611" s="257"/>
      <c r="AX611" s="258"/>
      <c r="AY611" s="260"/>
      <c r="AZ611" s="257"/>
      <c r="BA611" s="257"/>
      <c r="BB611" s="257"/>
      <c r="BC611" s="257"/>
      <c r="BD611" s="258"/>
      <c r="BE611" s="260"/>
      <c r="BF611" s="258"/>
      <c r="BG611" s="260"/>
      <c r="BH611" s="257"/>
      <c r="BI611" s="14"/>
    </row>
    <row r="612" spans="1:61" ht="13.15" x14ac:dyDescent="0.4">
      <c r="A612" s="248"/>
      <c r="B612" s="256"/>
      <c r="C612" s="248"/>
      <c r="D612" s="248"/>
      <c r="E612" s="248"/>
      <c r="F612" s="250"/>
      <c r="G612" s="248"/>
      <c r="H612" s="32"/>
      <c r="I612" s="248"/>
      <c r="J612" s="248"/>
      <c r="K612" s="251"/>
      <c r="L612" s="238"/>
      <c r="M612" s="248"/>
      <c r="N612" s="248"/>
      <c r="O612" s="248"/>
      <c r="P612" s="250"/>
      <c r="Q612" s="252"/>
      <c r="R612" s="248"/>
      <c r="S612" s="248"/>
      <c r="T612" s="248"/>
      <c r="U612" s="248"/>
      <c r="V612" s="248"/>
      <c r="W612" s="248"/>
      <c r="X612" s="248"/>
      <c r="Y612" s="248"/>
      <c r="Z612" s="253"/>
      <c r="AA612" s="253"/>
      <c r="AB612" s="253"/>
      <c r="AC612" s="253"/>
      <c r="AD612" s="253"/>
      <c r="AE612" s="253"/>
      <c r="AF612" s="254"/>
      <c r="AG612" s="257"/>
      <c r="AH612" s="257"/>
      <c r="AI612" s="257"/>
      <c r="AJ612" s="258"/>
      <c r="AK612" s="259"/>
      <c r="AL612" s="257"/>
      <c r="AM612" s="257"/>
      <c r="AN612" s="257"/>
      <c r="AO612" s="257"/>
      <c r="AP612" s="257"/>
      <c r="AQ612" s="258"/>
      <c r="AR612" s="260"/>
      <c r="AS612" s="257"/>
      <c r="AT612" s="257"/>
      <c r="AU612" s="257"/>
      <c r="AV612" s="257"/>
      <c r="AW612" s="257"/>
      <c r="AX612" s="258"/>
      <c r="AY612" s="260"/>
      <c r="AZ612" s="257"/>
      <c r="BA612" s="257"/>
      <c r="BB612" s="257"/>
      <c r="BC612" s="257"/>
      <c r="BD612" s="258"/>
      <c r="BE612" s="260"/>
      <c r="BF612" s="258"/>
      <c r="BG612" s="260"/>
      <c r="BH612" s="257"/>
      <c r="BI612" s="14"/>
    </row>
    <row r="613" spans="1:61" ht="13.15" x14ac:dyDescent="0.4">
      <c r="A613" s="248"/>
      <c r="B613" s="256"/>
      <c r="C613" s="248"/>
      <c r="D613" s="248"/>
      <c r="E613" s="248"/>
      <c r="F613" s="250"/>
      <c r="G613" s="248"/>
      <c r="H613" s="32"/>
      <c r="I613" s="248"/>
      <c r="J613" s="248"/>
      <c r="K613" s="251"/>
      <c r="L613" s="238"/>
      <c r="M613" s="248"/>
      <c r="N613" s="248"/>
      <c r="O613" s="248"/>
      <c r="P613" s="250"/>
      <c r="Q613" s="252"/>
      <c r="R613" s="248"/>
      <c r="S613" s="248"/>
      <c r="T613" s="248"/>
      <c r="U613" s="248"/>
      <c r="V613" s="248"/>
      <c r="W613" s="248"/>
      <c r="X613" s="248"/>
      <c r="Y613" s="248"/>
      <c r="Z613" s="253"/>
      <c r="AA613" s="253"/>
      <c r="AB613" s="253"/>
      <c r="AC613" s="253"/>
      <c r="AD613" s="253"/>
      <c r="AE613" s="253"/>
      <c r="AF613" s="254"/>
      <c r="AG613" s="257"/>
      <c r="AH613" s="257"/>
      <c r="AI613" s="257"/>
      <c r="AJ613" s="258"/>
      <c r="AK613" s="259"/>
      <c r="AL613" s="257"/>
      <c r="AM613" s="257"/>
      <c r="AN613" s="257"/>
      <c r="AO613" s="257"/>
      <c r="AP613" s="257"/>
      <c r="AQ613" s="258"/>
      <c r="AR613" s="260"/>
      <c r="AS613" s="257"/>
      <c r="AT613" s="257"/>
      <c r="AU613" s="257"/>
      <c r="AV613" s="257"/>
      <c r="AW613" s="257"/>
      <c r="AX613" s="258"/>
      <c r="AY613" s="260"/>
      <c r="AZ613" s="257"/>
      <c r="BA613" s="257"/>
      <c r="BB613" s="257"/>
      <c r="BC613" s="257"/>
      <c r="BD613" s="258"/>
      <c r="BE613" s="260"/>
      <c r="BF613" s="258"/>
      <c r="BG613" s="260"/>
      <c r="BH613" s="257"/>
      <c r="BI613" s="14"/>
    </row>
    <row r="614" spans="1:61" ht="13.15" x14ac:dyDescent="0.4">
      <c r="A614" s="248"/>
      <c r="B614" s="256"/>
      <c r="C614" s="248"/>
      <c r="D614" s="248"/>
      <c r="E614" s="248"/>
      <c r="F614" s="250"/>
      <c r="G614" s="248"/>
      <c r="H614" s="32"/>
      <c r="I614" s="248"/>
      <c r="J614" s="248"/>
      <c r="K614" s="251"/>
      <c r="L614" s="238"/>
      <c r="M614" s="248"/>
      <c r="N614" s="248"/>
      <c r="O614" s="248"/>
      <c r="P614" s="250"/>
      <c r="Q614" s="252"/>
      <c r="R614" s="248"/>
      <c r="S614" s="248"/>
      <c r="T614" s="248"/>
      <c r="U614" s="248"/>
      <c r="V614" s="248"/>
      <c r="W614" s="248"/>
      <c r="X614" s="248"/>
      <c r="Y614" s="248"/>
      <c r="Z614" s="253"/>
      <c r="AA614" s="253"/>
      <c r="AB614" s="253"/>
      <c r="AC614" s="253"/>
      <c r="AD614" s="253"/>
      <c r="AE614" s="253"/>
      <c r="AF614" s="254"/>
      <c r="AG614" s="257"/>
      <c r="AH614" s="257"/>
      <c r="AI614" s="257"/>
      <c r="AJ614" s="258"/>
      <c r="AK614" s="259"/>
      <c r="AL614" s="257"/>
      <c r="AM614" s="257"/>
      <c r="AN614" s="257"/>
      <c r="AO614" s="257"/>
      <c r="AP614" s="257"/>
      <c r="AQ614" s="258"/>
      <c r="AR614" s="260"/>
      <c r="AS614" s="257"/>
      <c r="AT614" s="257"/>
      <c r="AU614" s="257"/>
      <c r="AV614" s="257"/>
      <c r="AW614" s="257"/>
      <c r="AX614" s="258"/>
      <c r="AY614" s="260"/>
      <c r="AZ614" s="257"/>
      <c r="BA614" s="257"/>
      <c r="BB614" s="257"/>
      <c r="BC614" s="257"/>
      <c r="BD614" s="258"/>
      <c r="BE614" s="260"/>
      <c r="BF614" s="258"/>
      <c r="BG614" s="260"/>
      <c r="BH614" s="257"/>
      <c r="BI614" s="14"/>
    </row>
    <row r="615" spans="1:61" ht="13.15" x14ac:dyDescent="0.4">
      <c r="A615" s="248"/>
      <c r="B615" s="256"/>
      <c r="C615" s="248"/>
      <c r="D615" s="248"/>
      <c r="E615" s="248"/>
      <c r="F615" s="250"/>
      <c r="G615" s="248"/>
      <c r="H615" s="32"/>
      <c r="I615" s="248"/>
      <c r="J615" s="248"/>
      <c r="K615" s="251"/>
      <c r="L615" s="238"/>
      <c r="M615" s="248"/>
      <c r="N615" s="248"/>
      <c r="O615" s="248"/>
      <c r="P615" s="250"/>
      <c r="Q615" s="252"/>
      <c r="R615" s="248"/>
      <c r="S615" s="248"/>
      <c r="T615" s="248"/>
      <c r="U615" s="248"/>
      <c r="V615" s="248"/>
      <c r="W615" s="248"/>
      <c r="X615" s="248"/>
      <c r="Y615" s="248"/>
      <c r="Z615" s="253"/>
      <c r="AA615" s="253"/>
      <c r="AB615" s="253"/>
      <c r="AC615" s="253"/>
      <c r="AD615" s="253"/>
      <c r="AE615" s="253"/>
      <c r="AF615" s="254"/>
      <c r="AG615" s="257"/>
      <c r="AH615" s="257"/>
      <c r="AI615" s="257"/>
      <c r="AJ615" s="258"/>
      <c r="AK615" s="259"/>
      <c r="AL615" s="257"/>
      <c r="AM615" s="257"/>
      <c r="AN615" s="257"/>
      <c r="AO615" s="257"/>
      <c r="AP615" s="257"/>
      <c r="AQ615" s="258"/>
      <c r="AR615" s="260"/>
      <c r="AS615" s="257"/>
      <c r="AT615" s="257"/>
      <c r="AU615" s="257"/>
      <c r="AV615" s="257"/>
      <c r="AW615" s="257"/>
      <c r="AX615" s="258"/>
      <c r="AY615" s="260"/>
      <c r="AZ615" s="257"/>
      <c r="BA615" s="257"/>
      <c r="BB615" s="257"/>
      <c r="BC615" s="257"/>
      <c r="BD615" s="258"/>
      <c r="BE615" s="260"/>
      <c r="BF615" s="258"/>
      <c r="BG615" s="260"/>
      <c r="BH615" s="257"/>
      <c r="BI615" s="14"/>
    </row>
    <row r="616" spans="1:61" ht="13.15" x14ac:dyDescent="0.4">
      <c r="A616" s="248"/>
      <c r="B616" s="256"/>
      <c r="C616" s="248"/>
      <c r="D616" s="248"/>
      <c r="E616" s="248"/>
      <c r="F616" s="250"/>
      <c r="G616" s="248"/>
      <c r="H616" s="32"/>
      <c r="I616" s="248"/>
      <c r="J616" s="248"/>
      <c r="K616" s="251"/>
      <c r="L616" s="238"/>
      <c r="M616" s="248"/>
      <c r="N616" s="248"/>
      <c r="O616" s="248"/>
      <c r="P616" s="250"/>
      <c r="Q616" s="252"/>
      <c r="R616" s="248"/>
      <c r="S616" s="248"/>
      <c r="T616" s="248"/>
      <c r="U616" s="248"/>
      <c r="V616" s="248"/>
      <c r="W616" s="248"/>
      <c r="X616" s="248"/>
      <c r="Y616" s="248"/>
      <c r="Z616" s="253"/>
      <c r="AA616" s="253"/>
      <c r="AB616" s="253"/>
      <c r="AC616" s="253"/>
      <c r="AD616" s="253"/>
      <c r="AE616" s="253"/>
      <c r="AF616" s="254"/>
      <c r="AG616" s="257"/>
      <c r="AH616" s="257"/>
      <c r="AI616" s="257"/>
      <c r="AJ616" s="258"/>
      <c r="AK616" s="259"/>
      <c r="AL616" s="257"/>
      <c r="AM616" s="257"/>
      <c r="AN616" s="257"/>
      <c r="AO616" s="257"/>
      <c r="AP616" s="257"/>
      <c r="AQ616" s="258"/>
      <c r="AR616" s="260"/>
      <c r="AS616" s="257"/>
      <c r="AT616" s="257"/>
      <c r="AU616" s="257"/>
      <c r="AV616" s="257"/>
      <c r="AW616" s="257"/>
      <c r="AX616" s="258"/>
      <c r="AY616" s="260"/>
      <c r="AZ616" s="257"/>
      <c r="BA616" s="257"/>
      <c r="BB616" s="257"/>
      <c r="BC616" s="257"/>
      <c r="BD616" s="258"/>
      <c r="BE616" s="260"/>
      <c r="BF616" s="258"/>
      <c r="BG616" s="260"/>
      <c r="BH616" s="257"/>
      <c r="BI616" s="14"/>
    </row>
    <row r="617" spans="1:61" ht="13.15" x14ac:dyDescent="0.4">
      <c r="A617" s="248"/>
      <c r="B617" s="256"/>
      <c r="C617" s="248"/>
      <c r="D617" s="248"/>
      <c r="E617" s="248"/>
      <c r="F617" s="250"/>
      <c r="G617" s="248"/>
      <c r="H617" s="32"/>
      <c r="I617" s="248"/>
      <c r="J617" s="248"/>
      <c r="K617" s="251"/>
      <c r="L617" s="238"/>
      <c r="M617" s="248"/>
      <c r="N617" s="248"/>
      <c r="O617" s="248"/>
      <c r="P617" s="250"/>
      <c r="Q617" s="252"/>
      <c r="R617" s="248"/>
      <c r="S617" s="248"/>
      <c r="T617" s="248"/>
      <c r="U617" s="248"/>
      <c r="V617" s="248"/>
      <c r="W617" s="248"/>
      <c r="X617" s="248"/>
      <c r="Y617" s="248"/>
      <c r="Z617" s="253"/>
      <c r="AA617" s="253"/>
      <c r="AB617" s="253"/>
      <c r="AC617" s="253"/>
      <c r="AD617" s="253"/>
      <c r="AE617" s="253"/>
      <c r="AF617" s="254"/>
      <c r="AG617" s="257"/>
      <c r="AH617" s="257"/>
      <c r="AI617" s="257"/>
      <c r="AJ617" s="258"/>
      <c r="AK617" s="259"/>
      <c r="AL617" s="257"/>
      <c r="AM617" s="257"/>
      <c r="AN617" s="257"/>
      <c r="AO617" s="257"/>
      <c r="AP617" s="257"/>
      <c r="AQ617" s="258"/>
      <c r="AR617" s="260"/>
      <c r="AS617" s="257"/>
      <c r="AT617" s="257"/>
      <c r="AU617" s="257"/>
      <c r="AV617" s="257"/>
      <c r="AW617" s="257"/>
      <c r="AX617" s="258"/>
      <c r="AY617" s="260"/>
      <c r="AZ617" s="257"/>
      <c r="BA617" s="257"/>
      <c r="BB617" s="257"/>
      <c r="BC617" s="257"/>
      <c r="BD617" s="258"/>
      <c r="BE617" s="260"/>
      <c r="BF617" s="258"/>
      <c r="BG617" s="260"/>
      <c r="BH617" s="257"/>
      <c r="BI617" s="14"/>
    </row>
    <row r="618" spans="1:61" ht="13.15" x14ac:dyDescent="0.4">
      <c r="A618" s="248"/>
      <c r="B618" s="256"/>
      <c r="C618" s="248"/>
      <c r="D618" s="248"/>
      <c r="E618" s="248"/>
      <c r="F618" s="250"/>
      <c r="G618" s="248"/>
      <c r="H618" s="32"/>
      <c r="I618" s="248"/>
      <c r="J618" s="248"/>
      <c r="K618" s="251"/>
      <c r="L618" s="238"/>
      <c r="M618" s="248"/>
      <c r="N618" s="248"/>
      <c r="O618" s="248"/>
      <c r="P618" s="250"/>
      <c r="Q618" s="252"/>
      <c r="R618" s="248"/>
      <c r="S618" s="248"/>
      <c r="T618" s="248"/>
      <c r="U618" s="248"/>
      <c r="V618" s="248"/>
      <c r="W618" s="248"/>
      <c r="X618" s="248"/>
      <c r="Y618" s="248"/>
      <c r="Z618" s="253"/>
      <c r="AA618" s="253"/>
      <c r="AB618" s="253"/>
      <c r="AC618" s="253"/>
      <c r="AD618" s="253"/>
      <c r="AE618" s="253"/>
      <c r="AF618" s="254"/>
      <c r="AG618" s="257"/>
      <c r="AH618" s="257"/>
      <c r="AI618" s="257"/>
      <c r="AJ618" s="258"/>
      <c r="AK618" s="259"/>
      <c r="AL618" s="257"/>
      <c r="AM618" s="257"/>
      <c r="AN618" s="257"/>
      <c r="AO618" s="257"/>
      <c r="AP618" s="257"/>
      <c r="AQ618" s="258"/>
      <c r="AR618" s="260"/>
      <c r="AS618" s="257"/>
      <c r="AT618" s="257"/>
      <c r="AU618" s="257"/>
      <c r="AV618" s="257"/>
      <c r="AW618" s="257"/>
      <c r="AX618" s="258"/>
      <c r="AY618" s="260"/>
      <c r="AZ618" s="257"/>
      <c r="BA618" s="257"/>
      <c r="BB618" s="257"/>
      <c r="BC618" s="257"/>
      <c r="BD618" s="258"/>
      <c r="BE618" s="260"/>
      <c r="BF618" s="258"/>
      <c r="BG618" s="260"/>
      <c r="BH618" s="257"/>
      <c r="BI618" s="14"/>
    </row>
    <row r="619" spans="1:61" ht="13.15" x14ac:dyDescent="0.4">
      <c r="A619" s="248"/>
      <c r="B619" s="256"/>
      <c r="C619" s="248"/>
      <c r="D619" s="248"/>
      <c r="E619" s="248"/>
      <c r="F619" s="250"/>
      <c r="G619" s="248"/>
      <c r="H619" s="32"/>
      <c r="I619" s="248"/>
      <c r="J619" s="248"/>
      <c r="K619" s="251"/>
      <c r="L619" s="238"/>
      <c r="M619" s="248"/>
      <c r="N619" s="248"/>
      <c r="O619" s="248"/>
      <c r="P619" s="250"/>
      <c r="Q619" s="252"/>
      <c r="R619" s="248"/>
      <c r="S619" s="248"/>
      <c r="T619" s="248"/>
      <c r="U619" s="248"/>
      <c r="V619" s="248"/>
      <c r="W619" s="248"/>
      <c r="X619" s="248"/>
      <c r="Y619" s="248"/>
      <c r="Z619" s="253"/>
      <c r="AA619" s="253"/>
      <c r="AB619" s="253"/>
      <c r="AC619" s="253"/>
      <c r="AD619" s="253"/>
      <c r="AE619" s="253"/>
      <c r="AF619" s="254"/>
      <c r="AG619" s="257"/>
      <c r="AH619" s="257"/>
      <c r="AI619" s="257"/>
      <c r="AJ619" s="258"/>
      <c r="AK619" s="259"/>
      <c r="AL619" s="257"/>
      <c r="AM619" s="257"/>
      <c r="AN619" s="257"/>
      <c r="AO619" s="257"/>
      <c r="AP619" s="257"/>
      <c r="AQ619" s="258"/>
      <c r="AR619" s="260"/>
      <c r="AS619" s="257"/>
      <c r="AT619" s="257"/>
      <c r="AU619" s="257"/>
      <c r="AV619" s="257"/>
      <c r="AW619" s="257"/>
      <c r="AX619" s="258"/>
      <c r="AY619" s="260"/>
      <c r="AZ619" s="257"/>
      <c r="BA619" s="257"/>
      <c r="BB619" s="257"/>
      <c r="BC619" s="257"/>
      <c r="BD619" s="258"/>
      <c r="BE619" s="260"/>
      <c r="BF619" s="258"/>
      <c r="BG619" s="260"/>
      <c r="BH619" s="257"/>
      <c r="BI619" s="14"/>
    </row>
    <row r="620" spans="1:61" ht="13.15" x14ac:dyDescent="0.4">
      <c r="A620" s="248"/>
      <c r="B620" s="256"/>
      <c r="C620" s="248"/>
      <c r="D620" s="248"/>
      <c r="E620" s="248"/>
      <c r="F620" s="250"/>
      <c r="G620" s="248"/>
      <c r="H620" s="32"/>
      <c r="I620" s="248"/>
      <c r="J620" s="248"/>
      <c r="K620" s="251"/>
      <c r="L620" s="238"/>
      <c r="M620" s="248"/>
      <c r="N620" s="248"/>
      <c r="O620" s="248"/>
      <c r="P620" s="250"/>
      <c r="Q620" s="252"/>
      <c r="R620" s="248"/>
      <c r="S620" s="248"/>
      <c r="T620" s="248"/>
      <c r="U620" s="248"/>
      <c r="V620" s="248"/>
      <c r="W620" s="248"/>
      <c r="X620" s="248"/>
      <c r="Y620" s="248"/>
      <c r="Z620" s="253"/>
      <c r="AA620" s="253"/>
      <c r="AB620" s="253"/>
      <c r="AC620" s="253"/>
      <c r="AD620" s="253"/>
      <c r="AE620" s="253"/>
      <c r="AF620" s="254"/>
      <c r="AG620" s="257"/>
      <c r="AH620" s="257"/>
      <c r="AI620" s="257"/>
      <c r="AJ620" s="258"/>
      <c r="AK620" s="259"/>
      <c r="AL620" s="257"/>
      <c r="AM620" s="257"/>
      <c r="AN620" s="257"/>
      <c r="AO620" s="257"/>
      <c r="AP620" s="257"/>
      <c r="AQ620" s="258"/>
      <c r="AR620" s="260"/>
      <c r="AS620" s="257"/>
      <c r="AT620" s="257"/>
      <c r="AU620" s="257"/>
      <c r="AV620" s="257"/>
      <c r="AW620" s="257"/>
      <c r="AX620" s="258"/>
      <c r="AY620" s="260"/>
      <c r="AZ620" s="257"/>
      <c r="BA620" s="257"/>
      <c r="BB620" s="257"/>
      <c r="BC620" s="257"/>
      <c r="BD620" s="258"/>
      <c r="BE620" s="260"/>
      <c r="BF620" s="258"/>
      <c r="BG620" s="260"/>
      <c r="BH620" s="257"/>
      <c r="BI620" s="14"/>
    </row>
    <row r="621" spans="1:61" ht="13.15" x14ac:dyDescent="0.4">
      <c r="A621" s="248"/>
      <c r="B621" s="256"/>
      <c r="C621" s="248"/>
      <c r="D621" s="248"/>
      <c r="E621" s="248"/>
      <c r="F621" s="250"/>
      <c r="G621" s="248"/>
      <c r="H621" s="32"/>
      <c r="I621" s="248"/>
      <c r="J621" s="248"/>
      <c r="K621" s="251"/>
      <c r="L621" s="238"/>
      <c r="M621" s="248"/>
      <c r="N621" s="248"/>
      <c r="O621" s="248"/>
      <c r="P621" s="250"/>
      <c r="Q621" s="252"/>
      <c r="R621" s="248"/>
      <c r="S621" s="248"/>
      <c r="T621" s="248"/>
      <c r="U621" s="248"/>
      <c r="V621" s="248"/>
      <c r="W621" s="248"/>
      <c r="X621" s="248"/>
      <c r="Y621" s="248"/>
      <c r="Z621" s="253"/>
      <c r="AA621" s="253"/>
      <c r="AB621" s="253"/>
      <c r="AC621" s="253"/>
      <c r="AD621" s="253"/>
      <c r="AE621" s="253"/>
      <c r="AF621" s="254"/>
      <c r="AG621" s="257"/>
      <c r="AH621" s="257"/>
      <c r="AI621" s="257"/>
      <c r="AJ621" s="258"/>
      <c r="AK621" s="259"/>
      <c r="AL621" s="257"/>
      <c r="AM621" s="257"/>
      <c r="AN621" s="257"/>
      <c r="AO621" s="257"/>
      <c r="AP621" s="257"/>
      <c r="AQ621" s="258"/>
      <c r="AR621" s="260"/>
      <c r="AS621" s="257"/>
      <c r="AT621" s="257"/>
      <c r="AU621" s="257"/>
      <c r="AV621" s="257"/>
      <c r="AW621" s="257"/>
      <c r="AX621" s="258"/>
      <c r="AY621" s="260"/>
      <c r="AZ621" s="257"/>
      <c r="BA621" s="257"/>
      <c r="BB621" s="257"/>
      <c r="BC621" s="257"/>
      <c r="BD621" s="258"/>
      <c r="BE621" s="260"/>
      <c r="BF621" s="258"/>
      <c r="BG621" s="260"/>
      <c r="BH621" s="257"/>
      <c r="BI621" s="14"/>
    </row>
    <row r="622" spans="1:61" ht="13.15" x14ac:dyDescent="0.4">
      <c r="A622" s="248"/>
      <c r="B622" s="256"/>
      <c r="C622" s="248"/>
      <c r="D622" s="248"/>
      <c r="E622" s="248"/>
      <c r="F622" s="250"/>
      <c r="G622" s="248"/>
      <c r="H622" s="32"/>
      <c r="I622" s="248"/>
      <c r="J622" s="248"/>
      <c r="K622" s="251"/>
      <c r="L622" s="238"/>
      <c r="M622" s="248"/>
      <c r="N622" s="248"/>
      <c r="O622" s="248"/>
      <c r="P622" s="250"/>
      <c r="Q622" s="252"/>
      <c r="R622" s="248"/>
      <c r="S622" s="248"/>
      <c r="T622" s="248"/>
      <c r="U622" s="248"/>
      <c r="V622" s="248"/>
      <c r="W622" s="248"/>
      <c r="X622" s="248"/>
      <c r="Y622" s="248"/>
      <c r="Z622" s="253"/>
      <c r="AA622" s="253"/>
      <c r="AB622" s="253"/>
      <c r="AC622" s="253"/>
      <c r="AD622" s="253"/>
      <c r="AE622" s="253"/>
      <c r="AF622" s="254"/>
      <c r="AG622" s="257"/>
      <c r="AH622" s="257"/>
      <c r="AI622" s="257"/>
      <c r="AJ622" s="258"/>
      <c r="AK622" s="259"/>
      <c r="AL622" s="257"/>
      <c r="AM622" s="257"/>
      <c r="AN622" s="257"/>
      <c r="AO622" s="257"/>
      <c r="AP622" s="257"/>
      <c r="AQ622" s="258"/>
      <c r="AR622" s="260"/>
      <c r="AS622" s="257"/>
      <c r="AT622" s="257"/>
      <c r="AU622" s="257"/>
      <c r="AV622" s="257"/>
      <c r="AW622" s="257"/>
      <c r="AX622" s="258"/>
      <c r="AY622" s="260"/>
      <c r="AZ622" s="257"/>
      <c r="BA622" s="257"/>
      <c r="BB622" s="257"/>
      <c r="BC622" s="257"/>
      <c r="BD622" s="258"/>
      <c r="BE622" s="260"/>
      <c r="BF622" s="258"/>
      <c r="BG622" s="260"/>
      <c r="BH622" s="257"/>
      <c r="BI622" s="14"/>
    </row>
    <row r="623" spans="1:61" ht="13.15" x14ac:dyDescent="0.4">
      <c r="A623" s="248"/>
      <c r="B623" s="256"/>
      <c r="C623" s="248"/>
      <c r="D623" s="248"/>
      <c r="E623" s="248"/>
      <c r="F623" s="250"/>
      <c r="G623" s="248"/>
      <c r="H623" s="32"/>
      <c r="I623" s="248"/>
      <c r="J623" s="248"/>
      <c r="K623" s="251"/>
      <c r="L623" s="238"/>
      <c r="M623" s="248"/>
      <c r="N623" s="248"/>
      <c r="O623" s="248"/>
      <c r="P623" s="250"/>
      <c r="Q623" s="252"/>
      <c r="R623" s="248"/>
      <c r="S623" s="248"/>
      <c r="T623" s="248"/>
      <c r="U623" s="248"/>
      <c r="V623" s="248"/>
      <c r="W623" s="248"/>
      <c r="X623" s="248"/>
      <c r="Y623" s="248"/>
      <c r="Z623" s="253"/>
      <c r="AA623" s="253"/>
      <c r="AB623" s="253"/>
      <c r="AC623" s="253"/>
      <c r="AD623" s="253"/>
      <c r="AE623" s="253"/>
      <c r="AF623" s="254"/>
      <c r="AG623" s="257"/>
      <c r="AH623" s="257"/>
      <c r="AI623" s="257"/>
      <c r="AJ623" s="258"/>
      <c r="AK623" s="259"/>
      <c r="AL623" s="257"/>
      <c r="AM623" s="257"/>
      <c r="AN623" s="257"/>
      <c r="AO623" s="257"/>
      <c r="AP623" s="257"/>
      <c r="AQ623" s="258"/>
      <c r="AR623" s="260"/>
      <c r="AS623" s="257"/>
      <c r="AT623" s="257"/>
      <c r="AU623" s="257"/>
      <c r="AV623" s="257"/>
      <c r="AW623" s="257"/>
      <c r="AX623" s="258"/>
      <c r="AY623" s="260"/>
      <c r="AZ623" s="257"/>
      <c r="BA623" s="257"/>
      <c r="BB623" s="257"/>
      <c r="BC623" s="257"/>
      <c r="BD623" s="258"/>
      <c r="BE623" s="260"/>
      <c r="BF623" s="258"/>
      <c r="BG623" s="260"/>
      <c r="BH623" s="257"/>
      <c r="BI623" s="14"/>
    </row>
    <row r="624" spans="1:61" ht="13.15" x14ac:dyDescent="0.4">
      <c r="A624" s="248"/>
      <c r="B624" s="256"/>
      <c r="C624" s="248"/>
      <c r="D624" s="248"/>
      <c r="E624" s="248"/>
      <c r="F624" s="250"/>
      <c r="G624" s="248"/>
      <c r="H624" s="32"/>
      <c r="I624" s="248"/>
      <c r="J624" s="248"/>
      <c r="K624" s="251"/>
      <c r="L624" s="238"/>
      <c r="M624" s="248"/>
      <c r="N624" s="248"/>
      <c r="O624" s="248"/>
      <c r="P624" s="250"/>
      <c r="Q624" s="252"/>
      <c r="R624" s="248"/>
      <c r="S624" s="248"/>
      <c r="T624" s="248"/>
      <c r="U624" s="248"/>
      <c r="V624" s="248"/>
      <c r="W624" s="248"/>
      <c r="X624" s="248"/>
      <c r="Y624" s="248"/>
      <c r="Z624" s="253"/>
      <c r="AA624" s="253"/>
      <c r="AB624" s="253"/>
      <c r="AC624" s="253"/>
      <c r="AD624" s="253"/>
      <c r="AE624" s="253"/>
      <c r="AF624" s="254"/>
      <c r="AG624" s="257"/>
      <c r="AH624" s="257"/>
      <c r="AI624" s="257"/>
      <c r="AJ624" s="258"/>
      <c r="AK624" s="259"/>
      <c r="AL624" s="257"/>
      <c r="AM624" s="257"/>
      <c r="AN624" s="257"/>
      <c r="AO624" s="257"/>
      <c r="AP624" s="257"/>
      <c r="AQ624" s="258"/>
      <c r="AR624" s="260"/>
      <c r="AS624" s="257"/>
      <c r="AT624" s="257"/>
      <c r="AU624" s="257"/>
      <c r="AV624" s="257"/>
      <c r="AW624" s="257"/>
      <c r="AX624" s="258"/>
      <c r="AY624" s="260"/>
      <c r="AZ624" s="257"/>
      <c r="BA624" s="257"/>
      <c r="BB624" s="257"/>
      <c r="BC624" s="257"/>
      <c r="BD624" s="258"/>
      <c r="BE624" s="260"/>
      <c r="BF624" s="258"/>
      <c r="BG624" s="260"/>
      <c r="BH624" s="257"/>
      <c r="BI624" s="14"/>
    </row>
    <row r="625" spans="1:61" ht="13.15" x14ac:dyDescent="0.4">
      <c r="A625" s="248"/>
      <c r="B625" s="256"/>
      <c r="C625" s="248"/>
      <c r="D625" s="248"/>
      <c r="E625" s="248"/>
      <c r="F625" s="250"/>
      <c r="G625" s="248"/>
      <c r="H625" s="32"/>
      <c r="I625" s="248"/>
      <c r="J625" s="248"/>
      <c r="K625" s="251"/>
      <c r="L625" s="238"/>
      <c r="M625" s="248"/>
      <c r="N625" s="248"/>
      <c r="O625" s="248"/>
      <c r="P625" s="250"/>
      <c r="Q625" s="252"/>
      <c r="R625" s="248"/>
      <c r="S625" s="248"/>
      <c r="T625" s="248"/>
      <c r="U625" s="248"/>
      <c r="V625" s="248"/>
      <c r="W625" s="248"/>
      <c r="X625" s="248"/>
      <c r="Y625" s="248"/>
      <c r="Z625" s="253"/>
      <c r="AA625" s="253"/>
      <c r="AB625" s="253"/>
      <c r="AC625" s="253"/>
      <c r="AD625" s="253"/>
      <c r="AE625" s="253"/>
      <c r="AF625" s="254"/>
      <c r="AG625" s="257"/>
      <c r="AH625" s="257"/>
      <c r="AI625" s="257"/>
      <c r="AJ625" s="258"/>
      <c r="AK625" s="259"/>
      <c r="AL625" s="257"/>
      <c r="AM625" s="257"/>
      <c r="AN625" s="257"/>
      <c r="AO625" s="257"/>
      <c r="AP625" s="257"/>
      <c r="AQ625" s="258"/>
      <c r="AR625" s="260"/>
      <c r="AS625" s="257"/>
      <c r="AT625" s="257"/>
      <c r="AU625" s="257"/>
      <c r="AV625" s="257"/>
      <c r="AW625" s="257"/>
      <c r="AX625" s="258"/>
      <c r="AY625" s="260"/>
      <c r="AZ625" s="257"/>
      <c r="BA625" s="257"/>
      <c r="BB625" s="257"/>
      <c r="BC625" s="257"/>
      <c r="BD625" s="258"/>
      <c r="BE625" s="260"/>
      <c r="BF625" s="258"/>
      <c r="BG625" s="260"/>
      <c r="BH625" s="257"/>
      <c r="BI625" s="14"/>
    </row>
    <row r="626" spans="1:61" ht="13.15" x14ac:dyDescent="0.4">
      <c r="A626" s="248"/>
      <c r="B626" s="256"/>
      <c r="C626" s="248"/>
      <c r="D626" s="248"/>
      <c r="E626" s="248"/>
      <c r="F626" s="250"/>
      <c r="G626" s="248"/>
      <c r="H626" s="32"/>
      <c r="I626" s="248"/>
      <c r="J626" s="248"/>
      <c r="K626" s="251"/>
      <c r="L626" s="238"/>
      <c r="M626" s="248"/>
      <c r="N626" s="248"/>
      <c r="O626" s="248"/>
      <c r="P626" s="250"/>
      <c r="Q626" s="252"/>
      <c r="R626" s="248"/>
      <c r="S626" s="248"/>
      <c r="T626" s="248"/>
      <c r="U626" s="248"/>
      <c r="V626" s="248"/>
      <c r="W626" s="248"/>
      <c r="X626" s="248"/>
      <c r="Y626" s="248"/>
      <c r="Z626" s="253"/>
      <c r="AA626" s="253"/>
      <c r="AB626" s="253"/>
      <c r="AC626" s="253"/>
      <c r="AD626" s="253"/>
      <c r="AE626" s="253"/>
      <c r="AF626" s="254"/>
      <c r="AG626" s="257"/>
      <c r="AH626" s="257"/>
      <c r="AI626" s="257"/>
      <c r="AJ626" s="258"/>
      <c r="AK626" s="259"/>
      <c r="AL626" s="257"/>
      <c r="AM626" s="257"/>
      <c r="AN626" s="257"/>
      <c r="AO626" s="257"/>
      <c r="AP626" s="257"/>
      <c r="AQ626" s="258"/>
      <c r="AR626" s="260"/>
      <c r="AS626" s="257"/>
      <c r="AT626" s="257"/>
      <c r="AU626" s="257"/>
      <c r="AV626" s="257"/>
      <c r="AW626" s="257"/>
      <c r="AX626" s="258"/>
      <c r="AY626" s="260"/>
      <c r="AZ626" s="257"/>
      <c r="BA626" s="257"/>
      <c r="BB626" s="257"/>
      <c r="BC626" s="257"/>
      <c r="BD626" s="258"/>
      <c r="BE626" s="260"/>
      <c r="BF626" s="258"/>
      <c r="BG626" s="260"/>
      <c r="BH626" s="257"/>
      <c r="BI626" s="14"/>
    </row>
    <row r="627" spans="1:61" ht="13.15" x14ac:dyDescent="0.4">
      <c r="A627" s="248"/>
      <c r="B627" s="256"/>
      <c r="C627" s="248"/>
      <c r="D627" s="248"/>
      <c r="E627" s="248"/>
      <c r="F627" s="250"/>
      <c r="G627" s="248"/>
      <c r="H627" s="32"/>
      <c r="I627" s="248"/>
      <c r="J627" s="248"/>
      <c r="K627" s="251"/>
      <c r="L627" s="238"/>
      <c r="M627" s="248"/>
      <c r="N627" s="248"/>
      <c r="O627" s="248"/>
      <c r="P627" s="250"/>
      <c r="Q627" s="252"/>
      <c r="R627" s="248"/>
      <c r="S627" s="248"/>
      <c r="T627" s="248"/>
      <c r="U627" s="248"/>
      <c r="V627" s="248"/>
      <c r="W627" s="248"/>
      <c r="X627" s="248"/>
      <c r="Y627" s="248"/>
      <c r="Z627" s="253"/>
      <c r="AA627" s="253"/>
      <c r="AB627" s="253"/>
      <c r="AC627" s="253"/>
      <c r="AD627" s="253"/>
      <c r="AE627" s="253"/>
      <c r="AF627" s="254"/>
      <c r="AG627" s="257"/>
      <c r="AH627" s="257"/>
      <c r="AI627" s="257"/>
      <c r="AJ627" s="258"/>
      <c r="AK627" s="259"/>
      <c r="AL627" s="257"/>
      <c r="AM627" s="257"/>
      <c r="AN627" s="257"/>
      <c r="AO627" s="257"/>
      <c r="AP627" s="257"/>
      <c r="AQ627" s="258"/>
      <c r="AR627" s="260"/>
      <c r="AS627" s="257"/>
      <c r="AT627" s="257"/>
      <c r="AU627" s="257"/>
      <c r="AV627" s="257"/>
      <c r="AW627" s="257"/>
      <c r="AX627" s="258"/>
      <c r="AY627" s="260"/>
      <c r="AZ627" s="257"/>
      <c r="BA627" s="257"/>
      <c r="BB627" s="257"/>
      <c r="BC627" s="257"/>
      <c r="BD627" s="258"/>
      <c r="BE627" s="260"/>
      <c r="BF627" s="258"/>
      <c r="BG627" s="260"/>
      <c r="BH627" s="257"/>
      <c r="BI627" s="14"/>
    </row>
    <row r="628" spans="1:61" ht="13.15" x14ac:dyDescent="0.4">
      <c r="A628" s="248"/>
      <c r="B628" s="256"/>
      <c r="C628" s="248"/>
      <c r="D628" s="248"/>
      <c r="E628" s="248"/>
      <c r="F628" s="250"/>
      <c r="G628" s="248"/>
      <c r="H628" s="32"/>
      <c r="I628" s="248"/>
      <c r="J628" s="248"/>
      <c r="K628" s="251"/>
      <c r="L628" s="238"/>
      <c r="M628" s="248"/>
      <c r="N628" s="248"/>
      <c r="O628" s="248"/>
      <c r="P628" s="250"/>
      <c r="Q628" s="252"/>
      <c r="R628" s="248"/>
      <c r="S628" s="248"/>
      <c r="T628" s="248"/>
      <c r="U628" s="248"/>
      <c r="V628" s="248"/>
      <c r="W628" s="248"/>
      <c r="X628" s="248"/>
      <c r="Y628" s="248"/>
      <c r="Z628" s="253"/>
      <c r="AA628" s="253"/>
      <c r="AB628" s="253"/>
      <c r="AC628" s="253"/>
      <c r="AD628" s="253"/>
      <c r="AE628" s="253"/>
      <c r="AF628" s="254"/>
      <c r="AG628" s="257"/>
      <c r="AH628" s="257"/>
      <c r="AI628" s="257"/>
      <c r="AJ628" s="258"/>
      <c r="AK628" s="259"/>
      <c r="AL628" s="257"/>
      <c r="AM628" s="257"/>
      <c r="AN628" s="257"/>
      <c r="AO628" s="257"/>
      <c r="AP628" s="257"/>
      <c r="AQ628" s="258"/>
      <c r="AR628" s="260"/>
      <c r="AS628" s="257"/>
      <c r="AT628" s="257"/>
      <c r="AU628" s="257"/>
      <c r="AV628" s="257"/>
      <c r="AW628" s="257"/>
      <c r="AX628" s="258"/>
      <c r="AY628" s="260"/>
      <c r="AZ628" s="257"/>
      <c r="BA628" s="257"/>
      <c r="BB628" s="257"/>
      <c r="BC628" s="257"/>
      <c r="BD628" s="258"/>
      <c r="BE628" s="260"/>
      <c r="BF628" s="258"/>
      <c r="BG628" s="260"/>
      <c r="BH628" s="257"/>
      <c r="BI628" s="14"/>
    </row>
    <row r="629" spans="1:61" ht="13.15" x14ac:dyDescent="0.4">
      <c r="A629" s="248"/>
      <c r="B629" s="256"/>
      <c r="C629" s="248"/>
      <c r="D629" s="248"/>
      <c r="E629" s="248"/>
      <c r="F629" s="250"/>
      <c r="G629" s="248"/>
      <c r="H629" s="32"/>
      <c r="I629" s="248"/>
      <c r="J629" s="248"/>
      <c r="K629" s="251"/>
      <c r="L629" s="238"/>
      <c r="M629" s="248"/>
      <c r="N629" s="248"/>
      <c r="O629" s="248"/>
      <c r="P629" s="250"/>
      <c r="Q629" s="252"/>
      <c r="R629" s="248"/>
      <c r="S629" s="248"/>
      <c r="T629" s="248"/>
      <c r="U629" s="248"/>
      <c r="V629" s="248"/>
      <c r="W629" s="248"/>
      <c r="X629" s="248"/>
      <c r="Y629" s="248"/>
      <c r="Z629" s="253"/>
      <c r="AA629" s="253"/>
      <c r="AB629" s="253"/>
      <c r="AC629" s="253"/>
      <c r="AD629" s="253"/>
      <c r="AE629" s="253"/>
      <c r="AF629" s="254"/>
      <c r="AG629" s="257"/>
      <c r="AH629" s="257"/>
      <c r="AI629" s="257"/>
      <c r="AJ629" s="258"/>
      <c r="AK629" s="259"/>
      <c r="AL629" s="257"/>
      <c r="AM629" s="257"/>
      <c r="AN629" s="257"/>
      <c r="AO629" s="257"/>
      <c r="AP629" s="257"/>
      <c r="AQ629" s="258"/>
      <c r="AR629" s="260"/>
      <c r="AS629" s="257"/>
      <c r="AT629" s="257"/>
      <c r="AU629" s="257"/>
      <c r="AV629" s="257"/>
      <c r="AW629" s="257"/>
      <c r="AX629" s="258"/>
      <c r="AY629" s="260"/>
      <c r="AZ629" s="257"/>
      <c r="BA629" s="257"/>
      <c r="BB629" s="257"/>
      <c r="BC629" s="257"/>
      <c r="BD629" s="258"/>
      <c r="BE629" s="260"/>
      <c r="BF629" s="258"/>
      <c r="BG629" s="260"/>
      <c r="BH629" s="257"/>
      <c r="BI629" s="14"/>
    </row>
    <row r="630" spans="1:61" ht="13.15" x14ac:dyDescent="0.4">
      <c r="A630" s="248"/>
      <c r="B630" s="256"/>
      <c r="C630" s="248"/>
      <c r="D630" s="248"/>
      <c r="E630" s="248"/>
      <c r="F630" s="250"/>
      <c r="G630" s="248"/>
      <c r="H630" s="32"/>
      <c r="I630" s="248"/>
      <c r="J630" s="248"/>
      <c r="K630" s="251"/>
      <c r="L630" s="238"/>
      <c r="M630" s="248"/>
      <c r="N630" s="248"/>
      <c r="O630" s="248"/>
      <c r="P630" s="250"/>
      <c r="Q630" s="252"/>
      <c r="R630" s="248"/>
      <c r="S630" s="248"/>
      <c r="T630" s="248"/>
      <c r="U630" s="248"/>
      <c r="V630" s="248"/>
      <c r="W630" s="248"/>
      <c r="X630" s="248"/>
      <c r="Y630" s="248"/>
      <c r="Z630" s="253"/>
      <c r="AA630" s="253"/>
      <c r="AB630" s="253"/>
      <c r="AC630" s="253"/>
      <c r="AD630" s="253"/>
      <c r="AE630" s="253"/>
      <c r="AF630" s="254"/>
      <c r="AG630" s="257"/>
      <c r="AH630" s="257"/>
      <c r="AI630" s="257"/>
      <c r="AJ630" s="258"/>
      <c r="AK630" s="259"/>
      <c r="AL630" s="257"/>
      <c r="AM630" s="257"/>
      <c r="AN630" s="257"/>
      <c r="AO630" s="257"/>
      <c r="AP630" s="257"/>
      <c r="AQ630" s="258"/>
      <c r="AR630" s="260"/>
      <c r="AS630" s="257"/>
      <c r="AT630" s="257"/>
      <c r="AU630" s="257"/>
      <c r="AV630" s="257"/>
      <c r="AW630" s="257"/>
      <c r="AX630" s="258"/>
      <c r="AY630" s="260"/>
      <c r="AZ630" s="257"/>
      <c r="BA630" s="257"/>
      <c r="BB630" s="257"/>
      <c r="BC630" s="257"/>
      <c r="BD630" s="258"/>
      <c r="BE630" s="260"/>
      <c r="BF630" s="258"/>
      <c r="BG630" s="260"/>
      <c r="BH630" s="257"/>
      <c r="BI630" s="14"/>
    </row>
    <row r="631" spans="1:61" ht="13.15" x14ac:dyDescent="0.4">
      <c r="A631" s="248"/>
      <c r="B631" s="256"/>
      <c r="C631" s="248"/>
      <c r="D631" s="248"/>
      <c r="E631" s="248"/>
      <c r="F631" s="250"/>
      <c r="G631" s="248"/>
      <c r="H631" s="32"/>
      <c r="I631" s="248"/>
      <c r="J631" s="248"/>
      <c r="K631" s="251"/>
      <c r="L631" s="238"/>
      <c r="M631" s="248"/>
      <c r="N631" s="248"/>
      <c r="O631" s="248"/>
      <c r="P631" s="250"/>
      <c r="Q631" s="252"/>
      <c r="R631" s="248"/>
      <c r="S631" s="248"/>
      <c r="T631" s="248"/>
      <c r="U631" s="248"/>
      <c r="V631" s="248"/>
      <c r="W631" s="248"/>
      <c r="X631" s="248"/>
      <c r="Y631" s="248"/>
      <c r="Z631" s="253"/>
      <c r="AA631" s="253"/>
      <c r="AB631" s="253"/>
      <c r="AC631" s="253"/>
      <c r="AD631" s="253"/>
      <c r="AE631" s="253"/>
      <c r="AF631" s="254"/>
      <c r="AG631" s="257"/>
      <c r="AH631" s="257"/>
      <c r="AI631" s="257"/>
      <c r="AJ631" s="258"/>
      <c r="AK631" s="259"/>
      <c r="AL631" s="257"/>
      <c r="AM631" s="257"/>
      <c r="AN631" s="257"/>
      <c r="AO631" s="257"/>
      <c r="AP631" s="257"/>
      <c r="AQ631" s="258"/>
      <c r="AR631" s="260"/>
      <c r="AS631" s="257"/>
      <c r="AT631" s="257"/>
      <c r="AU631" s="257"/>
      <c r="AV631" s="257"/>
      <c r="AW631" s="257"/>
      <c r="AX631" s="258"/>
      <c r="AY631" s="260"/>
      <c r="AZ631" s="257"/>
      <c r="BA631" s="257"/>
      <c r="BB631" s="257"/>
      <c r="BC631" s="257"/>
      <c r="BD631" s="258"/>
      <c r="BE631" s="260"/>
      <c r="BF631" s="258"/>
      <c r="BG631" s="260"/>
      <c r="BH631" s="257"/>
      <c r="BI631" s="14"/>
    </row>
    <row r="632" spans="1:61" ht="13.15" x14ac:dyDescent="0.4">
      <c r="A632" s="248"/>
      <c r="B632" s="256"/>
      <c r="C632" s="248"/>
      <c r="D632" s="248"/>
      <c r="E632" s="248"/>
      <c r="F632" s="250"/>
      <c r="G632" s="248"/>
      <c r="H632" s="32"/>
      <c r="I632" s="248"/>
      <c r="J632" s="248"/>
      <c r="K632" s="251"/>
      <c r="L632" s="238"/>
      <c r="M632" s="248"/>
      <c r="N632" s="248"/>
      <c r="O632" s="248"/>
      <c r="P632" s="250"/>
      <c r="Q632" s="252"/>
      <c r="R632" s="248"/>
      <c r="S632" s="248"/>
      <c r="T632" s="248"/>
      <c r="U632" s="248"/>
      <c r="V632" s="248"/>
      <c r="W632" s="248"/>
      <c r="X632" s="248"/>
      <c r="Y632" s="248"/>
      <c r="Z632" s="253"/>
      <c r="AA632" s="253"/>
      <c r="AB632" s="253"/>
      <c r="AC632" s="253"/>
      <c r="AD632" s="253"/>
      <c r="AE632" s="253"/>
      <c r="AF632" s="254"/>
      <c r="AG632" s="257"/>
      <c r="AH632" s="257"/>
      <c r="AI632" s="257"/>
      <c r="AJ632" s="258"/>
      <c r="AK632" s="259"/>
      <c r="AL632" s="257"/>
      <c r="AM632" s="257"/>
      <c r="AN632" s="257"/>
      <c r="AO632" s="257"/>
      <c r="AP632" s="257"/>
      <c r="AQ632" s="258"/>
      <c r="AR632" s="260"/>
      <c r="AS632" s="257"/>
      <c r="AT632" s="257"/>
      <c r="AU632" s="257"/>
      <c r="AV632" s="257"/>
      <c r="AW632" s="257"/>
      <c r="AX632" s="258"/>
      <c r="AY632" s="260"/>
      <c r="AZ632" s="257"/>
      <c r="BA632" s="257"/>
      <c r="BB632" s="257"/>
      <c r="BC632" s="257"/>
      <c r="BD632" s="258"/>
      <c r="BE632" s="260"/>
      <c r="BF632" s="258"/>
      <c r="BG632" s="260"/>
      <c r="BH632" s="257"/>
      <c r="BI632" s="14"/>
    </row>
    <row r="633" spans="1:61" ht="13.15" x14ac:dyDescent="0.4">
      <c r="A633" s="248"/>
      <c r="B633" s="256"/>
      <c r="C633" s="248"/>
      <c r="D633" s="248"/>
      <c r="E633" s="248"/>
      <c r="F633" s="250"/>
      <c r="G633" s="248"/>
      <c r="H633" s="32"/>
      <c r="I633" s="248"/>
      <c r="J633" s="248"/>
      <c r="K633" s="251"/>
      <c r="L633" s="238"/>
      <c r="M633" s="248"/>
      <c r="N633" s="248"/>
      <c r="O633" s="248"/>
      <c r="P633" s="250"/>
      <c r="Q633" s="252"/>
      <c r="R633" s="248"/>
      <c r="S633" s="248"/>
      <c r="T633" s="248"/>
      <c r="U633" s="248"/>
      <c r="V633" s="248"/>
      <c r="W633" s="248"/>
      <c r="X633" s="248"/>
      <c r="Y633" s="248"/>
      <c r="Z633" s="253"/>
      <c r="AA633" s="253"/>
      <c r="AB633" s="253"/>
      <c r="AC633" s="253"/>
      <c r="AD633" s="253"/>
      <c r="AE633" s="253"/>
      <c r="AF633" s="254"/>
      <c r="AG633" s="257"/>
      <c r="AH633" s="257"/>
      <c r="AI633" s="257"/>
      <c r="AJ633" s="258"/>
      <c r="AK633" s="259"/>
      <c r="AL633" s="257"/>
      <c r="AM633" s="257"/>
      <c r="AN633" s="257"/>
      <c r="AO633" s="257"/>
      <c r="AP633" s="257"/>
      <c r="AQ633" s="258"/>
      <c r="AR633" s="260"/>
      <c r="AS633" s="257"/>
      <c r="AT633" s="257"/>
      <c r="AU633" s="257"/>
      <c r="AV633" s="257"/>
      <c r="AW633" s="257"/>
      <c r="AX633" s="258"/>
      <c r="AY633" s="260"/>
      <c r="AZ633" s="257"/>
      <c r="BA633" s="257"/>
      <c r="BB633" s="257"/>
      <c r="BC633" s="257"/>
      <c r="BD633" s="258"/>
      <c r="BE633" s="260"/>
      <c r="BF633" s="258"/>
      <c r="BG633" s="260"/>
      <c r="BH633" s="257"/>
      <c r="BI633" s="14"/>
    </row>
    <row r="634" spans="1:61" ht="13.15" x14ac:dyDescent="0.4">
      <c r="A634" s="248"/>
      <c r="B634" s="256"/>
      <c r="C634" s="248"/>
      <c r="D634" s="248"/>
      <c r="E634" s="248"/>
      <c r="F634" s="250"/>
      <c r="G634" s="248"/>
      <c r="H634" s="32"/>
      <c r="I634" s="248"/>
      <c r="J634" s="248"/>
      <c r="K634" s="251"/>
      <c r="L634" s="238"/>
      <c r="M634" s="248"/>
      <c r="N634" s="248"/>
      <c r="O634" s="248"/>
      <c r="P634" s="250"/>
      <c r="Q634" s="252"/>
      <c r="R634" s="248"/>
      <c r="S634" s="248"/>
      <c r="T634" s="248"/>
      <c r="U634" s="248"/>
      <c r="V634" s="248"/>
      <c r="W634" s="248"/>
      <c r="X634" s="248"/>
      <c r="Y634" s="248"/>
      <c r="Z634" s="253"/>
      <c r="AA634" s="253"/>
      <c r="AB634" s="253"/>
      <c r="AC634" s="253"/>
      <c r="AD634" s="253"/>
      <c r="AE634" s="253"/>
      <c r="AF634" s="254"/>
      <c r="AG634" s="257"/>
      <c r="AH634" s="257"/>
      <c r="AI634" s="257"/>
      <c r="AJ634" s="258"/>
      <c r="AK634" s="259"/>
      <c r="AL634" s="257"/>
      <c r="AM634" s="257"/>
      <c r="AN634" s="257"/>
      <c r="AO634" s="257"/>
      <c r="AP634" s="257"/>
      <c r="AQ634" s="258"/>
      <c r="AR634" s="260"/>
      <c r="AS634" s="257"/>
      <c r="AT634" s="257"/>
      <c r="AU634" s="257"/>
      <c r="AV634" s="257"/>
      <c r="AW634" s="257"/>
      <c r="AX634" s="258"/>
      <c r="AY634" s="260"/>
      <c r="AZ634" s="257"/>
      <c r="BA634" s="257"/>
      <c r="BB634" s="257"/>
      <c r="BC634" s="257"/>
      <c r="BD634" s="258"/>
      <c r="BE634" s="260"/>
      <c r="BF634" s="258"/>
      <c r="BG634" s="260"/>
      <c r="BH634" s="257"/>
      <c r="BI634" s="14"/>
    </row>
    <row r="635" spans="1:61" ht="13.15" x14ac:dyDescent="0.4">
      <c r="A635" s="248"/>
      <c r="B635" s="256"/>
      <c r="C635" s="248"/>
      <c r="D635" s="248"/>
      <c r="E635" s="248"/>
      <c r="F635" s="250"/>
      <c r="G635" s="248"/>
      <c r="H635" s="32"/>
      <c r="I635" s="248"/>
      <c r="J635" s="248"/>
      <c r="K635" s="251"/>
      <c r="L635" s="238"/>
      <c r="M635" s="248"/>
      <c r="N635" s="248"/>
      <c r="O635" s="248"/>
      <c r="P635" s="250"/>
      <c r="Q635" s="252"/>
      <c r="R635" s="248"/>
      <c r="S635" s="248"/>
      <c r="T635" s="248"/>
      <c r="U635" s="248"/>
      <c r="V635" s="248"/>
      <c r="W635" s="248"/>
      <c r="X635" s="248"/>
      <c r="Y635" s="248"/>
      <c r="Z635" s="253"/>
      <c r="AA635" s="253"/>
      <c r="AB635" s="253"/>
      <c r="AC635" s="253"/>
      <c r="AD635" s="253"/>
      <c r="AE635" s="253"/>
      <c r="AF635" s="254"/>
      <c r="AG635" s="257"/>
      <c r="AH635" s="257"/>
      <c r="AI635" s="257"/>
      <c r="AJ635" s="258"/>
      <c r="AK635" s="259"/>
      <c r="AL635" s="257"/>
      <c r="AM635" s="257"/>
      <c r="AN635" s="257"/>
      <c r="AO635" s="257"/>
      <c r="AP635" s="257"/>
      <c r="AQ635" s="258"/>
      <c r="AR635" s="260"/>
      <c r="AS635" s="257"/>
      <c r="AT635" s="257"/>
      <c r="AU635" s="257"/>
      <c r="AV635" s="257"/>
      <c r="AW635" s="257"/>
      <c r="AX635" s="258"/>
      <c r="AY635" s="260"/>
      <c r="AZ635" s="257"/>
      <c r="BA635" s="257"/>
      <c r="BB635" s="257"/>
      <c r="BC635" s="257"/>
      <c r="BD635" s="258"/>
      <c r="BE635" s="260"/>
      <c r="BF635" s="258"/>
      <c r="BG635" s="260"/>
      <c r="BH635" s="257"/>
      <c r="BI635" s="14"/>
    </row>
    <row r="636" spans="1:61" ht="13.15" x14ac:dyDescent="0.4">
      <c r="A636" s="248"/>
      <c r="B636" s="256"/>
      <c r="C636" s="248"/>
      <c r="D636" s="248"/>
      <c r="E636" s="248"/>
      <c r="F636" s="250"/>
      <c r="G636" s="248"/>
      <c r="H636" s="32"/>
      <c r="I636" s="248"/>
      <c r="J636" s="248"/>
      <c r="K636" s="251"/>
      <c r="L636" s="238"/>
      <c r="M636" s="248"/>
      <c r="N636" s="248"/>
      <c r="O636" s="248"/>
      <c r="P636" s="250"/>
      <c r="Q636" s="252"/>
      <c r="R636" s="248"/>
      <c r="S636" s="248"/>
      <c r="T636" s="248"/>
      <c r="U636" s="248"/>
      <c r="V636" s="248"/>
      <c r="W636" s="248"/>
      <c r="X636" s="248"/>
      <c r="Y636" s="248"/>
      <c r="Z636" s="253"/>
      <c r="AA636" s="253"/>
      <c r="AB636" s="253"/>
      <c r="AC636" s="253"/>
      <c r="AD636" s="253"/>
      <c r="AE636" s="253"/>
      <c r="AF636" s="254"/>
      <c r="AG636" s="257"/>
      <c r="AH636" s="257"/>
      <c r="AI636" s="257"/>
      <c r="AJ636" s="258"/>
      <c r="AK636" s="259"/>
      <c r="AL636" s="257"/>
      <c r="AM636" s="257"/>
      <c r="AN636" s="257"/>
      <c r="AO636" s="257"/>
      <c r="AP636" s="257"/>
      <c r="AQ636" s="258"/>
      <c r="AR636" s="260"/>
      <c r="AS636" s="257"/>
      <c r="AT636" s="257"/>
      <c r="AU636" s="257"/>
      <c r="AV636" s="257"/>
      <c r="AW636" s="257"/>
      <c r="AX636" s="258"/>
      <c r="AY636" s="260"/>
      <c r="AZ636" s="257"/>
      <c r="BA636" s="257"/>
      <c r="BB636" s="257"/>
      <c r="BC636" s="257"/>
      <c r="BD636" s="258"/>
      <c r="BE636" s="260"/>
      <c r="BF636" s="258"/>
      <c r="BG636" s="260"/>
      <c r="BH636" s="257"/>
      <c r="BI636" s="14"/>
    </row>
    <row r="637" spans="1:61" ht="13.15" x14ac:dyDescent="0.4">
      <c r="A637" s="248"/>
      <c r="B637" s="256"/>
      <c r="C637" s="248"/>
      <c r="D637" s="248"/>
      <c r="E637" s="248"/>
      <c r="F637" s="250"/>
      <c r="G637" s="248"/>
      <c r="H637" s="32"/>
      <c r="I637" s="248"/>
      <c r="J637" s="248"/>
      <c r="K637" s="251"/>
      <c r="L637" s="238"/>
      <c r="M637" s="248"/>
      <c r="N637" s="248"/>
      <c r="O637" s="248"/>
      <c r="P637" s="250"/>
      <c r="Q637" s="252"/>
      <c r="R637" s="248"/>
      <c r="S637" s="248"/>
      <c r="T637" s="248"/>
      <c r="U637" s="248"/>
      <c r="V637" s="248"/>
      <c r="W637" s="248"/>
      <c r="X637" s="248"/>
      <c r="Y637" s="248"/>
      <c r="Z637" s="253"/>
      <c r="AA637" s="253"/>
      <c r="AB637" s="253"/>
      <c r="AC637" s="253"/>
      <c r="AD637" s="253"/>
      <c r="AE637" s="253"/>
      <c r="AF637" s="254"/>
      <c r="AG637" s="257"/>
      <c r="AH637" s="257"/>
      <c r="AI637" s="257"/>
      <c r="AJ637" s="258"/>
      <c r="AK637" s="259"/>
      <c r="AL637" s="257"/>
      <c r="AM637" s="257"/>
      <c r="AN637" s="257"/>
      <c r="AO637" s="257"/>
      <c r="AP637" s="257"/>
      <c r="AQ637" s="258"/>
      <c r="AR637" s="260"/>
      <c r="AS637" s="257"/>
      <c r="AT637" s="257"/>
      <c r="AU637" s="257"/>
      <c r="AV637" s="257"/>
      <c r="AW637" s="257"/>
      <c r="AX637" s="258"/>
      <c r="AY637" s="260"/>
      <c r="AZ637" s="257"/>
      <c r="BA637" s="257"/>
      <c r="BB637" s="257"/>
      <c r="BC637" s="257"/>
      <c r="BD637" s="258"/>
      <c r="BE637" s="260"/>
      <c r="BF637" s="258"/>
      <c r="BG637" s="260"/>
      <c r="BH637" s="257"/>
      <c r="BI637" s="14"/>
    </row>
    <row r="638" spans="1:61" ht="13.15" x14ac:dyDescent="0.4">
      <c r="A638" s="248"/>
      <c r="B638" s="256"/>
      <c r="C638" s="248"/>
      <c r="D638" s="248"/>
      <c r="E638" s="248"/>
      <c r="F638" s="250"/>
      <c r="G638" s="248"/>
      <c r="H638" s="32"/>
      <c r="I638" s="248"/>
      <c r="J638" s="248"/>
      <c r="K638" s="251"/>
      <c r="L638" s="238"/>
      <c r="M638" s="248"/>
      <c r="N638" s="248"/>
      <c r="O638" s="248"/>
      <c r="P638" s="250"/>
      <c r="Q638" s="252"/>
      <c r="R638" s="248"/>
      <c r="S638" s="248"/>
      <c r="T638" s="248"/>
      <c r="U638" s="248"/>
      <c r="V638" s="248"/>
      <c r="W638" s="248"/>
      <c r="X638" s="248"/>
      <c r="Y638" s="248"/>
      <c r="Z638" s="253"/>
      <c r="AA638" s="253"/>
      <c r="AB638" s="253"/>
      <c r="AC638" s="253"/>
      <c r="AD638" s="253"/>
      <c r="AE638" s="253"/>
      <c r="AF638" s="254"/>
      <c r="AG638" s="257"/>
      <c r="AH638" s="257"/>
      <c r="AI638" s="257"/>
      <c r="AJ638" s="258"/>
      <c r="AK638" s="259"/>
      <c r="AL638" s="257"/>
      <c r="AM638" s="257"/>
      <c r="AN638" s="257"/>
      <c r="AO638" s="257"/>
      <c r="AP638" s="257"/>
      <c r="AQ638" s="258"/>
      <c r="AR638" s="260"/>
      <c r="AS638" s="257"/>
      <c r="AT638" s="257"/>
      <c r="AU638" s="257"/>
      <c r="AV638" s="257"/>
      <c r="AW638" s="257"/>
      <c r="AX638" s="258"/>
      <c r="AY638" s="260"/>
      <c r="AZ638" s="257"/>
      <c r="BA638" s="257"/>
      <c r="BB638" s="257"/>
      <c r="BC638" s="257"/>
      <c r="BD638" s="258"/>
      <c r="BE638" s="260"/>
      <c r="BF638" s="258"/>
      <c r="BG638" s="260"/>
      <c r="BH638" s="257"/>
      <c r="BI638" s="14"/>
    </row>
    <row r="639" spans="1:61" ht="13.15" x14ac:dyDescent="0.4">
      <c r="A639" s="248"/>
      <c r="B639" s="256"/>
      <c r="C639" s="248"/>
      <c r="D639" s="248"/>
      <c r="E639" s="248"/>
      <c r="F639" s="250"/>
      <c r="G639" s="248"/>
      <c r="H639" s="32"/>
      <c r="I639" s="248"/>
      <c r="J639" s="248"/>
      <c r="K639" s="251"/>
      <c r="L639" s="238"/>
      <c r="M639" s="248"/>
      <c r="N639" s="248"/>
      <c r="O639" s="248"/>
      <c r="P639" s="250"/>
      <c r="Q639" s="252"/>
      <c r="R639" s="248"/>
      <c r="S639" s="248"/>
      <c r="T639" s="248"/>
      <c r="U639" s="248"/>
      <c r="V639" s="248"/>
      <c r="W639" s="248"/>
      <c r="X639" s="248"/>
      <c r="Y639" s="248"/>
      <c r="Z639" s="253"/>
      <c r="AA639" s="253"/>
      <c r="AB639" s="253"/>
      <c r="AC639" s="253"/>
      <c r="AD639" s="253"/>
      <c r="AE639" s="253"/>
      <c r="AF639" s="254"/>
      <c r="AG639" s="257"/>
      <c r="AH639" s="257"/>
      <c r="AI639" s="257"/>
      <c r="AJ639" s="258"/>
      <c r="AK639" s="259"/>
      <c r="AL639" s="257"/>
      <c r="AM639" s="257"/>
      <c r="AN639" s="257"/>
      <c r="AO639" s="257"/>
      <c r="AP639" s="257"/>
      <c r="AQ639" s="258"/>
      <c r="AR639" s="260"/>
      <c r="AS639" s="257"/>
      <c r="AT639" s="257"/>
      <c r="AU639" s="257"/>
      <c r="AV639" s="257"/>
      <c r="AW639" s="257"/>
      <c r="AX639" s="258"/>
      <c r="AY639" s="260"/>
      <c r="AZ639" s="257"/>
      <c r="BA639" s="257"/>
      <c r="BB639" s="257"/>
      <c r="BC639" s="257"/>
      <c r="BD639" s="258"/>
      <c r="BE639" s="260"/>
      <c r="BF639" s="258"/>
      <c r="BG639" s="260"/>
      <c r="BH639" s="257"/>
      <c r="BI639" s="14"/>
    </row>
    <row r="640" spans="1:61" ht="13.15" x14ac:dyDescent="0.4">
      <c r="A640" s="248"/>
      <c r="B640" s="256"/>
      <c r="C640" s="248"/>
      <c r="D640" s="248"/>
      <c r="E640" s="248"/>
      <c r="F640" s="250"/>
      <c r="G640" s="248"/>
      <c r="H640" s="32"/>
      <c r="I640" s="248"/>
      <c r="J640" s="248"/>
      <c r="K640" s="251"/>
      <c r="L640" s="238"/>
      <c r="M640" s="248"/>
      <c r="N640" s="248"/>
      <c r="O640" s="248"/>
      <c r="P640" s="250"/>
      <c r="Q640" s="252"/>
      <c r="R640" s="248"/>
      <c r="S640" s="248"/>
      <c r="T640" s="248"/>
      <c r="U640" s="248"/>
      <c r="V640" s="248"/>
      <c r="W640" s="248"/>
      <c r="X640" s="248"/>
      <c r="Y640" s="248"/>
      <c r="Z640" s="253"/>
      <c r="AA640" s="253"/>
      <c r="AB640" s="253"/>
      <c r="AC640" s="253"/>
      <c r="AD640" s="253"/>
      <c r="AE640" s="253"/>
      <c r="AF640" s="254"/>
      <c r="AG640" s="257"/>
      <c r="AH640" s="257"/>
      <c r="AI640" s="257"/>
      <c r="AJ640" s="258"/>
      <c r="AK640" s="259"/>
      <c r="AL640" s="257"/>
      <c r="AM640" s="257"/>
      <c r="AN640" s="257"/>
      <c r="AO640" s="257"/>
      <c r="AP640" s="257"/>
      <c r="AQ640" s="258"/>
      <c r="AR640" s="260"/>
      <c r="AS640" s="257"/>
      <c r="AT640" s="257"/>
      <c r="AU640" s="257"/>
      <c r="AV640" s="257"/>
      <c r="AW640" s="257"/>
      <c r="AX640" s="258"/>
      <c r="AY640" s="260"/>
      <c r="AZ640" s="257"/>
      <c r="BA640" s="257"/>
      <c r="BB640" s="257"/>
      <c r="BC640" s="257"/>
      <c r="BD640" s="258"/>
      <c r="BE640" s="260"/>
      <c r="BF640" s="258"/>
      <c r="BG640" s="260"/>
      <c r="BH640" s="257"/>
      <c r="BI640" s="14"/>
    </row>
    <row r="641" spans="1:61" ht="13.15" x14ac:dyDescent="0.4">
      <c r="A641" s="248"/>
      <c r="B641" s="256"/>
      <c r="C641" s="248"/>
      <c r="D641" s="248"/>
      <c r="E641" s="248"/>
      <c r="F641" s="250"/>
      <c r="G641" s="248"/>
      <c r="H641" s="32"/>
      <c r="I641" s="248"/>
      <c r="J641" s="248"/>
      <c r="K641" s="251"/>
      <c r="L641" s="238"/>
      <c r="M641" s="248"/>
      <c r="N641" s="248"/>
      <c r="O641" s="248"/>
      <c r="P641" s="250"/>
      <c r="Q641" s="252"/>
      <c r="R641" s="248"/>
      <c r="S641" s="248"/>
      <c r="T641" s="248"/>
      <c r="U641" s="248"/>
      <c r="V641" s="248"/>
      <c r="W641" s="248"/>
      <c r="X641" s="248"/>
      <c r="Y641" s="248"/>
      <c r="Z641" s="253"/>
      <c r="AA641" s="253"/>
      <c r="AB641" s="253"/>
      <c r="AC641" s="253"/>
      <c r="AD641" s="253"/>
      <c r="AE641" s="253"/>
      <c r="AF641" s="254"/>
      <c r="AG641" s="257"/>
      <c r="AH641" s="257"/>
      <c r="AI641" s="257"/>
      <c r="AJ641" s="258"/>
      <c r="AK641" s="259"/>
      <c r="AL641" s="257"/>
      <c r="AM641" s="257"/>
      <c r="AN641" s="257"/>
      <c r="AO641" s="257"/>
      <c r="AP641" s="257"/>
      <c r="AQ641" s="258"/>
      <c r="AR641" s="260"/>
      <c r="AS641" s="257"/>
      <c r="AT641" s="257"/>
      <c r="AU641" s="257"/>
      <c r="AV641" s="257"/>
      <c r="AW641" s="257"/>
      <c r="AX641" s="258"/>
      <c r="AY641" s="260"/>
      <c r="AZ641" s="257"/>
      <c r="BA641" s="257"/>
      <c r="BB641" s="257"/>
      <c r="BC641" s="257"/>
      <c r="BD641" s="258"/>
      <c r="BE641" s="260"/>
      <c r="BF641" s="258"/>
      <c r="BG641" s="260"/>
      <c r="BH641" s="257"/>
      <c r="BI641" s="14"/>
    </row>
    <row r="642" spans="1:61" ht="13.15" x14ac:dyDescent="0.4">
      <c r="A642" s="248"/>
      <c r="B642" s="256"/>
      <c r="C642" s="248"/>
      <c r="D642" s="248"/>
      <c r="E642" s="248"/>
      <c r="F642" s="250"/>
      <c r="G642" s="248"/>
      <c r="H642" s="32"/>
      <c r="I642" s="248"/>
      <c r="J642" s="248"/>
      <c r="K642" s="251"/>
      <c r="L642" s="238"/>
      <c r="M642" s="248"/>
      <c r="N642" s="248"/>
      <c r="O642" s="248"/>
      <c r="P642" s="250"/>
      <c r="Q642" s="252"/>
      <c r="R642" s="248"/>
      <c r="S642" s="248"/>
      <c r="T642" s="248"/>
      <c r="U642" s="248"/>
      <c r="V642" s="248"/>
      <c r="W642" s="248"/>
      <c r="X642" s="248"/>
      <c r="Y642" s="248"/>
      <c r="Z642" s="253"/>
      <c r="AA642" s="253"/>
      <c r="AB642" s="253"/>
      <c r="AC642" s="253"/>
      <c r="AD642" s="253"/>
      <c r="AE642" s="253"/>
      <c r="AF642" s="254"/>
      <c r="AG642" s="257"/>
      <c r="AH642" s="257"/>
      <c r="AI642" s="257"/>
      <c r="AJ642" s="258"/>
      <c r="AK642" s="259"/>
      <c r="AL642" s="257"/>
      <c r="AM642" s="257"/>
      <c r="AN642" s="257"/>
      <c r="AO642" s="257"/>
      <c r="AP642" s="257"/>
      <c r="AQ642" s="258"/>
      <c r="AR642" s="260"/>
      <c r="AS642" s="257"/>
      <c r="AT642" s="257"/>
      <c r="AU642" s="257"/>
      <c r="AV642" s="257"/>
      <c r="AW642" s="257"/>
      <c r="AX642" s="258"/>
      <c r="AY642" s="260"/>
      <c r="AZ642" s="257"/>
      <c r="BA642" s="257"/>
      <c r="BB642" s="257"/>
      <c r="BC642" s="257"/>
      <c r="BD642" s="258"/>
      <c r="BE642" s="260"/>
      <c r="BF642" s="258"/>
      <c r="BG642" s="260"/>
      <c r="BH642" s="257"/>
      <c r="BI642" s="14"/>
    </row>
    <row r="643" spans="1:61" ht="13.15" x14ac:dyDescent="0.4">
      <c r="A643" s="248"/>
      <c r="B643" s="256"/>
      <c r="C643" s="248"/>
      <c r="D643" s="248"/>
      <c r="E643" s="248"/>
      <c r="F643" s="250"/>
      <c r="G643" s="248"/>
      <c r="H643" s="32"/>
      <c r="I643" s="248"/>
      <c r="J643" s="248"/>
      <c r="K643" s="251"/>
      <c r="L643" s="238"/>
      <c r="M643" s="248"/>
      <c r="N643" s="248"/>
      <c r="O643" s="248"/>
      <c r="P643" s="250"/>
      <c r="Q643" s="252"/>
      <c r="R643" s="248"/>
      <c r="S643" s="248"/>
      <c r="T643" s="248"/>
      <c r="U643" s="248"/>
      <c r="V643" s="248"/>
      <c r="W643" s="248"/>
      <c r="X643" s="248"/>
      <c r="Y643" s="248"/>
      <c r="Z643" s="253"/>
      <c r="AA643" s="253"/>
      <c r="AB643" s="253"/>
      <c r="AC643" s="253"/>
      <c r="AD643" s="253"/>
      <c r="AE643" s="253"/>
      <c r="AF643" s="254"/>
      <c r="AG643" s="257"/>
      <c r="AH643" s="257"/>
      <c r="AI643" s="257"/>
      <c r="AJ643" s="258"/>
      <c r="AK643" s="259"/>
      <c r="AL643" s="257"/>
      <c r="AM643" s="257"/>
      <c r="AN643" s="257"/>
      <c r="AO643" s="257"/>
      <c r="AP643" s="257"/>
      <c r="AQ643" s="258"/>
      <c r="AR643" s="260"/>
      <c r="AS643" s="257"/>
      <c r="AT643" s="257"/>
      <c r="AU643" s="257"/>
      <c r="AV643" s="257"/>
      <c r="AW643" s="257"/>
      <c r="AX643" s="258"/>
      <c r="AY643" s="260"/>
      <c r="AZ643" s="257"/>
      <c r="BA643" s="257"/>
      <c r="BB643" s="257"/>
      <c r="BC643" s="257"/>
      <c r="BD643" s="258"/>
      <c r="BE643" s="260"/>
      <c r="BF643" s="258"/>
      <c r="BG643" s="260"/>
      <c r="BH643" s="257"/>
      <c r="BI643" s="14"/>
    </row>
    <row r="644" spans="1:61" ht="13.15" x14ac:dyDescent="0.4">
      <c r="A644" s="248"/>
      <c r="B644" s="256"/>
      <c r="C644" s="248"/>
      <c r="D644" s="248"/>
      <c r="E644" s="248"/>
      <c r="F644" s="250"/>
      <c r="G644" s="248"/>
      <c r="H644" s="32"/>
      <c r="I644" s="248"/>
      <c r="J644" s="248"/>
      <c r="K644" s="251"/>
      <c r="L644" s="238"/>
      <c r="M644" s="248"/>
      <c r="N644" s="248"/>
      <c r="O644" s="248"/>
      <c r="P644" s="250"/>
      <c r="Q644" s="252"/>
      <c r="R644" s="248"/>
      <c r="S644" s="248"/>
      <c r="T644" s="248"/>
      <c r="U644" s="248"/>
      <c r="V644" s="248"/>
      <c r="W644" s="248"/>
      <c r="X644" s="248"/>
      <c r="Y644" s="248"/>
      <c r="Z644" s="253"/>
      <c r="AA644" s="253"/>
      <c r="AB644" s="253"/>
      <c r="AC644" s="253"/>
      <c r="AD644" s="253"/>
      <c r="AE644" s="253"/>
      <c r="AF644" s="254"/>
      <c r="AG644" s="257"/>
      <c r="AH644" s="257"/>
      <c r="AI644" s="257"/>
      <c r="AJ644" s="258"/>
      <c r="AK644" s="259"/>
      <c r="AL644" s="257"/>
      <c r="AM644" s="257"/>
      <c r="AN644" s="257"/>
      <c r="AO644" s="257"/>
      <c r="AP644" s="257"/>
      <c r="AQ644" s="258"/>
      <c r="AR644" s="260"/>
      <c r="AS644" s="257"/>
      <c r="AT644" s="257"/>
      <c r="AU644" s="257"/>
      <c r="AV644" s="257"/>
      <c r="AW644" s="257"/>
      <c r="AX644" s="258"/>
      <c r="AY644" s="260"/>
      <c r="AZ644" s="257"/>
      <c r="BA644" s="257"/>
      <c r="BB644" s="257"/>
      <c r="BC644" s="257"/>
      <c r="BD644" s="258"/>
      <c r="BE644" s="260"/>
      <c r="BF644" s="258"/>
      <c r="BG644" s="260"/>
      <c r="BH644" s="257"/>
      <c r="BI644" s="14"/>
    </row>
    <row r="645" spans="1:61" ht="13.15" x14ac:dyDescent="0.4">
      <c r="A645" s="248"/>
      <c r="B645" s="256"/>
      <c r="C645" s="248"/>
      <c r="D645" s="248"/>
      <c r="E645" s="248"/>
      <c r="F645" s="250"/>
      <c r="G645" s="248"/>
      <c r="H645" s="32"/>
      <c r="I645" s="248"/>
      <c r="J645" s="248"/>
      <c r="K645" s="251"/>
      <c r="L645" s="238"/>
      <c r="M645" s="248"/>
      <c r="N645" s="248"/>
      <c r="O645" s="248"/>
      <c r="P645" s="250"/>
      <c r="Q645" s="252"/>
      <c r="R645" s="248"/>
      <c r="S645" s="248"/>
      <c r="T645" s="248"/>
      <c r="U645" s="248"/>
      <c r="V645" s="248"/>
      <c r="W645" s="248"/>
      <c r="X645" s="248"/>
      <c r="Y645" s="248"/>
      <c r="Z645" s="253"/>
      <c r="AA645" s="253"/>
      <c r="AB645" s="253"/>
      <c r="AC645" s="253"/>
      <c r="AD645" s="253"/>
      <c r="AE645" s="253"/>
      <c r="AF645" s="254"/>
      <c r="AG645" s="257"/>
      <c r="AH645" s="257"/>
      <c r="AI645" s="257"/>
      <c r="AJ645" s="258"/>
      <c r="AK645" s="259"/>
      <c r="AL645" s="257"/>
      <c r="AM645" s="257"/>
      <c r="AN645" s="257"/>
      <c r="AO645" s="257"/>
      <c r="AP645" s="257"/>
      <c r="AQ645" s="258"/>
      <c r="AR645" s="260"/>
      <c r="AS645" s="257"/>
      <c r="AT645" s="257"/>
      <c r="AU645" s="257"/>
      <c r="AV645" s="257"/>
      <c r="AW645" s="257"/>
      <c r="AX645" s="258"/>
      <c r="AY645" s="260"/>
      <c r="AZ645" s="257"/>
      <c r="BA645" s="257"/>
      <c r="BB645" s="257"/>
      <c r="BC645" s="257"/>
      <c r="BD645" s="258"/>
      <c r="BE645" s="260"/>
      <c r="BF645" s="258"/>
      <c r="BG645" s="260"/>
      <c r="BH645" s="257"/>
      <c r="BI645" s="14"/>
    </row>
    <row r="646" spans="1:61" ht="13.15" x14ac:dyDescent="0.4">
      <c r="A646" s="248"/>
      <c r="B646" s="256"/>
      <c r="C646" s="248"/>
      <c r="D646" s="248"/>
      <c r="E646" s="248"/>
      <c r="F646" s="250"/>
      <c r="G646" s="248"/>
      <c r="H646" s="32"/>
      <c r="I646" s="248"/>
      <c r="J646" s="248"/>
      <c r="K646" s="251"/>
      <c r="L646" s="238"/>
      <c r="M646" s="248"/>
      <c r="N646" s="248"/>
      <c r="O646" s="248"/>
      <c r="P646" s="250"/>
      <c r="Q646" s="252"/>
      <c r="R646" s="248"/>
      <c r="S646" s="248"/>
      <c r="T646" s="248"/>
      <c r="U646" s="248"/>
      <c r="V646" s="248"/>
      <c r="W646" s="248"/>
      <c r="X646" s="248"/>
      <c r="Y646" s="248"/>
      <c r="Z646" s="253"/>
      <c r="AA646" s="253"/>
      <c r="AB646" s="253"/>
      <c r="AC646" s="253"/>
      <c r="AD646" s="253"/>
      <c r="AE646" s="253"/>
      <c r="AF646" s="254"/>
      <c r="AG646" s="257"/>
      <c r="AH646" s="257"/>
      <c r="AI646" s="257"/>
      <c r="AJ646" s="258"/>
      <c r="AK646" s="259"/>
      <c r="AL646" s="257"/>
      <c r="AM646" s="257"/>
      <c r="AN646" s="257"/>
      <c r="AO646" s="257"/>
      <c r="AP646" s="257"/>
      <c r="AQ646" s="258"/>
      <c r="AR646" s="260"/>
      <c r="AS646" s="257"/>
      <c r="AT646" s="257"/>
      <c r="AU646" s="257"/>
      <c r="AV646" s="257"/>
      <c r="AW646" s="257"/>
      <c r="AX646" s="258"/>
      <c r="AY646" s="260"/>
      <c r="AZ646" s="257"/>
      <c r="BA646" s="257"/>
      <c r="BB646" s="257"/>
      <c r="BC646" s="257"/>
      <c r="BD646" s="258"/>
      <c r="BE646" s="260"/>
      <c r="BF646" s="258"/>
      <c r="BG646" s="260"/>
      <c r="BH646" s="257"/>
      <c r="BI646" s="14"/>
    </row>
    <row r="647" spans="1:61" ht="13.15" x14ac:dyDescent="0.4">
      <c r="A647" s="248"/>
      <c r="B647" s="256"/>
      <c r="C647" s="248"/>
      <c r="D647" s="248"/>
      <c r="E647" s="248"/>
      <c r="F647" s="250"/>
      <c r="G647" s="248"/>
      <c r="H647" s="32"/>
      <c r="I647" s="248"/>
      <c r="J647" s="248"/>
      <c r="K647" s="251"/>
      <c r="L647" s="238"/>
      <c r="M647" s="248"/>
      <c r="N647" s="248"/>
      <c r="O647" s="248"/>
      <c r="P647" s="250"/>
      <c r="Q647" s="252"/>
      <c r="R647" s="248"/>
      <c r="S647" s="248"/>
      <c r="T647" s="248"/>
      <c r="U647" s="248"/>
      <c r="V647" s="248"/>
      <c r="W647" s="248"/>
      <c r="X647" s="248"/>
      <c r="Y647" s="248"/>
      <c r="Z647" s="253"/>
      <c r="AA647" s="253"/>
      <c r="AB647" s="253"/>
      <c r="AC647" s="253"/>
      <c r="AD647" s="253"/>
      <c r="AE647" s="253"/>
      <c r="AF647" s="254"/>
      <c r="AG647" s="257"/>
      <c r="AH647" s="257"/>
      <c r="AI647" s="257"/>
      <c r="AJ647" s="258"/>
      <c r="AK647" s="259"/>
      <c r="AL647" s="257"/>
      <c r="AM647" s="257"/>
      <c r="AN647" s="257"/>
      <c r="AO647" s="257"/>
      <c r="AP647" s="257"/>
      <c r="AQ647" s="258"/>
      <c r="AR647" s="260"/>
      <c r="AS647" s="257"/>
      <c r="AT647" s="257"/>
      <c r="AU647" s="257"/>
      <c r="AV647" s="257"/>
      <c r="AW647" s="257"/>
      <c r="AX647" s="258"/>
      <c r="AY647" s="260"/>
      <c r="AZ647" s="257"/>
      <c r="BA647" s="257"/>
      <c r="BB647" s="257"/>
      <c r="BC647" s="257"/>
      <c r="BD647" s="258"/>
      <c r="BE647" s="260"/>
      <c r="BF647" s="258"/>
      <c r="BG647" s="260"/>
      <c r="BH647" s="257"/>
      <c r="BI647" s="14"/>
    </row>
    <row r="648" spans="1:61" ht="13.15" x14ac:dyDescent="0.4">
      <c r="A648" s="248"/>
      <c r="B648" s="256"/>
      <c r="C648" s="248"/>
      <c r="D648" s="248"/>
      <c r="E648" s="248"/>
      <c r="F648" s="250"/>
      <c r="G648" s="248"/>
      <c r="H648" s="32"/>
      <c r="I648" s="248"/>
      <c r="J648" s="248"/>
      <c r="K648" s="251"/>
      <c r="L648" s="238"/>
      <c r="M648" s="248"/>
      <c r="N648" s="248"/>
      <c r="O648" s="248"/>
      <c r="P648" s="250"/>
      <c r="Q648" s="252"/>
      <c r="R648" s="248"/>
      <c r="S648" s="248"/>
      <c r="T648" s="248"/>
      <c r="U648" s="248"/>
      <c r="V648" s="248"/>
      <c r="W648" s="248"/>
      <c r="X648" s="248"/>
      <c r="Y648" s="248"/>
      <c r="Z648" s="253"/>
      <c r="AA648" s="253"/>
      <c r="AB648" s="253"/>
      <c r="AC648" s="253"/>
      <c r="AD648" s="253"/>
      <c r="AE648" s="253"/>
      <c r="AF648" s="254"/>
      <c r="AG648" s="257"/>
      <c r="AH648" s="257"/>
      <c r="AI648" s="257"/>
      <c r="AJ648" s="258"/>
      <c r="AK648" s="259"/>
      <c r="AL648" s="257"/>
      <c r="AM648" s="257"/>
      <c r="AN648" s="257"/>
      <c r="AO648" s="257"/>
      <c r="AP648" s="257"/>
      <c r="AQ648" s="258"/>
      <c r="AR648" s="260"/>
      <c r="AS648" s="257"/>
      <c r="AT648" s="257"/>
      <c r="AU648" s="257"/>
      <c r="AV648" s="257"/>
      <c r="AW648" s="257"/>
      <c r="AX648" s="258"/>
      <c r="AY648" s="260"/>
      <c r="AZ648" s="257"/>
      <c r="BA648" s="257"/>
      <c r="BB648" s="257"/>
      <c r="BC648" s="257"/>
      <c r="BD648" s="258"/>
      <c r="BE648" s="260"/>
      <c r="BF648" s="258"/>
      <c r="BG648" s="260"/>
      <c r="BH648" s="257"/>
      <c r="BI648" s="14"/>
    </row>
    <row r="649" spans="1:61" ht="13.15" x14ac:dyDescent="0.4">
      <c r="A649" s="248"/>
      <c r="B649" s="256"/>
      <c r="C649" s="248"/>
      <c r="D649" s="248"/>
      <c r="E649" s="248"/>
      <c r="F649" s="250"/>
      <c r="G649" s="248"/>
      <c r="H649" s="32"/>
      <c r="I649" s="248"/>
      <c r="J649" s="248"/>
      <c r="K649" s="251"/>
      <c r="L649" s="238"/>
      <c r="M649" s="248"/>
      <c r="N649" s="248"/>
      <c r="O649" s="248"/>
      <c r="P649" s="250"/>
      <c r="Q649" s="252"/>
      <c r="R649" s="248"/>
      <c r="S649" s="248"/>
      <c r="T649" s="248"/>
      <c r="U649" s="248"/>
      <c r="V649" s="248"/>
      <c r="W649" s="248"/>
      <c r="X649" s="248"/>
      <c r="Y649" s="248"/>
      <c r="Z649" s="253"/>
      <c r="AA649" s="253"/>
      <c r="AB649" s="253"/>
      <c r="AC649" s="253"/>
      <c r="AD649" s="253"/>
      <c r="AE649" s="253"/>
      <c r="AF649" s="254"/>
      <c r="AG649" s="257"/>
      <c r="AH649" s="257"/>
      <c r="AI649" s="257"/>
      <c r="AJ649" s="258"/>
      <c r="AK649" s="259"/>
      <c r="AL649" s="257"/>
      <c r="AM649" s="257"/>
      <c r="AN649" s="257"/>
      <c r="AO649" s="257"/>
      <c r="AP649" s="257"/>
      <c r="AQ649" s="258"/>
      <c r="AR649" s="260"/>
      <c r="AS649" s="257"/>
      <c r="AT649" s="257"/>
      <c r="AU649" s="257"/>
      <c r="AV649" s="257"/>
      <c r="AW649" s="257"/>
      <c r="AX649" s="258"/>
      <c r="AY649" s="260"/>
      <c r="AZ649" s="257"/>
      <c r="BA649" s="257"/>
      <c r="BB649" s="257"/>
      <c r="BC649" s="257"/>
      <c r="BD649" s="258"/>
      <c r="BE649" s="260"/>
      <c r="BF649" s="258"/>
      <c r="BG649" s="260"/>
      <c r="BH649" s="257"/>
      <c r="BI649" s="14"/>
    </row>
    <row r="650" spans="1:61" ht="13.15" x14ac:dyDescent="0.4">
      <c r="A650" s="248"/>
      <c r="B650" s="256"/>
      <c r="C650" s="248"/>
      <c r="D650" s="248"/>
      <c r="E650" s="248"/>
      <c r="F650" s="250"/>
      <c r="G650" s="248"/>
      <c r="H650" s="32"/>
      <c r="I650" s="248"/>
      <c r="J650" s="248"/>
      <c r="K650" s="251"/>
      <c r="L650" s="238"/>
      <c r="M650" s="248"/>
      <c r="N650" s="248"/>
      <c r="O650" s="248"/>
      <c r="P650" s="250"/>
      <c r="Q650" s="252"/>
      <c r="R650" s="248"/>
      <c r="S650" s="248"/>
      <c r="T650" s="248"/>
      <c r="U650" s="248"/>
      <c r="V650" s="248"/>
      <c r="W650" s="248"/>
      <c r="X650" s="248"/>
      <c r="Y650" s="248"/>
      <c r="Z650" s="253"/>
      <c r="AA650" s="253"/>
      <c r="AB650" s="253"/>
      <c r="AC650" s="253"/>
      <c r="AD650" s="253"/>
      <c r="AE650" s="253"/>
      <c r="AF650" s="254"/>
      <c r="AG650" s="257"/>
      <c r="AH650" s="257"/>
      <c r="AI650" s="257"/>
      <c r="AJ650" s="258"/>
      <c r="AK650" s="259"/>
      <c r="AL650" s="257"/>
      <c r="AM650" s="257"/>
      <c r="AN650" s="257"/>
      <c r="AO650" s="257"/>
      <c r="AP650" s="257"/>
      <c r="AQ650" s="258"/>
      <c r="AR650" s="260"/>
      <c r="AS650" s="257"/>
      <c r="AT650" s="257"/>
      <c r="AU650" s="257"/>
      <c r="AV650" s="257"/>
      <c r="AW650" s="257"/>
      <c r="AX650" s="258"/>
      <c r="AY650" s="260"/>
      <c r="AZ650" s="257"/>
      <c r="BA650" s="257"/>
      <c r="BB650" s="257"/>
      <c r="BC650" s="257"/>
      <c r="BD650" s="258"/>
      <c r="BE650" s="260"/>
      <c r="BF650" s="258"/>
      <c r="BG650" s="260"/>
      <c r="BH650" s="257"/>
      <c r="BI650" s="14"/>
    </row>
    <row r="651" spans="1:61" ht="13.15" x14ac:dyDescent="0.4">
      <c r="A651" s="248"/>
      <c r="B651" s="256"/>
      <c r="C651" s="248"/>
      <c r="D651" s="248"/>
      <c r="E651" s="248"/>
      <c r="F651" s="250"/>
      <c r="G651" s="248"/>
      <c r="H651" s="32"/>
      <c r="I651" s="248"/>
      <c r="J651" s="248"/>
      <c r="K651" s="251"/>
      <c r="L651" s="238"/>
      <c r="M651" s="248"/>
      <c r="N651" s="248"/>
      <c r="O651" s="248"/>
      <c r="P651" s="250"/>
      <c r="Q651" s="252"/>
      <c r="R651" s="248"/>
      <c r="S651" s="248"/>
      <c r="T651" s="248"/>
      <c r="U651" s="248"/>
      <c r="V651" s="248"/>
      <c r="W651" s="248"/>
      <c r="X651" s="248"/>
      <c r="Y651" s="248"/>
      <c r="Z651" s="253"/>
      <c r="AA651" s="253"/>
      <c r="AB651" s="253"/>
      <c r="AC651" s="253"/>
      <c r="AD651" s="253"/>
      <c r="AE651" s="253"/>
      <c r="AF651" s="254"/>
      <c r="AG651" s="257"/>
      <c r="AH651" s="257"/>
      <c r="AI651" s="257"/>
      <c r="AJ651" s="258"/>
      <c r="AK651" s="259"/>
      <c r="AL651" s="257"/>
      <c r="AM651" s="257"/>
      <c r="AN651" s="257"/>
      <c r="AO651" s="257"/>
      <c r="AP651" s="257"/>
      <c r="AQ651" s="258"/>
      <c r="AR651" s="260"/>
      <c r="AS651" s="257"/>
      <c r="AT651" s="257"/>
      <c r="AU651" s="257"/>
      <c r="AV651" s="257"/>
      <c r="AW651" s="257"/>
      <c r="AX651" s="258"/>
      <c r="AY651" s="260"/>
      <c r="AZ651" s="257"/>
      <c r="BA651" s="257"/>
      <c r="BB651" s="257"/>
      <c r="BC651" s="257"/>
      <c r="BD651" s="258"/>
      <c r="BE651" s="260"/>
      <c r="BF651" s="258"/>
      <c r="BG651" s="260"/>
      <c r="BH651" s="257"/>
      <c r="BI651" s="14"/>
    </row>
    <row r="652" spans="1:61" ht="13.15" x14ac:dyDescent="0.4">
      <c r="A652" s="248"/>
      <c r="B652" s="256"/>
      <c r="C652" s="248"/>
      <c r="D652" s="248"/>
      <c r="E652" s="248"/>
      <c r="F652" s="250"/>
      <c r="G652" s="248"/>
      <c r="H652" s="32"/>
      <c r="I652" s="248"/>
      <c r="J652" s="248"/>
      <c r="K652" s="251"/>
      <c r="L652" s="238"/>
      <c r="M652" s="248"/>
      <c r="N652" s="248"/>
      <c r="O652" s="248"/>
      <c r="P652" s="250"/>
      <c r="Q652" s="252"/>
      <c r="R652" s="248"/>
      <c r="S652" s="248"/>
      <c r="T652" s="248"/>
      <c r="U652" s="248"/>
      <c r="V652" s="248"/>
      <c r="W652" s="248"/>
      <c r="X652" s="248"/>
      <c r="Y652" s="248"/>
      <c r="Z652" s="253"/>
      <c r="AA652" s="253"/>
      <c r="AB652" s="253"/>
      <c r="AC652" s="253"/>
      <c r="AD652" s="253"/>
      <c r="AE652" s="253"/>
      <c r="AF652" s="254"/>
      <c r="AG652" s="257"/>
      <c r="AH652" s="257"/>
      <c r="AI652" s="257"/>
      <c r="AJ652" s="258"/>
      <c r="AK652" s="259"/>
      <c r="AL652" s="257"/>
      <c r="AM652" s="257"/>
      <c r="AN652" s="257"/>
      <c r="AO652" s="257"/>
      <c r="AP652" s="257"/>
      <c r="AQ652" s="258"/>
      <c r="AR652" s="260"/>
      <c r="AS652" s="257"/>
      <c r="AT652" s="257"/>
      <c r="AU652" s="257"/>
      <c r="AV652" s="257"/>
      <c r="AW652" s="257"/>
      <c r="AX652" s="258"/>
      <c r="AY652" s="260"/>
      <c r="AZ652" s="257"/>
      <c r="BA652" s="257"/>
      <c r="BB652" s="257"/>
      <c r="BC652" s="257"/>
      <c r="BD652" s="258"/>
      <c r="BE652" s="260"/>
      <c r="BF652" s="258"/>
      <c r="BG652" s="260"/>
      <c r="BH652" s="257"/>
      <c r="BI652" s="14"/>
    </row>
    <row r="653" spans="1:61" ht="13.15" x14ac:dyDescent="0.4">
      <c r="A653" s="248"/>
      <c r="B653" s="256"/>
      <c r="C653" s="248"/>
      <c r="D653" s="248"/>
      <c r="E653" s="248"/>
      <c r="F653" s="250"/>
      <c r="G653" s="248"/>
      <c r="H653" s="32"/>
      <c r="I653" s="248"/>
      <c r="J653" s="248"/>
      <c r="K653" s="251"/>
      <c r="L653" s="238"/>
      <c r="M653" s="248"/>
      <c r="N653" s="248"/>
      <c r="O653" s="248"/>
      <c r="P653" s="250"/>
      <c r="Q653" s="252"/>
      <c r="R653" s="248"/>
      <c r="S653" s="248"/>
      <c r="T653" s="248"/>
      <c r="U653" s="248"/>
      <c r="V653" s="248"/>
      <c r="W653" s="248"/>
      <c r="X653" s="248"/>
      <c r="Y653" s="248"/>
      <c r="Z653" s="253"/>
      <c r="AA653" s="253"/>
      <c r="AB653" s="253"/>
      <c r="AC653" s="253"/>
      <c r="AD653" s="253"/>
      <c r="AE653" s="253"/>
      <c r="AF653" s="254"/>
      <c r="AG653" s="257"/>
      <c r="AH653" s="257"/>
      <c r="AI653" s="257"/>
      <c r="AJ653" s="258"/>
      <c r="AK653" s="259"/>
      <c r="AL653" s="257"/>
      <c r="AM653" s="257"/>
      <c r="AN653" s="257"/>
      <c r="AO653" s="257"/>
      <c r="AP653" s="257"/>
      <c r="AQ653" s="258"/>
      <c r="AR653" s="260"/>
      <c r="AS653" s="257"/>
      <c r="AT653" s="257"/>
      <c r="AU653" s="257"/>
      <c r="AV653" s="257"/>
      <c r="AW653" s="257"/>
      <c r="AX653" s="258"/>
      <c r="AY653" s="260"/>
      <c r="AZ653" s="257"/>
      <c r="BA653" s="257"/>
      <c r="BB653" s="257"/>
      <c r="BC653" s="257"/>
      <c r="BD653" s="258"/>
      <c r="BE653" s="260"/>
      <c r="BF653" s="258"/>
      <c r="BG653" s="260"/>
      <c r="BH653" s="257"/>
      <c r="BI653" s="14"/>
    </row>
    <row r="654" spans="1:61" ht="13.15" x14ac:dyDescent="0.4">
      <c r="A654" s="248"/>
      <c r="B654" s="256"/>
      <c r="C654" s="248"/>
      <c r="D654" s="248"/>
      <c r="E654" s="248"/>
      <c r="F654" s="250"/>
      <c r="G654" s="248"/>
      <c r="H654" s="32"/>
      <c r="I654" s="248"/>
      <c r="J654" s="248"/>
      <c r="K654" s="251"/>
      <c r="L654" s="238"/>
      <c r="M654" s="248"/>
      <c r="N654" s="248"/>
      <c r="O654" s="248"/>
      <c r="P654" s="250"/>
      <c r="Q654" s="252"/>
      <c r="R654" s="248"/>
      <c r="S654" s="248"/>
      <c r="T654" s="248"/>
      <c r="U654" s="248"/>
      <c r="V654" s="248"/>
      <c r="W654" s="248"/>
      <c r="X654" s="248"/>
      <c r="Y654" s="248"/>
      <c r="Z654" s="253"/>
      <c r="AA654" s="253"/>
      <c r="AB654" s="253"/>
      <c r="AC654" s="253"/>
      <c r="AD654" s="253"/>
      <c r="AE654" s="253"/>
      <c r="AF654" s="254"/>
      <c r="AG654" s="257"/>
      <c r="AH654" s="257"/>
      <c r="AI654" s="257"/>
      <c r="AJ654" s="258"/>
      <c r="AK654" s="259"/>
      <c r="AL654" s="257"/>
      <c r="AM654" s="257"/>
      <c r="AN654" s="257"/>
      <c r="AO654" s="257"/>
      <c r="AP654" s="257"/>
      <c r="AQ654" s="258"/>
      <c r="AR654" s="260"/>
      <c r="AS654" s="257"/>
      <c r="AT654" s="257"/>
      <c r="AU654" s="257"/>
      <c r="AV654" s="257"/>
      <c r="AW654" s="257"/>
      <c r="AX654" s="258"/>
      <c r="AY654" s="260"/>
      <c r="AZ654" s="257"/>
      <c r="BA654" s="257"/>
      <c r="BB654" s="257"/>
      <c r="BC654" s="257"/>
      <c r="BD654" s="258"/>
      <c r="BE654" s="260"/>
      <c r="BF654" s="258"/>
      <c r="BG654" s="260"/>
      <c r="BH654" s="257"/>
      <c r="BI654" s="14"/>
    </row>
    <row r="655" spans="1:61" ht="13.15" x14ac:dyDescent="0.4">
      <c r="A655" s="248"/>
      <c r="B655" s="256"/>
      <c r="C655" s="248"/>
      <c r="D655" s="248"/>
      <c r="E655" s="248"/>
      <c r="F655" s="250"/>
      <c r="G655" s="248"/>
      <c r="H655" s="32"/>
      <c r="I655" s="248"/>
      <c r="J655" s="248"/>
      <c r="K655" s="251"/>
      <c r="L655" s="238"/>
      <c r="M655" s="248"/>
      <c r="N655" s="248"/>
      <c r="O655" s="248"/>
      <c r="P655" s="250"/>
      <c r="Q655" s="252"/>
      <c r="R655" s="248"/>
      <c r="S655" s="248"/>
      <c r="T655" s="248"/>
      <c r="U655" s="248"/>
      <c r="V655" s="248"/>
      <c r="W655" s="248"/>
      <c r="X655" s="248"/>
      <c r="Y655" s="248"/>
      <c r="Z655" s="253"/>
      <c r="AA655" s="253"/>
      <c r="AB655" s="253"/>
      <c r="AC655" s="253"/>
      <c r="AD655" s="253"/>
      <c r="AE655" s="253"/>
      <c r="AF655" s="254"/>
      <c r="AG655" s="257"/>
      <c r="AH655" s="257"/>
      <c r="AI655" s="257"/>
      <c r="AJ655" s="258"/>
      <c r="AK655" s="259"/>
      <c r="AL655" s="257"/>
      <c r="AM655" s="257"/>
      <c r="AN655" s="257"/>
      <c r="AO655" s="257"/>
      <c r="AP655" s="257"/>
      <c r="AQ655" s="258"/>
      <c r="AR655" s="260"/>
      <c r="AS655" s="257"/>
      <c r="AT655" s="257"/>
      <c r="AU655" s="257"/>
      <c r="AV655" s="257"/>
      <c r="AW655" s="257"/>
      <c r="AX655" s="258"/>
      <c r="AY655" s="260"/>
      <c r="AZ655" s="257"/>
      <c r="BA655" s="257"/>
      <c r="BB655" s="257"/>
      <c r="BC655" s="257"/>
      <c r="BD655" s="258"/>
      <c r="BE655" s="260"/>
      <c r="BF655" s="258"/>
      <c r="BG655" s="260"/>
      <c r="BH655" s="257"/>
      <c r="BI655" s="14"/>
    </row>
    <row r="656" spans="1:61" ht="13.15" x14ac:dyDescent="0.4">
      <c r="A656" s="248"/>
      <c r="B656" s="256"/>
      <c r="C656" s="248"/>
      <c r="D656" s="248"/>
      <c r="E656" s="248"/>
      <c r="F656" s="250"/>
      <c r="G656" s="248"/>
      <c r="H656" s="32"/>
      <c r="I656" s="248"/>
      <c r="J656" s="248"/>
      <c r="K656" s="251"/>
      <c r="L656" s="238"/>
      <c r="M656" s="248"/>
      <c r="N656" s="248"/>
      <c r="O656" s="248"/>
      <c r="P656" s="250"/>
      <c r="Q656" s="252"/>
      <c r="R656" s="248"/>
      <c r="S656" s="248"/>
      <c r="T656" s="248"/>
      <c r="U656" s="248"/>
      <c r="V656" s="248"/>
      <c r="W656" s="248"/>
      <c r="X656" s="248"/>
      <c r="Y656" s="248"/>
      <c r="Z656" s="253"/>
      <c r="AA656" s="253"/>
      <c r="AB656" s="253"/>
      <c r="AC656" s="253"/>
      <c r="AD656" s="253"/>
      <c r="AE656" s="253"/>
      <c r="AF656" s="254"/>
      <c r="AG656" s="257"/>
      <c r="AH656" s="257"/>
      <c r="AI656" s="257"/>
      <c r="AJ656" s="258"/>
      <c r="AK656" s="259"/>
      <c r="AL656" s="257"/>
      <c r="AM656" s="257"/>
      <c r="AN656" s="257"/>
      <c r="AO656" s="257"/>
      <c r="AP656" s="257"/>
      <c r="AQ656" s="258"/>
      <c r="AR656" s="260"/>
      <c r="AS656" s="257"/>
      <c r="AT656" s="257"/>
      <c r="AU656" s="257"/>
      <c r="AV656" s="257"/>
      <c r="AW656" s="257"/>
      <c r="AX656" s="258"/>
      <c r="AY656" s="260"/>
      <c r="AZ656" s="257"/>
      <c r="BA656" s="257"/>
      <c r="BB656" s="257"/>
      <c r="BC656" s="257"/>
      <c r="BD656" s="258"/>
      <c r="BE656" s="260"/>
      <c r="BF656" s="258"/>
      <c r="BG656" s="260"/>
      <c r="BH656" s="257"/>
      <c r="BI656" s="14"/>
    </row>
    <row r="657" spans="1:61" ht="13.15" x14ac:dyDescent="0.4">
      <c r="A657" s="248"/>
      <c r="B657" s="256"/>
      <c r="C657" s="248"/>
      <c r="D657" s="248"/>
      <c r="E657" s="248"/>
      <c r="F657" s="250"/>
      <c r="G657" s="248"/>
      <c r="H657" s="32"/>
      <c r="I657" s="248"/>
      <c r="J657" s="248"/>
      <c r="K657" s="251"/>
      <c r="L657" s="238"/>
      <c r="M657" s="248"/>
      <c r="N657" s="248"/>
      <c r="O657" s="248"/>
      <c r="P657" s="250"/>
      <c r="Q657" s="252"/>
      <c r="R657" s="248"/>
      <c r="S657" s="248"/>
      <c r="T657" s="248"/>
      <c r="U657" s="248"/>
      <c r="V657" s="248"/>
      <c r="W657" s="248"/>
      <c r="X657" s="248"/>
      <c r="Y657" s="248"/>
      <c r="Z657" s="253"/>
      <c r="AA657" s="253"/>
      <c r="AB657" s="253"/>
      <c r="AC657" s="253"/>
      <c r="AD657" s="253"/>
      <c r="AE657" s="253"/>
      <c r="AF657" s="254"/>
      <c r="AG657" s="257"/>
      <c r="AH657" s="257"/>
      <c r="AI657" s="257"/>
      <c r="AJ657" s="258"/>
      <c r="AK657" s="259"/>
      <c r="AL657" s="257"/>
      <c r="AM657" s="257"/>
      <c r="AN657" s="257"/>
      <c r="AO657" s="257"/>
      <c r="AP657" s="257"/>
      <c r="AQ657" s="258"/>
      <c r="AR657" s="260"/>
      <c r="AS657" s="257"/>
      <c r="AT657" s="257"/>
      <c r="AU657" s="257"/>
      <c r="AV657" s="257"/>
      <c r="AW657" s="257"/>
      <c r="AX657" s="258"/>
      <c r="AY657" s="260"/>
      <c r="AZ657" s="257"/>
      <c r="BA657" s="257"/>
      <c r="BB657" s="257"/>
      <c r="BC657" s="257"/>
      <c r="BD657" s="258"/>
      <c r="BE657" s="260"/>
      <c r="BF657" s="258"/>
      <c r="BG657" s="260"/>
      <c r="BH657" s="257"/>
      <c r="BI657" s="14"/>
    </row>
    <row r="658" spans="1:61" ht="13.15" x14ac:dyDescent="0.4">
      <c r="A658" s="248"/>
      <c r="B658" s="256"/>
      <c r="C658" s="248"/>
      <c r="D658" s="248"/>
      <c r="E658" s="248"/>
      <c r="F658" s="250"/>
      <c r="G658" s="248"/>
      <c r="H658" s="32"/>
      <c r="I658" s="248"/>
      <c r="J658" s="248"/>
      <c r="K658" s="251"/>
      <c r="L658" s="238"/>
      <c r="M658" s="248"/>
      <c r="N658" s="248"/>
      <c r="O658" s="248"/>
      <c r="P658" s="250"/>
      <c r="Q658" s="252"/>
      <c r="R658" s="248"/>
      <c r="S658" s="248"/>
      <c r="T658" s="248"/>
      <c r="U658" s="248"/>
      <c r="V658" s="248"/>
      <c r="W658" s="248"/>
      <c r="X658" s="248"/>
      <c r="Y658" s="248"/>
      <c r="Z658" s="253"/>
      <c r="AA658" s="253"/>
      <c r="AB658" s="253"/>
      <c r="AC658" s="253"/>
      <c r="AD658" s="253"/>
      <c r="AE658" s="253"/>
      <c r="AF658" s="254"/>
      <c r="AG658" s="257"/>
      <c r="AH658" s="257"/>
      <c r="AI658" s="257"/>
      <c r="AJ658" s="258"/>
      <c r="AK658" s="259"/>
      <c r="AL658" s="257"/>
      <c r="AM658" s="257"/>
      <c r="AN658" s="257"/>
      <c r="AO658" s="257"/>
      <c r="AP658" s="257"/>
      <c r="AQ658" s="258"/>
      <c r="AR658" s="260"/>
      <c r="AS658" s="257"/>
      <c r="AT658" s="257"/>
      <c r="AU658" s="257"/>
      <c r="AV658" s="257"/>
      <c r="AW658" s="257"/>
      <c r="AX658" s="258"/>
      <c r="AY658" s="260"/>
      <c r="AZ658" s="257"/>
      <c r="BA658" s="257"/>
      <c r="BB658" s="257"/>
      <c r="BC658" s="257"/>
      <c r="BD658" s="258"/>
      <c r="BE658" s="260"/>
      <c r="BF658" s="258"/>
      <c r="BG658" s="260"/>
      <c r="BH658" s="257"/>
      <c r="BI658" s="14"/>
    </row>
    <row r="659" spans="1:61" ht="13.15" x14ac:dyDescent="0.4">
      <c r="A659" s="248"/>
      <c r="B659" s="256"/>
      <c r="C659" s="248"/>
      <c r="D659" s="248"/>
      <c r="E659" s="248"/>
      <c r="F659" s="250"/>
      <c r="G659" s="248"/>
      <c r="H659" s="32"/>
      <c r="I659" s="248"/>
      <c r="J659" s="248"/>
      <c r="K659" s="251"/>
      <c r="L659" s="238"/>
      <c r="M659" s="248"/>
      <c r="N659" s="248"/>
      <c r="O659" s="248"/>
      <c r="P659" s="250"/>
      <c r="Q659" s="252"/>
      <c r="R659" s="248"/>
      <c r="S659" s="248"/>
      <c r="T659" s="248"/>
      <c r="U659" s="248"/>
      <c r="V659" s="248"/>
      <c r="W659" s="248"/>
      <c r="X659" s="248"/>
      <c r="Y659" s="248"/>
      <c r="Z659" s="253"/>
      <c r="AA659" s="253"/>
      <c r="AB659" s="253"/>
      <c r="AC659" s="253"/>
      <c r="AD659" s="253"/>
      <c r="AE659" s="253"/>
      <c r="AF659" s="254"/>
      <c r="AG659" s="257"/>
      <c r="AH659" s="257"/>
      <c r="AI659" s="257"/>
      <c r="AJ659" s="258"/>
      <c r="AK659" s="259"/>
      <c r="AL659" s="257"/>
      <c r="AM659" s="257"/>
      <c r="AN659" s="257"/>
      <c r="AO659" s="257"/>
      <c r="AP659" s="257"/>
      <c r="AQ659" s="258"/>
      <c r="AR659" s="260"/>
      <c r="AS659" s="257"/>
      <c r="AT659" s="257"/>
      <c r="AU659" s="257"/>
      <c r="AV659" s="257"/>
      <c r="AW659" s="257"/>
      <c r="AX659" s="258"/>
      <c r="AY659" s="260"/>
      <c r="AZ659" s="257"/>
      <c r="BA659" s="257"/>
      <c r="BB659" s="257"/>
      <c r="BC659" s="257"/>
      <c r="BD659" s="258"/>
      <c r="BE659" s="260"/>
      <c r="BF659" s="258"/>
      <c r="BG659" s="260"/>
      <c r="BH659" s="257"/>
      <c r="BI659" s="14"/>
    </row>
    <row r="660" spans="1:61" ht="13.15" x14ac:dyDescent="0.4">
      <c r="A660" s="248"/>
      <c r="B660" s="256"/>
      <c r="C660" s="248"/>
      <c r="D660" s="248"/>
      <c r="E660" s="248"/>
      <c r="F660" s="250"/>
      <c r="G660" s="248"/>
      <c r="H660" s="32"/>
      <c r="I660" s="248"/>
      <c r="J660" s="248"/>
      <c r="K660" s="251"/>
      <c r="L660" s="238"/>
      <c r="M660" s="248"/>
      <c r="N660" s="248"/>
      <c r="O660" s="248"/>
      <c r="P660" s="250"/>
      <c r="Q660" s="252"/>
      <c r="R660" s="248"/>
      <c r="S660" s="248"/>
      <c r="T660" s="248"/>
      <c r="U660" s="248"/>
      <c r="V660" s="248"/>
      <c r="W660" s="248"/>
      <c r="X660" s="248"/>
      <c r="Y660" s="248"/>
      <c r="Z660" s="253"/>
      <c r="AA660" s="253"/>
      <c r="AB660" s="253"/>
      <c r="AC660" s="253"/>
      <c r="AD660" s="253"/>
      <c r="AE660" s="253"/>
      <c r="AF660" s="254"/>
      <c r="AG660" s="257"/>
      <c r="AH660" s="257"/>
      <c r="AI660" s="257"/>
      <c r="AJ660" s="258"/>
      <c r="AK660" s="259"/>
      <c r="AL660" s="257"/>
      <c r="AM660" s="257"/>
      <c r="AN660" s="257"/>
      <c r="AO660" s="257"/>
      <c r="AP660" s="257"/>
      <c r="AQ660" s="258"/>
      <c r="AR660" s="260"/>
      <c r="AS660" s="257"/>
      <c r="AT660" s="257"/>
      <c r="AU660" s="257"/>
      <c r="AV660" s="257"/>
      <c r="AW660" s="257"/>
      <c r="AX660" s="258"/>
      <c r="AY660" s="260"/>
      <c r="AZ660" s="257"/>
      <c r="BA660" s="257"/>
      <c r="BB660" s="257"/>
      <c r="BC660" s="257"/>
      <c r="BD660" s="258"/>
      <c r="BE660" s="260"/>
      <c r="BF660" s="258"/>
      <c r="BG660" s="260"/>
      <c r="BH660" s="257"/>
      <c r="BI660" s="14"/>
    </row>
    <row r="661" spans="1:61" ht="13.15" x14ac:dyDescent="0.4">
      <c r="A661" s="248"/>
      <c r="B661" s="256"/>
      <c r="C661" s="248"/>
      <c r="D661" s="248"/>
      <c r="E661" s="248"/>
      <c r="F661" s="250"/>
      <c r="G661" s="248"/>
      <c r="H661" s="32"/>
      <c r="I661" s="248"/>
      <c r="J661" s="248"/>
      <c r="K661" s="251"/>
      <c r="L661" s="238"/>
      <c r="M661" s="248"/>
      <c r="N661" s="248"/>
      <c r="O661" s="248"/>
      <c r="P661" s="250"/>
      <c r="Q661" s="252"/>
      <c r="R661" s="248"/>
      <c r="S661" s="248"/>
      <c r="T661" s="248"/>
      <c r="U661" s="248"/>
      <c r="V661" s="248"/>
      <c r="W661" s="248"/>
      <c r="X661" s="248"/>
      <c r="Y661" s="248"/>
      <c r="Z661" s="253"/>
      <c r="AA661" s="253"/>
      <c r="AB661" s="253"/>
      <c r="AC661" s="253"/>
      <c r="AD661" s="253"/>
      <c r="AE661" s="253"/>
      <c r="AF661" s="254"/>
      <c r="AG661" s="257"/>
      <c r="AH661" s="257"/>
      <c r="AI661" s="257"/>
      <c r="AJ661" s="258"/>
      <c r="AK661" s="259"/>
      <c r="AL661" s="257"/>
      <c r="AM661" s="257"/>
      <c r="AN661" s="257"/>
      <c r="AO661" s="257"/>
      <c r="AP661" s="257"/>
      <c r="AQ661" s="258"/>
      <c r="AR661" s="260"/>
      <c r="AS661" s="257"/>
      <c r="AT661" s="257"/>
      <c r="AU661" s="257"/>
      <c r="AV661" s="257"/>
      <c r="AW661" s="257"/>
      <c r="AX661" s="258"/>
      <c r="AY661" s="260"/>
      <c r="AZ661" s="257"/>
      <c r="BA661" s="257"/>
      <c r="BB661" s="257"/>
      <c r="BC661" s="257"/>
      <c r="BD661" s="258"/>
      <c r="BE661" s="260"/>
      <c r="BF661" s="258"/>
      <c r="BG661" s="260"/>
      <c r="BH661" s="257"/>
      <c r="BI661" s="14"/>
    </row>
    <row r="662" spans="1:61" ht="13.15" x14ac:dyDescent="0.4">
      <c r="A662" s="248"/>
      <c r="B662" s="256"/>
      <c r="C662" s="248"/>
      <c r="D662" s="248"/>
      <c r="E662" s="248"/>
      <c r="F662" s="250"/>
      <c r="G662" s="248"/>
      <c r="H662" s="32"/>
      <c r="I662" s="248"/>
      <c r="J662" s="248"/>
      <c r="K662" s="251"/>
      <c r="L662" s="238"/>
      <c r="M662" s="248"/>
      <c r="N662" s="248"/>
      <c r="O662" s="248"/>
      <c r="P662" s="250"/>
      <c r="Q662" s="252"/>
      <c r="R662" s="248"/>
      <c r="S662" s="248"/>
      <c r="T662" s="248"/>
      <c r="U662" s="248"/>
      <c r="V662" s="248"/>
      <c r="W662" s="248"/>
      <c r="X662" s="248"/>
      <c r="Y662" s="248"/>
      <c r="Z662" s="253"/>
      <c r="AA662" s="253"/>
      <c r="AB662" s="253"/>
      <c r="AC662" s="253"/>
      <c r="AD662" s="253"/>
      <c r="AE662" s="253"/>
      <c r="AF662" s="254"/>
      <c r="AG662" s="257"/>
      <c r="AH662" s="257"/>
      <c r="AI662" s="257"/>
      <c r="AJ662" s="258"/>
      <c r="AK662" s="259"/>
      <c r="AL662" s="257"/>
      <c r="AM662" s="257"/>
      <c r="AN662" s="257"/>
      <c r="AO662" s="257"/>
      <c r="AP662" s="257"/>
      <c r="AQ662" s="258"/>
      <c r="AR662" s="260"/>
      <c r="AS662" s="257"/>
      <c r="AT662" s="257"/>
      <c r="AU662" s="257"/>
      <c r="AV662" s="257"/>
      <c r="AW662" s="257"/>
      <c r="AX662" s="258"/>
      <c r="AY662" s="260"/>
      <c r="AZ662" s="257"/>
      <c r="BA662" s="257"/>
      <c r="BB662" s="257"/>
      <c r="BC662" s="257"/>
      <c r="BD662" s="258"/>
      <c r="BE662" s="260"/>
      <c r="BF662" s="258"/>
      <c r="BG662" s="260"/>
      <c r="BH662" s="257"/>
      <c r="BI662" s="14"/>
    </row>
    <row r="663" spans="1:61" ht="13.15" x14ac:dyDescent="0.4">
      <c r="A663" s="248"/>
      <c r="B663" s="256"/>
      <c r="C663" s="248"/>
      <c r="D663" s="248"/>
      <c r="E663" s="248"/>
      <c r="F663" s="250"/>
      <c r="G663" s="248"/>
      <c r="H663" s="32"/>
      <c r="I663" s="248"/>
      <c r="J663" s="248"/>
      <c r="K663" s="251"/>
      <c r="L663" s="238"/>
      <c r="M663" s="248"/>
      <c r="N663" s="248"/>
      <c r="O663" s="248"/>
      <c r="P663" s="250"/>
      <c r="Q663" s="252"/>
      <c r="R663" s="248"/>
      <c r="S663" s="248"/>
      <c r="T663" s="248"/>
      <c r="U663" s="248"/>
      <c r="V663" s="248"/>
      <c r="W663" s="248"/>
      <c r="X663" s="248"/>
      <c r="Y663" s="248"/>
      <c r="Z663" s="253"/>
      <c r="AA663" s="253"/>
      <c r="AB663" s="253"/>
      <c r="AC663" s="253"/>
      <c r="AD663" s="253"/>
      <c r="AE663" s="253"/>
      <c r="AF663" s="254"/>
      <c r="AG663" s="257"/>
      <c r="AH663" s="257"/>
      <c r="AI663" s="257"/>
      <c r="AJ663" s="258"/>
      <c r="AK663" s="259"/>
      <c r="AL663" s="257"/>
      <c r="AM663" s="257"/>
      <c r="AN663" s="257"/>
      <c r="AO663" s="257"/>
      <c r="AP663" s="257"/>
      <c r="AQ663" s="258"/>
      <c r="AR663" s="260"/>
      <c r="AS663" s="257"/>
      <c r="AT663" s="257"/>
      <c r="AU663" s="257"/>
      <c r="AV663" s="257"/>
      <c r="AW663" s="257"/>
      <c r="AX663" s="258"/>
      <c r="AY663" s="260"/>
      <c r="AZ663" s="257"/>
      <c r="BA663" s="257"/>
      <c r="BB663" s="257"/>
      <c r="BC663" s="257"/>
      <c r="BD663" s="258"/>
      <c r="BE663" s="260"/>
      <c r="BF663" s="258"/>
      <c r="BG663" s="260"/>
      <c r="BH663" s="257"/>
      <c r="BI663" s="14"/>
    </row>
    <row r="664" spans="1:61" ht="13.15" x14ac:dyDescent="0.4">
      <c r="A664" s="248"/>
      <c r="B664" s="256"/>
      <c r="C664" s="248"/>
      <c r="D664" s="248"/>
      <c r="E664" s="248"/>
      <c r="F664" s="250"/>
      <c r="G664" s="248"/>
      <c r="H664" s="32"/>
      <c r="I664" s="248"/>
      <c r="J664" s="248"/>
      <c r="K664" s="251"/>
      <c r="L664" s="238"/>
      <c r="M664" s="248"/>
      <c r="N664" s="248"/>
      <c r="O664" s="248"/>
      <c r="P664" s="250"/>
      <c r="Q664" s="252"/>
      <c r="R664" s="248"/>
      <c r="S664" s="248"/>
      <c r="T664" s="248"/>
      <c r="U664" s="248"/>
      <c r="V664" s="248"/>
      <c r="W664" s="248"/>
      <c r="X664" s="248"/>
      <c r="Y664" s="248"/>
      <c r="Z664" s="253"/>
      <c r="AA664" s="253"/>
      <c r="AB664" s="253"/>
      <c r="AC664" s="253"/>
      <c r="AD664" s="253"/>
      <c r="AE664" s="253"/>
      <c r="AF664" s="254"/>
      <c r="AG664" s="257"/>
      <c r="AH664" s="257"/>
      <c r="AI664" s="257"/>
      <c r="AJ664" s="258"/>
      <c r="AK664" s="259"/>
      <c r="AL664" s="257"/>
      <c r="AM664" s="257"/>
      <c r="AN664" s="257"/>
      <c r="AO664" s="257"/>
      <c r="AP664" s="257"/>
      <c r="AQ664" s="258"/>
      <c r="AR664" s="260"/>
      <c r="AS664" s="257"/>
      <c r="AT664" s="257"/>
      <c r="AU664" s="257"/>
      <c r="AV664" s="257"/>
      <c r="AW664" s="257"/>
      <c r="AX664" s="258"/>
      <c r="AY664" s="260"/>
      <c r="AZ664" s="257"/>
      <c r="BA664" s="257"/>
      <c r="BB664" s="257"/>
      <c r="BC664" s="257"/>
      <c r="BD664" s="258"/>
      <c r="BE664" s="260"/>
      <c r="BF664" s="258"/>
      <c r="BG664" s="260"/>
      <c r="BH664" s="257"/>
      <c r="BI664" s="14"/>
    </row>
    <row r="665" spans="1:61" ht="13.15" x14ac:dyDescent="0.4">
      <c r="A665" s="248"/>
      <c r="B665" s="256"/>
      <c r="C665" s="248"/>
      <c r="D665" s="248"/>
      <c r="E665" s="248"/>
      <c r="F665" s="250"/>
      <c r="G665" s="248"/>
      <c r="H665" s="32"/>
      <c r="I665" s="248"/>
      <c r="J665" s="248"/>
      <c r="K665" s="251"/>
      <c r="L665" s="238"/>
      <c r="M665" s="248"/>
      <c r="N665" s="248"/>
      <c r="O665" s="248"/>
      <c r="P665" s="250"/>
      <c r="Q665" s="252"/>
      <c r="R665" s="248"/>
      <c r="S665" s="248"/>
      <c r="T665" s="248"/>
      <c r="U665" s="248"/>
      <c r="V665" s="248"/>
      <c r="W665" s="248"/>
      <c r="X665" s="248"/>
      <c r="Y665" s="248"/>
      <c r="Z665" s="253"/>
      <c r="AA665" s="253"/>
      <c r="AB665" s="253"/>
      <c r="AC665" s="253"/>
      <c r="AD665" s="253"/>
      <c r="AE665" s="253"/>
      <c r="AF665" s="254"/>
      <c r="AG665" s="257"/>
      <c r="AH665" s="257"/>
      <c r="AI665" s="257"/>
      <c r="AJ665" s="258"/>
      <c r="AK665" s="259"/>
      <c r="AL665" s="257"/>
      <c r="AM665" s="257"/>
      <c r="AN665" s="257"/>
      <c r="AO665" s="257"/>
      <c r="AP665" s="257"/>
      <c r="AQ665" s="258"/>
      <c r="AR665" s="260"/>
      <c r="AS665" s="257"/>
      <c r="AT665" s="257"/>
      <c r="AU665" s="257"/>
      <c r="AV665" s="257"/>
      <c r="AW665" s="257"/>
      <c r="AX665" s="258"/>
      <c r="AY665" s="260"/>
      <c r="AZ665" s="257"/>
      <c r="BA665" s="257"/>
      <c r="BB665" s="257"/>
      <c r="BC665" s="257"/>
      <c r="BD665" s="258"/>
      <c r="BE665" s="260"/>
      <c r="BF665" s="258"/>
      <c r="BG665" s="260"/>
      <c r="BH665" s="257"/>
      <c r="BI665" s="14"/>
    </row>
    <row r="666" spans="1:61" ht="13.15" x14ac:dyDescent="0.4">
      <c r="A666" s="248"/>
      <c r="B666" s="256"/>
      <c r="C666" s="248"/>
      <c r="D666" s="248"/>
      <c r="E666" s="248"/>
      <c r="F666" s="250"/>
      <c r="G666" s="248"/>
      <c r="H666" s="32"/>
      <c r="I666" s="248"/>
      <c r="J666" s="248"/>
      <c r="K666" s="251"/>
      <c r="L666" s="238"/>
      <c r="M666" s="248"/>
      <c r="N666" s="248"/>
      <c r="O666" s="248"/>
      <c r="P666" s="250"/>
      <c r="Q666" s="252"/>
      <c r="R666" s="248"/>
      <c r="S666" s="248"/>
      <c r="T666" s="248"/>
      <c r="U666" s="248"/>
      <c r="V666" s="248"/>
      <c r="W666" s="248"/>
      <c r="X666" s="248"/>
      <c r="Y666" s="248"/>
      <c r="Z666" s="253"/>
      <c r="AA666" s="253"/>
      <c r="AB666" s="253"/>
      <c r="AC666" s="253"/>
      <c r="AD666" s="253"/>
      <c r="AE666" s="253"/>
      <c r="AF666" s="254"/>
      <c r="AG666" s="257"/>
      <c r="AH666" s="257"/>
      <c r="AI666" s="257"/>
      <c r="AJ666" s="258"/>
      <c r="AK666" s="259"/>
      <c r="AL666" s="257"/>
      <c r="AM666" s="257"/>
      <c r="AN666" s="257"/>
      <c r="AO666" s="257"/>
      <c r="AP666" s="257"/>
      <c r="AQ666" s="258"/>
      <c r="AR666" s="260"/>
      <c r="AS666" s="257"/>
      <c r="AT666" s="257"/>
      <c r="AU666" s="257"/>
      <c r="AV666" s="257"/>
      <c r="AW666" s="257"/>
      <c r="AX666" s="258"/>
      <c r="AY666" s="260"/>
      <c r="AZ666" s="257"/>
      <c r="BA666" s="257"/>
      <c r="BB666" s="257"/>
      <c r="BC666" s="257"/>
      <c r="BD666" s="258"/>
      <c r="BE666" s="260"/>
      <c r="BF666" s="258"/>
      <c r="BG666" s="260"/>
      <c r="BH666" s="257"/>
      <c r="BI666" s="14"/>
    </row>
    <row r="667" spans="1:61" ht="13.15" x14ac:dyDescent="0.4">
      <c r="A667" s="248"/>
      <c r="B667" s="256"/>
      <c r="C667" s="248"/>
      <c r="D667" s="248"/>
      <c r="E667" s="248"/>
      <c r="F667" s="250"/>
      <c r="G667" s="248"/>
      <c r="H667" s="32"/>
      <c r="I667" s="248"/>
      <c r="J667" s="248"/>
      <c r="K667" s="251"/>
      <c r="L667" s="238"/>
      <c r="M667" s="248"/>
      <c r="N667" s="248"/>
      <c r="O667" s="248"/>
      <c r="P667" s="250"/>
      <c r="Q667" s="252"/>
      <c r="R667" s="248"/>
      <c r="S667" s="248"/>
      <c r="T667" s="248"/>
      <c r="U667" s="248"/>
      <c r="V667" s="248"/>
      <c r="W667" s="248"/>
      <c r="X667" s="248"/>
      <c r="Y667" s="248"/>
      <c r="Z667" s="253"/>
      <c r="AA667" s="253"/>
      <c r="AB667" s="253"/>
      <c r="AC667" s="253"/>
      <c r="AD667" s="253"/>
      <c r="AE667" s="253"/>
      <c r="AF667" s="254"/>
      <c r="AG667" s="257"/>
      <c r="AH667" s="257"/>
      <c r="AI667" s="257"/>
      <c r="AJ667" s="258"/>
      <c r="AK667" s="259"/>
      <c r="AL667" s="257"/>
      <c r="AM667" s="257"/>
      <c r="AN667" s="257"/>
      <c r="AO667" s="257"/>
      <c r="AP667" s="257"/>
      <c r="AQ667" s="258"/>
      <c r="AR667" s="260"/>
      <c r="AS667" s="257"/>
      <c r="AT667" s="257"/>
      <c r="AU667" s="257"/>
      <c r="AV667" s="257"/>
      <c r="AW667" s="257"/>
      <c r="AX667" s="258"/>
      <c r="AY667" s="260"/>
      <c r="AZ667" s="257"/>
      <c r="BA667" s="257"/>
      <c r="BB667" s="257"/>
      <c r="BC667" s="257"/>
      <c r="BD667" s="258"/>
      <c r="BE667" s="260"/>
      <c r="BF667" s="258"/>
      <c r="BG667" s="260"/>
      <c r="BH667" s="257"/>
      <c r="BI667" s="14"/>
    </row>
    <row r="668" spans="1:61" ht="13.15" x14ac:dyDescent="0.4">
      <c r="A668" s="248"/>
      <c r="B668" s="256"/>
      <c r="C668" s="248"/>
      <c r="D668" s="248"/>
      <c r="E668" s="248"/>
      <c r="F668" s="250"/>
      <c r="G668" s="248"/>
      <c r="H668" s="32"/>
      <c r="I668" s="248"/>
      <c r="J668" s="248"/>
      <c r="K668" s="251"/>
      <c r="L668" s="238"/>
      <c r="M668" s="248"/>
      <c r="N668" s="248"/>
      <c r="O668" s="248"/>
      <c r="P668" s="250"/>
      <c r="Q668" s="252"/>
      <c r="R668" s="248"/>
      <c r="S668" s="248"/>
      <c r="T668" s="248"/>
      <c r="U668" s="248"/>
      <c r="V668" s="248"/>
      <c r="W668" s="248"/>
      <c r="X668" s="248"/>
      <c r="Y668" s="248"/>
      <c r="Z668" s="253"/>
      <c r="AA668" s="253"/>
      <c r="AB668" s="253"/>
      <c r="AC668" s="253"/>
      <c r="AD668" s="253"/>
      <c r="AE668" s="253"/>
      <c r="AF668" s="254"/>
      <c r="AG668" s="257"/>
      <c r="AH668" s="257"/>
      <c r="AI668" s="257"/>
      <c r="AJ668" s="258"/>
      <c r="AK668" s="259"/>
      <c r="AL668" s="257"/>
      <c r="AM668" s="257"/>
      <c r="AN668" s="257"/>
      <c r="AO668" s="257"/>
      <c r="AP668" s="257"/>
      <c r="AQ668" s="258"/>
      <c r="AR668" s="260"/>
      <c r="AS668" s="257"/>
      <c r="AT668" s="257"/>
      <c r="AU668" s="257"/>
      <c r="AV668" s="257"/>
      <c r="AW668" s="257"/>
      <c r="AX668" s="258"/>
      <c r="AY668" s="260"/>
      <c r="AZ668" s="257"/>
      <c r="BA668" s="257"/>
      <c r="BB668" s="257"/>
      <c r="BC668" s="257"/>
      <c r="BD668" s="258"/>
      <c r="BE668" s="260"/>
      <c r="BF668" s="258"/>
      <c r="BG668" s="260"/>
      <c r="BH668" s="257"/>
      <c r="BI668" s="14"/>
    </row>
    <row r="669" spans="1:61" ht="13.15" x14ac:dyDescent="0.4">
      <c r="A669" s="248"/>
      <c r="B669" s="256"/>
      <c r="C669" s="248"/>
      <c r="D669" s="248"/>
      <c r="E669" s="248"/>
      <c r="F669" s="250"/>
      <c r="G669" s="248"/>
      <c r="H669" s="32"/>
      <c r="I669" s="248"/>
      <c r="J669" s="248"/>
      <c r="K669" s="251"/>
      <c r="L669" s="238"/>
      <c r="M669" s="248"/>
      <c r="N669" s="248"/>
      <c r="O669" s="248"/>
      <c r="P669" s="250"/>
      <c r="Q669" s="252"/>
      <c r="R669" s="248"/>
      <c r="S669" s="248"/>
      <c r="T669" s="248"/>
      <c r="U669" s="248"/>
      <c r="V669" s="248"/>
      <c r="W669" s="248"/>
      <c r="X669" s="248"/>
      <c r="Y669" s="248"/>
      <c r="Z669" s="253"/>
      <c r="AA669" s="253"/>
      <c r="AB669" s="253"/>
      <c r="AC669" s="253"/>
      <c r="AD669" s="253"/>
      <c r="AE669" s="253"/>
      <c r="AF669" s="254"/>
      <c r="AG669" s="257"/>
      <c r="AH669" s="257"/>
      <c r="AI669" s="257"/>
      <c r="AJ669" s="258"/>
      <c r="AK669" s="259"/>
      <c r="AL669" s="257"/>
      <c r="AM669" s="257"/>
      <c r="AN669" s="257"/>
      <c r="AO669" s="257"/>
      <c r="AP669" s="257"/>
      <c r="AQ669" s="258"/>
      <c r="AR669" s="260"/>
      <c r="AS669" s="257"/>
      <c r="AT669" s="257"/>
      <c r="AU669" s="257"/>
      <c r="AV669" s="257"/>
      <c r="AW669" s="257"/>
      <c r="AX669" s="258"/>
      <c r="AY669" s="260"/>
      <c r="AZ669" s="257"/>
      <c r="BA669" s="257"/>
      <c r="BB669" s="257"/>
      <c r="BC669" s="257"/>
      <c r="BD669" s="258"/>
      <c r="BE669" s="260"/>
      <c r="BF669" s="258"/>
      <c r="BG669" s="260"/>
      <c r="BH669" s="257"/>
      <c r="BI669" s="14"/>
    </row>
    <row r="670" spans="1:61" ht="13.15" x14ac:dyDescent="0.4">
      <c r="A670" s="248"/>
      <c r="B670" s="256"/>
      <c r="C670" s="248"/>
      <c r="D670" s="248"/>
      <c r="E670" s="248"/>
      <c r="F670" s="250"/>
      <c r="G670" s="248"/>
      <c r="H670" s="32"/>
      <c r="I670" s="248"/>
      <c r="J670" s="248"/>
      <c r="K670" s="251"/>
      <c r="L670" s="238"/>
      <c r="M670" s="248"/>
      <c r="N670" s="248"/>
      <c r="O670" s="248"/>
      <c r="P670" s="250"/>
      <c r="Q670" s="252"/>
      <c r="R670" s="248"/>
      <c r="S670" s="248"/>
      <c r="T670" s="248"/>
      <c r="U670" s="248"/>
      <c r="V670" s="248"/>
      <c r="W670" s="248"/>
      <c r="X670" s="248"/>
      <c r="Y670" s="248"/>
      <c r="Z670" s="253"/>
      <c r="AA670" s="253"/>
      <c r="AB670" s="253"/>
      <c r="AC670" s="253"/>
      <c r="AD670" s="253"/>
      <c r="AE670" s="253"/>
      <c r="AF670" s="254"/>
      <c r="AG670" s="257"/>
      <c r="AH670" s="257"/>
      <c r="AI670" s="257"/>
      <c r="AJ670" s="258"/>
      <c r="AK670" s="259"/>
      <c r="AL670" s="257"/>
      <c r="AM670" s="257"/>
      <c r="AN670" s="257"/>
      <c r="AO670" s="257"/>
      <c r="AP670" s="257"/>
      <c r="AQ670" s="258"/>
      <c r="AR670" s="260"/>
      <c r="AS670" s="257"/>
      <c r="AT670" s="257"/>
      <c r="AU670" s="257"/>
      <c r="AV670" s="257"/>
      <c r="AW670" s="257"/>
      <c r="AX670" s="258"/>
      <c r="AY670" s="260"/>
      <c r="AZ670" s="257"/>
      <c r="BA670" s="257"/>
      <c r="BB670" s="257"/>
      <c r="BC670" s="257"/>
      <c r="BD670" s="258"/>
      <c r="BE670" s="260"/>
      <c r="BF670" s="258"/>
      <c r="BG670" s="260"/>
      <c r="BH670" s="257"/>
      <c r="BI670" s="14"/>
    </row>
    <row r="671" spans="1:61" ht="13.15" x14ac:dyDescent="0.4">
      <c r="A671" s="248"/>
      <c r="B671" s="256"/>
      <c r="C671" s="248"/>
      <c r="D671" s="248"/>
      <c r="E671" s="248"/>
      <c r="F671" s="250"/>
      <c r="G671" s="248"/>
      <c r="H671" s="32"/>
      <c r="I671" s="248"/>
      <c r="J671" s="248"/>
      <c r="K671" s="251"/>
      <c r="L671" s="238"/>
      <c r="M671" s="248"/>
      <c r="N671" s="248"/>
      <c r="O671" s="248"/>
      <c r="P671" s="250"/>
      <c r="Q671" s="252"/>
      <c r="R671" s="248"/>
      <c r="S671" s="248"/>
      <c r="T671" s="248"/>
      <c r="U671" s="248"/>
      <c r="V671" s="248"/>
      <c r="W671" s="248"/>
      <c r="X671" s="248"/>
      <c r="Y671" s="248"/>
      <c r="Z671" s="253"/>
      <c r="AA671" s="253"/>
      <c r="AB671" s="253"/>
      <c r="AC671" s="253"/>
      <c r="AD671" s="253"/>
      <c r="AE671" s="253"/>
      <c r="AF671" s="254"/>
      <c r="AG671" s="257"/>
      <c r="AH671" s="257"/>
      <c r="AI671" s="257"/>
      <c r="AJ671" s="258"/>
      <c r="AK671" s="259"/>
      <c r="AL671" s="257"/>
      <c r="AM671" s="257"/>
      <c r="AN671" s="257"/>
      <c r="AO671" s="257"/>
      <c r="AP671" s="257"/>
      <c r="AQ671" s="258"/>
      <c r="AR671" s="260"/>
      <c r="AS671" s="257"/>
      <c r="AT671" s="257"/>
      <c r="AU671" s="257"/>
      <c r="AV671" s="257"/>
      <c r="AW671" s="257"/>
      <c r="AX671" s="258"/>
      <c r="AY671" s="260"/>
      <c r="AZ671" s="257"/>
      <c r="BA671" s="257"/>
      <c r="BB671" s="257"/>
      <c r="BC671" s="257"/>
      <c r="BD671" s="258"/>
      <c r="BE671" s="260"/>
      <c r="BF671" s="258"/>
      <c r="BG671" s="260"/>
      <c r="BH671" s="257"/>
      <c r="BI671" s="14"/>
    </row>
    <row r="672" spans="1:61" ht="13.15" x14ac:dyDescent="0.4">
      <c r="A672" s="248"/>
      <c r="B672" s="256"/>
      <c r="C672" s="248"/>
      <c r="D672" s="248"/>
      <c r="E672" s="248"/>
      <c r="F672" s="250"/>
      <c r="G672" s="248"/>
      <c r="H672" s="32"/>
      <c r="I672" s="248"/>
      <c r="J672" s="248"/>
      <c r="K672" s="251"/>
      <c r="L672" s="238"/>
      <c r="M672" s="248"/>
      <c r="N672" s="248"/>
      <c r="O672" s="248"/>
      <c r="P672" s="250"/>
      <c r="Q672" s="252"/>
      <c r="R672" s="248"/>
      <c r="S672" s="248"/>
      <c r="T672" s="248"/>
      <c r="U672" s="248"/>
      <c r="V672" s="248"/>
      <c r="W672" s="248"/>
      <c r="X672" s="248"/>
      <c r="Y672" s="248"/>
      <c r="Z672" s="253"/>
      <c r="AA672" s="253"/>
      <c r="AB672" s="253"/>
      <c r="AC672" s="253"/>
      <c r="AD672" s="253"/>
      <c r="AE672" s="253"/>
      <c r="AF672" s="254"/>
      <c r="AG672" s="257"/>
      <c r="AH672" s="257"/>
      <c r="AI672" s="257"/>
      <c r="AJ672" s="258"/>
      <c r="AK672" s="259"/>
      <c r="AL672" s="257"/>
      <c r="AM672" s="257"/>
      <c r="AN672" s="257"/>
      <c r="AO672" s="257"/>
      <c r="AP672" s="257"/>
      <c r="AQ672" s="258"/>
      <c r="AR672" s="260"/>
      <c r="AS672" s="257"/>
      <c r="AT672" s="257"/>
      <c r="AU672" s="257"/>
      <c r="AV672" s="257"/>
      <c r="AW672" s="257"/>
      <c r="AX672" s="258"/>
      <c r="AY672" s="260"/>
      <c r="AZ672" s="257"/>
      <c r="BA672" s="257"/>
      <c r="BB672" s="257"/>
      <c r="BC672" s="257"/>
      <c r="BD672" s="258"/>
      <c r="BE672" s="260"/>
      <c r="BF672" s="258"/>
      <c r="BG672" s="260"/>
      <c r="BH672" s="257"/>
      <c r="BI672" s="14"/>
    </row>
    <row r="673" spans="1:61" ht="13.15" x14ac:dyDescent="0.4">
      <c r="A673" s="248"/>
      <c r="B673" s="256"/>
      <c r="C673" s="248"/>
      <c r="D673" s="248"/>
      <c r="E673" s="248"/>
      <c r="F673" s="250"/>
      <c r="G673" s="248"/>
      <c r="H673" s="32"/>
      <c r="I673" s="248"/>
      <c r="J673" s="248"/>
      <c r="K673" s="251"/>
      <c r="L673" s="238"/>
      <c r="M673" s="248"/>
      <c r="N673" s="248"/>
      <c r="O673" s="248"/>
      <c r="P673" s="250"/>
      <c r="Q673" s="252"/>
      <c r="R673" s="248"/>
      <c r="S673" s="248"/>
      <c r="T673" s="248"/>
      <c r="U673" s="248"/>
      <c r="V673" s="248"/>
      <c r="W673" s="248"/>
      <c r="X673" s="248"/>
      <c r="Y673" s="248"/>
      <c r="Z673" s="253"/>
      <c r="AA673" s="253"/>
      <c r="AB673" s="253"/>
      <c r="AC673" s="253"/>
      <c r="AD673" s="253"/>
      <c r="AE673" s="253"/>
      <c r="AF673" s="254"/>
      <c r="AG673" s="257"/>
      <c r="AH673" s="257"/>
      <c r="AI673" s="257"/>
      <c r="AJ673" s="258"/>
      <c r="AK673" s="259"/>
      <c r="AL673" s="257"/>
      <c r="AM673" s="257"/>
      <c r="AN673" s="257"/>
      <c r="AO673" s="257"/>
      <c r="AP673" s="257"/>
      <c r="AQ673" s="258"/>
      <c r="AR673" s="260"/>
      <c r="AS673" s="257"/>
      <c r="AT673" s="257"/>
      <c r="AU673" s="257"/>
      <c r="AV673" s="257"/>
      <c r="AW673" s="257"/>
      <c r="AX673" s="258"/>
      <c r="AY673" s="260"/>
      <c r="AZ673" s="257"/>
      <c r="BA673" s="257"/>
      <c r="BB673" s="257"/>
      <c r="BC673" s="257"/>
      <c r="BD673" s="258"/>
      <c r="BE673" s="260"/>
      <c r="BF673" s="258"/>
      <c r="BG673" s="260"/>
      <c r="BH673" s="257"/>
      <c r="BI673" s="14"/>
    </row>
    <row r="674" spans="1:61" ht="13.15" x14ac:dyDescent="0.4">
      <c r="A674" s="248"/>
      <c r="B674" s="256"/>
      <c r="C674" s="248"/>
      <c r="D674" s="248"/>
      <c r="E674" s="248"/>
      <c r="F674" s="250"/>
      <c r="G674" s="248"/>
      <c r="H674" s="32"/>
      <c r="I674" s="248"/>
      <c r="J674" s="248"/>
      <c r="K674" s="251"/>
      <c r="L674" s="238"/>
      <c r="M674" s="248"/>
      <c r="N674" s="248"/>
      <c r="O674" s="248"/>
      <c r="P674" s="250"/>
      <c r="Q674" s="252"/>
      <c r="R674" s="248"/>
      <c r="S674" s="248"/>
      <c r="T674" s="248"/>
      <c r="U674" s="248"/>
      <c r="V674" s="248"/>
      <c r="W674" s="248"/>
      <c r="X674" s="248"/>
      <c r="Y674" s="248"/>
      <c r="Z674" s="253"/>
      <c r="AA674" s="253"/>
      <c r="AB674" s="253"/>
      <c r="AC674" s="253"/>
      <c r="AD674" s="253"/>
      <c r="AE674" s="253"/>
      <c r="AF674" s="254"/>
      <c r="AG674" s="257"/>
      <c r="AH674" s="257"/>
      <c r="AI674" s="257"/>
      <c r="AJ674" s="258"/>
      <c r="AK674" s="259"/>
      <c r="AL674" s="257"/>
      <c r="AM674" s="257"/>
      <c r="AN674" s="257"/>
      <c r="AO674" s="257"/>
      <c r="AP674" s="257"/>
      <c r="AQ674" s="258"/>
      <c r="AR674" s="260"/>
      <c r="AS674" s="257"/>
      <c r="AT674" s="257"/>
      <c r="AU674" s="257"/>
      <c r="AV674" s="257"/>
      <c r="AW674" s="257"/>
      <c r="AX674" s="258"/>
      <c r="AY674" s="260"/>
      <c r="AZ674" s="257"/>
      <c r="BA674" s="257"/>
      <c r="BB674" s="257"/>
      <c r="BC674" s="257"/>
      <c r="BD674" s="258"/>
      <c r="BE674" s="260"/>
      <c r="BF674" s="258"/>
      <c r="BG674" s="260"/>
      <c r="BH674" s="257"/>
      <c r="BI674" s="14"/>
    </row>
    <row r="675" spans="1:61" ht="13.15" x14ac:dyDescent="0.4">
      <c r="A675" s="248"/>
      <c r="B675" s="256"/>
      <c r="C675" s="248"/>
      <c r="D675" s="248"/>
      <c r="E675" s="248"/>
      <c r="F675" s="250"/>
      <c r="G675" s="248"/>
      <c r="H675" s="32"/>
      <c r="I675" s="248"/>
      <c r="J675" s="248"/>
      <c r="K675" s="251"/>
      <c r="L675" s="238"/>
      <c r="M675" s="248"/>
      <c r="N675" s="248"/>
      <c r="O675" s="248"/>
      <c r="P675" s="250"/>
      <c r="Q675" s="252"/>
      <c r="R675" s="248"/>
      <c r="S675" s="248"/>
      <c r="T675" s="248"/>
      <c r="U675" s="248"/>
      <c r="V675" s="248"/>
      <c r="W675" s="248"/>
      <c r="X675" s="248"/>
      <c r="Y675" s="248"/>
      <c r="Z675" s="253"/>
      <c r="AA675" s="253"/>
      <c r="AB675" s="253"/>
      <c r="AC675" s="253"/>
      <c r="AD675" s="253"/>
      <c r="AE675" s="253"/>
      <c r="AF675" s="254"/>
      <c r="AG675" s="257"/>
      <c r="AH675" s="257"/>
      <c r="AI675" s="257"/>
      <c r="AJ675" s="258"/>
      <c r="AK675" s="259"/>
      <c r="AL675" s="257"/>
      <c r="AM675" s="257"/>
      <c r="AN675" s="257"/>
      <c r="AO675" s="257"/>
      <c r="AP675" s="257"/>
      <c r="AQ675" s="258"/>
      <c r="AR675" s="260"/>
      <c r="AS675" s="257"/>
      <c r="AT675" s="257"/>
      <c r="AU675" s="257"/>
      <c r="AV675" s="257"/>
      <c r="AW675" s="257"/>
      <c r="AX675" s="258"/>
      <c r="AY675" s="260"/>
      <c r="AZ675" s="257"/>
      <c r="BA675" s="257"/>
      <c r="BB675" s="257"/>
      <c r="BC675" s="257"/>
      <c r="BD675" s="258"/>
      <c r="BE675" s="260"/>
      <c r="BF675" s="258"/>
      <c r="BG675" s="260"/>
      <c r="BH675" s="257"/>
      <c r="BI675" s="14"/>
    </row>
    <row r="676" spans="1:61" ht="13.15" x14ac:dyDescent="0.4">
      <c r="A676" s="248"/>
      <c r="B676" s="256"/>
      <c r="C676" s="248"/>
      <c r="D676" s="248"/>
      <c r="E676" s="248"/>
      <c r="F676" s="250"/>
      <c r="G676" s="248"/>
      <c r="H676" s="32"/>
      <c r="I676" s="248"/>
      <c r="J676" s="248"/>
      <c r="K676" s="251"/>
      <c r="L676" s="238"/>
      <c r="M676" s="248"/>
      <c r="N676" s="248"/>
      <c r="O676" s="248"/>
      <c r="P676" s="250"/>
      <c r="Q676" s="252"/>
      <c r="R676" s="248"/>
      <c r="S676" s="248"/>
      <c r="T676" s="248"/>
      <c r="U676" s="248"/>
      <c r="V676" s="248"/>
      <c r="W676" s="248"/>
      <c r="X676" s="248"/>
      <c r="Y676" s="248"/>
      <c r="Z676" s="253"/>
      <c r="AA676" s="253"/>
      <c r="AB676" s="253"/>
      <c r="AC676" s="253"/>
      <c r="AD676" s="253"/>
      <c r="AE676" s="253"/>
      <c r="AF676" s="254"/>
      <c r="AG676" s="257"/>
      <c r="AH676" s="257"/>
      <c r="AI676" s="257"/>
      <c r="AJ676" s="258"/>
      <c r="AK676" s="259"/>
      <c r="AL676" s="257"/>
      <c r="AM676" s="257"/>
      <c r="AN676" s="257"/>
      <c r="AO676" s="257"/>
      <c r="AP676" s="257"/>
      <c r="AQ676" s="258"/>
      <c r="AR676" s="260"/>
      <c r="AS676" s="257"/>
      <c r="AT676" s="257"/>
      <c r="AU676" s="257"/>
      <c r="AV676" s="257"/>
      <c r="AW676" s="257"/>
      <c r="AX676" s="258"/>
      <c r="AY676" s="260"/>
      <c r="AZ676" s="257"/>
      <c r="BA676" s="257"/>
      <c r="BB676" s="257"/>
      <c r="BC676" s="257"/>
      <c r="BD676" s="258"/>
      <c r="BE676" s="260"/>
      <c r="BF676" s="258"/>
      <c r="BG676" s="260"/>
      <c r="BH676" s="257"/>
      <c r="BI676" s="14"/>
    </row>
    <row r="677" spans="1:61" ht="13.15" x14ac:dyDescent="0.4">
      <c r="A677" s="248"/>
      <c r="B677" s="256"/>
      <c r="C677" s="248"/>
      <c r="D677" s="248"/>
      <c r="E677" s="248"/>
      <c r="F677" s="250"/>
      <c r="G677" s="248"/>
      <c r="H677" s="32"/>
      <c r="I677" s="248"/>
      <c r="J677" s="248"/>
      <c r="K677" s="251"/>
      <c r="L677" s="238"/>
      <c r="M677" s="248"/>
      <c r="N677" s="248"/>
      <c r="O677" s="248"/>
      <c r="P677" s="250"/>
      <c r="Q677" s="252"/>
      <c r="R677" s="248"/>
      <c r="S677" s="248"/>
      <c r="T677" s="248"/>
      <c r="U677" s="248"/>
      <c r="V677" s="248"/>
      <c r="W677" s="248"/>
      <c r="X677" s="248"/>
      <c r="Y677" s="248"/>
      <c r="Z677" s="253"/>
      <c r="AA677" s="253"/>
      <c r="AB677" s="253"/>
      <c r="AC677" s="253"/>
      <c r="AD677" s="253"/>
      <c r="AE677" s="253"/>
      <c r="AF677" s="254"/>
      <c r="AG677" s="257"/>
      <c r="AH677" s="257"/>
      <c r="AI677" s="257"/>
      <c r="AJ677" s="258"/>
      <c r="AK677" s="259"/>
      <c r="AL677" s="257"/>
      <c r="AM677" s="257"/>
      <c r="AN677" s="257"/>
      <c r="AO677" s="257"/>
      <c r="AP677" s="257"/>
      <c r="AQ677" s="258"/>
      <c r="AR677" s="260"/>
      <c r="AS677" s="257"/>
      <c r="AT677" s="257"/>
      <c r="AU677" s="257"/>
      <c r="AV677" s="257"/>
      <c r="AW677" s="257"/>
      <c r="AX677" s="258"/>
      <c r="AY677" s="260"/>
      <c r="AZ677" s="257"/>
      <c r="BA677" s="257"/>
      <c r="BB677" s="257"/>
      <c r="BC677" s="257"/>
      <c r="BD677" s="258"/>
      <c r="BE677" s="260"/>
      <c r="BF677" s="258"/>
      <c r="BG677" s="260"/>
      <c r="BH677" s="257"/>
      <c r="BI677" s="14"/>
    </row>
    <row r="678" spans="1:61" ht="13.15" x14ac:dyDescent="0.4">
      <c r="A678" s="248"/>
      <c r="B678" s="256"/>
      <c r="C678" s="248"/>
      <c r="D678" s="248"/>
      <c r="E678" s="248"/>
      <c r="F678" s="250"/>
      <c r="G678" s="248"/>
      <c r="H678" s="32"/>
      <c r="I678" s="248"/>
      <c r="J678" s="248"/>
      <c r="K678" s="251"/>
      <c r="L678" s="238"/>
      <c r="M678" s="248"/>
      <c r="N678" s="248"/>
      <c r="O678" s="248"/>
      <c r="P678" s="250"/>
      <c r="Q678" s="252"/>
      <c r="R678" s="248"/>
      <c r="S678" s="248"/>
      <c r="T678" s="248"/>
      <c r="U678" s="248"/>
      <c r="V678" s="248"/>
      <c r="W678" s="248"/>
      <c r="X678" s="248"/>
      <c r="Y678" s="248"/>
      <c r="Z678" s="253"/>
      <c r="AA678" s="253"/>
      <c r="AB678" s="253"/>
      <c r="AC678" s="253"/>
      <c r="AD678" s="253"/>
      <c r="AE678" s="253"/>
      <c r="AF678" s="254"/>
      <c r="AG678" s="257"/>
      <c r="AH678" s="257"/>
      <c r="AI678" s="257"/>
      <c r="AJ678" s="258"/>
      <c r="AK678" s="259"/>
      <c r="AL678" s="257"/>
      <c r="AM678" s="257"/>
      <c r="AN678" s="257"/>
      <c r="AO678" s="257"/>
      <c r="AP678" s="257"/>
      <c r="AQ678" s="258"/>
      <c r="AR678" s="260"/>
      <c r="AS678" s="257"/>
      <c r="AT678" s="257"/>
      <c r="AU678" s="257"/>
      <c r="AV678" s="257"/>
      <c r="AW678" s="257"/>
      <c r="AX678" s="258"/>
      <c r="AY678" s="260"/>
      <c r="AZ678" s="257"/>
      <c r="BA678" s="257"/>
      <c r="BB678" s="257"/>
      <c r="BC678" s="257"/>
      <c r="BD678" s="258"/>
      <c r="BE678" s="260"/>
      <c r="BF678" s="258"/>
      <c r="BG678" s="260"/>
      <c r="BH678" s="257"/>
      <c r="BI678" s="14"/>
    </row>
    <row r="679" spans="1:61" ht="13.15" x14ac:dyDescent="0.4">
      <c r="A679" s="248"/>
      <c r="B679" s="256"/>
      <c r="C679" s="248"/>
      <c r="D679" s="248"/>
      <c r="E679" s="248"/>
      <c r="F679" s="250"/>
      <c r="G679" s="248"/>
      <c r="H679" s="32"/>
      <c r="I679" s="248"/>
      <c r="J679" s="248"/>
      <c r="K679" s="251"/>
      <c r="L679" s="238"/>
      <c r="M679" s="248"/>
      <c r="N679" s="248"/>
      <c r="O679" s="248"/>
      <c r="P679" s="250"/>
      <c r="Q679" s="252"/>
      <c r="R679" s="248"/>
      <c r="S679" s="248"/>
      <c r="T679" s="248"/>
      <c r="U679" s="248"/>
      <c r="V679" s="248"/>
      <c r="W679" s="248"/>
      <c r="X679" s="248"/>
      <c r="Y679" s="248"/>
      <c r="Z679" s="253"/>
      <c r="AA679" s="253"/>
      <c r="AB679" s="253"/>
      <c r="AC679" s="253"/>
      <c r="AD679" s="253"/>
      <c r="AE679" s="253"/>
      <c r="AF679" s="254"/>
      <c r="AG679" s="257"/>
      <c r="AH679" s="257"/>
      <c r="AI679" s="257"/>
      <c r="AJ679" s="258"/>
      <c r="AK679" s="259"/>
      <c r="AL679" s="257"/>
      <c r="AM679" s="257"/>
      <c r="AN679" s="257"/>
      <c r="AO679" s="257"/>
      <c r="AP679" s="257"/>
      <c r="AQ679" s="258"/>
      <c r="AR679" s="260"/>
      <c r="AS679" s="257"/>
      <c r="AT679" s="257"/>
      <c r="AU679" s="257"/>
      <c r="AV679" s="257"/>
      <c r="AW679" s="257"/>
      <c r="AX679" s="258"/>
      <c r="AY679" s="260"/>
      <c r="AZ679" s="257"/>
      <c r="BA679" s="257"/>
      <c r="BB679" s="257"/>
      <c r="BC679" s="257"/>
      <c r="BD679" s="258"/>
      <c r="BE679" s="260"/>
      <c r="BF679" s="258"/>
      <c r="BG679" s="260"/>
      <c r="BH679" s="257"/>
      <c r="BI679" s="14"/>
    </row>
    <row r="680" spans="1:61" ht="13.15" x14ac:dyDescent="0.4">
      <c r="A680" s="248"/>
      <c r="B680" s="256"/>
      <c r="C680" s="248"/>
      <c r="D680" s="248"/>
      <c r="E680" s="248"/>
      <c r="F680" s="250"/>
      <c r="G680" s="248"/>
      <c r="H680" s="32"/>
      <c r="I680" s="248"/>
      <c r="J680" s="248"/>
      <c r="K680" s="251"/>
      <c r="L680" s="238"/>
      <c r="M680" s="248"/>
      <c r="N680" s="248"/>
      <c r="O680" s="248"/>
      <c r="P680" s="250"/>
      <c r="Q680" s="252"/>
      <c r="R680" s="248"/>
      <c r="S680" s="248"/>
      <c r="T680" s="248"/>
      <c r="U680" s="248"/>
      <c r="V680" s="248"/>
      <c r="W680" s="248"/>
      <c r="X680" s="248"/>
      <c r="Y680" s="248"/>
      <c r="Z680" s="253"/>
      <c r="AA680" s="253"/>
      <c r="AB680" s="253"/>
      <c r="AC680" s="253"/>
      <c r="AD680" s="253"/>
      <c r="AE680" s="253"/>
      <c r="AF680" s="254"/>
      <c r="AG680" s="257"/>
      <c r="AH680" s="257"/>
      <c r="AI680" s="257"/>
      <c r="AJ680" s="258"/>
      <c r="AK680" s="259"/>
      <c r="AL680" s="257"/>
      <c r="AM680" s="257"/>
      <c r="AN680" s="257"/>
      <c r="AO680" s="257"/>
      <c r="AP680" s="257"/>
      <c r="AQ680" s="258"/>
      <c r="AR680" s="260"/>
      <c r="AS680" s="257"/>
      <c r="AT680" s="257"/>
      <c r="AU680" s="257"/>
      <c r="AV680" s="257"/>
      <c r="AW680" s="257"/>
      <c r="AX680" s="258"/>
      <c r="AY680" s="260"/>
      <c r="AZ680" s="257"/>
      <c r="BA680" s="257"/>
      <c r="BB680" s="257"/>
      <c r="BC680" s="257"/>
      <c r="BD680" s="258"/>
      <c r="BE680" s="260"/>
      <c r="BF680" s="258"/>
      <c r="BG680" s="260"/>
      <c r="BH680" s="257"/>
      <c r="BI680" s="14"/>
    </row>
    <row r="681" spans="1:61" ht="13.15" x14ac:dyDescent="0.4">
      <c r="A681" s="248"/>
      <c r="B681" s="256"/>
      <c r="C681" s="248"/>
      <c r="D681" s="248"/>
      <c r="E681" s="248"/>
      <c r="F681" s="250"/>
      <c r="G681" s="248"/>
      <c r="H681" s="32"/>
      <c r="I681" s="248"/>
      <c r="J681" s="248"/>
      <c r="K681" s="251"/>
      <c r="L681" s="238"/>
      <c r="M681" s="248"/>
      <c r="N681" s="248"/>
      <c r="O681" s="248"/>
      <c r="P681" s="250"/>
      <c r="Q681" s="252"/>
      <c r="R681" s="248"/>
      <c r="S681" s="248"/>
      <c r="T681" s="248"/>
      <c r="U681" s="248"/>
      <c r="V681" s="248"/>
      <c r="W681" s="248"/>
      <c r="X681" s="248"/>
      <c r="Y681" s="248"/>
      <c r="Z681" s="253"/>
      <c r="AA681" s="253"/>
      <c r="AB681" s="253"/>
      <c r="AC681" s="253"/>
      <c r="AD681" s="253"/>
      <c r="AE681" s="253"/>
      <c r="AF681" s="254"/>
      <c r="AG681" s="257"/>
      <c r="AH681" s="257"/>
      <c r="AI681" s="257"/>
      <c r="AJ681" s="258"/>
      <c r="AK681" s="259"/>
      <c r="AL681" s="257"/>
      <c r="AM681" s="257"/>
      <c r="AN681" s="257"/>
      <c r="AO681" s="257"/>
      <c r="AP681" s="257"/>
      <c r="AQ681" s="258"/>
      <c r="AR681" s="260"/>
      <c r="AS681" s="257"/>
      <c r="AT681" s="257"/>
      <c r="AU681" s="257"/>
      <c r="AV681" s="257"/>
      <c r="AW681" s="257"/>
      <c r="AX681" s="258"/>
      <c r="AY681" s="260"/>
      <c r="AZ681" s="257"/>
      <c r="BA681" s="257"/>
      <c r="BB681" s="257"/>
      <c r="BC681" s="257"/>
      <c r="BD681" s="258"/>
      <c r="BE681" s="260"/>
      <c r="BF681" s="258"/>
      <c r="BG681" s="260"/>
      <c r="BH681" s="257"/>
      <c r="BI681" s="14"/>
    </row>
    <row r="682" spans="1:61" ht="13.15" x14ac:dyDescent="0.4">
      <c r="A682" s="248"/>
      <c r="B682" s="256"/>
      <c r="C682" s="248"/>
      <c r="D682" s="248"/>
      <c r="E682" s="248"/>
      <c r="F682" s="250"/>
      <c r="G682" s="248"/>
      <c r="H682" s="32"/>
      <c r="I682" s="248"/>
      <c r="J682" s="248"/>
      <c r="K682" s="251"/>
      <c r="L682" s="238"/>
      <c r="M682" s="248"/>
      <c r="N682" s="248"/>
      <c r="O682" s="248"/>
      <c r="P682" s="250"/>
      <c r="Q682" s="252"/>
      <c r="R682" s="248"/>
      <c r="S682" s="248"/>
      <c r="T682" s="248"/>
      <c r="U682" s="248"/>
      <c r="V682" s="248"/>
      <c r="W682" s="248"/>
      <c r="X682" s="248"/>
      <c r="Y682" s="248"/>
      <c r="Z682" s="253"/>
      <c r="AA682" s="253"/>
      <c r="AB682" s="253"/>
      <c r="AC682" s="253"/>
      <c r="AD682" s="253"/>
      <c r="AE682" s="253"/>
      <c r="AF682" s="254"/>
      <c r="AG682" s="257"/>
      <c r="AH682" s="257"/>
      <c r="AI682" s="257"/>
      <c r="AJ682" s="258"/>
      <c r="AK682" s="259"/>
      <c r="AL682" s="257"/>
      <c r="AM682" s="257"/>
      <c r="AN682" s="257"/>
      <c r="AO682" s="257"/>
      <c r="AP682" s="257"/>
      <c r="AQ682" s="258"/>
      <c r="AR682" s="260"/>
      <c r="AS682" s="257"/>
      <c r="AT682" s="257"/>
      <c r="AU682" s="257"/>
      <c r="AV682" s="257"/>
      <c r="AW682" s="257"/>
      <c r="AX682" s="258"/>
      <c r="AY682" s="260"/>
      <c r="AZ682" s="257"/>
      <c r="BA682" s="257"/>
      <c r="BB682" s="257"/>
      <c r="BC682" s="257"/>
      <c r="BD682" s="258"/>
      <c r="BE682" s="260"/>
      <c r="BF682" s="258"/>
      <c r="BG682" s="260"/>
      <c r="BH682" s="257"/>
      <c r="BI682" s="14"/>
    </row>
    <row r="683" spans="1:61" ht="13.15" x14ac:dyDescent="0.4">
      <c r="A683" s="248"/>
      <c r="B683" s="256"/>
      <c r="C683" s="248"/>
      <c r="D683" s="248"/>
      <c r="E683" s="248"/>
      <c r="F683" s="250"/>
      <c r="G683" s="248"/>
      <c r="H683" s="32"/>
      <c r="I683" s="248"/>
      <c r="J683" s="248"/>
      <c r="K683" s="251"/>
      <c r="L683" s="238"/>
      <c r="M683" s="248"/>
      <c r="N683" s="248"/>
      <c r="O683" s="248"/>
      <c r="P683" s="250"/>
      <c r="Q683" s="252"/>
      <c r="R683" s="248"/>
      <c r="S683" s="248"/>
      <c r="T683" s="248"/>
      <c r="U683" s="248"/>
      <c r="V683" s="248"/>
      <c r="W683" s="248"/>
      <c r="X683" s="248"/>
      <c r="Y683" s="248"/>
      <c r="Z683" s="253"/>
      <c r="AA683" s="253"/>
      <c r="AB683" s="253"/>
      <c r="AC683" s="253"/>
      <c r="AD683" s="253"/>
      <c r="AE683" s="253"/>
      <c r="AF683" s="254"/>
      <c r="AG683" s="257"/>
      <c r="AH683" s="257"/>
      <c r="AI683" s="257"/>
      <c r="AJ683" s="258"/>
      <c r="AK683" s="259"/>
      <c r="AL683" s="257"/>
      <c r="AM683" s="257"/>
      <c r="AN683" s="257"/>
      <c r="AO683" s="257"/>
      <c r="AP683" s="257"/>
      <c r="AQ683" s="258"/>
      <c r="AR683" s="260"/>
      <c r="AS683" s="257"/>
      <c r="AT683" s="257"/>
      <c r="AU683" s="257"/>
      <c r="AV683" s="257"/>
      <c r="AW683" s="257"/>
      <c r="AX683" s="258"/>
      <c r="AY683" s="260"/>
      <c r="AZ683" s="257"/>
      <c r="BA683" s="257"/>
      <c r="BB683" s="257"/>
      <c r="BC683" s="257"/>
      <c r="BD683" s="258"/>
      <c r="BE683" s="260"/>
      <c r="BF683" s="258"/>
      <c r="BG683" s="260"/>
      <c r="BH683" s="257"/>
      <c r="BI683" s="14"/>
    </row>
    <row r="684" spans="1:61" ht="13.15" x14ac:dyDescent="0.4">
      <c r="A684" s="248"/>
      <c r="B684" s="256"/>
      <c r="C684" s="248"/>
      <c r="D684" s="248"/>
      <c r="E684" s="248"/>
      <c r="F684" s="250"/>
      <c r="G684" s="248"/>
      <c r="H684" s="32"/>
      <c r="I684" s="248"/>
      <c r="J684" s="248"/>
      <c r="K684" s="251"/>
      <c r="L684" s="238"/>
      <c r="M684" s="248"/>
      <c r="N684" s="248"/>
      <c r="O684" s="248"/>
      <c r="P684" s="250"/>
      <c r="Q684" s="252"/>
      <c r="R684" s="248"/>
      <c r="S684" s="248"/>
      <c r="T684" s="248"/>
      <c r="U684" s="248"/>
      <c r="V684" s="248"/>
      <c r="W684" s="248"/>
      <c r="X684" s="248"/>
      <c r="Y684" s="248"/>
      <c r="Z684" s="253"/>
      <c r="AA684" s="253"/>
      <c r="AB684" s="253"/>
      <c r="AC684" s="253"/>
      <c r="AD684" s="253"/>
      <c r="AE684" s="253"/>
      <c r="AF684" s="254"/>
      <c r="AG684" s="257"/>
      <c r="AH684" s="257"/>
      <c r="AI684" s="257"/>
      <c r="AJ684" s="258"/>
      <c r="AK684" s="259"/>
      <c r="AL684" s="257"/>
      <c r="AM684" s="257"/>
      <c r="AN684" s="257"/>
      <c r="AO684" s="257"/>
      <c r="AP684" s="257"/>
      <c r="AQ684" s="258"/>
      <c r="AR684" s="260"/>
      <c r="AS684" s="257"/>
      <c r="AT684" s="257"/>
      <c r="AU684" s="257"/>
      <c r="AV684" s="257"/>
      <c r="AW684" s="257"/>
      <c r="AX684" s="258"/>
      <c r="AY684" s="260"/>
      <c r="AZ684" s="257"/>
      <c r="BA684" s="257"/>
      <c r="BB684" s="257"/>
      <c r="BC684" s="257"/>
      <c r="BD684" s="258"/>
      <c r="BE684" s="260"/>
      <c r="BF684" s="258"/>
      <c r="BG684" s="260"/>
      <c r="BH684" s="257"/>
      <c r="BI684" s="14"/>
    </row>
    <row r="685" spans="1:61" ht="13.15" x14ac:dyDescent="0.4">
      <c r="A685" s="248"/>
      <c r="B685" s="256"/>
      <c r="C685" s="248"/>
      <c r="D685" s="248"/>
      <c r="E685" s="248"/>
      <c r="F685" s="250"/>
      <c r="G685" s="248"/>
      <c r="H685" s="32"/>
      <c r="I685" s="248"/>
      <c r="J685" s="248"/>
      <c r="K685" s="251"/>
      <c r="L685" s="238"/>
      <c r="M685" s="248"/>
      <c r="N685" s="248"/>
      <c r="O685" s="248"/>
      <c r="P685" s="250"/>
      <c r="Q685" s="252"/>
      <c r="R685" s="248"/>
      <c r="S685" s="248"/>
      <c r="T685" s="248"/>
      <c r="U685" s="248"/>
      <c r="V685" s="248"/>
      <c r="W685" s="248"/>
      <c r="X685" s="248"/>
      <c r="Y685" s="248"/>
      <c r="Z685" s="253"/>
      <c r="AA685" s="253"/>
      <c r="AB685" s="253"/>
      <c r="AC685" s="253"/>
      <c r="AD685" s="253"/>
      <c r="AE685" s="253"/>
      <c r="AF685" s="254"/>
      <c r="AG685" s="257"/>
      <c r="AH685" s="257"/>
      <c r="AI685" s="257"/>
      <c r="AJ685" s="258"/>
      <c r="AK685" s="259"/>
      <c r="AL685" s="257"/>
      <c r="AM685" s="257"/>
      <c r="AN685" s="257"/>
      <c r="AO685" s="257"/>
      <c r="AP685" s="257"/>
      <c r="AQ685" s="258"/>
      <c r="AR685" s="260"/>
      <c r="AS685" s="257"/>
      <c r="AT685" s="257"/>
      <c r="AU685" s="257"/>
      <c r="AV685" s="257"/>
      <c r="AW685" s="257"/>
      <c r="AX685" s="258"/>
      <c r="AY685" s="260"/>
      <c r="AZ685" s="257"/>
      <c r="BA685" s="257"/>
      <c r="BB685" s="257"/>
      <c r="BC685" s="257"/>
      <c r="BD685" s="258"/>
      <c r="BE685" s="260"/>
      <c r="BF685" s="258"/>
      <c r="BG685" s="260"/>
      <c r="BH685" s="257"/>
      <c r="BI685" s="14"/>
    </row>
    <row r="686" spans="1:61" ht="13.15" x14ac:dyDescent="0.4">
      <c r="A686" s="248"/>
      <c r="B686" s="256"/>
      <c r="C686" s="248"/>
      <c r="D686" s="248"/>
      <c r="E686" s="248"/>
      <c r="F686" s="250"/>
      <c r="G686" s="248"/>
      <c r="H686" s="32"/>
      <c r="I686" s="248"/>
      <c r="J686" s="248"/>
      <c r="K686" s="251"/>
      <c r="L686" s="238"/>
      <c r="M686" s="248"/>
      <c r="N686" s="248"/>
      <c r="O686" s="248"/>
      <c r="P686" s="250"/>
      <c r="Q686" s="252"/>
      <c r="R686" s="248"/>
      <c r="S686" s="248"/>
      <c r="T686" s="248"/>
      <c r="U686" s="248"/>
      <c r="V686" s="248"/>
      <c r="W686" s="248"/>
      <c r="X686" s="248"/>
      <c r="Y686" s="248"/>
      <c r="Z686" s="253"/>
      <c r="AA686" s="253"/>
      <c r="AB686" s="253"/>
      <c r="AC686" s="253"/>
      <c r="AD686" s="253"/>
      <c r="AE686" s="253"/>
      <c r="AF686" s="254"/>
      <c r="AG686" s="257"/>
      <c r="AH686" s="257"/>
      <c r="AI686" s="257"/>
      <c r="AJ686" s="258"/>
      <c r="AK686" s="259"/>
      <c r="AL686" s="257"/>
      <c r="AM686" s="257"/>
      <c r="AN686" s="257"/>
      <c r="AO686" s="257"/>
      <c r="AP686" s="257"/>
      <c r="AQ686" s="258"/>
      <c r="AR686" s="260"/>
      <c r="AS686" s="257"/>
      <c r="AT686" s="257"/>
      <c r="AU686" s="257"/>
      <c r="AV686" s="257"/>
      <c r="AW686" s="257"/>
      <c r="AX686" s="258"/>
      <c r="AY686" s="260"/>
      <c r="AZ686" s="257"/>
      <c r="BA686" s="257"/>
      <c r="BB686" s="257"/>
      <c r="BC686" s="257"/>
      <c r="BD686" s="258"/>
      <c r="BE686" s="260"/>
      <c r="BF686" s="258"/>
      <c r="BG686" s="260"/>
      <c r="BH686" s="257"/>
      <c r="BI686" s="14"/>
    </row>
    <row r="687" spans="1:61" ht="13.15" x14ac:dyDescent="0.4">
      <c r="A687" s="248"/>
      <c r="B687" s="256"/>
      <c r="C687" s="248"/>
      <c r="D687" s="248"/>
      <c r="E687" s="248"/>
      <c r="F687" s="250"/>
      <c r="G687" s="248"/>
      <c r="H687" s="32"/>
      <c r="I687" s="248"/>
      <c r="J687" s="248"/>
      <c r="K687" s="251"/>
      <c r="L687" s="238"/>
      <c r="M687" s="248"/>
      <c r="N687" s="248"/>
      <c r="O687" s="248"/>
      <c r="P687" s="250"/>
      <c r="Q687" s="252"/>
      <c r="R687" s="248"/>
      <c r="S687" s="248"/>
      <c r="T687" s="248"/>
      <c r="U687" s="248"/>
      <c r="V687" s="248"/>
      <c r="W687" s="248"/>
      <c r="X687" s="248"/>
      <c r="Y687" s="248"/>
      <c r="Z687" s="253"/>
      <c r="AA687" s="253"/>
      <c r="AB687" s="253"/>
      <c r="AC687" s="253"/>
      <c r="AD687" s="253"/>
      <c r="AE687" s="253"/>
      <c r="AF687" s="254"/>
      <c r="AG687" s="257"/>
      <c r="AH687" s="257"/>
      <c r="AI687" s="257"/>
      <c r="AJ687" s="258"/>
      <c r="AK687" s="259"/>
      <c r="AL687" s="257"/>
      <c r="AM687" s="257"/>
      <c r="AN687" s="257"/>
      <c r="AO687" s="257"/>
      <c r="AP687" s="257"/>
      <c r="AQ687" s="258"/>
      <c r="AR687" s="260"/>
      <c r="AS687" s="257"/>
      <c r="AT687" s="257"/>
      <c r="AU687" s="257"/>
      <c r="AV687" s="257"/>
      <c r="AW687" s="257"/>
      <c r="AX687" s="258"/>
      <c r="AY687" s="260"/>
      <c r="AZ687" s="257"/>
      <c r="BA687" s="257"/>
      <c r="BB687" s="257"/>
      <c r="BC687" s="257"/>
      <c r="BD687" s="258"/>
      <c r="BE687" s="260"/>
      <c r="BF687" s="258"/>
      <c r="BG687" s="260"/>
      <c r="BH687" s="257"/>
      <c r="BI687" s="14"/>
    </row>
    <row r="688" spans="1:61" ht="13.15" x14ac:dyDescent="0.4">
      <c r="A688" s="248"/>
      <c r="B688" s="256"/>
      <c r="C688" s="248"/>
      <c r="D688" s="248"/>
      <c r="E688" s="248"/>
      <c r="F688" s="250"/>
      <c r="G688" s="248"/>
      <c r="H688" s="32"/>
      <c r="I688" s="248"/>
      <c r="J688" s="248"/>
      <c r="K688" s="251"/>
      <c r="L688" s="238"/>
      <c r="M688" s="248"/>
      <c r="N688" s="248"/>
      <c r="O688" s="248"/>
      <c r="P688" s="250"/>
      <c r="Q688" s="252"/>
      <c r="R688" s="248"/>
      <c r="S688" s="248"/>
      <c r="T688" s="248"/>
      <c r="U688" s="248"/>
      <c r="V688" s="248"/>
      <c r="W688" s="248"/>
      <c r="X688" s="248"/>
      <c r="Y688" s="248"/>
      <c r="Z688" s="253"/>
      <c r="AA688" s="253"/>
      <c r="AB688" s="253"/>
      <c r="AC688" s="253"/>
      <c r="AD688" s="253"/>
      <c r="AE688" s="253"/>
      <c r="AF688" s="254"/>
      <c r="AG688" s="257"/>
      <c r="AH688" s="257"/>
      <c r="AI688" s="257"/>
      <c r="AJ688" s="258"/>
      <c r="AK688" s="259"/>
      <c r="AL688" s="257"/>
      <c r="AM688" s="257"/>
      <c r="AN688" s="257"/>
      <c r="AO688" s="257"/>
      <c r="AP688" s="257"/>
      <c r="AQ688" s="258"/>
      <c r="AR688" s="260"/>
      <c r="AS688" s="257"/>
      <c r="AT688" s="257"/>
      <c r="AU688" s="257"/>
      <c r="AV688" s="257"/>
      <c r="AW688" s="257"/>
      <c r="AX688" s="258"/>
      <c r="AY688" s="260"/>
      <c r="AZ688" s="257"/>
      <c r="BA688" s="257"/>
      <c r="BB688" s="257"/>
      <c r="BC688" s="257"/>
      <c r="BD688" s="258"/>
      <c r="BE688" s="260"/>
      <c r="BF688" s="258"/>
      <c r="BG688" s="260"/>
      <c r="BH688" s="257"/>
      <c r="BI688" s="14"/>
    </row>
    <row r="689" spans="1:61" ht="13.15" x14ac:dyDescent="0.4">
      <c r="A689" s="248"/>
      <c r="B689" s="256"/>
      <c r="C689" s="248"/>
      <c r="D689" s="248"/>
      <c r="E689" s="248"/>
      <c r="F689" s="250"/>
      <c r="G689" s="248"/>
      <c r="H689" s="32"/>
      <c r="I689" s="248"/>
      <c r="J689" s="248"/>
      <c r="K689" s="251"/>
      <c r="L689" s="238"/>
      <c r="M689" s="248"/>
      <c r="N689" s="248"/>
      <c r="O689" s="248"/>
      <c r="P689" s="250"/>
      <c r="Q689" s="252"/>
      <c r="R689" s="248"/>
      <c r="S689" s="248"/>
      <c r="T689" s="248"/>
      <c r="U689" s="248"/>
      <c r="V689" s="248"/>
      <c r="W689" s="248"/>
      <c r="X689" s="248"/>
      <c r="Y689" s="248"/>
      <c r="Z689" s="253"/>
      <c r="AA689" s="253"/>
      <c r="AB689" s="253"/>
      <c r="AC689" s="253"/>
      <c r="AD689" s="253"/>
      <c r="AE689" s="253"/>
      <c r="AF689" s="254"/>
      <c r="AG689" s="257"/>
      <c r="AH689" s="257"/>
      <c r="AI689" s="257"/>
      <c r="AJ689" s="258"/>
      <c r="AK689" s="259"/>
      <c r="AL689" s="257"/>
      <c r="AM689" s="257"/>
      <c r="AN689" s="257"/>
      <c r="AO689" s="257"/>
      <c r="AP689" s="257"/>
      <c r="AQ689" s="258"/>
      <c r="AR689" s="260"/>
      <c r="AS689" s="257"/>
      <c r="AT689" s="257"/>
      <c r="AU689" s="257"/>
      <c r="AV689" s="257"/>
      <c r="AW689" s="257"/>
      <c r="AX689" s="258"/>
      <c r="AY689" s="260"/>
      <c r="AZ689" s="257"/>
      <c r="BA689" s="257"/>
      <c r="BB689" s="257"/>
      <c r="BC689" s="257"/>
      <c r="BD689" s="258"/>
      <c r="BE689" s="260"/>
      <c r="BF689" s="258"/>
      <c r="BG689" s="260"/>
      <c r="BH689" s="257"/>
      <c r="BI689" s="14"/>
    </row>
    <row r="690" spans="1:61" ht="13.15" x14ac:dyDescent="0.4">
      <c r="A690" s="248"/>
      <c r="B690" s="256"/>
      <c r="C690" s="248"/>
      <c r="D690" s="248"/>
      <c r="E690" s="248"/>
      <c r="F690" s="250"/>
      <c r="G690" s="248"/>
      <c r="H690" s="32"/>
      <c r="I690" s="248"/>
      <c r="J690" s="248"/>
      <c r="K690" s="251"/>
      <c r="L690" s="238"/>
      <c r="M690" s="248"/>
      <c r="N690" s="248"/>
      <c r="O690" s="248"/>
      <c r="P690" s="250"/>
      <c r="Q690" s="252"/>
      <c r="R690" s="248"/>
      <c r="S690" s="248"/>
      <c r="T690" s="248"/>
      <c r="U690" s="248"/>
      <c r="V690" s="248"/>
      <c r="W690" s="248"/>
      <c r="X690" s="248"/>
      <c r="Y690" s="248"/>
      <c r="Z690" s="253"/>
      <c r="AA690" s="253"/>
      <c r="AB690" s="253"/>
      <c r="AC690" s="253"/>
      <c r="AD690" s="253"/>
      <c r="AE690" s="253"/>
      <c r="AF690" s="254"/>
      <c r="AG690" s="257"/>
      <c r="AH690" s="257"/>
      <c r="AI690" s="257"/>
      <c r="AJ690" s="258"/>
      <c r="AK690" s="259"/>
      <c r="AL690" s="257"/>
      <c r="AM690" s="257"/>
      <c r="AN690" s="257"/>
      <c r="AO690" s="257"/>
      <c r="AP690" s="257"/>
      <c r="AQ690" s="258"/>
      <c r="AR690" s="260"/>
      <c r="AS690" s="257"/>
      <c r="AT690" s="257"/>
      <c r="AU690" s="257"/>
      <c r="AV690" s="257"/>
      <c r="AW690" s="257"/>
      <c r="AX690" s="258"/>
      <c r="AY690" s="260"/>
      <c r="AZ690" s="257"/>
      <c r="BA690" s="257"/>
      <c r="BB690" s="257"/>
      <c r="BC690" s="257"/>
      <c r="BD690" s="258"/>
      <c r="BE690" s="260"/>
      <c r="BF690" s="258"/>
      <c r="BG690" s="260"/>
      <c r="BH690" s="257"/>
      <c r="BI690" s="14"/>
    </row>
    <row r="691" spans="1:61" ht="13.15" x14ac:dyDescent="0.4">
      <c r="A691" s="248"/>
      <c r="B691" s="256"/>
      <c r="C691" s="248"/>
      <c r="D691" s="248"/>
      <c r="E691" s="248"/>
      <c r="F691" s="250"/>
      <c r="G691" s="248"/>
      <c r="H691" s="32"/>
      <c r="I691" s="248"/>
      <c r="J691" s="248"/>
      <c r="K691" s="251"/>
      <c r="L691" s="238"/>
      <c r="M691" s="248"/>
      <c r="N691" s="248"/>
      <c r="O691" s="248"/>
      <c r="P691" s="250"/>
      <c r="Q691" s="252"/>
      <c r="R691" s="248"/>
      <c r="S691" s="248"/>
      <c r="T691" s="248"/>
      <c r="U691" s="248"/>
      <c r="V691" s="248"/>
      <c r="W691" s="248"/>
      <c r="X691" s="248"/>
      <c r="Y691" s="248"/>
      <c r="Z691" s="253"/>
      <c r="AA691" s="253"/>
      <c r="AB691" s="253"/>
      <c r="AC691" s="253"/>
      <c r="AD691" s="253"/>
      <c r="AE691" s="253"/>
      <c r="AF691" s="254"/>
      <c r="AG691" s="257"/>
      <c r="AH691" s="257"/>
      <c r="AI691" s="257"/>
      <c r="AJ691" s="258"/>
      <c r="AK691" s="259"/>
      <c r="AL691" s="257"/>
      <c r="AM691" s="257"/>
      <c r="AN691" s="257"/>
      <c r="AO691" s="257"/>
      <c r="AP691" s="257"/>
      <c r="AQ691" s="258"/>
      <c r="AR691" s="260"/>
      <c r="AS691" s="257"/>
      <c r="AT691" s="257"/>
      <c r="AU691" s="257"/>
      <c r="AV691" s="257"/>
      <c r="AW691" s="257"/>
      <c r="AX691" s="258"/>
      <c r="AY691" s="260"/>
      <c r="AZ691" s="257"/>
      <c r="BA691" s="257"/>
      <c r="BB691" s="257"/>
      <c r="BC691" s="257"/>
      <c r="BD691" s="258"/>
      <c r="BE691" s="260"/>
      <c r="BF691" s="258"/>
      <c r="BG691" s="260"/>
      <c r="BH691" s="257"/>
      <c r="BI691" s="14"/>
    </row>
    <row r="692" spans="1:61" ht="13.15" x14ac:dyDescent="0.4">
      <c r="A692" s="248"/>
      <c r="B692" s="256"/>
      <c r="C692" s="248"/>
      <c r="D692" s="248"/>
      <c r="E692" s="248"/>
      <c r="F692" s="250"/>
      <c r="G692" s="248"/>
      <c r="H692" s="32"/>
      <c r="I692" s="248"/>
      <c r="J692" s="248"/>
      <c r="K692" s="251"/>
      <c r="L692" s="238"/>
      <c r="M692" s="248"/>
      <c r="N692" s="248"/>
      <c r="O692" s="248"/>
      <c r="P692" s="250"/>
      <c r="Q692" s="252"/>
      <c r="R692" s="248"/>
      <c r="S692" s="248"/>
      <c r="T692" s="248"/>
      <c r="U692" s="248"/>
      <c r="V692" s="248"/>
      <c r="W692" s="248"/>
      <c r="X692" s="248"/>
      <c r="Y692" s="248"/>
      <c r="Z692" s="253"/>
      <c r="AA692" s="253"/>
      <c r="AB692" s="253"/>
      <c r="AC692" s="253"/>
      <c r="AD692" s="253"/>
      <c r="AE692" s="253"/>
      <c r="AF692" s="254"/>
      <c r="AG692" s="257"/>
      <c r="AH692" s="257"/>
      <c r="AI692" s="257"/>
      <c r="AJ692" s="258"/>
      <c r="AK692" s="259"/>
      <c r="AL692" s="257"/>
      <c r="AM692" s="257"/>
      <c r="AN692" s="257"/>
      <c r="AO692" s="257"/>
      <c r="AP692" s="257"/>
      <c r="AQ692" s="258"/>
      <c r="AR692" s="260"/>
      <c r="AS692" s="257"/>
      <c r="AT692" s="257"/>
      <c r="AU692" s="257"/>
      <c r="AV692" s="257"/>
      <c r="AW692" s="257"/>
      <c r="AX692" s="258"/>
      <c r="AY692" s="260"/>
      <c r="AZ692" s="257"/>
      <c r="BA692" s="257"/>
      <c r="BB692" s="257"/>
      <c r="BC692" s="257"/>
      <c r="BD692" s="258"/>
      <c r="BE692" s="260"/>
      <c r="BF692" s="258"/>
      <c r="BG692" s="260"/>
      <c r="BH692" s="257"/>
      <c r="BI692" s="14"/>
    </row>
    <row r="693" spans="1:61" ht="13.15" x14ac:dyDescent="0.4">
      <c r="A693" s="248"/>
      <c r="B693" s="256"/>
      <c r="C693" s="248"/>
      <c r="D693" s="248"/>
      <c r="E693" s="248"/>
      <c r="F693" s="250"/>
      <c r="G693" s="248"/>
      <c r="H693" s="32"/>
      <c r="I693" s="248"/>
      <c r="J693" s="248"/>
      <c r="K693" s="251"/>
      <c r="L693" s="238"/>
      <c r="M693" s="248"/>
      <c r="N693" s="248"/>
      <c r="O693" s="248"/>
      <c r="P693" s="250"/>
      <c r="Q693" s="252"/>
      <c r="R693" s="248"/>
      <c r="S693" s="248"/>
      <c r="T693" s="248"/>
      <c r="U693" s="248"/>
      <c r="V693" s="248"/>
      <c r="W693" s="248"/>
      <c r="X693" s="248"/>
      <c r="Y693" s="248"/>
      <c r="Z693" s="253"/>
      <c r="AA693" s="253"/>
      <c r="AB693" s="253"/>
      <c r="AC693" s="253"/>
      <c r="AD693" s="253"/>
      <c r="AE693" s="253"/>
      <c r="AF693" s="254"/>
      <c r="AG693" s="257"/>
      <c r="AH693" s="257"/>
      <c r="AI693" s="257"/>
      <c r="AJ693" s="258"/>
      <c r="AK693" s="259"/>
      <c r="AL693" s="257"/>
      <c r="AM693" s="257"/>
      <c r="AN693" s="257"/>
      <c r="AO693" s="257"/>
      <c r="AP693" s="257"/>
      <c r="AQ693" s="258"/>
      <c r="AR693" s="260"/>
      <c r="AS693" s="257"/>
      <c r="AT693" s="257"/>
      <c r="AU693" s="257"/>
      <c r="AV693" s="257"/>
      <c r="AW693" s="257"/>
      <c r="AX693" s="258"/>
      <c r="AY693" s="260"/>
      <c r="AZ693" s="257"/>
      <c r="BA693" s="257"/>
      <c r="BB693" s="257"/>
      <c r="BC693" s="257"/>
      <c r="BD693" s="258"/>
      <c r="BE693" s="260"/>
      <c r="BF693" s="258"/>
      <c r="BG693" s="260"/>
      <c r="BH693" s="257"/>
      <c r="BI693" s="14"/>
    </row>
    <row r="694" spans="1:61" ht="13.15" x14ac:dyDescent="0.4">
      <c r="A694" s="248"/>
      <c r="B694" s="256"/>
      <c r="C694" s="248"/>
      <c r="D694" s="248"/>
      <c r="E694" s="248"/>
      <c r="F694" s="250"/>
      <c r="G694" s="248"/>
      <c r="H694" s="32"/>
      <c r="I694" s="248"/>
      <c r="J694" s="248"/>
      <c r="K694" s="251"/>
      <c r="L694" s="238"/>
      <c r="M694" s="248"/>
      <c r="N694" s="248"/>
      <c r="O694" s="248"/>
      <c r="P694" s="250"/>
      <c r="Q694" s="252"/>
      <c r="R694" s="248"/>
      <c r="S694" s="248"/>
      <c r="T694" s="248"/>
      <c r="U694" s="248"/>
      <c r="V694" s="248"/>
      <c r="W694" s="248"/>
      <c r="X694" s="248"/>
      <c r="Y694" s="248"/>
      <c r="Z694" s="253"/>
      <c r="AA694" s="253"/>
      <c r="AB694" s="253"/>
      <c r="AC694" s="253"/>
      <c r="AD694" s="253"/>
      <c r="AE694" s="253"/>
      <c r="AF694" s="254"/>
      <c r="AG694" s="257"/>
      <c r="AH694" s="257"/>
      <c r="AI694" s="257"/>
      <c r="AJ694" s="258"/>
      <c r="AK694" s="259"/>
      <c r="AL694" s="257"/>
      <c r="AM694" s="257"/>
      <c r="AN694" s="257"/>
      <c r="AO694" s="257"/>
      <c r="AP694" s="257"/>
      <c r="AQ694" s="258"/>
      <c r="AR694" s="260"/>
      <c r="AS694" s="257"/>
      <c r="AT694" s="257"/>
      <c r="AU694" s="257"/>
      <c r="AV694" s="257"/>
      <c r="AW694" s="257"/>
      <c r="AX694" s="258"/>
      <c r="AY694" s="260"/>
      <c r="AZ694" s="257"/>
      <c r="BA694" s="257"/>
      <c r="BB694" s="257"/>
      <c r="BC694" s="257"/>
      <c r="BD694" s="258"/>
      <c r="BE694" s="260"/>
      <c r="BF694" s="258"/>
      <c r="BG694" s="260"/>
      <c r="BH694" s="257"/>
      <c r="BI694" s="14"/>
    </row>
    <row r="695" spans="1:61" ht="13.15" x14ac:dyDescent="0.4">
      <c r="A695" s="248"/>
      <c r="B695" s="256"/>
      <c r="C695" s="248"/>
      <c r="D695" s="248"/>
      <c r="E695" s="248"/>
      <c r="F695" s="250"/>
      <c r="G695" s="248"/>
      <c r="H695" s="32"/>
      <c r="I695" s="248"/>
      <c r="J695" s="248"/>
      <c r="K695" s="251"/>
      <c r="L695" s="238"/>
      <c r="M695" s="248"/>
      <c r="N695" s="248"/>
      <c r="O695" s="248"/>
      <c r="P695" s="250"/>
      <c r="Q695" s="252"/>
      <c r="R695" s="248"/>
      <c r="S695" s="248"/>
      <c r="T695" s="248"/>
      <c r="U695" s="248"/>
      <c r="V695" s="248"/>
      <c r="W695" s="248"/>
      <c r="X695" s="248"/>
      <c r="Y695" s="248"/>
      <c r="Z695" s="253"/>
      <c r="AA695" s="253"/>
      <c r="AB695" s="253"/>
      <c r="AC695" s="253"/>
      <c r="AD695" s="253"/>
      <c r="AE695" s="253"/>
      <c r="AF695" s="254"/>
      <c r="AG695" s="257"/>
      <c r="AH695" s="257"/>
      <c r="AI695" s="257"/>
      <c r="AJ695" s="258"/>
      <c r="AK695" s="259"/>
      <c r="AL695" s="257"/>
      <c r="AM695" s="257"/>
      <c r="AN695" s="257"/>
      <c r="AO695" s="257"/>
      <c r="AP695" s="257"/>
      <c r="AQ695" s="258"/>
      <c r="AR695" s="260"/>
      <c r="AS695" s="257"/>
      <c r="AT695" s="257"/>
      <c r="AU695" s="257"/>
      <c r="AV695" s="257"/>
      <c r="AW695" s="257"/>
      <c r="AX695" s="258"/>
      <c r="AY695" s="260"/>
      <c r="AZ695" s="257"/>
      <c r="BA695" s="257"/>
      <c r="BB695" s="257"/>
      <c r="BC695" s="257"/>
      <c r="BD695" s="258"/>
      <c r="BE695" s="260"/>
      <c r="BF695" s="258"/>
      <c r="BG695" s="260"/>
      <c r="BH695" s="257"/>
      <c r="BI695" s="14"/>
    </row>
    <row r="696" spans="1:61" ht="13.15" x14ac:dyDescent="0.4">
      <c r="A696" s="248"/>
      <c r="B696" s="256"/>
      <c r="C696" s="248"/>
      <c r="D696" s="248"/>
      <c r="E696" s="248"/>
      <c r="F696" s="250"/>
      <c r="G696" s="248"/>
      <c r="H696" s="32"/>
      <c r="I696" s="248"/>
      <c r="J696" s="248"/>
      <c r="K696" s="251"/>
      <c r="L696" s="238"/>
      <c r="M696" s="248"/>
      <c r="N696" s="248"/>
      <c r="O696" s="248"/>
      <c r="P696" s="250"/>
      <c r="Q696" s="252"/>
      <c r="R696" s="248"/>
      <c r="S696" s="248"/>
      <c r="T696" s="248"/>
      <c r="U696" s="248"/>
      <c r="V696" s="248"/>
      <c r="W696" s="248"/>
      <c r="X696" s="248"/>
      <c r="Y696" s="248"/>
      <c r="Z696" s="253"/>
      <c r="AA696" s="253"/>
      <c r="AB696" s="253"/>
      <c r="AC696" s="253"/>
      <c r="AD696" s="253"/>
      <c r="AE696" s="253"/>
      <c r="AF696" s="254"/>
      <c r="AG696" s="257"/>
      <c r="AH696" s="257"/>
      <c r="AI696" s="257"/>
      <c r="AJ696" s="258"/>
      <c r="AK696" s="259"/>
      <c r="AL696" s="257"/>
      <c r="AM696" s="257"/>
      <c r="AN696" s="257"/>
      <c r="AO696" s="257"/>
      <c r="AP696" s="257"/>
      <c r="AQ696" s="258"/>
      <c r="AR696" s="260"/>
      <c r="AS696" s="257"/>
      <c r="AT696" s="257"/>
      <c r="AU696" s="257"/>
      <c r="AV696" s="257"/>
      <c r="AW696" s="257"/>
      <c r="AX696" s="258"/>
      <c r="AY696" s="260"/>
      <c r="AZ696" s="257"/>
      <c r="BA696" s="257"/>
      <c r="BB696" s="257"/>
      <c r="BC696" s="257"/>
      <c r="BD696" s="258"/>
      <c r="BE696" s="260"/>
      <c r="BF696" s="258"/>
      <c r="BG696" s="260"/>
      <c r="BH696" s="257"/>
      <c r="BI696" s="14"/>
    </row>
    <row r="697" spans="1:61" ht="13.15" x14ac:dyDescent="0.4">
      <c r="A697" s="248"/>
      <c r="B697" s="256"/>
      <c r="C697" s="248"/>
      <c r="D697" s="248"/>
      <c r="E697" s="248"/>
      <c r="F697" s="250"/>
      <c r="G697" s="248"/>
      <c r="H697" s="32"/>
      <c r="I697" s="248"/>
      <c r="J697" s="248"/>
      <c r="K697" s="251"/>
      <c r="L697" s="238"/>
      <c r="M697" s="248"/>
      <c r="N697" s="248"/>
      <c r="O697" s="248"/>
      <c r="P697" s="250"/>
      <c r="Q697" s="252"/>
      <c r="R697" s="248"/>
      <c r="S697" s="248"/>
      <c r="T697" s="248"/>
      <c r="U697" s="248"/>
      <c r="V697" s="248"/>
      <c r="W697" s="248"/>
      <c r="X697" s="248"/>
      <c r="Y697" s="248"/>
      <c r="Z697" s="253"/>
      <c r="AA697" s="253"/>
      <c r="AB697" s="253"/>
      <c r="AC697" s="253"/>
      <c r="AD697" s="253"/>
      <c r="AE697" s="253"/>
      <c r="AF697" s="254"/>
      <c r="AG697" s="257"/>
      <c r="AH697" s="257"/>
      <c r="AI697" s="257"/>
      <c r="AJ697" s="258"/>
      <c r="AK697" s="259"/>
      <c r="AL697" s="257"/>
      <c r="AM697" s="257"/>
      <c r="AN697" s="257"/>
      <c r="AO697" s="257"/>
      <c r="AP697" s="257"/>
      <c r="AQ697" s="258"/>
      <c r="AR697" s="260"/>
      <c r="AS697" s="257"/>
      <c r="AT697" s="257"/>
      <c r="AU697" s="257"/>
      <c r="AV697" s="257"/>
      <c r="AW697" s="257"/>
      <c r="AX697" s="258"/>
      <c r="AY697" s="260"/>
      <c r="AZ697" s="257"/>
      <c r="BA697" s="257"/>
      <c r="BB697" s="257"/>
      <c r="BC697" s="257"/>
      <c r="BD697" s="258"/>
      <c r="BE697" s="260"/>
      <c r="BF697" s="258"/>
      <c r="BG697" s="260"/>
      <c r="BH697" s="257"/>
      <c r="BI697" s="14"/>
    </row>
    <row r="698" spans="1:61" ht="13.15" x14ac:dyDescent="0.4">
      <c r="A698" s="248"/>
      <c r="B698" s="256"/>
      <c r="C698" s="248"/>
      <c r="D698" s="248"/>
      <c r="E698" s="248"/>
      <c r="F698" s="250"/>
      <c r="G698" s="248"/>
      <c r="H698" s="32"/>
      <c r="I698" s="248"/>
      <c r="J698" s="248"/>
      <c r="K698" s="251"/>
      <c r="L698" s="238"/>
      <c r="M698" s="248"/>
      <c r="N698" s="248"/>
      <c r="O698" s="248"/>
      <c r="P698" s="250"/>
      <c r="Q698" s="252"/>
      <c r="R698" s="248"/>
      <c r="S698" s="248"/>
      <c r="T698" s="248"/>
      <c r="U698" s="248"/>
      <c r="V698" s="248"/>
      <c r="W698" s="248"/>
      <c r="X698" s="248"/>
      <c r="Y698" s="248"/>
      <c r="Z698" s="253"/>
      <c r="AA698" s="253"/>
      <c r="AB698" s="253"/>
      <c r="AC698" s="253"/>
      <c r="AD698" s="253"/>
      <c r="AE698" s="253"/>
      <c r="AF698" s="254"/>
      <c r="AG698" s="257"/>
      <c r="AH698" s="257"/>
      <c r="AI698" s="257"/>
      <c r="AJ698" s="258"/>
      <c r="AK698" s="259"/>
      <c r="AL698" s="257"/>
      <c r="AM698" s="257"/>
      <c r="AN698" s="257"/>
      <c r="AO698" s="257"/>
      <c r="AP698" s="257"/>
      <c r="AQ698" s="258"/>
      <c r="AR698" s="260"/>
      <c r="AS698" s="257"/>
      <c r="AT698" s="257"/>
      <c r="AU698" s="257"/>
      <c r="AV698" s="257"/>
      <c r="AW698" s="257"/>
      <c r="AX698" s="258"/>
      <c r="AY698" s="260"/>
      <c r="AZ698" s="257"/>
      <c r="BA698" s="257"/>
      <c r="BB698" s="257"/>
      <c r="BC698" s="257"/>
      <c r="BD698" s="258"/>
      <c r="BE698" s="260"/>
      <c r="BF698" s="258"/>
      <c r="BG698" s="260"/>
      <c r="BH698" s="257"/>
      <c r="BI698" s="14"/>
    </row>
    <row r="699" spans="1:61" ht="13.15" x14ac:dyDescent="0.4">
      <c r="A699" s="248"/>
      <c r="B699" s="256"/>
      <c r="C699" s="248"/>
      <c r="D699" s="248"/>
      <c r="E699" s="248"/>
      <c r="F699" s="250"/>
      <c r="G699" s="248"/>
      <c r="H699" s="32"/>
      <c r="I699" s="248"/>
      <c r="J699" s="248"/>
      <c r="K699" s="251"/>
      <c r="L699" s="238"/>
      <c r="M699" s="248"/>
      <c r="N699" s="248"/>
      <c r="O699" s="248"/>
      <c r="P699" s="250"/>
      <c r="Q699" s="252"/>
      <c r="R699" s="248"/>
      <c r="S699" s="248"/>
      <c r="T699" s="248"/>
      <c r="U699" s="248"/>
      <c r="V699" s="248"/>
      <c r="W699" s="248"/>
      <c r="X699" s="248"/>
      <c r="Y699" s="248"/>
      <c r="Z699" s="253"/>
      <c r="AA699" s="253"/>
      <c r="AB699" s="253"/>
      <c r="AC699" s="253"/>
      <c r="AD699" s="253"/>
      <c r="AE699" s="253"/>
      <c r="AF699" s="254"/>
      <c r="AG699" s="257"/>
      <c r="AH699" s="257"/>
      <c r="AI699" s="257"/>
      <c r="AJ699" s="258"/>
      <c r="AK699" s="259"/>
      <c r="AL699" s="257"/>
      <c r="AM699" s="257"/>
      <c r="AN699" s="257"/>
      <c r="AO699" s="257"/>
      <c r="AP699" s="257"/>
      <c r="AQ699" s="258"/>
      <c r="AR699" s="260"/>
      <c r="AS699" s="257"/>
      <c r="AT699" s="257"/>
      <c r="AU699" s="257"/>
      <c r="AV699" s="257"/>
      <c r="AW699" s="257"/>
      <c r="AX699" s="258"/>
      <c r="AY699" s="260"/>
      <c r="AZ699" s="257"/>
      <c r="BA699" s="257"/>
      <c r="BB699" s="257"/>
      <c r="BC699" s="257"/>
      <c r="BD699" s="258"/>
      <c r="BE699" s="260"/>
      <c r="BF699" s="258"/>
      <c r="BG699" s="260"/>
      <c r="BH699" s="257"/>
      <c r="BI699" s="14"/>
    </row>
    <row r="700" spans="1:61" ht="13.15" x14ac:dyDescent="0.4">
      <c r="A700" s="248"/>
      <c r="B700" s="256"/>
      <c r="C700" s="248"/>
      <c r="D700" s="248"/>
      <c r="E700" s="248"/>
      <c r="F700" s="250"/>
      <c r="G700" s="248"/>
      <c r="H700" s="32"/>
      <c r="I700" s="248"/>
      <c r="J700" s="248"/>
      <c r="K700" s="251"/>
      <c r="L700" s="238"/>
      <c r="M700" s="248"/>
      <c r="N700" s="248"/>
      <c r="O700" s="248"/>
      <c r="P700" s="250"/>
      <c r="Q700" s="252"/>
      <c r="R700" s="248"/>
      <c r="S700" s="248"/>
      <c r="T700" s="248"/>
      <c r="U700" s="248"/>
      <c r="V700" s="248"/>
      <c r="W700" s="248"/>
      <c r="X700" s="248"/>
      <c r="Y700" s="248"/>
      <c r="Z700" s="253"/>
      <c r="AA700" s="253"/>
      <c r="AB700" s="253"/>
      <c r="AC700" s="253"/>
      <c r="AD700" s="253"/>
      <c r="AE700" s="253"/>
      <c r="AF700" s="254"/>
      <c r="AG700" s="257"/>
      <c r="AH700" s="257"/>
      <c r="AI700" s="257"/>
      <c r="AJ700" s="258"/>
      <c r="AK700" s="259"/>
      <c r="AL700" s="257"/>
      <c r="AM700" s="257"/>
      <c r="AN700" s="257"/>
      <c r="AO700" s="257"/>
      <c r="AP700" s="257"/>
      <c r="AQ700" s="258"/>
      <c r="AR700" s="260"/>
      <c r="AS700" s="257"/>
      <c r="AT700" s="257"/>
      <c r="AU700" s="257"/>
      <c r="AV700" s="257"/>
      <c r="AW700" s="257"/>
      <c r="AX700" s="258"/>
      <c r="AY700" s="260"/>
      <c r="AZ700" s="257"/>
      <c r="BA700" s="257"/>
      <c r="BB700" s="257"/>
      <c r="BC700" s="257"/>
      <c r="BD700" s="258"/>
      <c r="BE700" s="260"/>
      <c r="BF700" s="258"/>
      <c r="BG700" s="260"/>
      <c r="BH700" s="257"/>
      <c r="BI700" s="14"/>
    </row>
    <row r="701" spans="1:61" ht="13.15" x14ac:dyDescent="0.4">
      <c r="A701" s="248"/>
      <c r="B701" s="256"/>
      <c r="C701" s="248"/>
      <c r="D701" s="248"/>
      <c r="E701" s="248"/>
      <c r="F701" s="250"/>
      <c r="G701" s="248"/>
      <c r="H701" s="32"/>
      <c r="I701" s="248"/>
      <c r="J701" s="248"/>
      <c r="K701" s="251"/>
      <c r="L701" s="238"/>
      <c r="M701" s="248"/>
      <c r="N701" s="248"/>
      <c r="O701" s="248"/>
      <c r="P701" s="250"/>
      <c r="Q701" s="252"/>
      <c r="R701" s="248"/>
      <c r="S701" s="248"/>
      <c r="T701" s="248"/>
      <c r="U701" s="248"/>
      <c r="V701" s="248"/>
      <c r="W701" s="248"/>
      <c r="X701" s="248"/>
      <c r="Y701" s="248"/>
      <c r="Z701" s="253"/>
      <c r="AA701" s="253"/>
      <c r="AB701" s="253"/>
      <c r="AC701" s="253"/>
      <c r="AD701" s="253"/>
      <c r="AE701" s="253"/>
      <c r="AF701" s="254"/>
      <c r="AG701" s="257"/>
      <c r="AH701" s="257"/>
      <c r="AI701" s="257"/>
      <c r="AJ701" s="258"/>
      <c r="AK701" s="259"/>
      <c r="AL701" s="257"/>
      <c r="AM701" s="257"/>
      <c r="AN701" s="257"/>
      <c r="AO701" s="257"/>
      <c r="AP701" s="257"/>
      <c r="AQ701" s="258"/>
      <c r="AR701" s="260"/>
      <c r="AS701" s="257"/>
      <c r="AT701" s="257"/>
      <c r="AU701" s="257"/>
      <c r="AV701" s="257"/>
      <c r="AW701" s="257"/>
      <c r="AX701" s="258"/>
      <c r="AY701" s="260"/>
      <c r="AZ701" s="257"/>
      <c r="BA701" s="257"/>
      <c r="BB701" s="257"/>
      <c r="BC701" s="257"/>
      <c r="BD701" s="258"/>
      <c r="BE701" s="260"/>
      <c r="BF701" s="258"/>
      <c r="BG701" s="260"/>
      <c r="BH701" s="257"/>
      <c r="BI701" s="14"/>
    </row>
    <row r="702" spans="1:61" ht="13.15" x14ac:dyDescent="0.4">
      <c r="A702" s="248"/>
      <c r="B702" s="256"/>
      <c r="C702" s="248"/>
      <c r="D702" s="248"/>
      <c r="E702" s="248"/>
      <c r="F702" s="250"/>
      <c r="G702" s="248"/>
      <c r="H702" s="32"/>
      <c r="I702" s="248"/>
      <c r="J702" s="248"/>
      <c r="K702" s="251"/>
      <c r="L702" s="238"/>
      <c r="M702" s="248"/>
      <c r="N702" s="248"/>
      <c r="O702" s="248"/>
      <c r="P702" s="250"/>
      <c r="Q702" s="252"/>
      <c r="R702" s="248"/>
      <c r="S702" s="248"/>
      <c r="T702" s="248"/>
      <c r="U702" s="248"/>
      <c r="V702" s="248"/>
      <c r="W702" s="248"/>
      <c r="X702" s="248"/>
      <c r="Y702" s="248"/>
      <c r="Z702" s="253"/>
      <c r="AA702" s="253"/>
      <c r="AB702" s="253"/>
      <c r="AC702" s="253"/>
      <c r="AD702" s="253"/>
      <c r="AE702" s="253"/>
      <c r="AF702" s="254"/>
      <c r="AG702" s="257"/>
      <c r="AH702" s="257"/>
      <c r="AI702" s="257"/>
      <c r="AJ702" s="258"/>
      <c r="AK702" s="259"/>
      <c r="AL702" s="257"/>
      <c r="AM702" s="257"/>
      <c r="AN702" s="257"/>
      <c r="AO702" s="257"/>
      <c r="AP702" s="257"/>
      <c r="AQ702" s="258"/>
      <c r="AR702" s="260"/>
      <c r="AS702" s="257"/>
      <c r="AT702" s="257"/>
      <c r="AU702" s="257"/>
      <c r="AV702" s="257"/>
      <c r="AW702" s="257"/>
      <c r="AX702" s="258"/>
      <c r="AY702" s="260"/>
      <c r="AZ702" s="257"/>
      <c r="BA702" s="257"/>
      <c r="BB702" s="257"/>
      <c r="BC702" s="257"/>
      <c r="BD702" s="258"/>
      <c r="BE702" s="260"/>
      <c r="BF702" s="258"/>
      <c r="BG702" s="260"/>
      <c r="BH702" s="257"/>
      <c r="BI702" s="14"/>
    </row>
    <row r="703" spans="1:61" ht="13.15" x14ac:dyDescent="0.4">
      <c r="A703" s="248"/>
      <c r="B703" s="256"/>
      <c r="C703" s="248"/>
      <c r="D703" s="248"/>
      <c r="E703" s="248"/>
      <c r="F703" s="250"/>
      <c r="G703" s="248"/>
      <c r="H703" s="32"/>
      <c r="I703" s="248"/>
      <c r="J703" s="248"/>
      <c r="K703" s="251"/>
      <c r="L703" s="238"/>
      <c r="M703" s="248"/>
      <c r="N703" s="248"/>
      <c r="O703" s="248"/>
      <c r="P703" s="250"/>
      <c r="Q703" s="252"/>
      <c r="R703" s="248"/>
      <c r="S703" s="248"/>
      <c r="T703" s="248"/>
      <c r="U703" s="248"/>
      <c r="V703" s="248"/>
      <c r="W703" s="248"/>
      <c r="X703" s="248"/>
      <c r="Y703" s="248"/>
      <c r="Z703" s="253"/>
      <c r="AA703" s="253"/>
      <c r="AB703" s="253"/>
      <c r="AC703" s="253"/>
      <c r="AD703" s="253"/>
      <c r="AE703" s="253"/>
      <c r="AF703" s="254"/>
      <c r="AG703" s="257"/>
      <c r="AH703" s="257"/>
      <c r="AI703" s="257"/>
      <c r="AJ703" s="258"/>
      <c r="AK703" s="259"/>
      <c r="AL703" s="257"/>
      <c r="AM703" s="257"/>
      <c r="AN703" s="257"/>
      <c r="AO703" s="257"/>
      <c r="AP703" s="257"/>
      <c r="AQ703" s="258"/>
      <c r="AR703" s="260"/>
      <c r="AS703" s="257"/>
      <c r="AT703" s="257"/>
      <c r="AU703" s="257"/>
      <c r="AV703" s="257"/>
      <c r="AW703" s="257"/>
      <c r="AX703" s="258"/>
      <c r="AY703" s="260"/>
      <c r="AZ703" s="257"/>
      <c r="BA703" s="257"/>
      <c r="BB703" s="257"/>
      <c r="BC703" s="257"/>
      <c r="BD703" s="258"/>
      <c r="BE703" s="260"/>
      <c r="BF703" s="258"/>
      <c r="BG703" s="260"/>
      <c r="BH703" s="257"/>
      <c r="BI703" s="14"/>
    </row>
    <row r="704" spans="1:61" ht="13.15" x14ac:dyDescent="0.4">
      <c r="A704" s="248"/>
      <c r="B704" s="256"/>
      <c r="C704" s="248"/>
      <c r="D704" s="248"/>
      <c r="E704" s="248"/>
      <c r="F704" s="250"/>
      <c r="G704" s="248"/>
      <c r="H704" s="32"/>
      <c r="I704" s="248"/>
      <c r="J704" s="248"/>
      <c r="K704" s="251"/>
      <c r="L704" s="238"/>
      <c r="M704" s="248"/>
      <c r="N704" s="248"/>
      <c r="O704" s="248"/>
      <c r="P704" s="250"/>
      <c r="Q704" s="252"/>
      <c r="R704" s="248"/>
      <c r="S704" s="248"/>
      <c r="T704" s="248"/>
      <c r="U704" s="248"/>
      <c r="V704" s="248"/>
      <c r="W704" s="248"/>
      <c r="X704" s="248"/>
      <c r="Y704" s="248"/>
      <c r="Z704" s="253"/>
      <c r="AA704" s="253"/>
      <c r="AB704" s="253"/>
      <c r="AC704" s="253"/>
      <c r="AD704" s="253"/>
      <c r="AE704" s="253"/>
      <c r="AF704" s="254"/>
      <c r="AG704" s="257"/>
      <c r="AH704" s="257"/>
      <c r="AI704" s="257"/>
      <c r="AJ704" s="258"/>
      <c r="AK704" s="259"/>
      <c r="AL704" s="257"/>
      <c r="AM704" s="257"/>
      <c r="AN704" s="257"/>
      <c r="AO704" s="257"/>
      <c r="AP704" s="257"/>
      <c r="AQ704" s="258"/>
      <c r="AR704" s="260"/>
      <c r="AS704" s="257"/>
      <c r="AT704" s="257"/>
      <c r="AU704" s="257"/>
      <c r="AV704" s="257"/>
      <c r="AW704" s="257"/>
      <c r="AX704" s="258"/>
      <c r="AY704" s="260"/>
      <c r="AZ704" s="257"/>
      <c r="BA704" s="257"/>
      <c r="BB704" s="257"/>
      <c r="BC704" s="257"/>
      <c r="BD704" s="258"/>
      <c r="BE704" s="260"/>
      <c r="BF704" s="258"/>
      <c r="BG704" s="260"/>
      <c r="BH704" s="257"/>
      <c r="BI704" s="14"/>
    </row>
    <row r="705" spans="1:61" ht="13.15" x14ac:dyDescent="0.4">
      <c r="A705" s="248"/>
      <c r="B705" s="256"/>
      <c r="C705" s="248"/>
      <c r="D705" s="248"/>
      <c r="E705" s="248"/>
      <c r="F705" s="250"/>
      <c r="G705" s="248"/>
      <c r="H705" s="32"/>
      <c r="I705" s="248"/>
      <c r="J705" s="248"/>
      <c r="K705" s="251"/>
      <c r="L705" s="238"/>
      <c r="M705" s="248"/>
      <c r="N705" s="248"/>
      <c r="O705" s="248"/>
      <c r="P705" s="250"/>
      <c r="Q705" s="252"/>
      <c r="R705" s="248"/>
      <c r="S705" s="248"/>
      <c r="T705" s="248"/>
      <c r="U705" s="248"/>
      <c r="V705" s="248"/>
      <c r="W705" s="248"/>
      <c r="X705" s="248"/>
      <c r="Y705" s="248"/>
      <c r="Z705" s="253"/>
      <c r="AA705" s="253"/>
      <c r="AB705" s="253"/>
      <c r="AC705" s="253"/>
      <c r="AD705" s="253"/>
      <c r="AE705" s="253"/>
      <c r="AF705" s="254"/>
      <c r="AG705" s="257"/>
      <c r="AH705" s="257"/>
      <c r="AI705" s="257"/>
      <c r="AJ705" s="258"/>
      <c r="AK705" s="259"/>
      <c r="AL705" s="257"/>
      <c r="AM705" s="257"/>
      <c r="AN705" s="257"/>
      <c r="AO705" s="257"/>
      <c r="AP705" s="257"/>
      <c r="AQ705" s="258"/>
      <c r="AR705" s="260"/>
      <c r="AS705" s="257"/>
      <c r="AT705" s="257"/>
      <c r="AU705" s="257"/>
      <c r="AV705" s="257"/>
      <c r="AW705" s="257"/>
      <c r="AX705" s="258"/>
      <c r="AY705" s="260"/>
      <c r="AZ705" s="257"/>
      <c r="BA705" s="257"/>
      <c r="BB705" s="257"/>
      <c r="BC705" s="257"/>
      <c r="BD705" s="258"/>
      <c r="BE705" s="260"/>
      <c r="BF705" s="258"/>
      <c r="BG705" s="260"/>
      <c r="BH705" s="257"/>
      <c r="BI705" s="14"/>
    </row>
    <row r="706" spans="1:61" ht="13.15" x14ac:dyDescent="0.4">
      <c r="A706" s="248"/>
      <c r="B706" s="256"/>
      <c r="C706" s="248"/>
      <c r="D706" s="248"/>
      <c r="E706" s="248"/>
      <c r="F706" s="250"/>
      <c r="G706" s="248"/>
      <c r="H706" s="32"/>
      <c r="I706" s="248"/>
      <c r="J706" s="248"/>
      <c r="K706" s="251"/>
      <c r="L706" s="238"/>
      <c r="M706" s="248"/>
      <c r="N706" s="248"/>
      <c r="O706" s="248"/>
      <c r="P706" s="250"/>
      <c r="Q706" s="252"/>
      <c r="R706" s="248"/>
      <c r="S706" s="248"/>
      <c r="T706" s="248"/>
      <c r="U706" s="248"/>
      <c r="V706" s="248"/>
      <c r="W706" s="248"/>
      <c r="X706" s="248"/>
      <c r="Y706" s="248"/>
      <c r="Z706" s="253"/>
      <c r="AA706" s="253"/>
      <c r="AB706" s="253"/>
      <c r="AC706" s="253"/>
      <c r="AD706" s="253"/>
      <c r="AE706" s="253"/>
      <c r="AF706" s="254"/>
      <c r="AG706" s="257"/>
      <c r="AH706" s="257"/>
      <c r="AI706" s="257"/>
      <c r="AJ706" s="258"/>
      <c r="AK706" s="259"/>
      <c r="AL706" s="257"/>
      <c r="AM706" s="257"/>
      <c r="AN706" s="257"/>
      <c r="AO706" s="257"/>
      <c r="AP706" s="257"/>
      <c r="AQ706" s="258"/>
      <c r="AR706" s="260"/>
      <c r="AS706" s="257"/>
      <c r="AT706" s="257"/>
      <c r="AU706" s="257"/>
      <c r="AV706" s="257"/>
      <c r="AW706" s="257"/>
      <c r="AX706" s="258"/>
      <c r="AY706" s="260"/>
      <c r="AZ706" s="257"/>
      <c r="BA706" s="257"/>
      <c r="BB706" s="257"/>
      <c r="BC706" s="257"/>
      <c r="BD706" s="258"/>
      <c r="BE706" s="260"/>
      <c r="BF706" s="258"/>
      <c r="BG706" s="260"/>
      <c r="BH706" s="257"/>
      <c r="BI706" s="14"/>
    </row>
    <row r="707" spans="1:61" ht="13.15" x14ac:dyDescent="0.4">
      <c r="A707" s="248"/>
      <c r="B707" s="256"/>
      <c r="C707" s="248"/>
      <c r="D707" s="248"/>
      <c r="E707" s="248"/>
      <c r="F707" s="250"/>
      <c r="G707" s="248"/>
      <c r="H707" s="32"/>
      <c r="I707" s="248"/>
      <c r="J707" s="248"/>
      <c r="K707" s="251"/>
      <c r="L707" s="238"/>
      <c r="M707" s="248"/>
      <c r="N707" s="248"/>
      <c r="O707" s="248"/>
      <c r="P707" s="250"/>
      <c r="Q707" s="252"/>
      <c r="R707" s="248"/>
      <c r="S707" s="248"/>
      <c r="T707" s="248"/>
      <c r="U707" s="248"/>
      <c r="V707" s="248"/>
      <c r="W707" s="248"/>
      <c r="X707" s="248"/>
      <c r="Y707" s="248"/>
      <c r="Z707" s="253"/>
      <c r="AA707" s="253"/>
      <c r="AB707" s="253"/>
      <c r="AC707" s="253"/>
      <c r="AD707" s="253"/>
      <c r="AE707" s="253"/>
      <c r="AF707" s="254"/>
      <c r="AG707" s="257"/>
      <c r="AH707" s="257"/>
      <c r="AI707" s="257"/>
      <c r="AJ707" s="258"/>
      <c r="AK707" s="259"/>
      <c r="AL707" s="257"/>
      <c r="AM707" s="257"/>
      <c r="AN707" s="257"/>
      <c r="AO707" s="257"/>
      <c r="AP707" s="257"/>
      <c r="AQ707" s="258"/>
      <c r="AR707" s="260"/>
      <c r="AS707" s="257"/>
      <c r="AT707" s="257"/>
      <c r="AU707" s="257"/>
      <c r="AV707" s="257"/>
      <c r="AW707" s="257"/>
      <c r="AX707" s="258"/>
      <c r="AY707" s="260"/>
      <c r="AZ707" s="257"/>
      <c r="BA707" s="257"/>
      <c r="BB707" s="257"/>
      <c r="BC707" s="257"/>
      <c r="BD707" s="258"/>
      <c r="BE707" s="260"/>
      <c r="BF707" s="258"/>
      <c r="BG707" s="260"/>
      <c r="BH707" s="257"/>
      <c r="BI707" s="14"/>
    </row>
    <row r="708" spans="1:61" ht="13.15" x14ac:dyDescent="0.4">
      <c r="A708" s="248"/>
      <c r="B708" s="256"/>
      <c r="C708" s="248"/>
      <c r="D708" s="248"/>
      <c r="E708" s="248"/>
      <c r="F708" s="250"/>
      <c r="G708" s="248"/>
      <c r="H708" s="32"/>
      <c r="I708" s="248"/>
      <c r="J708" s="248"/>
      <c r="K708" s="251"/>
      <c r="L708" s="238"/>
      <c r="M708" s="248"/>
      <c r="N708" s="248"/>
      <c r="O708" s="248"/>
      <c r="P708" s="250"/>
      <c r="Q708" s="252"/>
      <c r="R708" s="248"/>
      <c r="S708" s="248"/>
      <c r="T708" s="248"/>
      <c r="U708" s="248"/>
      <c r="V708" s="248"/>
      <c r="W708" s="248"/>
      <c r="X708" s="248"/>
      <c r="Y708" s="248"/>
      <c r="Z708" s="253"/>
      <c r="AA708" s="253"/>
      <c r="AB708" s="253"/>
      <c r="AC708" s="253"/>
      <c r="AD708" s="253"/>
      <c r="AE708" s="253"/>
      <c r="AF708" s="254"/>
      <c r="AG708" s="257"/>
      <c r="AH708" s="257"/>
      <c r="AI708" s="257"/>
      <c r="AJ708" s="258"/>
      <c r="AK708" s="259"/>
      <c r="AL708" s="257"/>
      <c r="AM708" s="257"/>
      <c r="AN708" s="257"/>
      <c r="AO708" s="257"/>
      <c r="AP708" s="257"/>
      <c r="AQ708" s="258"/>
      <c r="AR708" s="260"/>
      <c r="AS708" s="257"/>
      <c r="AT708" s="257"/>
      <c r="AU708" s="257"/>
      <c r="AV708" s="257"/>
      <c r="AW708" s="257"/>
      <c r="AX708" s="258"/>
      <c r="AY708" s="260"/>
      <c r="AZ708" s="257"/>
      <c r="BA708" s="257"/>
      <c r="BB708" s="257"/>
      <c r="BC708" s="257"/>
      <c r="BD708" s="258"/>
      <c r="BE708" s="260"/>
      <c r="BF708" s="258"/>
      <c r="BG708" s="260"/>
      <c r="BH708" s="257"/>
      <c r="BI708" s="14"/>
    </row>
    <row r="709" spans="1:61" ht="13.15" x14ac:dyDescent="0.4">
      <c r="A709" s="248"/>
      <c r="B709" s="256"/>
      <c r="C709" s="248"/>
      <c r="D709" s="248"/>
      <c r="E709" s="248"/>
      <c r="F709" s="250"/>
      <c r="G709" s="248"/>
      <c r="H709" s="32"/>
      <c r="I709" s="248"/>
      <c r="J709" s="248"/>
      <c r="K709" s="251"/>
      <c r="L709" s="238"/>
      <c r="M709" s="248"/>
      <c r="N709" s="248"/>
      <c r="O709" s="248"/>
      <c r="P709" s="250"/>
      <c r="Q709" s="252"/>
      <c r="R709" s="248"/>
      <c r="S709" s="248"/>
      <c r="T709" s="248"/>
      <c r="U709" s="248"/>
      <c r="V709" s="248"/>
      <c r="W709" s="248"/>
      <c r="X709" s="248"/>
      <c r="Y709" s="248"/>
      <c r="Z709" s="253"/>
      <c r="AA709" s="253"/>
      <c r="AB709" s="253"/>
      <c r="AC709" s="253"/>
      <c r="AD709" s="253"/>
      <c r="AE709" s="253"/>
      <c r="AF709" s="254"/>
      <c r="AG709" s="257"/>
      <c r="AH709" s="257"/>
      <c r="AI709" s="257"/>
      <c r="AJ709" s="258"/>
      <c r="AK709" s="259"/>
      <c r="AL709" s="257"/>
      <c r="AM709" s="257"/>
      <c r="AN709" s="257"/>
      <c r="AO709" s="257"/>
      <c r="AP709" s="257"/>
      <c r="AQ709" s="258"/>
      <c r="AR709" s="260"/>
      <c r="AS709" s="257"/>
      <c r="AT709" s="257"/>
      <c r="AU709" s="257"/>
      <c r="AV709" s="257"/>
      <c r="AW709" s="257"/>
      <c r="AX709" s="258"/>
      <c r="AY709" s="260"/>
      <c r="AZ709" s="257"/>
      <c r="BA709" s="257"/>
      <c r="BB709" s="257"/>
      <c r="BC709" s="257"/>
      <c r="BD709" s="258"/>
      <c r="BE709" s="260"/>
      <c r="BF709" s="258"/>
      <c r="BG709" s="260"/>
      <c r="BH709" s="257"/>
      <c r="BI709" s="14"/>
    </row>
    <row r="710" spans="1:61" ht="13.15" x14ac:dyDescent="0.4">
      <c r="A710" s="248"/>
      <c r="B710" s="256"/>
      <c r="C710" s="248"/>
      <c r="D710" s="248"/>
      <c r="E710" s="248"/>
      <c r="F710" s="250"/>
      <c r="G710" s="248"/>
      <c r="H710" s="32"/>
      <c r="I710" s="248"/>
      <c r="J710" s="248"/>
      <c r="K710" s="251"/>
      <c r="L710" s="238"/>
      <c r="M710" s="248"/>
      <c r="N710" s="248"/>
      <c r="O710" s="248"/>
      <c r="P710" s="250"/>
      <c r="Q710" s="252"/>
      <c r="R710" s="248"/>
      <c r="S710" s="248"/>
      <c r="T710" s="248"/>
      <c r="U710" s="248"/>
      <c r="V710" s="248"/>
      <c r="W710" s="248"/>
      <c r="X710" s="248"/>
      <c r="Y710" s="248"/>
      <c r="Z710" s="253"/>
      <c r="AA710" s="253"/>
      <c r="AB710" s="253"/>
      <c r="AC710" s="253"/>
      <c r="AD710" s="253"/>
      <c r="AE710" s="253"/>
      <c r="AF710" s="254"/>
      <c r="AG710" s="257"/>
      <c r="AH710" s="257"/>
      <c r="AI710" s="257"/>
      <c r="AJ710" s="258"/>
      <c r="AK710" s="259"/>
      <c r="AL710" s="257"/>
      <c r="AM710" s="257"/>
      <c r="AN710" s="257"/>
      <c r="AO710" s="257"/>
      <c r="AP710" s="257"/>
      <c r="AQ710" s="258"/>
      <c r="AR710" s="260"/>
      <c r="AS710" s="257"/>
      <c r="AT710" s="257"/>
      <c r="AU710" s="257"/>
      <c r="AV710" s="257"/>
      <c r="AW710" s="257"/>
      <c r="AX710" s="258"/>
      <c r="AY710" s="260"/>
      <c r="AZ710" s="257"/>
      <c r="BA710" s="257"/>
      <c r="BB710" s="257"/>
      <c r="BC710" s="257"/>
      <c r="BD710" s="258"/>
      <c r="BE710" s="260"/>
      <c r="BF710" s="258"/>
      <c r="BG710" s="260"/>
      <c r="BH710" s="257"/>
      <c r="BI710" s="14"/>
    </row>
    <row r="711" spans="1:61" ht="13.15" x14ac:dyDescent="0.4">
      <c r="A711" s="248"/>
      <c r="B711" s="256"/>
      <c r="C711" s="248"/>
      <c r="D711" s="248"/>
      <c r="E711" s="248"/>
      <c r="F711" s="250"/>
      <c r="G711" s="248"/>
      <c r="H711" s="32"/>
      <c r="I711" s="248"/>
      <c r="J711" s="248"/>
      <c r="K711" s="251"/>
      <c r="L711" s="238"/>
      <c r="M711" s="248"/>
      <c r="N711" s="248"/>
      <c r="O711" s="248"/>
      <c r="P711" s="250"/>
      <c r="Q711" s="252"/>
      <c r="R711" s="248"/>
      <c r="S711" s="248"/>
      <c r="T711" s="248"/>
      <c r="U711" s="248"/>
      <c r="V711" s="248"/>
      <c r="W711" s="248"/>
      <c r="X711" s="248"/>
      <c r="Y711" s="248"/>
      <c r="Z711" s="253"/>
      <c r="AA711" s="253"/>
      <c r="AB711" s="253"/>
      <c r="AC711" s="253"/>
      <c r="AD711" s="253"/>
      <c r="AE711" s="253"/>
      <c r="AF711" s="254"/>
      <c r="AG711" s="257"/>
      <c r="AH711" s="257"/>
      <c r="AI711" s="257"/>
      <c r="AJ711" s="258"/>
      <c r="AK711" s="259"/>
      <c r="AL711" s="257"/>
      <c r="AM711" s="257"/>
      <c r="AN711" s="257"/>
      <c r="AO711" s="257"/>
      <c r="AP711" s="257"/>
      <c r="AQ711" s="258"/>
      <c r="AR711" s="260"/>
      <c r="AS711" s="257"/>
      <c r="AT711" s="257"/>
      <c r="AU711" s="257"/>
      <c r="AV711" s="257"/>
      <c r="AW711" s="257"/>
      <c r="AX711" s="258"/>
      <c r="AY711" s="260"/>
      <c r="AZ711" s="257"/>
      <c r="BA711" s="257"/>
      <c r="BB711" s="257"/>
      <c r="BC711" s="257"/>
      <c r="BD711" s="258"/>
      <c r="BE711" s="260"/>
      <c r="BF711" s="258"/>
      <c r="BG711" s="260"/>
      <c r="BH711" s="257"/>
      <c r="BI711" s="14"/>
    </row>
    <row r="712" spans="1:61" ht="13.15" x14ac:dyDescent="0.4">
      <c r="A712" s="248"/>
      <c r="B712" s="256"/>
      <c r="C712" s="248"/>
      <c r="D712" s="248"/>
      <c r="E712" s="248"/>
      <c r="F712" s="250"/>
      <c r="G712" s="248"/>
      <c r="H712" s="32"/>
      <c r="I712" s="248"/>
      <c r="J712" s="248"/>
      <c r="K712" s="251"/>
      <c r="L712" s="238"/>
      <c r="M712" s="248"/>
      <c r="N712" s="248"/>
      <c r="O712" s="248"/>
      <c r="P712" s="250"/>
      <c r="Q712" s="252"/>
      <c r="R712" s="248"/>
      <c r="S712" s="248"/>
      <c r="T712" s="248"/>
      <c r="U712" s="248"/>
      <c r="V712" s="248"/>
      <c r="W712" s="248"/>
      <c r="X712" s="248"/>
      <c r="Y712" s="248"/>
      <c r="Z712" s="253"/>
      <c r="AA712" s="253"/>
      <c r="AB712" s="253"/>
      <c r="AC712" s="253"/>
      <c r="AD712" s="253"/>
      <c r="AE712" s="253"/>
      <c r="AF712" s="254"/>
      <c r="AG712" s="257"/>
      <c r="AH712" s="257"/>
      <c r="AI712" s="257"/>
      <c r="AJ712" s="258"/>
      <c r="AK712" s="259"/>
      <c r="AL712" s="257"/>
      <c r="AM712" s="257"/>
      <c r="AN712" s="257"/>
      <c r="AO712" s="257"/>
      <c r="AP712" s="257"/>
      <c r="AQ712" s="258"/>
      <c r="AR712" s="260"/>
      <c r="AS712" s="257"/>
      <c r="AT712" s="257"/>
      <c r="AU712" s="257"/>
      <c r="AV712" s="257"/>
      <c r="AW712" s="257"/>
      <c r="AX712" s="258"/>
      <c r="AY712" s="260"/>
      <c r="AZ712" s="257"/>
      <c r="BA712" s="257"/>
      <c r="BB712" s="257"/>
      <c r="BC712" s="257"/>
      <c r="BD712" s="258"/>
      <c r="BE712" s="260"/>
      <c r="BF712" s="258"/>
      <c r="BG712" s="260"/>
      <c r="BH712" s="257"/>
      <c r="BI712" s="14"/>
    </row>
    <row r="713" spans="1:61" ht="13.15" x14ac:dyDescent="0.4">
      <c r="A713" s="248"/>
      <c r="B713" s="256"/>
      <c r="C713" s="248"/>
      <c r="D713" s="248"/>
      <c r="E713" s="248"/>
      <c r="F713" s="250"/>
      <c r="G713" s="248"/>
      <c r="H713" s="32"/>
      <c r="I713" s="248"/>
      <c r="J713" s="248"/>
      <c r="K713" s="251"/>
      <c r="L713" s="238"/>
      <c r="M713" s="248"/>
      <c r="N713" s="248"/>
      <c r="O713" s="248"/>
      <c r="P713" s="250"/>
      <c r="Q713" s="252"/>
      <c r="R713" s="248"/>
      <c r="S713" s="248"/>
      <c r="T713" s="248"/>
      <c r="U713" s="248"/>
      <c r="V713" s="248"/>
      <c r="W713" s="248"/>
      <c r="X713" s="248"/>
      <c r="Y713" s="248"/>
      <c r="Z713" s="253"/>
      <c r="AA713" s="253"/>
      <c r="AB713" s="253"/>
      <c r="AC713" s="253"/>
      <c r="AD713" s="253"/>
      <c r="AE713" s="253"/>
      <c r="AF713" s="254"/>
      <c r="AG713" s="257"/>
      <c r="AH713" s="257"/>
      <c r="AI713" s="257"/>
      <c r="AJ713" s="258"/>
      <c r="AK713" s="259"/>
      <c r="AL713" s="257"/>
      <c r="AM713" s="257"/>
      <c r="AN713" s="257"/>
      <c r="AO713" s="257"/>
      <c r="AP713" s="257"/>
      <c r="AQ713" s="258"/>
      <c r="AR713" s="260"/>
      <c r="AS713" s="257"/>
      <c r="AT713" s="257"/>
      <c r="AU713" s="257"/>
      <c r="AV713" s="257"/>
      <c r="AW713" s="257"/>
      <c r="AX713" s="258"/>
      <c r="AY713" s="260"/>
      <c r="AZ713" s="257"/>
      <c r="BA713" s="257"/>
      <c r="BB713" s="257"/>
      <c r="BC713" s="257"/>
      <c r="BD713" s="258"/>
      <c r="BE713" s="260"/>
      <c r="BF713" s="258"/>
      <c r="BG713" s="260"/>
      <c r="BH713" s="257"/>
      <c r="BI713" s="14"/>
    </row>
    <row r="714" spans="1:61" ht="13.15" x14ac:dyDescent="0.4">
      <c r="A714" s="248"/>
      <c r="B714" s="256"/>
      <c r="C714" s="248"/>
      <c r="D714" s="248"/>
      <c r="E714" s="248"/>
      <c r="F714" s="250"/>
      <c r="G714" s="248"/>
      <c r="H714" s="32"/>
      <c r="I714" s="248"/>
      <c r="J714" s="248"/>
      <c r="K714" s="251"/>
      <c r="L714" s="238"/>
      <c r="M714" s="248"/>
      <c r="N714" s="248"/>
      <c r="O714" s="248"/>
      <c r="P714" s="250"/>
      <c r="Q714" s="252"/>
      <c r="R714" s="248"/>
      <c r="S714" s="248"/>
      <c r="T714" s="248"/>
      <c r="U714" s="248"/>
      <c r="V714" s="248"/>
      <c r="W714" s="248"/>
      <c r="X714" s="248"/>
      <c r="Y714" s="248"/>
      <c r="Z714" s="253"/>
      <c r="AA714" s="253"/>
      <c r="AB714" s="253"/>
      <c r="AC714" s="253"/>
      <c r="AD714" s="253"/>
      <c r="AE714" s="253"/>
      <c r="AF714" s="254"/>
      <c r="AG714" s="257"/>
      <c r="AH714" s="257"/>
      <c r="AI714" s="257"/>
      <c r="AJ714" s="258"/>
      <c r="AK714" s="259"/>
      <c r="AL714" s="257"/>
      <c r="AM714" s="257"/>
      <c r="AN714" s="257"/>
      <c r="AO714" s="257"/>
      <c r="AP714" s="257"/>
      <c r="AQ714" s="258"/>
      <c r="AR714" s="260"/>
      <c r="AS714" s="257"/>
      <c r="AT714" s="257"/>
      <c r="AU714" s="257"/>
      <c r="AV714" s="257"/>
      <c r="AW714" s="257"/>
      <c r="AX714" s="258"/>
      <c r="AY714" s="260"/>
      <c r="AZ714" s="257"/>
      <c r="BA714" s="257"/>
      <c r="BB714" s="257"/>
      <c r="BC714" s="257"/>
      <c r="BD714" s="258"/>
      <c r="BE714" s="260"/>
      <c r="BF714" s="258"/>
      <c r="BG714" s="260"/>
      <c r="BH714" s="257"/>
      <c r="BI714" s="14"/>
    </row>
    <row r="715" spans="1:61" ht="13.15" x14ac:dyDescent="0.4">
      <c r="A715" s="248"/>
      <c r="B715" s="256"/>
      <c r="C715" s="248"/>
      <c r="D715" s="248"/>
      <c r="E715" s="248"/>
      <c r="F715" s="250"/>
      <c r="G715" s="248"/>
      <c r="H715" s="32"/>
      <c r="I715" s="248"/>
      <c r="J715" s="248"/>
      <c r="K715" s="251"/>
      <c r="L715" s="238"/>
      <c r="M715" s="248"/>
      <c r="N715" s="248"/>
      <c r="O715" s="248"/>
      <c r="P715" s="250"/>
      <c r="Q715" s="252"/>
      <c r="R715" s="248"/>
      <c r="S715" s="248"/>
      <c r="T715" s="248"/>
      <c r="U715" s="248"/>
      <c r="V715" s="248"/>
      <c r="W715" s="248"/>
      <c r="X715" s="248"/>
      <c r="Y715" s="248"/>
      <c r="Z715" s="253"/>
      <c r="AA715" s="253"/>
      <c r="AB715" s="253"/>
      <c r="AC715" s="253"/>
      <c r="AD715" s="253"/>
      <c r="AE715" s="253"/>
      <c r="AF715" s="254"/>
      <c r="AG715" s="257"/>
      <c r="AH715" s="257"/>
      <c r="AI715" s="257"/>
      <c r="AJ715" s="258"/>
      <c r="AK715" s="259"/>
      <c r="AL715" s="257"/>
      <c r="AM715" s="257"/>
      <c r="AN715" s="257"/>
      <c r="AO715" s="257"/>
      <c r="AP715" s="257"/>
      <c r="AQ715" s="258"/>
      <c r="AR715" s="260"/>
      <c r="AS715" s="257"/>
      <c r="AT715" s="257"/>
      <c r="AU715" s="257"/>
      <c r="AV715" s="257"/>
      <c r="AW715" s="257"/>
      <c r="AX715" s="258"/>
      <c r="AY715" s="260"/>
      <c r="AZ715" s="257"/>
      <c r="BA715" s="257"/>
      <c r="BB715" s="257"/>
      <c r="BC715" s="257"/>
      <c r="BD715" s="258"/>
      <c r="BE715" s="260"/>
      <c r="BF715" s="258"/>
      <c r="BG715" s="260"/>
      <c r="BH715" s="257"/>
      <c r="BI715" s="14"/>
    </row>
    <row r="716" spans="1:61" ht="13.15" x14ac:dyDescent="0.4">
      <c r="A716" s="248"/>
      <c r="B716" s="256"/>
      <c r="C716" s="248"/>
      <c r="D716" s="248"/>
      <c r="E716" s="248"/>
      <c r="F716" s="250"/>
      <c r="G716" s="248"/>
      <c r="H716" s="32"/>
      <c r="I716" s="248"/>
      <c r="J716" s="248"/>
      <c r="K716" s="251"/>
      <c r="L716" s="238"/>
      <c r="M716" s="248"/>
      <c r="N716" s="248"/>
      <c r="O716" s="248"/>
      <c r="P716" s="250"/>
      <c r="Q716" s="252"/>
      <c r="R716" s="248"/>
      <c r="S716" s="248"/>
      <c r="T716" s="248"/>
      <c r="U716" s="248"/>
      <c r="V716" s="248"/>
      <c r="W716" s="248"/>
      <c r="X716" s="248"/>
      <c r="Y716" s="248"/>
      <c r="Z716" s="253"/>
      <c r="AA716" s="253"/>
      <c r="AB716" s="253"/>
      <c r="AC716" s="253"/>
      <c r="AD716" s="253"/>
      <c r="AE716" s="253"/>
      <c r="AF716" s="254"/>
      <c r="AG716" s="257"/>
      <c r="AH716" s="257"/>
      <c r="AI716" s="257"/>
      <c r="AJ716" s="258"/>
      <c r="AK716" s="259"/>
      <c r="AL716" s="257"/>
      <c r="AM716" s="257"/>
      <c r="AN716" s="257"/>
      <c r="AO716" s="257"/>
      <c r="AP716" s="257"/>
      <c r="AQ716" s="258"/>
      <c r="AR716" s="260"/>
      <c r="AS716" s="257"/>
      <c r="AT716" s="257"/>
      <c r="AU716" s="257"/>
      <c r="AV716" s="257"/>
      <c r="AW716" s="257"/>
      <c r="AX716" s="258"/>
      <c r="AY716" s="260"/>
      <c r="AZ716" s="257"/>
      <c r="BA716" s="257"/>
      <c r="BB716" s="257"/>
      <c r="BC716" s="257"/>
      <c r="BD716" s="258"/>
      <c r="BE716" s="260"/>
      <c r="BF716" s="258"/>
      <c r="BG716" s="260"/>
      <c r="BH716" s="257"/>
      <c r="BI716" s="14"/>
    </row>
    <row r="717" spans="1:61" ht="13.15" x14ac:dyDescent="0.4">
      <c r="A717" s="248"/>
      <c r="B717" s="256"/>
      <c r="C717" s="248"/>
      <c r="D717" s="248"/>
      <c r="E717" s="248"/>
      <c r="F717" s="250"/>
      <c r="G717" s="248"/>
      <c r="H717" s="32"/>
      <c r="I717" s="248"/>
      <c r="J717" s="248"/>
      <c r="K717" s="251"/>
      <c r="L717" s="238"/>
      <c r="M717" s="248"/>
      <c r="N717" s="248"/>
      <c r="O717" s="248"/>
      <c r="P717" s="250"/>
      <c r="Q717" s="252"/>
      <c r="R717" s="248"/>
      <c r="S717" s="248"/>
      <c r="T717" s="248"/>
      <c r="U717" s="248"/>
      <c r="V717" s="248"/>
      <c r="W717" s="248"/>
      <c r="X717" s="248"/>
      <c r="Y717" s="248"/>
      <c r="Z717" s="253"/>
      <c r="AA717" s="253"/>
      <c r="AB717" s="253"/>
      <c r="AC717" s="253"/>
      <c r="AD717" s="253"/>
      <c r="AE717" s="253"/>
      <c r="AF717" s="254"/>
      <c r="AG717" s="257"/>
      <c r="AH717" s="257"/>
      <c r="AI717" s="257"/>
      <c r="AJ717" s="258"/>
      <c r="AK717" s="259"/>
      <c r="AL717" s="257"/>
      <c r="AM717" s="257"/>
      <c r="AN717" s="257"/>
      <c r="AO717" s="257"/>
      <c r="AP717" s="257"/>
      <c r="AQ717" s="258"/>
      <c r="AR717" s="260"/>
      <c r="AS717" s="257"/>
      <c r="AT717" s="257"/>
      <c r="AU717" s="257"/>
      <c r="AV717" s="257"/>
      <c r="AW717" s="257"/>
      <c r="AX717" s="258"/>
      <c r="AY717" s="260"/>
      <c r="AZ717" s="257"/>
      <c r="BA717" s="257"/>
      <c r="BB717" s="257"/>
      <c r="BC717" s="257"/>
      <c r="BD717" s="258"/>
      <c r="BE717" s="260"/>
      <c r="BF717" s="258"/>
      <c r="BG717" s="260"/>
      <c r="BH717" s="257"/>
      <c r="BI717" s="14"/>
    </row>
    <row r="718" spans="1:61" ht="13.15" x14ac:dyDescent="0.4">
      <c r="A718" s="248"/>
      <c r="B718" s="256"/>
      <c r="C718" s="248"/>
      <c r="D718" s="248"/>
      <c r="E718" s="248"/>
      <c r="F718" s="250"/>
      <c r="G718" s="248"/>
      <c r="H718" s="32"/>
      <c r="I718" s="248"/>
      <c r="J718" s="248"/>
      <c r="K718" s="251"/>
      <c r="L718" s="238"/>
      <c r="M718" s="248"/>
      <c r="N718" s="248"/>
      <c r="O718" s="248"/>
      <c r="P718" s="250"/>
      <c r="Q718" s="252"/>
      <c r="R718" s="248"/>
      <c r="S718" s="248"/>
      <c r="T718" s="248"/>
      <c r="U718" s="248"/>
      <c r="V718" s="248"/>
      <c r="W718" s="248"/>
      <c r="X718" s="248"/>
      <c r="Y718" s="248"/>
      <c r="Z718" s="253"/>
      <c r="AA718" s="253"/>
      <c r="AB718" s="253"/>
      <c r="AC718" s="253"/>
      <c r="AD718" s="253"/>
      <c r="AE718" s="253"/>
      <c r="AF718" s="254"/>
      <c r="AG718" s="257"/>
      <c r="AH718" s="257"/>
      <c r="AI718" s="257"/>
      <c r="AJ718" s="258"/>
      <c r="AK718" s="259"/>
      <c r="AL718" s="257"/>
      <c r="AM718" s="257"/>
      <c r="AN718" s="257"/>
      <c r="AO718" s="257"/>
      <c r="AP718" s="257"/>
      <c r="AQ718" s="258"/>
      <c r="AR718" s="260"/>
      <c r="AS718" s="257"/>
      <c r="AT718" s="257"/>
      <c r="AU718" s="257"/>
      <c r="AV718" s="257"/>
      <c r="AW718" s="257"/>
      <c r="AX718" s="258"/>
      <c r="AY718" s="260"/>
      <c r="AZ718" s="257"/>
      <c r="BA718" s="257"/>
      <c r="BB718" s="257"/>
      <c r="BC718" s="257"/>
      <c r="BD718" s="258"/>
      <c r="BE718" s="260"/>
      <c r="BF718" s="258"/>
      <c r="BG718" s="260"/>
      <c r="BH718" s="257"/>
      <c r="BI718" s="14"/>
    </row>
    <row r="719" spans="1:61" ht="13.15" x14ac:dyDescent="0.4">
      <c r="A719" s="248"/>
      <c r="B719" s="256"/>
      <c r="C719" s="248"/>
      <c r="D719" s="248"/>
      <c r="E719" s="248"/>
      <c r="F719" s="250"/>
      <c r="G719" s="248"/>
      <c r="H719" s="32"/>
      <c r="I719" s="248"/>
      <c r="J719" s="248"/>
      <c r="K719" s="251"/>
      <c r="L719" s="238"/>
      <c r="M719" s="248"/>
      <c r="N719" s="248"/>
      <c r="O719" s="248"/>
      <c r="P719" s="250"/>
      <c r="Q719" s="252"/>
      <c r="R719" s="248"/>
      <c r="S719" s="248"/>
      <c r="T719" s="248"/>
      <c r="U719" s="248"/>
      <c r="V719" s="248"/>
      <c r="W719" s="248"/>
      <c r="X719" s="248"/>
      <c r="Y719" s="248"/>
      <c r="Z719" s="253"/>
      <c r="AA719" s="253"/>
      <c r="AB719" s="253"/>
      <c r="AC719" s="253"/>
      <c r="AD719" s="253"/>
      <c r="AE719" s="253"/>
      <c r="AF719" s="254"/>
      <c r="AG719" s="257"/>
      <c r="AH719" s="257"/>
      <c r="AI719" s="257"/>
      <c r="AJ719" s="258"/>
      <c r="AK719" s="259"/>
      <c r="AL719" s="257"/>
      <c r="AM719" s="257"/>
      <c r="AN719" s="257"/>
      <c r="AO719" s="257"/>
      <c r="AP719" s="257"/>
      <c r="AQ719" s="258"/>
      <c r="AR719" s="260"/>
      <c r="AS719" s="257"/>
      <c r="AT719" s="257"/>
      <c r="AU719" s="257"/>
      <c r="AV719" s="257"/>
      <c r="AW719" s="257"/>
      <c r="AX719" s="258"/>
      <c r="AY719" s="260"/>
      <c r="AZ719" s="257"/>
      <c r="BA719" s="257"/>
      <c r="BB719" s="257"/>
      <c r="BC719" s="257"/>
      <c r="BD719" s="258"/>
      <c r="BE719" s="260"/>
      <c r="BF719" s="258"/>
      <c r="BG719" s="260"/>
      <c r="BH719" s="257"/>
      <c r="BI719" s="14"/>
    </row>
    <row r="720" spans="1:61" ht="13.15" x14ac:dyDescent="0.4">
      <c r="A720" s="248"/>
      <c r="B720" s="256"/>
      <c r="C720" s="248"/>
      <c r="D720" s="248"/>
      <c r="E720" s="248"/>
      <c r="F720" s="250"/>
      <c r="G720" s="248"/>
      <c r="H720" s="32"/>
      <c r="I720" s="248"/>
      <c r="J720" s="248"/>
      <c r="K720" s="251"/>
      <c r="L720" s="238"/>
      <c r="M720" s="248"/>
      <c r="N720" s="248"/>
      <c r="O720" s="248"/>
      <c r="P720" s="250"/>
      <c r="Q720" s="252"/>
      <c r="R720" s="248"/>
      <c r="S720" s="248"/>
      <c r="T720" s="248"/>
      <c r="U720" s="248"/>
      <c r="V720" s="248"/>
      <c r="W720" s="248"/>
      <c r="X720" s="248"/>
      <c r="Y720" s="248"/>
      <c r="Z720" s="253"/>
      <c r="AA720" s="253"/>
      <c r="AB720" s="253"/>
      <c r="AC720" s="253"/>
      <c r="AD720" s="253"/>
      <c r="AE720" s="253"/>
      <c r="AF720" s="254"/>
      <c r="AG720" s="257"/>
      <c r="AH720" s="257"/>
      <c r="AI720" s="257"/>
      <c r="AJ720" s="258"/>
      <c r="AK720" s="259"/>
      <c r="AL720" s="257"/>
      <c r="AM720" s="257"/>
      <c r="AN720" s="257"/>
      <c r="AO720" s="257"/>
      <c r="AP720" s="257"/>
      <c r="AQ720" s="258"/>
      <c r="AR720" s="260"/>
      <c r="AS720" s="257"/>
      <c r="AT720" s="257"/>
      <c r="AU720" s="257"/>
      <c r="AV720" s="257"/>
      <c r="AW720" s="257"/>
      <c r="AX720" s="258"/>
      <c r="AY720" s="260"/>
      <c r="AZ720" s="257"/>
      <c r="BA720" s="257"/>
      <c r="BB720" s="257"/>
      <c r="BC720" s="257"/>
      <c r="BD720" s="258"/>
      <c r="BE720" s="260"/>
      <c r="BF720" s="258"/>
      <c r="BG720" s="260"/>
      <c r="BH720" s="257"/>
      <c r="BI720" s="14"/>
    </row>
    <row r="721" spans="1:61" ht="13.15" x14ac:dyDescent="0.4">
      <c r="A721" s="248"/>
      <c r="B721" s="256"/>
      <c r="C721" s="248"/>
      <c r="D721" s="248"/>
      <c r="E721" s="248"/>
      <c r="F721" s="250"/>
      <c r="G721" s="248"/>
      <c r="H721" s="32"/>
      <c r="I721" s="248"/>
      <c r="J721" s="248"/>
      <c r="K721" s="251"/>
      <c r="L721" s="238"/>
      <c r="M721" s="248"/>
      <c r="N721" s="248"/>
      <c r="O721" s="248"/>
      <c r="P721" s="250"/>
      <c r="Q721" s="252"/>
      <c r="R721" s="248"/>
      <c r="S721" s="248"/>
      <c r="T721" s="248"/>
      <c r="U721" s="248"/>
      <c r="V721" s="248"/>
      <c r="W721" s="248"/>
      <c r="X721" s="248"/>
      <c r="Y721" s="248"/>
      <c r="Z721" s="253"/>
      <c r="AA721" s="253"/>
      <c r="AB721" s="253"/>
      <c r="AC721" s="253"/>
      <c r="AD721" s="253"/>
      <c r="AE721" s="253"/>
      <c r="AF721" s="254"/>
      <c r="AG721" s="257"/>
      <c r="AH721" s="257"/>
      <c r="AI721" s="257"/>
      <c r="AJ721" s="258"/>
      <c r="AK721" s="259"/>
      <c r="AL721" s="257"/>
      <c r="AM721" s="257"/>
      <c r="AN721" s="257"/>
      <c r="AO721" s="257"/>
      <c r="AP721" s="257"/>
      <c r="AQ721" s="258"/>
      <c r="AR721" s="260"/>
      <c r="AS721" s="257"/>
      <c r="AT721" s="257"/>
      <c r="AU721" s="257"/>
      <c r="AV721" s="257"/>
      <c r="AW721" s="257"/>
      <c r="AX721" s="258"/>
      <c r="AY721" s="260"/>
      <c r="AZ721" s="257"/>
      <c r="BA721" s="257"/>
      <c r="BB721" s="257"/>
      <c r="BC721" s="257"/>
      <c r="BD721" s="258"/>
      <c r="BE721" s="260"/>
      <c r="BF721" s="258"/>
      <c r="BG721" s="260"/>
      <c r="BH721" s="257"/>
      <c r="BI721" s="14"/>
    </row>
    <row r="722" spans="1:61" ht="13.15" x14ac:dyDescent="0.4">
      <c r="A722" s="248"/>
      <c r="B722" s="256"/>
      <c r="C722" s="248"/>
      <c r="D722" s="248"/>
      <c r="E722" s="248"/>
      <c r="F722" s="250"/>
      <c r="G722" s="248"/>
      <c r="H722" s="32"/>
      <c r="I722" s="248"/>
      <c r="J722" s="248"/>
      <c r="K722" s="251"/>
      <c r="L722" s="238"/>
      <c r="M722" s="248"/>
      <c r="N722" s="248"/>
      <c r="O722" s="248"/>
      <c r="P722" s="250"/>
      <c r="Q722" s="252"/>
      <c r="R722" s="248"/>
      <c r="S722" s="248"/>
      <c r="T722" s="248"/>
      <c r="U722" s="248"/>
      <c r="V722" s="248"/>
      <c r="W722" s="248"/>
      <c r="X722" s="248"/>
      <c r="Y722" s="248"/>
      <c r="Z722" s="253"/>
      <c r="AA722" s="253"/>
      <c r="AB722" s="253"/>
      <c r="AC722" s="253"/>
      <c r="AD722" s="253"/>
      <c r="AE722" s="253"/>
      <c r="AF722" s="254"/>
      <c r="AG722" s="257"/>
      <c r="AH722" s="257"/>
      <c r="AI722" s="257"/>
      <c r="AJ722" s="258"/>
      <c r="AK722" s="259"/>
      <c r="AL722" s="257"/>
      <c r="AM722" s="257"/>
      <c r="AN722" s="257"/>
      <c r="AO722" s="257"/>
      <c r="AP722" s="257"/>
      <c r="AQ722" s="258"/>
      <c r="AR722" s="260"/>
      <c r="AS722" s="257"/>
      <c r="AT722" s="257"/>
      <c r="AU722" s="257"/>
      <c r="AV722" s="257"/>
      <c r="AW722" s="257"/>
      <c r="AX722" s="258"/>
      <c r="AY722" s="260"/>
      <c r="AZ722" s="257"/>
      <c r="BA722" s="257"/>
      <c r="BB722" s="257"/>
      <c r="BC722" s="257"/>
      <c r="BD722" s="258"/>
      <c r="BE722" s="260"/>
      <c r="BF722" s="258"/>
      <c r="BG722" s="260"/>
      <c r="BH722" s="257"/>
      <c r="BI722" s="14"/>
    </row>
    <row r="723" spans="1:61" ht="13.15" x14ac:dyDescent="0.4">
      <c r="A723" s="248"/>
      <c r="B723" s="256"/>
      <c r="C723" s="248"/>
      <c r="D723" s="248"/>
      <c r="E723" s="248"/>
      <c r="F723" s="250"/>
      <c r="G723" s="248"/>
      <c r="H723" s="32"/>
      <c r="I723" s="248"/>
      <c r="J723" s="248"/>
      <c r="K723" s="251"/>
      <c r="L723" s="238"/>
      <c r="M723" s="248"/>
      <c r="N723" s="248"/>
      <c r="O723" s="248"/>
      <c r="P723" s="250"/>
      <c r="Q723" s="252"/>
      <c r="R723" s="248"/>
      <c r="S723" s="248"/>
      <c r="T723" s="248"/>
      <c r="U723" s="248"/>
      <c r="V723" s="248"/>
      <c r="W723" s="248"/>
      <c r="X723" s="248"/>
      <c r="Y723" s="248"/>
      <c r="Z723" s="253"/>
      <c r="AA723" s="253"/>
      <c r="AB723" s="253"/>
      <c r="AC723" s="253"/>
      <c r="AD723" s="253"/>
      <c r="AE723" s="253"/>
      <c r="AF723" s="254"/>
      <c r="AG723" s="257"/>
      <c r="AH723" s="257"/>
      <c r="AI723" s="257"/>
      <c r="AJ723" s="258"/>
      <c r="AK723" s="259"/>
      <c r="AL723" s="257"/>
      <c r="AM723" s="257"/>
      <c r="AN723" s="257"/>
      <c r="AO723" s="257"/>
      <c r="AP723" s="257"/>
      <c r="AQ723" s="258"/>
      <c r="AR723" s="260"/>
      <c r="AS723" s="257"/>
      <c r="AT723" s="257"/>
      <c r="AU723" s="257"/>
      <c r="AV723" s="257"/>
      <c r="AW723" s="257"/>
      <c r="AX723" s="258"/>
      <c r="AY723" s="260"/>
      <c r="AZ723" s="257"/>
      <c r="BA723" s="257"/>
      <c r="BB723" s="257"/>
      <c r="BC723" s="257"/>
      <c r="BD723" s="258"/>
      <c r="BE723" s="260"/>
      <c r="BF723" s="258"/>
      <c r="BG723" s="260"/>
      <c r="BH723" s="257"/>
      <c r="BI723" s="14"/>
    </row>
    <row r="724" spans="1:61" ht="13.15" x14ac:dyDescent="0.4">
      <c r="A724" s="248"/>
      <c r="B724" s="256"/>
      <c r="C724" s="248"/>
      <c r="D724" s="248"/>
      <c r="E724" s="248"/>
      <c r="F724" s="250"/>
      <c r="G724" s="248"/>
      <c r="H724" s="32"/>
      <c r="I724" s="248"/>
      <c r="J724" s="248"/>
      <c r="K724" s="251"/>
      <c r="L724" s="238"/>
      <c r="M724" s="248"/>
      <c r="N724" s="248"/>
      <c r="O724" s="248"/>
      <c r="P724" s="250"/>
      <c r="Q724" s="252"/>
      <c r="R724" s="248"/>
      <c r="S724" s="248"/>
      <c r="T724" s="248"/>
      <c r="U724" s="248"/>
      <c r="V724" s="248"/>
      <c r="W724" s="248"/>
      <c r="X724" s="248"/>
      <c r="Y724" s="248"/>
      <c r="Z724" s="253"/>
      <c r="AA724" s="253"/>
      <c r="AB724" s="253"/>
      <c r="AC724" s="253"/>
      <c r="AD724" s="253"/>
      <c r="AE724" s="253"/>
      <c r="AF724" s="254"/>
      <c r="AG724" s="257"/>
      <c r="AH724" s="257"/>
      <c r="AI724" s="257"/>
      <c r="AJ724" s="258"/>
      <c r="AK724" s="259"/>
      <c r="AL724" s="257"/>
      <c r="AM724" s="257"/>
      <c r="AN724" s="257"/>
      <c r="AO724" s="257"/>
      <c r="AP724" s="257"/>
      <c r="AQ724" s="258"/>
      <c r="AR724" s="260"/>
      <c r="AS724" s="257"/>
      <c r="AT724" s="257"/>
      <c r="AU724" s="257"/>
      <c r="AV724" s="257"/>
      <c r="AW724" s="257"/>
      <c r="AX724" s="258"/>
      <c r="AY724" s="260"/>
      <c r="AZ724" s="257"/>
      <c r="BA724" s="257"/>
      <c r="BB724" s="257"/>
      <c r="BC724" s="257"/>
      <c r="BD724" s="258"/>
      <c r="BE724" s="260"/>
      <c r="BF724" s="258"/>
      <c r="BG724" s="260"/>
      <c r="BH724" s="257"/>
      <c r="BI724" s="14"/>
    </row>
    <row r="725" spans="1:61" ht="13.15" x14ac:dyDescent="0.4">
      <c r="A725" s="248"/>
      <c r="B725" s="256"/>
      <c r="C725" s="248"/>
      <c r="D725" s="248"/>
      <c r="E725" s="248"/>
      <c r="F725" s="250"/>
      <c r="G725" s="248"/>
      <c r="H725" s="32"/>
      <c r="I725" s="248"/>
      <c r="J725" s="248"/>
      <c r="K725" s="251"/>
      <c r="L725" s="238"/>
      <c r="M725" s="248"/>
      <c r="N725" s="248"/>
      <c r="O725" s="248"/>
      <c r="P725" s="250"/>
      <c r="Q725" s="252"/>
      <c r="R725" s="248"/>
      <c r="S725" s="248"/>
      <c r="T725" s="248"/>
      <c r="U725" s="248"/>
      <c r="V725" s="248"/>
      <c r="W725" s="248"/>
      <c r="X725" s="248"/>
      <c r="Y725" s="248"/>
      <c r="Z725" s="253"/>
      <c r="AA725" s="253"/>
      <c r="AB725" s="253"/>
      <c r="AC725" s="253"/>
      <c r="AD725" s="253"/>
      <c r="AE725" s="253"/>
      <c r="AF725" s="254"/>
      <c r="AG725" s="257"/>
      <c r="AH725" s="257"/>
      <c r="AI725" s="257"/>
      <c r="AJ725" s="258"/>
      <c r="AK725" s="259"/>
      <c r="AL725" s="257"/>
      <c r="AM725" s="257"/>
      <c r="AN725" s="257"/>
      <c r="AO725" s="257"/>
      <c r="AP725" s="257"/>
      <c r="AQ725" s="258"/>
      <c r="AR725" s="260"/>
      <c r="AS725" s="257"/>
      <c r="AT725" s="257"/>
      <c r="AU725" s="257"/>
      <c r="AV725" s="257"/>
      <c r="AW725" s="257"/>
      <c r="AX725" s="258"/>
      <c r="AY725" s="260"/>
      <c r="AZ725" s="257"/>
      <c r="BA725" s="257"/>
      <c r="BB725" s="257"/>
      <c r="BC725" s="257"/>
      <c r="BD725" s="258"/>
      <c r="BE725" s="260"/>
      <c r="BF725" s="258"/>
      <c r="BG725" s="260"/>
      <c r="BH725" s="257"/>
      <c r="BI725" s="14"/>
    </row>
    <row r="726" spans="1:61" ht="13.15" x14ac:dyDescent="0.4">
      <c r="A726" s="248"/>
      <c r="B726" s="256"/>
      <c r="C726" s="248"/>
      <c r="D726" s="248"/>
      <c r="E726" s="248"/>
      <c r="F726" s="250"/>
      <c r="G726" s="248"/>
      <c r="H726" s="32"/>
      <c r="I726" s="248"/>
      <c r="J726" s="248"/>
      <c r="K726" s="251"/>
      <c r="L726" s="238"/>
      <c r="M726" s="248"/>
      <c r="N726" s="248"/>
      <c r="O726" s="248"/>
      <c r="P726" s="250"/>
      <c r="Q726" s="252"/>
      <c r="R726" s="248"/>
      <c r="S726" s="248"/>
      <c r="T726" s="248"/>
      <c r="U726" s="248"/>
      <c r="V726" s="248"/>
      <c r="W726" s="248"/>
      <c r="X726" s="248"/>
      <c r="Y726" s="248"/>
      <c r="Z726" s="253"/>
      <c r="AA726" s="253"/>
      <c r="AB726" s="253"/>
      <c r="AC726" s="253"/>
      <c r="AD726" s="253"/>
      <c r="AE726" s="253"/>
      <c r="AF726" s="254"/>
      <c r="AG726" s="257"/>
      <c r="AH726" s="257"/>
      <c r="AI726" s="257"/>
      <c r="AJ726" s="258"/>
      <c r="AK726" s="259"/>
      <c r="AL726" s="257"/>
      <c r="AM726" s="257"/>
      <c r="AN726" s="257"/>
      <c r="AO726" s="257"/>
      <c r="AP726" s="257"/>
      <c r="AQ726" s="258"/>
      <c r="AR726" s="260"/>
      <c r="AS726" s="257"/>
      <c r="AT726" s="257"/>
      <c r="AU726" s="257"/>
      <c r="AV726" s="257"/>
      <c r="AW726" s="257"/>
      <c r="AX726" s="258"/>
      <c r="AY726" s="260"/>
      <c r="AZ726" s="257"/>
      <c r="BA726" s="257"/>
      <c r="BB726" s="257"/>
      <c r="BC726" s="257"/>
      <c r="BD726" s="258"/>
      <c r="BE726" s="260"/>
      <c r="BF726" s="258"/>
      <c r="BG726" s="260"/>
      <c r="BH726" s="257"/>
      <c r="BI726" s="14"/>
    </row>
    <row r="727" spans="1:61" ht="13.15" x14ac:dyDescent="0.4">
      <c r="A727" s="248"/>
      <c r="B727" s="256"/>
      <c r="C727" s="248"/>
      <c r="D727" s="248"/>
      <c r="E727" s="248"/>
      <c r="F727" s="250"/>
      <c r="G727" s="248"/>
      <c r="H727" s="32"/>
      <c r="I727" s="248"/>
      <c r="J727" s="248"/>
      <c r="K727" s="251"/>
      <c r="L727" s="238"/>
      <c r="M727" s="248"/>
      <c r="N727" s="248"/>
      <c r="O727" s="248"/>
      <c r="P727" s="250"/>
      <c r="Q727" s="252"/>
      <c r="R727" s="248"/>
      <c r="S727" s="248"/>
      <c r="T727" s="248"/>
      <c r="U727" s="248"/>
      <c r="V727" s="248"/>
      <c r="W727" s="248"/>
      <c r="X727" s="248"/>
      <c r="Y727" s="248"/>
      <c r="Z727" s="253"/>
      <c r="AA727" s="253"/>
      <c r="AB727" s="253"/>
      <c r="AC727" s="253"/>
      <c r="AD727" s="253"/>
      <c r="AE727" s="253"/>
      <c r="AF727" s="254"/>
      <c r="AG727" s="257"/>
      <c r="AH727" s="257"/>
      <c r="AI727" s="257"/>
      <c r="AJ727" s="258"/>
      <c r="AK727" s="259"/>
      <c r="AL727" s="257"/>
      <c r="AM727" s="257"/>
      <c r="AN727" s="257"/>
      <c r="AO727" s="257"/>
      <c r="AP727" s="257"/>
      <c r="AQ727" s="258"/>
      <c r="AR727" s="260"/>
      <c r="AS727" s="257"/>
      <c r="AT727" s="257"/>
      <c r="AU727" s="257"/>
      <c r="AV727" s="257"/>
      <c r="AW727" s="257"/>
      <c r="AX727" s="258"/>
      <c r="AY727" s="260"/>
      <c r="AZ727" s="257"/>
      <c r="BA727" s="257"/>
      <c r="BB727" s="257"/>
      <c r="BC727" s="257"/>
      <c r="BD727" s="258"/>
      <c r="BE727" s="260"/>
      <c r="BF727" s="258"/>
      <c r="BG727" s="260"/>
      <c r="BH727" s="257"/>
      <c r="BI727" s="14"/>
    </row>
    <row r="728" spans="1:61" ht="13.15" x14ac:dyDescent="0.4">
      <c r="A728" s="248"/>
      <c r="B728" s="256"/>
      <c r="C728" s="248"/>
      <c r="D728" s="248"/>
      <c r="E728" s="248"/>
      <c r="F728" s="250"/>
      <c r="G728" s="248"/>
      <c r="H728" s="32"/>
      <c r="I728" s="248"/>
      <c r="J728" s="248"/>
      <c r="K728" s="251"/>
      <c r="L728" s="238"/>
      <c r="M728" s="248"/>
      <c r="N728" s="248"/>
      <c r="O728" s="248"/>
      <c r="P728" s="250"/>
      <c r="Q728" s="252"/>
      <c r="R728" s="248"/>
      <c r="S728" s="248"/>
      <c r="T728" s="248"/>
      <c r="U728" s="248"/>
      <c r="V728" s="248"/>
      <c r="W728" s="248"/>
      <c r="X728" s="248"/>
      <c r="Y728" s="248"/>
      <c r="Z728" s="253"/>
      <c r="AA728" s="253"/>
      <c r="AB728" s="253"/>
      <c r="AC728" s="253"/>
      <c r="AD728" s="253"/>
      <c r="AE728" s="253"/>
      <c r="AF728" s="254"/>
      <c r="AG728" s="257"/>
      <c r="AH728" s="257"/>
      <c r="AI728" s="257"/>
      <c r="AJ728" s="258"/>
      <c r="AK728" s="259"/>
      <c r="AL728" s="257"/>
      <c r="AM728" s="257"/>
      <c r="AN728" s="257"/>
      <c r="AO728" s="257"/>
      <c r="AP728" s="257"/>
      <c r="AQ728" s="258"/>
      <c r="AR728" s="260"/>
      <c r="AS728" s="257"/>
      <c r="AT728" s="257"/>
      <c r="AU728" s="257"/>
      <c r="AV728" s="257"/>
      <c r="AW728" s="257"/>
      <c r="AX728" s="258"/>
      <c r="AY728" s="260"/>
      <c r="AZ728" s="257"/>
      <c r="BA728" s="257"/>
      <c r="BB728" s="257"/>
      <c r="BC728" s="257"/>
      <c r="BD728" s="258"/>
      <c r="BE728" s="260"/>
      <c r="BF728" s="258"/>
      <c r="BG728" s="260"/>
      <c r="BH728" s="257"/>
      <c r="BI728" s="14"/>
    </row>
    <row r="729" spans="1:61" ht="13.15" x14ac:dyDescent="0.4">
      <c r="A729" s="248"/>
      <c r="B729" s="256"/>
      <c r="C729" s="248"/>
      <c r="D729" s="248"/>
      <c r="E729" s="248"/>
      <c r="F729" s="250"/>
      <c r="G729" s="248"/>
      <c r="H729" s="32"/>
      <c r="I729" s="248"/>
      <c r="J729" s="248"/>
      <c r="K729" s="251"/>
      <c r="L729" s="238"/>
      <c r="M729" s="248"/>
      <c r="N729" s="248"/>
      <c r="O729" s="248"/>
      <c r="P729" s="250"/>
      <c r="Q729" s="252"/>
      <c r="R729" s="248"/>
      <c r="S729" s="248"/>
      <c r="T729" s="248"/>
      <c r="U729" s="248"/>
      <c r="V729" s="248"/>
      <c r="W729" s="248"/>
      <c r="X729" s="248"/>
      <c r="Y729" s="248"/>
      <c r="Z729" s="253"/>
      <c r="AA729" s="253"/>
      <c r="AB729" s="253"/>
      <c r="AC729" s="253"/>
      <c r="AD729" s="253"/>
      <c r="AE729" s="253"/>
      <c r="AF729" s="254"/>
      <c r="AG729" s="257"/>
      <c r="AH729" s="257"/>
      <c r="AI729" s="257"/>
      <c r="AJ729" s="258"/>
      <c r="AK729" s="259"/>
      <c r="AL729" s="257"/>
      <c r="AM729" s="257"/>
      <c r="AN729" s="257"/>
      <c r="AO729" s="257"/>
      <c r="AP729" s="257"/>
      <c r="AQ729" s="258"/>
      <c r="AR729" s="260"/>
      <c r="AS729" s="257"/>
      <c r="AT729" s="257"/>
      <c r="AU729" s="257"/>
      <c r="AV729" s="257"/>
      <c r="AW729" s="257"/>
      <c r="AX729" s="258"/>
      <c r="AY729" s="260"/>
      <c r="AZ729" s="257"/>
      <c r="BA729" s="257"/>
      <c r="BB729" s="257"/>
      <c r="BC729" s="257"/>
      <c r="BD729" s="258"/>
      <c r="BE729" s="260"/>
      <c r="BF729" s="258"/>
      <c r="BG729" s="260"/>
      <c r="BH729" s="257"/>
      <c r="BI729" s="14"/>
    </row>
    <row r="730" spans="1:61" ht="13.15" x14ac:dyDescent="0.4">
      <c r="A730" s="248"/>
      <c r="B730" s="256"/>
      <c r="C730" s="248"/>
      <c r="D730" s="248"/>
      <c r="E730" s="248"/>
      <c r="F730" s="250"/>
      <c r="G730" s="248"/>
      <c r="H730" s="32"/>
      <c r="I730" s="248"/>
      <c r="J730" s="248"/>
      <c r="K730" s="251"/>
      <c r="L730" s="238"/>
      <c r="M730" s="248"/>
      <c r="N730" s="248"/>
      <c r="O730" s="248"/>
      <c r="P730" s="250"/>
      <c r="Q730" s="252"/>
      <c r="R730" s="248"/>
      <c r="S730" s="248"/>
      <c r="T730" s="248"/>
      <c r="U730" s="248"/>
      <c r="V730" s="248"/>
      <c r="W730" s="248"/>
      <c r="X730" s="248"/>
      <c r="Y730" s="248"/>
      <c r="Z730" s="253"/>
      <c r="AA730" s="253"/>
      <c r="AB730" s="253"/>
      <c r="AC730" s="253"/>
      <c r="AD730" s="253"/>
      <c r="AE730" s="253"/>
      <c r="AF730" s="254"/>
      <c r="AG730" s="257"/>
      <c r="AH730" s="257"/>
      <c r="AI730" s="257"/>
      <c r="AJ730" s="258"/>
      <c r="AK730" s="259"/>
      <c r="AL730" s="257"/>
      <c r="AM730" s="257"/>
      <c r="AN730" s="257"/>
      <c r="AO730" s="257"/>
      <c r="AP730" s="257"/>
      <c r="AQ730" s="258"/>
      <c r="AR730" s="260"/>
      <c r="AS730" s="257"/>
      <c r="AT730" s="257"/>
      <c r="AU730" s="257"/>
      <c r="AV730" s="257"/>
      <c r="AW730" s="257"/>
      <c r="AX730" s="258"/>
      <c r="AY730" s="260"/>
      <c r="AZ730" s="257"/>
      <c r="BA730" s="257"/>
      <c r="BB730" s="257"/>
      <c r="BC730" s="257"/>
      <c r="BD730" s="258"/>
      <c r="BE730" s="260"/>
      <c r="BF730" s="258"/>
      <c r="BG730" s="260"/>
      <c r="BH730" s="257"/>
      <c r="BI730" s="14"/>
    </row>
    <row r="731" spans="1:61" ht="13.15" x14ac:dyDescent="0.4">
      <c r="A731" s="248"/>
      <c r="B731" s="256"/>
      <c r="C731" s="248"/>
      <c r="D731" s="248"/>
      <c r="E731" s="248"/>
      <c r="F731" s="250"/>
      <c r="G731" s="248"/>
      <c r="H731" s="32"/>
      <c r="I731" s="248"/>
      <c r="J731" s="248"/>
      <c r="K731" s="251"/>
      <c r="L731" s="238"/>
      <c r="M731" s="248"/>
      <c r="N731" s="248"/>
      <c r="O731" s="248"/>
      <c r="P731" s="250"/>
      <c r="Q731" s="252"/>
      <c r="R731" s="248"/>
      <c r="S731" s="248"/>
      <c r="T731" s="248"/>
      <c r="U731" s="248"/>
      <c r="V731" s="248"/>
      <c r="W731" s="248"/>
      <c r="X731" s="248"/>
      <c r="Y731" s="248"/>
      <c r="Z731" s="253"/>
      <c r="AA731" s="253"/>
      <c r="AB731" s="253"/>
      <c r="AC731" s="253"/>
      <c r="AD731" s="253"/>
      <c r="AE731" s="253"/>
      <c r="AF731" s="254"/>
      <c r="AG731" s="257"/>
      <c r="AH731" s="257"/>
      <c r="AI731" s="257"/>
      <c r="AJ731" s="258"/>
      <c r="AK731" s="259"/>
      <c r="AL731" s="257"/>
      <c r="AM731" s="257"/>
      <c r="AN731" s="257"/>
      <c r="AO731" s="257"/>
      <c r="AP731" s="257"/>
      <c r="AQ731" s="258"/>
      <c r="AR731" s="260"/>
      <c r="AS731" s="257"/>
      <c r="AT731" s="257"/>
      <c r="AU731" s="257"/>
      <c r="AV731" s="257"/>
      <c r="AW731" s="257"/>
      <c r="AX731" s="258"/>
      <c r="AY731" s="260"/>
      <c r="AZ731" s="257"/>
      <c r="BA731" s="257"/>
      <c r="BB731" s="257"/>
      <c r="BC731" s="257"/>
      <c r="BD731" s="258"/>
      <c r="BE731" s="260"/>
      <c r="BF731" s="258"/>
      <c r="BG731" s="260"/>
      <c r="BH731" s="257"/>
      <c r="BI731" s="14"/>
    </row>
    <row r="732" spans="1:61" ht="13.15" x14ac:dyDescent="0.4">
      <c r="A732" s="248"/>
      <c r="B732" s="256"/>
      <c r="C732" s="248"/>
      <c r="D732" s="248"/>
      <c r="E732" s="248"/>
      <c r="F732" s="250"/>
      <c r="G732" s="248"/>
      <c r="H732" s="32"/>
      <c r="I732" s="248"/>
      <c r="J732" s="248"/>
      <c r="K732" s="251"/>
      <c r="L732" s="238"/>
      <c r="M732" s="248"/>
      <c r="N732" s="248"/>
      <c r="O732" s="248"/>
      <c r="P732" s="250"/>
      <c r="Q732" s="252"/>
      <c r="R732" s="248"/>
      <c r="S732" s="248"/>
      <c r="T732" s="248"/>
      <c r="U732" s="248"/>
      <c r="V732" s="248"/>
      <c r="W732" s="248"/>
      <c r="X732" s="248"/>
      <c r="Y732" s="248"/>
      <c r="Z732" s="253"/>
      <c r="AA732" s="253"/>
      <c r="AB732" s="253"/>
      <c r="AC732" s="253"/>
      <c r="AD732" s="253"/>
      <c r="AE732" s="253"/>
      <c r="AF732" s="254"/>
      <c r="AG732" s="257"/>
      <c r="AH732" s="257"/>
      <c r="AI732" s="257"/>
      <c r="AJ732" s="258"/>
      <c r="AK732" s="259"/>
      <c r="AL732" s="257"/>
      <c r="AM732" s="257"/>
      <c r="AN732" s="257"/>
      <c r="AO732" s="257"/>
      <c r="AP732" s="257"/>
      <c r="AQ732" s="258"/>
      <c r="AR732" s="260"/>
      <c r="AS732" s="257"/>
      <c r="AT732" s="257"/>
      <c r="AU732" s="257"/>
      <c r="AV732" s="257"/>
      <c r="AW732" s="257"/>
      <c r="AX732" s="258"/>
      <c r="AY732" s="260"/>
      <c r="AZ732" s="257"/>
      <c r="BA732" s="257"/>
      <c r="BB732" s="257"/>
      <c r="BC732" s="257"/>
      <c r="BD732" s="258"/>
      <c r="BE732" s="260"/>
      <c r="BF732" s="258"/>
      <c r="BG732" s="260"/>
      <c r="BH732" s="257"/>
      <c r="BI732" s="14"/>
    </row>
    <row r="733" spans="1:61" ht="13.15" x14ac:dyDescent="0.4">
      <c r="A733" s="248"/>
      <c r="B733" s="256"/>
      <c r="C733" s="248"/>
      <c r="D733" s="248"/>
      <c r="E733" s="248"/>
      <c r="F733" s="250"/>
      <c r="G733" s="248"/>
      <c r="H733" s="32"/>
      <c r="I733" s="248"/>
      <c r="J733" s="248"/>
      <c r="K733" s="251"/>
      <c r="L733" s="238"/>
      <c r="M733" s="248"/>
      <c r="N733" s="248"/>
      <c r="O733" s="248"/>
      <c r="P733" s="250"/>
      <c r="Q733" s="252"/>
      <c r="R733" s="248"/>
      <c r="S733" s="248"/>
      <c r="T733" s="248"/>
      <c r="U733" s="248"/>
      <c r="V733" s="248"/>
      <c r="W733" s="248"/>
      <c r="X733" s="248"/>
      <c r="Y733" s="248"/>
      <c r="Z733" s="253"/>
      <c r="AA733" s="253"/>
      <c r="AB733" s="253"/>
      <c r="AC733" s="253"/>
      <c r="AD733" s="253"/>
      <c r="AE733" s="253"/>
      <c r="AF733" s="254"/>
      <c r="AG733" s="257"/>
      <c r="AH733" s="257"/>
      <c r="AI733" s="257"/>
      <c r="AJ733" s="258"/>
      <c r="AK733" s="259"/>
      <c r="AL733" s="257"/>
      <c r="AM733" s="257"/>
      <c r="AN733" s="257"/>
      <c r="AO733" s="257"/>
      <c r="AP733" s="257"/>
      <c r="AQ733" s="258"/>
      <c r="AR733" s="260"/>
      <c r="AS733" s="257"/>
      <c r="AT733" s="257"/>
      <c r="AU733" s="257"/>
      <c r="AV733" s="257"/>
      <c r="AW733" s="257"/>
      <c r="AX733" s="258"/>
      <c r="AY733" s="260"/>
      <c r="AZ733" s="257"/>
      <c r="BA733" s="257"/>
      <c r="BB733" s="257"/>
      <c r="BC733" s="257"/>
      <c r="BD733" s="258"/>
      <c r="BE733" s="260"/>
      <c r="BF733" s="258"/>
      <c r="BG733" s="260"/>
      <c r="BH733" s="257"/>
      <c r="BI733" s="14"/>
    </row>
    <row r="734" spans="1:61" ht="13.15" x14ac:dyDescent="0.4">
      <c r="A734" s="248"/>
      <c r="B734" s="256"/>
      <c r="C734" s="248"/>
      <c r="D734" s="248"/>
      <c r="E734" s="248"/>
      <c r="F734" s="250"/>
      <c r="G734" s="248"/>
      <c r="H734" s="32"/>
      <c r="I734" s="248"/>
      <c r="J734" s="248"/>
      <c r="K734" s="251"/>
      <c r="L734" s="238"/>
      <c r="M734" s="248"/>
      <c r="N734" s="248"/>
      <c r="O734" s="248"/>
      <c r="P734" s="250"/>
      <c r="Q734" s="252"/>
      <c r="R734" s="248"/>
      <c r="S734" s="248"/>
      <c r="T734" s="248"/>
      <c r="U734" s="248"/>
      <c r="V734" s="248"/>
      <c r="W734" s="248"/>
      <c r="X734" s="248"/>
      <c r="Y734" s="248"/>
      <c r="Z734" s="253"/>
      <c r="AA734" s="253"/>
      <c r="AB734" s="253"/>
      <c r="AC734" s="253"/>
      <c r="AD734" s="253"/>
      <c r="AE734" s="253"/>
      <c r="AF734" s="254"/>
      <c r="AG734" s="257"/>
      <c r="AH734" s="257"/>
      <c r="AI734" s="257"/>
      <c r="AJ734" s="258"/>
      <c r="AK734" s="259"/>
      <c r="AL734" s="257"/>
      <c r="AM734" s="257"/>
      <c r="AN734" s="257"/>
      <c r="AO734" s="257"/>
      <c r="AP734" s="257"/>
      <c r="AQ734" s="258"/>
      <c r="AR734" s="260"/>
      <c r="AS734" s="257"/>
      <c r="AT734" s="257"/>
      <c r="AU734" s="257"/>
      <c r="AV734" s="257"/>
      <c r="AW734" s="257"/>
      <c r="AX734" s="258"/>
      <c r="AY734" s="260"/>
      <c r="AZ734" s="257"/>
      <c r="BA734" s="257"/>
      <c r="BB734" s="257"/>
      <c r="BC734" s="257"/>
      <c r="BD734" s="258"/>
      <c r="BE734" s="260"/>
      <c r="BF734" s="258"/>
      <c r="BG734" s="260"/>
      <c r="BH734" s="257"/>
      <c r="BI734" s="14"/>
    </row>
    <row r="735" spans="1:61" ht="13.15" x14ac:dyDescent="0.4">
      <c r="A735" s="248"/>
      <c r="B735" s="256"/>
      <c r="C735" s="248"/>
      <c r="D735" s="248"/>
      <c r="E735" s="248"/>
      <c r="F735" s="250"/>
      <c r="G735" s="248"/>
      <c r="H735" s="32"/>
      <c r="I735" s="248"/>
      <c r="J735" s="248"/>
      <c r="K735" s="251"/>
      <c r="L735" s="238"/>
      <c r="M735" s="248"/>
      <c r="N735" s="248"/>
      <c r="O735" s="248"/>
      <c r="P735" s="250"/>
      <c r="Q735" s="252"/>
      <c r="R735" s="248"/>
      <c r="S735" s="248"/>
      <c r="T735" s="248"/>
      <c r="U735" s="248"/>
      <c r="V735" s="248"/>
      <c r="W735" s="248"/>
      <c r="X735" s="248"/>
      <c r="Y735" s="248"/>
      <c r="Z735" s="253"/>
      <c r="AA735" s="253"/>
      <c r="AB735" s="253"/>
      <c r="AC735" s="253"/>
      <c r="AD735" s="253"/>
      <c r="AE735" s="253"/>
      <c r="AF735" s="254"/>
      <c r="AG735" s="257"/>
      <c r="AH735" s="257"/>
      <c r="AI735" s="257"/>
      <c r="AJ735" s="258"/>
      <c r="AK735" s="259"/>
      <c r="AL735" s="257"/>
      <c r="AM735" s="257"/>
      <c r="AN735" s="257"/>
      <c r="AO735" s="257"/>
      <c r="AP735" s="257"/>
      <c r="AQ735" s="258"/>
      <c r="AR735" s="260"/>
      <c r="AS735" s="257"/>
      <c r="AT735" s="257"/>
      <c r="AU735" s="257"/>
      <c r="AV735" s="257"/>
      <c r="AW735" s="257"/>
      <c r="AX735" s="258"/>
      <c r="AY735" s="260"/>
      <c r="AZ735" s="257"/>
      <c r="BA735" s="257"/>
      <c r="BB735" s="257"/>
      <c r="BC735" s="257"/>
      <c r="BD735" s="258"/>
      <c r="BE735" s="260"/>
      <c r="BF735" s="258"/>
      <c r="BG735" s="260"/>
      <c r="BH735" s="257"/>
      <c r="BI735" s="14"/>
    </row>
    <row r="736" spans="1:61" ht="13.15" x14ac:dyDescent="0.4">
      <c r="A736" s="248"/>
      <c r="B736" s="256"/>
      <c r="C736" s="248"/>
      <c r="D736" s="248"/>
      <c r="E736" s="248"/>
      <c r="F736" s="250"/>
      <c r="G736" s="248"/>
      <c r="H736" s="32"/>
      <c r="I736" s="248"/>
      <c r="J736" s="248"/>
      <c r="K736" s="251"/>
      <c r="L736" s="238"/>
      <c r="M736" s="248"/>
      <c r="N736" s="248"/>
      <c r="O736" s="248"/>
      <c r="P736" s="250"/>
      <c r="Q736" s="252"/>
      <c r="R736" s="248"/>
      <c r="S736" s="248"/>
      <c r="T736" s="248"/>
      <c r="U736" s="248"/>
      <c r="V736" s="248"/>
      <c r="W736" s="248"/>
      <c r="X736" s="248"/>
      <c r="Y736" s="248"/>
      <c r="Z736" s="253"/>
      <c r="AA736" s="253"/>
      <c r="AB736" s="253"/>
      <c r="AC736" s="253"/>
      <c r="AD736" s="253"/>
      <c r="AE736" s="253"/>
      <c r="AF736" s="254"/>
      <c r="AG736" s="257"/>
      <c r="AH736" s="257"/>
      <c r="AI736" s="257"/>
      <c r="AJ736" s="258"/>
      <c r="AK736" s="259"/>
      <c r="AL736" s="257"/>
      <c r="AM736" s="257"/>
      <c r="AN736" s="257"/>
      <c r="AO736" s="257"/>
      <c r="AP736" s="257"/>
      <c r="AQ736" s="258"/>
      <c r="AR736" s="260"/>
      <c r="AS736" s="257"/>
      <c r="AT736" s="257"/>
      <c r="AU736" s="257"/>
      <c r="AV736" s="257"/>
      <c r="AW736" s="257"/>
      <c r="AX736" s="258"/>
      <c r="AY736" s="260"/>
      <c r="AZ736" s="257"/>
      <c r="BA736" s="257"/>
      <c r="BB736" s="257"/>
      <c r="BC736" s="257"/>
      <c r="BD736" s="258"/>
      <c r="BE736" s="260"/>
      <c r="BF736" s="258"/>
      <c r="BG736" s="260"/>
      <c r="BH736" s="257"/>
      <c r="BI736" s="14"/>
    </row>
    <row r="737" spans="1:61" ht="13.15" x14ac:dyDescent="0.4">
      <c r="A737" s="248"/>
      <c r="B737" s="256"/>
      <c r="C737" s="248"/>
      <c r="D737" s="248"/>
      <c r="E737" s="248"/>
      <c r="F737" s="250"/>
      <c r="G737" s="248"/>
      <c r="H737" s="32"/>
      <c r="I737" s="248"/>
      <c r="J737" s="248"/>
      <c r="K737" s="251"/>
      <c r="L737" s="238"/>
      <c r="M737" s="248"/>
      <c r="N737" s="248"/>
      <c r="O737" s="248"/>
      <c r="P737" s="250"/>
      <c r="Q737" s="252"/>
      <c r="R737" s="248"/>
      <c r="S737" s="248"/>
      <c r="T737" s="248"/>
      <c r="U737" s="248"/>
      <c r="V737" s="248"/>
      <c r="W737" s="248"/>
      <c r="X737" s="248"/>
      <c r="Y737" s="248"/>
      <c r="Z737" s="253"/>
      <c r="AA737" s="253"/>
      <c r="AB737" s="253"/>
      <c r="AC737" s="253"/>
      <c r="AD737" s="253"/>
      <c r="AE737" s="253"/>
      <c r="AF737" s="254"/>
      <c r="AG737" s="257"/>
      <c r="AH737" s="257"/>
      <c r="AI737" s="257"/>
      <c r="AJ737" s="258"/>
      <c r="AK737" s="259"/>
      <c r="AL737" s="257"/>
      <c r="AM737" s="257"/>
      <c r="AN737" s="257"/>
      <c r="AO737" s="257"/>
      <c r="AP737" s="257"/>
      <c r="AQ737" s="258"/>
      <c r="AR737" s="260"/>
      <c r="AS737" s="257"/>
      <c r="AT737" s="257"/>
      <c r="AU737" s="257"/>
      <c r="AV737" s="257"/>
      <c r="AW737" s="257"/>
      <c r="AX737" s="258"/>
      <c r="AY737" s="260"/>
      <c r="AZ737" s="257"/>
      <c r="BA737" s="257"/>
      <c r="BB737" s="257"/>
      <c r="BC737" s="257"/>
      <c r="BD737" s="258"/>
      <c r="BE737" s="260"/>
      <c r="BF737" s="258"/>
      <c r="BG737" s="260"/>
      <c r="BH737" s="257"/>
      <c r="BI737" s="14"/>
    </row>
    <row r="738" spans="1:61" ht="13.15" x14ac:dyDescent="0.4">
      <c r="A738" s="248"/>
      <c r="B738" s="256"/>
      <c r="C738" s="248"/>
      <c r="D738" s="248"/>
      <c r="E738" s="248"/>
      <c r="F738" s="250"/>
      <c r="G738" s="248"/>
      <c r="H738" s="32"/>
      <c r="I738" s="248"/>
      <c r="J738" s="248"/>
      <c r="K738" s="251"/>
      <c r="L738" s="238"/>
      <c r="M738" s="248"/>
      <c r="N738" s="248"/>
      <c r="O738" s="248"/>
      <c r="P738" s="250"/>
      <c r="Q738" s="252"/>
      <c r="R738" s="248"/>
      <c r="S738" s="248"/>
      <c r="T738" s="248"/>
      <c r="U738" s="248"/>
      <c r="V738" s="248"/>
      <c r="W738" s="248"/>
      <c r="X738" s="248"/>
      <c r="Y738" s="248"/>
      <c r="Z738" s="253"/>
      <c r="AA738" s="253"/>
      <c r="AB738" s="253"/>
      <c r="AC738" s="253"/>
      <c r="AD738" s="253"/>
      <c r="AE738" s="253"/>
      <c r="AF738" s="254"/>
      <c r="AG738" s="257"/>
      <c r="AH738" s="257"/>
      <c r="AI738" s="257"/>
      <c r="AJ738" s="258"/>
      <c r="AK738" s="259"/>
      <c r="AL738" s="257"/>
      <c r="AM738" s="257"/>
      <c r="AN738" s="257"/>
      <c r="AO738" s="257"/>
      <c r="AP738" s="257"/>
      <c r="AQ738" s="258"/>
      <c r="AR738" s="260"/>
      <c r="AS738" s="257"/>
      <c r="AT738" s="257"/>
      <c r="AU738" s="257"/>
      <c r="AV738" s="257"/>
      <c r="AW738" s="257"/>
      <c r="AX738" s="258"/>
      <c r="AY738" s="260"/>
      <c r="AZ738" s="257"/>
      <c r="BA738" s="257"/>
      <c r="BB738" s="257"/>
      <c r="BC738" s="257"/>
      <c r="BD738" s="258"/>
      <c r="BE738" s="260"/>
      <c r="BF738" s="258"/>
      <c r="BG738" s="260"/>
      <c r="BH738" s="257"/>
      <c r="BI738" s="14"/>
    </row>
    <row r="739" spans="1:61" ht="13.15" x14ac:dyDescent="0.4">
      <c r="A739" s="248"/>
      <c r="B739" s="256"/>
      <c r="C739" s="248"/>
      <c r="D739" s="248"/>
      <c r="E739" s="248"/>
      <c r="F739" s="250"/>
      <c r="G739" s="248"/>
      <c r="H739" s="32"/>
      <c r="I739" s="248"/>
      <c r="J739" s="248"/>
      <c r="K739" s="251"/>
      <c r="L739" s="238"/>
      <c r="M739" s="248"/>
      <c r="N739" s="248"/>
      <c r="O739" s="248"/>
      <c r="P739" s="250"/>
      <c r="Q739" s="252"/>
      <c r="R739" s="248"/>
      <c r="S739" s="248"/>
      <c r="T739" s="248"/>
      <c r="U739" s="248"/>
      <c r="V739" s="248"/>
      <c r="W739" s="248"/>
      <c r="X739" s="248"/>
      <c r="Y739" s="248"/>
      <c r="Z739" s="253"/>
      <c r="AA739" s="253"/>
      <c r="AB739" s="253"/>
      <c r="AC739" s="253"/>
      <c r="AD739" s="253"/>
      <c r="AE739" s="253"/>
      <c r="AF739" s="254"/>
      <c r="AG739" s="257"/>
      <c r="AH739" s="257"/>
      <c r="AI739" s="257"/>
      <c r="AJ739" s="258"/>
      <c r="AK739" s="259"/>
      <c r="AL739" s="257"/>
      <c r="AM739" s="257"/>
      <c r="AN739" s="257"/>
      <c r="AO739" s="257"/>
      <c r="AP739" s="257"/>
      <c r="AQ739" s="258"/>
      <c r="AR739" s="260"/>
      <c r="AS739" s="257"/>
      <c r="AT739" s="257"/>
      <c r="AU739" s="257"/>
      <c r="AV739" s="257"/>
      <c r="AW739" s="257"/>
      <c r="AX739" s="258"/>
      <c r="AY739" s="260"/>
      <c r="AZ739" s="257"/>
      <c r="BA739" s="257"/>
      <c r="BB739" s="257"/>
      <c r="BC739" s="257"/>
      <c r="BD739" s="258"/>
      <c r="BE739" s="260"/>
      <c r="BF739" s="258"/>
      <c r="BG739" s="260"/>
      <c r="BH739" s="257"/>
      <c r="BI739" s="14"/>
    </row>
    <row r="740" spans="1:61" ht="13.15" x14ac:dyDescent="0.4">
      <c r="A740" s="248"/>
      <c r="B740" s="256"/>
      <c r="C740" s="248"/>
      <c r="D740" s="248"/>
      <c r="E740" s="248"/>
      <c r="F740" s="250"/>
      <c r="G740" s="248"/>
      <c r="H740" s="32"/>
      <c r="I740" s="248"/>
      <c r="J740" s="248"/>
      <c r="K740" s="251"/>
      <c r="L740" s="238"/>
      <c r="M740" s="248"/>
      <c r="N740" s="248"/>
      <c r="O740" s="248"/>
      <c r="P740" s="250"/>
      <c r="Q740" s="252"/>
      <c r="R740" s="248"/>
      <c r="S740" s="248"/>
      <c r="T740" s="248"/>
      <c r="U740" s="248"/>
      <c r="V740" s="248"/>
      <c r="W740" s="248"/>
      <c r="X740" s="248"/>
      <c r="Y740" s="248"/>
      <c r="Z740" s="253"/>
      <c r="AA740" s="253"/>
      <c r="AB740" s="253"/>
      <c r="AC740" s="253"/>
      <c r="AD740" s="253"/>
      <c r="AE740" s="253"/>
      <c r="AF740" s="254"/>
      <c r="AG740" s="257"/>
      <c r="AH740" s="257"/>
      <c r="AI740" s="257"/>
      <c r="AJ740" s="258"/>
      <c r="AK740" s="259"/>
      <c r="AL740" s="257"/>
      <c r="AM740" s="257"/>
      <c r="AN740" s="257"/>
      <c r="AO740" s="257"/>
      <c r="AP740" s="257"/>
      <c r="AQ740" s="258"/>
      <c r="AR740" s="260"/>
      <c r="AS740" s="257"/>
      <c r="AT740" s="257"/>
      <c r="AU740" s="257"/>
      <c r="AV740" s="257"/>
      <c r="AW740" s="257"/>
      <c r="AX740" s="258"/>
      <c r="AY740" s="260"/>
      <c r="AZ740" s="257"/>
      <c r="BA740" s="257"/>
      <c r="BB740" s="257"/>
      <c r="BC740" s="257"/>
      <c r="BD740" s="258"/>
      <c r="BE740" s="260"/>
      <c r="BF740" s="258"/>
      <c r="BG740" s="260"/>
      <c r="BH740" s="257"/>
      <c r="BI740" s="14"/>
    </row>
    <row r="741" spans="1:61" ht="13.15" x14ac:dyDescent="0.4">
      <c r="A741" s="248"/>
      <c r="B741" s="256"/>
      <c r="C741" s="248"/>
      <c r="D741" s="248"/>
      <c r="E741" s="248"/>
      <c r="F741" s="250"/>
      <c r="G741" s="248"/>
      <c r="H741" s="32"/>
      <c r="I741" s="248"/>
      <c r="J741" s="248"/>
      <c r="K741" s="251"/>
      <c r="L741" s="238"/>
      <c r="M741" s="248"/>
      <c r="N741" s="248"/>
      <c r="O741" s="248"/>
      <c r="P741" s="250"/>
      <c r="Q741" s="252"/>
      <c r="R741" s="248"/>
      <c r="S741" s="248"/>
      <c r="T741" s="248"/>
      <c r="U741" s="248"/>
      <c r="V741" s="248"/>
      <c r="W741" s="248"/>
      <c r="X741" s="248"/>
      <c r="Y741" s="248"/>
      <c r="Z741" s="253"/>
      <c r="AA741" s="253"/>
      <c r="AB741" s="253"/>
      <c r="AC741" s="253"/>
      <c r="AD741" s="253"/>
      <c r="AE741" s="253"/>
      <c r="AF741" s="254"/>
      <c r="AG741" s="257"/>
      <c r="AH741" s="257"/>
      <c r="AI741" s="257"/>
      <c r="AJ741" s="258"/>
      <c r="AK741" s="259"/>
      <c r="AL741" s="257"/>
      <c r="AM741" s="257"/>
      <c r="AN741" s="257"/>
      <c r="AO741" s="257"/>
      <c r="AP741" s="257"/>
      <c r="AQ741" s="258"/>
      <c r="AR741" s="260"/>
      <c r="AS741" s="257"/>
      <c r="AT741" s="257"/>
      <c r="AU741" s="257"/>
      <c r="AV741" s="257"/>
      <c r="AW741" s="257"/>
      <c r="AX741" s="258"/>
      <c r="AY741" s="260"/>
      <c r="AZ741" s="257"/>
      <c r="BA741" s="257"/>
      <c r="BB741" s="257"/>
      <c r="BC741" s="257"/>
      <c r="BD741" s="258"/>
      <c r="BE741" s="260"/>
      <c r="BF741" s="258"/>
      <c r="BG741" s="260"/>
      <c r="BH741" s="257"/>
      <c r="BI741" s="14"/>
    </row>
    <row r="742" spans="1:61" ht="13.15" x14ac:dyDescent="0.4">
      <c r="A742" s="248"/>
      <c r="B742" s="256"/>
      <c r="C742" s="248"/>
      <c r="D742" s="248"/>
      <c r="E742" s="248"/>
      <c r="F742" s="250"/>
      <c r="G742" s="248"/>
      <c r="H742" s="32"/>
      <c r="I742" s="248"/>
      <c r="J742" s="248"/>
      <c r="K742" s="251"/>
      <c r="L742" s="238"/>
      <c r="M742" s="248"/>
      <c r="N742" s="248"/>
      <c r="O742" s="248"/>
      <c r="P742" s="250"/>
      <c r="Q742" s="252"/>
      <c r="R742" s="248"/>
      <c r="S742" s="248"/>
      <c r="T742" s="248"/>
      <c r="U742" s="248"/>
      <c r="V742" s="248"/>
      <c r="W742" s="248"/>
      <c r="X742" s="248"/>
      <c r="Y742" s="248"/>
      <c r="Z742" s="253"/>
      <c r="AA742" s="253"/>
      <c r="AB742" s="253"/>
      <c r="AC742" s="253"/>
      <c r="AD742" s="253"/>
      <c r="AE742" s="253"/>
      <c r="AF742" s="254"/>
      <c r="AG742" s="257"/>
      <c r="AH742" s="257"/>
      <c r="AI742" s="257"/>
      <c r="AJ742" s="258"/>
      <c r="AK742" s="259"/>
      <c r="AL742" s="257"/>
      <c r="AM742" s="257"/>
      <c r="AN742" s="257"/>
      <c r="AO742" s="257"/>
      <c r="AP742" s="257"/>
      <c r="AQ742" s="258"/>
      <c r="AR742" s="260"/>
      <c r="AS742" s="257"/>
      <c r="AT742" s="257"/>
      <c r="AU742" s="257"/>
      <c r="AV742" s="257"/>
      <c r="AW742" s="257"/>
      <c r="AX742" s="258"/>
      <c r="AY742" s="260"/>
      <c r="AZ742" s="257"/>
      <c r="BA742" s="257"/>
      <c r="BB742" s="257"/>
      <c r="BC742" s="257"/>
      <c r="BD742" s="258"/>
      <c r="BE742" s="260"/>
      <c r="BF742" s="258"/>
      <c r="BG742" s="260"/>
      <c r="BH742" s="257"/>
      <c r="BI742" s="14"/>
    </row>
    <row r="743" spans="1:61" ht="13.15" x14ac:dyDescent="0.4">
      <c r="A743" s="248"/>
      <c r="B743" s="256"/>
      <c r="C743" s="248"/>
      <c r="D743" s="248"/>
      <c r="E743" s="248"/>
      <c r="F743" s="250"/>
      <c r="G743" s="248"/>
      <c r="H743" s="32"/>
      <c r="I743" s="248"/>
      <c r="J743" s="248"/>
      <c r="K743" s="251"/>
      <c r="L743" s="238"/>
      <c r="M743" s="248"/>
      <c r="N743" s="248"/>
      <c r="O743" s="248"/>
      <c r="P743" s="250"/>
      <c r="Q743" s="252"/>
      <c r="R743" s="248"/>
      <c r="S743" s="248"/>
      <c r="T743" s="248"/>
      <c r="U743" s="248"/>
      <c r="V743" s="248"/>
      <c r="W743" s="248"/>
      <c r="X743" s="248"/>
      <c r="Y743" s="248"/>
      <c r="Z743" s="253"/>
      <c r="AA743" s="253"/>
      <c r="AB743" s="253"/>
      <c r="AC743" s="253"/>
      <c r="AD743" s="253"/>
      <c r="AE743" s="253"/>
      <c r="AF743" s="254"/>
      <c r="AG743" s="257"/>
      <c r="AH743" s="257"/>
      <c r="AI743" s="257"/>
      <c r="AJ743" s="258"/>
      <c r="AK743" s="259"/>
      <c r="AL743" s="257"/>
      <c r="AM743" s="257"/>
      <c r="AN743" s="257"/>
      <c r="AO743" s="257"/>
      <c r="AP743" s="257"/>
      <c r="AQ743" s="258"/>
      <c r="AR743" s="260"/>
      <c r="AS743" s="257"/>
      <c r="AT743" s="257"/>
      <c r="AU743" s="257"/>
      <c r="AV743" s="257"/>
      <c r="AW743" s="257"/>
      <c r="AX743" s="258"/>
      <c r="AY743" s="260"/>
      <c r="AZ743" s="257"/>
      <c r="BA743" s="257"/>
      <c r="BB743" s="257"/>
      <c r="BC743" s="257"/>
      <c r="BD743" s="258"/>
      <c r="BE743" s="260"/>
      <c r="BF743" s="258"/>
      <c r="BG743" s="260"/>
      <c r="BH743" s="257"/>
      <c r="BI743" s="14"/>
    </row>
    <row r="744" spans="1:61" ht="13.15" x14ac:dyDescent="0.4">
      <c r="A744" s="248"/>
      <c r="B744" s="256"/>
      <c r="C744" s="248"/>
      <c r="D744" s="248"/>
      <c r="E744" s="248"/>
      <c r="F744" s="250"/>
      <c r="G744" s="248"/>
      <c r="H744" s="32"/>
      <c r="I744" s="248"/>
      <c r="J744" s="248"/>
      <c r="K744" s="251"/>
      <c r="L744" s="238"/>
      <c r="M744" s="248"/>
      <c r="N744" s="248"/>
      <c r="O744" s="248"/>
      <c r="P744" s="250"/>
      <c r="Q744" s="252"/>
      <c r="R744" s="248"/>
      <c r="S744" s="248"/>
      <c r="T744" s="248"/>
      <c r="U744" s="248"/>
      <c r="V744" s="248"/>
      <c r="W744" s="248"/>
      <c r="X744" s="248"/>
      <c r="Y744" s="248"/>
      <c r="Z744" s="253"/>
      <c r="AA744" s="253"/>
      <c r="AB744" s="253"/>
      <c r="AC744" s="253"/>
      <c r="AD744" s="253"/>
      <c r="AE744" s="253"/>
      <c r="AF744" s="254"/>
      <c r="AG744" s="257"/>
      <c r="AH744" s="257"/>
      <c r="AI744" s="257"/>
      <c r="AJ744" s="258"/>
      <c r="AK744" s="259"/>
      <c r="AL744" s="257"/>
      <c r="AM744" s="257"/>
      <c r="AN744" s="257"/>
      <c r="AO744" s="257"/>
      <c r="AP744" s="257"/>
      <c r="AQ744" s="258"/>
      <c r="AR744" s="260"/>
      <c r="AS744" s="257"/>
      <c r="AT744" s="257"/>
      <c r="AU744" s="257"/>
      <c r="AV744" s="257"/>
      <c r="AW744" s="257"/>
      <c r="AX744" s="258"/>
      <c r="AY744" s="260"/>
      <c r="AZ744" s="257"/>
      <c r="BA744" s="257"/>
      <c r="BB744" s="257"/>
      <c r="BC744" s="257"/>
      <c r="BD744" s="258"/>
      <c r="BE744" s="260"/>
      <c r="BF744" s="258"/>
      <c r="BG744" s="260"/>
      <c r="BH744" s="257"/>
      <c r="BI744" s="14"/>
    </row>
    <row r="745" spans="1:61" ht="13.15" x14ac:dyDescent="0.4">
      <c r="A745" s="248"/>
      <c r="B745" s="256"/>
      <c r="C745" s="248"/>
      <c r="D745" s="248"/>
      <c r="E745" s="248"/>
      <c r="F745" s="250"/>
      <c r="G745" s="248"/>
      <c r="H745" s="32"/>
      <c r="I745" s="248"/>
      <c r="J745" s="248"/>
      <c r="K745" s="251"/>
      <c r="L745" s="238"/>
      <c r="M745" s="248"/>
      <c r="N745" s="248"/>
      <c r="O745" s="248"/>
      <c r="P745" s="250"/>
      <c r="Q745" s="252"/>
      <c r="R745" s="248"/>
      <c r="S745" s="248"/>
      <c r="T745" s="248"/>
      <c r="U745" s="248"/>
      <c r="V745" s="248"/>
      <c r="W745" s="248"/>
      <c r="X745" s="248"/>
      <c r="Y745" s="248"/>
      <c r="Z745" s="253"/>
      <c r="AA745" s="253"/>
      <c r="AB745" s="253"/>
      <c r="AC745" s="253"/>
      <c r="AD745" s="253"/>
      <c r="AE745" s="253"/>
      <c r="AF745" s="254"/>
      <c r="AG745" s="257"/>
      <c r="AH745" s="257"/>
      <c r="AI745" s="257"/>
      <c r="AJ745" s="258"/>
      <c r="AK745" s="259"/>
      <c r="AL745" s="257"/>
      <c r="AM745" s="257"/>
      <c r="AN745" s="257"/>
      <c r="AO745" s="257"/>
      <c r="AP745" s="257"/>
      <c r="AQ745" s="258"/>
      <c r="AR745" s="260"/>
      <c r="AS745" s="257"/>
      <c r="AT745" s="257"/>
      <c r="AU745" s="257"/>
      <c r="AV745" s="257"/>
      <c r="AW745" s="257"/>
      <c r="AX745" s="258"/>
      <c r="AY745" s="260"/>
      <c r="AZ745" s="257"/>
      <c r="BA745" s="257"/>
      <c r="BB745" s="257"/>
      <c r="BC745" s="257"/>
      <c r="BD745" s="258"/>
      <c r="BE745" s="260"/>
      <c r="BF745" s="258"/>
      <c r="BG745" s="260"/>
      <c r="BH745" s="257"/>
      <c r="BI745" s="14"/>
    </row>
    <row r="746" spans="1:61" ht="13.15" x14ac:dyDescent="0.4">
      <c r="A746" s="248"/>
      <c r="B746" s="256"/>
      <c r="C746" s="248"/>
      <c r="D746" s="248"/>
      <c r="E746" s="248"/>
      <c r="F746" s="250"/>
      <c r="G746" s="248"/>
      <c r="H746" s="32"/>
      <c r="I746" s="248"/>
      <c r="J746" s="248"/>
      <c r="K746" s="251"/>
      <c r="L746" s="238"/>
      <c r="M746" s="248"/>
      <c r="N746" s="248"/>
      <c r="O746" s="248"/>
      <c r="P746" s="250"/>
      <c r="Q746" s="252"/>
      <c r="R746" s="248"/>
      <c r="S746" s="248"/>
      <c r="T746" s="248"/>
      <c r="U746" s="248"/>
      <c r="V746" s="248"/>
      <c r="W746" s="248"/>
      <c r="X746" s="248"/>
      <c r="Y746" s="248"/>
      <c r="Z746" s="253"/>
      <c r="AA746" s="253"/>
      <c r="AB746" s="253"/>
      <c r="AC746" s="253"/>
      <c r="AD746" s="253"/>
      <c r="AE746" s="253"/>
      <c r="AF746" s="254"/>
      <c r="AG746" s="257"/>
      <c r="AH746" s="257"/>
      <c r="AI746" s="257"/>
      <c r="AJ746" s="258"/>
      <c r="AK746" s="259"/>
      <c r="AL746" s="257"/>
      <c r="AM746" s="257"/>
      <c r="AN746" s="257"/>
      <c r="AO746" s="257"/>
      <c r="AP746" s="257"/>
      <c r="AQ746" s="258"/>
      <c r="AR746" s="260"/>
      <c r="AS746" s="257"/>
      <c r="AT746" s="257"/>
      <c r="AU746" s="257"/>
      <c r="AV746" s="257"/>
      <c r="AW746" s="257"/>
      <c r="AX746" s="258"/>
      <c r="AY746" s="260"/>
      <c r="AZ746" s="257"/>
      <c r="BA746" s="257"/>
      <c r="BB746" s="257"/>
      <c r="BC746" s="257"/>
      <c r="BD746" s="258"/>
      <c r="BE746" s="260"/>
      <c r="BF746" s="258"/>
      <c r="BG746" s="260"/>
      <c r="BH746" s="257"/>
      <c r="BI746" s="14"/>
    </row>
    <row r="747" spans="1:61" ht="13.15" x14ac:dyDescent="0.4">
      <c r="A747" s="248"/>
      <c r="B747" s="256"/>
      <c r="C747" s="248"/>
      <c r="D747" s="248"/>
      <c r="E747" s="248"/>
      <c r="F747" s="250"/>
      <c r="G747" s="248"/>
      <c r="H747" s="32"/>
      <c r="I747" s="248"/>
      <c r="J747" s="248"/>
      <c r="K747" s="251"/>
      <c r="L747" s="238"/>
      <c r="M747" s="248"/>
      <c r="N747" s="248"/>
      <c r="O747" s="248"/>
      <c r="P747" s="250"/>
      <c r="Q747" s="252"/>
      <c r="R747" s="248"/>
      <c r="S747" s="248"/>
      <c r="T747" s="248"/>
      <c r="U747" s="248"/>
      <c r="V747" s="248"/>
      <c r="W747" s="248"/>
      <c r="X747" s="248"/>
      <c r="Y747" s="248"/>
      <c r="Z747" s="253"/>
      <c r="AA747" s="253"/>
      <c r="AB747" s="253"/>
      <c r="AC747" s="253"/>
      <c r="AD747" s="253"/>
      <c r="AE747" s="253"/>
      <c r="AF747" s="254"/>
      <c r="AG747" s="257"/>
      <c r="AH747" s="257"/>
      <c r="AI747" s="257"/>
      <c r="AJ747" s="258"/>
      <c r="AK747" s="259"/>
      <c r="AL747" s="257"/>
      <c r="AM747" s="257"/>
      <c r="AN747" s="257"/>
      <c r="AO747" s="257"/>
      <c r="AP747" s="257"/>
      <c r="AQ747" s="258"/>
      <c r="AR747" s="260"/>
      <c r="AS747" s="257"/>
      <c r="AT747" s="257"/>
      <c r="AU747" s="257"/>
      <c r="AV747" s="257"/>
      <c r="AW747" s="257"/>
      <c r="AX747" s="258"/>
      <c r="AY747" s="260"/>
      <c r="AZ747" s="257"/>
      <c r="BA747" s="257"/>
      <c r="BB747" s="257"/>
      <c r="BC747" s="257"/>
      <c r="BD747" s="258"/>
      <c r="BE747" s="260"/>
      <c r="BF747" s="258"/>
      <c r="BG747" s="260"/>
      <c r="BH747" s="257"/>
      <c r="BI747" s="14"/>
    </row>
    <row r="748" spans="1:61" ht="13.15" x14ac:dyDescent="0.4">
      <c r="A748" s="248"/>
      <c r="B748" s="256"/>
      <c r="C748" s="248"/>
      <c r="D748" s="248"/>
      <c r="E748" s="248"/>
      <c r="F748" s="250"/>
      <c r="G748" s="248"/>
      <c r="H748" s="32"/>
      <c r="I748" s="248"/>
      <c r="J748" s="248"/>
      <c r="K748" s="251"/>
      <c r="L748" s="238"/>
      <c r="M748" s="248"/>
      <c r="N748" s="248"/>
      <c r="O748" s="248"/>
      <c r="P748" s="250"/>
      <c r="Q748" s="252"/>
      <c r="R748" s="248"/>
      <c r="S748" s="248"/>
      <c r="T748" s="248"/>
      <c r="U748" s="248"/>
      <c r="V748" s="248"/>
      <c r="W748" s="248"/>
      <c r="X748" s="248"/>
      <c r="Y748" s="248"/>
      <c r="Z748" s="253"/>
      <c r="AA748" s="253"/>
      <c r="AB748" s="253"/>
      <c r="AC748" s="253"/>
      <c r="AD748" s="253"/>
      <c r="AE748" s="253"/>
      <c r="AF748" s="254"/>
      <c r="AG748" s="257"/>
      <c r="AH748" s="257"/>
      <c r="AI748" s="257"/>
      <c r="AJ748" s="258"/>
      <c r="AK748" s="259"/>
      <c r="AL748" s="257"/>
      <c r="AM748" s="257"/>
      <c r="AN748" s="257"/>
      <c r="AO748" s="257"/>
      <c r="AP748" s="257"/>
      <c r="AQ748" s="258"/>
      <c r="AR748" s="260"/>
      <c r="AS748" s="257"/>
      <c r="AT748" s="257"/>
      <c r="AU748" s="257"/>
      <c r="AV748" s="257"/>
      <c r="AW748" s="257"/>
      <c r="AX748" s="258"/>
      <c r="AY748" s="260"/>
      <c r="AZ748" s="257"/>
      <c r="BA748" s="257"/>
      <c r="BB748" s="257"/>
      <c r="BC748" s="257"/>
      <c r="BD748" s="258"/>
      <c r="BE748" s="260"/>
      <c r="BF748" s="258"/>
      <c r="BG748" s="260"/>
      <c r="BH748" s="257"/>
      <c r="BI748" s="14"/>
    </row>
    <row r="749" spans="1:61" ht="13.15" x14ac:dyDescent="0.4">
      <c r="A749" s="248"/>
      <c r="B749" s="256"/>
      <c r="C749" s="248"/>
      <c r="D749" s="248"/>
      <c r="E749" s="248"/>
      <c r="F749" s="250"/>
      <c r="G749" s="248"/>
      <c r="H749" s="32"/>
      <c r="I749" s="248"/>
      <c r="J749" s="248"/>
      <c r="K749" s="251"/>
      <c r="L749" s="238"/>
      <c r="M749" s="248"/>
      <c r="N749" s="248"/>
      <c r="O749" s="248"/>
      <c r="P749" s="250"/>
      <c r="Q749" s="252"/>
      <c r="R749" s="248"/>
      <c r="S749" s="248"/>
      <c r="T749" s="248"/>
      <c r="U749" s="248"/>
      <c r="V749" s="248"/>
      <c r="W749" s="248"/>
      <c r="X749" s="248"/>
      <c r="Y749" s="248"/>
      <c r="Z749" s="253"/>
      <c r="AA749" s="253"/>
      <c r="AB749" s="253"/>
      <c r="AC749" s="253"/>
      <c r="AD749" s="253"/>
      <c r="AE749" s="253"/>
      <c r="AF749" s="254"/>
      <c r="AG749" s="257"/>
      <c r="AH749" s="257"/>
      <c r="AI749" s="257"/>
      <c r="AJ749" s="258"/>
      <c r="AK749" s="259"/>
      <c r="AL749" s="257"/>
      <c r="AM749" s="257"/>
      <c r="AN749" s="257"/>
      <c r="AO749" s="257"/>
      <c r="AP749" s="257"/>
      <c r="AQ749" s="258"/>
      <c r="AR749" s="260"/>
      <c r="AS749" s="257"/>
      <c r="AT749" s="257"/>
      <c r="AU749" s="257"/>
      <c r="AV749" s="257"/>
      <c r="AW749" s="257"/>
      <c r="AX749" s="258"/>
      <c r="AY749" s="260"/>
      <c r="AZ749" s="257"/>
      <c r="BA749" s="257"/>
      <c r="BB749" s="257"/>
      <c r="BC749" s="257"/>
      <c r="BD749" s="258"/>
      <c r="BE749" s="260"/>
      <c r="BF749" s="258"/>
      <c r="BG749" s="260"/>
      <c r="BH749" s="257"/>
      <c r="BI749" s="14"/>
    </row>
    <row r="750" spans="1:61" ht="13.15" x14ac:dyDescent="0.4">
      <c r="A750" s="248"/>
      <c r="B750" s="256"/>
      <c r="C750" s="248"/>
      <c r="D750" s="248"/>
      <c r="E750" s="248"/>
      <c r="F750" s="250"/>
      <c r="G750" s="248"/>
      <c r="H750" s="32"/>
      <c r="I750" s="248"/>
      <c r="J750" s="248"/>
      <c r="K750" s="251"/>
      <c r="L750" s="238"/>
      <c r="M750" s="248"/>
      <c r="N750" s="248"/>
      <c r="O750" s="248"/>
      <c r="P750" s="250"/>
      <c r="Q750" s="252"/>
      <c r="R750" s="248"/>
      <c r="S750" s="248"/>
      <c r="T750" s="248"/>
      <c r="U750" s="248"/>
      <c r="V750" s="248"/>
      <c r="W750" s="248"/>
      <c r="X750" s="248"/>
      <c r="Y750" s="248"/>
      <c r="Z750" s="253"/>
      <c r="AA750" s="253"/>
      <c r="AB750" s="253"/>
      <c r="AC750" s="253"/>
      <c r="AD750" s="253"/>
      <c r="AE750" s="253"/>
      <c r="AF750" s="254"/>
      <c r="AG750" s="257"/>
      <c r="AH750" s="257"/>
      <c r="AI750" s="257"/>
      <c r="AJ750" s="258"/>
      <c r="AK750" s="259"/>
      <c r="AL750" s="257"/>
      <c r="AM750" s="257"/>
      <c r="AN750" s="257"/>
      <c r="AO750" s="257"/>
      <c r="AP750" s="257"/>
      <c r="AQ750" s="258"/>
      <c r="AR750" s="260"/>
      <c r="AS750" s="257"/>
      <c r="AT750" s="257"/>
      <c r="AU750" s="257"/>
      <c r="AV750" s="257"/>
      <c r="AW750" s="257"/>
      <c r="AX750" s="258"/>
      <c r="AY750" s="260"/>
      <c r="AZ750" s="257"/>
      <c r="BA750" s="257"/>
      <c r="BB750" s="257"/>
      <c r="BC750" s="257"/>
      <c r="BD750" s="258"/>
      <c r="BE750" s="260"/>
      <c r="BF750" s="258"/>
      <c r="BG750" s="260"/>
      <c r="BH750" s="257"/>
      <c r="BI750" s="14"/>
    </row>
    <row r="751" spans="1:61" ht="13.15" x14ac:dyDescent="0.4">
      <c r="A751" s="248"/>
      <c r="B751" s="256"/>
      <c r="C751" s="248"/>
      <c r="D751" s="248"/>
      <c r="E751" s="248"/>
      <c r="F751" s="250"/>
      <c r="G751" s="248"/>
      <c r="H751" s="32"/>
      <c r="I751" s="248"/>
      <c r="J751" s="248"/>
      <c r="K751" s="251"/>
      <c r="L751" s="238"/>
      <c r="M751" s="248"/>
      <c r="N751" s="248"/>
      <c r="O751" s="248"/>
      <c r="P751" s="250"/>
      <c r="Q751" s="252"/>
      <c r="R751" s="248"/>
      <c r="S751" s="248"/>
      <c r="T751" s="248"/>
      <c r="U751" s="248"/>
      <c r="V751" s="248"/>
      <c r="W751" s="248"/>
      <c r="X751" s="248"/>
      <c r="Y751" s="248"/>
      <c r="Z751" s="253"/>
      <c r="AA751" s="253"/>
      <c r="AB751" s="253"/>
      <c r="AC751" s="253"/>
      <c r="AD751" s="253"/>
      <c r="AE751" s="253"/>
      <c r="AF751" s="254"/>
      <c r="AG751" s="257"/>
      <c r="AH751" s="257"/>
      <c r="AI751" s="257"/>
      <c r="AJ751" s="258"/>
      <c r="AK751" s="259"/>
      <c r="AL751" s="257"/>
      <c r="AM751" s="257"/>
      <c r="AN751" s="257"/>
      <c r="AO751" s="257"/>
      <c r="AP751" s="257"/>
      <c r="AQ751" s="258"/>
      <c r="AR751" s="260"/>
      <c r="AS751" s="257"/>
      <c r="AT751" s="257"/>
      <c r="AU751" s="257"/>
      <c r="AV751" s="257"/>
      <c r="AW751" s="257"/>
      <c r="AX751" s="258"/>
      <c r="AY751" s="260"/>
      <c r="AZ751" s="257"/>
      <c r="BA751" s="257"/>
      <c r="BB751" s="257"/>
      <c r="BC751" s="257"/>
      <c r="BD751" s="258"/>
      <c r="BE751" s="260"/>
      <c r="BF751" s="258"/>
      <c r="BG751" s="260"/>
      <c r="BH751" s="257"/>
      <c r="BI751" s="14"/>
    </row>
    <row r="752" spans="1:61" ht="13.15" x14ac:dyDescent="0.4">
      <c r="A752" s="248"/>
      <c r="B752" s="256"/>
      <c r="C752" s="248"/>
      <c r="D752" s="248"/>
      <c r="E752" s="248"/>
      <c r="F752" s="250"/>
      <c r="G752" s="248"/>
      <c r="H752" s="32"/>
      <c r="I752" s="248"/>
      <c r="J752" s="248"/>
      <c r="K752" s="251"/>
      <c r="L752" s="238"/>
      <c r="M752" s="248"/>
      <c r="N752" s="248"/>
      <c r="O752" s="248"/>
      <c r="P752" s="250"/>
      <c r="Q752" s="252"/>
      <c r="R752" s="248"/>
      <c r="S752" s="248"/>
      <c r="T752" s="248"/>
      <c r="U752" s="248"/>
      <c r="V752" s="248"/>
      <c r="W752" s="248"/>
      <c r="X752" s="248"/>
      <c r="Y752" s="248"/>
      <c r="Z752" s="253"/>
      <c r="AA752" s="253"/>
      <c r="AB752" s="253"/>
      <c r="AC752" s="253"/>
      <c r="AD752" s="253"/>
      <c r="AE752" s="253"/>
      <c r="AF752" s="254"/>
      <c r="AG752" s="257"/>
      <c r="AH752" s="257"/>
      <c r="AI752" s="257"/>
      <c r="AJ752" s="258"/>
      <c r="AK752" s="259"/>
      <c r="AL752" s="257"/>
      <c r="AM752" s="257"/>
      <c r="AN752" s="257"/>
      <c r="AO752" s="257"/>
      <c r="AP752" s="257"/>
      <c r="AQ752" s="258"/>
      <c r="AR752" s="260"/>
      <c r="AS752" s="257"/>
      <c r="AT752" s="257"/>
      <c r="AU752" s="257"/>
      <c r="AV752" s="257"/>
      <c r="AW752" s="257"/>
      <c r="AX752" s="258"/>
      <c r="AY752" s="260"/>
      <c r="AZ752" s="257"/>
      <c r="BA752" s="257"/>
      <c r="BB752" s="257"/>
      <c r="BC752" s="257"/>
      <c r="BD752" s="258"/>
      <c r="BE752" s="260"/>
      <c r="BF752" s="258"/>
      <c r="BG752" s="260"/>
      <c r="BH752" s="257"/>
      <c r="BI752" s="14"/>
    </row>
    <row r="753" spans="1:61" ht="13.15" x14ac:dyDescent="0.4">
      <c r="A753" s="248"/>
      <c r="B753" s="256"/>
      <c r="C753" s="248"/>
      <c r="D753" s="248"/>
      <c r="E753" s="248"/>
      <c r="F753" s="250"/>
      <c r="G753" s="248"/>
      <c r="H753" s="32"/>
      <c r="I753" s="248"/>
      <c r="J753" s="248"/>
      <c r="K753" s="251"/>
      <c r="L753" s="238"/>
      <c r="M753" s="248"/>
      <c r="N753" s="248"/>
      <c r="O753" s="248"/>
      <c r="P753" s="250"/>
      <c r="Q753" s="252"/>
      <c r="R753" s="248"/>
      <c r="S753" s="248"/>
      <c r="T753" s="248"/>
      <c r="U753" s="248"/>
      <c r="V753" s="248"/>
      <c r="W753" s="248"/>
      <c r="X753" s="248"/>
      <c r="Y753" s="248"/>
      <c r="Z753" s="253"/>
      <c r="AA753" s="253"/>
      <c r="AB753" s="253"/>
      <c r="AC753" s="253"/>
      <c r="AD753" s="253"/>
      <c r="AE753" s="253"/>
      <c r="AF753" s="254"/>
      <c r="AG753" s="257"/>
      <c r="AH753" s="257"/>
      <c r="AI753" s="257"/>
      <c r="AJ753" s="258"/>
      <c r="AK753" s="259"/>
      <c r="AL753" s="257"/>
      <c r="AM753" s="257"/>
      <c r="AN753" s="257"/>
      <c r="AO753" s="257"/>
      <c r="AP753" s="257"/>
      <c r="AQ753" s="258"/>
      <c r="AR753" s="260"/>
      <c r="AS753" s="257"/>
      <c r="AT753" s="257"/>
      <c r="AU753" s="257"/>
      <c r="AV753" s="257"/>
      <c r="AW753" s="257"/>
      <c r="AX753" s="258"/>
      <c r="AY753" s="260"/>
      <c r="AZ753" s="257"/>
      <c r="BA753" s="257"/>
      <c r="BB753" s="257"/>
      <c r="BC753" s="257"/>
      <c r="BD753" s="258"/>
      <c r="BE753" s="260"/>
      <c r="BF753" s="258"/>
      <c r="BG753" s="260"/>
      <c r="BH753" s="257"/>
      <c r="BI753" s="14"/>
    </row>
    <row r="754" spans="1:61" ht="13.15" x14ac:dyDescent="0.4">
      <c r="A754" s="248"/>
      <c r="B754" s="256"/>
      <c r="C754" s="248"/>
      <c r="D754" s="248"/>
      <c r="E754" s="248"/>
      <c r="F754" s="250"/>
      <c r="G754" s="248"/>
      <c r="H754" s="32"/>
      <c r="I754" s="248"/>
      <c r="J754" s="248"/>
      <c r="K754" s="251"/>
      <c r="L754" s="238"/>
      <c r="M754" s="248"/>
      <c r="N754" s="248"/>
      <c r="O754" s="248"/>
      <c r="P754" s="250"/>
      <c r="Q754" s="252"/>
      <c r="R754" s="248"/>
      <c r="S754" s="248"/>
      <c r="T754" s="248"/>
      <c r="U754" s="248"/>
      <c r="V754" s="248"/>
      <c r="W754" s="248"/>
      <c r="X754" s="248"/>
      <c r="Y754" s="248"/>
      <c r="Z754" s="253"/>
      <c r="AA754" s="253"/>
      <c r="AB754" s="253"/>
      <c r="AC754" s="253"/>
      <c r="AD754" s="253"/>
      <c r="AE754" s="253"/>
      <c r="AF754" s="254"/>
      <c r="AG754" s="257"/>
      <c r="AH754" s="257"/>
      <c r="AI754" s="257"/>
      <c r="AJ754" s="258"/>
      <c r="AK754" s="259"/>
      <c r="AL754" s="257"/>
      <c r="AM754" s="257"/>
      <c r="AN754" s="257"/>
      <c r="AO754" s="257"/>
      <c r="AP754" s="257"/>
      <c r="AQ754" s="258"/>
      <c r="AR754" s="260"/>
      <c r="AS754" s="257"/>
      <c r="AT754" s="257"/>
      <c r="AU754" s="257"/>
      <c r="AV754" s="257"/>
      <c r="AW754" s="257"/>
      <c r="AX754" s="258"/>
      <c r="AY754" s="260"/>
      <c r="AZ754" s="257"/>
      <c r="BA754" s="257"/>
      <c r="BB754" s="257"/>
      <c r="BC754" s="257"/>
      <c r="BD754" s="258"/>
      <c r="BE754" s="260"/>
      <c r="BF754" s="258"/>
      <c r="BG754" s="260"/>
      <c r="BH754" s="257"/>
      <c r="BI754" s="14"/>
    </row>
    <row r="755" spans="1:61" ht="13.15" x14ac:dyDescent="0.4">
      <c r="A755" s="248"/>
      <c r="B755" s="256"/>
      <c r="C755" s="248"/>
      <c r="D755" s="248"/>
      <c r="E755" s="248"/>
      <c r="F755" s="250"/>
      <c r="G755" s="248"/>
      <c r="H755" s="32"/>
      <c r="I755" s="248"/>
      <c r="J755" s="248"/>
      <c r="K755" s="251"/>
      <c r="L755" s="238"/>
      <c r="M755" s="248"/>
      <c r="N755" s="248"/>
      <c r="O755" s="248"/>
      <c r="P755" s="250"/>
      <c r="Q755" s="252"/>
      <c r="R755" s="248"/>
      <c r="S755" s="248"/>
      <c r="T755" s="248"/>
      <c r="U755" s="248"/>
      <c r="V755" s="248"/>
      <c r="W755" s="248"/>
      <c r="X755" s="248"/>
      <c r="Y755" s="248"/>
      <c r="Z755" s="253"/>
      <c r="AA755" s="253"/>
      <c r="AB755" s="253"/>
      <c r="AC755" s="253"/>
      <c r="AD755" s="253"/>
      <c r="AE755" s="253"/>
      <c r="AF755" s="254"/>
      <c r="AG755" s="257"/>
      <c r="AH755" s="257"/>
      <c r="AI755" s="257"/>
      <c r="AJ755" s="258"/>
      <c r="AK755" s="259"/>
      <c r="AL755" s="257"/>
      <c r="AM755" s="257"/>
      <c r="AN755" s="257"/>
      <c r="AO755" s="257"/>
      <c r="AP755" s="257"/>
      <c r="AQ755" s="258"/>
      <c r="AR755" s="260"/>
      <c r="AS755" s="257"/>
      <c r="AT755" s="257"/>
      <c r="AU755" s="257"/>
      <c r="AV755" s="257"/>
      <c r="AW755" s="257"/>
      <c r="AX755" s="258"/>
      <c r="AY755" s="260"/>
      <c r="AZ755" s="257"/>
      <c r="BA755" s="257"/>
      <c r="BB755" s="257"/>
      <c r="BC755" s="257"/>
      <c r="BD755" s="258"/>
      <c r="BE755" s="260"/>
      <c r="BF755" s="258"/>
      <c r="BG755" s="260"/>
      <c r="BH755" s="257"/>
      <c r="BI755" s="14"/>
    </row>
    <row r="756" spans="1:61" ht="13.15" x14ac:dyDescent="0.4">
      <c r="A756" s="248"/>
      <c r="B756" s="256"/>
      <c r="C756" s="248"/>
      <c r="D756" s="248"/>
      <c r="E756" s="248"/>
      <c r="F756" s="250"/>
      <c r="G756" s="248"/>
      <c r="H756" s="32"/>
      <c r="I756" s="248"/>
      <c r="J756" s="248"/>
      <c r="K756" s="251"/>
      <c r="L756" s="238"/>
      <c r="M756" s="248"/>
      <c r="N756" s="248"/>
      <c r="O756" s="248"/>
      <c r="P756" s="250"/>
      <c r="Q756" s="252"/>
      <c r="R756" s="248"/>
      <c r="S756" s="248"/>
      <c r="T756" s="248"/>
      <c r="U756" s="248"/>
      <c r="V756" s="248"/>
      <c r="W756" s="248"/>
      <c r="X756" s="248"/>
      <c r="Y756" s="248"/>
      <c r="Z756" s="253"/>
      <c r="AA756" s="253"/>
      <c r="AB756" s="253"/>
      <c r="AC756" s="253"/>
      <c r="AD756" s="253"/>
      <c r="AE756" s="253"/>
      <c r="AF756" s="254"/>
      <c r="AG756" s="257"/>
      <c r="AH756" s="257"/>
      <c r="AI756" s="257"/>
      <c r="AJ756" s="258"/>
      <c r="AK756" s="259"/>
      <c r="AL756" s="257"/>
      <c r="AM756" s="257"/>
      <c r="AN756" s="257"/>
      <c r="AO756" s="257"/>
      <c r="AP756" s="257"/>
      <c r="AQ756" s="258"/>
      <c r="AR756" s="260"/>
      <c r="AS756" s="257"/>
      <c r="AT756" s="257"/>
      <c r="AU756" s="257"/>
      <c r="AV756" s="257"/>
      <c r="AW756" s="257"/>
      <c r="AX756" s="258"/>
      <c r="AY756" s="260"/>
      <c r="AZ756" s="257"/>
      <c r="BA756" s="257"/>
      <c r="BB756" s="257"/>
      <c r="BC756" s="257"/>
      <c r="BD756" s="258"/>
      <c r="BE756" s="260"/>
      <c r="BF756" s="258"/>
      <c r="BG756" s="260"/>
      <c r="BH756" s="257"/>
      <c r="BI756" s="14"/>
    </row>
    <row r="757" spans="1:61" ht="13.15" x14ac:dyDescent="0.4">
      <c r="A757" s="248"/>
      <c r="B757" s="256"/>
      <c r="C757" s="248"/>
      <c r="D757" s="248"/>
      <c r="E757" s="248"/>
      <c r="F757" s="250"/>
      <c r="G757" s="248"/>
      <c r="H757" s="32"/>
      <c r="I757" s="248"/>
      <c r="J757" s="248"/>
      <c r="K757" s="251"/>
      <c r="L757" s="238"/>
      <c r="M757" s="248"/>
      <c r="N757" s="248"/>
      <c r="O757" s="248"/>
      <c r="P757" s="250"/>
      <c r="Q757" s="252"/>
      <c r="R757" s="248"/>
      <c r="S757" s="248"/>
      <c r="T757" s="248"/>
      <c r="U757" s="248"/>
      <c r="V757" s="248"/>
      <c r="W757" s="248"/>
      <c r="X757" s="248"/>
      <c r="Y757" s="248"/>
      <c r="Z757" s="253"/>
      <c r="AA757" s="253"/>
      <c r="AB757" s="253"/>
      <c r="AC757" s="253"/>
      <c r="AD757" s="253"/>
      <c r="AE757" s="253"/>
      <c r="AF757" s="254"/>
      <c r="AG757" s="257"/>
      <c r="AH757" s="257"/>
      <c r="AI757" s="257"/>
      <c r="AJ757" s="258"/>
      <c r="AK757" s="259"/>
      <c r="AL757" s="257"/>
      <c r="AM757" s="257"/>
      <c r="AN757" s="257"/>
      <c r="AO757" s="257"/>
      <c r="AP757" s="257"/>
      <c r="AQ757" s="258"/>
      <c r="AR757" s="260"/>
      <c r="AS757" s="257"/>
      <c r="AT757" s="257"/>
      <c r="AU757" s="257"/>
      <c r="AV757" s="257"/>
      <c r="AW757" s="257"/>
      <c r="AX757" s="258"/>
      <c r="AY757" s="260"/>
      <c r="AZ757" s="257"/>
      <c r="BA757" s="257"/>
      <c r="BB757" s="257"/>
      <c r="BC757" s="257"/>
      <c r="BD757" s="258"/>
      <c r="BE757" s="260"/>
      <c r="BF757" s="258"/>
      <c r="BG757" s="260"/>
      <c r="BH757" s="257"/>
      <c r="BI757" s="14"/>
    </row>
    <row r="758" spans="1:61" ht="13.15" x14ac:dyDescent="0.4">
      <c r="A758" s="248"/>
      <c r="B758" s="256"/>
      <c r="C758" s="248"/>
      <c r="D758" s="248"/>
      <c r="E758" s="248"/>
      <c r="F758" s="250"/>
      <c r="G758" s="248"/>
      <c r="H758" s="32"/>
      <c r="I758" s="248"/>
      <c r="J758" s="248"/>
      <c r="K758" s="251"/>
      <c r="L758" s="238"/>
      <c r="M758" s="248"/>
      <c r="N758" s="248"/>
      <c r="O758" s="248"/>
      <c r="P758" s="250"/>
      <c r="Q758" s="252"/>
      <c r="R758" s="248"/>
      <c r="S758" s="248"/>
      <c r="T758" s="248"/>
      <c r="U758" s="248"/>
      <c r="V758" s="248"/>
      <c r="W758" s="248"/>
      <c r="X758" s="248"/>
      <c r="Y758" s="248"/>
      <c r="Z758" s="253"/>
      <c r="AA758" s="253"/>
      <c r="AB758" s="253"/>
      <c r="AC758" s="253"/>
      <c r="AD758" s="253"/>
      <c r="AE758" s="253"/>
      <c r="AF758" s="254"/>
      <c r="AG758" s="257"/>
      <c r="AH758" s="257"/>
      <c r="AI758" s="257"/>
      <c r="AJ758" s="258"/>
      <c r="AK758" s="259"/>
      <c r="AL758" s="257"/>
      <c r="AM758" s="257"/>
      <c r="AN758" s="257"/>
      <c r="AO758" s="257"/>
      <c r="AP758" s="257"/>
      <c r="AQ758" s="258"/>
      <c r="AR758" s="260"/>
      <c r="AS758" s="257"/>
      <c r="AT758" s="257"/>
      <c r="AU758" s="257"/>
      <c r="AV758" s="257"/>
      <c r="AW758" s="257"/>
      <c r="AX758" s="258"/>
      <c r="AY758" s="260"/>
      <c r="AZ758" s="257"/>
      <c r="BA758" s="257"/>
      <c r="BB758" s="257"/>
      <c r="BC758" s="257"/>
      <c r="BD758" s="258"/>
      <c r="BE758" s="260"/>
      <c r="BF758" s="258"/>
      <c r="BG758" s="260"/>
      <c r="BH758" s="257"/>
      <c r="BI758" s="14"/>
    </row>
    <row r="759" spans="1:61" ht="13.15" x14ac:dyDescent="0.4">
      <c r="A759" s="248"/>
      <c r="B759" s="256"/>
      <c r="C759" s="248"/>
      <c r="D759" s="248"/>
      <c r="E759" s="248"/>
      <c r="F759" s="250"/>
      <c r="G759" s="248"/>
      <c r="H759" s="32"/>
      <c r="I759" s="248"/>
      <c r="J759" s="248"/>
      <c r="K759" s="251"/>
      <c r="L759" s="238"/>
      <c r="M759" s="248"/>
      <c r="N759" s="248"/>
      <c r="O759" s="248"/>
      <c r="P759" s="250"/>
      <c r="Q759" s="252"/>
      <c r="R759" s="248"/>
      <c r="S759" s="248"/>
      <c r="T759" s="248"/>
      <c r="U759" s="248"/>
      <c r="V759" s="248"/>
      <c r="W759" s="248"/>
      <c r="X759" s="248"/>
      <c r="Y759" s="248"/>
      <c r="Z759" s="253"/>
      <c r="AA759" s="253"/>
      <c r="AB759" s="253"/>
      <c r="AC759" s="253"/>
      <c r="AD759" s="253"/>
      <c r="AE759" s="253"/>
      <c r="AF759" s="254"/>
      <c r="AG759" s="257"/>
      <c r="AH759" s="257"/>
      <c r="AI759" s="257"/>
      <c r="AJ759" s="258"/>
      <c r="AK759" s="259"/>
      <c r="AL759" s="257"/>
      <c r="AM759" s="257"/>
      <c r="AN759" s="257"/>
      <c r="AO759" s="257"/>
      <c r="AP759" s="257"/>
      <c r="AQ759" s="258"/>
      <c r="AR759" s="260"/>
      <c r="AS759" s="257"/>
      <c r="AT759" s="257"/>
      <c r="AU759" s="257"/>
      <c r="AV759" s="257"/>
      <c r="AW759" s="257"/>
      <c r="AX759" s="258"/>
      <c r="AY759" s="260"/>
      <c r="AZ759" s="257"/>
      <c r="BA759" s="257"/>
      <c r="BB759" s="257"/>
      <c r="BC759" s="257"/>
      <c r="BD759" s="258"/>
      <c r="BE759" s="260"/>
      <c r="BF759" s="258"/>
      <c r="BG759" s="260"/>
      <c r="BH759" s="257"/>
      <c r="BI759" s="14"/>
    </row>
    <row r="760" spans="1:61" ht="13.15" x14ac:dyDescent="0.4">
      <c r="A760" s="248"/>
      <c r="B760" s="256"/>
      <c r="C760" s="248"/>
      <c r="D760" s="248"/>
      <c r="E760" s="248"/>
      <c r="F760" s="250"/>
      <c r="G760" s="248"/>
      <c r="H760" s="32"/>
      <c r="I760" s="248"/>
      <c r="J760" s="248"/>
      <c r="K760" s="251"/>
      <c r="L760" s="238"/>
      <c r="M760" s="248"/>
      <c r="N760" s="248"/>
      <c r="O760" s="248"/>
      <c r="P760" s="250"/>
      <c r="Q760" s="252"/>
      <c r="R760" s="248"/>
      <c r="S760" s="248"/>
      <c r="T760" s="248"/>
      <c r="U760" s="248"/>
      <c r="V760" s="248"/>
      <c r="W760" s="248"/>
      <c r="X760" s="248"/>
      <c r="Y760" s="248"/>
      <c r="Z760" s="253"/>
      <c r="AA760" s="253"/>
      <c r="AB760" s="253"/>
      <c r="AC760" s="253"/>
      <c r="AD760" s="253"/>
      <c r="AE760" s="253"/>
      <c r="AF760" s="254"/>
      <c r="AG760" s="257"/>
      <c r="AH760" s="257"/>
      <c r="AI760" s="257"/>
      <c r="AJ760" s="258"/>
      <c r="AK760" s="259"/>
      <c r="AL760" s="257"/>
      <c r="AM760" s="257"/>
      <c r="AN760" s="257"/>
      <c r="AO760" s="257"/>
      <c r="AP760" s="257"/>
      <c r="AQ760" s="258"/>
      <c r="AR760" s="260"/>
      <c r="AS760" s="257"/>
      <c r="AT760" s="257"/>
      <c r="AU760" s="257"/>
      <c r="AV760" s="257"/>
      <c r="AW760" s="257"/>
      <c r="AX760" s="258"/>
      <c r="AY760" s="260"/>
      <c r="AZ760" s="257"/>
      <c r="BA760" s="257"/>
      <c r="BB760" s="257"/>
      <c r="BC760" s="257"/>
      <c r="BD760" s="258"/>
      <c r="BE760" s="260"/>
      <c r="BF760" s="258"/>
      <c r="BG760" s="260"/>
      <c r="BH760" s="257"/>
      <c r="BI760" s="14"/>
    </row>
    <row r="761" spans="1:61" ht="13.15" x14ac:dyDescent="0.4">
      <c r="A761" s="248"/>
      <c r="B761" s="256"/>
      <c r="C761" s="248"/>
      <c r="D761" s="248"/>
      <c r="E761" s="248"/>
      <c r="F761" s="250"/>
      <c r="G761" s="248"/>
      <c r="H761" s="32"/>
      <c r="I761" s="248"/>
      <c r="J761" s="248"/>
      <c r="K761" s="251"/>
      <c r="L761" s="238"/>
      <c r="M761" s="248"/>
      <c r="N761" s="248"/>
      <c r="O761" s="248"/>
      <c r="P761" s="250"/>
      <c r="Q761" s="252"/>
      <c r="R761" s="248"/>
      <c r="S761" s="248"/>
      <c r="T761" s="248"/>
      <c r="U761" s="248"/>
      <c r="V761" s="248"/>
      <c r="W761" s="248"/>
      <c r="X761" s="248"/>
      <c r="Y761" s="248"/>
      <c r="Z761" s="253"/>
      <c r="AA761" s="253"/>
      <c r="AB761" s="253"/>
      <c r="AC761" s="253"/>
      <c r="AD761" s="253"/>
      <c r="AE761" s="253"/>
      <c r="AF761" s="254"/>
      <c r="AG761" s="257"/>
      <c r="AH761" s="257"/>
      <c r="AI761" s="257"/>
      <c r="AJ761" s="258"/>
      <c r="AK761" s="259"/>
      <c r="AL761" s="257"/>
      <c r="AM761" s="257"/>
      <c r="AN761" s="257"/>
      <c r="AO761" s="257"/>
      <c r="AP761" s="257"/>
      <c r="AQ761" s="258"/>
      <c r="AR761" s="260"/>
      <c r="AS761" s="257"/>
      <c r="AT761" s="257"/>
      <c r="AU761" s="257"/>
      <c r="AV761" s="257"/>
      <c r="AW761" s="257"/>
      <c r="AX761" s="258"/>
      <c r="AY761" s="260"/>
      <c r="AZ761" s="257"/>
      <c r="BA761" s="257"/>
      <c r="BB761" s="257"/>
      <c r="BC761" s="257"/>
      <c r="BD761" s="258"/>
      <c r="BE761" s="260"/>
      <c r="BF761" s="258"/>
      <c r="BG761" s="260"/>
      <c r="BH761" s="257"/>
      <c r="BI761" s="14"/>
    </row>
    <row r="762" spans="1:61" ht="13.15" x14ac:dyDescent="0.4">
      <c r="A762" s="248"/>
      <c r="B762" s="256"/>
      <c r="C762" s="248"/>
      <c r="D762" s="248"/>
      <c r="E762" s="248"/>
      <c r="F762" s="250"/>
      <c r="G762" s="248"/>
      <c r="H762" s="32"/>
      <c r="I762" s="248"/>
      <c r="J762" s="248"/>
      <c r="K762" s="251"/>
      <c r="L762" s="238"/>
      <c r="M762" s="248"/>
      <c r="N762" s="248"/>
      <c r="O762" s="248"/>
      <c r="P762" s="250"/>
      <c r="Q762" s="252"/>
      <c r="R762" s="248"/>
      <c r="S762" s="248"/>
      <c r="T762" s="248"/>
      <c r="U762" s="248"/>
      <c r="V762" s="248"/>
      <c r="W762" s="248"/>
      <c r="X762" s="248"/>
      <c r="Y762" s="248"/>
      <c r="Z762" s="253"/>
      <c r="AA762" s="253"/>
      <c r="AB762" s="253"/>
      <c r="AC762" s="253"/>
      <c r="AD762" s="253"/>
      <c r="AE762" s="253"/>
      <c r="AF762" s="254"/>
      <c r="AG762" s="257"/>
      <c r="AH762" s="257"/>
      <c r="AI762" s="257"/>
      <c r="AJ762" s="258"/>
      <c r="AK762" s="259"/>
      <c r="AL762" s="257"/>
      <c r="AM762" s="257"/>
      <c r="AN762" s="257"/>
      <c r="AO762" s="257"/>
      <c r="AP762" s="257"/>
      <c r="AQ762" s="258"/>
      <c r="AR762" s="260"/>
      <c r="AS762" s="257"/>
      <c r="AT762" s="257"/>
      <c r="AU762" s="257"/>
      <c r="AV762" s="257"/>
      <c r="AW762" s="257"/>
      <c r="AX762" s="258"/>
      <c r="AY762" s="260"/>
      <c r="AZ762" s="257"/>
      <c r="BA762" s="257"/>
      <c r="BB762" s="257"/>
      <c r="BC762" s="257"/>
      <c r="BD762" s="258"/>
      <c r="BE762" s="260"/>
      <c r="BF762" s="258"/>
      <c r="BG762" s="260"/>
      <c r="BH762" s="257"/>
      <c r="BI762" s="14"/>
    </row>
    <row r="763" spans="1:61" ht="13.15" x14ac:dyDescent="0.4">
      <c r="A763" s="248"/>
      <c r="B763" s="256"/>
      <c r="C763" s="248"/>
      <c r="D763" s="248"/>
      <c r="E763" s="248"/>
      <c r="F763" s="250"/>
      <c r="G763" s="248"/>
      <c r="H763" s="32"/>
      <c r="I763" s="248"/>
      <c r="J763" s="248"/>
      <c r="K763" s="251"/>
      <c r="L763" s="238"/>
      <c r="M763" s="248"/>
      <c r="N763" s="248"/>
      <c r="O763" s="248"/>
      <c r="P763" s="250"/>
      <c r="Q763" s="252"/>
      <c r="R763" s="248"/>
      <c r="S763" s="248"/>
      <c r="T763" s="248"/>
      <c r="U763" s="248"/>
      <c r="V763" s="248"/>
      <c r="W763" s="248"/>
      <c r="X763" s="248"/>
      <c r="Y763" s="248"/>
      <c r="Z763" s="253"/>
      <c r="AA763" s="253"/>
      <c r="AB763" s="253"/>
      <c r="AC763" s="253"/>
      <c r="AD763" s="253"/>
      <c r="AE763" s="253"/>
      <c r="AF763" s="254"/>
      <c r="AG763" s="257"/>
      <c r="AH763" s="257"/>
      <c r="AI763" s="257"/>
      <c r="AJ763" s="258"/>
      <c r="AK763" s="259"/>
      <c r="AL763" s="257"/>
      <c r="AM763" s="257"/>
      <c r="AN763" s="257"/>
      <c r="AO763" s="257"/>
      <c r="AP763" s="257"/>
      <c r="AQ763" s="258"/>
      <c r="AR763" s="260"/>
      <c r="AS763" s="257"/>
      <c r="AT763" s="257"/>
      <c r="AU763" s="257"/>
      <c r="AV763" s="257"/>
      <c r="AW763" s="257"/>
      <c r="AX763" s="258"/>
      <c r="AY763" s="260"/>
      <c r="AZ763" s="257"/>
      <c r="BA763" s="257"/>
      <c r="BB763" s="257"/>
      <c r="BC763" s="257"/>
      <c r="BD763" s="258"/>
      <c r="BE763" s="260"/>
      <c r="BF763" s="258"/>
      <c r="BG763" s="260"/>
      <c r="BH763" s="257"/>
      <c r="BI763" s="14"/>
    </row>
    <row r="764" spans="1:61" ht="13.15" x14ac:dyDescent="0.4">
      <c r="A764" s="248"/>
      <c r="B764" s="256"/>
      <c r="C764" s="248"/>
      <c r="D764" s="248"/>
      <c r="E764" s="248"/>
      <c r="F764" s="250"/>
      <c r="G764" s="248"/>
      <c r="H764" s="32"/>
      <c r="I764" s="248"/>
      <c r="J764" s="248"/>
      <c r="K764" s="251"/>
      <c r="L764" s="238"/>
      <c r="M764" s="248"/>
      <c r="N764" s="248"/>
      <c r="O764" s="248"/>
      <c r="P764" s="250"/>
      <c r="Q764" s="252"/>
      <c r="R764" s="248"/>
      <c r="S764" s="248"/>
      <c r="T764" s="248"/>
      <c r="U764" s="248"/>
      <c r="V764" s="248"/>
      <c r="W764" s="248"/>
      <c r="X764" s="248"/>
      <c r="Y764" s="248"/>
      <c r="Z764" s="253"/>
      <c r="AA764" s="253"/>
      <c r="AB764" s="253"/>
      <c r="AC764" s="253"/>
      <c r="AD764" s="253"/>
      <c r="AE764" s="253"/>
      <c r="AF764" s="254"/>
      <c r="AG764" s="257"/>
      <c r="AH764" s="257"/>
      <c r="AI764" s="257"/>
      <c r="AJ764" s="258"/>
      <c r="AK764" s="259"/>
      <c r="AL764" s="257"/>
      <c r="AM764" s="257"/>
      <c r="AN764" s="257"/>
      <c r="AO764" s="257"/>
      <c r="AP764" s="257"/>
      <c r="AQ764" s="258"/>
      <c r="AR764" s="260"/>
      <c r="AS764" s="257"/>
      <c r="AT764" s="257"/>
      <c r="AU764" s="257"/>
      <c r="AV764" s="257"/>
      <c r="AW764" s="257"/>
      <c r="AX764" s="258"/>
      <c r="AY764" s="260"/>
      <c r="AZ764" s="257"/>
      <c r="BA764" s="257"/>
      <c r="BB764" s="257"/>
      <c r="BC764" s="257"/>
      <c r="BD764" s="258"/>
      <c r="BE764" s="260"/>
      <c r="BF764" s="258"/>
      <c r="BG764" s="260"/>
      <c r="BH764" s="257"/>
      <c r="BI764" s="14"/>
    </row>
    <row r="765" spans="1:61" ht="13.15" x14ac:dyDescent="0.4">
      <c r="A765" s="248"/>
      <c r="B765" s="256"/>
      <c r="C765" s="248"/>
      <c r="D765" s="248"/>
      <c r="E765" s="248"/>
      <c r="F765" s="250"/>
      <c r="G765" s="248"/>
      <c r="H765" s="32"/>
      <c r="I765" s="248"/>
      <c r="J765" s="248"/>
      <c r="K765" s="251"/>
      <c r="L765" s="238"/>
      <c r="M765" s="248"/>
      <c r="N765" s="248"/>
      <c r="O765" s="248"/>
      <c r="P765" s="250"/>
      <c r="Q765" s="252"/>
      <c r="R765" s="248"/>
      <c r="S765" s="248"/>
      <c r="T765" s="248"/>
      <c r="U765" s="248"/>
      <c r="V765" s="248"/>
      <c r="W765" s="248"/>
      <c r="X765" s="248"/>
      <c r="Y765" s="248"/>
      <c r="Z765" s="253"/>
      <c r="AA765" s="253"/>
      <c r="AB765" s="253"/>
      <c r="AC765" s="253"/>
      <c r="AD765" s="253"/>
      <c r="AE765" s="253"/>
      <c r="AF765" s="254"/>
      <c r="AG765" s="257"/>
      <c r="AH765" s="257"/>
      <c r="AI765" s="257"/>
      <c r="AJ765" s="258"/>
      <c r="AK765" s="259"/>
      <c r="AL765" s="257"/>
      <c r="AM765" s="257"/>
      <c r="AN765" s="257"/>
      <c r="AO765" s="257"/>
      <c r="AP765" s="257"/>
      <c r="AQ765" s="258"/>
      <c r="AR765" s="260"/>
      <c r="AS765" s="257"/>
      <c r="AT765" s="257"/>
      <c r="AU765" s="257"/>
      <c r="AV765" s="257"/>
      <c r="AW765" s="257"/>
      <c r="AX765" s="258"/>
      <c r="AY765" s="260"/>
      <c r="AZ765" s="257"/>
      <c r="BA765" s="257"/>
      <c r="BB765" s="257"/>
      <c r="BC765" s="257"/>
      <c r="BD765" s="258"/>
      <c r="BE765" s="260"/>
      <c r="BF765" s="258"/>
      <c r="BG765" s="260"/>
      <c r="BH765" s="257"/>
      <c r="BI765" s="14"/>
    </row>
    <row r="766" spans="1:61" ht="13.15" x14ac:dyDescent="0.4">
      <c r="A766" s="248"/>
      <c r="B766" s="256"/>
      <c r="C766" s="248"/>
      <c r="D766" s="248"/>
      <c r="E766" s="248"/>
      <c r="F766" s="250"/>
      <c r="G766" s="248"/>
      <c r="H766" s="32"/>
      <c r="I766" s="248"/>
      <c r="J766" s="248"/>
      <c r="K766" s="251"/>
      <c r="L766" s="238"/>
      <c r="M766" s="248"/>
      <c r="N766" s="248"/>
      <c r="O766" s="248"/>
      <c r="P766" s="250"/>
      <c r="Q766" s="252"/>
      <c r="R766" s="248"/>
      <c r="S766" s="248"/>
      <c r="T766" s="248"/>
      <c r="U766" s="248"/>
      <c r="V766" s="248"/>
      <c r="W766" s="248"/>
      <c r="X766" s="248"/>
      <c r="Y766" s="248"/>
      <c r="Z766" s="253"/>
      <c r="AA766" s="253"/>
      <c r="AB766" s="253"/>
      <c r="AC766" s="253"/>
      <c r="AD766" s="253"/>
      <c r="AE766" s="253"/>
      <c r="AF766" s="254"/>
      <c r="AG766" s="257"/>
      <c r="AH766" s="257"/>
      <c r="AI766" s="257"/>
      <c r="AJ766" s="258"/>
      <c r="AK766" s="259"/>
      <c r="AL766" s="257"/>
      <c r="AM766" s="257"/>
      <c r="AN766" s="257"/>
      <c r="AO766" s="257"/>
      <c r="AP766" s="257"/>
      <c r="AQ766" s="258"/>
      <c r="AR766" s="260"/>
      <c r="AS766" s="257"/>
      <c r="AT766" s="257"/>
      <c r="AU766" s="257"/>
      <c r="AV766" s="257"/>
      <c r="AW766" s="257"/>
      <c r="AX766" s="258"/>
      <c r="AY766" s="260"/>
      <c r="AZ766" s="257"/>
      <c r="BA766" s="257"/>
      <c r="BB766" s="257"/>
      <c r="BC766" s="257"/>
      <c r="BD766" s="258"/>
      <c r="BE766" s="260"/>
      <c r="BF766" s="258"/>
      <c r="BG766" s="260"/>
      <c r="BH766" s="257"/>
      <c r="BI766" s="14"/>
    </row>
    <row r="767" spans="1:61" ht="13.15" x14ac:dyDescent="0.4">
      <c r="A767" s="248"/>
      <c r="B767" s="256"/>
      <c r="C767" s="248"/>
      <c r="D767" s="248"/>
      <c r="E767" s="248"/>
      <c r="F767" s="250"/>
      <c r="G767" s="248"/>
      <c r="H767" s="32"/>
      <c r="I767" s="248"/>
      <c r="J767" s="248"/>
      <c r="K767" s="251"/>
      <c r="L767" s="238"/>
      <c r="M767" s="248"/>
      <c r="N767" s="248"/>
      <c r="O767" s="248"/>
      <c r="P767" s="250"/>
      <c r="Q767" s="252"/>
      <c r="R767" s="248"/>
      <c r="S767" s="248"/>
      <c r="T767" s="248"/>
      <c r="U767" s="248"/>
      <c r="V767" s="248"/>
      <c r="W767" s="248"/>
      <c r="X767" s="248"/>
      <c r="Y767" s="248"/>
      <c r="Z767" s="253"/>
      <c r="AA767" s="253"/>
      <c r="AB767" s="253"/>
      <c r="AC767" s="253"/>
      <c r="AD767" s="253"/>
      <c r="AE767" s="253"/>
      <c r="AF767" s="254"/>
      <c r="AG767" s="257"/>
      <c r="AH767" s="257"/>
      <c r="AI767" s="257"/>
      <c r="AJ767" s="258"/>
      <c r="AK767" s="259"/>
      <c r="AL767" s="257"/>
      <c r="AM767" s="257"/>
      <c r="AN767" s="257"/>
      <c r="AO767" s="257"/>
      <c r="AP767" s="257"/>
      <c r="AQ767" s="258"/>
      <c r="AR767" s="260"/>
      <c r="AS767" s="257"/>
      <c r="AT767" s="257"/>
      <c r="AU767" s="257"/>
      <c r="AV767" s="257"/>
      <c r="AW767" s="257"/>
      <c r="AX767" s="258"/>
      <c r="AY767" s="260"/>
      <c r="AZ767" s="257"/>
      <c r="BA767" s="257"/>
      <c r="BB767" s="257"/>
      <c r="BC767" s="257"/>
      <c r="BD767" s="258"/>
      <c r="BE767" s="260"/>
      <c r="BF767" s="258"/>
      <c r="BG767" s="260"/>
      <c r="BH767" s="257"/>
      <c r="BI767" s="14"/>
    </row>
    <row r="768" spans="1:61" ht="13.15" x14ac:dyDescent="0.4">
      <c r="A768" s="248"/>
      <c r="B768" s="256"/>
      <c r="C768" s="248"/>
      <c r="D768" s="248"/>
      <c r="E768" s="248"/>
      <c r="F768" s="250"/>
      <c r="G768" s="248"/>
      <c r="H768" s="32"/>
      <c r="I768" s="248"/>
      <c r="J768" s="248"/>
      <c r="K768" s="251"/>
      <c r="L768" s="238"/>
      <c r="M768" s="248"/>
      <c r="N768" s="248"/>
      <c r="O768" s="248"/>
      <c r="P768" s="250"/>
      <c r="Q768" s="252"/>
      <c r="R768" s="248"/>
      <c r="S768" s="248"/>
      <c r="T768" s="248"/>
      <c r="U768" s="248"/>
      <c r="V768" s="248"/>
      <c r="W768" s="248"/>
      <c r="X768" s="248"/>
      <c r="Y768" s="248"/>
      <c r="Z768" s="253"/>
      <c r="AA768" s="253"/>
      <c r="AB768" s="253"/>
      <c r="AC768" s="253"/>
      <c r="AD768" s="253"/>
      <c r="AE768" s="253"/>
      <c r="AF768" s="254"/>
      <c r="AG768" s="257"/>
      <c r="AH768" s="257"/>
      <c r="AI768" s="257"/>
      <c r="AJ768" s="258"/>
      <c r="AK768" s="259"/>
      <c r="AL768" s="257"/>
      <c r="AM768" s="257"/>
      <c r="AN768" s="257"/>
      <c r="AO768" s="257"/>
      <c r="AP768" s="257"/>
      <c r="AQ768" s="258"/>
      <c r="AR768" s="260"/>
      <c r="AS768" s="257"/>
      <c r="AT768" s="257"/>
      <c r="AU768" s="257"/>
      <c r="AV768" s="257"/>
      <c r="AW768" s="257"/>
      <c r="AX768" s="258"/>
      <c r="AY768" s="260"/>
      <c r="AZ768" s="257"/>
      <c r="BA768" s="257"/>
      <c r="BB768" s="257"/>
      <c r="BC768" s="257"/>
      <c r="BD768" s="258"/>
      <c r="BE768" s="260"/>
      <c r="BF768" s="258"/>
      <c r="BG768" s="260"/>
      <c r="BH768" s="257"/>
      <c r="BI768" s="14"/>
    </row>
    <row r="769" spans="1:61" ht="13.15" x14ac:dyDescent="0.4">
      <c r="A769" s="248"/>
      <c r="B769" s="256"/>
      <c r="C769" s="248"/>
      <c r="D769" s="248"/>
      <c r="E769" s="248"/>
      <c r="F769" s="250"/>
      <c r="G769" s="248"/>
      <c r="H769" s="32"/>
      <c r="I769" s="248"/>
      <c r="J769" s="248"/>
      <c r="K769" s="251"/>
      <c r="L769" s="238"/>
      <c r="M769" s="248"/>
      <c r="N769" s="248"/>
      <c r="O769" s="248"/>
      <c r="P769" s="250"/>
      <c r="Q769" s="252"/>
      <c r="R769" s="248"/>
      <c r="S769" s="248"/>
      <c r="T769" s="248"/>
      <c r="U769" s="248"/>
      <c r="V769" s="248"/>
      <c r="W769" s="248"/>
      <c r="X769" s="248"/>
      <c r="Y769" s="248"/>
      <c r="Z769" s="253"/>
      <c r="AA769" s="253"/>
      <c r="AB769" s="253"/>
      <c r="AC769" s="253"/>
      <c r="AD769" s="253"/>
      <c r="AE769" s="253"/>
      <c r="AF769" s="254"/>
      <c r="AG769" s="257"/>
      <c r="AH769" s="257"/>
      <c r="AI769" s="257"/>
      <c r="AJ769" s="258"/>
      <c r="AK769" s="259"/>
      <c r="AL769" s="257"/>
      <c r="AM769" s="257"/>
      <c r="AN769" s="257"/>
      <c r="AO769" s="257"/>
      <c r="AP769" s="257"/>
      <c r="AQ769" s="258"/>
      <c r="AR769" s="260"/>
      <c r="AS769" s="257"/>
      <c r="AT769" s="257"/>
      <c r="AU769" s="257"/>
      <c r="AV769" s="257"/>
      <c r="AW769" s="257"/>
      <c r="AX769" s="258"/>
      <c r="AY769" s="260"/>
      <c r="AZ769" s="257"/>
      <c r="BA769" s="257"/>
      <c r="BB769" s="257"/>
      <c r="BC769" s="257"/>
      <c r="BD769" s="258"/>
      <c r="BE769" s="260"/>
      <c r="BF769" s="258"/>
      <c r="BG769" s="260"/>
      <c r="BH769" s="257"/>
      <c r="BI769" s="14"/>
    </row>
    <row r="770" spans="1:61" ht="13.15" x14ac:dyDescent="0.4">
      <c r="A770" s="248"/>
      <c r="B770" s="256"/>
      <c r="C770" s="248"/>
      <c r="D770" s="248"/>
      <c r="E770" s="248"/>
      <c r="F770" s="250"/>
      <c r="G770" s="248"/>
      <c r="H770" s="32"/>
      <c r="I770" s="248"/>
      <c r="J770" s="248"/>
      <c r="K770" s="251"/>
      <c r="L770" s="238"/>
      <c r="M770" s="248"/>
      <c r="N770" s="248"/>
      <c r="O770" s="248"/>
      <c r="P770" s="250"/>
      <c r="Q770" s="252"/>
      <c r="R770" s="248"/>
      <c r="S770" s="248"/>
      <c r="T770" s="248"/>
      <c r="U770" s="248"/>
      <c r="V770" s="248"/>
      <c r="W770" s="248"/>
      <c r="X770" s="248"/>
      <c r="Y770" s="248"/>
      <c r="Z770" s="253"/>
      <c r="AA770" s="253"/>
      <c r="AB770" s="253"/>
      <c r="AC770" s="253"/>
      <c r="AD770" s="253"/>
      <c r="AE770" s="253"/>
      <c r="AF770" s="254"/>
      <c r="AG770" s="257"/>
      <c r="AH770" s="257"/>
      <c r="AI770" s="257"/>
      <c r="AJ770" s="258"/>
      <c r="AK770" s="259"/>
      <c r="AL770" s="257"/>
      <c r="AM770" s="257"/>
      <c r="AN770" s="257"/>
      <c r="AO770" s="257"/>
      <c r="AP770" s="257"/>
      <c r="AQ770" s="258"/>
      <c r="AR770" s="260"/>
      <c r="AS770" s="257"/>
      <c r="AT770" s="257"/>
      <c r="AU770" s="257"/>
      <c r="AV770" s="257"/>
      <c r="AW770" s="257"/>
      <c r="AX770" s="258"/>
      <c r="AY770" s="260"/>
      <c r="AZ770" s="257"/>
      <c r="BA770" s="257"/>
      <c r="BB770" s="257"/>
      <c r="BC770" s="257"/>
      <c r="BD770" s="258"/>
      <c r="BE770" s="260"/>
      <c r="BF770" s="258"/>
      <c r="BG770" s="260"/>
      <c r="BH770" s="257"/>
      <c r="BI770" s="14"/>
    </row>
    <row r="771" spans="1:61" ht="13.15" x14ac:dyDescent="0.4">
      <c r="A771" s="248"/>
      <c r="B771" s="256"/>
      <c r="C771" s="248"/>
      <c r="D771" s="248"/>
      <c r="E771" s="248"/>
      <c r="F771" s="250"/>
      <c r="G771" s="248"/>
      <c r="H771" s="32"/>
      <c r="I771" s="248"/>
      <c r="J771" s="248"/>
      <c r="K771" s="251"/>
      <c r="L771" s="238"/>
      <c r="M771" s="248"/>
      <c r="N771" s="248"/>
      <c r="O771" s="248"/>
      <c r="P771" s="250"/>
      <c r="Q771" s="252"/>
      <c r="R771" s="248"/>
      <c r="S771" s="248"/>
      <c r="T771" s="248"/>
      <c r="U771" s="248"/>
      <c r="V771" s="248"/>
      <c r="W771" s="248"/>
      <c r="X771" s="248"/>
      <c r="Y771" s="248"/>
      <c r="Z771" s="253"/>
      <c r="AA771" s="253"/>
      <c r="AB771" s="253"/>
      <c r="AC771" s="253"/>
      <c r="AD771" s="253"/>
      <c r="AE771" s="253"/>
      <c r="AF771" s="254"/>
      <c r="AG771" s="257"/>
      <c r="AH771" s="257"/>
      <c r="AI771" s="257"/>
      <c r="AJ771" s="258"/>
      <c r="AK771" s="259"/>
      <c r="AL771" s="257"/>
      <c r="AM771" s="257"/>
      <c r="AN771" s="257"/>
      <c r="AO771" s="257"/>
      <c r="AP771" s="257"/>
      <c r="AQ771" s="258"/>
      <c r="AR771" s="260"/>
      <c r="AS771" s="257"/>
      <c r="AT771" s="257"/>
      <c r="AU771" s="257"/>
      <c r="AV771" s="257"/>
      <c r="AW771" s="257"/>
      <c r="AX771" s="258"/>
      <c r="AY771" s="260"/>
      <c r="AZ771" s="257"/>
      <c r="BA771" s="257"/>
      <c r="BB771" s="257"/>
      <c r="BC771" s="257"/>
      <c r="BD771" s="258"/>
      <c r="BE771" s="260"/>
      <c r="BF771" s="258"/>
      <c r="BG771" s="260"/>
      <c r="BH771" s="257"/>
      <c r="BI771" s="14"/>
    </row>
    <row r="772" spans="1:61" ht="13.15" x14ac:dyDescent="0.4">
      <c r="A772" s="248"/>
      <c r="B772" s="256"/>
      <c r="C772" s="248"/>
      <c r="D772" s="248"/>
      <c r="E772" s="248"/>
      <c r="F772" s="250"/>
      <c r="G772" s="248"/>
      <c r="H772" s="32"/>
      <c r="I772" s="248"/>
      <c r="J772" s="248"/>
      <c r="K772" s="251"/>
      <c r="L772" s="238"/>
      <c r="M772" s="248"/>
      <c r="N772" s="248"/>
      <c r="O772" s="248"/>
      <c r="P772" s="250"/>
      <c r="Q772" s="252"/>
      <c r="R772" s="248"/>
      <c r="S772" s="248"/>
      <c r="T772" s="248"/>
      <c r="U772" s="248"/>
      <c r="V772" s="248"/>
      <c r="W772" s="248"/>
      <c r="X772" s="248"/>
      <c r="Y772" s="248"/>
      <c r="Z772" s="253"/>
      <c r="AA772" s="253"/>
      <c r="AB772" s="253"/>
      <c r="AC772" s="253"/>
      <c r="AD772" s="253"/>
      <c r="AE772" s="253"/>
      <c r="AF772" s="254"/>
      <c r="AG772" s="257"/>
      <c r="AH772" s="257"/>
      <c r="AI772" s="257"/>
      <c r="AJ772" s="258"/>
      <c r="AK772" s="259"/>
      <c r="AL772" s="257"/>
      <c r="AM772" s="257"/>
      <c r="AN772" s="257"/>
      <c r="AO772" s="257"/>
      <c r="AP772" s="257"/>
      <c r="AQ772" s="258"/>
      <c r="AR772" s="260"/>
      <c r="AS772" s="257"/>
      <c r="AT772" s="257"/>
      <c r="AU772" s="257"/>
      <c r="AV772" s="257"/>
      <c r="AW772" s="257"/>
      <c r="AX772" s="258"/>
      <c r="AY772" s="260"/>
      <c r="AZ772" s="257"/>
      <c r="BA772" s="257"/>
      <c r="BB772" s="257"/>
      <c r="BC772" s="257"/>
      <c r="BD772" s="258"/>
      <c r="BE772" s="260"/>
      <c r="BF772" s="258"/>
      <c r="BG772" s="260"/>
      <c r="BH772" s="257"/>
      <c r="BI772" s="14"/>
    </row>
    <row r="773" spans="1:61" ht="13.15" x14ac:dyDescent="0.4">
      <c r="A773" s="248"/>
      <c r="B773" s="256"/>
      <c r="C773" s="248"/>
      <c r="D773" s="248"/>
      <c r="E773" s="248"/>
      <c r="F773" s="250"/>
      <c r="G773" s="248"/>
      <c r="H773" s="32"/>
      <c r="I773" s="248"/>
      <c r="J773" s="248"/>
      <c r="K773" s="251"/>
      <c r="L773" s="238"/>
      <c r="M773" s="248"/>
      <c r="N773" s="248"/>
      <c r="O773" s="248"/>
      <c r="P773" s="250"/>
      <c r="Q773" s="252"/>
      <c r="R773" s="248"/>
      <c r="S773" s="248"/>
      <c r="T773" s="248"/>
      <c r="U773" s="248"/>
      <c r="V773" s="248"/>
      <c r="W773" s="248"/>
      <c r="X773" s="248"/>
      <c r="Y773" s="248"/>
      <c r="Z773" s="253"/>
      <c r="AA773" s="253"/>
      <c r="AB773" s="253"/>
      <c r="AC773" s="253"/>
      <c r="AD773" s="253"/>
      <c r="AE773" s="253"/>
      <c r="AF773" s="254"/>
      <c r="AG773" s="257"/>
      <c r="AH773" s="257"/>
      <c r="AI773" s="257"/>
      <c r="AJ773" s="258"/>
      <c r="AK773" s="259"/>
      <c r="AL773" s="257"/>
      <c r="AM773" s="257"/>
      <c r="AN773" s="257"/>
      <c r="AO773" s="257"/>
      <c r="AP773" s="257"/>
      <c r="AQ773" s="258"/>
      <c r="AR773" s="260"/>
      <c r="AS773" s="257"/>
      <c r="AT773" s="257"/>
      <c r="AU773" s="257"/>
      <c r="AV773" s="257"/>
      <c r="AW773" s="257"/>
      <c r="AX773" s="258"/>
      <c r="AY773" s="260"/>
      <c r="AZ773" s="257"/>
      <c r="BA773" s="257"/>
      <c r="BB773" s="257"/>
      <c r="BC773" s="257"/>
      <c r="BD773" s="258"/>
      <c r="BE773" s="260"/>
      <c r="BF773" s="258"/>
      <c r="BG773" s="260"/>
      <c r="BH773" s="257"/>
      <c r="BI773" s="14"/>
    </row>
    <row r="774" spans="1:61" ht="13.15" x14ac:dyDescent="0.4">
      <c r="A774" s="248"/>
      <c r="B774" s="256"/>
      <c r="C774" s="248"/>
      <c r="D774" s="248"/>
      <c r="E774" s="248"/>
      <c r="F774" s="250"/>
      <c r="G774" s="248"/>
      <c r="H774" s="32"/>
      <c r="I774" s="248"/>
      <c r="J774" s="248"/>
      <c r="K774" s="251"/>
      <c r="L774" s="238"/>
      <c r="M774" s="248"/>
      <c r="N774" s="248"/>
      <c r="O774" s="248"/>
      <c r="P774" s="250"/>
      <c r="Q774" s="252"/>
      <c r="R774" s="248"/>
      <c r="S774" s="248"/>
      <c r="T774" s="248"/>
      <c r="U774" s="248"/>
      <c r="V774" s="248"/>
      <c r="W774" s="248"/>
      <c r="X774" s="248"/>
      <c r="Y774" s="248"/>
      <c r="Z774" s="253"/>
      <c r="AA774" s="253"/>
      <c r="AB774" s="253"/>
      <c r="AC774" s="253"/>
      <c r="AD774" s="253"/>
      <c r="AE774" s="253"/>
      <c r="AF774" s="254"/>
      <c r="AG774" s="257"/>
      <c r="AH774" s="257"/>
      <c r="AI774" s="257"/>
      <c r="AJ774" s="258"/>
      <c r="AK774" s="259"/>
      <c r="AL774" s="257"/>
      <c r="AM774" s="257"/>
      <c r="AN774" s="257"/>
      <c r="AO774" s="257"/>
      <c r="AP774" s="257"/>
      <c r="AQ774" s="258"/>
      <c r="AR774" s="260"/>
      <c r="AS774" s="257"/>
      <c r="AT774" s="257"/>
      <c r="AU774" s="257"/>
      <c r="AV774" s="257"/>
      <c r="AW774" s="257"/>
      <c r="AX774" s="258"/>
      <c r="AY774" s="260"/>
      <c r="AZ774" s="257"/>
      <c r="BA774" s="257"/>
      <c r="BB774" s="257"/>
      <c r="BC774" s="257"/>
      <c r="BD774" s="258"/>
      <c r="BE774" s="260"/>
      <c r="BF774" s="258"/>
      <c r="BG774" s="260"/>
      <c r="BH774" s="257"/>
      <c r="BI774" s="14"/>
    </row>
    <row r="775" spans="1:61" ht="13.15" x14ac:dyDescent="0.4">
      <c r="A775" s="248"/>
      <c r="B775" s="256"/>
      <c r="C775" s="248"/>
      <c r="D775" s="248"/>
      <c r="E775" s="248"/>
      <c r="F775" s="250"/>
      <c r="G775" s="248"/>
      <c r="H775" s="32"/>
      <c r="I775" s="248"/>
      <c r="J775" s="248"/>
      <c r="K775" s="251"/>
      <c r="L775" s="238"/>
      <c r="M775" s="248"/>
      <c r="N775" s="248"/>
      <c r="O775" s="248"/>
      <c r="P775" s="250"/>
      <c r="Q775" s="252"/>
      <c r="R775" s="248"/>
      <c r="S775" s="248"/>
      <c r="T775" s="248"/>
      <c r="U775" s="248"/>
      <c r="V775" s="248"/>
      <c r="W775" s="248"/>
      <c r="X775" s="248"/>
      <c r="Y775" s="248"/>
      <c r="Z775" s="253"/>
      <c r="AA775" s="253"/>
      <c r="AB775" s="253"/>
      <c r="AC775" s="253"/>
      <c r="AD775" s="253"/>
      <c r="AE775" s="253"/>
      <c r="AF775" s="254"/>
      <c r="AG775" s="257"/>
      <c r="AH775" s="257"/>
      <c r="AI775" s="257"/>
      <c r="AJ775" s="258"/>
      <c r="AK775" s="259"/>
      <c r="AL775" s="257"/>
      <c r="AM775" s="257"/>
      <c r="AN775" s="257"/>
      <c r="AO775" s="257"/>
      <c r="AP775" s="257"/>
      <c r="AQ775" s="258"/>
      <c r="AR775" s="260"/>
      <c r="AS775" s="257"/>
      <c r="AT775" s="257"/>
      <c r="AU775" s="257"/>
      <c r="AV775" s="257"/>
      <c r="AW775" s="257"/>
      <c r="AX775" s="258"/>
      <c r="AY775" s="260"/>
      <c r="AZ775" s="257"/>
      <c r="BA775" s="257"/>
      <c r="BB775" s="257"/>
      <c r="BC775" s="257"/>
      <c r="BD775" s="258"/>
      <c r="BE775" s="260"/>
      <c r="BF775" s="258"/>
      <c r="BG775" s="260"/>
      <c r="BH775" s="257"/>
      <c r="BI775" s="14"/>
    </row>
    <row r="776" spans="1:61" ht="13.15" x14ac:dyDescent="0.4">
      <c r="A776" s="248"/>
      <c r="B776" s="256"/>
      <c r="C776" s="248"/>
      <c r="D776" s="248"/>
      <c r="E776" s="248"/>
      <c r="F776" s="250"/>
      <c r="G776" s="248"/>
      <c r="H776" s="32"/>
      <c r="I776" s="248"/>
      <c r="J776" s="248"/>
      <c r="K776" s="251"/>
      <c r="L776" s="238"/>
      <c r="M776" s="248"/>
      <c r="N776" s="248"/>
      <c r="O776" s="248"/>
      <c r="P776" s="250"/>
      <c r="Q776" s="252"/>
      <c r="R776" s="248"/>
      <c r="S776" s="248"/>
      <c r="T776" s="248"/>
      <c r="U776" s="248"/>
      <c r="V776" s="248"/>
      <c r="W776" s="248"/>
      <c r="X776" s="248"/>
      <c r="Y776" s="248"/>
      <c r="Z776" s="253"/>
      <c r="AA776" s="253"/>
      <c r="AB776" s="253"/>
      <c r="AC776" s="253"/>
      <c r="AD776" s="253"/>
      <c r="AE776" s="253"/>
      <c r="AF776" s="254"/>
      <c r="AG776" s="257"/>
      <c r="AH776" s="257"/>
      <c r="AI776" s="257"/>
      <c r="AJ776" s="258"/>
      <c r="AK776" s="259"/>
      <c r="AL776" s="257"/>
      <c r="AM776" s="257"/>
      <c r="AN776" s="257"/>
      <c r="AO776" s="257"/>
      <c r="AP776" s="257"/>
      <c r="AQ776" s="258"/>
      <c r="AR776" s="260"/>
      <c r="AS776" s="257"/>
      <c r="AT776" s="257"/>
      <c r="AU776" s="257"/>
      <c r="AV776" s="257"/>
      <c r="AW776" s="257"/>
      <c r="AX776" s="258"/>
      <c r="AY776" s="260"/>
      <c r="AZ776" s="257"/>
      <c r="BA776" s="257"/>
      <c r="BB776" s="257"/>
      <c r="BC776" s="257"/>
      <c r="BD776" s="258"/>
      <c r="BE776" s="260"/>
      <c r="BF776" s="258"/>
      <c r="BG776" s="260"/>
      <c r="BH776" s="257"/>
      <c r="BI776" s="14"/>
    </row>
    <row r="777" spans="1:61" ht="13.15" x14ac:dyDescent="0.4">
      <c r="A777" s="248"/>
      <c r="B777" s="256"/>
      <c r="C777" s="248"/>
      <c r="D777" s="248"/>
      <c r="E777" s="248"/>
      <c r="F777" s="250"/>
      <c r="G777" s="248"/>
      <c r="H777" s="32"/>
      <c r="I777" s="248"/>
      <c r="J777" s="248"/>
      <c r="K777" s="251"/>
      <c r="L777" s="238"/>
      <c r="M777" s="248"/>
      <c r="N777" s="248"/>
      <c r="O777" s="248"/>
      <c r="P777" s="250"/>
      <c r="Q777" s="252"/>
      <c r="R777" s="248"/>
      <c r="S777" s="248"/>
      <c r="T777" s="248"/>
      <c r="U777" s="248"/>
      <c r="V777" s="248"/>
      <c r="W777" s="248"/>
      <c r="X777" s="248"/>
      <c r="Y777" s="248"/>
      <c r="Z777" s="253"/>
      <c r="AA777" s="253"/>
      <c r="AB777" s="253"/>
      <c r="AC777" s="253"/>
      <c r="AD777" s="253"/>
      <c r="AE777" s="253"/>
      <c r="AF777" s="254"/>
      <c r="AG777" s="257"/>
      <c r="AH777" s="257"/>
      <c r="AI777" s="257"/>
      <c r="AJ777" s="258"/>
      <c r="AK777" s="259"/>
      <c r="AL777" s="257"/>
      <c r="AM777" s="257"/>
      <c r="AN777" s="257"/>
      <c r="AO777" s="257"/>
      <c r="AP777" s="257"/>
      <c r="AQ777" s="258"/>
      <c r="AR777" s="260"/>
      <c r="AS777" s="257"/>
      <c r="AT777" s="257"/>
      <c r="AU777" s="257"/>
      <c r="AV777" s="257"/>
      <c r="AW777" s="257"/>
      <c r="AX777" s="258"/>
      <c r="AY777" s="260"/>
      <c r="AZ777" s="257"/>
      <c r="BA777" s="257"/>
      <c r="BB777" s="257"/>
      <c r="BC777" s="257"/>
      <c r="BD777" s="258"/>
      <c r="BE777" s="260"/>
      <c r="BF777" s="258"/>
      <c r="BG777" s="260"/>
      <c r="BH777" s="257"/>
      <c r="BI777" s="14"/>
    </row>
    <row r="778" spans="1:61" ht="13.15" x14ac:dyDescent="0.4">
      <c r="A778" s="248"/>
      <c r="B778" s="256"/>
      <c r="C778" s="248"/>
      <c r="D778" s="248"/>
      <c r="E778" s="248"/>
      <c r="F778" s="250"/>
      <c r="G778" s="248"/>
      <c r="H778" s="32"/>
      <c r="I778" s="248"/>
      <c r="J778" s="248"/>
      <c r="K778" s="251"/>
      <c r="L778" s="238"/>
      <c r="M778" s="248"/>
      <c r="N778" s="248"/>
      <c r="O778" s="248"/>
      <c r="P778" s="250"/>
      <c r="Q778" s="252"/>
      <c r="R778" s="248"/>
      <c r="S778" s="248"/>
      <c r="T778" s="248"/>
      <c r="U778" s="248"/>
      <c r="V778" s="248"/>
      <c r="W778" s="248"/>
      <c r="X778" s="248"/>
      <c r="Y778" s="248"/>
      <c r="Z778" s="253"/>
      <c r="AA778" s="253"/>
      <c r="AB778" s="253"/>
      <c r="AC778" s="253"/>
      <c r="AD778" s="253"/>
      <c r="AE778" s="253"/>
      <c r="AF778" s="254"/>
      <c r="AG778" s="257"/>
      <c r="AH778" s="257"/>
      <c r="AI778" s="257"/>
      <c r="AJ778" s="258"/>
      <c r="AK778" s="259"/>
      <c r="AL778" s="257"/>
      <c r="AM778" s="257"/>
      <c r="AN778" s="257"/>
      <c r="AO778" s="257"/>
      <c r="AP778" s="257"/>
      <c r="AQ778" s="258"/>
      <c r="AR778" s="260"/>
      <c r="AS778" s="257"/>
      <c r="AT778" s="257"/>
      <c r="AU778" s="257"/>
      <c r="AV778" s="257"/>
      <c r="AW778" s="257"/>
      <c r="AX778" s="258"/>
      <c r="AY778" s="260"/>
      <c r="AZ778" s="257"/>
      <c r="BA778" s="257"/>
      <c r="BB778" s="257"/>
      <c r="BC778" s="257"/>
      <c r="BD778" s="258"/>
      <c r="BE778" s="260"/>
      <c r="BF778" s="258"/>
      <c r="BG778" s="260"/>
      <c r="BH778" s="257"/>
      <c r="BI778" s="14"/>
    </row>
    <row r="779" spans="1:61" ht="13.15" x14ac:dyDescent="0.4">
      <c r="A779" s="248"/>
      <c r="B779" s="256"/>
      <c r="C779" s="248"/>
      <c r="D779" s="248"/>
      <c r="E779" s="248"/>
      <c r="F779" s="250"/>
      <c r="G779" s="248"/>
      <c r="H779" s="32"/>
      <c r="I779" s="248"/>
      <c r="J779" s="248"/>
      <c r="K779" s="251"/>
      <c r="L779" s="238"/>
      <c r="M779" s="248"/>
      <c r="N779" s="248"/>
      <c r="O779" s="248"/>
      <c r="P779" s="250"/>
      <c r="Q779" s="252"/>
      <c r="R779" s="248"/>
      <c r="S779" s="248"/>
      <c r="T779" s="248"/>
      <c r="U779" s="248"/>
      <c r="V779" s="248"/>
      <c r="W779" s="248"/>
      <c r="X779" s="248"/>
      <c r="Y779" s="248"/>
      <c r="Z779" s="253"/>
      <c r="AA779" s="253"/>
      <c r="AB779" s="253"/>
      <c r="AC779" s="253"/>
      <c r="AD779" s="253"/>
      <c r="AE779" s="253"/>
      <c r="AF779" s="254"/>
      <c r="AG779" s="257"/>
      <c r="AH779" s="257"/>
      <c r="AI779" s="257"/>
      <c r="AJ779" s="258"/>
      <c r="AK779" s="259"/>
      <c r="AL779" s="257"/>
      <c r="AM779" s="257"/>
      <c r="AN779" s="257"/>
      <c r="AO779" s="257"/>
      <c r="AP779" s="257"/>
      <c r="AQ779" s="258"/>
      <c r="AR779" s="260"/>
      <c r="AS779" s="257"/>
      <c r="AT779" s="257"/>
      <c r="AU779" s="257"/>
      <c r="AV779" s="257"/>
      <c r="AW779" s="257"/>
      <c r="AX779" s="258"/>
      <c r="AY779" s="260"/>
      <c r="AZ779" s="257"/>
      <c r="BA779" s="257"/>
      <c r="BB779" s="257"/>
      <c r="BC779" s="257"/>
      <c r="BD779" s="258"/>
      <c r="BE779" s="260"/>
      <c r="BF779" s="258"/>
      <c r="BG779" s="260"/>
      <c r="BH779" s="257"/>
      <c r="BI779" s="14"/>
    </row>
    <row r="780" spans="1:61" ht="13.15" x14ac:dyDescent="0.4">
      <c r="A780" s="248"/>
      <c r="B780" s="256"/>
      <c r="C780" s="248"/>
      <c r="D780" s="248"/>
      <c r="E780" s="248"/>
      <c r="F780" s="250"/>
      <c r="G780" s="248"/>
      <c r="H780" s="32"/>
      <c r="I780" s="248"/>
      <c r="J780" s="248"/>
      <c r="K780" s="251"/>
      <c r="L780" s="238"/>
      <c r="M780" s="248"/>
      <c r="N780" s="248"/>
      <c r="O780" s="248"/>
      <c r="P780" s="250"/>
      <c r="Q780" s="252"/>
      <c r="R780" s="248"/>
      <c r="S780" s="248"/>
      <c r="T780" s="248"/>
      <c r="U780" s="248"/>
      <c r="V780" s="248"/>
      <c r="W780" s="248"/>
      <c r="X780" s="248"/>
      <c r="Y780" s="248"/>
      <c r="Z780" s="253"/>
      <c r="AA780" s="253"/>
      <c r="AB780" s="253"/>
      <c r="AC780" s="253"/>
      <c r="AD780" s="253"/>
      <c r="AE780" s="253"/>
      <c r="AF780" s="254"/>
      <c r="AG780" s="257"/>
      <c r="AH780" s="257"/>
      <c r="AI780" s="257"/>
      <c r="AJ780" s="258"/>
      <c r="AK780" s="259"/>
      <c r="AL780" s="257"/>
      <c r="AM780" s="257"/>
      <c r="AN780" s="257"/>
      <c r="AO780" s="257"/>
      <c r="AP780" s="257"/>
      <c r="AQ780" s="258"/>
      <c r="AR780" s="260"/>
      <c r="AS780" s="257"/>
      <c r="AT780" s="257"/>
      <c r="AU780" s="257"/>
      <c r="AV780" s="257"/>
      <c r="AW780" s="257"/>
      <c r="AX780" s="258"/>
      <c r="AY780" s="260"/>
      <c r="AZ780" s="257"/>
      <c r="BA780" s="257"/>
      <c r="BB780" s="257"/>
      <c r="BC780" s="257"/>
      <c r="BD780" s="258"/>
      <c r="BE780" s="260"/>
      <c r="BF780" s="258"/>
      <c r="BG780" s="260"/>
      <c r="BH780" s="257"/>
      <c r="BI780" s="14"/>
    </row>
    <row r="781" spans="1:61" ht="13.15" x14ac:dyDescent="0.4">
      <c r="A781" s="248"/>
      <c r="B781" s="256"/>
      <c r="C781" s="248"/>
      <c r="D781" s="248"/>
      <c r="E781" s="248"/>
      <c r="F781" s="250"/>
      <c r="G781" s="248"/>
      <c r="H781" s="32"/>
      <c r="I781" s="248"/>
      <c r="J781" s="248"/>
      <c r="K781" s="251"/>
      <c r="L781" s="238"/>
      <c r="M781" s="248"/>
      <c r="N781" s="248"/>
      <c r="O781" s="248"/>
      <c r="P781" s="250"/>
      <c r="Q781" s="252"/>
      <c r="R781" s="248"/>
      <c r="S781" s="248"/>
      <c r="T781" s="248"/>
      <c r="U781" s="248"/>
      <c r="V781" s="248"/>
      <c r="W781" s="248"/>
      <c r="X781" s="248"/>
      <c r="Y781" s="248"/>
      <c r="Z781" s="253"/>
      <c r="AA781" s="253"/>
      <c r="AB781" s="253"/>
      <c r="AC781" s="253"/>
      <c r="AD781" s="253"/>
      <c r="AE781" s="253"/>
      <c r="AF781" s="254"/>
      <c r="AG781" s="257"/>
      <c r="AH781" s="257"/>
      <c r="AI781" s="257"/>
      <c r="AJ781" s="258"/>
      <c r="AK781" s="259"/>
      <c r="AL781" s="257"/>
      <c r="AM781" s="257"/>
      <c r="AN781" s="257"/>
      <c r="AO781" s="257"/>
      <c r="AP781" s="257"/>
      <c r="AQ781" s="258"/>
      <c r="AR781" s="260"/>
      <c r="AS781" s="257"/>
      <c r="AT781" s="257"/>
      <c r="AU781" s="257"/>
      <c r="AV781" s="257"/>
      <c r="AW781" s="257"/>
      <c r="AX781" s="258"/>
      <c r="AY781" s="260"/>
      <c r="AZ781" s="257"/>
      <c r="BA781" s="257"/>
      <c r="BB781" s="257"/>
      <c r="BC781" s="257"/>
      <c r="BD781" s="258"/>
      <c r="BE781" s="260"/>
      <c r="BF781" s="258"/>
      <c r="BG781" s="260"/>
      <c r="BH781" s="257"/>
      <c r="BI781" s="14"/>
    </row>
    <row r="782" spans="1:61" ht="13.15" x14ac:dyDescent="0.4">
      <c r="A782" s="248"/>
      <c r="B782" s="256"/>
      <c r="C782" s="248"/>
      <c r="D782" s="248"/>
      <c r="E782" s="248"/>
      <c r="F782" s="250"/>
      <c r="G782" s="248"/>
      <c r="H782" s="32"/>
      <c r="I782" s="248"/>
      <c r="J782" s="248"/>
      <c r="K782" s="251"/>
      <c r="L782" s="238"/>
      <c r="M782" s="248"/>
      <c r="N782" s="248"/>
      <c r="O782" s="248"/>
      <c r="P782" s="250"/>
      <c r="Q782" s="252"/>
      <c r="R782" s="248"/>
      <c r="S782" s="248"/>
      <c r="T782" s="248"/>
      <c r="U782" s="248"/>
      <c r="V782" s="248"/>
      <c r="W782" s="248"/>
      <c r="X782" s="248"/>
      <c r="Y782" s="248"/>
      <c r="Z782" s="253"/>
      <c r="AA782" s="253"/>
      <c r="AB782" s="253"/>
      <c r="AC782" s="253"/>
      <c r="AD782" s="253"/>
      <c r="AE782" s="253"/>
      <c r="AF782" s="254"/>
      <c r="AG782" s="257"/>
      <c r="AH782" s="257"/>
      <c r="AI782" s="257"/>
      <c r="AJ782" s="258"/>
      <c r="AK782" s="259"/>
      <c r="AL782" s="257"/>
      <c r="AM782" s="257"/>
      <c r="AN782" s="257"/>
      <c r="AO782" s="257"/>
      <c r="AP782" s="257"/>
      <c r="AQ782" s="258"/>
      <c r="AR782" s="260"/>
      <c r="AS782" s="257"/>
      <c r="AT782" s="257"/>
      <c r="AU782" s="257"/>
      <c r="AV782" s="257"/>
      <c r="AW782" s="257"/>
      <c r="AX782" s="258"/>
      <c r="AY782" s="260"/>
      <c r="AZ782" s="257"/>
      <c r="BA782" s="257"/>
      <c r="BB782" s="257"/>
      <c r="BC782" s="257"/>
      <c r="BD782" s="258"/>
      <c r="BE782" s="260"/>
      <c r="BF782" s="258"/>
      <c r="BG782" s="260"/>
      <c r="BH782" s="257"/>
      <c r="BI782" s="14"/>
    </row>
    <row r="783" spans="1:61" ht="13.15" x14ac:dyDescent="0.4">
      <c r="A783" s="248"/>
      <c r="B783" s="256"/>
      <c r="C783" s="248"/>
      <c r="D783" s="248"/>
      <c r="E783" s="248"/>
      <c r="F783" s="250"/>
      <c r="G783" s="248"/>
      <c r="H783" s="32"/>
      <c r="I783" s="248"/>
      <c r="J783" s="248"/>
      <c r="K783" s="251"/>
      <c r="L783" s="238"/>
      <c r="M783" s="248"/>
      <c r="N783" s="248"/>
      <c r="O783" s="248"/>
      <c r="P783" s="250"/>
      <c r="Q783" s="252"/>
      <c r="R783" s="248"/>
      <c r="S783" s="248"/>
      <c r="T783" s="248"/>
      <c r="U783" s="248"/>
      <c r="V783" s="248"/>
      <c r="W783" s="248"/>
      <c r="X783" s="248"/>
      <c r="Y783" s="248"/>
      <c r="Z783" s="253"/>
      <c r="AA783" s="253"/>
      <c r="AB783" s="253"/>
      <c r="AC783" s="253"/>
      <c r="AD783" s="253"/>
      <c r="AE783" s="253"/>
      <c r="AF783" s="254"/>
      <c r="AG783" s="257"/>
      <c r="AH783" s="257"/>
      <c r="AI783" s="257"/>
      <c r="AJ783" s="258"/>
      <c r="AK783" s="259"/>
      <c r="AL783" s="257"/>
      <c r="AM783" s="257"/>
      <c r="AN783" s="257"/>
      <c r="AO783" s="257"/>
      <c r="AP783" s="257"/>
      <c r="AQ783" s="258"/>
      <c r="AR783" s="260"/>
      <c r="AS783" s="257"/>
      <c r="AT783" s="257"/>
      <c r="AU783" s="257"/>
      <c r="AV783" s="257"/>
      <c r="AW783" s="257"/>
      <c r="AX783" s="258"/>
      <c r="AY783" s="260"/>
      <c r="AZ783" s="257"/>
      <c r="BA783" s="257"/>
      <c r="BB783" s="257"/>
      <c r="BC783" s="257"/>
      <c r="BD783" s="258"/>
      <c r="BE783" s="260"/>
      <c r="BF783" s="258"/>
      <c r="BG783" s="260"/>
      <c r="BH783" s="257"/>
      <c r="BI783" s="14"/>
    </row>
    <row r="784" spans="1:61" ht="13.15" x14ac:dyDescent="0.4">
      <c r="A784" s="248"/>
      <c r="B784" s="256"/>
      <c r="C784" s="248"/>
      <c r="D784" s="248"/>
      <c r="E784" s="248"/>
      <c r="F784" s="250"/>
      <c r="G784" s="248"/>
      <c r="H784" s="32"/>
      <c r="I784" s="248"/>
      <c r="J784" s="248"/>
      <c r="K784" s="251"/>
      <c r="L784" s="238"/>
      <c r="M784" s="248"/>
      <c r="N784" s="248"/>
      <c r="O784" s="248"/>
      <c r="P784" s="250"/>
      <c r="Q784" s="252"/>
      <c r="R784" s="248"/>
      <c r="S784" s="248"/>
      <c r="T784" s="248"/>
      <c r="U784" s="248"/>
      <c r="V784" s="248"/>
      <c r="W784" s="248"/>
      <c r="X784" s="248"/>
      <c r="Y784" s="248"/>
      <c r="Z784" s="253"/>
      <c r="AA784" s="253"/>
      <c r="AB784" s="253"/>
      <c r="AC784" s="253"/>
      <c r="AD784" s="253"/>
      <c r="AE784" s="253"/>
      <c r="AF784" s="254"/>
      <c r="AG784" s="257"/>
      <c r="AH784" s="257"/>
      <c r="AI784" s="257"/>
      <c r="AJ784" s="258"/>
      <c r="AK784" s="259"/>
      <c r="AL784" s="257"/>
      <c r="AM784" s="257"/>
      <c r="AN784" s="257"/>
      <c r="AO784" s="257"/>
      <c r="AP784" s="257"/>
      <c r="AQ784" s="258"/>
      <c r="AR784" s="260"/>
      <c r="AS784" s="257"/>
      <c r="AT784" s="257"/>
      <c r="AU784" s="257"/>
      <c r="AV784" s="257"/>
      <c r="AW784" s="257"/>
      <c r="AX784" s="258"/>
      <c r="AY784" s="260"/>
      <c r="AZ784" s="257"/>
      <c r="BA784" s="257"/>
      <c r="BB784" s="257"/>
      <c r="BC784" s="257"/>
      <c r="BD784" s="258"/>
      <c r="BE784" s="260"/>
      <c r="BF784" s="258"/>
      <c r="BG784" s="260"/>
      <c r="BH784" s="257"/>
      <c r="BI784" s="14"/>
    </row>
    <row r="785" spans="1:61" ht="13.15" x14ac:dyDescent="0.4">
      <c r="A785" s="248"/>
      <c r="B785" s="256"/>
      <c r="C785" s="248"/>
      <c r="D785" s="248"/>
      <c r="E785" s="248"/>
      <c r="F785" s="250"/>
      <c r="G785" s="248"/>
      <c r="H785" s="32"/>
      <c r="I785" s="248"/>
      <c r="J785" s="248"/>
      <c r="K785" s="251"/>
      <c r="L785" s="238"/>
      <c r="M785" s="248"/>
      <c r="N785" s="248"/>
      <c r="O785" s="248"/>
      <c r="P785" s="250"/>
      <c r="Q785" s="252"/>
      <c r="R785" s="248"/>
      <c r="S785" s="248"/>
      <c r="T785" s="248"/>
      <c r="U785" s="248"/>
      <c r="V785" s="248"/>
      <c r="W785" s="248"/>
      <c r="X785" s="248"/>
      <c r="Y785" s="248"/>
      <c r="Z785" s="253"/>
      <c r="AA785" s="253"/>
      <c r="AB785" s="253"/>
      <c r="AC785" s="253"/>
      <c r="AD785" s="253"/>
      <c r="AE785" s="253"/>
      <c r="AF785" s="254"/>
      <c r="AG785" s="257"/>
      <c r="AH785" s="257"/>
      <c r="AI785" s="257"/>
      <c r="AJ785" s="258"/>
      <c r="AK785" s="259"/>
      <c r="AL785" s="257"/>
      <c r="AM785" s="257"/>
      <c r="AN785" s="257"/>
      <c r="AO785" s="257"/>
      <c r="AP785" s="257"/>
      <c r="AQ785" s="258"/>
      <c r="AR785" s="260"/>
      <c r="AS785" s="257"/>
      <c r="AT785" s="257"/>
      <c r="AU785" s="257"/>
      <c r="AV785" s="257"/>
      <c r="AW785" s="257"/>
      <c r="AX785" s="258"/>
      <c r="AY785" s="260"/>
      <c r="AZ785" s="257"/>
      <c r="BA785" s="257"/>
      <c r="BB785" s="257"/>
      <c r="BC785" s="257"/>
      <c r="BD785" s="258"/>
      <c r="BE785" s="260"/>
      <c r="BF785" s="258"/>
      <c r="BG785" s="260"/>
      <c r="BH785" s="257"/>
      <c r="BI785" s="14"/>
    </row>
    <row r="786" spans="1:61" ht="13.15" x14ac:dyDescent="0.4">
      <c r="A786" s="248"/>
      <c r="B786" s="256"/>
      <c r="C786" s="248"/>
      <c r="D786" s="248"/>
      <c r="E786" s="248"/>
      <c r="F786" s="250"/>
      <c r="G786" s="248"/>
      <c r="H786" s="32"/>
      <c r="I786" s="248"/>
      <c r="J786" s="248"/>
      <c r="K786" s="251"/>
      <c r="L786" s="238"/>
      <c r="M786" s="248"/>
      <c r="N786" s="248"/>
      <c r="O786" s="248"/>
      <c r="P786" s="250"/>
      <c r="Q786" s="252"/>
      <c r="R786" s="248"/>
      <c r="S786" s="248"/>
      <c r="T786" s="248"/>
      <c r="U786" s="248"/>
      <c r="V786" s="248"/>
      <c r="W786" s="248"/>
      <c r="X786" s="248"/>
      <c r="Y786" s="248"/>
      <c r="Z786" s="253"/>
      <c r="AA786" s="253"/>
      <c r="AB786" s="253"/>
      <c r="AC786" s="253"/>
      <c r="AD786" s="253"/>
      <c r="AE786" s="253"/>
      <c r="AF786" s="254"/>
      <c r="AG786" s="257"/>
      <c r="AH786" s="257"/>
      <c r="AI786" s="257"/>
      <c r="AJ786" s="258"/>
      <c r="AK786" s="259"/>
      <c r="AL786" s="257"/>
      <c r="AM786" s="257"/>
      <c r="AN786" s="257"/>
      <c r="AO786" s="257"/>
      <c r="AP786" s="257"/>
      <c r="AQ786" s="258"/>
      <c r="AR786" s="260"/>
      <c r="AS786" s="257"/>
      <c r="AT786" s="257"/>
      <c r="AU786" s="257"/>
      <c r="AV786" s="257"/>
      <c r="AW786" s="257"/>
      <c r="AX786" s="258"/>
      <c r="AY786" s="260"/>
      <c r="AZ786" s="257"/>
      <c r="BA786" s="257"/>
      <c r="BB786" s="257"/>
      <c r="BC786" s="257"/>
      <c r="BD786" s="258"/>
      <c r="BE786" s="260"/>
      <c r="BF786" s="258"/>
      <c r="BG786" s="260"/>
      <c r="BH786" s="257"/>
      <c r="BI786" s="14"/>
    </row>
    <row r="787" spans="1:61" ht="13.15" x14ac:dyDescent="0.4">
      <c r="A787" s="248"/>
      <c r="B787" s="256"/>
      <c r="C787" s="248"/>
      <c r="D787" s="248"/>
      <c r="E787" s="248"/>
      <c r="F787" s="250"/>
      <c r="G787" s="248"/>
      <c r="H787" s="32"/>
      <c r="I787" s="248"/>
      <c r="J787" s="248"/>
      <c r="K787" s="251"/>
      <c r="L787" s="238"/>
      <c r="M787" s="248"/>
      <c r="N787" s="248"/>
      <c r="O787" s="248"/>
      <c r="P787" s="250"/>
      <c r="Q787" s="252"/>
      <c r="R787" s="248"/>
      <c r="S787" s="248"/>
      <c r="T787" s="248"/>
      <c r="U787" s="248"/>
      <c r="V787" s="248"/>
      <c r="W787" s="248"/>
      <c r="X787" s="248"/>
      <c r="Y787" s="248"/>
      <c r="Z787" s="253"/>
      <c r="AA787" s="253"/>
      <c r="AB787" s="253"/>
      <c r="AC787" s="253"/>
      <c r="AD787" s="253"/>
      <c r="AE787" s="253"/>
      <c r="AF787" s="254"/>
      <c r="AG787" s="257"/>
      <c r="AH787" s="257"/>
      <c r="AI787" s="257"/>
      <c r="AJ787" s="258"/>
      <c r="AK787" s="259"/>
      <c r="AL787" s="257"/>
      <c r="AM787" s="257"/>
      <c r="AN787" s="257"/>
      <c r="AO787" s="257"/>
      <c r="AP787" s="257"/>
      <c r="AQ787" s="258"/>
      <c r="AR787" s="260"/>
      <c r="AS787" s="257"/>
      <c r="AT787" s="257"/>
      <c r="AU787" s="257"/>
      <c r="AV787" s="257"/>
      <c r="AW787" s="257"/>
      <c r="AX787" s="258"/>
      <c r="AY787" s="260"/>
      <c r="AZ787" s="257"/>
      <c r="BA787" s="257"/>
      <c r="BB787" s="257"/>
      <c r="BC787" s="257"/>
      <c r="BD787" s="258"/>
      <c r="BE787" s="260"/>
      <c r="BF787" s="258"/>
      <c r="BG787" s="260"/>
      <c r="BH787" s="257"/>
      <c r="BI787" s="14"/>
    </row>
    <row r="788" spans="1:61" ht="13.15" x14ac:dyDescent="0.4">
      <c r="A788" s="248"/>
      <c r="B788" s="256"/>
      <c r="C788" s="248"/>
      <c r="D788" s="248"/>
      <c r="E788" s="248"/>
      <c r="F788" s="250"/>
      <c r="G788" s="248"/>
      <c r="H788" s="32"/>
      <c r="I788" s="248"/>
      <c r="J788" s="248"/>
      <c r="K788" s="251"/>
      <c r="L788" s="238"/>
      <c r="M788" s="248"/>
      <c r="N788" s="248"/>
      <c r="O788" s="248"/>
      <c r="P788" s="250"/>
      <c r="Q788" s="252"/>
      <c r="R788" s="248"/>
      <c r="S788" s="248"/>
      <c r="T788" s="248"/>
      <c r="U788" s="248"/>
      <c r="V788" s="248"/>
      <c r="W788" s="248"/>
      <c r="X788" s="248"/>
      <c r="Y788" s="248"/>
      <c r="Z788" s="253"/>
      <c r="AA788" s="253"/>
      <c r="AB788" s="253"/>
      <c r="AC788" s="253"/>
      <c r="AD788" s="253"/>
      <c r="AE788" s="253"/>
      <c r="AF788" s="254"/>
      <c r="AG788" s="257"/>
      <c r="AH788" s="257"/>
      <c r="AI788" s="257"/>
      <c r="AJ788" s="258"/>
      <c r="AK788" s="259"/>
      <c r="AL788" s="257"/>
      <c r="AM788" s="257"/>
      <c r="AN788" s="257"/>
      <c r="AO788" s="257"/>
      <c r="AP788" s="257"/>
      <c r="AQ788" s="258"/>
      <c r="AR788" s="260"/>
      <c r="AS788" s="257"/>
      <c r="AT788" s="257"/>
      <c r="AU788" s="257"/>
      <c r="AV788" s="257"/>
      <c r="AW788" s="257"/>
      <c r="AX788" s="258"/>
      <c r="AY788" s="260"/>
      <c r="AZ788" s="257"/>
      <c r="BA788" s="257"/>
      <c r="BB788" s="257"/>
      <c r="BC788" s="257"/>
      <c r="BD788" s="258"/>
      <c r="BE788" s="260"/>
      <c r="BF788" s="258"/>
      <c r="BG788" s="260"/>
      <c r="BH788" s="257"/>
      <c r="BI788" s="14"/>
    </row>
    <row r="789" spans="1:61" ht="13.15" x14ac:dyDescent="0.4">
      <c r="A789" s="248"/>
      <c r="B789" s="256"/>
      <c r="C789" s="248"/>
      <c r="D789" s="248"/>
      <c r="E789" s="248"/>
      <c r="F789" s="250"/>
      <c r="G789" s="248"/>
      <c r="H789" s="32"/>
      <c r="I789" s="248"/>
      <c r="J789" s="248"/>
      <c r="K789" s="251"/>
      <c r="L789" s="238"/>
      <c r="M789" s="248"/>
      <c r="N789" s="248"/>
      <c r="O789" s="248"/>
      <c r="P789" s="250"/>
      <c r="Q789" s="252"/>
      <c r="R789" s="248"/>
      <c r="S789" s="248"/>
      <c r="T789" s="248"/>
      <c r="U789" s="248"/>
      <c r="V789" s="248"/>
      <c r="W789" s="248"/>
      <c r="X789" s="248"/>
      <c r="Y789" s="248"/>
      <c r="Z789" s="253"/>
      <c r="AA789" s="253"/>
      <c r="AB789" s="253"/>
      <c r="AC789" s="253"/>
      <c r="AD789" s="253"/>
      <c r="AE789" s="253"/>
      <c r="AF789" s="254"/>
      <c r="AG789" s="257"/>
      <c r="AH789" s="257"/>
      <c r="AI789" s="257"/>
      <c r="AJ789" s="258"/>
      <c r="AK789" s="259"/>
      <c r="AL789" s="257"/>
      <c r="AM789" s="257"/>
      <c r="AN789" s="257"/>
      <c r="AO789" s="257"/>
      <c r="AP789" s="257"/>
      <c r="AQ789" s="258"/>
      <c r="AR789" s="260"/>
      <c r="AS789" s="257"/>
      <c r="AT789" s="257"/>
      <c r="AU789" s="257"/>
      <c r="AV789" s="257"/>
      <c r="AW789" s="257"/>
      <c r="AX789" s="258"/>
      <c r="AY789" s="260"/>
      <c r="AZ789" s="257"/>
      <c r="BA789" s="257"/>
      <c r="BB789" s="257"/>
      <c r="BC789" s="257"/>
      <c r="BD789" s="258"/>
      <c r="BE789" s="260"/>
      <c r="BF789" s="258"/>
      <c r="BG789" s="260"/>
      <c r="BH789" s="257"/>
      <c r="BI789" s="14"/>
    </row>
    <row r="790" spans="1:61" ht="13.15" x14ac:dyDescent="0.4">
      <c r="A790" s="248"/>
      <c r="B790" s="256"/>
      <c r="C790" s="248"/>
      <c r="D790" s="248"/>
      <c r="E790" s="248"/>
      <c r="F790" s="250"/>
      <c r="G790" s="248"/>
      <c r="H790" s="32"/>
      <c r="I790" s="248"/>
      <c r="J790" s="248"/>
      <c r="K790" s="251"/>
      <c r="L790" s="238"/>
      <c r="M790" s="248"/>
      <c r="N790" s="248"/>
      <c r="O790" s="248"/>
      <c r="P790" s="250"/>
      <c r="Q790" s="252"/>
      <c r="R790" s="248"/>
      <c r="S790" s="248"/>
      <c r="T790" s="248"/>
      <c r="U790" s="248"/>
      <c r="V790" s="248"/>
      <c r="W790" s="248"/>
      <c r="X790" s="248"/>
      <c r="Y790" s="248"/>
      <c r="Z790" s="253"/>
      <c r="AA790" s="253"/>
      <c r="AB790" s="253"/>
      <c r="AC790" s="253"/>
      <c r="AD790" s="253"/>
      <c r="AE790" s="253"/>
      <c r="AF790" s="254"/>
      <c r="AG790" s="257"/>
      <c r="AH790" s="257"/>
      <c r="AI790" s="257"/>
      <c r="AJ790" s="258"/>
      <c r="AK790" s="259"/>
      <c r="AL790" s="257"/>
      <c r="AM790" s="257"/>
      <c r="AN790" s="257"/>
      <c r="AO790" s="257"/>
      <c r="AP790" s="257"/>
      <c r="AQ790" s="258"/>
      <c r="AR790" s="260"/>
      <c r="AS790" s="257"/>
      <c r="AT790" s="257"/>
      <c r="AU790" s="257"/>
      <c r="AV790" s="257"/>
      <c r="AW790" s="257"/>
      <c r="AX790" s="258"/>
      <c r="AY790" s="260"/>
      <c r="AZ790" s="257"/>
      <c r="BA790" s="257"/>
      <c r="BB790" s="257"/>
      <c r="BC790" s="257"/>
      <c r="BD790" s="258"/>
      <c r="BE790" s="260"/>
      <c r="BF790" s="258"/>
      <c r="BG790" s="260"/>
      <c r="BH790" s="257"/>
      <c r="BI790" s="14"/>
    </row>
    <row r="791" spans="1:61" ht="13.15" x14ac:dyDescent="0.4">
      <c r="A791" s="248"/>
      <c r="B791" s="256"/>
      <c r="C791" s="248"/>
      <c r="D791" s="248"/>
      <c r="E791" s="248"/>
      <c r="F791" s="250"/>
      <c r="G791" s="248"/>
      <c r="H791" s="32"/>
      <c r="I791" s="248"/>
      <c r="J791" s="248"/>
      <c r="K791" s="251"/>
      <c r="L791" s="238"/>
      <c r="M791" s="248"/>
      <c r="N791" s="248"/>
      <c r="O791" s="248"/>
      <c r="P791" s="250"/>
      <c r="Q791" s="252"/>
      <c r="R791" s="248"/>
      <c r="S791" s="248"/>
      <c r="T791" s="248"/>
      <c r="U791" s="248"/>
      <c r="V791" s="248"/>
      <c r="W791" s="248"/>
      <c r="X791" s="248"/>
      <c r="Y791" s="248"/>
      <c r="Z791" s="253"/>
      <c r="AA791" s="253"/>
      <c r="AB791" s="253"/>
      <c r="AC791" s="253"/>
      <c r="AD791" s="253"/>
      <c r="AE791" s="253"/>
      <c r="AF791" s="254"/>
      <c r="AG791" s="257"/>
      <c r="AH791" s="257"/>
      <c r="AI791" s="257"/>
      <c r="AJ791" s="258"/>
      <c r="AK791" s="259"/>
      <c r="AL791" s="257"/>
      <c r="AM791" s="257"/>
      <c r="AN791" s="257"/>
      <c r="AO791" s="257"/>
      <c r="AP791" s="257"/>
      <c r="AQ791" s="258"/>
      <c r="AR791" s="260"/>
      <c r="AS791" s="257"/>
      <c r="AT791" s="257"/>
      <c r="AU791" s="257"/>
      <c r="AV791" s="257"/>
      <c r="AW791" s="257"/>
      <c r="AX791" s="258"/>
      <c r="AY791" s="260"/>
      <c r="AZ791" s="257"/>
      <c r="BA791" s="257"/>
      <c r="BB791" s="257"/>
      <c r="BC791" s="257"/>
      <c r="BD791" s="258"/>
      <c r="BE791" s="260"/>
      <c r="BF791" s="258"/>
      <c r="BG791" s="260"/>
      <c r="BH791" s="257"/>
      <c r="BI791" s="14"/>
    </row>
    <row r="792" spans="1:61" ht="13.15" x14ac:dyDescent="0.4">
      <c r="A792" s="248"/>
      <c r="B792" s="256"/>
      <c r="C792" s="248"/>
      <c r="D792" s="248"/>
      <c r="E792" s="248"/>
      <c r="F792" s="250"/>
      <c r="G792" s="248"/>
      <c r="H792" s="32"/>
      <c r="I792" s="248"/>
      <c r="J792" s="248"/>
      <c r="K792" s="251"/>
      <c r="L792" s="238"/>
      <c r="M792" s="248"/>
      <c r="N792" s="248"/>
      <c r="O792" s="248"/>
      <c r="P792" s="250"/>
      <c r="Q792" s="252"/>
      <c r="R792" s="248"/>
      <c r="S792" s="248"/>
      <c r="T792" s="248"/>
      <c r="U792" s="248"/>
      <c r="V792" s="248"/>
      <c r="W792" s="248"/>
      <c r="X792" s="248"/>
      <c r="Y792" s="248"/>
      <c r="Z792" s="253"/>
      <c r="AA792" s="253"/>
      <c r="AB792" s="253"/>
      <c r="AC792" s="253"/>
      <c r="AD792" s="253"/>
      <c r="AE792" s="253"/>
      <c r="AF792" s="254"/>
      <c r="AG792" s="257"/>
      <c r="AH792" s="257"/>
      <c r="AI792" s="257"/>
      <c r="AJ792" s="258"/>
      <c r="AK792" s="259"/>
      <c r="AL792" s="257"/>
      <c r="AM792" s="257"/>
      <c r="AN792" s="257"/>
      <c r="AO792" s="257"/>
      <c r="AP792" s="257"/>
      <c r="AQ792" s="258"/>
      <c r="AR792" s="260"/>
      <c r="AS792" s="257"/>
      <c r="AT792" s="257"/>
      <c r="AU792" s="257"/>
      <c r="AV792" s="257"/>
      <c r="AW792" s="257"/>
      <c r="AX792" s="258"/>
      <c r="AY792" s="260"/>
      <c r="AZ792" s="257"/>
      <c r="BA792" s="257"/>
      <c r="BB792" s="257"/>
      <c r="BC792" s="257"/>
      <c r="BD792" s="258"/>
      <c r="BE792" s="260"/>
      <c r="BF792" s="258"/>
      <c r="BG792" s="260"/>
      <c r="BH792" s="257"/>
      <c r="BI792" s="14"/>
    </row>
    <row r="793" spans="1:61" ht="13.15" x14ac:dyDescent="0.4">
      <c r="A793" s="248"/>
      <c r="B793" s="256"/>
      <c r="C793" s="248"/>
      <c r="D793" s="248"/>
      <c r="E793" s="248"/>
      <c r="F793" s="250"/>
      <c r="G793" s="248"/>
      <c r="H793" s="32"/>
      <c r="I793" s="248"/>
      <c r="J793" s="248"/>
      <c r="K793" s="251"/>
      <c r="L793" s="238"/>
      <c r="M793" s="248"/>
      <c r="N793" s="248"/>
      <c r="O793" s="248"/>
      <c r="P793" s="250"/>
      <c r="Q793" s="252"/>
      <c r="R793" s="248"/>
      <c r="S793" s="248"/>
      <c r="T793" s="248"/>
      <c r="U793" s="248"/>
      <c r="V793" s="248"/>
      <c r="W793" s="248"/>
      <c r="X793" s="248"/>
      <c r="Y793" s="248"/>
      <c r="Z793" s="253"/>
      <c r="AA793" s="253"/>
      <c r="AB793" s="253"/>
      <c r="AC793" s="253"/>
      <c r="AD793" s="253"/>
      <c r="AE793" s="253"/>
      <c r="AF793" s="254"/>
      <c r="AG793" s="257"/>
      <c r="AH793" s="257"/>
      <c r="AI793" s="257"/>
      <c r="AJ793" s="258"/>
      <c r="AK793" s="259"/>
      <c r="AL793" s="257"/>
      <c r="AM793" s="257"/>
      <c r="AN793" s="257"/>
      <c r="AO793" s="257"/>
      <c r="AP793" s="257"/>
      <c r="AQ793" s="258"/>
      <c r="AR793" s="260"/>
      <c r="AS793" s="257"/>
      <c r="AT793" s="257"/>
      <c r="AU793" s="257"/>
      <c r="AV793" s="257"/>
      <c r="AW793" s="257"/>
      <c r="AX793" s="258"/>
      <c r="AY793" s="260"/>
      <c r="AZ793" s="257"/>
      <c r="BA793" s="257"/>
      <c r="BB793" s="257"/>
      <c r="BC793" s="257"/>
      <c r="BD793" s="258"/>
      <c r="BE793" s="260"/>
      <c r="BF793" s="258"/>
      <c r="BG793" s="260"/>
      <c r="BH793" s="257"/>
      <c r="BI793" s="14"/>
    </row>
    <row r="794" spans="1:61" ht="13.15" x14ac:dyDescent="0.4">
      <c r="A794" s="248"/>
      <c r="B794" s="256"/>
      <c r="C794" s="248"/>
      <c r="D794" s="248"/>
      <c r="E794" s="248"/>
      <c r="F794" s="250"/>
      <c r="G794" s="248"/>
      <c r="H794" s="32"/>
      <c r="I794" s="248"/>
      <c r="J794" s="248"/>
      <c r="K794" s="251"/>
      <c r="L794" s="238"/>
      <c r="M794" s="248"/>
      <c r="N794" s="248"/>
      <c r="O794" s="248"/>
      <c r="P794" s="250"/>
      <c r="Q794" s="252"/>
      <c r="R794" s="248"/>
      <c r="S794" s="248"/>
      <c r="T794" s="248"/>
      <c r="U794" s="248"/>
      <c r="V794" s="248"/>
      <c r="W794" s="248"/>
      <c r="X794" s="248"/>
      <c r="Y794" s="248"/>
      <c r="Z794" s="253"/>
      <c r="AA794" s="253"/>
      <c r="AB794" s="253"/>
      <c r="AC794" s="253"/>
      <c r="AD794" s="253"/>
      <c r="AE794" s="253"/>
      <c r="AF794" s="254"/>
      <c r="AG794" s="257"/>
      <c r="AH794" s="257"/>
      <c r="AI794" s="257"/>
      <c r="AJ794" s="258"/>
      <c r="AK794" s="259"/>
      <c r="AL794" s="257"/>
      <c r="AM794" s="257"/>
      <c r="AN794" s="257"/>
      <c r="AO794" s="257"/>
      <c r="AP794" s="257"/>
      <c r="AQ794" s="258"/>
      <c r="AR794" s="260"/>
      <c r="AS794" s="257"/>
      <c r="AT794" s="257"/>
      <c r="AU794" s="257"/>
      <c r="AV794" s="257"/>
      <c r="AW794" s="257"/>
      <c r="AX794" s="258"/>
      <c r="AY794" s="260"/>
      <c r="AZ794" s="257"/>
      <c r="BA794" s="257"/>
      <c r="BB794" s="257"/>
      <c r="BC794" s="257"/>
      <c r="BD794" s="258"/>
      <c r="BE794" s="260"/>
      <c r="BF794" s="258"/>
      <c r="BG794" s="260"/>
      <c r="BH794" s="257"/>
      <c r="BI794" s="14"/>
    </row>
    <row r="795" spans="1:61" ht="13.15" x14ac:dyDescent="0.4">
      <c r="A795" s="248"/>
      <c r="B795" s="256"/>
      <c r="C795" s="248"/>
      <c r="D795" s="248"/>
      <c r="E795" s="248"/>
      <c r="F795" s="250"/>
      <c r="G795" s="248"/>
      <c r="H795" s="32"/>
      <c r="I795" s="248"/>
      <c r="J795" s="248"/>
      <c r="K795" s="251"/>
      <c r="L795" s="238"/>
      <c r="M795" s="248"/>
      <c r="N795" s="248"/>
      <c r="O795" s="248"/>
      <c r="P795" s="250"/>
      <c r="Q795" s="252"/>
      <c r="R795" s="248"/>
      <c r="S795" s="248"/>
      <c r="T795" s="248"/>
      <c r="U795" s="248"/>
      <c r="V795" s="248"/>
      <c r="W795" s="248"/>
      <c r="X795" s="248"/>
      <c r="Y795" s="248"/>
      <c r="Z795" s="253"/>
      <c r="AA795" s="253"/>
      <c r="AB795" s="253"/>
      <c r="AC795" s="253"/>
      <c r="AD795" s="253"/>
      <c r="AE795" s="253"/>
      <c r="AF795" s="254"/>
      <c r="AG795" s="257"/>
      <c r="AH795" s="257"/>
      <c r="AI795" s="257"/>
      <c r="AJ795" s="258"/>
      <c r="AK795" s="259"/>
      <c r="AL795" s="257"/>
      <c r="AM795" s="257"/>
      <c r="AN795" s="257"/>
      <c r="AO795" s="257"/>
      <c r="AP795" s="257"/>
      <c r="AQ795" s="258"/>
      <c r="AR795" s="260"/>
      <c r="AS795" s="257"/>
      <c r="AT795" s="257"/>
      <c r="AU795" s="257"/>
      <c r="AV795" s="257"/>
      <c r="AW795" s="257"/>
      <c r="AX795" s="258"/>
      <c r="AY795" s="260"/>
      <c r="AZ795" s="257"/>
      <c r="BA795" s="257"/>
      <c r="BB795" s="257"/>
      <c r="BC795" s="257"/>
      <c r="BD795" s="258"/>
      <c r="BE795" s="260"/>
      <c r="BF795" s="258"/>
      <c r="BG795" s="260"/>
      <c r="BH795" s="257"/>
      <c r="BI795" s="14"/>
    </row>
    <row r="796" spans="1:61" ht="13.15" x14ac:dyDescent="0.4">
      <c r="A796" s="248"/>
      <c r="B796" s="256"/>
      <c r="C796" s="248"/>
      <c r="D796" s="248"/>
      <c r="E796" s="248"/>
      <c r="F796" s="250"/>
      <c r="G796" s="248"/>
      <c r="H796" s="32"/>
      <c r="I796" s="248"/>
      <c r="J796" s="248"/>
      <c r="K796" s="251"/>
      <c r="L796" s="238"/>
      <c r="M796" s="248"/>
      <c r="N796" s="248"/>
      <c r="O796" s="248"/>
      <c r="P796" s="250"/>
      <c r="Q796" s="252"/>
      <c r="R796" s="248"/>
      <c r="S796" s="248"/>
      <c r="T796" s="248"/>
      <c r="U796" s="248"/>
      <c r="V796" s="248"/>
      <c r="W796" s="248"/>
      <c r="X796" s="248"/>
      <c r="Y796" s="248"/>
      <c r="Z796" s="253"/>
      <c r="AA796" s="253"/>
      <c r="AB796" s="253"/>
      <c r="AC796" s="253"/>
      <c r="AD796" s="253"/>
      <c r="AE796" s="253"/>
      <c r="AF796" s="254"/>
      <c r="AG796" s="257"/>
      <c r="AH796" s="257"/>
      <c r="AI796" s="257"/>
      <c r="AJ796" s="258"/>
      <c r="AK796" s="259"/>
      <c r="AL796" s="257"/>
      <c r="AM796" s="257"/>
      <c r="AN796" s="257"/>
      <c r="AO796" s="257"/>
      <c r="AP796" s="257"/>
      <c r="AQ796" s="258"/>
      <c r="AR796" s="260"/>
      <c r="AS796" s="257"/>
      <c r="AT796" s="257"/>
      <c r="AU796" s="257"/>
      <c r="AV796" s="257"/>
      <c r="AW796" s="257"/>
      <c r="AX796" s="258"/>
      <c r="AY796" s="260"/>
      <c r="AZ796" s="257"/>
      <c r="BA796" s="257"/>
      <c r="BB796" s="257"/>
      <c r="BC796" s="257"/>
      <c r="BD796" s="258"/>
      <c r="BE796" s="260"/>
      <c r="BF796" s="258"/>
      <c r="BG796" s="260"/>
      <c r="BH796" s="257"/>
      <c r="BI796" s="14"/>
    </row>
    <row r="797" spans="1:61" ht="13.15" x14ac:dyDescent="0.4">
      <c r="A797" s="248"/>
      <c r="B797" s="256"/>
      <c r="C797" s="248"/>
      <c r="D797" s="248"/>
      <c r="E797" s="248"/>
      <c r="F797" s="250"/>
      <c r="G797" s="248"/>
      <c r="H797" s="32"/>
      <c r="I797" s="248"/>
      <c r="J797" s="248"/>
      <c r="K797" s="251"/>
      <c r="L797" s="238"/>
      <c r="M797" s="248"/>
      <c r="N797" s="248"/>
      <c r="O797" s="248"/>
      <c r="P797" s="250"/>
      <c r="Q797" s="252"/>
      <c r="R797" s="248"/>
      <c r="S797" s="248"/>
      <c r="T797" s="248"/>
      <c r="U797" s="248"/>
      <c r="V797" s="248"/>
      <c r="W797" s="248"/>
      <c r="X797" s="248"/>
      <c r="Y797" s="248"/>
      <c r="Z797" s="253"/>
      <c r="AA797" s="253"/>
      <c r="AB797" s="253"/>
      <c r="AC797" s="253"/>
      <c r="AD797" s="253"/>
      <c r="AE797" s="253"/>
      <c r="AF797" s="254"/>
      <c r="AG797" s="257"/>
      <c r="AH797" s="257"/>
      <c r="AI797" s="257"/>
      <c r="AJ797" s="258"/>
      <c r="AK797" s="259"/>
      <c r="AL797" s="257"/>
      <c r="AM797" s="257"/>
      <c r="AN797" s="257"/>
      <c r="AO797" s="257"/>
      <c r="AP797" s="257"/>
      <c r="AQ797" s="258"/>
      <c r="AR797" s="260"/>
      <c r="AS797" s="257"/>
      <c r="AT797" s="257"/>
      <c r="AU797" s="257"/>
      <c r="AV797" s="257"/>
      <c r="AW797" s="257"/>
      <c r="AX797" s="258"/>
      <c r="AY797" s="260"/>
      <c r="AZ797" s="257"/>
      <c r="BA797" s="257"/>
      <c r="BB797" s="257"/>
      <c r="BC797" s="257"/>
      <c r="BD797" s="258"/>
      <c r="BE797" s="260"/>
      <c r="BF797" s="258"/>
      <c r="BG797" s="260"/>
      <c r="BH797" s="257"/>
      <c r="BI797" s="14"/>
    </row>
    <row r="798" spans="1:61" ht="13.15" x14ac:dyDescent="0.4">
      <c r="A798" s="248"/>
      <c r="B798" s="256"/>
      <c r="C798" s="248"/>
      <c r="D798" s="248"/>
      <c r="E798" s="248"/>
      <c r="F798" s="250"/>
      <c r="G798" s="248"/>
      <c r="H798" s="32"/>
      <c r="I798" s="248"/>
      <c r="J798" s="248"/>
      <c r="K798" s="251"/>
      <c r="L798" s="238"/>
      <c r="M798" s="248"/>
      <c r="N798" s="248"/>
      <c r="O798" s="248"/>
      <c r="P798" s="250"/>
      <c r="Q798" s="252"/>
      <c r="R798" s="248"/>
      <c r="S798" s="248"/>
      <c r="T798" s="248"/>
      <c r="U798" s="248"/>
      <c r="V798" s="248"/>
      <c r="W798" s="248"/>
      <c r="X798" s="248"/>
      <c r="Y798" s="248"/>
      <c r="Z798" s="253"/>
      <c r="AA798" s="253"/>
      <c r="AB798" s="253"/>
      <c r="AC798" s="253"/>
      <c r="AD798" s="253"/>
      <c r="AE798" s="253"/>
      <c r="AF798" s="254"/>
      <c r="AG798" s="257"/>
      <c r="AH798" s="257"/>
      <c r="AI798" s="257"/>
      <c r="AJ798" s="258"/>
      <c r="AK798" s="259"/>
      <c r="AL798" s="257"/>
      <c r="AM798" s="257"/>
      <c r="AN798" s="257"/>
      <c r="AO798" s="257"/>
      <c r="AP798" s="257"/>
      <c r="AQ798" s="258"/>
      <c r="AR798" s="260"/>
      <c r="AS798" s="257"/>
      <c r="AT798" s="257"/>
      <c r="AU798" s="257"/>
      <c r="AV798" s="257"/>
      <c r="AW798" s="257"/>
      <c r="AX798" s="258"/>
      <c r="AY798" s="260"/>
      <c r="AZ798" s="257"/>
      <c r="BA798" s="257"/>
      <c r="BB798" s="257"/>
      <c r="BC798" s="257"/>
      <c r="BD798" s="258"/>
      <c r="BE798" s="260"/>
      <c r="BF798" s="258"/>
      <c r="BG798" s="260"/>
      <c r="BH798" s="257"/>
      <c r="BI798" s="14"/>
    </row>
    <row r="799" spans="1:61" ht="13.15" x14ac:dyDescent="0.4">
      <c r="A799" s="248"/>
      <c r="B799" s="256"/>
      <c r="C799" s="248"/>
      <c r="D799" s="248"/>
      <c r="E799" s="248"/>
      <c r="F799" s="250"/>
      <c r="G799" s="248"/>
      <c r="H799" s="32"/>
      <c r="I799" s="248"/>
      <c r="J799" s="248"/>
      <c r="K799" s="251"/>
      <c r="L799" s="238"/>
      <c r="M799" s="248"/>
      <c r="N799" s="248"/>
      <c r="O799" s="248"/>
      <c r="P799" s="250"/>
      <c r="Q799" s="252"/>
      <c r="R799" s="248"/>
      <c r="S799" s="248"/>
      <c r="T799" s="248"/>
      <c r="U799" s="248"/>
      <c r="V799" s="248"/>
      <c r="W799" s="248"/>
      <c r="X799" s="248"/>
      <c r="Y799" s="248"/>
      <c r="Z799" s="253"/>
      <c r="AA799" s="253"/>
      <c r="AB799" s="253"/>
      <c r="AC799" s="253"/>
      <c r="AD799" s="253"/>
      <c r="AE799" s="253"/>
      <c r="AF799" s="254"/>
      <c r="AG799" s="257"/>
      <c r="AH799" s="257"/>
      <c r="AI799" s="257"/>
      <c r="AJ799" s="258"/>
      <c r="AK799" s="259"/>
      <c r="AL799" s="257"/>
      <c r="AM799" s="257"/>
      <c r="AN799" s="257"/>
      <c r="AO799" s="257"/>
      <c r="AP799" s="257"/>
      <c r="AQ799" s="258"/>
      <c r="AR799" s="260"/>
      <c r="AS799" s="257"/>
      <c r="AT799" s="257"/>
      <c r="AU799" s="257"/>
      <c r="AV799" s="257"/>
      <c r="AW799" s="257"/>
      <c r="AX799" s="258"/>
      <c r="AY799" s="260"/>
      <c r="AZ799" s="257"/>
      <c r="BA799" s="257"/>
      <c r="BB799" s="257"/>
      <c r="BC799" s="257"/>
      <c r="BD799" s="258"/>
      <c r="BE799" s="260"/>
      <c r="BF799" s="258"/>
      <c r="BG799" s="260"/>
      <c r="BH799" s="257"/>
      <c r="BI799" s="14"/>
    </row>
    <row r="800" spans="1:61" ht="13.15" x14ac:dyDescent="0.4">
      <c r="A800" s="248"/>
      <c r="B800" s="256"/>
      <c r="C800" s="248"/>
      <c r="D800" s="248"/>
      <c r="E800" s="248"/>
      <c r="F800" s="250"/>
      <c r="G800" s="248"/>
      <c r="H800" s="32"/>
      <c r="I800" s="248"/>
      <c r="J800" s="248"/>
      <c r="K800" s="251"/>
      <c r="L800" s="238"/>
      <c r="M800" s="248"/>
      <c r="N800" s="248"/>
      <c r="O800" s="248"/>
      <c r="P800" s="250"/>
      <c r="Q800" s="252"/>
      <c r="R800" s="248"/>
      <c r="S800" s="248"/>
      <c r="T800" s="248"/>
      <c r="U800" s="248"/>
      <c r="V800" s="248"/>
      <c r="W800" s="248"/>
      <c r="X800" s="248"/>
      <c r="Y800" s="248"/>
      <c r="Z800" s="253"/>
      <c r="AA800" s="253"/>
      <c r="AB800" s="253"/>
      <c r="AC800" s="253"/>
      <c r="AD800" s="253"/>
      <c r="AE800" s="253"/>
      <c r="AF800" s="254"/>
      <c r="AG800" s="257"/>
      <c r="AH800" s="257"/>
      <c r="AI800" s="257"/>
      <c r="AJ800" s="258"/>
      <c r="AK800" s="259"/>
      <c r="AL800" s="257"/>
      <c r="AM800" s="257"/>
      <c r="AN800" s="257"/>
      <c r="AO800" s="257"/>
      <c r="AP800" s="257"/>
      <c r="AQ800" s="258"/>
      <c r="AR800" s="260"/>
      <c r="AS800" s="257"/>
      <c r="AT800" s="257"/>
      <c r="AU800" s="257"/>
      <c r="AV800" s="257"/>
      <c r="AW800" s="257"/>
      <c r="AX800" s="258"/>
      <c r="AY800" s="260"/>
      <c r="AZ800" s="257"/>
      <c r="BA800" s="257"/>
      <c r="BB800" s="257"/>
      <c r="BC800" s="257"/>
      <c r="BD800" s="258"/>
      <c r="BE800" s="260"/>
      <c r="BF800" s="258"/>
      <c r="BG800" s="260"/>
      <c r="BH800" s="257"/>
      <c r="BI800" s="14"/>
    </row>
    <row r="801" spans="1:61" ht="13.15" x14ac:dyDescent="0.4">
      <c r="A801" s="248"/>
      <c r="B801" s="256"/>
      <c r="C801" s="248"/>
      <c r="D801" s="248"/>
      <c r="E801" s="248"/>
      <c r="F801" s="250"/>
      <c r="G801" s="248"/>
      <c r="H801" s="32"/>
      <c r="I801" s="248"/>
      <c r="J801" s="248"/>
      <c r="K801" s="251"/>
      <c r="L801" s="238"/>
      <c r="M801" s="248"/>
      <c r="N801" s="248"/>
      <c r="O801" s="248"/>
      <c r="P801" s="250"/>
      <c r="Q801" s="252"/>
      <c r="R801" s="248"/>
      <c r="S801" s="248"/>
      <c r="T801" s="248"/>
      <c r="U801" s="248"/>
      <c r="V801" s="248"/>
      <c r="W801" s="248"/>
      <c r="X801" s="248"/>
      <c r="Y801" s="248"/>
      <c r="Z801" s="253"/>
      <c r="AA801" s="253"/>
      <c r="AB801" s="253"/>
      <c r="AC801" s="253"/>
      <c r="AD801" s="253"/>
      <c r="AE801" s="253"/>
      <c r="AF801" s="254"/>
      <c r="AG801" s="257"/>
      <c r="AH801" s="257"/>
      <c r="AI801" s="257"/>
      <c r="AJ801" s="258"/>
      <c r="AK801" s="259"/>
      <c r="AL801" s="257"/>
      <c r="AM801" s="257"/>
      <c r="AN801" s="257"/>
      <c r="AO801" s="257"/>
      <c r="AP801" s="257"/>
      <c r="AQ801" s="258"/>
      <c r="AR801" s="260"/>
      <c r="AS801" s="257"/>
      <c r="AT801" s="257"/>
      <c r="AU801" s="257"/>
      <c r="AV801" s="257"/>
      <c r="AW801" s="257"/>
      <c r="AX801" s="258"/>
      <c r="AY801" s="260"/>
      <c r="AZ801" s="257"/>
      <c r="BA801" s="257"/>
      <c r="BB801" s="257"/>
      <c r="BC801" s="257"/>
      <c r="BD801" s="258"/>
      <c r="BE801" s="260"/>
      <c r="BF801" s="258"/>
      <c r="BG801" s="260"/>
      <c r="BH801" s="257"/>
      <c r="BI801" s="14"/>
    </row>
    <row r="802" spans="1:61" ht="13.15" x14ac:dyDescent="0.4">
      <c r="A802" s="248"/>
      <c r="B802" s="256"/>
      <c r="C802" s="248"/>
      <c r="D802" s="248"/>
      <c r="E802" s="248"/>
      <c r="F802" s="250"/>
      <c r="G802" s="248"/>
      <c r="H802" s="32"/>
      <c r="I802" s="248"/>
      <c r="J802" s="248"/>
      <c r="K802" s="251"/>
      <c r="L802" s="238"/>
      <c r="M802" s="248"/>
      <c r="N802" s="248"/>
      <c r="O802" s="248"/>
      <c r="P802" s="250"/>
      <c r="Q802" s="252"/>
      <c r="R802" s="248"/>
      <c r="S802" s="248"/>
      <c r="T802" s="248"/>
      <c r="U802" s="248"/>
      <c r="V802" s="248"/>
      <c r="W802" s="248"/>
      <c r="X802" s="248"/>
      <c r="Y802" s="248"/>
      <c r="Z802" s="253"/>
      <c r="AA802" s="253"/>
      <c r="AB802" s="253"/>
      <c r="AC802" s="253"/>
      <c r="AD802" s="253"/>
      <c r="AE802" s="253"/>
      <c r="AF802" s="254"/>
      <c r="AG802" s="257"/>
      <c r="AH802" s="257"/>
      <c r="AI802" s="257"/>
      <c r="AJ802" s="258"/>
      <c r="AK802" s="259"/>
      <c r="AL802" s="257"/>
      <c r="AM802" s="257"/>
      <c r="AN802" s="257"/>
      <c r="AO802" s="257"/>
      <c r="AP802" s="257"/>
      <c r="AQ802" s="258"/>
      <c r="AR802" s="260"/>
      <c r="AS802" s="257"/>
      <c r="AT802" s="257"/>
      <c r="AU802" s="257"/>
      <c r="AV802" s="257"/>
      <c r="AW802" s="257"/>
      <c r="AX802" s="258"/>
      <c r="AY802" s="260"/>
      <c r="AZ802" s="257"/>
      <c r="BA802" s="257"/>
      <c r="BB802" s="257"/>
      <c r="BC802" s="257"/>
      <c r="BD802" s="258"/>
      <c r="BE802" s="260"/>
      <c r="BF802" s="258"/>
      <c r="BG802" s="260"/>
      <c r="BH802" s="257"/>
      <c r="BI802" s="14"/>
    </row>
    <row r="803" spans="1:61" ht="13.15" x14ac:dyDescent="0.4">
      <c r="A803" s="248"/>
      <c r="B803" s="256"/>
      <c r="C803" s="248"/>
      <c r="D803" s="248"/>
      <c r="E803" s="248"/>
      <c r="F803" s="250"/>
      <c r="G803" s="248"/>
      <c r="H803" s="32"/>
      <c r="I803" s="248"/>
      <c r="J803" s="248"/>
      <c r="K803" s="251"/>
      <c r="L803" s="238"/>
      <c r="M803" s="248"/>
      <c r="N803" s="248"/>
      <c r="O803" s="248"/>
      <c r="P803" s="250"/>
      <c r="Q803" s="252"/>
      <c r="R803" s="248"/>
      <c r="S803" s="248"/>
      <c r="T803" s="248"/>
      <c r="U803" s="248"/>
      <c r="V803" s="248"/>
      <c r="W803" s="248"/>
      <c r="X803" s="248"/>
      <c r="Y803" s="248"/>
      <c r="Z803" s="253"/>
      <c r="AA803" s="253"/>
      <c r="AB803" s="253"/>
      <c r="AC803" s="253"/>
      <c r="AD803" s="253"/>
      <c r="AE803" s="253"/>
      <c r="AF803" s="254"/>
      <c r="AG803" s="257"/>
      <c r="AH803" s="257"/>
      <c r="AI803" s="257"/>
      <c r="AJ803" s="258"/>
      <c r="AK803" s="259"/>
      <c r="AL803" s="257"/>
      <c r="AM803" s="257"/>
      <c r="AN803" s="257"/>
      <c r="AO803" s="257"/>
      <c r="AP803" s="257"/>
      <c r="AQ803" s="258"/>
      <c r="AR803" s="260"/>
      <c r="AS803" s="257"/>
      <c r="AT803" s="257"/>
      <c r="AU803" s="257"/>
      <c r="AV803" s="257"/>
      <c r="AW803" s="257"/>
      <c r="AX803" s="258"/>
      <c r="AY803" s="260"/>
      <c r="AZ803" s="257"/>
      <c r="BA803" s="257"/>
      <c r="BB803" s="257"/>
      <c r="BC803" s="257"/>
      <c r="BD803" s="258"/>
      <c r="BE803" s="260"/>
      <c r="BF803" s="258"/>
      <c r="BG803" s="260"/>
      <c r="BH803" s="257"/>
      <c r="BI803" s="14"/>
    </row>
  </sheetData>
  <mergeCells count="40">
    <mergeCell ref="BF3:BF6"/>
    <mergeCell ref="BG3:BG6"/>
    <mergeCell ref="BH3:BH6"/>
    <mergeCell ref="AU3:AU6"/>
    <mergeCell ref="AV3:AV6"/>
    <mergeCell ref="AW3:AW6"/>
    <mergeCell ref="AX3:AX6"/>
    <mergeCell ref="AY3:AY6"/>
    <mergeCell ref="AZ3:AZ6"/>
    <mergeCell ref="BA3:BA6"/>
    <mergeCell ref="AT3:AT6"/>
    <mergeCell ref="BB3:BB6"/>
    <mergeCell ref="BC3:BC6"/>
    <mergeCell ref="BD3:BD6"/>
    <mergeCell ref="BE3:BE6"/>
    <mergeCell ref="AO3:AO6"/>
    <mergeCell ref="AP3:AP6"/>
    <mergeCell ref="AQ3:AQ6"/>
    <mergeCell ref="AR3:AR6"/>
    <mergeCell ref="AS3:AS6"/>
    <mergeCell ref="AJ3:AJ6"/>
    <mergeCell ref="AK3:AK6"/>
    <mergeCell ref="AL3:AL6"/>
    <mergeCell ref="AM3:AM6"/>
    <mergeCell ref="AN3:AN6"/>
    <mergeCell ref="AE1:AE6"/>
    <mergeCell ref="AF1:AF6"/>
    <mergeCell ref="AG3:AG6"/>
    <mergeCell ref="AH3:AH6"/>
    <mergeCell ref="AI3:AI6"/>
    <mergeCell ref="Z1:Z6"/>
    <mergeCell ref="AA1:AA6"/>
    <mergeCell ref="AB1:AB6"/>
    <mergeCell ref="AC1:AC6"/>
    <mergeCell ref="AD1:AD6"/>
    <mergeCell ref="AG2:AJ2"/>
    <mergeCell ref="AL2:AQ2"/>
    <mergeCell ref="AR2:AX2"/>
    <mergeCell ref="AY2:BD2"/>
    <mergeCell ref="BE2:BF2"/>
  </mergeCells>
  <printOptions horizontalCentered="1" gridLines="1"/>
  <pageMargins left="0.25" right="0.25" top="0.75" bottom="0.75" header="0" footer="0"/>
  <pageSetup fitToHeight="0" pageOrder="overThenDown" orientation="landscape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J1000"/>
  <sheetViews>
    <sheetView workbookViewId="0"/>
  </sheetViews>
  <sheetFormatPr defaultColWidth="14.42578125" defaultRowHeight="15.75" customHeight="1" x14ac:dyDescent="0.4"/>
  <cols>
    <col min="1" max="1" width="12.7109375" customWidth="1"/>
    <col min="2" max="2" width="14.140625" customWidth="1"/>
    <col min="3" max="3" width="17.5703125" customWidth="1"/>
    <col min="4" max="4" width="6.140625" customWidth="1"/>
    <col min="5" max="5" width="23.42578125" customWidth="1"/>
    <col min="6" max="6" width="8.28515625" customWidth="1"/>
    <col min="7" max="7" width="9.140625" customWidth="1"/>
    <col min="8" max="8" width="18" customWidth="1"/>
    <col min="9" max="9" width="12" customWidth="1"/>
    <col min="10" max="10" width="135.85546875" customWidth="1"/>
  </cols>
  <sheetData>
    <row r="1" spans="1:10" ht="15.75" customHeight="1" x14ac:dyDescent="0.5">
      <c r="A1" s="268" t="s">
        <v>12</v>
      </c>
      <c r="B1" s="268" t="s">
        <v>1009</v>
      </c>
      <c r="C1" s="268" t="s">
        <v>2</v>
      </c>
      <c r="D1" s="268" t="s">
        <v>7</v>
      </c>
      <c r="E1" s="268" t="s">
        <v>1010</v>
      </c>
      <c r="F1" s="268" t="s">
        <v>20</v>
      </c>
      <c r="G1" s="268" t="s">
        <v>11</v>
      </c>
      <c r="H1" s="268" t="s">
        <v>1011</v>
      </c>
      <c r="I1" s="268" t="s">
        <v>1012</v>
      </c>
      <c r="J1" s="268" t="s">
        <v>1013</v>
      </c>
    </row>
    <row r="2" spans="1:10" ht="15.75" customHeight="1" x14ac:dyDescent="0.5">
      <c r="A2" s="269">
        <v>45086</v>
      </c>
      <c r="B2" s="270"/>
      <c r="C2" s="270" t="s">
        <v>1014</v>
      </c>
      <c r="D2" s="270"/>
      <c r="E2" s="270" t="s">
        <v>483</v>
      </c>
      <c r="F2" s="270"/>
      <c r="G2" s="270"/>
      <c r="H2" s="270"/>
      <c r="I2" s="270"/>
      <c r="J2" s="270"/>
    </row>
    <row r="3" spans="1:10" ht="15.75" customHeight="1" x14ac:dyDescent="0.5">
      <c r="A3" s="269">
        <v>45104</v>
      </c>
      <c r="B3" s="269">
        <v>45056</v>
      </c>
      <c r="C3" s="270" t="s">
        <v>1015</v>
      </c>
      <c r="D3" s="270" t="s">
        <v>726</v>
      </c>
      <c r="E3" s="270" t="s">
        <v>1016</v>
      </c>
      <c r="F3" s="270" t="s">
        <v>114</v>
      </c>
      <c r="G3" s="270" t="s">
        <v>58</v>
      </c>
      <c r="H3" s="270" t="s">
        <v>1017</v>
      </c>
      <c r="I3" s="270" t="s">
        <v>1018</v>
      </c>
      <c r="J3" s="270" t="s">
        <v>1019</v>
      </c>
    </row>
    <row r="4" spans="1:10" ht="15.75" customHeight="1" x14ac:dyDescent="0.5">
      <c r="A4" s="269">
        <v>45107</v>
      </c>
      <c r="B4" s="269">
        <v>45059</v>
      </c>
      <c r="C4" s="270" t="s">
        <v>1020</v>
      </c>
      <c r="D4" s="270" t="s">
        <v>726</v>
      </c>
      <c r="E4" s="270" t="s">
        <v>1021</v>
      </c>
      <c r="F4" s="270" t="s">
        <v>284</v>
      </c>
      <c r="G4" s="270" t="s">
        <v>53</v>
      </c>
      <c r="H4" s="270" t="s">
        <v>1017</v>
      </c>
      <c r="I4" s="270" t="s">
        <v>1018</v>
      </c>
      <c r="J4" s="270" t="s">
        <v>1022</v>
      </c>
    </row>
    <row r="5" spans="1:10" ht="15.75" customHeight="1" x14ac:dyDescent="0.5">
      <c r="A5" s="269">
        <v>45107</v>
      </c>
      <c r="B5" s="269">
        <v>45096</v>
      </c>
      <c r="C5" s="270" t="s">
        <v>1023</v>
      </c>
      <c r="D5" s="270" t="s">
        <v>726</v>
      </c>
      <c r="E5" s="270" t="s">
        <v>1024</v>
      </c>
      <c r="F5" s="270" t="s">
        <v>61</v>
      </c>
      <c r="G5" s="270" t="s">
        <v>37</v>
      </c>
      <c r="H5" s="270" t="s">
        <v>1025</v>
      </c>
      <c r="I5" s="270" t="s">
        <v>1026</v>
      </c>
      <c r="J5" s="270" t="s">
        <v>1027</v>
      </c>
    </row>
    <row r="6" spans="1:10" ht="15.75" customHeight="1" x14ac:dyDescent="0.5">
      <c r="A6" s="269">
        <v>45210</v>
      </c>
      <c r="B6" s="269">
        <v>45173</v>
      </c>
      <c r="C6" s="270" t="s">
        <v>1028</v>
      </c>
      <c r="D6" s="270" t="s">
        <v>1029</v>
      </c>
      <c r="E6" s="270" t="s">
        <v>1030</v>
      </c>
      <c r="F6" s="270" t="s">
        <v>154</v>
      </c>
      <c r="G6" s="270" t="s">
        <v>58</v>
      </c>
      <c r="H6" s="270" t="s">
        <v>1017</v>
      </c>
      <c r="I6" s="270" t="s">
        <v>1018</v>
      </c>
      <c r="J6" s="270" t="s">
        <v>1031</v>
      </c>
    </row>
    <row r="7" spans="1:10" ht="15.75" customHeight="1" x14ac:dyDescent="0.5">
      <c r="A7" s="270"/>
      <c r="B7" s="270"/>
      <c r="C7" s="270"/>
      <c r="D7" s="270"/>
      <c r="E7" s="270"/>
      <c r="F7" s="270"/>
      <c r="G7" s="270"/>
      <c r="H7" s="270"/>
      <c r="I7" s="270"/>
      <c r="J7" s="270"/>
    </row>
    <row r="8" spans="1:10" ht="15.75" customHeight="1" x14ac:dyDescent="0.5">
      <c r="A8" s="270"/>
      <c r="B8" s="270"/>
      <c r="C8" s="270"/>
      <c r="D8" s="270"/>
      <c r="E8" s="270"/>
      <c r="F8" s="270"/>
      <c r="G8" s="270"/>
      <c r="H8" s="270"/>
      <c r="I8" s="270"/>
      <c r="J8" s="270"/>
    </row>
    <row r="9" spans="1:10" ht="15.75" customHeight="1" x14ac:dyDescent="0.5">
      <c r="A9" s="270"/>
      <c r="B9" s="270"/>
      <c r="C9" s="270"/>
      <c r="D9" s="270"/>
      <c r="E9" s="270"/>
      <c r="F9" s="270"/>
      <c r="G9" s="270"/>
      <c r="H9" s="270"/>
      <c r="I9" s="270"/>
      <c r="J9" s="270"/>
    </row>
    <row r="10" spans="1:10" ht="15.75" customHeight="1" x14ac:dyDescent="0.5">
      <c r="A10" s="270"/>
      <c r="B10" s="270"/>
      <c r="C10" s="270"/>
      <c r="D10" s="270"/>
      <c r="E10" s="270"/>
      <c r="F10" s="270"/>
      <c r="G10" s="270"/>
      <c r="H10" s="270"/>
      <c r="I10" s="270"/>
      <c r="J10" s="270"/>
    </row>
    <row r="11" spans="1:10" ht="15.75" customHeight="1" x14ac:dyDescent="0.5">
      <c r="A11" s="270"/>
      <c r="B11" s="270"/>
      <c r="C11" s="270"/>
      <c r="D11" s="270"/>
      <c r="E11" s="270"/>
      <c r="F11" s="270"/>
      <c r="G11" s="270"/>
      <c r="H11" s="270"/>
      <c r="I11" s="270"/>
      <c r="J11" s="270"/>
    </row>
    <row r="12" spans="1:10" ht="15.75" customHeight="1" x14ac:dyDescent="0.5">
      <c r="A12" s="270"/>
      <c r="B12" s="270"/>
      <c r="C12" s="270"/>
      <c r="D12" s="270"/>
      <c r="E12" s="270"/>
      <c r="F12" s="270"/>
      <c r="G12" s="270"/>
      <c r="H12" s="270"/>
      <c r="I12" s="270"/>
      <c r="J12" s="270"/>
    </row>
    <row r="13" spans="1:10" ht="15.75" customHeight="1" x14ac:dyDescent="0.5">
      <c r="A13" s="270"/>
      <c r="B13" s="270"/>
      <c r="C13" s="270"/>
      <c r="D13" s="270"/>
      <c r="E13" s="270"/>
      <c r="F13" s="270"/>
      <c r="G13" s="270"/>
      <c r="H13" s="270"/>
      <c r="I13" s="270"/>
      <c r="J13" s="270"/>
    </row>
    <row r="14" spans="1:10" ht="15.75" customHeight="1" x14ac:dyDescent="0.5">
      <c r="A14" s="270"/>
      <c r="B14" s="270"/>
      <c r="C14" s="270"/>
      <c r="D14" s="270"/>
      <c r="E14" s="270"/>
      <c r="F14" s="270"/>
      <c r="G14" s="270"/>
      <c r="H14" s="270"/>
      <c r="I14" s="270"/>
      <c r="J14" s="270"/>
    </row>
    <row r="15" spans="1:10" ht="15.75" customHeight="1" x14ac:dyDescent="0.5">
      <c r="A15" s="270"/>
      <c r="B15" s="270"/>
      <c r="C15" s="270"/>
      <c r="D15" s="270"/>
      <c r="E15" s="270"/>
      <c r="F15" s="270"/>
      <c r="G15" s="270"/>
      <c r="H15" s="270"/>
      <c r="I15" s="270"/>
      <c r="J15" s="270"/>
    </row>
    <row r="16" spans="1:10" ht="15.75" customHeight="1" x14ac:dyDescent="0.5">
      <c r="A16" s="270"/>
      <c r="B16" s="270"/>
      <c r="C16" s="270"/>
      <c r="D16" s="270"/>
      <c r="E16" s="270"/>
      <c r="F16" s="270"/>
      <c r="G16" s="270"/>
      <c r="H16" s="270"/>
      <c r="I16" s="270"/>
      <c r="J16" s="270"/>
    </row>
    <row r="17" spans="1:10" ht="15.75" customHeight="1" x14ac:dyDescent="0.5">
      <c r="A17" s="270"/>
      <c r="B17" s="270"/>
      <c r="C17" s="270"/>
      <c r="D17" s="270"/>
      <c r="E17" s="270"/>
      <c r="F17" s="270"/>
      <c r="G17" s="270"/>
      <c r="H17" s="270"/>
      <c r="I17" s="270"/>
      <c r="J17" s="270"/>
    </row>
    <row r="18" spans="1:10" ht="15.75" customHeight="1" x14ac:dyDescent="0.5">
      <c r="A18" s="270"/>
      <c r="B18" s="270"/>
      <c r="C18" s="270"/>
      <c r="D18" s="270"/>
      <c r="E18" s="270"/>
      <c r="F18" s="270"/>
      <c r="G18" s="270"/>
      <c r="H18" s="270"/>
      <c r="I18" s="270"/>
      <c r="J18" s="270"/>
    </row>
    <row r="19" spans="1:10" ht="15.75" customHeight="1" x14ac:dyDescent="0.5">
      <c r="A19" s="270"/>
      <c r="B19" s="270"/>
      <c r="C19" s="270"/>
      <c r="D19" s="270"/>
      <c r="E19" s="270"/>
      <c r="F19" s="270"/>
      <c r="G19" s="270"/>
      <c r="H19" s="270"/>
      <c r="I19" s="270"/>
      <c r="J19" s="270"/>
    </row>
    <row r="20" spans="1:10" ht="15.75" customHeight="1" x14ac:dyDescent="0.5">
      <c r="A20" s="270"/>
      <c r="B20" s="270"/>
      <c r="C20" s="270"/>
      <c r="D20" s="270"/>
      <c r="E20" s="270"/>
      <c r="F20" s="270"/>
      <c r="G20" s="270"/>
      <c r="H20" s="270"/>
      <c r="I20" s="270"/>
      <c r="J20" s="270"/>
    </row>
    <row r="21" spans="1:10" ht="15.75" customHeight="1" x14ac:dyDescent="0.5">
      <c r="A21" s="270"/>
      <c r="B21" s="270"/>
      <c r="C21" s="270"/>
      <c r="D21" s="270"/>
      <c r="E21" s="270"/>
      <c r="F21" s="270"/>
      <c r="G21" s="270"/>
      <c r="H21" s="270"/>
      <c r="I21" s="270"/>
      <c r="J21" s="270"/>
    </row>
    <row r="22" spans="1:10" ht="15.75" customHeight="1" x14ac:dyDescent="0.5">
      <c r="A22" s="270"/>
      <c r="B22" s="270"/>
      <c r="C22" s="270"/>
      <c r="D22" s="270"/>
      <c r="E22" s="270"/>
      <c r="F22" s="270"/>
      <c r="G22" s="270"/>
      <c r="H22" s="270"/>
      <c r="I22" s="270"/>
      <c r="J22" s="270"/>
    </row>
    <row r="23" spans="1:10" ht="15.75" customHeight="1" x14ac:dyDescent="0.5">
      <c r="A23" s="270"/>
      <c r="B23" s="270"/>
      <c r="C23" s="270"/>
      <c r="D23" s="270"/>
      <c r="E23" s="270"/>
      <c r="F23" s="270"/>
      <c r="G23" s="270"/>
      <c r="H23" s="270"/>
      <c r="I23" s="270"/>
      <c r="J23" s="270"/>
    </row>
    <row r="24" spans="1:10" ht="15.75" customHeight="1" x14ac:dyDescent="0.5">
      <c r="A24" s="270"/>
      <c r="B24" s="270"/>
      <c r="C24" s="270"/>
      <c r="D24" s="270"/>
      <c r="E24" s="270"/>
      <c r="F24" s="270"/>
      <c r="G24" s="270"/>
      <c r="H24" s="270"/>
      <c r="I24" s="270"/>
      <c r="J24" s="270"/>
    </row>
    <row r="25" spans="1:10" ht="15.75" customHeight="1" x14ac:dyDescent="0.5">
      <c r="A25" s="270"/>
      <c r="B25" s="270"/>
      <c r="C25" s="270"/>
      <c r="D25" s="270"/>
      <c r="E25" s="270"/>
      <c r="F25" s="270"/>
      <c r="G25" s="270"/>
      <c r="H25" s="270"/>
      <c r="I25" s="270"/>
      <c r="J25" s="270"/>
    </row>
    <row r="26" spans="1:10" ht="15.75" customHeight="1" x14ac:dyDescent="0.5">
      <c r="A26" s="270"/>
      <c r="B26" s="270"/>
      <c r="C26" s="270"/>
      <c r="D26" s="270"/>
      <c r="E26" s="270"/>
      <c r="F26" s="270"/>
      <c r="G26" s="270"/>
      <c r="H26" s="270"/>
      <c r="I26" s="270"/>
      <c r="J26" s="270"/>
    </row>
    <row r="27" spans="1:10" ht="15.75" customHeight="1" x14ac:dyDescent="0.5">
      <c r="A27" s="270"/>
      <c r="B27" s="270"/>
      <c r="C27" s="270"/>
      <c r="D27" s="270"/>
      <c r="E27" s="270"/>
      <c r="F27" s="270"/>
      <c r="G27" s="270"/>
      <c r="H27" s="270"/>
      <c r="I27" s="270"/>
      <c r="J27" s="270"/>
    </row>
    <row r="28" spans="1:10" ht="15.75" customHeight="1" x14ac:dyDescent="0.5">
      <c r="A28" s="270"/>
      <c r="B28" s="270"/>
      <c r="C28" s="270"/>
      <c r="D28" s="270"/>
      <c r="E28" s="270"/>
      <c r="F28" s="270"/>
      <c r="G28" s="270"/>
      <c r="H28" s="270"/>
      <c r="I28" s="270"/>
      <c r="J28" s="270"/>
    </row>
    <row r="29" spans="1:10" ht="15.75" customHeight="1" x14ac:dyDescent="0.5">
      <c r="A29" s="270"/>
      <c r="B29" s="270"/>
      <c r="C29" s="270"/>
      <c r="D29" s="270"/>
      <c r="E29" s="270"/>
      <c r="F29" s="270"/>
      <c r="G29" s="270"/>
      <c r="H29" s="270"/>
      <c r="I29" s="270"/>
      <c r="J29" s="270"/>
    </row>
    <row r="30" spans="1:10" ht="16.899999999999999" x14ac:dyDescent="0.5">
      <c r="A30" s="270"/>
      <c r="B30" s="270"/>
      <c r="C30" s="270"/>
      <c r="D30" s="270"/>
      <c r="E30" s="270"/>
      <c r="F30" s="270"/>
      <c r="G30" s="270"/>
      <c r="H30" s="270"/>
      <c r="I30" s="270"/>
      <c r="J30" s="270"/>
    </row>
    <row r="31" spans="1:10" ht="16.899999999999999" x14ac:dyDescent="0.5">
      <c r="A31" s="270"/>
      <c r="B31" s="270"/>
      <c r="C31" s="270"/>
      <c r="D31" s="270"/>
      <c r="E31" s="270"/>
      <c r="F31" s="270"/>
      <c r="G31" s="270"/>
      <c r="H31" s="270"/>
      <c r="I31" s="270"/>
      <c r="J31" s="270"/>
    </row>
    <row r="32" spans="1:10" ht="16.899999999999999" x14ac:dyDescent="0.5">
      <c r="A32" s="270"/>
      <c r="B32" s="270"/>
      <c r="C32" s="270"/>
      <c r="D32" s="270"/>
      <c r="E32" s="270"/>
      <c r="F32" s="270"/>
      <c r="G32" s="270"/>
      <c r="H32" s="270"/>
      <c r="I32" s="270"/>
      <c r="J32" s="270"/>
    </row>
    <row r="33" spans="1:10" ht="16.899999999999999" x14ac:dyDescent="0.5">
      <c r="A33" s="270"/>
      <c r="B33" s="270"/>
      <c r="C33" s="270"/>
      <c r="D33" s="270"/>
      <c r="E33" s="270"/>
      <c r="F33" s="270"/>
      <c r="G33" s="270"/>
      <c r="H33" s="270"/>
      <c r="I33" s="270"/>
      <c r="J33" s="270"/>
    </row>
    <row r="34" spans="1:10" ht="16.899999999999999" x14ac:dyDescent="0.5">
      <c r="A34" s="270"/>
      <c r="B34" s="270"/>
      <c r="C34" s="270"/>
      <c r="D34" s="270"/>
      <c r="E34" s="270"/>
      <c r="F34" s="270"/>
      <c r="G34" s="270"/>
      <c r="H34" s="270"/>
      <c r="I34" s="270"/>
      <c r="J34" s="270"/>
    </row>
    <row r="35" spans="1:10" ht="16.899999999999999" x14ac:dyDescent="0.5">
      <c r="A35" s="270"/>
      <c r="B35" s="270"/>
      <c r="C35" s="270"/>
      <c r="D35" s="270"/>
      <c r="E35" s="270"/>
      <c r="F35" s="270"/>
      <c r="G35" s="270"/>
      <c r="H35" s="270"/>
      <c r="I35" s="270"/>
      <c r="J35" s="270"/>
    </row>
    <row r="36" spans="1:10" ht="16.899999999999999" x14ac:dyDescent="0.5">
      <c r="A36" s="270"/>
      <c r="B36" s="270"/>
      <c r="C36" s="270"/>
      <c r="D36" s="270"/>
      <c r="E36" s="270"/>
      <c r="F36" s="270"/>
      <c r="G36" s="270"/>
      <c r="H36" s="270"/>
      <c r="I36" s="270"/>
      <c r="J36" s="270"/>
    </row>
    <row r="37" spans="1:10" ht="16.899999999999999" x14ac:dyDescent="0.5">
      <c r="A37" s="270"/>
      <c r="B37" s="270"/>
      <c r="C37" s="270"/>
      <c r="D37" s="270"/>
      <c r="E37" s="270"/>
      <c r="F37" s="270"/>
      <c r="G37" s="270"/>
      <c r="H37" s="270"/>
      <c r="I37" s="270"/>
      <c r="J37" s="270"/>
    </row>
    <row r="38" spans="1:10" ht="16.899999999999999" x14ac:dyDescent="0.5">
      <c r="A38" s="270"/>
      <c r="B38" s="270"/>
      <c r="C38" s="270"/>
      <c r="D38" s="270"/>
      <c r="E38" s="270"/>
      <c r="F38" s="270"/>
      <c r="G38" s="270"/>
      <c r="H38" s="270"/>
      <c r="I38" s="270"/>
      <c r="J38" s="270"/>
    </row>
    <row r="39" spans="1:10" ht="16.899999999999999" x14ac:dyDescent="0.5">
      <c r="A39" s="270"/>
      <c r="B39" s="270"/>
      <c r="C39" s="270"/>
      <c r="D39" s="270"/>
      <c r="E39" s="270"/>
      <c r="F39" s="270"/>
      <c r="G39" s="270"/>
      <c r="H39" s="270"/>
      <c r="I39" s="270"/>
      <c r="J39" s="270"/>
    </row>
    <row r="40" spans="1:10" ht="16.899999999999999" x14ac:dyDescent="0.5">
      <c r="A40" s="270"/>
      <c r="B40" s="270"/>
      <c r="C40" s="270"/>
      <c r="D40" s="270"/>
      <c r="E40" s="270"/>
      <c r="F40" s="270"/>
      <c r="G40" s="270"/>
      <c r="H40" s="270"/>
      <c r="I40" s="270"/>
      <c r="J40" s="270"/>
    </row>
    <row r="41" spans="1:10" ht="16.899999999999999" x14ac:dyDescent="0.5">
      <c r="A41" s="270"/>
      <c r="B41" s="270"/>
      <c r="C41" s="270"/>
      <c r="D41" s="270"/>
      <c r="E41" s="270"/>
      <c r="F41" s="270"/>
      <c r="G41" s="270"/>
      <c r="H41" s="270"/>
      <c r="I41" s="270"/>
      <c r="J41" s="270"/>
    </row>
    <row r="42" spans="1:10" ht="16.899999999999999" x14ac:dyDescent="0.5">
      <c r="A42" s="270"/>
      <c r="B42" s="270"/>
      <c r="C42" s="270"/>
      <c r="D42" s="270"/>
      <c r="E42" s="270"/>
      <c r="F42" s="270"/>
      <c r="G42" s="270"/>
      <c r="H42" s="270"/>
      <c r="I42" s="270"/>
      <c r="J42" s="270"/>
    </row>
    <row r="43" spans="1:10" ht="16.899999999999999" x14ac:dyDescent="0.5">
      <c r="A43" s="270"/>
      <c r="B43" s="270"/>
      <c r="C43" s="270"/>
      <c r="D43" s="270"/>
      <c r="E43" s="270"/>
      <c r="F43" s="270"/>
      <c r="G43" s="270"/>
      <c r="H43" s="270"/>
      <c r="I43" s="270"/>
      <c r="J43" s="270"/>
    </row>
    <row r="44" spans="1:10" ht="16.899999999999999" x14ac:dyDescent="0.5">
      <c r="A44" s="270"/>
      <c r="B44" s="270"/>
      <c r="C44" s="270"/>
      <c r="D44" s="270"/>
      <c r="E44" s="270"/>
      <c r="F44" s="270"/>
      <c r="G44" s="270"/>
      <c r="H44" s="270"/>
      <c r="I44" s="270"/>
      <c r="J44" s="270"/>
    </row>
    <row r="45" spans="1:10" ht="16.899999999999999" x14ac:dyDescent="0.5">
      <c r="A45" s="270"/>
      <c r="B45" s="270"/>
      <c r="C45" s="270"/>
      <c r="D45" s="270"/>
      <c r="E45" s="270"/>
      <c r="F45" s="270"/>
      <c r="G45" s="270"/>
      <c r="H45" s="270"/>
      <c r="I45" s="270"/>
      <c r="J45" s="270"/>
    </row>
    <row r="46" spans="1:10" ht="16.899999999999999" x14ac:dyDescent="0.5">
      <c r="A46" s="270"/>
      <c r="B46" s="270"/>
      <c r="C46" s="270"/>
      <c r="D46" s="270"/>
      <c r="E46" s="270"/>
      <c r="F46" s="270"/>
      <c r="G46" s="270"/>
      <c r="H46" s="270"/>
      <c r="I46" s="270"/>
      <c r="J46" s="270"/>
    </row>
    <row r="47" spans="1:10" ht="16.899999999999999" x14ac:dyDescent="0.5">
      <c r="A47" s="270"/>
      <c r="B47" s="270"/>
      <c r="C47" s="270"/>
      <c r="D47" s="270"/>
      <c r="E47" s="270"/>
      <c r="F47" s="270"/>
      <c r="G47" s="270"/>
      <c r="H47" s="270"/>
      <c r="I47" s="270"/>
      <c r="J47" s="270"/>
    </row>
    <row r="48" spans="1:10" ht="16.899999999999999" x14ac:dyDescent="0.5">
      <c r="A48" s="270"/>
      <c r="B48" s="270"/>
      <c r="C48" s="270"/>
      <c r="D48" s="270"/>
      <c r="E48" s="270"/>
      <c r="F48" s="270"/>
      <c r="G48" s="270"/>
      <c r="H48" s="270"/>
      <c r="I48" s="270"/>
      <c r="J48" s="270"/>
    </row>
    <row r="49" spans="1:10" ht="16.899999999999999" x14ac:dyDescent="0.5">
      <c r="A49" s="270"/>
      <c r="B49" s="270"/>
      <c r="C49" s="270"/>
      <c r="D49" s="270"/>
      <c r="E49" s="270"/>
      <c r="F49" s="270"/>
      <c r="G49" s="270"/>
      <c r="H49" s="270"/>
      <c r="I49" s="270"/>
      <c r="J49" s="270"/>
    </row>
    <row r="50" spans="1:10" ht="16.899999999999999" x14ac:dyDescent="0.5">
      <c r="A50" s="270"/>
      <c r="B50" s="270"/>
      <c r="C50" s="270"/>
      <c r="D50" s="270"/>
      <c r="E50" s="270"/>
      <c r="F50" s="270"/>
      <c r="G50" s="270"/>
      <c r="H50" s="270"/>
      <c r="I50" s="270"/>
      <c r="J50" s="270"/>
    </row>
    <row r="51" spans="1:10" ht="16.899999999999999" x14ac:dyDescent="0.5">
      <c r="A51" s="270"/>
      <c r="B51" s="270"/>
      <c r="C51" s="270"/>
      <c r="D51" s="270"/>
      <c r="E51" s="270"/>
      <c r="F51" s="270"/>
      <c r="G51" s="270"/>
      <c r="H51" s="270"/>
      <c r="I51" s="270"/>
      <c r="J51" s="270"/>
    </row>
    <row r="52" spans="1:10" ht="16.899999999999999" x14ac:dyDescent="0.5">
      <c r="A52" s="270"/>
      <c r="B52" s="270"/>
      <c r="C52" s="270"/>
      <c r="D52" s="270"/>
      <c r="E52" s="270"/>
      <c r="F52" s="270"/>
      <c r="G52" s="270"/>
      <c r="H52" s="270"/>
      <c r="I52" s="270"/>
      <c r="J52" s="270"/>
    </row>
    <row r="53" spans="1:10" ht="16.899999999999999" x14ac:dyDescent="0.5">
      <c r="A53" s="270"/>
      <c r="B53" s="270"/>
      <c r="C53" s="270"/>
      <c r="D53" s="270"/>
      <c r="E53" s="270"/>
      <c r="F53" s="270"/>
      <c r="G53" s="270"/>
      <c r="H53" s="270"/>
      <c r="I53" s="270"/>
      <c r="J53" s="270"/>
    </row>
    <row r="54" spans="1:10" ht="16.899999999999999" x14ac:dyDescent="0.5">
      <c r="A54" s="270"/>
      <c r="B54" s="270"/>
      <c r="C54" s="270"/>
      <c r="D54" s="270"/>
      <c r="E54" s="270"/>
      <c r="F54" s="270"/>
      <c r="G54" s="270"/>
      <c r="H54" s="270"/>
      <c r="I54" s="270"/>
      <c r="J54" s="270"/>
    </row>
    <row r="55" spans="1:10" ht="16.899999999999999" x14ac:dyDescent="0.5">
      <c r="A55" s="270"/>
      <c r="B55" s="270"/>
      <c r="C55" s="270"/>
      <c r="D55" s="270"/>
      <c r="E55" s="270"/>
      <c r="F55" s="270"/>
      <c r="G55" s="270"/>
      <c r="H55" s="270"/>
      <c r="I55" s="270"/>
      <c r="J55" s="270"/>
    </row>
    <row r="56" spans="1:10" ht="16.899999999999999" x14ac:dyDescent="0.5">
      <c r="A56" s="270"/>
      <c r="B56" s="270"/>
      <c r="C56" s="270"/>
      <c r="D56" s="270"/>
      <c r="E56" s="270"/>
      <c r="F56" s="270"/>
      <c r="G56" s="270"/>
      <c r="H56" s="270"/>
      <c r="I56" s="270"/>
      <c r="J56" s="270"/>
    </row>
    <row r="57" spans="1:10" ht="16.899999999999999" x14ac:dyDescent="0.5">
      <c r="A57" s="270"/>
      <c r="B57" s="270"/>
      <c r="C57" s="270"/>
      <c r="D57" s="270"/>
      <c r="E57" s="270"/>
      <c r="F57" s="270"/>
      <c r="G57" s="270"/>
      <c r="H57" s="270"/>
      <c r="I57" s="270"/>
      <c r="J57" s="270"/>
    </row>
    <row r="58" spans="1:10" ht="16.899999999999999" x14ac:dyDescent="0.5">
      <c r="A58" s="270"/>
      <c r="B58" s="270"/>
      <c r="C58" s="270"/>
      <c r="D58" s="270"/>
      <c r="E58" s="270"/>
      <c r="F58" s="270"/>
      <c r="G58" s="270"/>
      <c r="H58" s="270"/>
      <c r="I58" s="270"/>
      <c r="J58" s="270"/>
    </row>
    <row r="59" spans="1:10" ht="16.899999999999999" x14ac:dyDescent="0.5">
      <c r="A59" s="270"/>
      <c r="B59" s="270"/>
      <c r="C59" s="270"/>
      <c r="D59" s="270"/>
      <c r="E59" s="270"/>
      <c r="F59" s="270"/>
      <c r="G59" s="270"/>
      <c r="H59" s="270"/>
      <c r="I59" s="270"/>
      <c r="J59" s="270"/>
    </row>
    <row r="60" spans="1:10" ht="16.899999999999999" x14ac:dyDescent="0.5">
      <c r="A60" s="270"/>
      <c r="B60" s="270"/>
      <c r="C60" s="270"/>
      <c r="D60" s="270"/>
      <c r="E60" s="270"/>
      <c r="F60" s="270"/>
      <c r="G60" s="270"/>
      <c r="H60" s="270"/>
      <c r="I60" s="270"/>
      <c r="J60" s="270"/>
    </row>
    <row r="61" spans="1:10" ht="16.899999999999999" x14ac:dyDescent="0.5">
      <c r="A61" s="270"/>
      <c r="B61" s="270"/>
      <c r="C61" s="270"/>
      <c r="D61" s="270"/>
      <c r="E61" s="270"/>
      <c r="F61" s="270"/>
      <c r="G61" s="270"/>
      <c r="H61" s="270"/>
      <c r="I61" s="270"/>
      <c r="J61" s="270"/>
    </row>
    <row r="62" spans="1:10" ht="16.899999999999999" x14ac:dyDescent="0.5">
      <c r="A62" s="270"/>
      <c r="B62" s="270"/>
      <c r="C62" s="270"/>
      <c r="D62" s="270"/>
      <c r="E62" s="270"/>
      <c r="F62" s="270"/>
      <c r="G62" s="270"/>
      <c r="H62" s="270"/>
      <c r="I62" s="270"/>
      <c r="J62" s="270"/>
    </row>
    <row r="63" spans="1:10" ht="16.899999999999999" x14ac:dyDescent="0.5">
      <c r="A63" s="270"/>
      <c r="B63" s="270"/>
      <c r="C63" s="270"/>
      <c r="D63" s="270"/>
      <c r="E63" s="270"/>
      <c r="F63" s="270"/>
      <c r="G63" s="270"/>
      <c r="H63" s="270"/>
      <c r="I63" s="270"/>
      <c r="J63" s="270"/>
    </row>
    <row r="64" spans="1:10" ht="16.899999999999999" x14ac:dyDescent="0.5">
      <c r="A64" s="270"/>
      <c r="B64" s="270"/>
      <c r="C64" s="270"/>
      <c r="D64" s="270"/>
      <c r="E64" s="270"/>
      <c r="F64" s="270"/>
      <c r="G64" s="270"/>
      <c r="H64" s="270"/>
      <c r="I64" s="270"/>
      <c r="J64" s="270"/>
    </row>
    <row r="65" spans="1:10" ht="16.899999999999999" x14ac:dyDescent="0.5">
      <c r="A65" s="270"/>
      <c r="B65" s="270"/>
      <c r="C65" s="270"/>
      <c r="D65" s="270"/>
      <c r="E65" s="270"/>
      <c r="F65" s="270"/>
      <c r="G65" s="270"/>
      <c r="H65" s="270"/>
      <c r="I65" s="270"/>
      <c r="J65" s="270"/>
    </row>
    <row r="66" spans="1:10" ht="16.899999999999999" x14ac:dyDescent="0.5">
      <c r="A66" s="270"/>
      <c r="B66" s="270"/>
      <c r="C66" s="270"/>
      <c r="D66" s="270"/>
      <c r="E66" s="270"/>
      <c r="F66" s="270"/>
      <c r="G66" s="270"/>
      <c r="H66" s="270"/>
      <c r="I66" s="270"/>
      <c r="J66" s="270"/>
    </row>
    <row r="67" spans="1:10" ht="16.899999999999999" x14ac:dyDescent="0.5">
      <c r="A67" s="270"/>
      <c r="B67" s="270"/>
      <c r="C67" s="270"/>
      <c r="D67" s="270"/>
      <c r="E67" s="270"/>
      <c r="F67" s="270"/>
      <c r="G67" s="270"/>
      <c r="H67" s="270"/>
      <c r="I67" s="270"/>
      <c r="J67" s="270"/>
    </row>
    <row r="68" spans="1:10" ht="16.899999999999999" x14ac:dyDescent="0.5">
      <c r="A68" s="270"/>
      <c r="B68" s="270"/>
      <c r="C68" s="270"/>
      <c r="D68" s="270"/>
      <c r="E68" s="270"/>
      <c r="F68" s="270"/>
      <c r="G68" s="270"/>
      <c r="H68" s="270"/>
      <c r="I68" s="270"/>
      <c r="J68" s="270"/>
    </row>
    <row r="69" spans="1:10" ht="16.899999999999999" x14ac:dyDescent="0.5">
      <c r="A69" s="270"/>
      <c r="B69" s="270"/>
      <c r="C69" s="270"/>
      <c r="D69" s="270"/>
      <c r="E69" s="270"/>
      <c r="F69" s="270"/>
      <c r="G69" s="270"/>
      <c r="H69" s="270"/>
      <c r="I69" s="270"/>
      <c r="J69" s="270"/>
    </row>
    <row r="70" spans="1:10" ht="16.899999999999999" x14ac:dyDescent="0.5">
      <c r="A70" s="270"/>
      <c r="B70" s="270"/>
      <c r="C70" s="270"/>
      <c r="D70" s="270"/>
      <c r="E70" s="270"/>
      <c r="F70" s="270"/>
      <c r="G70" s="270"/>
      <c r="H70" s="270"/>
      <c r="I70" s="270"/>
      <c r="J70" s="270"/>
    </row>
    <row r="71" spans="1:10" ht="16.899999999999999" x14ac:dyDescent="0.5">
      <c r="A71" s="270"/>
      <c r="B71" s="270"/>
      <c r="C71" s="270"/>
      <c r="D71" s="270"/>
      <c r="E71" s="270"/>
      <c r="F71" s="270"/>
      <c r="G71" s="270"/>
      <c r="H71" s="270"/>
      <c r="I71" s="270"/>
      <c r="J71" s="270"/>
    </row>
    <row r="72" spans="1:10" ht="16.899999999999999" x14ac:dyDescent="0.5">
      <c r="A72" s="270"/>
      <c r="B72" s="270"/>
      <c r="C72" s="270"/>
      <c r="D72" s="270"/>
      <c r="E72" s="270"/>
      <c r="F72" s="270"/>
      <c r="G72" s="270"/>
      <c r="H72" s="270"/>
      <c r="I72" s="270"/>
      <c r="J72" s="270"/>
    </row>
    <row r="73" spans="1:10" ht="16.899999999999999" x14ac:dyDescent="0.5">
      <c r="A73" s="270"/>
      <c r="B73" s="270"/>
      <c r="C73" s="270"/>
      <c r="D73" s="270"/>
      <c r="E73" s="270"/>
      <c r="F73" s="270"/>
      <c r="G73" s="270"/>
      <c r="H73" s="270"/>
      <c r="I73" s="270"/>
      <c r="J73" s="270"/>
    </row>
    <row r="74" spans="1:10" ht="16.899999999999999" x14ac:dyDescent="0.5">
      <c r="A74" s="270"/>
      <c r="B74" s="270"/>
      <c r="C74" s="270"/>
      <c r="D74" s="270"/>
      <c r="E74" s="270"/>
      <c r="F74" s="270"/>
      <c r="G74" s="270"/>
      <c r="H74" s="270"/>
      <c r="I74" s="270"/>
      <c r="J74" s="270"/>
    </row>
    <row r="75" spans="1:10" ht="16.899999999999999" x14ac:dyDescent="0.5">
      <c r="A75" s="270"/>
      <c r="B75" s="270"/>
      <c r="C75" s="270"/>
      <c r="D75" s="270"/>
      <c r="E75" s="270"/>
      <c r="F75" s="270"/>
      <c r="G75" s="270"/>
      <c r="H75" s="270"/>
      <c r="I75" s="270"/>
      <c r="J75" s="270"/>
    </row>
    <row r="76" spans="1:10" ht="16.899999999999999" x14ac:dyDescent="0.5">
      <c r="A76" s="270"/>
      <c r="B76" s="270"/>
      <c r="C76" s="270"/>
      <c r="D76" s="270"/>
      <c r="E76" s="270"/>
      <c r="F76" s="270"/>
      <c r="G76" s="270"/>
      <c r="H76" s="270"/>
      <c r="I76" s="270"/>
      <c r="J76" s="270"/>
    </row>
    <row r="77" spans="1:10" ht="16.899999999999999" x14ac:dyDescent="0.5">
      <c r="A77" s="270"/>
      <c r="B77" s="270"/>
      <c r="C77" s="270"/>
      <c r="D77" s="270"/>
      <c r="E77" s="270"/>
      <c r="F77" s="270"/>
      <c r="G77" s="270"/>
      <c r="H77" s="270"/>
      <c r="I77" s="270"/>
      <c r="J77" s="270"/>
    </row>
    <row r="78" spans="1:10" ht="16.899999999999999" x14ac:dyDescent="0.5">
      <c r="A78" s="270"/>
      <c r="B78" s="270"/>
      <c r="C78" s="270"/>
      <c r="D78" s="270"/>
      <c r="E78" s="270"/>
      <c r="F78" s="270"/>
      <c r="G78" s="270"/>
      <c r="H78" s="270"/>
      <c r="I78" s="270"/>
      <c r="J78" s="270"/>
    </row>
    <row r="79" spans="1:10" ht="16.899999999999999" x14ac:dyDescent="0.5">
      <c r="A79" s="270"/>
      <c r="B79" s="270"/>
      <c r="C79" s="270"/>
      <c r="D79" s="270"/>
      <c r="E79" s="270"/>
      <c r="F79" s="270"/>
      <c r="G79" s="270"/>
      <c r="H79" s="270"/>
      <c r="I79" s="270"/>
      <c r="J79" s="270"/>
    </row>
    <row r="80" spans="1:10" ht="16.899999999999999" x14ac:dyDescent="0.5">
      <c r="A80" s="270"/>
      <c r="B80" s="270"/>
      <c r="C80" s="270"/>
      <c r="D80" s="270"/>
      <c r="E80" s="270"/>
      <c r="F80" s="270"/>
      <c r="G80" s="270"/>
      <c r="H80" s="270"/>
      <c r="I80" s="270"/>
      <c r="J80" s="270"/>
    </row>
    <row r="81" spans="1:10" ht="16.899999999999999" x14ac:dyDescent="0.5">
      <c r="A81" s="270"/>
      <c r="B81" s="270"/>
      <c r="C81" s="270"/>
      <c r="D81" s="270"/>
      <c r="E81" s="270"/>
      <c r="F81" s="270"/>
      <c r="G81" s="270"/>
      <c r="H81" s="270"/>
      <c r="I81" s="270"/>
      <c r="J81" s="270"/>
    </row>
    <row r="82" spans="1:10" ht="16.899999999999999" x14ac:dyDescent="0.5">
      <c r="A82" s="270"/>
      <c r="B82" s="270"/>
      <c r="C82" s="270"/>
      <c r="D82" s="270"/>
      <c r="E82" s="270"/>
      <c r="F82" s="270"/>
      <c r="G82" s="270"/>
      <c r="H82" s="270"/>
      <c r="I82" s="270"/>
      <c r="J82" s="270"/>
    </row>
    <row r="83" spans="1:10" ht="16.899999999999999" x14ac:dyDescent="0.5">
      <c r="A83" s="270"/>
      <c r="B83" s="270"/>
      <c r="C83" s="270"/>
      <c r="D83" s="270"/>
      <c r="E83" s="270"/>
      <c r="F83" s="270"/>
      <c r="G83" s="270"/>
      <c r="H83" s="270"/>
      <c r="I83" s="270"/>
      <c r="J83" s="270"/>
    </row>
    <row r="84" spans="1:10" ht="16.899999999999999" x14ac:dyDescent="0.5">
      <c r="A84" s="270"/>
      <c r="B84" s="270"/>
      <c r="C84" s="270"/>
      <c r="D84" s="270"/>
      <c r="E84" s="270"/>
      <c r="F84" s="270"/>
      <c r="G84" s="270"/>
      <c r="H84" s="270"/>
      <c r="I84" s="270"/>
      <c r="J84" s="270"/>
    </row>
    <row r="85" spans="1:10" ht="16.899999999999999" x14ac:dyDescent="0.5">
      <c r="A85" s="270"/>
      <c r="B85" s="270"/>
      <c r="C85" s="270"/>
      <c r="D85" s="270"/>
      <c r="E85" s="270"/>
      <c r="F85" s="270"/>
      <c r="G85" s="270"/>
      <c r="H85" s="270"/>
      <c r="I85" s="270"/>
      <c r="J85" s="270"/>
    </row>
    <row r="86" spans="1:10" ht="16.899999999999999" x14ac:dyDescent="0.5">
      <c r="A86" s="270"/>
      <c r="B86" s="270"/>
      <c r="C86" s="270"/>
      <c r="D86" s="270"/>
      <c r="E86" s="270"/>
      <c r="F86" s="270"/>
      <c r="G86" s="270"/>
      <c r="H86" s="270"/>
      <c r="I86" s="270"/>
      <c r="J86" s="270"/>
    </row>
    <row r="87" spans="1:10" ht="16.899999999999999" x14ac:dyDescent="0.5">
      <c r="A87" s="270"/>
      <c r="B87" s="270"/>
      <c r="C87" s="270"/>
      <c r="D87" s="270"/>
      <c r="E87" s="270"/>
      <c r="F87" s="270"/>
      <c r="G87" s="270"/>
      <c r="H87" s="270"/>
      <c r="I87" s="270"/>
      <c r="J87" s="270"/>
    </row>
    <row r="88" spans="1:10" ht="16.899999999999999" x14ac:dyDescent="0.5">
      <c r="A88" s="270"/>
      <c r="B88" s="270"/>
      <c r="C88" s="270"/>
      <c r="D88" s="270"/>
      <c r="E88" s="270"/>
      <c r="F88" s="270"/>
      <c r="G88" s="270"/>
      <c r="H88" s="270"/>
      <c r="I88" s="270"/>
      <c r="J88" s="270"/>
    </row>
    <row r="89" spans="1:10" ht="16.899999999999999" x14ac:dyDescent="0.5">
      <c r="A89" s="270"/>
      <c r="B89" s="270"/>
      <c r="C89" s="270"/>
      <c r="D89" s="270"/>
      <c r="E89" s="270"/>
      <c r="F89" s="270"/>
      <c r="G89" s="270"/>
      <c r="H89" s="270"/>
      <c r="I89" s="270"/>
      <c r="J89" s="270"/>
    </row>
    <row r="90" spans="1:10" ht="16.899999999999999" x14ac:dyDescent="0.5">
      <c r="A90" s="270"/>
      <c r="B90" s="270"/>
      <c r="C90" s="270"/>
      <c r="D90" s="270"/>
      <c r="E90" s="270"/>
      <c r="F90" s="270"/>
      <c r="G90" s="270"/>
      <c r="H90" s="270"/>
      <c r="I90" s="270"/>
      <c r="J90" s="270"/>
    </row>
    <row r="91" spans="1:10" ht="16.899999999999999" x14ac:dyDescent="0.5">
      <c r="A91" s="270"/>
      <c r="B91" s="270"/>
      <c r="C91" s="270"/>
      <c r="D91" s="270"/>
      <c r="E91" s="270"/>
      <c r="F91" s="270"/>
      <c r="G91" s="270"/>
      <c r="H91" s="270"/>
      <c r="I91" s="270"/>
      <c r="J91" s="270"/>
    </row>
    <row r="92" spans="1:10" ht="16.899999999999999" x14ac:dyDescent="0.5">
      <c r="A92" s="270"/>
      <c r="B92" s="270"/>
      <c r="C92" s="270"/>
      <c r="D92" s="270"/>
      <c r="E92" s="270"/>
      <c r="F92" s="270"/>
      <c r="G92" s="270"/>
      <c r="H92" s="270"/>
      <c r="I92" s="270"/>
      <c r="J92" s="270"/>
    </row>
    <row r="93" spans="1:10" ht="16.899999999999999" x14ac:dyDescent="0.5">
      <c r="A93" s="270"/>
      <c r="B93" s="270"/>
      <c r="C93" s="270"/>
      <c r="D93" s="270"/>
      <c r="E93" s="270"/>
      <c r="F93" s="270"/>
      <c r="G93" s="270"/>
      <c r="H93" s="270"/>
      <c r="I93" s="270"/>
      <c r="J93" s="270"/>
    </row>
    <row r="94" spans="1:10" ht="16.899999999999999" x14ac:dyDescent="0.5">
      <c r="A94" s="270"/>
      <c r="B94" s="270"/>
      <c r="C94" s="270"/>
      <c r="D94" s="270"/>
      <c r="E94" s="270"/>
      <c r="F94" s="270"/>
      <c r="G94" s="270"/>
      <c r="H94" s="270"/>
      <c r="I94" s="270"/>
      <c r="J94" s="270"/>
    </row>
    <row r="95" spans="1:10" ht="16.899999999999999" x14ac:dyDescent="0.5">
      <c r="A95" s="270"/>
      <c r="B95" s="270"/>
      <c r="C95" s="270"/>
      <c r="D95" s="270"/>
      <c r="E95" s="270"/>
      <c r="F95" s="270"/>
      <c r="G95" s="270"/>
      <c r="H95" s="270"/>
      <c r="I95" s="270"/>
      <c r="J95" s="270"/>
    </row>
    <row r="96" spans="1:10" ht="16.899999999999999" x14ac:dyDescent="0.5">
      <c r="A96" s="270"/>
      <c r="B96" s="270"/>
      <c r="C96" s="270"/>
      <c r="D96" s="270"/>
      <c r="E96" s="270"/>
      <c r="F96" s="270"/>
      <c r="G96" s="270"/>
      <c r="H96" s="270"/>
      <c r="I96" s="270"/>
      <c r="J96" s="270"/>
    </row>
    <row r="97" spans="1:10" ht="16.899999999999999" x14ac:dyDescent="0.5">
      <c r="A97" s="270"/>
      <c r="B97" s="270"/>
      <c r="C97" s="270"/>
      <c r="D97" s="270"/>
      <c r="E97" s="270"/>
      <c r="F97" s="270"/>
      <c r="G97" s="270"/>
      <c r="H97" s="270"/>
      <c r="I97" s="270"/>
      <c r="J97" s="270"/>
    </row>
    <row r="98" spans="1:10" ht="16.899999999999999" x14ac:dyDescent="0.5">
      <c r="A98" s="270"/>
      <c r="B98" s="270"/>
      <c r="C98" s="270"/>
      <c r="D98" s="270"/>
      <c r="E98" s="270"/>
      <c r="F98" s="270"/>
      <c r="G98" s="270"/>
      <c r="H98" s="270"/>
      <c r="I98" s="270"/>
      <c r="J98" s="270"/>
    </row>
    <row r="99" spans="1:10" ht="16.899999999999999" x14ac:dyDescent="0.5">
      <c r="A99" s="270"/>
      <c r="B99" s="270"/>
      <c r="C99" s="270"/>
      <c r="D99" s="270"/>
      <c r="E99" s="270"/>
      <c r="F99" s="270"/>
      <c r="G99" s="270"/>
      <c r="H99" s="270"/>
      <c r="I99" s="270"/>
      <c r="J99" s="270"/>
    </row>
    <row r="100" spans="1:10" ht="16.899999999999999" x14ac:dyDescent="0.5">
      <c r="A100" s="270"/>
      <c r="B100" s="270"/>
      <c r="C100" s="270"/>
      <c r="D100" s="270"/>
      <c r="E100" s="270"/>
      <c r="F100" s="270"/>
      <c r="G100" s="270"/>
      <c r="H100" s="270"/>
      <c r="I100" s="270"/>
      <c r="J100" s="270"/>
    </row>
    <row r="101" spans="1:10" ht="16.899999999999999" x14ac:dyDescent="0.5">
      <c r="A101" s="270"/>
      <c r="B101" s="270"/>
      <c r="C101" s="270"/>
      <c r="D101" s="270"/>
      <c r="E101" s="270"/>
      <c r="F101" s="270"/>
      <c r="G101" s="270"/>
      <c r="H101" s="270"/>
      <c r="I101" s="270"/>
      <c r="J101" s="270"/>
    </row>
    <row r="102" spans="1:10" ht="16.899999999999999" x14ac:dyDescent="0.5">
      <c r="A102" s="270"/>
      <c r="B102" s="270"/>
      <c r="C102" s="270"/>
      <c r="D102" s="270"/>
      <c r="E102" s="270"/>
      <c r="F102" s="270"/>
      <c r="G102" s="270"/>
      <c r="H102" s="270"/>
      <c r="I102" s="270"/>
      <c r="J102" s="270"/>
    </row>
    <row r="103" spans="1:10" ht="16.899999999999999" x14ac:dyDescent="0.5">
      <c r="A103" s="270"/>
      <c r="B103" s="270"/>
      <c r="C103" s="270"/>
      <c r="D103" s="270"/>
      <c r="E103" s="270"/>
      <c r="F103" s="270"/>
      <c r="G103" s="270"/>
      <c r="H103" s="270"/>
      <c r="I103" s="270"/>
      <c r="J103" s="270"/>
    </row>
    <row r="104" spans="1:10" ht="16.899999999999999" x14ac:dyDescent="0.5">
      <c r="A104" s="270"/>
      <c r="B104" s="270"/>
      <c r="C104" s="270"/>
      <c r="D104" s="270"/>
      <c r="E104" s="270"/>
      <c r="F104" s="270"/>
      <c r="G104" s="270"/>
      <c r="H104" s="270"/>
      <c r="I104" s="270"/>
      <c r="J104" s="270"/>
    </row>
    <row r="105" spans="1:10" ht="16.899999999999999" x14ac:dyDescent="0.5">
      <c r="A105" s="270"/>
      <c r="B105" s="270"/>
      <c r="C105" s="270"/>
      <c r="D105" s="270"/>
      <c r="E105" s="270"/>
      <c r="F105" s="270"/>
      <c r="G105" s="270"/>
      <c r="H105" s="270"/>
      <c r="I105" s="270"/>
      <c r="J105" s="270"/>
    </row>
    <row r="106" spans="1:10" ht="16.899999999999999" x14ac:dyDescent="0.5">
      <c r="A106" s="270"/>
      <c r="B106" s="270"/>
      <c r="C106" s="270"/>
      <c r="D106" s="270"/>
      <c r="E106" s="270"/>
      <c r="F106" s="270"/>
      <c r="G106" s="270"/>
      <c r="H106" s="270"/>
      <c r="I106" s="270"/>
      <c r="J106" s="270"/>
    </row>
    <row r="107" spans="1:10" ht="16.899999999999999" x14ac:dyDescent="0.5">
      <c r="A107" s="270"/>
      <c r="B107" s="270"/>
      <c r="C107" s="270"/>
      <c r="D107" s="270"/>
      <c r="E107" s="270"/>
      <c r="F107" s="270"/>
      <c r="G107" s="270"/>
      <c r="H107" s="270"/>
      <c r="I107" s="270"/>
      <c r="J107" s="270"/>
    </row>
    <row r="108" spans="1:10" ht="16.899999999999999" x14ac:dyDescent="0.5">
      <c r="A108" s="270"/>
      <c r="B108" s="270"/>
      <c r="C108" s="270"/>
      <c r="D108" s="270"/>
      <c r="E108" s="270"/>
      <c r="F108" s="270"/>
      <c r="G108" s="270"/>
      <c r="H108" s="270"/>
      <c r="I108" s="270"/>
      <c r="J108" s="270"/>
    </row>
    <row r="109" spans="1:10" ht="16.899999999999999" x14ac:dyDescent="0.5">
      <c r="A109" s="270"/>
      <c r="B109" s="270"/>
      <c r="C109" s="270"/>
      <c r="D109" s="270"/>
      <c r="E109" s="270"/>
      <c r="F109" s="270"/>
      <c r="G109" s="270"/>
      <c r="H109" s="270"/>
      <c r="I109" s="270"/>
      <c r="J109" s="270"/>
    </row>
    <row r="110" spans="1:10" ht="16.899999999999999" x14ac:dyDescent="0.5">
      <c r="A110" s="270"/>
      <c r="B110" s="270"/>
      <c r="C110" s="270"/>
      <c r="D110" s="270"/>
      <c r="E110" s="270"/>
      <c r="F110" s="270"/>
      <c r="G110" s="270"/>
      <c r="H110" s="270"/>
      <c r="I110" s="270"/>
      <c r="J110" s="270"/>
    </row>
    <row r="111" spans="1:10" ht="16.899999999999999" x14ac:dyDescent="0.5">
      <c r="A111" s="270"/>
      <c r="B111" s="270"/>
      <c r="C111" s="270"/>
      <c r="D111" s="270"/>
      <c r="E111" s="270"/>
      <c r="F111" s="270"/>
      <c r="G111" s="270"/>
      <c r="H111" s="270"/>
      <c r="I111" s="270"/>
      <c r="J111" s="270"/>
    </row>
    <row r="112" spans="1:10" ht="16.899999999999999" x14ac:dyDescent="0.5">
      <c r="A112" s="270"/>
      <c r="B112" s="270"/>
      <c r="C112" s="270"/>
      <c r="D112" s="270"/>
      <c r="E112" s="270"/>
      <c r="F112" s="270"/>
      <c r="G112" s="270"/>
      <c r="H112" s="270"/>
      <c r="I112" s="270"/>
      <c r="J112" s="270"/>
    </row>
    <row r="113" spans="1:10" ht="16.899999999999999" x14ac:dyDescent="0.5">
      <c r="A113" s="270"/>
      <c r="B113" s="270"/>
      <c r="C113" s="270"/>
      <c r="D113" s="270"/>
      <c r="E113" s="270"/>
      <c r="F113" s="270"/>
      <c r="G113" s="270"/>
      <c r="H113" s="270"/>
      <c r="I113" s="270"/>
      <c r="J113" s="270"/>
    </row>
    <row r="114" spans="1:10" ht="16.899999999999999" x14ac:dyDescent="0.5">
      <c r="A114" s="270"/>
      <c r="B114" s="270"/>
      <c r="C114" s="270"/>
      <c r="D114" s="270"/>
      <c r="E114" s="270"/>
      <c r="F114" s="270"/>
      <c r="G114" s="270"/>
      <c r="H114" s="270"/>
      <c r="I114" s="270"/>
      <c r="J114" s="270"/>
    </row>
    <row r="115" spans="1:10" ht="16.899999999999999" x14ac:dyDescent="0.5">
      <c r="A115" s="270"/>
      <c r="B115" s="270"/>
      <c r="C115" s="270"/>
      <c r="D115" s="270"/>
      <c r="E115" s="270"/>
      <c r="F115" s="270"/>
      <c r="G115" s="270"/>
      <c r="H115" s="270"/>
      <c r="I115" s="270"/>
      <c r="J115" s="270"/>
    </row>
    <row r="116" spans="1:10" ht="16.899999999999999" x14ac:dyDescent="0.5">
      <c r="A116" s="270"/>
      <c r="B116" s="270"/>
      <c r="C116" s="270"/>
      <c r="D116" s="270"/>
      <c r="E116" s="270"/>
      <c r="F116" s="270"/>
      <c r="G116" s="270"/>
      <c r="H116" s="270"/>
      <c r="I116" s="270"/>
      <c r="J116" s="270"/>
    </row>
    <row r="117" spans="1:10" ht="16.899999999999999" x14ac:dyDescent="0.5">
      <c r="A117" s="270"/>
      <c r="B117" s="270"/>
      <c r="C117" s="270"/>
      <c r="D117" s="270"/>
      <c r="E117" s="270"/>
      <c r="F117" s="270"/>
      <c r="G117" s="270"/>
      <c r="H117" s="270"/>
      <c r="I117" s="270"/>
      <c r="J117" s="270"/>
    </row>
    <row r="118" spans="1:10" ht="16.899999999999999" x14ac:dyDescent="0.5">
      <c r="A118" s="270"/>
      <c r="B118" s="270"/>
      <c r="C118" s="270"/>
      <c r="D118" s="270"/>
      <c r="E118" s="270"/>
      <c r="F118" s="270"/>
      <c r="G118" s="270"/>
      <c r="H118" s="270"/>
      <c r="I118" s="270"/>
      <c r="J118" s="270"/>
    </row>
    <row r="119" spans="1:10" ht="16.899999999999999" x14ac:dyDescent="0.5">
      <c r="A119" s="270"/>
      <c r="B119" s="270"/>
      <c r="C119" s="270"/>
      <c r="D119" s="270"/>
      <c r="E119" s="270"/>
      <c r="F119" s="270"/>
      <c r="G119" s="270"/>
      <c r="H119" s="270"/>
      <c r="I119" s="270"/>
      <c r="J119" s="270"/>
    </row>
    <row r="120" spans="1:10" ht="16.899999999999999" x14ac:dyDescent="0.5">
      <c r="A120" s="270"/>
      <c r="B120" s="270"/>
      <c r="C120" s="270"/>
      <c r="D120" s="270"/>
      <c r="E120" s="270"/>
      <c r="F120" s="270"/>
      <c r="G120" s="270"/>
      <c r="H120" s="270"/>
      <c r="I120" s="270"/>
      <c r="J120" s="270"/>
    </row>
    <row r="121" spans="1:10" ht="16.899999999999999" x14ac:dyDescent="0.5">
      <c r="A121" s="270"/>
      <c r="B121" s="270"/>
      <c r="C121" s="270"/>
      <c r="D121" s="270"/>
      <c r="E121" s="270"/>
      <c r="F121" s="270"/>
      <c r="G121" s="270"/>
      <c r="H121" s="270"/>
      <c r="I121" s="270"/>
      <c r="J121" s="270"/>
    </row>
    <row r="122" spans="1:10" ht="16.899999999999999" x14ac:dyDescent="0.5">
      <c r="A122" s="270"/>
      <c r="B122" s="270"/>
      <c r="C122" s="270"/>
      <c r="D122" s="270"/>
      <c r="E122" s="270"/>
      <c r="F122" s="270"/>
      <c r="G122" s="270"/>
      <c r="H122" s="270"/>
      <c r="I122" s="270"/>
      <c r="J122" s="270"/>
    </row>
    <row r="123" spans="1:10" ht="16.899999999999999" x14ac:dyDescent="0.5">
      <c r="A123" s="270"/>
      <c r="B123" s="270"/>
      <c r="C123" s="270"/>
      <c r="D123" s="270"/>
      <c r="E123" s="270"/>
      <c r="F123" s="270"/>
      <c r="G123" s="270"/>
      <c r="H123" s="270"/>
      <c r="I123" s="270"/>
      <c r="J123" s="270"/>
    </row>
    <row r="124" spans="1:10" ht="16.899999999999999" x14ac:dyDescent="0.5">
      <c r="A124" s="270"/>
      <c r="B124" s="270"/>
      <c r="C124" s="270"/>
      <c r="D124" s="270"/>
      <c r="E124" s="270"/>
      <c r="F124" s="270"/>
      <c r="G124" s="270"/>
      <c r="H124" s="270"/>
      <c r="I124" s="270"/>
      <c r="J124" s="270"/>
    </row>
    <row r="125" spans="1:10" ht="16.899999999999999" x14ac:dyDescent="0.5">
      <c r="A125" s="270"/>
      <c r="B125" s="270"/>
      <c r="C125" s="270"/>
      <c r="D125" s="270"/>
      <c r="E125" s="270"/>
      <c r="F125" s="270"/>
      <c r="G125" s="270"/>
      <c r="H125" s="270"/>
      <c r="I125" s="270"/>
      <c r="J125" s="270"/>
    </row>
    <row r="126" spans="1:10" ht="16.899999999999999" x14ac:dyDescent="0.5">
      <c r="A126" s="270"/>
      <c r="B126" s="270"/>
      <c r="C126" s="270"/>
      <c r="D126" s="270"/>
      <c r="E126" s="270"/>
      <c r="F126" s="270"/>
      <c r="G126" s="270"/>
      <c r="H126" s="270"/>
      <c r="I126" s="270"/>
      <c r="J126" s="270"/>
    </row>
    <row r="127" spans="1:10" ht="16.899999999999999" x14ac:dyDescent="0.5">
      <c r="A127" s="270"/>
      <c r="B127" s="270"/>
      <c r="C127" s="270"/>
      <c r="D127" s="270"/>
      <c r="E127" s="270"/>
      <c r="F127" s="270"/>
      <c r="G127" s="270"/>
      <c r="H127" s="270"/>
      <c r="I127" s="270"/>
      <c r="J127" s="270"/>
    </row>
    <row r="128" spans="1:10" ht="16.899999999999999" x14ac:dyDescent="0.5">
      <c r="A128" s="270"/>
      <c r="B128" s="270"/>
      <c r="C128" s="270"/>
      <c r="D128" s="270"/>
      <c r="E128" s="270"/>
      <c r="F128" s="270"/>
      <c r="G128" s="270"/>
      <c r="H128" s="270"/>
      <c r="I128" s="270"/>
      <c r="J128" s="270"/>
    </row>
    <row r="129" spans="1:10" ht="16.899999999999999" x14ac:dyDescent="0.5">
      <c r="A129" s="270"/>
      <c r="B129" s="270"/>
      <c r="C129" s="270"/>
      <c r="D129" s="270"/>
      <c r="E129" s="270"/>
      <c r="F129" s="270"/>
      <c r="G129" s="270"/>
      <c r="H129" s="270"/>
      <c r="I129" s="270"/>
      <c r="J129" s="270"/>
    </row>
    <row r="130" spans="1:10" ht="16.899999999999999" x14ac:dyDescent="0.5">
      <c r="A130" s="270"/>
      <c r="B130" s="270"/>
      <c r="C130" s="270"/>
      <c r="D130" s="270"/>
      <c r="E130" s="270"/>
      <c r="F130" s="270"/>
      <c r="G130" s="270"/>
      <c r="H130" s="270"/>
      <c r="I130" s="270"/>
      <c r="J130" s="270"/>
    </row>
    <row r="131" spans="1:10" ht="16.899999999999999" x14ac:dyDescent="0.5">
      <c r="A131" s="270"/>
      <c r="B131" s="270"/>
      <c r="C131" s="270"/>
      <c r="D131" s="270"/>
      <c r="E131" s="270"/>
      <c r="F131" s="270"/>
      <c r="G131" s="270"/>
      <c r="H131" s="270"/>
      <c r="I131" s="270"/>
      <c r="J131" s="270"/>
    </row>
    <row r="132" spans="1:10" ht="16.899999999999999" x14ac:dyDescent="0.5">
      <c r="A132" s="270"/>
      <c r="B132" s="270"/>
      <c r="C132" s="270"/>
      <c r="D132" s="270"/>
      <c r="E132" s="270"/>
      <c r="F132" s="270"/>
      <c r="G132" s="270"/>
      <c r="H132" s="270"/>
      <c r="I132" s="270"/>
      <c r="J132" s="270"/>
    </row>
    <row r="133" spans="1:10" ht="16.899999999999999" x14ac:dyDescent="0.5">
      <c r="A133" s="270"/>
      <c r="B133" s="270"/>
      <c r="C133" s="270"/>
      <c r="D133" s="270"/>
      <c r="E133" s="270"/>
      <c r="F133" s="270"/>
      <c r="G133" s="270"/>
      <c r="H133" s="270"/>
      <c r="I133" s="270"/>
      <c r="J133" s="270"/>
    </row>
    <row r="134" spans="1:10" ht="16.899999999999999" x14ac:dyDescent="0.5">
      <c r="A134" s="270"/>
      <c r="B134" s="270"/>
      <c r="C134" s="270"/>
      <c r="D134" s="270"/>
      <c r="E134" s="270"/>
      <c r="F134" s="270"/>
      <c r="G134" s="270"/>
      <c r="H134" s="270"/>
      <c r="I134" s="270"/>
      <c r="J134" s="270"/>
    </row>
    <row r="135" spans="1:10" ht="16.899999999999999" x14ac:dyDescent="0.5">
      <c r="A135" s="270"/>
      <c r="B135" s="270"/>
      <c r="C135" s="270"/>
      <c r="D135" s="270"/>
      <c r="E135" s="270"/>
      <c r="F135" s="270"/>
      <c r="G135" s="270"/>
      <c r="H135" s="270"/>
      <c r="I135" s="270"/>
      <c r="J135" s="270"/>
    </row>
    <row r="136" spans="1:10" ht="16.899999999999999" x14ac:dyDescent="0.5">
      <c r="A136" s="270"/>
      <c r="B136" s="270"/>
      <c r="C136" s="270"/>
      <c r="D136" s="270"/>
      <c r="E136" s="270"/>
      <c r="F136" s="270"/>
      <c r="G136" s="270"/>
      <c r="H136" s="270"/>
      <c r="I136" s="270"/>
      <c r="J136" s="270"/>
    </row>
    <row r="137" spans="1:10" ht="16.899999999999999" x14ac:dyDescent="0.5">
      <c r="A137" s="270"/>
      <c r="B137" s="270"/>
      <c r="C137" s="270"/>
      <c r="D137" s="270"/>
      <c r="E137" s="270"/>
      <c r="F137" s="270"/>
      <c r="G137" s="270"/>
      <c r="H137" s="270"/>
      <c r="I137" s="270"/>
      <c r="J137" s="270"/>
    </row>
    <row r="138" spans="1:10" ht="16.899999999999999" x14ac:dyDescent="0.5">
      <c r="A138" s="270"/>
      <c r="B138" s="270"/>
      <c r="C138" s="270"/>
      <c r="D138" s="270"/>
      <c r="E138" s="270"/>
      <c r="F138" s="270"/>
      <c r="G138" s="270"/>
      <c r="H138" s="270"/>
      <c r="I138" s="270"/>
      <c r="J138" s="270"/>
    </row>
    <row r="139" spans="1:10" ht="16.899999999999999" x14ac:dyDescent="0.5">
      <c r="A139" s="270"/>
      <c r="B139" s="270"/>
      <c r="C139" s="270"/>
      <c r="D139" s="270"/>
      <c r="E139" s="270"/>
      <c r="F139" s="270"/>
      <c r="G139" s="270"/>
      <c r="H139" s="270"/>
      <c r="I139" s="270"/>
      <c r="J139" s="270"/>
    </row>
    <row r="140" spans="1:10" ht="16.899999999999999" x14ac:dyDescent="0.5">
      <c r="A140" s="270"/>
      <c r="B140" s="270"/>
      <c r="C140" s="270"/>
      <c r="D140" s="270"/>
      <c r="E140" s="270"/>
      <c r="F140" s="270"/>
      <c r="G140" s="270"/>
      <c r="H140" s="270"/>
      <c r="I140" s="270"/>
      <c r="J140" s="270"/>
    </row>
    <row r="141" spans="1:10" ht="16.899999999999999" x14ac:dyDescent="0.5">
      <c r="A141" s="270"/>
      <c r="B141" s="270"/>
      <c r="C141" s="270"/>
      <c r="D141" s="270"/>
      <c r="E141" s="270"/>
      <c r="F141" s="270"/>
      <c r="G141" s="270"/>
      <c r="H141" s="270"/>
      <c r="I141" s="270"/>
      <c r="J141" s="270"/>
    </row>
    <row r="142" spans="1:10" ht="16.899999999999999" x14ac:dyDescent="0.5">
      <c r="A142" s="270"/>
      <c r="B142" s="270"/>
      <c r="C142" s="270"/>
      <c r="D142" s="270"/>
      <c r="E142" s="270"/>
      <c r="F142" s="270"/>
      <c r="G142" s="270"/>
      <c r="H142" s="270"/>
      <c r="I142" s="270"/>
      <c r="J142" s="270"/>
    </row>
    <row r="143" spans="1:10" ht="16.899999999999999" x14ac:dyDescent="0.5">
      <c r="A143" s="270"/>
      <c r="B143" s="270"/>
      <c r="C143" s="270"/>
      <c r="D143" s="270"/>
      <c r="E143" s="270"/>
      <c r="F143" s="270"/>
      <c r="G143" s="270"/>
      <c r="H143" s="270"/>
      <c r="I143" s="270"/>
      <c r="J143" s="270"/>
    </row>
    <row r="144" spans="1:10" ht="16.899999999999999" x14ac:dyDescent="0.5">
      <c r="A144" s="270"/>
      <c r="B144" s="270"/>
      <c r="C144" s="270"/>
      <c r="D144" s="270"/>
      <c r="E144" s="270"/>
      <c r="F144" s="270"/>
      <c r="G144" s="270"/>
      <c r="H144" s="270"/>
      <c r="I144" s="270"/>
      <c r="J144" s="270"/>
    </row>
    <row r="145" spans="1:10" ht="16.899999999999999" x14ac:dyDescent="0.5">
      <c r="A145" s="270"/>
      <c r="B145" s="270"/>
      <c r="C145" s="270"/>
      <c r="D145" s="270"/>
      <c r="E145" s="270"/>
      <c r="F145" s="270"/>
      <c r="G145" s="270"/>
      <c r="H145" s="270"/>
      <c r="I145" s="270"/>
      <c r="J145" s="270"/>
    </row>
    <row r="146" spans="1:10" ht="16.899999999999999" x14ac:dyDescent="0.5">
      <c r="A146" s="270"/>
      <c r="B146" s="270"/>
      <c r="C146" s="270"/>
      <c r="D146" s="270"/>
      <c r="E146" s="270"/>
      <c r="F146" s="270"/>
      <c r="G146" s="270"/>
      <c r="H146" s="270"/>
      <c r="I146" s="270"/>
      <c r="J146" s="270"/>
    </row>
    <row r="147" spans="1:10" ht="16.899999999999999" x14ac:dyDescent="0.5">
      <c r="A147" s="270"/>
      <c r="B147" s="270"/>
      <c r="C147" s="270"/>
      <c r="D147" s="270"/>
      <c r="E147" s="270"/>
      <c r="F147" s="270"/>
      <c r="G147" s="270"/>
      <c r="H147" s="270"/>
      <c r="I147" s="270"/>
      <c r="J147" s="270"/>
    </row>
    <row r="148" spans="1:10" ht="16.899999999999999" x14ac:dyDescent="0.5">
      <c r="A148" s="270"/>
      <c r="B148" s="270"/>
      <c r="C148" s="270"/>
      <c r="D148" s="270"/>
      <c r="E148" s="270"/>
      <c r="F148" s="270"/>
      <c r="G148" s="270"/>
      <c r="H148" s="270"/>
      <c r="I148" s="270"/>
      <c r="J148" s="270"/>
    </row>
    <row r="149" spans="1:10" ht="16.899999999999999" x14ac:dyDescent="0.5">
      <c r="A149" s="270"/>
      <c r="B149" s="270"/>
      <c r="C149" s="270"/>
      <c r="D149" s="270"/>
      <c r="E149" s="270"/>
      <c r="F149" s="270"/>
      <c r="G149" s="270"/>
      <c r="H149" s="270"/>
      <c r="I149" s="270"/>
      <c r="J149" s="270"/>
    </row>
    <row r="150" spans="1:10" ht="16.899999999999999" x14ac:dyDescent="0.5">
      <c r="A150" s="270"/>
      <c r="B150" s="270"/>
      <c r="C150" s="270"/>
      <c r="D150" s="270"/>
      <c r="E150" s="270"/>
      <c r="F150" s="270"/>
      <c r="G150" s="270"/>
      <c r="H150" s="270"/>
      <c r="I150" s="270"/>
      <c r="J150" s="270"/>
    </row>
    <row r="151" spans="1:10" ht="16.899999999999999" x14ac:dyDescent="0.5">
      <c r="A151" s="270"/>
      <c r="B151" s="270"/>
      <c r="C151" s="270"/>
      <c r="D151" s="270"/>
      <c r="E151" s="270"/>
      <c r="F151" s="270"/>
      <c r="G151" s="270"/>
      <c r="H151" s="270"/>
      <c r="I151" s="270"/>
      <c r="J151" s="270"/>
    </row>
    <row r="152" spans="1:10" ht="16.899999999999999" x14ac:dyDescent="0.5">
      <c r="A152" s="270"/>
      <c r="B152" s="270"/>
      <c r="C152" s="270"/>
      <c r="D152" s="270"/>
      <c r="E152" s="270"/>
      <c r="F152" s="270"/>
      <c r="G152" s="270"/>
      <c r="H152" s="270"/>
      <c r="I152" s="270"/>
      <c r="J152" s="270"/>
    </row>
    <row r="153" spans="1:10" ht="16.899999999999999" x14ac:dyDescent="0.5">
      <c r="A153" s="270"/>
      <c r="B153" s="270"/>
      <c r="C153" s="270"/>
      <c r="D153" s="270"/>
      <c r="E153" s="270"/>
      <c r="F153" s="270"/>
      <c r="G153" s="270"/>
      <c r="H153" s="270"/>
      <c r="I153" s="270"/>
      <c r="J153" s="270"/>
    </row>
    <row r="154" spans="1:10" ht="16.899999999999999" x14ac:dyDescent="0.5">
      <c r="A154" s="270"/>
      <c r="B154" s="270"/>
      <c r="C154" s="270"/>
      <c r="D154" s="270"/>
      <c r="E154" s="270"/>
      <c r="F154" s="270"/>
      <c r="G154" s="270"/>
      <c r="H154" s="270"/>
      <c r="I154" s="270"/>
      <c r="J154" s="270"/>
    </row>
    <row r="155" spans="1:10" ht="16.899999999999999" x14ac:dyDescent="0.5">
      <c r="A155" s="270"/>
      <c r="B155" s="270"/>
      <c r="C155" s="270"/>
      <c r="D155" s="270"/>
      <c r="E155" s="270"/>
      <c r="F155" s="270"/>
      <c r="G155" s="270"/>
      <c r="H155" s="270"/>
      <c r="I155" s="270"/>
      <c r="J155" s="270"/>
    </row>
    <row r="156" spans="1:10" ht="16.899999999999999" x14ac:dyDescent="0.5">
      <c r="A156" s="270"/>
      <c r="B156" s="270"/>
      <c r="C156" s="270"/>
      <c r="D156" s="270"/>
      <c r="E156" s="270"/>
      <c r="F156" s="270"/>
      <c r="G156" s="270"/>
      <c r="H156" s="270"/>
      <c r="I156" s="270"/>
      <c r="J156" s="270"/>
    </row>
    <row r="157" spans="1:10" ht="16.899999999999999" x14ac:dyDescent="0.5">
      <c r="A157" s="270"/>
      <c r="B157" s="270"/>
      <c r="C157" s="270"/>
      <c r="D157" s="270"/>
      <c r="E157" s="270"/>
      <c r="F157" s="270"/>
      <c r="G157" s="270"/>
      <c r="H157" s="270"/>
      <c r="I157" s="270"/>
      <c r="J157" s="270"/>
    </row>
    <row r="158" spans="1:10" ht="16.899999999999999" x14ac:dyDescent="0.5">
      <c r="A158" s="270"/>
      <c r="B158" s="270"/>
      <c r="C158" s="270"/>
      <c r="D158" s="270"/>
      <c r="E158" s="270"/>
      <c r="F158" s="270"/>
      <c r="G158" s="270"/>
      <c r="H158" s="270"/>
      <c r="I158" s="270"/>
      <c r="J158" s="270"/>
    </row>
    <row r="159" spans="1:10" ht="16.899999999999999" x14ac:dyDescent="0.5">
      <c r="A159" s="270"/>
      <c r="B159" s="270"/>
      <c r="C159" s="270"/>
      <c r="D159" s="270"/>
      <c r="E159" s="270"/>
      <c r="F159" s="270"/>
      <c r="G159" s="270"/>
      <c r="H159" s="270"/>
      <c r="I159" s="270"/>
      <c r="J159" s="270"/>
    </row>
    <row r="160" spans="1:10" ht="16.899999999999999" x14ac:dyDescent="0.5">
      <c r="A160" s="270"/>
      <c r="B160" s="270"/>
      <c r="C160" s="270"/>
      <c r="D160" s="270"/>
      <c r="E160" s="270"/>
      <c r="F160" s="270"/>
      <c r="G160" s="270"/>
      <c r="H160" s="270"/>
      <c r="I160" s="270"/>
      <c r="J160" s="270"/>
    </row>
    <row r="161" spans="1:10" ht="16.899999999999999" x14ac:dyDescent="0.5">
      <c r="A161" s="270"/>
      <c r="B161" s="270"/>
      <c r="C161" s="270"/>
      <c r="D161" s="270"/>
      <c r="E161" s="270"/>
      <c r="F161" s="270"/>
      <c r="G161" s="270"/>
      <c r="H161" s="270"/>
      <c r="I161" s="270"/>
      <c r="J161" s="270"/>
    </row>
    <row r="162" spans="1:10" ht="16.899999999999999" x14ac:dyDescent="0.5">
      <c r="A162" s="270"/>
      <c r="B162" s="270"/>
      <c r="C162" s="270"/>
      <c r="D162" s="270"/>
      <c r="E162" s="270"/>
      <c r="F162" s="270"/>
      <c r="G162" s="270"/>
      <c r="H162" s="270"/>
      <c r="I162" s="270"/>
      <c r="J162" s="270"/>
    </row>
    <row r="163" spans="1:10" ht="16.899999999999999" x14ac:dyDescent="0.5">
      <c r="A163" s="270"/>
      <c r="B163" s="270"/>
      <c r="C163" s="270"/>
      <c r="D163" s="270"/>
      <c r="E163" s="270"/>
      <c r="F163" s="270"/>
      <c r="G163" s="270"/>
      <c r="H163" s="270"/>
      <c r="I163" s="270"/>
      <c r="J163" s="270"/>
    </row>
    <row r="164" spans="1:10" ht="16.899999999999999" x14ac:dyDescent="0.5">
      <c r="A164" s="270"/>
      <c r="B164" s="270"/>
      <c r="C164" s="270"/>
      <c r="D164" s="270"/>
      <c r="E164" s="270"/>
      <c r="F164" s="270"/>
      <c r="G164" s="270"/>
      <c r="H164" s="270"/>
      <c r="I164" s="270"/>
      <c r="J164" s="270"/>
    </row>
    <row r="165" spans="1:10" ht="16.899999999999999" x14ac:dyDescent="0.5">
      <c r="A165" s="270"/>
      <c r="B165" s="270"/>
      <c r="C165" s="270"/>
      <c r="D165" s="270"/>
      <c r="E165" s="270"/>
      <c r="F165" s="270"/>
      <c r="G165" s="270"/>
      <c r="H165" s="270"/>
      <c r="I165" s="270"/>
      <c r="J165" s="270"/>
    </row>
    <row r="166" spans="1:10" ht="16.899999999999999" x14ac:dyDescent="0.5">
      <c r="A166" s="270"/>
      <c r="B166" s="270"/>
      <c r="C166" s="270"/>
      <c r="D166" s="270"/>
      <c r="E166" s="270"/>
      <c r="F166" s="270"/>
      <c r="G166" s="270"/>
      <c r="H166" s="270"/>
      <c r="I166" s="270"/>
      <c r="J166" s="270"/>
    </row>
    <row r="167" spans="1:10" ht="16.899999999999999" x14ac:dyDescent="0.5">
      <c r="A167" s="270"/>
      <c r="B167" s="270"/>
      <c r="C167" s="270"/>
      <c r="D167" s="270"/>
      <c r="E167" s="270"/>
      <c r="F167" s="270"/>
      <c r="G167" s="270"/>
      <c r="H167" s="270"/>
      <c r="I167" s="270"/>
      <c r="J167" s="270"/>
    </row>
    <row r="168" spans="1:10" ht="16.899999999999999" x14ac:dyDescent="0.5">
      <c r="A168" s="270"/>
      <c r="B168" s="270"/>
      <c r="C168" s="270"/>
      <c r="D168" s="270"/>
      <c r="E168" s="270"/>
      <c r="F168" s="270"/>
      <c r="G168" s="270"/>
      <c r="H168" s="270"/>
      <c r="I168" s="270"/>
      <c r="J168" s="270"/>
    </row>
    <row r="169" spans="1:10" ht="16.899999999999999" x14ac:dyDescent="0.5">
      <c r="A169" s="270"/>
      <c r="B169" s="270"/>
      <c r="C169" s="270"/>
      <c r="D169" s="270"/>
      <c r="E169" s="270"/>
      <c r="F169" s="270"/>
      <c r="G169" s="270"/>
      <c r="H169" s="270"/>
      <c r="I169" s="270"/>
      <c r="J169" s="270"/>
    </row>
    <row r="170" spans="1:10" ht="16.899999999999999" x14ac:dyDescent="0.5">
      <c r="A170" s="270"/>
      <c r="B170" s="270"/>
      <c r="C170" s="270"/>
      <c r="D170" s="270"/>
      <c r="E170" s="270"/>
      <c r="F170" s="270"/>
      <c r="G170" s="270"/>
      <c r="H170" s="270"/>
      <c r="I170" s="270"/>
      <c r="J170" s="270"/>
    </row>
    <row r="171" spans="1:10" ht="16.899999999999999" x14ac:dyDescent="0.5">
      <c r="A171" s="270"/>
      <c r="B171" s="270"/>
      <c r="C171" s="270"/>
      <c r="D171" s="270"/>
      <c r="E171" s="270"/>
      <c r="F171" s="270"/>
      <c r="G171" s="270"/>
      <c r="H171" s="270"/>
      <c r="I171" s="270"/>
      <c r="J171" s="270"/>
    </row>
    <row r="172" spans="1:10" ht="16.899999999999999" x14ac:dyDescent="0.5">
      <c r="A172" s="270"/>
      <c r="B172" s="270"/>
      <c r="C172" s="270"/>
      <c r="D172" s="270"/>
      <c r="E172" s="270"/>
      <c r="F172" s="270"/>
      <c r="G172" s="270"/>
      <c r="H172" s="270"/>
      <c r="I172" s="270"/>
      <c r="J172" s="270"/>
    </row>
    <row r="173" spans="1:10" ht="16.899999999999999" x14ac:dyDescent="0.5">
      <c r="A173" s="270"/>
      <c r="B173" s="270"/>
      <c r="C173" s="270"/>
      <c r="D173" s="270"/>
      <c r="E173" s="270"/>
      <c r="F173" s="270"/>
      <c r="G173" s="270"/>
      <c r="H173" s="270"/>
      <c r="I173" s="270"/>
      <c r="J173" s="270"/>
    </row>
    <row r="174" spans="1:10" ht="16.899999999999999" x14ac:dyDescent="0.5">
      <c r="A174" s="270"/>
      <c r="B174" s="270"/>
      <c r="C174" s="270"/>
      <c r="D174" s="270"/>
      <c r="E174" s="270"/>
      <c r="F174" s="270"/>
      <c r="G174" s="270"/>
      <c r="H174" s="270"/>
      <c r="I174" s="270"/>
      <c r="J174" s="270"/>
    </row>
    <row r="175" spans="1:10" ht="16.899999999999999" x14ac:dyDescent="0.5">
      <c r="A175" s="270"/>
      <c r="B175" s="270"/>
      <c r="C175" s="270"/>
      <c r="D175" s="270"/>
      <c r="E175" s="270"/>
      <c r="F175" s="270"/>
      <c r="G175" s="270"/>
      <c r="H175" s="270"/>
      <c r="I175" s="270"/>
      <c r="J175" s="270"/>
    </row>
    <row r="176" spans="1:10" ht="16.899999999999999" x14ac:dyDescent="0.5">
      <c r="A176" s="270"/>
      <c r="B176" s="270"/>
      <c r="C176" s="270"/>
      <c r="D176" s="270"/>
      <c r="E176" s="270"/>
      <c r="F176" s="270"/>
      <c r="G176" s="270"/>
      <c r="H176" s="270"/>
      <c r="I176" s="270"/>
      <c r="J176" s="270"/>
    </row>
    <row r="177" spans="1:10" ht="16.899999999999999" x14ac:dyDescent="0.5">
      <c r="A177" s="270"/>
      <c r="B177" s="270"/>
      <c r="C177" s="270"/>
      <c r="D177" s="270"/>
      <c r="E177" s="270"/>
      <c r="F177" s="270"/>
      <c r="G177" s="270"/>
      <c r="H177" s="270"/>
      <c r="I177" s="270"/>
      <c r="J177" s="270"/>
    </row>
    <row r="178" spans="1:10" ht="16.899999999999999" x14ac:dyDescent="0.5">
      <c r="A178" s="270"/>
      <c r="B178" s="270"/>
      <c r="C178" s="270"/>
      <c r="D178" s="270"/>
      <c r="E178" s="270"/>
      <c r="F178" s="270"/>
      <c r="G178" s="270"/>
      <c r="H178" s="270"/>
      <c r="I178" s="270"/>
      <c r="J178" s="270"/>
    </row>
    <row r="179" spans="1:10" ht="16.899999999999999" x14ac:dyDescent="0.5">
      <c r="A179" s="270"/>
      <c r="B179" s="270"/>
      <c r="C179" s="270"/>
      <c r="D179" s="270"/>
      <c r="E179" s="270"/>
      <c r="F179" s="270"/>
      <c r="G179" s="270"/>
      <c r="H179" s="270"/>
      <c r="I179" s="270"/>
      <c r="J179" s="270"/>
    </row>
    <row r="180" spans="1:10" ht="16.899999999999999" x14ac:dyDescent="0.5">
      <c r="A180" s="270"/>
      <c r="B180" s="270"/>
      <c r="C180" s="270"/>
      <c r="D180" s="270"/>
      <c r="E180" s="270"/>
      <c r="F180" s="270"/>
      <c r="G180" s="270"/>
      <c r="H180" s="270"/>
      <c r="I180" s="270"/>
      <c r="J180" s="270"/>
    </row>
    <row r="181" spans="1:10" ht="16.899999999999999" x14ac:dyDescent="0.5">
      <c r="A181" s="270"/>
      <c r="B181" s="270"/>
      <c r="C181" s="270"/>
      <c r="D181" s="270"/>
      <c r="E181" s="270"/>
      <c r="F181" s="270"/>
      <c r="G181" s="270"/>
      <c r="H181" s="270"/>
      <c r="I181" s="270"/>
      <c r="J181" s="270"/>
    </row>
    <row r="182" spans="1:10" ht="16.899999999999999" x14ac:dyDescent="0.5">
      <c r="A182" s="270"/>
      <c r="B182" s="270"/>
      <c r="C182" s="270"/>
      <c r="D182" s="270"/>
      <c r="E182" s="270"/>
      <c r="F182" s="270"/>
      <c r="G182" s="270"/>
      <c r="H182" s="270"/>
      <c r="I182" s="270"/>
      <c r="J182" s="270"/>
    </row>
    <row r="183" spans="1:10" ht="16.899999999999999" x14ac:dyDescent="0.5">
      <c r="A183" s="270"/>
      <c r="B183" s="270"/>
      <c r="C183" s="270"/>
      <c r="D183" s="270"/>
      <c r="E183" s="270"/>
      <c r="F183" s="270"/>
      <c r="G183" s="270"/>
      <c r="H183" s="270"/>
      <c r="I183" s="270"/>
      <c r="J183" s="270"/>
    </row>
    <row r="184" spans="1:10" ht="16.899999999999999" x14ac:dyDescent="0.5">
      <c r="A184" s="270"/>
      <c r="B184" s="270"/>
      <c r="C184" s="270"/>
      <c r="D184" s="270"/>
      <c r="E184" s="270"/>
      <c r="F184" s="270"/>
      <c r="G184" s="270"/>
      <c r="H184" s="270"/>
      <c r="I184" s="270"/>
      <c r="J184" s="270"/>
    </row>
    <row r="185" spans="1:10" ht="16.899999999999999" x14ac:dyDescent="0.5">
      <c r="A185" s="270"/>
      <c r="B185" s="270"/>
      <c r="C185" s="270"/>
      <c r="D185" s="270"/>
      <c r="E185" s="270"/>
      <c r="F185" s="270"/>
      <c r="G185" s="270"/>
      <c r="H185" s="270"/>
      <c r="I185" s="270"/>
      <c r="J185" s="270"/>
    </row>
    <row r="186" spans="1:10" ht="16.899999999999999" x14ac:dyDescent="0.5">
      <c r="A186" s="270"/>
      <c r="B186" s="270"/>
      <c r="C186" s="270"/>
      <c r="D186" s="270"/>
      <c r="E186" s="270"/>
      <c r="F186" s="270"/>
      <c r="G186" s="270"/>
      <c r="H186" s="270"/>
      <c r="I186" s="270"/>
      <c r="J186" s="270"/>
    </row>
    <row r="187" spans="1:10" ht="16.899999999999999" x14ac:dyDescent="0.5">
      <c r="A187" s="270"/>
      <c r="B187" s="270"/>
      <c r="C187" s="270"/>
      <c r="D187" s="270"/>
      <c r="E187" s="270"/>
      <c r="F187" s="270"/>
      <c r="G187" s="270"/>
      <c r="H187" s="270"/>
      <c r="I187" s="270"/>
      <c r="J187" s="270"/>
    </row>
    <row r="188" spans="1:10" ht="16.899999999999999" x14ac:dyDescent="0.5">
      <c r="A188" s="270"/>
      <c r="B188" s="270"/>
      <c r="C188" s="270"/>
      <c r="D188" s="270"/>
      <c r="E188" s="270"/>
      <c r="F188" s="270"/>
      <c r="G188" s="270"/>
      <c r="H188" s="270"/>
      <c r="I188" s="270"/>
      <c r="J188" s="270"/>
    </row>
    <row r="189" spans="1:10" ht="16.899999999999999" x14ac:dyDescent="0.5">
      <c r="A189" s="270"/>
      <c r="B189" s="270"/>
      <c r="C189" s="270"/>
      <c r="D189" s="270"/>
      <c r="E189" s="270"/>
      <c r="F189" s="270"/>
      <c r="G189" s="270"/>
      <c r="H189" s="270"/>
      <c r="I189" s="270"/>
      <c r="J189" s="270"/>
    </row>
    <row r="190" spans="1:10" ht="16.899999999999999" x14ac:dyDescent="0.5">
      <c r="A190" s="270"/>
      <c r="B190" s="270"/>
      <c r="C190" s="270"/>
      <c r="D190" s="270"/>
      <c r="E190" s="270"/>
      <c r="F190" s="270"/>
      <c r="G190" s="270"/>
      <c r="H190" s="270"/>
      <c r="I190" s="270"/>
      <c r="J190" s="270"/>
    </row>
    <row r="191" spans="1:10" ht="16.899999999999999" x14ac:dyDescent="0.5">
      <c r="A191" s="270"/>
      <c r="B191" s="270"/>
      <c r="C191" s="270"/>
      <c r="D191" s="270"/>
      <c r="E191" s="270"/>
      <c r="F191" s="270"/>
      <c r="G191" s="270"/>
      <c r="H191" s="270"/>
      <c r="I191" s="270"/>
      <c r="J191" s="270"/>
    </row>
    <row r="192" spans="1:10" ht="16.899999999999999" x14ac:dyDescent="0.5">
      <c r="A192" s="270"/>
      <c r="B192" s="270"/>
      <c r="C192" s="270"/>
      <c r="D192" s="270"/>
      <c r="E192" s="270"/>
      <c r="F192" s="270"/>
      <c r="G192" s="270"/>
      <c r="H192" s="270"/>
      <c r="I192" s="270"/>
      <c r="J192" s="270"/>
    </row>
    <row r="193" spans="1:10" ht="16.899999999999999" x14ac:dyDescent="0.5">
      <c r="A193" s="270"/>
      <c r="B193" s="270"/>
      <c r="C193" s="270"/>
      <c r="D193" s="270"/>
      <c r="E193" s="270"/>
      <c r="F193" s="270"/>
      <c r="G193" s="270"/>
      <c r="H193" s="270"/>
      <c r="I193" s="270"/>
      <c r="J193" s="270"/>
    </row>
    <row r="194" spans="1:10" ht="16.899999999999999" x14ac:dyDescent="0.5">
      <c r="A194" s="270"/>
      <c r="B194" s="270"/>
      <c r="C194" s="270"/>
      <c r="D194" s="270"/>
      <c r="E194" s="270"/>
      <c r="F194" s="270"/>
      <c r="G194" s="270"/>
      <c r="H194" s="270"/>
      <c r="I194" s="270"/>
      <c r="J194" s="270"/>
    </row>
    <row r="195" spans="1:10" ht="16.899999999999999" x14ac:dyDescent="0.5">
      <c r="A195" s="270"/>
      <c r="B195" s="270"/>
      <c r="C195" s="270"/>
      <c r="D195" s="270"/>
      <c r="E195" s="270"/>
      <c r="F195" s="270"/>
      <c r="G195" s="270"/>
      <c r="H195" s="270"/>
      <c r="I195" s="270"/>
      <c r="J195" s="270"/>
    </row>
    <row r="196" spans="1:10" ht="16.899999999999999" x14ac:dyDescent="0.5">
      <c r="A196" s="270"/>
      <c r="B196" s="270"/>
      <c r="C196" s="270"/>
      <c r="D196" s="270"/>
      <c r="E196" s="270"/>
      <c r="F196" s="270"/>
      <c r="G196" s="270"/>
      <c r="H196" s="270"/>
      <c r="I196" s="270"/>
      <c r="J196" s="270"/>
    </row>
    <row r="197" spans="1:10" ht="16.899999999999999" x14ac:dyDescent="0.5">
      <c r="A197" s="270"/>
      <c r="B197" s="270"/>
      <c r="C197" s="270"/>
      <c r="D197" s="270"/>
      <c r="E197" s="270"/>
      <c r="F197" s="270"/>
      <c r="G197" s="270"/>
      <c r="H197" s="270"/>
      <c r="I197" s="270"/>
      <c r="J197" s="270"/>
    </row>
    <row r="198" spans="1:10" ht="16.899999999999999" x14ac:dyDescent="0.5">
      <c r="A198" s="270"/>
      <c r="B198" s="270"/>
      <c r="C198" s="270"/>
      <c r="D198" s="270"/>
      <c r="E198" s="270"/>
      <c r="F198" s="270"/>
      <c r="G198" s="270"/>
      <c r="H198" s="270"/>
      <c r="I198" s="270"/>
      <c r="J198" s="270"/>
    </row>
    <row r="199" spans="1:10" ht="16.899999999999999" x14ac:dyDescent="0.5">
      <c r="A199" s="270"/>
      <c r="B199" s="270"/>
      <c r="C199" s="270"/>
      <c r="D199" s="270"/>
      <c r="E199" s="270"/>
      <c r="F199" s="270"/>
      <c r="G199" s="270"/>
      <c r="H199" s="270"/>
      <c r="I199" s="270"/>
      <c r="J199" s="270"/>
    </row>
    <row r="200" spans="1:10" ht="16.899999999999999" x14ac:dyDescent="0.5">
      <c r="A200" s="270"/>
      <c r="B200" s="270"/>
      <c r="C200" s="270"/>
      <c r="D200" s="270"/>
      <c r="E200" s="270"/>
      <c r="F200" s="270"/>
      <c r="G200" s="270"/>
      <c r="H200" s="270"/>
      <c r="I200" s="270"/>
      <c r="J200" s="270"/>
    </row>
    <row r="201" spans="1:10" ht="16.899999999999999" x14ac:dyDescent="0.5">
      <c r="A201" s="270"/>
      <c r="B201" s="270"/>
      <c r="C201" s="270"/>
      <c r="D201" s="270"/>
      <c r="E201" s="270"/>
      <c r="F201" s="270"/>
      <c r="G201" s="270"/>
      <c r="H201" s="270"/>
      <c r="I201" s="270"/>
      <c r="J201" s="270"/>
    </row>
    <row r="202" spans="1:10" ht="16.899999999999999" x14ac:dyDescent="0.5">
      <c r="A202" s="270"/>
      <c r="B202" s="270"/>
      <c r="C202" s="270"/>
      <c r="D202" s="270"/>
      <c r="E202" s="270"/>
      <c r="F202" s="270"/>
      <c r="G202" s="270"/>
      <c r="H202" s="270"/>
      <c r="I202" s="270"/>
      <c r="J202" s="270"/>
    </row>
    <row r="203" spans="1:10" ht="16.899999999999999" x14ac:dyDescent="0.5">
      <c r="A203" s="270"/>
      <c r="B203" s="270"/>
      <c r="C203" s="270"/>
      <c r="D203" s="270"/>
      <c r="E203" s="270"/>
      <c r="F203" s="270"/>
      <c r="G203" s="270"/>
      <c r="H203" s="270"/>
      <c r="I203" s="270"/>
      <c r="J203" s="270"/>
    </row>
    <row r="204" spans="1:10" ht="16.899999999999999" x14ac:dyDescent="0.5">
      <c r="A204" s="270"/>
      <c r="B204" s="270"/>
      <c r="C204" s="270"/>
      <c r="D204" s="270"/>
      <c r="E204" s="270"/>
      <c r="F204" s="270"/>
      <c r="G204" s="270"/>
      <c r="H204" s="270"/>
      <c r="I204" s="270"/>
      <c r="J204" s="270"/>
    </row>
    <row r="205" spans="1:10" ht="16.899999999999999" x14ac:dyDescent="0.5">
      <c r="A205" s="270"/>
      <c r="B205" s="270"/>
      <c r="C205" s="270"/>
      <c r="D205" s="270"/>
      <c r="E205" s="270"/>
      <c r="F205" s="270"/>
      <c r="G205" s="270"/>
      <c r="H205" s="270"/>
      <c r="I205" s="270"/>
      <c r="J205" s="270"/>
    </row>
    <row r="206" spans="1:10" ht="16.899999999999999" x14ac:dyDescent="0.5">
      <c r="A206" s="270"/>
      <c r="B206" s="270"/>
      <c r="C206" s="270"/>
      <c r="D206" s="270"/>
      <c r="E206" s="270"/>
      <c r="F206" s="270"/>
      <c r="G206" s="270"/>
      <c r="H206" s="270"/>
      <c r="I206" s="270"/>
      <c r="J206" s="270"/>
    </row>
    <row r="207" spans="1:10" ht="16.899999999999999" x14ac:dyDescent="0.5">
      <c r="A207" s="270"/>
      <c r="B207" s="270"/>
      <c r="C207" s="270"/>
      <c r="D207" s="270"/>
      <c r="E207" s="270"/>
      <c r="F207" s="270"/>
      <c r="G207" s="270"/>
      <c r="H207" s="270"/>
      <c r="I207" s="270"/>
      <c r="J207" s="270"/>
    </row>
    <row r="208" spans="1:10" ht="16.899999999999999" x14ac:dyDescent="0.5">
      <c r="A208" s="270"/>
      <c r="B208" s="270"/>
      <c r="C208" s="270"/>
      <c r="D208" s="270"/>
      <c r="E208" s="270"/>
      <c r="F208" s="270"/>
      <c r="G208" s="270"/>
      <c r="H208" s="270"/>
      <c r="I208" s="270"/>
      <c r="J208" s="270"/>
    </row>
    <row r="209" spans="1:10" ht="16.899999999999999" x14ac:dyDescent="0.5">
      <c r="A209" s="270"/>
      <c r="B209" s="270"/>
      <c r="C209" s="270"/>
      <c r="D209" s="270"/>
      <c r="E209" s="270"/>
      <c r="F209" s="270"/>
      <c r="G209" s="270"/>
      <c r="H209" s="270"/>
      <c r="I209" s="270"/>
      <c r="J209" s="270"/>
    </row>
    <row r="210" spans="1:10" ht="16.899999999999999" x14ac:dyDescent="0.5">
      <c r="A210" s="270"/>
      <c r="B210" s="270"/>
      <c r="C210" s="270"/>
      <c r="D210" s="270"/>
      <c r="E210" s="270"/>
      <c r="F210" s="270"/>
      <c r="G210" s="270"/>
      <c r="H210" s="270"/>
      <c r="I210" s="270"/>
      <c r="J210" s="270"/>
    </row>
    <row r="211" spans="1:10" ht="16.899999999999999" x14ac:dyDescent="0.5">
      <c r="A211" s="270"/>
      <c r="B211" s="270"/>
      <c r="C211" s="270"/>
      <c r="D211" s="270"/>
      <c r="E211" s="270"/>
      <c r="F211" s="270"/>
      <c r="G211" s="270"/>
      <c r="H211" s="270"/>
      <c r="I211" s="270"/>
      <c r="J211" s="270"/>
    </row>
    <row r="212" spans="1:10" ht="16.899999999999999" x14ac:dyDescent="0.5">
      <c r="A212" s="270"/>
      <c r="B212" s="270"/>
      <c r="C212" s="270"/>
      <c r="D212" s="270"/>
      <c r="E212" s="270"/>
      <c r="F212" s="270"/>
      <c r="G212" s="270"/>
      <c r="H212" s="270"/>
      <c r="I212" s="270"/>
      <c r="J212" s="270"/>
    </row>
    <row r="213" spans="1:10" ht="16.899999999999999" x14ac:dyDescent="0.5">
      <c r="A213" s="270"/>
      <c r="B213" s="270"/>
      <c r="C213" s="270"/>
      <c r="D213" s="270"/>
      <c r="E213" s="270"/>
      <c r="F213" s="270"/>
      <c r="G213" s="270"/>
      <c r="H213" s="270"/>
      <c r="I213" s="270"/>
      <c r="J213" s="270"/>
    </row>
    <row r="214" spans="1:10" ht="16.899999999999999" x14ac:dyDescent="0.5">
      <c r="A214" s="270"/>
      <c r="B214" s="270"/>
      <c r="C214" s="270"/>
      <c r="D214" s="270"/>
      <c r="E214" s="270"/>
      <c r="F214" s="270"/>
      <c r="G214" s="270"/>
      <c r="H214" s="270"/>
      <c r="I214" s="270"/>
      <c r="J214" s="270"/>
    </row>
    <row r="215" spans="1:10" ht="16.899999999999999" x14ac:dyDescent="0.5">
      <c r="A215" s="270"/>
      <c r="B215" s="270"/>
      <c r="C215" s="270"/>
      <c r="D215" s="270"/>
      <c r="E215" s="270"/>
      <c r="F215" s="270"/>
      <c r="G215" s="270"/>
      <c r="H215" s="270"/>
      <c r="I215" s="270"/>
      <c r="J215" s="270"/>
    </row>
    <row r="216" spans="1:10" ht="16.899999999999999" x14ac:dyDescent="0.5">
      <c r="A216" s="270"/>
      <c r="B216" s="270"/>
      <c r="C216" s="270"/>
      <c r="D216" s="270"/>
      <c r="E216" s="270"/>
      <c r="F216" s="270"/>
      <c r="G216" s="270"/>
      <c r="H216" s="270"/>
      <c r="I216" s="270"/>
      <c r="J216" s="270"/>
    </row>
    <row r="217" spans="1:10" ht="16.899999999999999" x14ac:dyDescent="0.5">
      <c r="A217" s="270"/>
      <c r="B217" s="270"/>
      <c r="C217" s="270"/>
      <c r="D217" s="270"/>
      <c r="E217" s="270"/>
      <c r="F217" s="270"/>
      <c r="G217" s="270"/>
      <c r="H217" s="270"/>
      <c r="I217" s="270"/>
      <c r="J217" s="270"/>
    </row>
    <row r="218" spans="1:10" ht="16.899999999999999" x14ac:dyDescent="0.5">
      <c r="A218" s="270"/>
      <c r="B218" s="270"/>
      <c r="C218" s="270"/>
      <c r="D218" s="270"/>
      <c r="E218" s="270"/>
      <c r="F218" s="270"/>
      <c r="G218" s="270"/>
      <c r="H218" s="270"/>
      <c r="I218" s="270"/>
      <c r="J218" s="270"/>
    </row>
    <row r="219" spans="1:10" ht="16.899999999999999" x14ac:dyDescent="0.5">
      <c r="A219" s="270"/>
      <c r="B219" s="270"/>
      <c r="C219" s="270"/>
      <c r="D219" s="270"/>
      <c r="E219" s="270"/>
      <c r="F219" s="270"/>
      <c r="G219" s="270"/>
      <c r="H219" s="270"/>
      <c r="I219" s="270"/>
      <c r="J219" s="270"/>
    </row>
    <row r="220" spans="1:10" ht="16.899999999999999" x14ac:dyDescent="0.5">
      <c r="A220" s="270"/>
      <c r="B220" s="270"/>
      <c r="C220" s="270"/>
      <c r="D220" s="270"/>
      <c r="E220" s="270"/>
      <c r="F220" s="270"/>
      <c r="G220" s="270"/>
      <c r="H220" s="270"/>
      <c r="I220" s="270"/>
      <c r="J220" s="270"/>
    </row>
    <row r="221" spans="1:10" ht="16.899999999999999" x14ac:dyDescent="0.5">
      <c r="A221" s="270"/>
      <c r="B221" s="270"/>
      <c r="C221" s="270"/>
      <c r="D221" s="270"/>
      <c r="E221" s="270"/>
      <c r="F221" s="270"/>
      <c r="G221" s="270"/>
      <c r="H221" s="270"/>
      <c r="I221" s="270"/>
      <c r="J221" s="270"/>
    </row>
    <row r="222" spans="1:10" ht="16.899999999999999" x14ac:dyDescent="0.5">
      <c r="A222" s="270"/>
      <c r="B222" s="270"/>
      <c r="C222" s="270"/>
      <c r="D222" s="270"/>
      <c r="E222" s="270"/>
      <c r="F222" s="270"/>
      <c r="G222" s="270"/>
      <c r="H222" s="270"/>
      <c r="I222" s="270"/>
      <c r="J222" s="270"/>
    </row>
    <row r="223" spans="1:10" ht="16.899999999999999" x14ac:dyDescent="0.5">
      <c r="A223" s="270"/>
      <c r="B223" s="270"/>
      <c r="C223" s="270"/>
      <c r="D223" s="270"/>
      <c r="E223" s="270"/>
      <c r="F223" s="270"/>
      <c r="G223" s="270"/>
      <c r="H223" s="270"/>
      <c r="I223" s="270"/>
      <c r="J223" s="270"/>
    </row>
    <row r="224" spans="1:10" ht="16.899999999999999" x14ac:dyDescent="0.5">
      <c r="A224" s="270"/>
      <c r="B224" s="270"/>
      <c r="C224" s="270"/>
      <c r="D224" s="270"/>
      <c r="E224" s="270"/>
      <c r="F224" s="270"/>
      <c r="G224" s="270"/>
      <c r="H224" s="270"/>
      <c r="I224" s="270"/>
      <c r="J224" s="270"/>
    </row>
    <row r="225" spans="1:10" ht="16.899999999999999" x14ac:dyDescent="0.5">
      <c r="A225" s="270"/>
      <c r="B225" s="270"/>
      <c r="C225" s="270"/>
      <c r="D225" s="270"/>
      <c r="E225" s="270"/>
      <c r="F225" s="270"/>
      <c r="G225" s="270"/>
      <c r="H225" s="270"/>
      <c r="I225" s="270"/>
      <c r="J225" s="270"/>
    </row>
    <row r="226" spans="1:10" ht="16.899999999999999" x14ac:dyDescent="0.5">
      <c r="A226" s="270"/>
      <c r="B226" s="270"/>
      <c r="C226" s="270"/>
      <c r="D226" s="270"/>
      <c r="E226" s="270"/>
      <c r="F226" s="270"/>
      <c r="G226" s="270"/>
      <c r="H226" s="270"/>
      <c r="I226" s="270"/>
      <c r="J226" s="270"/>
    </row>
    <row r="227" spans="1:10" ht="16.899999999999999" x14ac:dyDescent="0.5">
      <c r="A227" s="270"/>
      <c r="B227" s="270"/>
      <c r="C227" s="270"/>
      <c r="D227" s="270"/>
      <c r="E227" s="270"/>
      <c r="F227" s="270"/>
      <c r="G227" s="270"/>
      <c r="H227" s="270"/>
      <c r="I227" s="270"/>
      <c r="J227" s="270"/>
    </row>
    <row r="228" spans="1:10" ht="16.899999999999999" x14ac:dyDescent="0.5">
      <c r="A228" s="270"/>
      <c r="B228" s="270"/>
      <c r="C228" s="270"/>
      <c r="D228" s="270"/>
      <c r="E228" s="270"/>
      <c r="F228" s="270"/>
      <c r="G228" s="270"/>
      <c r="H228" s="270"/>
      <c r="I228" s="270"/>
      <c r="J228" s="270"/>
    </row>
    <row r="229" spans="1:10" ht="16.899999999999999" x14ac:dyDescent="0.5">
      <c r="A229" s="270"/>
      <c r="B229" s="270"/>
      <c r="C229" s="270"/>
      <c r="D229" s="270"/>
      <c r="E229" s="270"/>
      <c r="F229" s="270"/>
      <c r="G229" s="270"/>
      <c r="H229" s="270"/>
      <c r="I229" s="270"/>
      <c r="J229" s="270"/>
    </row>
    <row r="230" spans="1:10" ht="16.899999999999999" x14ac:dyDescent="0.5">
      <c r="A230" s="270"/>
      <c r="B230" s="270"/>
      <c r="C230" s="270"/>
      <c r="D230" s="270"/>
      <c r="E230" s="270"/>
      <c r="F230" s="270"/>
      <c r="G230" s="270"/>
      <c r="H230" s="270"/>
      <c r="I230" s="270"/>
      <c r="J230" s="270"/>
    </row>
    <row r="231" spans="1:10" ht="16.899999999999999" x14ac:dyDescent="0.5">
      <c r="A231" s="270"/>
      <c r="B231" s="270"/>
      <c r="C231" s="270"/>
      <c r="D231" s="270"/>
      <c r="E231" s="270"/>
      <c r="F231" s="270"/>
      <c r="G231" s="270"/>
      <c r="H231" s="270"/>
      <c r="I231" s="270"/>
      <c r="J231" s="270"/>
    </row>
    <row r="232" spans="1:10" ht="16.899999999999999" x14ac:dyDescent="0.5">
      <c r="A232" s="270"/>
      <c r="B232" s="270"/>
      <c r="C232" s="270"/>
      <c r="D232" s="270"/>
      <c r="E232" s="270"/>
      <c r="F232" s="270"/>
      <c r="G232" s="270"/>
      <c r="H232" s="270"/>
      <c r="I232" s="270"/>
      <c r="J232" s="270"/>
    </row>
    <row r="233" spans="1:10" ht="16.899999999999999" x14ac:dyDescent="0.5">
      <c r="A233" s="270"/>
      <c r="B233" s="270"/>
      <c r="C233" s="270"/>
      <c r="D233" s="270"/>
      <c r="E233" s="270"/>
      <c r="F233" s="270"/>
      <c r="G233" s="270"/>
      <c r="H233" s="270"/>
      <c r="I233" s="270"/>
      <c r="J233" s="270"/>
    </row>
    <row r="234" spans="1:10" ht="16.899999999999999" x14ac:dyDescent="0.5">
      <c r="A234" s="270"/>
      <c r="B234" s="270"/>
      <c r="C234" s="270"/>
      <c r="D234" s="270"/>
      <c r="E234" s="270"/>
      <c r="F234" s="270"/>
      <c r="G234" s="270"/>
      <c r="H234" s="270"/>
      <c r="I234" s="270"/>
      <c r="J234" s="270"/>
    </row>
    <row r="235" spans="1:10" ht="16.899999999999999" x14ac:dyDescent="0.5">
      <c r="A235" s="270"/>
      <c r="B235" s="270"/>
      <c r="C235" s="270"/>
      <c r="D235" s="270"/>
      <c r="E235" s="270"/>
      <c r="F235" s="270"/>
      <c r="G235" s="270"/>
      <c r="H235" s="270"/>
      <c r="I235" s="270"/>
      <c r="J235" s="270"/>
    </row>
    <row r="236" spans="1:10" ht="16.899999999999999" x14ac:dyDescent="0.5">
      <c r="A236" s="270"/>
      <c r="B236" s="270"/>
      <c r="C236" s="270"/>
      <c r="D236" s="270"/>
      <c r="E236" s="270"/>
      <c r="F236" s="270"/>
      <c r="G236" s="270"/>
      <c r="H236" s="270"/>
      <c r="I236" s="270"/>
      <c r="J236" s="270"/>
    </row>
    <row r="237" spans="1:10" ht="16.899999999999999" x14ac:dyDescent="0.5">
      <c r="A237" s="270"/>
      <c r="B237" s="270"/>
      <c r="C237" s="270"/>
      <c r="D237" s="270"/>
      <c r="E237" s="270"/>
      <c r="F237" s="270"/>
      <c r="G237" s="270"/>
      <c r="H237" s="270"/>
      <c r="I237" s="270"/>
      <c r="J237" s="270"/>
    </row>
    <row r="238" spans="1:10" ht="16.899999999999999" x14ac:dyDescent="0.5">
      <c r="A238" s="270"/>
      <c r="B238" s="270"/>
      <c r="C238" s="270"/>
      <c r="D238" s="270"/>
      <c r="E238" s="270"/>
      <c r="F238" s="270"/>
      <c r="G238" s="270"/>
      <c r="H238" s="270"/>
      <c r="I238" s="270"/>
      <c r="J238" s="270"/>
    </row>
    <row r="239" spans="1:10" ht="16.899999999999999" x14ac:dyDescent="0.5">
      <c r="A239" s="270"/>
      <c r="B239" s="270"/>
      <c r="C239" s="270"/>
      <c r="D239" s="270"/>
      <c r="E239" s="270"/>
      <c r="F239" s="270"/>
      <c r="G239" s="270"/>
      <c r="H239" s="270"/>
      <c r="I239" s="270"/>
      <c r="J239" s="270"/>
    </row>
    <row r="240" spans="1:10" ht="16.899999999999999" x14ac:dyDescent="0.5">
      <c r="A240" s="270"/>
      <c r="B240" s="270"/>
      <c r="C240" s="270"/>
      <c r="D240" s="270"/>
      <c r="E240" s="270"/>
      <c r="F240" s="270"/>
      <c r="G240" s="270"/>
      <c r="H240" s="270"/>
      <c r="I240" s="270"/>
      <c r="J240" s="270"/>
    </row>
    <row r="241" spans="1:10" ht="16.899999999999999" x14ac:dyDescent="0.5">
      <c r="A241" s="270"/>
      <c r="B241" s="270"/>
      <c r="C241" s="270"/>
      <c r="D241" s="270"/>
      <c r="E241" s="270"/>
      <c r="F241" s="270"/>
      <c r="G241" s="270"/>
      <c r="H241" s="270"/>
      <c r="I241" s="270"/>
      <c r="J241" s="270"/>
    </row>
    <row r="242" spans="1:10" ht="16.899999999999999" x14ac:dyDescent="0.5">
      <c r="A242" s="270"/>
      <c r="B242" s="270"/>
      <c r="C242" s="270"/>
      <c r="D242" s="270"/>
      <c r="E242" s="270"/>
      <c r="F242" s="270"/>
      <c r="G242" s="270"/>
      <c r="H242" s="270"/>
      <c r="I242" s="270"/>
      <c r="J242" s="270"/>
    </row>
    <row r="243" spans="1:10" ht="16.899999999999999" x14ac:dyDescent="0.5">
      <c r="A243" s="270"/>
      <c r="B243" s="270"/>
      <c r="C243" s="270"/>
      <c r="D243" s="270"/>
      <c r="E243" s="270"/>
      <c r="F243" s="270"/>
      <c r="G243" s="270"/>
      <c r="H243" s="270"/>
      <c r="I243" s="270"/>
      <c r="J243" s="270"/>
    </row>
    <row r="244" spans="1:10" ht="16.899999999999999" x14ac:dyDescent="0.5">
      <c r="A244" s="270"/>
      <c r="B244" s="270"/>
      <c r="C244" s="270"/>
      <c r="D244" s="270"/>
      <c r="E244" s="270"/>
      <c r="F244" s="270"/>
      <c r="G244" s="270"/>
      <c r="H244" s="270"/>
      <c r="I244" s="270"/>
      <c r="J244" s="270"/>
    </row>
    <row r="245" spans="1:10" ht="16.899999999999999" x14ac:dyDescent="0.5">
      <c r="A245" s="270"/>
      <c r="B245" s="270"/>
      <c r="C245" s="270"/>
      <c r="D245" s="270"/>
      <c r="E245" s="270"/>
      <c r="F245" s="270"/>
      <c r="G245" s="270"/>
      <c r="H245" s="270"/>
      <c r="I245" s="270"/>
      <c r="J245" s="270"/>
    </row>
    <row r="246" spans="1:10" ht="16.899999999999999" x14ac:dyDescent="0.5">
      <c r="A246" s="270"/>
      <c r="B246" s="270"/>
      <c r="C246" s="270"/>
      <c r="D246" s="270"/>
      <c r="E246" s="270"/>
      <c r="F246" s="270"/>
      <c r="G246" s="270"/>
      <c r="H246" s="270"/>
      <c r="I246" s="270"/>
      <c r="J246" s="270"/>
    </row>
    <row r="247" spans="1:10" ht="16.899999999999999" x14ac:dyDescent="0.5">
      <c r="A247" s="270"/>
      <c r="B247" s="270"/>
      <c r="C247" s="270"/>
      <c r="D247" s="270"/>
      <c r="E247" s="270"/>
      <c r="F247" s="270"/>
      <c r="G247" s="270"/>
      <c r="H247" s="270"/>
      <c r="I247" s="270"/>
      <c r="J247" s="270"/>
    </row>
    <row r="248" spans="1:10" ht="16.899999999999999" x14ac:dyDescent="0.5">
      <c r="A248" s="270"/>
      <c r="B248" s="270"/>
      <c r="C248" s="270"/>
      <c r="D248" s="270"/>
      <c r="E248" s="270"/>
      <c r="F248" s="270"/>
      <c r="G248" s="270"/>
      <c r="H248" s="270"/>
      <c r="I248" s="270"/>
      <c r="J248" s="270"/>
    </row>
    <row r="249" spans="1:10" ht="16.899999999999999" x14ac:dyDescent="0.5">
      <c r="A249" s="270"/>
      <c r="B249" s="270"/>
      <c r="C249" s="270"/>
      <c r="D249" s="270"/>
      <c r="E249" s="270"/>
      <c r="F249" s="270"/>
      <c r="G249" s="270"/>
      <c r="H249" s="270"/>
      <c r="I249" s="270"/>
      <c r="J249" s="270"/>
    </row>
    <row r="250" spans="1:10" ht="16.899999999999999" x14ac:dyDescent="0.5">
      <c r="A250" s="270"/>
      <c r="B250" s="270"/>
      <c r="C250" s="270"/>
      <c r="D250" s="270"/>
      <c r="E250" s="270"/>
      <c r="F250" s="270"/>
      <c r="G250" s="270"/>
      <c r="H250" s="270"/>
      <c r="I250" s="270"/>
      <c r="J250" s="270"/>
    </row>
    <row r="251" spans="1:10" ht="16.899999999999999" x14ac:dyDescent="0.5">
      <c r="A251" s="270"/>
      <c r="B251" s="270"/>
      <c r="C251" s="270"/>
      <c r="D251" s="270"/>
      <c r="E251" s="270"/>
      <c r="F251" s="270"/>
      <c r="G251" s="270"/>
      <c r="H251" s="270"/>
      <c r="I251" s="270"/>
      <c r="J251" s="270"/>
    </row>
    <row r="252" spans="1:10" ht="16.899999999999999" x14ac:dyDescent="0.5">
      <c r="A252" s="270"/>
      <c r="B252" s="270"/>
      <c r="C252" s="270"/>
      <c r="D252" s="270"/>
      <c r="E252" s="270"/>
      <c r="F252" s="270"/>
      <c r="G252" s="270"/>
      <c r="H252" s="270"/>
      <c r="I252" s="270"/>
      <c r="J252" s="270"/>
    </row>
    <row r="253" spans="1:10" ht="16.899999999999999" x14ac:dyDescent="0.5">
      <c r="A253" s="270"/>
      <c r="B253" s="270"/>
      <c r="C253" s="270"/>
      <c r="D253" s="270"/>
      <c r="E253" s="270"/>
      <c r="F253" s="270"/>
      <c r="G253" s="270"/>
      <c r="H253" s="270"/>
      <c r="I253" s="270"/>
      <c r="J253" s="270"/>
    </row>
    <row r="254" spans="1:10" ht="16.899999999999999" x14ac:dyDescent="0.5">
      <c r="A254" s="270"/>
      <c r="B254" s="270"/>
      <c r="C254" s="270"/>
      <c r="D254" s="270"/>
      <c r="E254" s="270"/>
      <c r="F254" s="270"/>
      <c r="G254" s="270"/>
      <c r="H254" s="270"/>
      <c r="I254" s="270"/>
      <c r="J254" s="270"/>
    </row>
    <row r="255" spans="1:10" ht="16.899999999999999" x14ac:dyDescent="0.5">
      <c r="A255" s="270"/>
      <c r="B255" s="270"/>
      <c r="C255" s="270"/>
      <c r="D255" s="270"/>
      <c r="E255" s="270"/>
      <c r="F255" s="270"/>
      <c r="G255" s="270"/>
      <c r="H255" s="270"/>
      <c r="I255" s="270"/>
      <c r="J255" s="270"/>
    </row>
    <row r="256" spans="1:10" ht="16.899999999999999" x14ac:dyDescent="0.5">
      <c r="A256" s="270"/>
      <c r="B256" s="270"/>
      <c r="C256" s="270"/>
      <c r="D256" s="270"/>
      <c r="E256" s="270"/>
      <c r="F256" s="270"/>
      <c r="G256" s="270"/>
      <c r="H256" s="270"/>
      <c r="I256" s="270"/>
      <c r="J256" s="270"/>
    </row>
    <row r="257" spans="1:10" ht="16.899999999999999" x14ac:dyDescent="0.5">
      <c r="A257" s="270"/>
      <c r="B257" s="270"/>
      <c r="C257" s="270"/>
      <c r="D257" s="270"/>
      <c r="E257" s="270"/>
      <c r="F257" s="270"/>
      <c r="G257" s="270"/>
      <c r="H257" s="270"/>
      <c r="I257" s="270"/>
      <c r="J257" s="270"/>
    </row>
    <row r="258" spans="1:10" ht="16.899999999999999" x14ac:dyDescent="0.5">
      <c r="A258" s="270"/>
      <c r="B258" s="270"/>
      <c r="C258" s="270"/>
      <c r="D258" s="270"/>
      <c r="E258" s="270"/>
      <c r="F258" s="270"/>
      <c r="G258" s="270"/>
      <c r="H258" s="270"/>
      <c r="I258" s="270"/>
      <c r="J258" s="270"/>
    </row>
    <row r="259" spans="1:10" ht="16.899999999999999" x14ac:dyDescent="0.5">
      <c r="A259" s="270"/>
      <c r="B259" s="270"/>
      <c r="C259" s="270"/>
      <c r="D259" s="270"/>
      <c r="E259" s="270"/>
      <c r="F259" s="270"/>
      <c r="G259" s="270"/>
      <c r="H259" s="270"/>
      <c r="I259" s="270"/>
      <c r="J259" s="270"/>
    </row>
    <row r="260" spans="1:10" ht="16.899999999999999" x14ac:dyDescent="0.5">
      <c r="A260" s="270"/>
      <c r="B260" s="270"/>
      <c r="C260" s="270"/>
      <c r="D260" s="270"/>
      <c r="E260" s="270"/>
      <c r="F260" s="270"/>
      <c r="G260" s="270"/>
      <c r="H260" s="270"/>
      <c r="I260" s="270"/>
      <c r="J260" s="270"/>
    </row>
    <row r="261" spans="1:10" ht="16.899999999999999" x14ac:dyDescent="0.5">
      <c r="A261" s="270"/>
      <c r="B261" s="270"/>
      <c r="C261" s="270"/>
      <c r="D261" s="270"/>
      <c r="E261" s="270"/>
      <c r="F261" s="270"/>
      <c r="G261" s="270"/>
      <c r="H261" s="270"/>
      <c r="I261" s="270"/>
      <c r="J261" s="270"/>
    </row>
    <row r="262" spans="1:10" ht="16.899999999999999" x14ac:dyDescent="0.5">
      <c r="A262" s="270"/>
      <c r="B262" s="270"/>
      <c r="C262" s="270"/>
      <c r="D262" s="270"/>
      <c r="E262" s="270"/>
      <c r="F262" s="270"/>
      <c r="G262" s="270"/>
      <c r="H262" s="270"/>
      <c r="I262" s="270"/>
      <c r="J262" s="270"/>
    </row>
    <row r="263" spans="1:10" ht="16.899999999999999" x14ac:dyDescent="0.5">
      <c r="A263" s="270"/>
      <c r="B263" s="270"/>
      <c r="C263" s="270"/>
      <c r="D263" s="270"/>
      <c r="E263" s="270"/>
      <c r="F263" s="270"/>
      <c r="G263" s="270"/>
      <c r="H263" s="270"/>
      <c r="I263" s="270"/>
      <c r="J263" s="270"/>
    </row>
    <row r="264" spans="1:10" ht="16.899999999999999" x14ac:dyDescent="0.5">
      <c r="A264" s="270"/>
      <c r="B264" s="270"/>
      <c r="C264" s="270"/>
      <c r="D264" s="270"/>
      <c r="E264" s="270"/>
      <c r="F264" s="270"/>
      <c r="G264" s="270"/>
      <c r="H264" s="270"/>
      <c r="I264" s="270"/>
      <c r="J264" s="270"/>
    </row>
    <row r="265" spans="1:10" ht="16.899999999999999" x14ac:dyDescent="0.5">
      <c r="A265" s="270"/>
      <c r="B265" s="270"/>
      <c r="C265" s="270"/>
      <c r="D265" s="270"/>
      <c r="E265" s="270"/>
      <c r="F265" s="270"/>
      <c r="G265" s="270"/>
      <c r="H265" s="270"/>
      <c r="I265" s="270"/>
      <c r="J265" s="270"/>
    </row>
    <row r="266" spans="1:10" ht="16.899999999999999" x14ac:dyDescent="0.5">
      <c r="A266" s="270"/>
      <c r="B266" s="270"/>
      <c r="C266" s="270"/>
      <c r="D266" s="270"/>
      <c r="E266" s="270"/>
      <c r="F266" s="270"/>
      <c r="G266" s="270"/>
      <c r="H266" s="270"/>
      <c r="I266" s="270"/>
      <c r="J266" s="270"/>
    </row>
    <row r="267" spans="1:10" ht="16.899999999999999" x14ac:dyDescent="0.5">
      <c r="A267" s="270"/>
      <c r="B267" s="270"/>
      <c r="C267" s="270"/>
      <c r="D267" s="270"/>
      <c r="E267" s="270"/>
      <c r="F267" s="270"/>
      <c r="G267" s="270"/>
      <c r="H267" s="270"/>
      <c r="I267" s="270"/>
      <c r="J267" s="270"/>
    </row>
    <row r="268" spans="1:10" ht="16.899999999999999" x14ac:dyDescent="0.5">
      <c r="A268" s="270"/>
      <c r="B268" s="270"/>
      <c r="C268" s="270"/>
      <c r="D268" s="270"/>
      <c r="E268" s="270"/>
      <c r="F268" s="270"/>
      <c r="G268" s="270"/>
      <c r="H268" s="270"/>
      <c r="I268" s="270"/>
      <c r="J268" s="270"/>
    </row>
    <row r="269" spans="1:10" ht="16.899999999999999" x14ac:dyDescent="0.5">
      <c r="A269" s="270"/>
      <c r="B269" s="270"/>
      <c r="C269" s="270"/>
      <c r="D269" s="270"/>
      <c r="E269" s="270"/>
      <c r="F269" s="270"/>
      <c r="G269" s="270"/>
      <c r="H269" s="270"/>
      <c r="I269" s="270"/>
      <c r="J269" s="270"/>
    </row>
    <row r="270" spans="1:10" ht="16.899999999999999" x14ac:dyDescent="0.5">
      <c r="A270" s="270"/>
      <c r="B270" s="270"/>
      <c r="C270" s="270"/>
      <c r="D270" s="270"/>
      <c r="E270" s="270"/>
      <c r="F270" s="270"/>
      <c r="G270" s="270"/>
      <c r="H270" s="270"/>
      <c r="I270" s="270"/>
      <c r="J270" s="270"/>
    </row>
    <row r="271" spans="1:10" ht="16.899999999999999" x14ac:dyDescent="0.5">
      <c r="A271" s="270"/>
      <c r="B271" s="270"/>
      <c r="C271" s="270"/>
      <c r="D271" s="270"/>
      <c r="E271" s="270"/>
      <c r="F271" s="270"/>
      <c r="G271" s="270"/>
      <c r="H271" s="270"/>
      <c r="I271" s="270"/>
      <c r="J271" s="270"/>
    </row>
    <row r="272" spans="1:10" ht="16.899999999999999" x14ac:dyDescent="0.5">
      <c r="A272" s="270"/>
      <c r="B272" s="270"/>
      <c r="C272" s="270"/>
      <c r="D272" s="270"/>
      <c r="E272" s="270"/>
      <c r="F272" s="270"/>
      <c r="G272" s="270"/>
      <c r="H272" s="270"/>
      <c r="I272" s="270"/>
      <c r="J272" s="270"/>
    </row>
    <row r="273" spans="1:10" ht="16.899999999999999" x14ac:dyDescent="0.5">
      <c r="A273" s="270"/>
      <c r="B273" s="270"/>
      <c r="C273" s="270"/>
      <c r="D273" s="270"/>
      <c r="E273" s="270"/>
      <c r="F273" s="270"/>
      <c r="G273" s="270"/>
      <c r="H273" s="270"/>
      <c r="I273" s="270"/>
      <c r="J273" s="270"/>
    </row>
    <row r="274" spans="1:10" ht="16.899999999999999" x14ac:dyDescent="0.5">
      <c r="A274" s="270"/>
      <c r="B274" s="270"/>
      <c r="C274" s="270"/>
      <c r="D274" s="270"/>
      <c r="E274" s="270"/>
      <c r="F274" s="270"/>
      <c r="G274" s="270"/>
      <c r="H274" s="270"/>
      <c r="I274" s="270"/>
      <c r="J274" s="270"/>
    </row>
    <row r="275" spans="1:10" ht="16.899999999999999" x14ac:dyDescent="0.5">
      <c r="A275" s="270"/>
      <c r="B275" s="270"/>
      <c r="C275" s="270"/>
      <c r="D275" s="270"/>
      <c r="E275" s="270"/>
      <c r="F275" s="270"/>
      <c r="G275" s="270"/>
      <c r="H275" s="270"/>
      <c r="I275" s="270"/>
      <c r="J275" s="270"/>
    </row>
    <row r="276" spans="1:10" ht="16.899999999999999" x14ac:dyDescent="0.5">
      <c r="A276" s="270"/>
      <c r="B276" s="270"/>
      <c r="C276" s="270"/>
      <c r="D276" s="270"/>
      <c r="E276" s="270"/>
      <c r="F276" s="270"/>
      <c r="G276" s="270"/>
      <c r="H276" s="270"/>
      <c r="I276" s="270"/>
      <c r="J276" s="270"/>
    </row>
    <row r="277" spans="1:10" ht="16.899999999999999" x14ac:dyDescent="0.5">
      <c r="A277" s="270"/>
      <c r="B277" s="270"/>
      <c r="C277" s="270"/>
      <c r="D277" s="270"/>
      <c r="E277" s="270"/>
      <c r="F277" s="270"/>
      <c r="G277" s="270"/>
      <c r="H277" s="270"/>
      <c r="I277" s="270"/>
      <c r="J277" s="270"/>
    </row>
    <row r="278" spans="1:10" ht="16.899999999999999" x14ac:dyDescent="0.5">
      <c r="A278" s="270"/>
      <c r="B278" s="270"/>
      <c r="C278" s="270"/>
      <c r="D278" s="270"/>
      <c r="E278" s="270"/>
      <c r="F278" s="270"/>
      <c r="G278" s="270"/>
      <c r="H278" s="270"/>
      <c r="I278" s="270"/>
      <c r="J278" s="270"/>
    </row>
    <row r="279" spans="1:10" ht="16.899999999999999" x14ac:dyDescent="0.5">
      <c r="A279" s="270"/>
      <c r="B279" s="270"/>
      <c r="C279" s="270"/>
      <c r="D279" s="270"/>
      <c r="E279" s="270"/>
      <c r="F279" s="270"/>
      <c r="G279" s="270"/>
      <c r="H279" s="270"/>
      <c r="I279" s="270"/>
      <c r="J279" s="270"/>
    </row>
    <row r="280" spans="1:10" ht="16.899999999999999" x14ac:dyDescent="0.5">
      <c r="A280" s="270"/>
      <c r="B280" s="270"/>
      <c r="C280" s="270"/>
      <c r="D280" s="270"/>
      <c r="E280" s="270"/>
      <c r="F280" s="270"/>
      <c r="G280" s="270"/>
      <c r="H280" s="270"/>
      <c r="I280" s="270"/>
      <c r="J280" s="270"/>
    </row>
    <row r="281" spans="1:10" ht="16.899999999999999" x14ac:dyDescent="0.5">
      <c r="A281" s="270"/>
      <c r="B281" s="270"/>
      <c r="C281" s="270"/>
      <c r="D281" s="270"/>
      <c r="E281" s="270"/>
      <c r="F281" s="270"/>
      <c r="G281" s="270"/>
      <c r="H281" s="270"/>
      <c r="I281" s="270"/>
      <c r="J281" s="270"/>
    </row>
    <row r="282" spans="1:10" ht="16.899999999999999" x14ac:dyDescent="0.5">
      <c r="A282" s="270"/>
      <c r="B282" s="270"/>
      <c r="C282" s="270"/>
      <c r="D282" s="270"/>
      <c r="E282" s="270"/>
      <c r="F282" s="270"/>
      <c r="G282" s="270"/>
      <c r="H282" s="270"/>
      <c r="I282" s="270"/>
      <c r="J282" s="270"/>
    </row>
    <row r="283" spans="1:10" ht="16.899999999999999" x14ac:dyDescent="0.5">
      <c r="A283" s="270"/>
      <c r="B283" s="270"/>
      <c r="C283" s="270"/>
      <c r="D283" s="270"/>
      <c r="E283" s="270"/>
      <c r="F283" s="270"/>
      <c r="G283" s="270"/>
      <c r="H283" s="270"/>
      <c r="I283" s="270"/>
      <c r="J283" s="270"/>
    </row>
    <row r="284" spans="1:10" ht="16.899999999999999" x14ac:dyDescent="0.5">
      <c r="A284" s="270"/>
      <c r="B284" s="270"/>
      <c r="C284" s="270"/>
      <c r="D284" s="270"/>
      <c r="E284" s="270"/>
      <c r="F284" s="270"/>
      <c r="G284" s="270"/>
      <c r="H284" s="270"/>
      <c r="I284" s="270"/>
      <c r="J284" s="270"/>
    </row>
    <row r="285" spans="1:10" ht="16.899999999999999" x14ac:dyDescent="0.5">
      <c r="A285" s="270"/>
      <c r="B285" s="270"/>
      <c r="C285" s="270"/>
      <c r="D285" s="270"/>
      <c r="E285" s="270"/>
      <c r="F285" s="270"/>
      <c r="G285" s="270"/>
      <c r="H285" s="270"/>
      <c r="I285" s="270"/>
      <c r="J285" s="270"/>
    </row>
    <row r="286" spans="1:10" ht="16.899999999999999" x14ac:dyDescent="0.5">
      <c r="A286" s="270"/>
      <c r="B286" s="270"/>
      <c r="C286" s="270"/>
      <c r="D286" s="270"/>
      <c r="E286" s="270"/>
      <c r="F286" s="270"/>
      <c r="G286" s="270"/>
      <c r="H286" s="270"/>
      <c r="I286" s="270"/>
      <c r="J286" s="270"/>
    </row>
    <row r="287" spans="1:10" ht="16.899999999999999" x14ac:dyDescent="0.5">
      <c r="A287" s="270"/>
      <c r="B287" s="270"/>
      <c r="C287" s="270"/>
      <c r="D287" s="270"/>
      <c r="E287" s="270"/>
      <c r="F287" s="270"/>
      <c r="G287" s="270"/>
      <c r="H287" s="270"/>
      <c r="I287" s="270"/>
      <c r="J287" s="270"/>
    </row>
    <row r="288" spans="1:10" ht="16.899999999999999" x14ac:dyDescent="0.5">
      <c r="A288" s="270"/>
      <c r="B288" s="270"/>
      <c r="C288" s="270"/>
      <c r="D288" s="270"/>
      <c r="E288" s="270"/>
      <c r="F288" s="270"/>
      <c r="G288" s="270"/>
      <c r="H288" s="270"/>
      <c r="I288" s="270"/>
      <c r="J288" s="270"/>
    </row>
    <row r="289" spans="1:10" ht="16.899999999999999" x14ac:dyDescent="0.5">
      <c r="A289" s="270"/>
      <c r="B289" s="270"/>
      <c r="C289" s="270"/>
      <c r="D289" s="270"/>
      <c r="E289" s="270"/>
      <c r="F289" s="270"/>
      <c r="G289" s="270"/>
      <c r="H289" s="270"/>
      <c r="I289" s="270"/>
      <c r="J289" s="270"/>
    </row>
    <row r="290" spans="1:10" ht="16.899999999999999" x14ac:dyDescent="0.5">
      <c r="A290" s="270"/>
      <c r="B290" s="270"/>
      <c r="C290" s="270"/>
      <c r="D290" s="270"/>
      <c r="E290" s="270"/>
      <c r="F290" s="270"/>
      <c r="G290" s="270"/>
      <c r="H290" s="270"/>
      <c r="I290" s="270"/>
      <c r="J290" s="270"/>
    </row>
    <row r="291" spans="1:10" ht="16.899999999999999" x14ac:dyDescent="0.5">
      <c r="A291" s="270"/>
      <c r="B291" s="270"/>
      <c r="C291" s="270"/>
      <c r="D291" s="270"/>
      <c r="E291" s="270"/>
      <c r="F291" s="270"/>
      <c r="G291" s="270"/>
      <c r="H291" s="270"/>
      <c r="I291" s="270"/>
      <c r="J291" s="270"/>
    </row>
    <row r="292" spans="1:10" ht="16.899999999999999" x14ac:dyDescent="0.5">
      <c r="A292" s="270"/>
      <c r="B292" s="270"/>
      <c r="C292" s="270"/>
      <c r="D292" s="270"/>
      <c r="E292" s="270"/>
      <c r="F292" s="270"/>
      <c r="G292" s="270"/>
      <c r="H292" s="270"/>
      <c r="I292" s="270"/>
      <c r="J292" s="270"/>
    </row>
    <row r="293" spans="1:10" ht="16.899999999999999" x14ac:dyDescent="0.5">
      <c r="A293" s="270"/>
      <c r="B293" s="270"/>
      <c r="C293" s="270"/>
      <c r="D293" s="270"/>
      <c r="E293" s="270"/>
      <c r="F293" s="270"/>
      <c r="G293" s="270"/>
      <c r="H293" s="270"/>
      <c r="I293" s="270"/>
      <c r="J293" s="270"/>
    </row>
    <row r="294" spans="1:10" ht="16.899999999999999" x14ac:dyDescent="0.5">
      <c r="A294" s="270"/>
      <c r="B294" s="270"/>
      <c r="C294" s="270"/>
      <c r="D294" s="270"/>
      <c r="E294" s="270"/>
      <c r="F294" s="270"/>
      <c r="G294" s="270"/>
      <c r="H294" s="270"/>
      <c r="I294" s="270"/>
      <c r="J294" s="270"/>
    </row>
    <row r="295" spans="1:10" ht="16.899999999999999" x14ac:dyDescent="0.5">
      <c r="A295" s="270"/>
      <c r="B295" s="270"/>
      <c r="C295" s="270"/>
      <c r="D295" s="270"/>
      <c r="E295" s="270"/>
      <c r="F295" s="270"/>
      <c r="G295" s="270"/>
      <c r="H295" s="270"/>
      <c r="I295" s="270"/>
      <c r="J295" s="270"/>
    </row>
    <row r="296" spans="1:10" ht="16.899999999999999" x14ac:dyDescent="0.5">
      <c r="A296" s="270"/>
      <c r="B296" s="270"/>
      <c r="C296" s="270"/>
      <c r="D296" s="270"/>
      <c r="E296" s="270"/>
      <c r="F296" s="270"/>
      <c r="G296" s="270"/>
      <c r="H296" s="270"/>
      <c r="I296" s="270"/>
      <c r="J296" s="270"/>
    </row>
    <row r="297" spans="1:10" ht="16.899999999999999" x14ac:dyDescent="0.5">
      <c r="A297" s="270"/>
      <c r="B297" s="270"/>
      <c r="C297" s="270"/>
      <c r="D297" s="270"/>
      <c r="E297" s="270"/>
      <c r="F297" s="270"/>
      <c r="G297" s="270"/>
      <c r="H297" s="270"/>
      <c r="I297" s="270"/>
      <c r="J297" s="270"/>
    </row>
    <row r="298" spans="1:10" ht="16.899999999999999" x14ac:dyDescent="0.5">
      <c r="A298" s="270"/>
      <c r="B298" s="270"/>
      <c r="C298" s="270"/>
      <c r="D298" s="270"/>
      <c r="E298" s="270"/>
      <c r="F298" s="270"/>
      <c r="G298" s="270"/>
      <c r="H298" s="270"/>
      <c r="I298" s="270"/>
      <c r="J298" s="270"/>
    </row>
    <row r="299" spans="1:10" ht="16.899999999999999" x14ac:dyDescent="0.5">
      <c r="A299" s="270"/>
      <c r="B299" s="270"/>
      <c r="C299" s="270"/>
      <c r="D299" s="270"/>
      <c r="E299" s="270"/>
      <c r="F299" s="270"/>
      <c r="G299" s="270"/>
      <c r="H299" s="270"/>
      <c r="I299" s="270"/>
      <c r="J299" s="270"/>
    </row>
    <row r="300" spans="1:10" ht="16.899999999999999" x14ac:dyDescent="0.5">
      <c r="A300" s="270"/>
      <c r="B300" s="270"/>
      <c r="C300" s="270"/>
      <c r="D300" s="270"/>
      <c r="E300" s="270"/>
      <c r="F300" s="270"/>
      <c r="G300" s="270"/>
      <c r="H300" s="270"/>
      <c r="I300" s="270"/>
      <c r="J300" s="270"/>
    </row>
    <row r="301" spans="1:10" ht="16.899999999999999" x14ac:dyDescent="0.5">
      <c r="A301" s="270"/>
      <c r="B301" s="270"/>
      <c r="C301" s="270"/>
      <c r="D301" s="270"/>
      <c r="E301" s="270"/>
      <c r="F301" s="270"/>
      <c r="G301" s="270"/>
      <c r="H301" s="270"/>
      <c r="I301" s="270"/>
      <c r="J301" s="270"/>
    </row>
    <row r="302" spans="1:10" ht="16.899999999999999" x14ac:dyDescent="0.5">
      <c r="A302" s="270"/>
      <c r="B302" s="270"/>
      <c r="C302" s="270"/>
      <c r="D302" s="270"/>
      <c r="E302" s="270"/>
      <c r="F302" s="270"/>
      <c r="G302" s="270"/>
      <c r="H302" s="270"/>
      <c r="I302" s="270"/>
      <c r="J302" s="270"/>
    </row>
    <row r="303" spans="1:10" ht="16.899999999999999" x14ac:dyDescent="0.5">
      <c r="A303" s="270"/>
      <c r="B303" s="270"/>
      <c r="C303" s="270"/>
      <c r="D303" s="270"/>
      <c r="E303" s="270"/>
      <c r="F303" s="270"/>
      <c r="G303" s="270"/>
      <c r="H303" s="270"/>
      <c r="I303" s="270"/>
      <c r="J303" s="270"/>
    </row>
    <row r="304" spans="1:10" ht="16.899999999999999" x14ac:dyDescent="0.5">
      <c r="A304" s="270"/>
      <c r="B304" s="270"/>
      <c r="C304" s="270"/>
      <c r="D304" s="270"/>
      <c r="E304" s="270"/>
      <c r="F304" s="270"/>
      <c r="G304" s="270"/>
      <c r="H304" s="270"/>
      <c r="I304" s="270"/>
      <c r="J304" s="270"/>
    </row>
    <row r="305" spans="1:10" ht="16.899999999999999" x14ac:dyDescent="0.5">
      <c r="A305" s="270"/>
      <c r="B305" s="270"/>
      <c r="C305" s="270"/>
      <c r="D305" s="270"/>
      <c r="E305" s="270"/>
      <c r="F305" s="270"/>
      <c r="G305" s="270"/>
      <c r="H305" s="270"/>
      <c r="I305" s="270"/>
      <c r="J305" s="270"/>
    </row>
    <row r="306" spans="1:10" ht="16.899999999999999" x14ac:dyDescent="0.5">
      <c r="A306" s="270"/>
      <c r="B306" s="270"/>
      <c r="C306" s="270"/>
      <c r="D306" s="270"/>
      <c r="E306" s="270"/>
      <c r="F306" s="270"/>
      <c r="G306" s="270"/>
      <c r="H306" s="270"/>
      <c r="I306" s="270"/>
      <c r="J306" s="270"/>
    </row>
    <row r="307" spans="1:10" ht="16.899999999999999" x14ac:dyDescent="0.5">
      <c r="A307" s="270"/>
      <c r="B307" s="270"/>
      <c r="C307" s="270"/>
      <c r="D307" s="270"/>
      <c r="E307" s="270"/>
      <c r="F307" s="270"/>
      <c r="G307" s="270"/>
      <c r="H307" s="270"/>
      <c r="I307" s="270"/>
      <c r="J307" s="270"/>
    </row>
    <row r="308" spans="1:10" ht="16.899999999999999" x14ac:dyDescent="0.5">
      <c r="A308" s="270"/>
      <c r="B308" s="270"/>
      <c r="C308" s="270"/>
      <c r="D308" s="270"/>
      <c r="E308" s="270"/>
      <c r="F308" s="270"/>
      <c r="G308" s="270"/>
      <c r="H308" s="270"/>
      <c r="I308" s="270"/>
      <c r="J308" s="270"/>
    </row>
    <row r="309" spans="1:10" ht="16.899999999999999" x14ac:dyDescent="0.5">
      <c r="A309" s="270"/>
      <c r="B309" s="270"/>
      <c r="C309" s="270"/>
      <c r="D309" s="270"/>
      <c r="E309" s="270"/>
      <c r="F309" s="270"/>
      <c r="G309" s="270"/>
      <c r="H309" s="270"/>
      <c r="I309" s="270"/>
      <c r="J309" s="270"/>
    </row>
    <row r="310" spans="1:10" ht="16.899999999999999" x14ac:dyDescent="0.5">
      <c r="A310" s="270"/>
      <c r="B310" s="270"/>
      <c r="C310" s="270"/>
      <c r="D310" s="270"/>
      <c r="E310" s="270"/>
      <c r="F310" s="270"/>
      <c r="G310" s="270"/>
      <c r="H310" s="270"/>
      <c r="I310" s="270"/>
      <c r="J310" s="270"/>
    </row>
    <row r="311" spans="1:10" ht="16.899999999999999" x14ac:dyDescent="0.5">
      <c r="A311" s="270"/>
      <c r="B311" s="270"/>
      <c r="C311" s="270"/>
      <c r="D311" s="270"/>
      <c r="E311" s="270"/>
      <c r="F311" s="270"/>
      <c r="G311" s="270"/>
      <c r="H311" s="270"/>
      <c r="I311" s="270"/>
      <c r="J311" s="270"/>
    </row>
    <row r="312" spans="1:10" ht="16.899999999999999" x14ac:dyDescent="0.5">
      <c r="A312" s="270"/>
      <c r="B312" s="270"/>
      <c r="C312" s="270"/>
      <c r="D312" s="270"/>
      <c r="E312" s="270"/>
      <c r="F312" s="270"/>
      <c r="G312" s="270"/>
      <c r="H312" s="270"/>
      <c r="I312" s="270"/>
      <c r="J312" s="270"/>
    </row>
    <row r="313" spans="1:10" ht="16.899999999999999" x14ac:dyDescent="0.5">
      <c r="A313" s="270"/>
      <c r="B313" s="270"/>
      <c r="C313" s="270"/>
      <c r="D313" s="270"/>
      <c r="E313" s="270"/>
      <c r="F313" s="270"/>
      <c r="G313" s="270"/>
      <c r="H313" s="270"/>
      <c r="I313" s="270"/>
      <c r="J313" s="270"/>
    </row>
    <row r="314" spans="1:10" ht="16.899999999999999" x14ac:dyDescent="0.5">
      <c r="A314" s="270"/>
      <c r="B314" s="270"/>
      <c r="C314" s="270"/>
      <c r="D314" s="270"/>
      <c r="E314" s="270"/>
      <c r="F314" s="270"/>
      <c r="G314" s="270"/>
      <c r="H314" s="270"/>
      <c r="I314" s="270"/>
      <c r="J314" s="270"/>
    </row>
    <row r="315" spans="1:10" ht="16.899999999999999" x14ac:dyDescent="0.5">
      <c r="A315" s="270"/>
      <c r="B315" s="270"/>
      <c r="C315" s="270"/>
      <c r="D315" s="270"/>
      <c r="E315" s="270"/>
      <c r="F315" s="270"/>
      <c r="G315" s="270"/>
      <c r="H315" s="270"/>
      <c r="I315" s="270"/>
      <c r="J315" s="270"/>
    </row>
    <row r="316" spans="1:10" ht="16.899999999999999" x14ac:dyDescent="0.5">
      <c r="A316" s="270"/>
      <c r="B316" s="270"/>
      <c r="C316" s="270"/>
      <c r="D316" s="270"/>
      <c r="E316" s="270"/>
      <c r="F316" s="270"/>
      <c r="G316" s="270"/>
      <c r="H316" s="270"/>
      <c r="I316" s="270"/>
      <c r="J316" s="270"/>
    </row>
    <row r="317" spans="1:10" ht="16.899999999999999" x14ac:dyDescent="0.5">
      <c r="A317" s="270"/>
      <c r="B317" s="270"/>
      <c r="C317" s="270"/>
      <c r="D317" s="270"/>
      <c r="E317" s="270"/>
      <c r="F317" s="270"/>
      <c r="G317" s="270"/>
      <c r="H317" s="270"/>
      <c r="I317" s="270"/>
      <c r="J317" s="270"/>
    </row>
    <row r="318" spans="1:10" ht="16.899999999999999" x14ac:dyDescent="0.5">
      <c r="A318" s="270"/>
      <c r="B318" s="270"/>
      <c r="C318" s="270"/>
      <c r="D318" s="270"/>
      <c r="E318" s="270"/>
      <c r="F318" s="270"/>
      <c r="G318" s="270"/>
      <c r="H318" s="270"/>
      <c r="I318" s="270"/>
      <c r="J318" s="270"/>
    </row>
    <row r="319" spans="1:10" ht="16.899999999999999" x14ac:dyDescent="0.5">
      <c r="A319" s="270"/>
      <c r="B319" s="270"/>
      <c r="C319" s="270"/>
      <c r="D319" s="270"/>
      <c r="E319" s="270"/>
      <c r="F319" s="270"/>
      <c r="G319" s="270"/>
      <c r="H319" s="270"/>
      <c r="I319" s="270"/>
      <c r="J319" s="270"/>
    </row>
    <row r="320" spans="1:10" ht="16.899999999999999" x14ac:dyDescent="0.5">
      <c r="A320" s="270"/>
      <c r="B320" s="270"/>
      <c r="C320" s="270"/>
      <c r="D320" s="270"/>
      <c r="E320" s="270"/>
      <c r="F320" s="270"/>
      <c r="G320" s="270"/>
      <c r="H320" s="270"/>
      <c r="I320" s="270"/>
      <c r="J320" s="270"/>
    </row>
    <row r="321" spans="1:10" ht="16.899999999999999" x14ac:dyDescent="0.5">
      <c r="A321" s="270"/>
      <c r="B321" s="270"/>
      <c r="C321" s="270"/>
      <c r="D321" s="270"/>
      <c r="E321" s="270"/>
      <c r="F321" s="270"/>
      <c r="G321" s="270"/>
      <c r="H321" s="270"/>
      <c r="I321" s="270"/>
      <c r="J321" s="270"/>
    </row>
    <row r="322" spans="1:10" ht="16.899999999999999" x14ac:dyDescent="0.5">
      <c r="A322" s="270"/>
      <c r="B322" s="270"/>
      <c r="C322" s="270"/>
      <c r="D322" s="270"/>
      <c r="E322" s="270"/>
      <c r="F322" s="270"/>
      <c r="G322" s="270"/>
      <c r="H322" s="270"/>
      <c r="I322" s="270"/>
      <c r="J322" s="270"/>
    </row>
    <row r="323" spans="1:10" ht="16.899999999999999" x14ac:dyDescent="0.5">
      <c r="A323" s="270"/>
      <c r="B323" s="270"/>
      <c r="C323" s="270"/>
      <c r="D323" s="270"/>
      <c r="E323" s="270"/>
      <c r="F323" s="270"/>
      <c r="G323" s="270"/>
      <c r="H323" s="270"/>
      <c r="I323" s="270"/>
      <c r="J323" s="270"/>
    </row>
    <row r="324" spans="1:10" ht="16.899999999999999" x14ac:dyDescent="0.5">
      <c r="A324" s="270"/>
      <c r="B324" s="270"/>
      <c r="C324" s="270"/>
      <c r="D324" s="270"/>
      <c r="E324" s="270"/>
      <c r="F324" s="270"/>
      <c r="G324" s="270"/>
      <c r="H324" s="270"/>
      <c r="I324" s="270"/>
      <c r="J324" s="270"/>
    </row>
    <row r="325" spans="1:10" ht="16.899999999999999" x14ac:dyDescent="0.5">
      <c r="A325" s="270"/>
      <c r="B325" s="270"/>
      <c r="C325" s="270"/>
      <c r="D325" s="270"/>
      <c r="E325" s="270"/>
      <c r="F325" s="270"/>
      <c r="G325" s="270"/>
      <c r="H325" s="270"/>
      <c r="I325" s="270"/>
      <c r="J325" s="270"/>
    </row>
    <row r="326" spans="1:10" ht="16.899999999999999" x14ac:dyDescent="0.5">
      <c r="A326" s="270"/>
      <c r="B326" s="270"/>
      <c r="C326" s="270"/>
      <c r="D326" s="270"/>
      <c r="E326" s="270"/>
      <c r="F326" s="270"/>
      <c r="G326" s="270"/>
      <c r="H326" s="270"/>
      <c r="I326" s="270"/>
      <c r="J326" s="270"/>
    </row>
    <row r="327" spans="1:10" ht="16.899999999999999" x14ac:dyDescent="0.5">
      <c r="A327" s="270"/>
      <c r="B327" s="270"/>
      <c r="C327" s="270"/>
      <c r="D327" s="270"/>
      <c r="E327" s="270"/>
      <c r="F327" s="270"/>
      <c r="G327" s="270"/>
      <c r="H327" s="270"/>
      <c r="I327" s="270"/>
      <c r="J327" s="270"/>
    </row>
    <row r="328" spans="1:10" ht="16.899999999999999" x14ac:dyDescent="0.5">
      <c r="A328" s="270"/>
      <c r="B328" s="270"/>
      <c r="C328" s="270"/>
      <c r="D328" s="270"/>
      <c r="E328" s="270"/>
      <c r="F328" s="270"/>
      <c r="G328" s="270"/>
      <c r="H328" s="270"/>
      <c r="I328" s="270"/>
      <c r="J328" s="270"/>
    </row>
    <row r="329" spans="1:10" ht="16.899999999999999" x14ac:dyDescent="0.5">
      <c r="A329" s="270"/>
      <c r="B329" s="270"/>
      <c r="C329" s="270"/>
      <c r="D329" s="270"/>
      <c r="E329" s="270"/>
      <c r="F329" s="270"/>
      <c r="G329" s="270"/>
      <c r="H329" s="270"/>
      <c r="I329" s="270"/>
      <c r="J329" s="270"/>
    </row>
    <row r="330" spans="1:10" ht="16.899999999999999" x14ac:dyDescent="0.5">
      <c r="A330" s="270"/>
      <c r="B330" s="270"/>
      <c r="C330" s="270"/>
      <c r="D330" s="270"/>
      <c r="E330" s="270"/>
      <c r="F330" s="270"/>
      <c r="G330" s="270"/>
      <c r="H330" s="270"/>
      <c r="I330" s="270"/>
      <c r="J330" s="270"/>
    </row>
    <row r="331" spans="1:10" ht="16.899999999999999" x14ac:dyDescent="0.5">
      <c r="A331" s="270"/>
      <c r="B331" s="270"/>
      <c r="C331" s="270"/>
      <c r="D331" s="270"/>
      <c r="E331" s="270"/>
      <c r="F331" s="270"/>
      <c r="G331" s="270"/>
      <c r="H331" s="270"/>
      <c r="I331" s="270"/>
      <c r="J331" s="270"/>
    </row>
    <row r="332" spans="1:10" ht="16.899999999999999" x14ac:dyDescent="0.5">
      <c r="A332" s="270"/>
      <c r="B332" s="270"/>
      <c r="C332" s="270"/>
      <c r="D332" s="270"/>
      <c r="E332" s="270"/>
      <c r="F332" s="270"/>
      <c r="G332" s="270"/>
      <c r="H332" s="270"/>
      <c r="I332" s="270"/>
      <c r="J332" s="270"/>
    </row>
    <row r="333" spans="1:10" ht="16.899999999999999" x14ac:dyDescent="0.5">
      <c r="A333" s="270"/>
      <c r="B333" s="270"/>
      <c r="C333" s="270"/>
      <c r="D333" s="270"/>
      <c r="E333" s="270"/>
      <c r="F333" s="270"/>
      <c r="G333" s="270"/>
      <c r="H333" s="270"/>
      <c r="I333" s="270"/>
      <c r="J333" s="270"/>
    </row>
    <row r="334" spans="1:10" ht="16.899999999999999" x14ac:dyDescent="0.5">
      <c r="A334" s="270"/>
      <c r="B334" s="270"/>
      <c r="C334" s="270"/>
      <c r="D334" s="270"/>
      <c r="E334" s="270"/>
      <c r="F334" s="270"/>
      <c r="G334" s="270"/>
      <c r="H334" s="270"/>
      <c r="I334" s="270"/>
      <c r="J334" s="270"/>
    </row>
    <row r="335" spans="1:10" ht="16.899999999999999" x14ac:dyDescent="0.5">
      <c r="A335" s="270"/>
      <c r="B335" s="270"/>
      <c r="C335" s="270"/>
      <c r="D335" s="270"/>
      <c r="E335" s="270"/>
      <c r="F335" s="270"/>
      <c r="G335" s="270"/>
      <c r="H335" s="270"/>
      <c r="I335" s="270"/>
      <c r="J335" s="270"/>
    </row>
    <row r="336" spans="1:10" ht="16.899999999999999" x14ac:dyDescent="0.5">
      <c r="A336" s="270"/>
      <c r="B336" s="270"/>
      <c r="C336" s="270"/>
      <c r="D336" s="270"/>
      <c r="E336" s="270"/>
      <c r="F336" s="270"/>
      <c r="G336" s="270"/>
      <c r="H336" s="270"/>
      <c r="I336" s="270"/>
      <c r="J336" s="270"/>
    </row>
    <row r="337" spans="1:10" ht="16.899999999999999" x14ac:dyDescent="0.5">
      <c r="A337" s="270"/>
      <c r="B337" s="270"/>
      <c r="C337" s="270"/>
      <c r="D337" s="270"/>
      <c r="E337" s="270"/>
      <c r="F337" s="270"/>
      <c r="G337" s="270"/>
      <c r="H337" s="270"/>
      <c r="I337" s="270"/>
      <c r="J337" s="270"/>
    </row>
    <row r="338" spans="1:10" ht="16.899999999999999" x14ac:dyDescent="0.5">
      <c r="A338" s="270"/>
      <c r="B338" s="270"/>
      <c r="C338" s="270"/>
      <c r="D338" s="270"/>
      <c r="E338" s="270"/>
      <c r="F338" s="270"/>
      <c r="G338" s="270"/>
      <c r="H338" s="270"/>
      <c r="I338" s="270"/>
      <c r="J338" s="270"/>
    </row>
    <row r="339" spans="1:10" ht="16.899999999999999" x14ac:dyDescent="0.5">
      <c r="A339" s="270"/>
      <c r="B339" s="270"/>
      <c r="C339" s="270"/>
      <c r="D339" s="270"/>
      <c r="E339" s="270"/>
      <c r="F339" s="270"/>
      <c r="G339" s="270"/>
      <c r="H339" s="270"/>
      <c r="I339" s="270"/>
      <c r="J339" s="270"/>
    </row>
    <row r="340" spans="1:10" ht="16.899999999999999" x14ac:dyDescent="0.5">
      <c r="A340" s="270"/>
      <c r="B340" s="270"/>
      <c r="C340" s="270"/>
      <c r="D340" s="270"/>
      <c r="E340" s="270"/>
      <c r="F340" s="270"/>
      <c r="G340" s="270"/>
      <c r="H340" s="270"/>
      <c r="I340" s="270"/>
      <c r="J340" s="270"/>
    </row>
    <row r="341" spans="1:10" ht="16.899999999999999" x14ac:dyDescent="0.5">
      <c r="A341" s="270"/>
      <c r="B341" s="270"/>
      <c r="C341" s="270"/>
      <c r="D341" s="270"/>
      <c r="E341" s="270"/>
      <c r="F341" s="270"/>
      <c r="G341" s="270"/>
      <c r="H341" s="270"/>
      <c r="I341" s="270"/>
      <c r="J341" s="270"/>
    </row>
    <row r="342" spans="1:10" ht="16.899999999999999" x14ac:dyDescent="0.5">
      <c r="A342" s="270"/>
      <c r="B342" s="270"/>
      <c r="C342" s="270"/>
      <c r="D342" s="270"/>
      <c r="E342" s="270"/>
      <c r="F342" s="270"/>
      <c r="G342" s="270"/>
      <c r="H342" s="270"/>
      <c r="I342" s="270"/>
      <c r="J342" s="270"/>
    </row>
    <row r="343" spans="1:10" ht="16.899999999999999" x14ac:dyDescent="0.5">
      <c r="A343" s="270"/>
      <c r="B343" s="270"/>
      <c r="C343" s="270"/>
      <c r="D343" s="270"/>
      <c r="E343" s="270"/>
      <c r="F343" s="270"/>
      <c r="G343" s="270"/>
      <c r="H343" s="270"/>
      <c r="I343" s="270"/>
      <c r="J343" s="270"/>
    </row>
    <row r="344" spans="1:10" ht="16.899999999999999" x14ac:dyDescent="0.5">
      <c r="A344" s="270"/>
      <c r="B344" s="270"/>
      <c r="C344" s="270"/>
      <c r="D344" s="270"/>
      <c r="E344" s="270"/>
      <c r="F344" s="270"/>
      <c r="G344" s="270"/>
      <c r="H344" s="270"/>
      <c r="I344" s="270"/>
      <c r="J344" s="270"/>
    </row>
    <row r="345" spans="1:10" ht="16.899999999999999" x14ac:dyDescent="0.5">
      <c r="A345" s="270"/>
      <c r="B345" s="270"/>
      <c r="C345" s="270"/>
      <c r="D345" s="270"/>
      <c r="E345" s="270"/>
      <c r="F345" s="270"/>
      <c r="G345" s="270"/>
      <c r="H345" s="270"/>
      <c r="I345" s="270"/>
      <c r="J345" s="270"/>
    </row>
    <row r="346" spans="1:10" ht="16.899999999999999" x14ac:dyDescent="0.5">
      <c r="A346" s="270"/>
      <c r="B346" s="270"/>
      <c r="C346" s="270"/>
      <c r="D346" s="270"/>
      <c r="E346" s="270"/>
      <c r="F346" s="270"/>
      <c r="G346" s="270"/>
      <c r="H346" s="270"/>
      <c r="I346" s="270"/>
      <c r="J346" s="270"/>
    </row>
    <row r="347" spans="1:10" ht="16.899999999999999" x14ac:dyDescent="0.5">
      <c r="A347" s="270"/>
      <c r="B347" s="270"/>
      <c r="C347" s="270"/>
      <c r="D347" s="270"/>
      <c r="E347" s="270"/>
      <c r="F347" s="270"/>
      <c r="G347" s="270"/>
      <c r="H347" s="270"/>
      <c r="I347" s="270"/>
      <c r="J347" s="270"/>
    </row>
    <row r="348" spans="1:10" ht="16.899999999999999" x14ac:dyDescent="0.5">
      <c r="A348" s="270"/>
      <c r="B348" s="270"/>
      <c r="C348" s="270"/>
      <c r="D348" s="270"/>
      <c r="E348" s="270"/>
      <c r="F348" s="270"/>
      <c r="G348" s="270"/>
      <c r="H348" s="270"/>
      <c r="I348" s="270"/>
      <c r="J348" s="270"/>
    </row>
    <row r="349" spans="1:10" ht="16.899999999999999" x14ac:dyDescent="0.5">
      <c r="A349" s="270"/>
      <c r="B349" s="270"/>
      <c r="C349" s="270"/>
      <c r="D349" s="270"/>
      <c r="E349" s="270"/>
      <c r="F349" s="270"/>
      <c r="G349" s="270"/>
      <c r="H349" s="270"/>
      <c r="I349" s="270"/>
      <c r="J349" s="270"/>
    </row>
    <row r="350" spans="1:10" ht="16.899999999999999" x14ac:dyDescent="0.5">
      <c r="A350" s="270"/>
      <c r="B350" s="270"/>
      <c r="C350" s="270"/>
      <c r="D350" s="270"/>
      <c r="E350" s="270"/>
      <c r="F350" s="270"/>
      <c r="G350" s="270"/>
      <c r="H350" s="270"/>
      <c r="I350" s="270"/>
      <c r="J350" s="270"/>
    </row>
    <row r="351" spans="1:10" ht="16.899999999999999" x14ac:dyDescent="0.5">
      <c r="A351" s="270"/>
      <c r="B351" s="270"/>
      <c r="C351" s="270"/>
      <c r="D351" s="270"/>
      <c r="E351" s="270"/>
      <c r="F351" s="270"/>
      <c r="G351" s="270"/>
      <c r="H351" s="270"/>
      <c r="I351" s="270"/>
      <c r="J351" s="270"/>
    </row>
    <row r="352" spans="1:10" ht="16.899999999999999" x14ac:dyDescent="0.5">
      <c r="A352" s="270"/>
      <c r="B352" s="270"/>
      <c r="C352" s="270"/>
      <c r="D352" s="270"/>
      <c r="E352" s="270"/>
      <c r="F352" s="270"/>
      <c r="G352" s="270"/>
      <c r="H352" s="270"/>
      <c r="I352" s="270"/>
      <c r="J352" s="270"/>
    </row>
    <row r="353" spans="1:10" ht="16.899999999999999" x14ac:dyDescent="0.5">
      <c r="A353" s="270"/>
      <c r="B353" s="270"/>
      <c r="C353" s="270"/>
      <c r="D353" s="270"/>
      <c r="E353" s="270"/>
      <c r="F353" s="270"/>
      <c r="G353" s="270"/>
      <c r="H353" s="270"/>
      <c r="I353" s="270"/>
      <c r="J353" s="270"/>
    </row>
    <row r="354" spans="1:10" ht="16.899999999999999" x14ac:dyDescent="0.5">
      <c r="A354" s="270"/>
      <c r="B354" s="270"/>
      <c r="C354" s="270"/>
      <c r="D354" s="270"/>
      <c r="E354" s="270"/>
      <c r="F354" s="270"/>
      <c r="G354" s="270"/>
      <c r="H354" s="270"/>
      <c r="I354" s="270"/>
      <c r="J354" s="270"/>
    </row>
    <row r="355" spans="1:10" ht="16.899999999999999" x14ac:dyDescent="0.5">
      <c r="A355" s="270"/>
      <c r="B355" s="270"/>
      <c r="C355" s="270"/>
      <c r="D355" s="270"/>
      <c r="E355" s="270"/>
      <c r="F355" s="270"/>
      <c r="G355" s="270"/>
      <c r="H355" s="270"/>
      <c r="I355" s="270"/>
      <c r="J355" s="270"/>
    </row>
    <row r="356" spans="1:10" ht="16.899999999999999" x14ac:dyDescent="0.5">
      <c r="A356" s="270"/>
      <c r="B356" s="270"/>
      <c r="C356" s="270"/>
      <c r="D356" s="270"/>
      <c r="E356" s="270"/>
      <c r="F356" s="270"/>
      <c r="G356" s="270"/>
      <c r="H356" s="270"/>
      <c r="I356" s="270"/>
      <c r="J356" s="270"/>
    </row>
    <row r="357" spans="1:10" ht="16.899999999999999" x14ac:dyDescent="0.5">
      <c r="A357" s="270"/>
      <c r="B357" s="270"/>
      <c r="C357" s="270"/>
      <c r="D357" s="270"/>
      <c r="E357" s="270"/>
      <c r="F357" s="270"/>
      <c r="G357" s="270"/>
      <c r="H357" s="270"/>
      <c r="I357" s="270"/>
      <c r="J357" s="270"/>
    </row>
    <row r="358" spans="1:10" ht="16.899999999999999" x14ac:dyDescent="0.5">
      <c r="A358" s="270"/>
      <c r="B358" s="270"/>
      <c r="C358" s="270"/>
      <c r="D358" s="270"/>
      <c r="E358" s="270"/>
      <c r="F358" s="270"/>
      <c r="G358" s="270"/>
      <c r="H358" s="270"/>
      <c r="I358" s="270"/>
      <c r="J358" s="270"/>
    </row>
    <row r="359" spans="1:10" ht="16.899999999999999" x14ac:dyDescent="0.5">
      <c r="A359" s="270"/>
      <c r="B359" s="270"/>
      <c r="C359" s="270"/>
      <c r="D359" s="270"/>
      <c r="E359" s="270"/>
      <c r="F359" s="270"/>
      <c r="G359" s="270"/>
      <c r="H359" s="270"/>
      <c r="I359" s="270"/>
      <c r="J359" s="270"/>
    </row>
    <row r="360" spans="1:10" ht="16.899999999999999" x14ac:dyDescent="0.5">
      <c r="A360" s="270"/>
      <c r="B360" s="270"/>
      <c r="C360" s="270"/>
      <c r="D360" s="270"/>
      <c r="E360" s="270"/>
      <c r="F360" s="270"/>
      <c r="G360" s="270"/>
      <c r="H360" s="270"/>
      <c r="I360" s="270"/>
      <c r="J360" s="270"/>
    </row>
    <row r="361" spans="1:10" ht="16.899999999999999" x14ac:dyDescent="0.5">
      <c r="A361" s="270"/>
      <c r="B361" s="270"/>
      <c r="C361" s="270"/>
      <c r="D361" s="270"/>
      <c r="E361" s="270"/>
      <c r="F361" s="270"/>
      <c r="G361" s="270"/>
      <c r="H361" s="270"/>
      <c r="I361" s="270"/>
      <c r="J361" s="270"/>
    </row>
    <row r="362" spans="1:10" ht="16.899999999999999" x14ac:dyDescent="0.5">
      <c r="A362" s="270"/>
      <c r="B362" s="270"/>
      <c r="C362" s="270"/>
      <c r="D362" s="270"/>
      <c r="E362" s="270"/>
      <c r="F362" s="270"/>
      <c r="G362" s="270"/>
      <c r="H362" s="270"/>
      <c r="I362" s="270"/>
      <c r="J362" s="270"/>
    </row>
    <row r="363" spans="1:10" ht="16.899999999999999" x14ac:dyDescent="0.5">
      <c r="A363" s="270"/>
      <c r="B363" s="270"/>
      <c r="C363" s="270"/>
      <c r="D363" s="270"/>
      <c r="E363" s="270"/>
      <c r="F363" s="270"/>
      <c r="G363" s="270"/>
      <c r="H363" s="270"/>
      <c r="I363" s="270"/>
      <c r="J363" s="270"/>
    </row>
    <row r="364" spans="1:10" ht="16.899999999999999" x14ac:dyDescent="0.5">
      <c r="A364" s="270"/>
      <c r="B364" s="270"/>
      <c r="C364" s="270"/>
      <c r="D364" s="270"/>
      <c r="E364" s="270"/>
      <c r="F364" s="270"/>
      <c r="G364" s="270"/>
      <c r="H364" s="270"/>
      <c r="I364" s="270"/>
      <c r="J364" s="270"/>
    </row>
    <row r="365" spans="1:10" ht="16.899999999999999" x14ac:dyDescent="0.5">
      <c r="A365" s="270"/>
      <c r="B365" s="270"/>
      <c r="C365" s="270"/>
      <c r="D365" s="270"/>
      <c r="E365" s="270"/>
      <c r="F365" s="270"/>
      <c r="G365" s="270"/>
      <c r="H365" s="270"/>
      <c r="I365" s="270"/>
      <c r="J365" s="270"/>
    </row>
    <row r="366" spans="1:10" ht="16.899999999999999" x14ac:dyDescent="0.5">
      <c r="A366" s="270"/>
      <c r="B366" s="270"/>
      <c r="C366" s="270"/>
      <c r="D366" s="270"/>
      <c r="E366" s="270"/>
      <c r="F366" s="270"/>
      <c r="G366" s="270"/>
      <c r="H366" s="270"/>
      <c r="I366" s="270"/>
      <c r="J366" s="270"/>
    </row>
    <row r="367" spans="1:10" ht="16.899999999999999" x14ac:dyDescent="0.5">
      <c r="A367" s="270"/>
      <c r="B367" s="270"/>
      <c r="C367" s="270"/>
      <c r="D367" s="270"/>
      <c r="E367" s="270"/>
      <c r="F367" s="270"/>
      <c r="G367" s="270"/>
      <c r="H367" s="270"/>
      <c r="I367" s="270"/>
      <c r="J367" s="270"/>
    </row>
    <row r="368" spans="1:10" ht="16.899999999999999" x14ac:dyDescent="0.5">
      <c r="A368" s="270"/>
      <c r="B368" s="270"/>
      <c r="C368" s="270"/>
      <c r="D368" s="270"/>
      <c r="E368" s="270"/>
      <c r="F368" s="270"/>
      <c r="G368" s="270"/>
      <c r="H368" s="270"/>
      <c r="I368" s="270"/>
      <c r="J368" s="270"/>
    </row>
    <row r="369" spans="1:10" ht="16.899999999999999" x14ac:dyDescent="0.5">
      <c r="A369" s="270"/>
      <c r="B369" s="270"/>
      <c r="C369" s="270"/>
      <c r="D369" s="270"/>
      <c r="E369" s="270"/>
      <c r="F369" s="270"/>
      <c r="G369" s="270"/>
      <c r="H369" s="270"/>
      <c r="I369" s="270"/>
      <c r="J369" s="270"/>
    </row>
    <row r="370" spans="1:10" ht="16.899999999999999" x14ac:dyDescent="0.5">
      <c r="A370" s="270"/>
      <c r="B370" s="270"/>
      <c r="C370" s="270"/>
      <c r="D370" s="270"/>
      <c r="E370" s="270"/>
      <c r="F370" s="270"/>
      <c r="G370" s="270"/>
      <c r="H370" s="270"/>
      <c r="I370" s="270"/>
      <c r="J370" s="270"/>
    </row>
    <row r="371" spans="1:10" ht="16.899999999999999" x14ac:dyDescent="0.5">
      <c r="A371" s="270"/>
      <c r="B371" s="270"/>
      <c r="C371" s="270"/>
      <c r="D371" s="270"/>
      <c r="E371" s="270"/>
      <c r="F371" s="270"/>
      <c r="G371" s="270"/>
      <c r="H371" s="270"/>
      <c r="I371" s="270"/>
      <c r="J371" s="270"/>
    </row>
    <row r="372" spans="1:10" ht="16.899999999999999" x14ac:dyDescent="0.5">
      <c r="A372" s="270"/>
      <c r="B372" s="270"/>
      <c r="C372" s="270"/>
      <c r="D372" s="270"/>
      <c r="E372" s="270"/>
      <c r="F372" s="270"/>
      <c r="G372" s="270"/>
      <c r="H372" s="270"/>
      <c r="I372" s="270"/>
      <c r="J372" s="270"/>
    </row>
    <row r="373" spans="1:10" ht="16.899999999999999" x14ac:dyDescent="0.5">
      <c r="A373" s="270"/>
      <c r="B373" s="270"/>
      <c r="C373" s="270"/>
      <c r="D373" s="270"/>
      <c r="E373" s="270"/>
      <c r="F373" s="270"/>
      <c r="G373" s="270"/>
      <c r="H373" s="270"/>
      <c r="I373" s="270"/>
      <c r="J373" s="270"/>
    </row>
    <row r="374" spans="1:10" ht="16.899999999999999" x14ac:dyDescent="0.5">
      <c r="A374" s="270"/>
      <c r="B374" s="270"/>
      <c r="C374" s="270"/>
      <c r="D374" s="270"/>
      <c r="E374" s="270"/>
      <c r="F374" s="270"/>
      <c r="G374" s="270"/>
      <c r="H374" s="270"/>
      <c r="I374" s="270"/>
      <c r="J374" s="270"/>
    </row>
    <row r="375" spans="1:10" ht="16.899999999999999" x14ac:dyDescent="0.5">
      <c r="A375" s="270"/>
      <c r="B375" s="270"/>
      <c r="C375" s="270"/>
      <c r="D375" s="270"/>
      <c r="E375" s="270"/>
      <c r="F375" s="270"/>
      <c r="G375" s="270"/>
      <c r="H375" s="270"/>
      <c r="I375" s="270"/>
      <c r="J375" s="270"/>
    </row>
    <row r="376" spans="1:10" ht="16.899999999999999" x14ac:dyDescent="0.5">
      <c r="A376" s="270"/>
      <c r="B376" s="270"/>
      <c r="C376" s="270"/>
      <c r="D376" s="270"/>
      <c r="E376" s="270"/>
      <c r="F376" s="270"/>
      <c r="G376" s="270"/>
      <c r="H376" s="270"/>
      <c r="I376" s="270"/>
      <c r="J376" s="270"/>
    </row>
    <row r="377" spans="1:10" ht="16.899999999999999" x14ac:dyDescent="0.5">
      <c r="A377" s="270"/>
      <c r="B377" s="270"/>
      <c r="C377" s="270"/>
      <c r="D377" s="270"/>
      <c r="E377" s="270"/>
      <c r="F377" s="270"/>
      <c r="G377" s="270"/>
      <c r="H377" s="270"/>
      <c r="I377" s="270"/>
      <c r="J377" s="270"/>
    </row>
    <row r="378" spans="1:10" ht="16.899999999999999" x14ac:dyDescent="0.5">
      <c r="A378" s="270"/>
      <c r="B378" s="270"/>
      <c r="C378" s="270"/>
      <c r="D378" s="270"/>
      <c r="E378" s="270"/>
      <c r="F378" s="270"/>
      <c r="G378" s="270"/>
      <c r="H378" s="270"/>
      <c r="I378" s="270"/>
      <c r="J378" s="270"/>
    </row>
    <row r="379" spans="1:10" ht="16.899999999999999" x14ac:dyDescent="0.5">
      <c r="A379" s="270"/>
      <c r="B379" s="270"/>
      <c r="C379" s="270"/>
      <c r="D379" s="270"/>
      <c r="E379" s="270"/>
      <c r="F379" s="270"/>
      <c r="G379" s="270"/>
      <c r="H379" s="270"/>
      <c r="I379" s="270"/>
      <c r="J379" s="270"/>
    </row>
    <row r="380" spans="1:10" ht="16.899999999999999" x14ac:dyDescent="0.5">
      <c r="A380" s="270"/>
      <c r="B380" s="270"/>
      <c r="C380" s="270"/>
      <c r="D380" s="270"/>
      <c r="E380" s="270"/>
      <c r="F380" s="270"/>
      <c r="G380" s="270"/>
      <c r="H380" s="270"/>
      <c r="I380" s="270"/>
      <c r="J380" s="270"/>
    </row>
    <row r="381" spans="1:10" ht="16.899999999999999" x14ac:dyDescent="0.5">
      <c r="A381" s="270"/>
      <c r="B381" s="270"/>
      <c r="C381" s="270"/>
      <c r="D381" s="270"/>
      <c r="E381" s="270"/>
      <c r="F381" s="270"/>
      <c r="G381" s="270"/>
      <c r="H381" s="270"/>
      <c r="I381" s="270"/>
      <c r="J381" s="270"/>
    </row>
    <row r="382" spans="1:10" ht="16.899999999999999" x14ac:dyDescent="0.5">
      <c r="A382" s="270"/>
      <c r="B382" s="270"/>
      <c r="C382" s="270"/>
      <c r="D382" s="270"/>
      <c r="E382" s="270"/>
      <c r="F382" s="270"/>
      <c r="G382" s="270"/>
      <c r="H382" s="270"/>
      <c r="I382" s="270"/>
      <c r="J382" s="270"/>
    </row>
    <row r="383" spans="1:10" ht="16.899999999999999" x14ac:dyDescent="0.5">
      <c r="A383" s="270"/>
      <c r="B383" s="270"/>
      <c r="C383" s="270"/>
      <c r="D383" s="270"/>
      <c r="E383" s="270"/>
      <c r="F383" s="270"/>
      <c r="G383" s="270"/>
      <c r="H383" s="270"/>
      <c r="I383" s="270"/>
      <c r="J383" s="270"/>
    </row>
    <row r="384" spans="1:10" ht="16.899999999999999" x14ac:dyDescent="0.5">
      <c r="A384" s="270"/>
      <c r="B384" s="270"/>
      <c r="C384" s="270"/>
      <c r="D384" s="270"/>
      <c r="E384" s="270"/>
      <c r="F384" s="270"/>
      <c r="G384" s="270"/>
      <c r="H384" s="270"/>
      <c r="I384" s="270"/>
      <c r="J384" s="270"/>
    </row>
    <row r="385" spans="1:10" ht="16.899999999999999" x14ac:dyDescent="0.5">
      <c r="A385" s="270"/>
      <c r="B385" s="270"/>
      <c r="C385" s="270"/>
      <c r="D385" s="270"/>
      <c r="E385" s="270"/>
      <c r="F385" s="270"/>
      <c r="G385" s="270"/>
      <c r="H385" s="270"/>
      <c r="I385" s="270"/>
      <c r="J385" s="270"/>
    </row>
    <row r="386" spans="1:10" ht="16.899999999999999" x14ac:dyDescent="0.5">
      <c r="A386" s="270"/>
      <c r="B386" s="270"/>
      <c r="C386" s="270"/>
      <c r="D386" s="270"/>
      <c r="E386" s="270"/>
      <c r="F386" s="270"/>
      <c r="G386" s="270"/>
      <c r="H386" s="270"/>
      <c r="I386" s="270"/>
      <c r="J386" s="270"/>
    </row>
    <row r="387" spans="1:10" ht="16.899999999999999" x14ac:dyDescent="0.5">
      <c r="A387" s="270"/>
      <c r="B387" s="270"/>
      <c r="C387" s="270"/>
      <c r="D387" s="270"/>
      <c r="E387" s="270"/>
      <c r="F387" s="270"/>
      <c r="G387" s="270"/>
      <c r="H387" s="270"/>
      <c r="I387" s="270"/>
      <c r="J387" s="270"/>
    </row>
    <row r="388" spans="1:10" ht="16.899999999999999" x14ac:dyDescent="0.5">
      <c r="A388" s="270"/>
      <c r="B388" s="270"/>
      <c r="C388" s="270"/>
      <c r="D388" s="270"/>
      <c r="E388" s="270"/>
      <c r="F388" s="270"/>
      <c r="G388" s="270"/>
      <c r="H388" s="270"/>
      <c r="I388" s="270"/>
      <c r="J388" s="270"/>
    </row>
    <row r="389" spans="1:10" ht="16.899999999999999" x14ac:dyDescent="0.5">
      <c r="A389" s="270"/>
      <c r="B389" s="270"/>
      <c r="C389" s="270"/>
      <c r="D389" s="270"/>
      <c r="E389" s="270"/>
      <c r="F389" s="270"/>
      <c r="G389" s="270"/>
      <c r="H389" s="270"/>
      <c r="I389" s="270"/>
      <c r="J389" s="270"/>
    </row>
    <row r="390" spans="1:10" ht="16.899999999999999" x14ac:dyDescent="0.5">
      <c r="A390" s="270"/>
      <c r="B390" s="270"/>
      <c r="C390" s="270"/>
      <c r="D390" s="270"/>
      <c r="E390" s="270"/>
      <c r="F390" s="270"/>
      <c r="G390" s="270"/>
      <c r="H390" s="270"/>
      <c r="I390" s="270"/>
      <c r="J390" s="270"/>
    </row>
    <row r="391" spans="1:10" ht="16.899999999999999" x14ac:dyDescent="0.5">
      <c r="A391" s="270"/>
      <c r="B391" s="270"/>
      <c r="C391" s="270"/>
      <c r="D391" s="270"/>
      <c r="E391" s="270"/>
      <c r="F391" s="270"/>
      <c r="G391" s="270"/>
      <c r="H391" s="270"/>
      <c r="I391" s="270"/>
      <c r="J391" s="270"/>
    </row>
    <row r="392" spans="1:10" ht="16.899999999999999" x14ac:dyDescent="0.5">
      <c r="A392" s="270"/>
      <c r="B392" s="270"/>
      <c r="C392" s="270"/>
      <c r="D392" s="270"/>
      <c r="E392" s="270"/>
      <c r="F392" s="270"/>
      <c r="G392" s="270"/>
      <c r="H392" s="270"/>
      <c r="I392" s="270"/>
      <c r="J392" s="270"/>
    </row>
    <row r="393" spans="1:10" ht="16.899999999999999" x14ac:dyDescent="0.5">
      <c r="A393" s="270"/>
      <c r="B393" s="270"/>
      <c r="C393" s="270"/>
      <c r="D393" s="270"/>
      <c r="E393" s="270"/>
      <c r="F393" s="270"/>
      <c r="G393" s="270"/>
      <c r="H393" s="270"/>
      <c r="I393" s="270"/>
      <c r="J393" s="270"/>
    </row>
    <row r="394" spans="1:10" ht="16.899999999999999" x14ac:dyDescent="0.5">
      <c r="A394" s="270"/>
      <c r="B394" s="270"/>
      <c r="C394" s="270"/>
      <c r="D394" s="270"/>
      <c r="E394" s="270"/>
      <c r="F394" s="270"/>
      <c r="G394" s="270"/>
      <c r="H394" s="270"/>
      <c r="I394" s="270"/>
      <c r="J394" s="270"/>
    </row>
    <row r="395" spans="1:10" ht="16.899999999999999" x14ac:dyDescent="0.5">
      <c r="A395" s="270"/>
      <c r="B395" s="270"/>
      <c r="C395" s="270"/>
      <c r="D395" s="270"/>
      <c r="E395" s="270"/>
      <c r="F395" s="270"/>
      <c r="G395" s="270"/>
      <c r="H395" s="270"/>
      <c r="I395" s="270"/>
      <c r="J395" s="270"/>
    </row>
    <row r="396" spans="1:10" ht="16.899999999999999" x14ac:dyDescent="0.5">
      <c r="A396" s="270"/>
      <c r="B396" s="270"/>
      <c r="C396" s="270"/>
      <c r="D396" s="270"/>
      <c r="E396" s="270"/>
      <c r="F396" s="270"/>
      <c r="G396" s="270"/>
      <c r="H396" s="270"/>
      <c r="I396" s="270"/>
      <c r="J396" s="270"/>
    </row>
    <row r="397" spans="1:10" ht="16.899999999999999" x14ac:dyDescent="0.5">
      <c r="A397" s="270"/>
      <c r="B397" s="270"/>
      <c r="C397" s="270"/>
      <c r="D397" s="270"/>
      <c r="E397" s="270"/>
      <c r="F397" s="270"/>
      <c r="G397" s="270"/>
      <c r="H397" s="270"/>
      <c r="I397" s="270"/>
      <c r="J397" s="270"/>
    </row>
    <row r="398" spans="1:10" ht="16.899999999999999" x14ac:dyDescent="0.5">
      <c r="A398" s="270"/>
      <c r="B398" s="270"/>
      <c r="C398" s="270"/>
      <c r="D398" s="270"/>
      <c r="E398" s="270"/>
      <c r="F398" s="270"/>
      <c r="G398" s="270"/>
      <c r="H398" s="270"/>
      <c r="I398" s="270"/>
      <c r="J398" s="270"/>
    </row>
    <row r="399" spans="1:10" ht="16.899999999999999" x14ac:dyDescent="0.5">
      <c r="A399" s="270"/>
      <c r="B399" s="270"/>
      <c r="C399" s="270"/>
      <c r="D399" s="270"/>
      <c r="E399" s="270"/>
      <c r="F399" s="270"/>
      <c r="G399" s="270"/>
      <c r="H399" s="270"/>
      <c r="I399" s="270"/>
      <c r="J399" s="270"/>
    </row>
    <row r="400" spans="1:10" ht="16.899999999999999" x14ac:dyDescent="0.5">
      <c r="A400" s="270"/>
      <c r="B400" s="270"/>
      <c r="C400" s="270"/>
      <c r="D400" s="270"/>
      <c r="E400" s="270"/>
      <c r="F400" s="270"/>
      <c r="G400" s="270"/>
      <c r="H400" s="270"/>
      <c r="I400" s="270"/>
      <c r="J400" s="270"/>
    </row>
    <row r="401" spans="1:10" ht="16.899999999999999" x14ac:dyDescent="0.5">
      <c r="A401" s="270"/>
      <c r="B401" s="270"/>
      <c r="C401" s="270"/>
      <c r="D401" s="270"/>
      <c r="E401" s="270"/>
      <c r="F401" s="270"/>
      <c r="G401" s="270"/>
      <c r="H401" s="270"/>
      <c r="I401" s="270"/>
      <c r="J401" s="270"/>
    </row>
    <row r="402" spans="1:10" ht="16.899999999999999" x14ac:dyDescent="0.5">
      <c r="A402" s="270"/>
      <c r="B402" s="270"/>
      <c r="C402" s="270"/>
      <c r="D402" s="270"/>
      <c r="E402" s="270"/>
      <c r="F402" s="270"/>
      <c r="G402" s="270"/>
      <c r="H402" s="270"/>
      <c r="I402" s="270"/>
      <c r="J402" s="270"/>
    </row>
    <row r="403" spans="1:10" ht="16.899999999999999" x14ac:dyDescent="0.5">
      <c r="A403" s="270"/>
      <c r="B403" s="270"/>
      <c r="C403" s="270"/>
      <c r="D403" s="270"/>
      <c r="E403" s="270"/>
      <c r="F403" s="270"/>
      <c r="G403" s="270"/>
      <c r="H403" s="270"/>
      <c r="I403" s="270"/>
      <c r="J403" s="270"/>
    </row>
    <row r="404" spans="1:10" ht="16.899999999999999" x14ac:dyDescent="0.5">
      <c r="A404" s="270"/>
      <c r="B404" s="270"/>
      <c r="C404" s="270"/>
      <c r="D404" s="270"/>
      <c r="E404" s="270"/>
      <c r="F404" s="270"/>
      <c r="G404" s="270"/>
      <c r="H404" s="270"/>
      <c r="I404" s="270"/>
      <c r="J404" s="270"/>
    </row>
    <row r="405" spans="1:10" ht="16.899999999999999" x14ac:dyDescent="0.5">
      <c r="A405" s="270"/>
      <c r="B405" s="270"/>
      <c r="C405" s="270"/>
      <c r="D405" s="270"/>
      <c r="E405" s="270"/>
      <c r="F405" s="270"/>
      <c r="G405" s="270"/>
      <c r="H405" s="270"/>
      <c r="I405" s="270"/>
      <c r="J405" s="270"/>
    </row>
    <row r="406" spans="1:10" ht="16.899999999999999" x14ac:dyDescent="0.5">
      <c r="A406" s="270"/>
      <c r="B406" s="270"/>
      <c r="C406" s="270"/>
      <c r="D406" s="270"/>
      <c r="E406" s="270"/>
      <c r="F406" s="270"/>
      <c r="G406" s="270"/>
      <c r="H406" s="270"/>
      <c r="I406" s="270"/>
      <c r="J406" s="270"/>
    </row>
    <row r="407" spans="1:10" ht="16.899999999999999" x14ac:dyDescent="0.5">
      <c r="A407" s="270"/>
      <c r="B407" s="270"/>
      <c r="C407" s="270"/>
      <c r="D407" s="270"/>
      <c r="E407" s="270"/>
      <c r="F407" s="270"/>
      <c r="G407" s="270"/>
      <c r="H407" s="270"/>
      <c r="I407" s="270"/>
      <c r="J407" s="270"/>
    </row>
    <row r="408" spans="1:10" ht="16.899999999999999" x14ac:dyDescent="0.5">
      <c r="A408" s="270"/>
      <c r="B408" s="270"/>
      <c r="C408" s="270"/>
      <c r="D408" s="270"/>
      <c r="E408" s="270"/>
      <c r="F408" s="270"/>
      <c r="G408" s="270"/>
      <c r="H408" s="270"/>
      <c r="I408" s="270"/>
      <c r="J408" s="270"/>
    </row>
    <row r="409" spans="1:10" ht="16.899999999999999" x14ac:dyDescent="0.5">
      <c r="A409" s="270"/>
      <c r="B409" s="270"/>
      <c r="C409" s="270"/>
      <c r="D409" s="270"/>
      <c r="E409" s="270"/>
      <c r="F409" s="270"/>
      <c r="G409" s="270"/>
      <c r="H409" s="270"/>
      <c r="I409" s="270"/>
      <c r="J409" s="270"/>
    </row>
    <row r="410" spans="1:10" ht="16.899999999999999" x14ac:dyDescent="0.5">
      <c r="A410" s="270"/>
      <c r="B410" s="270"/>
      <c r="C410" s="270"/>
      <c r="D410" s="270"/>
      <c r="E410" s="270"/>
      <c r="F410" s="270"/>
      <c r="G410" s="270"/>
      <c r="H410" s="270"/>
      <c r="I410" s="270"/>
      <c r="J410" s="270"/>
    </row>
    <row r="411" spans="1:10" ht="16.899999999999999" x14ac:dyDescent="0.5">
      <c r="A411" s="270"/>
      <c r="B411" s="270"/>
      <c r="C411" s="270"/>
      <c r="D411" s="270"/>
      <c r="E411" s="270"/>
      <c r="F411" s="270"/>
      <c r="G411" s="270"/>
      <c r="H411" s="270"/>
      <c r="I411" s="270"/>
      <c r="J411" s="270"/>
    </row>
    <row r="412" spans="1:10" ht="16.899999999999999" x14ac:dyDescent="0.5">
      <c r="A412" s="270"/>
      <c r="B412" s="270"/>
      <c r="C412" s="270"/>
      <c r="D412" s="270"/>
      <c r="E412" s="270"/>
      <c r="F412" s="270"/>
      <c r="G412" s="270"/>
      <c r="H412" s="270"/>
      <c r="I412" s="270"/>
      <c r="J412" s="270"/>
    </row>
    <row r="413" spans="1:10" ht="16.899999999999999" x14ac:dyDescent="0.5">
      <c r="A413" s="270"/>
      <c r="B413" s="270"/>
      <c r="C413" s="270"/>
      <c r="D413" s="270"/>
      <c r="E413" s="270"/>
      <c r="F413" s="270"/>
      <c r="G413" s="270"/>
      <c r="H413" s="270"/>
      <c r="I413" s="270"/>
      <c r="J413" s="270"/>
    </row>
    <row r="414" spans="1:10" ht="16.899999999999999" x14ac:dyDescent="0.5">
      <c r="A414" s="270"/>
      <c r="B414" s="270"/>
      <c r="C414" s="270"/>
      <c r="D414" s="270"/>
      <c r="E414" s="270"/>
      <c r="F414" s="270"/>
      <c r="G414" s="270"/>
      <c r="H414" s="270"/>
      <c r="I414" s="270"/>
      <c r="J414" s="270"/>
    </row>
    <row r="415" spans="1:10" ht="16.899999999999999" x14ac:dyDescent="0.5">
      <c r="A415" s="270"/>
      <c r="B415" s="270"/>
      <c r="C415" s="270"/>
      <c r="D415" s="270"/>
      <c r="E415" s="270"/>
      <c r="F415" s="270"/>
      <c r="G415" s="270"/>
      <c r="H415" s="270"/>
      <c r="I415" s="270"/>
      <c r="J415" s="270"/>
    </row>
    <row r="416" spans="1:10" ht="16.899999999999999" x14ac:dyDescent="0.5">
      <c r="A416" s="270"/>
      <c r="B416" s="270"/>
      <c r="C416" s="270"/>
      <c r="D416" s="270"/>
      <c r="E416" s="270"/>
      <c r="F416" s="270"/>
      <c r="G416" s="270"/>
      <c r="H416" s="270"/>
      <c r="I416" s="270"/>
      <c r="J416" s="270"/>
    </row>
    <row r="417" spans="1:10" ht="16.899999999999999" x14ac:dyDescent="0.5">
      <c r="A417" s="270"/>
      <c r="B417" s="270"/>
      <c r="C417" s="270"/>
      <c r="D417" s="270"/>
      <c r="E417" s="270"/>
      <c r="F417" s="270"/>
      <c r="G417" s="270"/>
      <c r="H417" s="270"/>
      <c r="I417" s="270"/>
      <c r="J417" s="270"/>
    </row>
    <row r="418" spans="1:10" ht="16.899999999999999" x14ac:dyDescent="0.5">
      <c r="A418" s="270"/>
      <c r="B418" s="270"/>
      <c r="C418" s="270"/>
      <c r="D418" s="270"/>
      <c r="E418" s="270"/>
      <c r="F418" s="270"/>
      <c r="G418" s="270"/>
      <c r="H418" s="270"/>
      <c r="I418" s="270"/>
      <c r="J418" s="270"/>
    </row>
    <row r="419" spans="1:10" ht="16.899999999999999" x14ac:dyDescent="0.5">
      <c r="A419" s="270"/>
      <c r="B419" s="270"/>
      <c r="C419" s="270"/>
      <c r="D419" s="270"/>
      <c r="E419" s="270"/>
      <c r="F419" s="270"/>
      <c r="G419" s="270"/>
      <c r="H419" s="270"/>
      <c r="I419" s="270"/>
      <c r="J419" s="270"/>
    </row>
    <row r="420" spans="1:10" ht="16.899999999999999" x14ac:dyDescent="0.5">
      <c r="A420" s="270"/>
      <c r="B420" s="270"/>
      <c r="C420" s="270"/>
      <c r="D420" s="270"/>
      <c r="E420" s="270"/>
      <c r="F420" s="270"/>
      <c r="G420" s="270"/>
      <c r="H420" s="270"/>
      <c r="I420" s="270"/>
      <c r="J420" s="270"/>
    </row>
    <row r="421" spans="1:10" ht="16.899999999999999" x14ac:dyDescent="0.5">
      <c r="A421" s="270"/>
      <c r="B421" s="270"/>
      <c r="C421" s="270"/>
      <c r="D421" s="270"/>
      <c r="E421" s="270"/>
      <c r="F421" s="270"/>
      <c r="G421" s="270"/>
      <c r="H421" s="270"/>
      <c r="I421" s="270"/>
      <c r="J421" s="270"/>
    </row>
    <row r="422" spans="1:10" ht="16.899999999999999" x14ac:dyDescent="0.5">
      <c r="A422" s="270"/>
      <c r="B422" s="270"/>
      <c r="C422" s="270"/>
      <c r="D422" s="270"/>
      <c r="E422" s="270"/>
      <c r="F422" s="270"/>
      <c r="G422" s="270"/>
      <c r="H422" s="270"/>
      <c r="I422" s="270"/>
      <c r="J422" s="270"/>
    </row>
    <row r="423" spans="1:10" ht="16.899999999999999" x14ac:dyDescent="0.5">
      <c r="A423" s="270"/>
      <c r="B423" s="270"/>
      <c r="C423" s="270"/>
      <c r="D423" s="270"/>
      <c r="E423" s="270"/>
      <c r="F423" s="270"/>
      <c r="G423" s="270"/>
      <c r="H423" s="270"/>
      <c r="I423" s="270"/>
      <c r="J423" s="270"/>
    </row>
    <row r="424" spans="1:10" ht="16.899999999999999" x14ac:dyDescent="0.5">
      <c r="A424" s="270"/>
      <c r="B424" s="270"/>
      <c r="C424" s="270"/>
      <c r="D424" s="270"/>
      <c r="E424" s="270"/>
      <c r="F424" s="270"/>
      <c r="G424" s="270"/>
      <c r="H424" s="270"/>
      <c r="I424" s="270"/>
      <c r="J424" s="270"/>
    </row>
    <row r="425" spans="1:10" ht="16.899999999999999" x14ac:dyDescent="0.5">
      <c r="A425" s="270"/>
      <c r="B425" s="270"/>
      <c r="C425" s="270"/>
      <c r="D425" s="270"/>
      <c r="E425" s="270"/>
      <c r="F425" s="270"/>
      <c r="G425" s="270"/>
      <c r="H425" s="270"/>
      <c r="I425" s="270"/>
      <c r="J425" s="270"/>
    </row>
    <row r="426" spans="1:10" ht="16.899999999999999" x14ac:dyDescent="0.5">
      <c r="A426" s="270"/>
      <c r="B426" s="270"/>
      <c r="C426" s="270"/>
      <c r="D426" s="270"/>
      <c r="E426" s="270"/>
      <c r="F426" s="270"/>
      <c r="G426" s="270"/>
      <c r="H426" s="270"/>
      <c r="I426" s="270"/>
      <c r="J426" s="270"/>
    </row>
    <row r="427" spans="1:10" ht="16.899999999999999" x14ac:dyDescent="0.5">
      <c r="A427" s="270"/>
      <c r="B427" s="270"/>
      <c r="C427" s="270"/>
      <c r="D427" s="270"/>
      <c r="E427" s="270"/>
      <c r="F427" s="270"/>
      <c r="G427" s="270"/>
      <c r="H427" s="270"/>
      <c r="I427" s="270"/>
      <c r="J427" s="270"/>
    </row>
    <row r="428" spans="1:10" ht="16.899999999999999" x14ac:dyDescent="0.5">
      <c r="A428" s="270"/>
      <c r="B428" s="270"/>
      <c r="C428" s="270"/>
      <c r="D428" s="270"/>
      <c r="E428" s="270"/>
      <c r="F428" s="270"/>
      <c r="G428" s="270"/>
      <c r="H428" s="270"/>
      <c r="I428" s="270"/>
      <c r="J428" s="270"/>
    </row>
    <row r="429" spans="1:10" ht="16.899999999999999" x14ac:dyDescent="0.5">
      <c r="A429" s="270"/>
      <c r="B429" s="270"/>
      <c r="C429" s="270"/>
      <c r="D429" s="270"/>
      <c r="E429" s="270"/>
      <c r="F429" s="270"/>
      <c r="G429" s="270"/>
      <c r="H429" s="270"/>
      <c r="I429" s="270"/>
      <c r="J429" s="270"/>
    </row>
    <row r="430" spans="1:10" ht="16.899999999999999" x14ac:dyDescent="0.5">
      <c r="A430" s="270"/>
      <c r="B430" s="270"/>
      <c r="C430" s="270"/>
      <c r="D430" s="270"/>
      <c r="E430" s="270"/>
      <c r="F430" s="270"/>
      <c r="G430" s="270"/>
      <c r="H430" s="270"/>
      <c r="I430" s="270"/>
      <c r="J430" s="270"/>
    </row>
    <row r="431" spans="1:10" ht="16.899999999999999" x14ac:dyDescent="0.5">
      <c r="A431" s="270"/>
      <c r="B431" s="270"/>
      <c r="C431" s="270"/>
      <c r="D431" s="270"/>
      <c r="E431" s="270"/>
      <c r="F431" s="270"/>
      <c r="G431" s="270"/>
      <c r="H431" s="270"/>
      <c r="I431" s="270"/>
      <c r="J431" s="270"/>
    </row>
    <row r="432" spans="1:10" ht="16.899999999999999" x14ac:dyDescent="0.5">
      <c r="A432" s="270"/>
      <c r="B432" s="270"/>
      <c r="C432" s="270"/>
      <c r="D432" s="270"/>
      <c r="E432" s="270"/>
      <c r="F432" s="270"/>
      <c r="G432" s="270"/>
      <c r="H432" s="270"/>
      <c r="I432" s="270"/>
      <c r="J432" s="270"/>
    </row>
    <row r="433" spans="1:10" ht="16.899999999999999" x14ac:dyDescent="0.5">
      <c r="A433" s="270"/>
      <c r="B433" s="270"/>
      <c r="C433" s="270"/>
      <c r="D433" s="270"/>
      <c r="E433" s="270"/>
      <c r="F433" s="270"/>
      <c r="G433" s="270"/>
      <c r="H433" s="270"/>
      <c r="I433" s="270"/>
      <c r="J433" s="270"/>
    </row>
    <row r="434" spans="1:10" ht="16.899999999999999" x14ac:dyDescent="0.5">
      <c r="A434" s="270"/>
      <c r="B434" s="270"/>
      <c r="C434" s="270"/>
      <c r="D434" s="270"/>
      <c r="E434" s="270"/>
      <c r="F434" s="270"/>
      <c r="G434" s="270"/>
      <c r="H434" s="270"/>
      <c r="I434" s="270"/>
      <c r="J434" s="270"/>
    </row>
    <row r="435" spans="1:10" ht="16.899999999999999" x14ac:dyDescent="0.5">
      <c r="A435" s="270"/>
      <c r="B435" s="270"/>
      <c r="C435" s="270"/>
      <c r="D435" s="270"/>
      <c r="E435" s="270"/>
      <c r="F435" s="270"/>
      <c r="G435" s="270"/>
      <c r="H435" s="270"/>
      <c r="I435" s="270"/>
      <c r="J435" s="270"/>
    </row>
    <row r="436" spans="1:10" ht="16.899999999999999" x14ac:dyDescent="0.5">
      <c r="A436" s="270"/>
      <c r="B436" s="270"/>
      <c r="C436" s="270"/>
      <c r="D436" s="270"/>
      <c r="E436" s="270"/>
      <c r="F436" s="270"/>
      <c r="G436" s="270"/>
      <c r="H436" s="270"/>
      <c r="I436" s="270"/>
      <c r="J436" s="270"/>
    </row>
    <row r="437" spans="1:10" ht="16.899999999999999" x14ac:dyDescent="0.5">
      <c r="A437" s="270"/>
      <c r="B437" s="270"/>
      <c r="C437" s="270"/>
      <c r="D437" s="270"/>
      <c r="E437" s="270"/>
      <c r="F437" s="270"/>
      <c r="G437" s="270"/>
      <c r="H437" s="270"/>
      <c r="I437" s="270"/>
      <c r="J437" s="270"/>
    </row>
    <row r="438" spans="1:10" ht="16.899999999999999" x14ac:dyDescent="0.5">
      <c r="A438" s="270"/>
      <c r="B438" s="270"/>
      <c r="C438" s="270"/>
      <c r="D438" s="270"/>
      <c r="E438" s="270"/>
      <c r="F438" s="270"/>
      <c r="G438" s="270"/>
      <c r="H438" s="270"/>
      <c r="I438" s="270"/>
      <c r="J438" s="270"/>
    </row>
    <row r="439" spans="1:10" ht="16.899999999999999" x14ac:dyDescent="0.5">
      <c r="A439" s="270"/>
      <c r="B439" s="270"/>
      <c r="C439" s="270"/>
      <c r="D439" s="270"/>
      <c r="E439" s="270"/>
      <c r="F439" s="270"/>
      <c r="G439" s="270"/>
      <c r="H439" s="270"/>
      <c r="I439" s="270"/>
      <c r="J439" s="270"/>
    </row>
    <row r="440" spans="1:10" ht="16.899999999999999" x14ac:dyDescent="0.5">
      <c r="A440" s="270"/>
      <c r="B440" s="270"/>
      <c r="C440" s="270"/>
      <c r="D440" s="270"/>
      <c r="E440" s="270"/>
      <c r="F440" s="270"/>
      <c r="G440" s="270"/>
      <c r="H440" s="270"/>
      <c r="I440" s="270"/>
      <c r="J440" s="270"/>
    </row>
    <row r="441" spans="1:10" ht="16.899999999999999" x14ac:dyDescent="0.5">
      <c r="A441" s="270"/>
      <c r="B441" s="270"/>
      <c r="C441" s="270"/>
      <c r="D441" s="270"/>
      <c r="E441" s="270"/>
      <c r="F441" s="270"/>
      <c r="G441" s="270"/>
      <c r="H441" s="270"/>
      <c r="I441" s="270"/>
      <c r="J441" s="270"/>
    </row>
    <row r="442" spans="1:10" ht="16.899999999999999" x14ac:dyDescent="0.5">
      <c r="A442" s="270"/>
      <c r="B442" s="270"/>
      <c r="C442" s="270"/>
      <c r="D442" s="270"/>
      <c r="E442" s="270"/>
      <c r="F442" s="270"/>
      <c r="G442" s="270"/>
      <c r="H442" s="270"/>
      <c r="I442" s="270"/>
      <c r="J442" s="270"/>
    </row>
    <row r="443" spans="1:10" ht="16.899999999999999" x14ac:dyDescent="0.5">
      <c r="A443" s="270"/>
      <c r="B443" s="270"/>
      <c r="C443" s="270"/>
      <c r="D443" s="270"/>
      <c r="E443" s="270"/>
      <c r="F443" s="270"/>
      <c r="G443" s="270"/>
      <c r="H443" s="270"/>
      <c r="I443" s="270"/>
      <c r="J443" s="270"/>
    </row>
    <row r="444" spans="1:10" ht="16.899999999999999" x14ac:dyDescent="0.5">
      <c r="A444" s="270"/>
      <c r="B444" s="270"/>
      <c r="C444" s="270"/>
      <c r="D444" s="270"/>
      <c r="E444" s="270"/>
      <c r="F444" s="270"/>
      <c r="G444" s="270"/>
      <c r="H444" s="270"/>
      <c r="I444" s="270"/>
      <c r="J444" s="270"/>
    </row>
    <row r="445" spans="1:10" ht="16.899999999999999" x14ac:dyDescent="0.5">
      <c r="A445" s="270"/>
      <c r="B445" s="270"/>
      <c r="C445" s="270"/>
      <c r="D445" s="270"/>
      <c r="E445" s="270"/>
      <c r="F445" s="270"/>
      <c r="G445" s="270"/>
      <c r="H445" s="270"/>
      <c r="I445" s="270"/>
      <c r="J445" s="270"/>
    </row>
    <row r="446" spans="1:10" ht="16.899999999999999" x14ac:dyDescent="0.5">
      <c r="A446" s="270"/>
      <c r="B446" s="270"/>
      <c r="C446" s="270"/>
      <c r="D446" s="270"/>
      <c r="E446" s="270"/>
      <c r="F446" s="270"/>
      <c r="G446" s="270"/>
      <c r="H446" s="270"/>
      <c r="I446" s="270"/>
      <c r="J446" s="270"/>
    </row>
    <row r="447" spans="1:10" ht="16.899999999999999" x14ac:dyDescent="0.5">
      <c r="A447" s="270"/>
      <c r="B447" s="270"/>
      <c r="C447" s="270"/>
      <c r="D447" s="270"/>
      <c r="E447" s="270"/>
      <c r="F447" s="270"/>
      <c r="G447" s="270"/>
      <c r="H447" s="270"/>
      <c r="I447" s="270"/>
      <c r="J447" s="270"/>
    </row>
    <row r="448" spans="1:10" ht="16.899999999999999" x14ac:dyDescent="0.5">
      <c r="A448" s="270"/>
      <c r="B448" s="270"/>
      <c r="C448" s="270"/>
      <c r="D448" s="270"/>
      <c r="E448" s="270"/>
      <c r="F448" s="270"/>
      <c r="G448" s="270"/>
      <c r="H448" s="270"/>
      <c r="I448" s="270"/>
      <c r="J448" s="270"/>
    </row>
    <row r="449" spans="1:10" ht="16.899999999999999" x14ac:dyDescent="0.5">
      <c r="A449" s="270"/>
      <c r="B449" s="270"/>
      <c r="C449" s="270"/>
      <c r="D449" s="270"/>
      <c r="E449" s="270"/>
      <c r="F449" s="270"/>
      <c r="G449" s="270"/>
      <c r="H449" s="270"/>
      <c r="I449" s="270"/>
      <c r="J449" s="270"/>
    </row>
    <row r="450" spans="1:10" ht="16.899999999999999" x14ac:dyDescent="0.5">
      <c r="A450" s="270"/>
      <c r="B450" s="270"/>
      <c r="C450" s="270"/>
      <c r="D450" s="270"/>
      <c r="E450" s="270"/>
      <c r="F450" s="270"/>
      <c r="G450" s="270"/>
      <c r="H450" s="270"/>
      <c r="I450" s="270"/>
      <c r="J450" s="270"/>
    </row>
    <row r="451" spans="1:10" ht="16.899999999999999" x14ac:dyDescent="0.5">
      <c r="A451" s="270"/>
      <c r="B451" s="270"/>
      <c r="C451" s="270"/>
      <c r="D451" s="270"/>
      <c r="E451" s="270"/>
      <c r="F451" s="270"/>
      <c r="G451" s="270"/>
      <c r="H451" s="270"/>
      <c r="I451" s="270"/>
      <c r="J451" s="270"/>
    </row>
    <row r="452" spans="1:10" ht="16.899999999999999" x14ac:dyDescent="0.5">
      <c r="A452" s="270"/>
      <c r="B452" s="270"/>
      <c r="C452" s="270"/>
      <c r="D452" s="270"/>
      <c r="E452" s="270"/>
      <c r="F452" s="270"/>
      <c r="G452" s="270"/>
      <c r="H452" s="270"/>
      <c r="I452" s="270"/>
      <c r="J452" s="270"/>
    </row>
    <row r="453" spans="1:10" ht="16.899999999999999" x14ac:dyDescent="0.5">
      <c r="A453" s="270"/>
      <c r="B453" s="270"/>
      <c r="C453" s="270"/>
      <c r="D453" s="270"/>
      <c r="E453" s="270"/>
      <c r="F453" s="270"/>
      <c r="G453" s="270"/>
      <c r="H453" s="270"/>
      <c r="I453" s="270"/>
      <c r="J453" s="270"/>
    </row>
    <row r="454" spans="1:10" ht="16.899999999999999" x14ac:dyDescent="0.5">
      <c r="A454" s="270"/>
      <c r="B454" s="270"/>
      <c r="C454" s="270"/>
      <c r="D454" s="270"/>
      <c r="E454" s="270"/>
      <c r="F454" s="270"/>
      <c r="G454" s="270"/>
      <c r="H454" s="270"/>
      <c r="I454" s="270"/>
      <c r="J454" s="270"/>
    </row>
    <row r="455" spans="1:10" ht="16.899999999999999" x14ac:dyDescent="0.5">
      <c r="A455" s="270"/>
      <c r="B455" s="270"/>
      <c r="C455" s="270"/>
      <c r="D455" s="270"/>
      <c r="E455" s="270"/>
      <c r="F455" s="270"/>
      <c r="G455" s="270"/>
      <c r="H455" s="270"/>
      <c r="I455" s="270"/>
      <c r="J455" s="270"/>
    </row>
    <row r="456" spans="1:10" ht="16.899999999999999" x14ac:dyDescent="0.5">
      <c r="A456" s="270"/>
      <c r="B456" s="270"/>
      <c r="C456" s="270"/>
      <c r="D456" s="270"/>
      <c r="E456" s="270"/>
      <c r="F456" s="270"/>
      <c r="G456" s="270"/>
      <c r="H456" s="270"/>
      <c r="I456" s="270"/>
      <c r="J456" s="270"/>
    </row>
    <row r="457" spans="1:10" ht="16.899999999999999" x14ac:dyDescent="0.5">
      <c r="A457" s="270"/>
      <c r="B457" s="270"/>
      <c r="C457" s="270"/>
      <c r="D457" s="270"/>
      <c r="E457" s="270"/>
      <c r="F457" s="270"/>
      <c r="G457" s="270"/>
      <c r="H457" s="270"/>
      <c r="I457" s="270"/>
      <c r="J457" s="270"/>
    </row>
    <row r="458" spans="1:10" ht="16.899999999999999" x14ac:dyDescent="0.5">
      <c r="A458" s="270"/>
      <c r="B458" s="270"/>
      <c r="C458" s="270"/>
      <c r="D458" s="270"/>
      <c r="E458" s="270"/>
      <c r="F458" s="270"/>
      <c r="G458" s="270"/>
      <c r="H458" s="270"/>
      <c r="I458" s="270"/>
      <c r="J458" s="270"/>
    </row>
    <row r="459" spans="1:10" ht="16.899999999999999" x14ac:dyDescent="0.5">
      <c r="A459" s="270"/>
      <c r="B459" s="270"/>
      <c r="C459" s="270"/>
      <c r="D459" s="270"/>
      <c r="E459" s="270"/>
      <c r="F459" s="270"/>
      <c r="G459" s="270"/>
      <c r="H459" s="270"/>
      <c r="I459" s="270"/>
      <c r="J459" s="270"/>
    </row>
    <row r="460" spans="1:10" ht="16.899999999999999" x14ac:dyDescent="0.5">
      <c r="A460" s="270"/>
      <c r="B460" s="270"/>
      <c r="C460" s="270"/>
      <c r="D460" s="270"/>
      <c r="E460" s="270"/>
      <c r="F460" s="270"/>
      <c r="G460" s="270"/>
      <c r="H460" s="270"/>
      <c r="I460" s="270"/>
      <c r="J460" s="270"/>
    </row>
    <row r="461" spans="1:10" ht="16.899999999999999" x14ac:dyDescent="0.5">
      <c r="A461" s="270"/>
      <c r="B461" s="270"/>
      <c r="C461" s="270"/>
      <c r="D461" s="270"/>
      <c r="E461" s="270"/>
      <c r="F461" s="270"/>
      <c r="G461" s="270"/>
      <c r="H461" s="270"/>
      <c r="I461" s="270"/>
      <c r="J461" s="270"/>
    </row>
    <row r="462" spans="1:10" ht="16.899999999999999" x14ac:dyDescent="0.5">
      <c r="A462" s="270"/>
      <c r="B462" s="270"/>
      <c r="C462" s="270"/>
      <c r="D462" s="270"/>
      <c r="E462" s="270"/>
      <c r="F462" s="270"/>
      <c r="G462" s="270"/>
      <c r="H462" s="270"/>
      <c r="I462" s="270"/>
      <c r="J462" s="270"/>
    </row>
    <row r="463" spans="1:10" ht="16.899999999999999" x14ac:dyDescent="0.5">
      <c r="A463" s="270"/>
      <c r="B463" s="270"/>
      <c r="C463" s="270"/>
      <c r="D463" s="270"/>
      <c r="E463" s="270"/>
      <c r="F463" s="270"/>
      <c r="G463" s="270"/>
      <c r="H463" s="270"/>
      <c r="I463" s="270"/>
      <c r="J463" s="270"/>
    </row>
    <row r="464" spans="1:10" ht="16.899999999999999" x14ac:dyDescent="0.5">
      <c r="A464" s="270"/>
      <c r="B464" s="270"/>
      <c r="C464" s="270"/>
      <c r="D464" s="270"/>
      <c r="E464" s="270"/>
      <c r="F464" s="270"/>
      <c r="G464" s="270"/>
      <c r="H464" s="270"/>
      <c r="I464" s="270"/>
      <c r="J464" s="270"/>
    </row>
    <row r="465" spans="1:10" ht="16.899999999999999" x14ac:dyDescent="0.5">
      <c r="A465" s="270"/>
      <c r="B465" s="270"/>
      <c r="C465" s="270"/>
      <c r="D465" s="270"/>
      <c r="E465" s="270"/>
      <c r="F465" s="270"/>
      <c r="G465" s="270"/>
      <c r="H465" s="270"/>
      <c r="I465" s="270"/>
      <c r="J465" s="270"/>
    </row>
    <row r="466" spans="1:10" ht="16.899999999999999" x14ac:dyDescent="0.5">
      <c r="A466" s="270"/>
      <c r="B466" s="270"/>
      <c r="C466" s="270"/>
      <c r="D466" s="270"/>
      <c r="E466" s="270"/>
      <c r="F466" s="270"/>
      <c r="G466" s="270"/>
      <c r="H466" s="270"/>
      <c r="I466" s="270"/>
      <c r="J466" s="270"/>
    </row>
    <row r="467" spans="1:10" ht="16.899999999999999" x14ac:dyDescent="0.5">
      <c r="A467" s="270"/>
      <c r="B467" s="270"/>
      <c r="C467" s="270"/>
      <c r="D467" s="270"/>
      <c r="E467" s="270"/>
      <c r="F467" s="270"/>
      <c r="G467" s="270"/>
      <c r="H467" s="270"/>
      <c r="I467" s="270"/>
      <c r="J467" s="270"/>
    </row>
    <row r="468" spans="1:10" ht="16.899999999999999" x14ac:dyDescent="0.5">
      <c r="A468" s="270"/>
      <c r="B468" s="270"/>
      <c r="C468" s="270"/>
      <c r="D468" s="270"/>
      <c r="E468" s="270"/>
      <c r="F468" s="270"/>
      <c r="G468" s="270"/>
      <c r="H468" s="270"/>
      <c r="I468" s="270"/>
      <c r="J468" s="270"/>
    </row>
    <row r="469" spans="1:10" ht="16.899999999999999" x14ac:dyDescent="0.5">
      <c r="A469" s="270"/>
      <c r="B469" s="270"/>
      <c r="C469" s="270"/>
      <c r="D469" s="270"/>
      <c r="E469" s="270"/>
      <c r="F469" s="270"/>
      <c r="G469" s="270"/>
      <c r="H469" s="270"/>
      <c r="I469" s="270"/>
      <c r="J469" s="270"/>
    </row>
    <row r="470" spans="1:10" ht="16.899999999999999" x14ac:dyDescent="0.5">
      <c r="A470" s="270"/>
      <c r="B470" s="270"/>
      <c r="C470" s="270"/>
      <c r="D470" s="270"/>
      <c r="E470" s="270"/>
      <c r="F470" s="270"/>
      <c r="G470" s="270"/>
      <c r="H470" s="270"/>
      <c r="I470" s="270"/>
      <c r="J470" s="270"/>
    </row>
    <row r="471" spans="1:10" ht="16.899999999999999" x14ac:dyDescent="0.5">
      <c r="A471" s="270"/>
      <c r="B471" s="270"/>
      <c r="C471" s="270"/>
      <c r="D471" s="270"/>
      <c r="E471" s="270"/>
      <c r="F471" s="270"/>
      <c r="G471" s="270"/>
      <c r="H471" s="270"/>
      <c r="I471" s="270"/>
      <c r="J471" s="270"/>
    </row>
    <row r="472" spans="1:10" ht="16.899999999999999" x14ac:dyDescent="0.5">
      <c r="A472" s="270"/>
      <c r="B472" s="270"/>
      <c r="C472" s="270"/>
      <c r="D472" s="270"/>
      <c r="E472" s="270"/>
      <c r="F472" s="270"/>
      <c r="G472" s="270"/>
      <c r="H472" s="270"/>
      <c r="I472" s="270"/>
      <c r="J472" s="270"/>
    </row>
    <row r="473" spans="1:10" ht="16.899999999999999" x14ac:dyDescent="0.5">
      <c r="A473" s="270"/>
      <c r="B473" s="270"/>
      <c r="C473" s="270"/>
      <c r="D473" s="270"/>
      <c r="E473" s="270"/>
      <c r="F473" s="270"/>
      <c r="G473" s="270"/>
      <c r="H473" s="270"/>
      <c r="I473" s="270"/>
      <c r="J473" s="270"/>
    </row>
    <row r="474" spans="1:10" ht="16.899999999999999" x14ac:dyDescent="0.5">
      <c r="A474" s="270"/>
      <c r="B474" s="270"/>
      <c r="C474" s="270"/>
      <c r="D474" s="270"/>
      <c r="E474" s="270"/>
      <c r="F474" s="270"/>
      <c r="G474" s="270"/>
      <c r="H474" s="270"/>
      <c r="I474" s="270"/>
      <c r="J474" s="270"/>
    </row>
    <row r="475" spans="1:10" ht="16.899999999999999" x14ac:dyDescent="0.5">
      <c r="A475" s="270"/>
      <c r="B475" s="270"/>
      <c r="C475" s="270"/>
      <c r="D475" s="270"/>
      <c r="E475" s="270"/>
      <c r="F475" s="270"/>
      <c r="G475" s="270"/>
      <c r="H475" s="270"/>
      <c r="I475" s="270"/>
      <c r="J475" s="270"/>
    </row>
    <row r="476" spans="1:10" ht="16.899999999999999" x14ac:dyDescent="0.5">
      <c r="A476" s="270"/>
      <c r="B476" s="270"/>
      <c r="C476" s="270"/>
      <c r="D476" s="270"/>
      <c r="E476" s="270"/>
      <c r="F476" s="270"/>
      <c r="G476" s="270"/>
      <c r="H476" s="270"/>
      <c r="I476" s="270"/>
      <c r="J476" s="270"/>
    </row>
    <row r="477" spans="1:10" ht="16.899999999999999" x14ac:dyDescent="0.5">
      <c r="A477" s="270"/>
      <c r="B477" s="270"/>
      <c r="C477" s="270"/>
      <c r="D477" s="270"/>
      <c r="E477" s="270"/>
      <c r="F477" s="270"/>
      <c r="G477" s="270"/>
      <c r="H477" s="270"/>
      <c r="I477" s="270"/>
      <c r="J477" s="270"/>
    </row>
    <row r="478" spans="1:10" ht="16.899999999999999" x14ac:dyDescent="0.5">
      <c r="A478" s="270"/>
      <c r="B478" s="270"/>
      <c r="C478" s="270"/>
      <c r="D478" s="270"/>
      <c r="E478" s="270"/>
      <c r="F478" s="270"/>
      <c r="G478" s="270"/>
      <c r="H478" s="270"/>
      <c r="I478" s="270"/>
      <c r="J478" s="270"/>
    </row>
    <row r="479" spans="1:10" ht="16.899999999999999" x14ac:dyDescent="0.5">
      <c r="A479" s="270"/>
      <c r="B479" s="270"/>
      <c r="C479" s="270"/>
      <c r="D479" s="270"/>
      <c r="E479" s="270"/>
      <c r="F479" s="270"/>
      <c r="G479" s="270"/>
      <c r="H479" s="270"/>
      <c r="I479" s="270"/>
      <c r="J479" s="270"/>
    </row>
    <row r="480" spans="1:10" ht="16.899999999999999" x14ac:dyDescent="0.5">
      <c r="A480" s="270"/>
      <c r="B480" s="270"/>
      <c r="C480" s="270"/>
      <c r="D480" s="270"/>
      <c r="E480" s="270"/>
      <c r="F480" s="270"/>
      <c r="G480" s="270"/>
      <c r="H480" s="270"/>
      <c r="I480" s="270"/>
      <c r="J480" s="270"/>
    </row>
    <row r="481" spans="1:10" ht="16.899999999999999" x14ac:dyDescent="0.5">
      <c r="A481" s="270"/>
      <c r="B481" s="270"/>
      <c r="C481" s="270"/>
      <c r="D481" s="270"/>
      <c r="E481" s="270"/>
      <c r="F481" s="270"/>
      <c r="G481" s="270"/>
      <c r="H481" s="270"/>
      <c r="I481" s="270"/>
      <c r="J481" s="270"/>
    </row>
    <row r="482" spans="1:10" ht="16.899999999999999" x14ac:dyDescent="0.5">
      <c r="A482" s="270"/>
      <c r="B482" s="270"/>
      <c r="C482" s="270"/>
      <c r="D482" s="270"/>
      <c r="E482" s="270"/>
      <c r="F482" s="270"/>
      <c r="G482" s="270"/>
      <c r="H482" s="270"/>
      <c r="I482" s="270"/>
      <c r="J482" s="270"/>
    </row>
    <row r="483" spans="1:10" ht="16.899999999999999" x14ac:dyDescent="0.5">
      <c r="A483" s="270"/>
      <c r="B483" s="270"/>
      <c r="C483" s="270"/>
      <c r="D483" s="270"/>
      <c r="E483" s="270"/>
      <c r="F483" s="270"/>
      <c r="G483" s="270"/>
      <c r="H483" s="270"/>
      <c r="I483" s="270"/>
      <c r="J483" s="270"/>
    </row>
    <row r="484" spans="1:10" ht="16.899999999999999" x14ac:dyDescent="0.5">
      <c r="A484" s="270"/>
      <c r="B484" s="270"/>
      <c r="C484" s="270"/>
      <c r="D484" s="270"/>
      <c r="E484" s="270"/>
      <c r="F484" s="270"/>
      <c r="G484" s="270"/>
      <c r="H484" s="270"/>
      <c r="I484" s="270"/>
      <c r="J484" s="270"/>
    </row>
    <row r="485" spans="1:10" ht="16.899999999999999" x14ac:dyDescent="0.5">
      <c r="A485" s="270"/>
      <c r="B485" s="270"/>
      <c r="C485" s="270"/>
      <c r="D485" s="270"/>
      <c r="E485" s="270"/>
      <c r="F485" s="270"/>
      <c r="G485" s="270"/>
      <c r="H485" s="270"/>
      <c r="I485" s="270"/>
      <c r="J485" s="270"/>
    </row>
    <row r="486" spans="1:10" ht="16.899999999999999" x14ac:dyDescent="0.5">
      <c r="A486" s="270"/>
      <c r="B486" s="270"/>
      <c r="C486" s="270"/>
      <c r="D486" s="270"/>
      <c r="E486" s="270"/>
      <c r="F486" s="270"/>
      <c r="G486" s="270"/>
      <c r="H486" s="270"/>
      <c r="I486" s="270"/>
      <c r="J486" s="270"/>
    </row>
    <row r="487" spans="1:10" ht="16.899999999999999" x14ac:dyDescent="0.5">
      <c r="A487" s="270"/>
      <c r="B487" s="270"/>
      <c r="C487" s="270"/>
      <c r="D487" s="270"/>
      <c r="E487" s="270"/>
      <c r="F487" s="270"/>
      <c r="G487" s="270"/>
      <c r="H487" s="270"/>
      <c r="I487" s="270"/>
      <c r="J487" s="270"/>
    </row>
    <row r="488" spans="1:10" ht="16.899999999999999" x14ac:dyDescent="0.5">
      <c r="A488" s="270"/>
      <c r="B488" s="270"/>
      <c r="C488" s="270"/>
      <c r="D488" s="270"/>
      <c r="E488" s="270"/>
      <c r="F488" s="270"/>
      <c r="G488" s="270"/>
      <c r="H488" s="270"/>
      <c r="I488" s="270"/>
      <c r="J488" s="270"/>
    </row>
    <row r="489" spans="1:10" ht="16.899999999999999" x14ac:dyDescent="0.5">
      <c r="A489" s="270"/>
      <c r="B489" s="270"/>
      <c r="C489" s="270"/>
      <c r="D489" s="270"/>
      <c r="E489" s="270"/>
      <c r="F489" s="270"/>
      <c r="G489" s="270"/>
      <c r="H489" s="270"/>
      <c r="I489" s="270"/>
      <c r="J489" s="270"/>
    </row>
    <row r="490" spans="1:10" ht="16.899999999999999" x14ac:dyDescent="0.5">
      <c r="A490" s="270"/>
      <c r="B490" s="270"/>
      <c r="C490" s="270"/>
      <c r="D490" s="270"/>
      <c r="E490" s="270"/>
      <c r="F490" s="270"/>
      <c r="G490" s="270"/>
      <c r="H490" s="270"/>
      <c r="I490" s="270"/>
      <c r="J490" s="270"/>
    </row>
    <row r="491" spans="1:10" ht="16.899999999999999" x14ac:dyDescent="0.5">
      <c r="A491" s="270"/>
      <c r="B491" s="270"/>
      <c r="C491" s="270"/>
      <c r="D491" s="270"/>
      <c r="E491" s="270"/>
      <c r="F491" s="270"/>
      <c r="G491" s="270"/>
      <c r="H491" s="270"/>
      <c r="I491" s="270"/>
      <c r="J491" s="270"/>
    </row>
    <row r="492" spans="1:10" ht="16.899999999999999" x14ac:dyDescent="0.5">
      <c r="A492" s="270"/>
      <c r="B492" s="270"/>
      <c r="C492" s="270"/>
      <c r="D492" s="270"/>
      <c r="E492" s="270"/>
      <c r="F492" s="270"/>
      <c r="G492" s="270"/>
      <c r="H492" s="270"/>
      <c r="I492" s="270"/>
      <c r="J492" s="270"/>
    </row>
    <row r="493" spans="1:10" ht="16.899999999999999" x14ac:dyDescent="0.5">
      <c r="A493" s="270"/>
      <c r="B493" s="270"/>
      <c r="C493" s="270"/>
      <c r="D493" s="270"/>
      <c r="E493" s="270"/>
      <c r="F493" s="270"/>
      <c r="G493" s="270"/>
      <c r="H493" s="270"/>
      <c r="I493" s="270"/>
      <c r="J493" s="270"/>
    </row>
    <row r="494" spans="1:10" ht="16.899999999999999" x14ac:dyDescent="0.5">
      <c r="A494" s="270"/>
      <c r="B494" s="270"/>
      <c r="C494" s="270"/>
      <c r="D494" s="270"/>
      <c r="E494" s="270"/>
      <c r="F494" s="270"/>
      <c r="G494" s="270"/>
      <c r="H494" s="270"/>
      <c r="I494" s="270"/>
      <c r="J494" s="270"/>
    </row>
    <row r="495" spans="1:10" ht="16.899999999999999" x14ac:dyDescent="0.5">
      <c r="A495" s="270"/>
      <c r="B495" s="270"/>
      <c r="C495" s="270"/>
      <c r="D495" s="270"/>
      <c r="E495" s="270"/>
      <c r="F495" s="270"/>
      <c r="G495" s="270"/>
      <c r="H495" s="270"/>
      <c r="I495" s="270"/>
      <c r="J495" s="270"/>
    </row>
    <row r="496" spans="1:10" ht="16.899999999999999" x14ac:dyDescent="0.5">
      <c r="A496" s="270"/>
      <c r="B496" s="270"/>
      <c r="C496" s="270"/>
      <c r="D496" s="270"/>
      <c r="E496" s="270"/>
      <c r="F496" s="270"/>
      <c r="G496" s="270"/>
      <c r="H496" s="270"/>
      <c r="I496" s="270"/>
      <c r="J496" s="270"/>
    </row>
    <row r="497" spans="1:10" ht="16.899999999999999" x14ac:dyDescent="0.5">
      <c r="A497" s="270"/>
      <c r="B497" s="270"/>
      <c r="C497" s="270"/>
      <c r="D497" s="270"/>
      <c r="E497" s="270"/>
      <c r="F497" s="270"/>
      <c r="G497" s="270"/>
      <c r="H497" s="270"/>
      <c r="I497" s="270"/>
      <c r="J497" s="270"/>
    </row>
    <row r="498" spans="1:10" ht="16.899999999999999" x14ac:dyDescent="0.5">
      <c r="A498" s="270"/>
      <c r="B498" s="270"/>
      <c r="C498" s="270"/>
      <c r="D498" s="270"/>
      <c r="E498" s="270"/>
      <c r="F498" s="270"/>
      <c r="G498" s="270"/>
      <c r="H498" s="270"/>
      <c r="I498" s="270"/>
      <c r="J498" s="270"/>
    </row>
    <row r="499" spans="1:10" ht="16.899999999999999" x14ac:dyDescent="0.5">
      <c r="A499" s="270"/>
      <c r="B499" s="270"/>
      <c r="C499" s="270"/>
      <c r="D499" s="270"/>
      <c r="E499" s="270"/>
      <c r="F499" s="270"/>
      <c r="G499" s="270"/>
      <c r="H499" s="270"/>
      <c r="I499" s="270"/>
      <c r="J499" s="270"/>
    </row>
    <row r="500" spans="1:10" ht="16.899999999999999" x14ac:dyDescent="0.5">
      <c r="A500" s="270"/>
      <c r="B500" s="270"/>
      <c r="C500" s="270"/>
      <c r="D500" s="270"/>
      <c r="E500" s="270"/>
      <c r="F500" s="270"/>
      <c r="G500" s="270"/>
      <c r="H500" s="270"/>
      <c r="I500" s="270"/>
      <c r="J500" s="270"/>
    </row>
    <row r="501" spans="1:10" ht="16.899999999999999" x14ac:dyDescent="0.5">
      <c r="A501" s="270"/>
      <c r="B501" s="270"/>
      <c r="C501" s="270"/>
      <c r="D501" s="270"/>
      <c r="E501" s="270"/>
      <c r="F501" s="270"/>
      <c r="G501" s="270"/>
      <c r="H501" s="270"/>
      <c r="I501" s="270"/>
      <c r="J501" s="270"/>
    </row>
    <row r="502" spans="1:10" ht="16.899999999999999" x14ac:dyDescent="0.5">
      <c r="A502" s="270"/>
      <c r="B502" s="270"/>
      <c r="C502" s="270"/>
      <c r="D502" s="270"/>
      <c r="E502" s="270"/>
      <c r="F502" s="270"/>
      <c r="G502" s="270"/>
      <c r="H502" s="270"/>
      <c r="I502" s="270"/>
      <c r="J502" s="270"/>
    </row>
    <row r="503" spans="1:10" ht="16.899999999999999" x14ac:dyDescent="0.5">
      <c r="A503" s="270"/>
      <c r="B503" s="270"/>
      <c r="C503" s="270"/>
      <c r="D503" s="270"/>
      <c r="E503" s="270"/>
      <c r="F503" s="270"/>
      <c r="G503" s="270"/>
      <c r="H503" s="270"/>
      <c r="I503" s="270"/>
      <c r="J503" s="270"/>
    </row>
    <row r="504" spans="1:10" ht="16.899999999999999" x14ac:dyDescent="0.5">
      <c r="A504" s="270"/>
      <c r="B504" s="270"/>
      <c r="C504" s="270"/>
      <c r="D504" s="270"/>
      <c r="E504" s="270"/>
      <c r="F504" s="270"/>
      <c r="G504" s="270"/>
      <c r="H504" s="270"/>
      <c r="I504" s="270"/>
      <c r="J504" s="270"/>
    </row>
    <row r="505" spans="1:10" ht="16.899999999999999" x14ac:dyDescent="0.5">
      <c r="A505" s="270"/>
      <c r="B505" s="270"/>
      <c r="C505" s="270"/>
      <c r="D505" s="270"/>
      <c r="E505" s="270"/>
      <c r="F505" s="270"/>
      <c r="G505" s="270"/>
      <c r="H505" s="270"/>
      <c r="I505" s="270"/>
      <c r="J505" s="270"/>
    </row>
    <row r="506" spans="1:10" ht="16.899999999999999" x14ac:dyDescent="0.5">
      <c r="A506" s="270"/>
      <c r="B506" s="270"/>
      <c r="C506" s="270"/>
      <c r="D506" s="270"/>
      <c r="E506" s="270"/>
      <c r="F506" s="270"/>
      <c r="G506" s="270"/>
      <c r="H506" s="270"/>
      <c r="I506" s="270"/>
      <c r="J506" s="270"/>
    </row>
    <row r="507" spans="1:10" ht="16.899999999999999" x14ac:dyDescent="0.5">
      <c r="A507" s="270"/>
      <c r="B507" s="270"/>
      <c r="C507" s="270"/>
      <c r="D507" s="270"/>
      <c r="E507" s="270"/>
      <c r="F507" s="270"/>
      <c r="G507" s="270"/>
      <c r="H507" s="270"/>
      <c r="I507" s="270"/>
      <c r="J507" s="270"/>
    </row>
    <row r="508" spans="1:10" ht="16.899999999999999" x14ac:dyDescent="0.5">
      <c r="A508" s="270"/>
      <c r="B508" s="270"/>
      <c r="C508" s="270"/>
      <c r="D508" s="270"/>
      <c r="E508" s="270"/>
      <c r="F508" s="270"/>
      <c r="G508" s="270"/>
      <c r="H508" s="270"/>
      <c r="I508" s="270"/>
      <c r="J508" s="270"/>
    </row>
    <row r="509" spans="1:10" ht="16.899999999999999" x14ac:dyDescent="0.5">
      <c r="A509" s="270"/>
      <c r="B509" s="270"/>
      <c r="C509" s="270"/>
      <c r="D509" s="270"/>
      <c r="E509" s="270"/>
      <c r="F509" s="270"/>
      <c r="G509" s="270"/>
      <c r="H509" s="270"/>
      <c r="I509" s="270"/>
      <c r="J509" s="270"/>
    </row>
    <row r="510" spans="1:10" ht="16.899999999999999" x14ac:dyDescent="0.5">
      <c r="A510" s="270"/>
      <c r="B510" s="270"/>
      <c r="C510" s="270"/>
      <c r="D510" s="270"/>
      <c r="E510" s="270"/>
      <c r="F510" s="270"/>
      <c r="G510" s="270"/>
      <c r="H510" s="270"/>
      <c r="I510" s="270"/>
      <c r="J510" s="270"/>
    </row>
    <row r="511" spans="1:10" ht="16.899999999999999" x14ac:dyDescent="0.5">
      <c r="A511" s="270"/>
      <c r="B511" s="270"/>
      <c r="C511" s="270"/>
      <c r="D511" s="270"/>
      <c r="E511" s="270"/>
      <c r="F511" s="270"/>
      <c r="G511" s="270"/>
      <c r="H511" s="270"/>
      <c r="I511" s="270"/>
      <c r="J511" s="270"/>
    </row>
    <row r="512" spans="1:10" ht="16.899999999999999" x14ac:dyDescent="0.5">
      <c r="A512" s="270"/>
      <c r="B512" s="270"/>
      <c r="C512" s="270"/>
      <c r="D512" s="270"/>
      <c r="E512" s="270"/>
      <c r="F512" s="270"/>
      <c r="G512" s="270"/>
      <c r="H512" s="270"/>
      <c r="I512" s="270"/>
      <c r="J512" s="270"/>
    </row>
    <row r="513" spans="1:10" ht="16.899999999999999" x14ac:dyDescent="0.5">
      <c r="A513" s="270"/>
      <c r="B513" s="270"/>
      <c r="C513" s="270"/>
      <c r="D513" s="270"/>
      <c r="E513" s="270"/>
      <c r="F513" s="270"/>
      <c r="G513" s="270"/>
      <c r="H513" s="270"/>
      <c r="I513" s="270"/>
      <c r="J513" s="270"/>
    </row>
    <row r="514" spans="1:10" ht="16.899999999999999" x14ac:dyDescent="0.5">
      <c r="A514" s="270"/>
      <c r="B514" s="270"/>
      <c r="C514" s="270"/>
      <c r="D514" s="270"/>
      <c r="E514" s="270"/>
      <c r="F514" s="270"/>
      <c r="G514" s="270"/>
      <c r="H514" s="270"/>
      <c r="I514" s="270"/>
      <c r="J514" s="270"/>
    </row>
    <row r="515" spans="1:10" ht="16.899999999999999" x14ac:dyDescent="0.5">
      <c r="A515" s="270"/>
      <c r="B515" s="270"/>
      <c r="C515" s="270"/>
      <c r="D515" s="270"/>
      <c r="E515" s="270"/>
      <c r="F515" s="270"/>
      <c r="G515" s="270"/>
      <c r="H515" s="270"/>
      <c r="I515" s="270"/>
      <c r="J515" s="270"/>
    </row>
    <row r="516" spans="1:10" ht="16.899999999999999" x14ac:dyDescent="0.5">
      <c r="A516" s="270"/>
      <c r="B516" s="270"/>
      <c r="C516" s="270"/>
      <c r="D516" s="270"/>
      <c r="E516" s="270"/>
      <c r="F516" s="270"/>
      <c r="G516" s="270"/>
      <c r="H516" s="270"/>
      <c r="I516" s="270"/>
      <c r="J516" s="270"/>
    </row>
    <row r="517" spans="1:10" ht="16.899999999999999" x14ac:dyDescent="0.5">
      <c r="A517" s="270"/>
      <c r="B517" s="270"/>
      <c r="C517" s="270"/>
      <c r="D517" s="270"/>
      <c r="E517" s="270"/>
      <c r="F517" s="270"/>
      <c r="G517" s="270"/>
      <c r="H517" s="270"/>
      <c r="I517" s="270"/>
      <c r="J517" s="270"/>
    </row>
    <row r="518" spans="1:10" ht="16.899999999999999" x14ac:dyDescent="0.5">
      <c r="A518" s="270"/>
      <c r="B518" s="270"/>
      <c r="C518" s="270"/>
      <c r="D518" s="270"/>
      <c r="E518" s="270"/>
      <c r="F518" s="270"/>
      <c r="G518" s="270"/>
      <c r="H518" s="270"/>
      <c r="I518" s="270"/>
      <c r="J518" s="270"/>
    </row>
    <row r="519" spans="1:10" ht="16.899999999999999" x14ac:dyDescent="0.5">
      <c r="A519" s="270"/>
      <c r="B519" s="270"/>
      <c r="C519" s="270"/>
      <c r="D519" s="270"/>
      <c r="E519" s="270"/>
      <c r="F519" s="270"/>
      <c r="G519" s="270"/>
      <c r="H519" s="270"/>
      <c r="I519" s="270"/>
      <c r="J519" s="270"/>
    </row>
    <row r="520" spans="1:10" ht="16.899999999999999" x14ac:dyDescent="0.5">
      <c r="A520" s="270"/>
      <c r="B520" s="270"/>
      <c r="C520" s="270"/>
      <c r="D520" s="270"/>
      <c r="E520" s="270"/>
      <c r="F520" s="270"/>
      <c r="G520" s="270"/>
      <c r="H520" s="270"/>
      <c r="I520" s="270"/>
      <c r="J520" s="270"/>
    </row>
    <row r="521" spans="1:10" ht="16.899999999999999" x14ac:dyDescent="0.5">
      <c r="A521" s="270"/>
      <c r="B521" s="270"/>
      <c r="C521" s="270"/>
      <c r="D521" s="270"/>
      <c r="E521" s="270"/>
      <c r="F521" s="270"/>
      <c r="G521" s="270"/>
      <c r="H521" s="270"/>
      <c r="I521" s="270"/>
      <c r="J521" s="270"/>
    </row>
    <row r="522" spans="1:10" ht="16.899999999999999" x14ac:dyDescent="0.5">
      <c r="A522" s="270"/>
      <c r="B522" s="270"/>
      <c r="C522" s="270"/>
      <c r="D522" s="270"/>
      <c r="E522" s="270"/>
      <c r="F522" s="270"/>
      <c r="G522" s="270"/>
      <c r="H522" s="270"/>
      <c r="I522" s="270"/>
      <c r="J522" s="270"/>
    </row>
    <row r="523" spans="1:10" ht="16.899999999999999" x14ac:dyDescent="0.5">
      <c r="A523" s="270"/>
      <c r="B523" s="270"/>
      <c r="C523" s="270"/>
      <c r="D523" s="270"/>
      <c r="E523" s="270"/>
      <c r="F523" s="270"/>
      <c r="G523" s="270"/>
      <c r="H523" s="270"/>
      <c r="I523" s="270"/>
      <c r="J523" s="270"/>
    </row>
    <row r="524" spans="1:10" ht="16.899999999999999" x14ac:dyDescent="0.5">
      <c r="A524" s="270"/>
      <c r="B524" s="270"/>
      <c r="C524" s="270"/>
      <c r="D524" s="270"/>
      <c r="E524" s="270"/>
      <c r="F524" s="270"/>
      <c r="G524" s="270"/>
      <c r="H524" s="270"/>
      <c r="I524" s="270"/>
      <c r="J524" s="270"/>
    </row>
    <row r="525" spans="1:10" ht="16.899999999999999" x14ac:dyDescent="0.5">
      <c r="A525" s="270"/>
      <c r="B525" s="270"/>
      <c r="C525" s="270"/>
      <c r="D525" s="270"/>
      <c r="E525" s="270"/>
      <c r="F525" s="270"/>
      <c r="G525" s="270"/>
      <c r="H525" s="270"/>
      <c r="I525" s="270"/>
      <c r="J525" s="270"/>
    </row>
    <row r="526" spans="1:10" ht="16.899999999999999" x14ac:dyDescent="0.5">
      <c r="A526" s="270"/>
      <c r="B526" s="270"/>
      <c r="C526" s="270"/>
      <c r="D526" s="270"/>
      <c r="E526" s="270"/>
      <c r="F526" s="270"/>
      <c r="G526" s="270"/>
      <c r="H526" s="270"/>
      <c r="I526" s="270"/>
      <c r="J526" s="270"/>
    </row>
    <row r="527" spans="1:10" ht="16.899999999999999" x14ac:dyDescent="0.5">
      <c r="A527" s="270"/>
      <c r="B527" s="270"/>
      <c r="C527" s="270"/>
      <c r="D527" s="270"/>
      <c r="E527" s="270"/>
      <c r="F527" s="270"/>
      <c r="G527" s="270"/>
      <c r="H527" s="270"/>
      <c r="I527" s="270"/>
      <c r="J527" s="270"/>
    </row>
    <row r="528" spans="1:10" ht="16.899999999999999" x14ac:dyDescent="0.5">
      <c r="A528" s="270"/>
      <c r="B528" s="270"/>
      <c r="C528" s="270"/>
      <c r="D528" s="270"/>
      <c r="E528" s="270"/>
      <c r="F528" s="270"/>
      <c r="G528" s="270"/>
      <c r="H528" s="270"/>
      <c r="I528" s="270"/>
      <c r="J528" s="270"/>
    </row>
    <row r="529" spans="1:10" ht="16.899999999999999" x14ac:dyDescent="0.5">
      <c r="A529" s="270"/>
      <c r="B529" s="270"/>
      <c r="C529" s="270"/>
      <c r="D529" s="270"/>
      <c r="E529" s="270"/>
      <c r="F529" s="270"/>
      <c r="G529" s="270"/>
      <c r="H529" s="270"/>
      <c r="I529" s="270"/>
      <c r="J529" s="270"/>
    </row>
    <row r="530" spans="1:10" ht="16.899999999999999" x14ac:dyDescent="0.5">
      <c r="A530" s="270"/>
      <c r="B530" s="270"/>
      <c r="C530" s="270"/>
      <c r="D530" s="270"/>
      <c r="E530" s="270"/>
      <c r="F530" s="270"/>
      <c r="G530" s="270"/>
      <c r="H530" s="270"/>
      <c r="I530" s="270"/>
      <c r="J530" s="270"/>
    </row>
    <row r="531" spans="1:10" ht="16.899999999999999" x14ac:dyDescent="0.5">
      <c r="A531" s="270"/>
      <c r="B531" s="270"/>
      <c r="C531" s="270"/>
      <c r="D531" s="270"/>
      <c r="E531" s="270"/>
      <c r="F531" s="270"/>
      <c r="G531" s="270"/>
      <c r="H531" s="270"/>
      <c r="I531" s="270"/>
      <c r="J531" s="270"/>
    </row>
    <row r="532" spans="1:10" ht="16.899999999999999" x14ac:dyDescent="0.5">
      <c r="A532" s="270"/>
      <c r="B532" s="270"/>
      <c r="C532" s="270"/>
      <c r="D532" s="270"/>
      <c r="E532" s="270"/>
      <c r="F532" s="270"/>
      <c r="G532" s="270"/>
      <c r="H532" s="270"/>
      <c r="I532" s="270"/>
      <c r="J532" s="270"/>
    </row>
    <row r="533" spans="1:10" ht="16.899999999999999" x14ac:dyDescent="0.5">
      <c r="A533" s="270"/>
      <c r="B533" s="270"/>
      <c r="C533" s="270"/>
      <c r="D533" s="270"/>
      <c r="E533" s="270"/>
      <c r="F533" s="270"/>
      <c r="G533" s="270"/>
      <c r="H533" s="270"/>
      <c r="I533" s="270"/>
      <c r="J533" s="270"/>
    </row>
    <row r="534" spans="1:10" ht="16.899999999999999" x14ac:dyDescent="0.5">
      <c r="A534" s="270"/>
      <c r="B534" s="270"/>
      <c r="C534" s="270"/>
      <c r="D534" s="270"/>
      <c r="E534" s="270"/>
      <c r="F534" s="270"/>
      <c r="G534" s="270"/>
      <c r="H534" s="270"/>
      <c r="I534" s="270"/>
      <c r="J534" s="270"/>
    </row>
    <row r="535" spans="1:10" ht="16.899999999999999" x14ac:dyDescent="0.5">
      <c r="A535" s="270"/>
      <c r="B535" s="270"/>
      <c r="C535" s="270"/>
      <c r="D535" s="270"/>
      <c r="E535" s="270"/>
      <c r="F535" s="270"/>
      <c r="G535" s="270"/>
      <c r="H535" s="270"/>
      <c r="I535" s="270"/>
      <c r="J535" s="270"/>
    </row>
    <row r="536" spans="1:10" ht="16.899999999999999" x14ac:dyDescent="0.5">
      <c r="A536" s="270"/>
      <c r="B536" s="270"/>
      <c r="C536" s="270"/>
      <c r="D536" s="270"/>
      <c r="E536" s="270"/>
      <c r="F536" s="270"/>
      <c r="G536" s="270"/>
      <c r="H536" s="270"/>
      <c r="I536" s="270"/>
      <c r="J536" s="270"/>
    </row>
    <row r="537" spans="1:10" ht="16.899999999999999" x14ac:dyDescent="0.5">
      <c r="A537" s="270"/>
      <c r="B537" s="270"/>
      <c r="C537" s="270"/>
      <c r="D537" s="270"/>
      <c r="E537" s="270"/>
      <c r="F537" s="270"/>
      <c r="G537" s="270"/>
      <c r="H537" s="270"/>
      <c r="I537" s="270"/>
      <c r="J537" s="270"/>
    </row>
    <row r="538" spans="1:10" ht="16.899999999999999" x14ac:dyDescent="0.5">
      <c r="A538" s="270"/>
      <c r="B538" s="270"/>
      <c r="C538" s="270"/>
      <c r="D538" s="270"/>
      <c r="E538" s="270"/>
      <c r="F538" s="270"/>
      <c r="G538" s="270"/>
      <c r="H538" s="270"/>
      <c r="I538" s="270"/>
      <c r="J538" s="270"/>
    </row>
    <row r="539" spans="1:10" ht="16.899999999999999" x14ac:dyDescent="0.5">
      <c r="A539" s="270"/>
      <c r="B539" s="270"/>
      <c r="C539" s="270"/>
      <c r="D539" s="270"/>
      <c r="E539" s="270"/>
      <c r="F539" s="270"/>
      <c r="G539" s="270"/>
      <c r="H539" s="270"/>
      <c r="I539" s="270"/>
      <c r="J539" s="270"/>
    </row>
    <row r="540" spans="1:10" ht="16.899999999999999" x14ac:dyDescent="0.5">
      <c r="A540" s="270"/>
      <c r="B540" s="270"/>
      <c r="C540" s="270"/>
      <c r="D540" s="270"/>
      <c r="E540" s="270"/>
      <c r="F540" s="270"/>
      <c r="G540" s="270"/>
      <c r="H540" s="270"/>
      <c r="I540" s="270"/>
      <c r="J540" s="270"/>
    </row>
    <row r="541" spans="1:10" ht="16.899999999999999" x14ac:dyDescent="0.5">
      <c r="A541" s="270"/>
      <c r="B541" s="270"/>
      <c r="C541" s="270"/>
      <c r="D541" s="270"/>
      <c r="E541" s="270"/>
      <c r="F541" s="270"/>
      <c r="G541" s="270"/>
      <c r="H541" s="270"/>
      <c r="I541" s="270"/>
      <c r="J541" s="270"/>
    </row>
    <row r="542" spans="1:10" ht="16.899999999999999" x14ac:dyDescent="0.5">
      <c r="A542" s="270"/>
      <c r="B542" s="270"/>
      <c r="C542" s="270"/>
      <c r="D542" s="270"/>
      <c r="E542" s="270"/>
      <c r="F542" s="270"/>
      <c r="G542" s="270"/>
      <c r="H542" s="270"/>
      <c r="I542" s="270"/>
      <c r="J542" s="270"/>
    </row>
    <row r="543" spans="1:10" ht="16.899999999999999" x14ac:dyDescent="0.5">
      <c r="A543" s="270"/>
      <c r="B543" s="270"/>
      <c r="C543" s="270"/>
      <c r="D543" s="270"/>
      <c r="E543" s="270"/>
      <c r="F543" s="270"/>
      <c r="G543" s="270"/>
      <c r="H543" s="270"/>
      <c r="I543" s="270"/>
      <c r="J543" s="270"/>
    </row>
    <row r="544" spans="1:10" ht="16.899999999999999" x14ac:dyDescent="0.5">
      <c r="A544" s="270"/>
      <c r="B544" s="270"/>
      <c r="C544" s="270"/>
      <c r="D544" s="270"/>
      <c r="E544" s="270"/>
      <c r="F544" s="270"/>
      <c r="G544" s="270"/>
      <c r="H544" s="270"/>
      <c r="I544" s="270"/>
      <c r="J544" s="270"/>
    </row>
    <row r="545" spans="1:10" ht="16.899999999999999" x14ac:dyDescent="0.5">
      <c r="A545" s="270"/>
      <c r="B545" s="270"/>
      <c r="C545" s="270"/>
      <c r="D545" s="270"/>
      <c r="E545" s="270"/>
      <c r="F545" s="270"/>
      <c r="G545" s="270"/>
      <c r="H545" s="270"/>
      <c r="I545" s="270"/>
      <c r="J545" s="270"/>
    </row>
    <row r="546" spans="1:10" ht="16.899999999999999" x14ac:dyDescent="0.5">
      <c r="A546" s="270"/>
      <c r="B546" s="270"/>
      <c r="C546" s="270"/>
      <c r="D546" s="270"/>
      <c r="E546" s="270"/>
      <c r="F546" s="270"/>
      <c r="G546" s="270"/>
      <c r="H546" s="270"/>
      <c r="I546" s="270"/>
      <c r="J546" s="270"/>
    </row>
    <row r="547" spans="1:10" ht="16.899999999999999" x14ac:dyDescent="0.5">
      <c r="A547" s="270"/>
      <c r="B547" s="270"/>
      <c r="C547" s="270"/>
      <c r="D547" s="270"/>
      <c r="E547" s="270"/>
      <c r="F547" s="270"/>
      <c r="G547" s="270"/>
      <c r="H547" s="270"/>
      <c r="I547" s="270"/>
      <c r="J547" s="270"/>
    </row>
    <row r="548" spans="1:10" ht="16.899999999999999" x14ac:dyDescent="0.5">
      <c r="A548" s="270"/>
      <c r="B548" s="270"/>
      <c r="C548" s="270"/>
      <c r="D548" s="270"/>
      <c r="E548" s="270"/>
      <c r="F548" s="270"/>
      <c r="G548" s="270"/>
      <c r="H548" s="270"/>
      <c r="I548" s="270"/>
      <c r="J548" s="270"/>
    </row>
    <row r="549" spans="1:10" ht="16.899999999999999" x14ac:dyDescent="0.5">
      <c r="A549" s="270"/>
      <c r="B549" s="270"/>
      <c r="C549" s="270"/>
      <c r="D549" s="270"/>
      <c r="E549" s="270"/>
      <c r="F549" s="270"/>
      <c r="G549" s="270"/>
      <c r="H549" s="270"/>
      <c r="I549" s="270"/>
      <c r="J549" s="270"/>
    </row>
    <row r="550" spans="1:10" ht="16.899999999999999" x14ac:dyDescent="0.5">
      <c r="A550" s="270"/>
      <c r="B550" s="270"/>
      <c r="C550" s="270"/>
      <c r="D550" s="270"/>
      <c r="E550" s="270"/>
      <c r="F550" s="270"/>
      <c r="G550" s="270"/>
      <c r="H550" s="270"/>
      <c r="I550" s="270"/>
      <c r="J550" s="270"/>
    </row>
    <row r="551" spans="1:10" ht="16.899999999999999" x14ac:dyDescent="0.5">
      <c r="A551" s="270"/>
      <c r="B551" s="270"/>
      <c r="C551" s="270"/>
      <c r="D551" s="270"/>
      <c r="E551" s="270"/>
      <c r="F551" s="270"/>
      <c r="G551" s="270"/>
      <c r="H551" s="270"/>
      <c r="I551" s="270"/>
      <c r="J551" s="270"/>
    </row>
    <row r="552" spans="1:10" ht="16.899999999999999" x14ac:dyDescent="0.5">
      <c r="A552" s="270"/>
      <c r="B552" s="270"/>
      <c r="C552" s="270"/>
      <c r="D552" s="270"/>
      <c r="E552" s="270"/>
      <c r="F552" s="270"/>
      <c r="G552" s="270"/>
      <c r="H552" s="270"/>
      <c r="I552" s="270"/>
      <c r="J552" s="270"/>
    </row>
    <row r="553" spans="1:10" ht="16.899999999999999" x14ac:dyDescent="0.5">
      <c r="A553" s="270"/>
      <c r="B553" s="270"/>
      <c r="C553" s="270"/>
      <c r="D553" s="270"/>
      <c r="E553" s="270"/>
      <c r="F553" s="270"/>
      <c r="G553" s="270"/>
      <c r="H553" s="270"/>
      <c r="I553" s="270"/>
      <c r="J553" s="270"/>
    </row>
    <row r="554" spans="1:10" ht="16.899999999999999" x14ac:dyDescent="0.5">
      <c r="A554" s="270"/>
      <c r="B554" s="270"/>
      <c r="C554" s="270"/>
      <c r="D554" s="270"/>
      <c r="E554" s="270"/>
      <c r="F554" s="270"/>
      <c r="G554" s="270"/>
      <c r="H554" s="270"/>
      <c r="I554" s="270"/>
      <c r="J554" s="270"/>
    </row>
    <row r="555" spans="1:10" ht="16.899999999999999" x14ac:dyDescent="0.5">
      <c r="A555" s="270"/>
      <c r="B555" s="270"/>
      <c r="C555" s="270"/>
      <c r="D555" s="270"/>
      <c r="E555" s="270"/>
      <c r="F555" s="270"/>
      <c r="G555" s="270"/>
      <c r="H555" s="270"/>
      <c r="I555" s="270"/>
      <c r="J555" s="270"/>
    </row>
    <row r="556" spans="1:10" ht="16.899999999999999" x14ac:dyDescent="0.5">
      <c r="A556" s="270"/>
      <c r="B556" s="270"/>
      <c r="C556" s="270"/>
      <c r="D556" s="270"/>
      <c r="E556" s="270"/>
      <c r="F556" s="270"/>
      <c r="G556" s="270"/>
      <c r="H556" s="270"/>
      <c r="I556" s="270"/>
      <c r="J556" s="270"/>
    </row>
    <row r="557" spans="1:10" ht="16.899999999999999" x14ac:dyDescent="0.5">
      <c r="A557" s="270"/>
      <c r="B557" s="270"/>
      <c r="C557" s="270"/>
      <c r="D557" s="270"/>
      <c r="E557" s="270"/>
      <c r="F557" s="270"/>
      <c r="G557" s="270"/>
      <c r="H557" s="270"/>
      <c r="I557" s="270"/>
      <c r="J557" s="270"/>
    </row>
    <row r="558" spans="1:10" ht="16.899999999999999" x14ac:dyDescent="0.5">
      <c r="A558" s="270"/>
      <c r="B558" s="270"/>
      <c r="C558" s="270"/>
      <c r="D558" s="270"/>
      <c r="E558" s="270"/>
      <c r="F558" s="270"/>
      <c r="G558" s="270"/>
      <c r="H558" s="270"/>
      <c r="I558" s="270"/>
      <c r="J558" s="270"/>
    </row>
    <row r="559" spans="1:10" ht="16.899999999999999" x14ac:dyDescent="0.5">
      <c r="A559" s="270"/>
      <c r="B559" s="270"/>
      <c r="C559" s="270"/>
      <c r="D559" s="270"/>
      <c r="E559" s="270"/>
      <c r="F559" s="270"/>
      <c r="G559" s="270"/>
      <c r="H559" s="270"/>
      <c r="I559" s="270"/>
      <c r="J559" s="270"/>
    </row>
    <row r="560" spans="1:10" ht="16.899999999999999" x14ac:dyDescent="0.5">
      <c r="A560" s="270"/>
      <c r="B560" s="270"/>
      <c r="C560" s="270"/>
      <c r="D560" s="270"/>
      <c r="E560" s="270"/>
      <c r="F560" s="270"/>
      <c r="G560" s="270"/>
      <c r="H560" s="270"/>
      <c r="I560" s="270"/>
      <c r="J560" s="270"/>
    </row>
    <row r="561" spans="1:10" ht="16.899999999999999" x14ac:dyDescent="0.5">
      <c r="A561" s="270"/>
      <c r="B561" s="270"/>
      <c r="C561" s="270"/>
      <c r="D561" s="270"/>
      <c r="E561" s="270"/>
      <c r="F561" s="270"/>
      <c r="G561" s="270"/>
      <c r="H561" s="270"/>
      <c r="I561" s="270"/>
      <c r="J561" s="270"/>
    </row>
    <row r="562" spans="1:10" ht="16.899999999999999" x14ac:dyDescent="0.5">
      <c r="A562" s="270"/>
      <c r="B562" s="270"/>
      <c r="C562" s="270"/>
      <c r="D562" s="270"/>
      <c r="E562" s="270"/>
      <c r="F562" s="270"/>
      <c r="G562" s="270"/>
      <c r="H562" s="270"/>
      <c r="I562" s="270"/>
      <c r="J562" s="270"/>
    </row>
    <row r="563" spans="1:10" ht="16.899999999999999" x14ac:dyDescent="0.5">
      <c r="A563" s="270"/>
      <c r="B563" s="270"/>
      <c r="C563" s="270"/>
      <c r="D563" s="270"/>
      <c r="E563" s="270"/>
      <c r="F563" s="270"/>
      <c r="G563" s="270"/>
      <c r="H563" s="270"/>
      <c r="I563" s="270"/>
      <c r="J563" s="270"/>
    </row>
    <row r="564" spans="1:10" ht="16.899999999999999" x14ac:dyDescent="0.5">
      <c r="A564" s="270"/>
      <c r="B564" s="270"/>
      <c r="C564" s="270"/>
      <c r="D564" s="270"/>
      <c r="E564" s="270"/>
      <c r="F564" s="270"/>
      <c r="G564" s="270"/>
      <c r="H564" s="270"/>
      <c r="I564" s="270"/>
      <c r="J564" s="270"/>
    </row>
    <row r="565" spans="1:10" ht="16.899999999999999" x14ac:dyDescent="0.5">
      <c r="A565" s="270"/>
      <c r="B565" s="270"/>
      <c r="C565" s="270"/>
      <c r="D565" s="270"/>
      <c r="E565" s="270"/>
      <c r="F565" s="270"/>
      <c r="G565" s="270"/>
      <c r="H565" s="270"/>
      <c r="I565" s="270"/>
      <c r="J565" s="270"/>
    </row>
    <row r="566" spans="1:10" ht="16.899999999999999" x14ac:dyDescent="0.5">
      <c r="A566" s="270"/>
      <c r="B566" s="270"/>
      <c r="C566" s="270"/>
      <c r="D566" s="270"/>
      <c r="E566" s="270"/>
      <c r="F566" s="270"/>
      <c r="G566" s="270"/>
      <c r="H566" s="270"/>
      <c r="I566" s="270"/>
      <c r="J566" s="270"/>
    </row>
    <row r="567" spans="1:10" ht="16.899999999999999" x14ac:dyDescent="0.5">
      <c r="A567" s="270"/>
      <c r="B567" s="270"/>
      <c r="C567" s="270"/>
      <c r="D567" s="270"/>
      <c r="E567" s="270"/>
      <c r="F567" s="270"/>
      <c r="G567" s="270"/>
      <c r="H567" s="270"/>
      <c r="I567" s="270"/>
      <c r="J567" s="270"/>
    </row>
    <row r="568" spans="1:10" ht="16.899999999999999" x14ac:dyDescent="0.5">
      <c r="A568" s="270"/>
      <c r="B568" s="270"/>
      <c r="C568" s="270"/>
      <c r="D568" s="270"/>
      <c r="E568" s="270"/>
      <c r="F568" s="270"/>
      <c r="G568" s="270"/>
      <c r="H568" s="270"/>
      <c r="I568" s="270"/>
      <c r="J568" s="270"/>
    </row>
    <row r="569" spans="1:10" ht="16.899999999999999" x14ac:dyDescent="0.5">
      <c r="A569" s="270"/>
      <c r="B569" s="270"/>
      <c r="C569" s="270"/>
      <c r="D569" s="270"/>
      <c r="E569" s="270"/>
      <c r="F569" s="270"/>
      <c r="G569" s="270"/>
      <c r="H569" s="270"/>
      <c r="I569" s="270"/>
      <c r="J569" s="270"/>
    </row>
    <row r="570" spans="1:10" ht="16.899999999999999" x14ac:dyDescent="0.5">
      <c r="A570" s="270"/>
      <c r="B570" s="270"/>
      <c r="C570" s="270"/>
      <c r="D570" s="270"/>
      <c r="E570" s="270"/>
      <c r="F570" s="270"/>
      <c r="G570" s="270"/>
      <c r="H570" s="270"/>
      <c r="I570" s="270"/>
      <c r="J570" s="270"/>
    </row>
    <row r="571" spans="1:10" ht="16.899999999999999" x14ac:dyDescent="0.5">
      <c r="A571" s="270"/>
      <c r="B571" s="270"/>
      <c r="C571" s="270"/>
      <c r="D571" s="270"/>
      <c r="E571" s="270"/>
      <c r="F571" s="270"/>
      <c r="G571" s="270"/>
      <c r="H571" s="270"/>
      <c r="I571" s="270"/>
      <c r="J571" s="270"/>
    </row>
    <row r="572" spans="1:10" ht="16.899999999999999" x14ac:dyDescent="0.5">
      <c r="A572" s="270"/>
      <c r="B572" s="270"/>
      <c r="C572" s="270"/>
      <c r="D572" s="270"/>
      <c r="E572" s="270"/>
      <c r="F572" s="270"/>
      <c r="G572" s="270"/>
      <c r="H572" s="270"/>
      <c r="I572" s="270"/>
      <c r="J572" s="270"/>
    </row>
    <row r="573" spans="1:10" ht="16.899999999999999" x14ac:dyDescent="0.5">
      <c r="A573" s="270"/>
      <c r="B573" s="270"/>
      <c r="C573" s="270"/>
      <c r="D573" s="270"/>
      <c r="E573" s="270"/>
      <c r="F573" s="270"/>
      <c r="G573" s="270"/>
      <c r="H573" s="270"/>
      <c r="I573" s="270"/>
      <c r="J573" s="270"/>
    </row>
    <row r="574" spans="1:10" ht="16.899999999999999" x14ac:dyDescent="0.5">
      <c r="A574" s="270"/>
      <c r="B574" s="270"/>
      <c r="C574" s="270"/>
      <c r="D574" s="270"/>
      <c r="E574" s="270"/>
      <c r="F574" s="270"/>
      <c r="G574" s="270"/>
      <c r="H574" s="270"/>
      <c r="I574" s="270"/>
      <c r="J574" s="270"/>
    </row>
    <row r="575" spans="1:10" ht="16.899999999999999" x14ac:dyDescent="0.5">
      <c r="A575" s="270"/>
      <c r="B575" s="270"/>
      <c r="C575" s="270"/>
      <c r="D575" s="270"/>
      <c r="E575" s="270"/>
      <c r="F575" s="270"/>
      <c r="G575" s="270"/>
      <c r="H575" s="270"/>
      <c r="I575" s="270"/>
      <c r="J575" s="270"/>
    </row>
    <row r="576" spans="1:10" ht="16.899999999999999" x14ac:dyDescent="0.5">
      <c r="A576" s="270"/>
      <c r="B576" s="270"/>
      <c r="C576" s="270"/>
      <c r="D576" s="270"/>
      <c r="E576" s="270"/>
      <c r="F576" s="270"/>
      <c r="G576" s="270"/>
      <c r="H576" s="270"/>
      <c r="I576" s="270"/>
      <c r="J576" s="270"/>
    </row>
    <row r="577" spans="1:10" ht="16.899999999999999" x14ac:dyDescent="0.5">
      <c r="A577" s="270"/>
      <c r="B577" s="270"/>
      <c r="C577" s="270"/>
      <c r="D577" s="270"/>
      <c r="E577" s="270"/>
      <c r="F577" s="270"/>
      <c r="G577" s="270"/>
      <c r="H577" s="270"/>
      <c r="I577" s="270"/>
      <c r="J577" s="270"/>
    </row>
    <row r="578" spans="1:10" ht="16.899999999999999" x14ac:dyDescent="0.5">
      <c r="A578" s="270"/>
      <c r="B578" s="270"/>
      <c r="C578" s="270"/>
      <c r="D578" s="270"/>
      <c r="E578" s="270"/>
      <c r="F578" s="270"/>
      <c r="G578" s="270"/>
      <c r="H578" s="270"/>
      <c r="I578" s="270"/>
      <c r="J578" s="270"/>
    </row>
    <row r="579" spans="1:10" ht="16.899999999999999" x14ac:dyDescent="0.5">
      <c r="A579" s="270"/>
      <c r="B579" s="270"/>
      <c r="C579" s="270"/>
      <c r="D579" s="270"/>
      <c r="E579" s="270"/>
      <c r="F579" s="270"/>
      <c r="G579" s="270"/>
      <c r="H579" s="270"/>
      <c r="I579" s="270"/>
      <c r="J579" s="270"/>
    </row>
    <row r="580" spans="1:10" ht="16.899999999999999" x14ac:dyDescent="0.5">
      <c r="A580" s="270"/>
      <c r="B580" s="270"/>
      <c r="C580" s="270"/>
      <c r="D580" s="270"/>
      <c r="E580" s="270"/>
      <c r="F580" s="270"/>
      <c r="G580" s="270"/>
      <c r="H580" s="270"/>
      <c r="I580" s="270"/>
      <c r="J580" s="270"/>
    </row>
    <row r="581" spans="1:10" ht="16.899999999999999" x14ac:dyDescent="0.5">
      <c r="A581" s="270"/>
      <c r="B581" s="270"/>
      <c r="C581" s="270"/>
      <c r="D581" s="270"/>
      <c r="E581" s="270"/>
      <c r="F581" s="270"/>
      <c r="G581" s="270"/>
      <c r="H581" s="270"/>
      <c r="I581" s="270"/>
      <c r="J581" s="270"/>
    </row>
    <row r="582" spans="1:10" ht="16.899999999999999" x14ac:dyDescent="0.5">
      <c r="A582" s="270"/>
      <c r="B582" s="270"/>
      <c r="C582" s="270"/>
      <c r="D582" s="270"/>
      <c r="E582" s="270"/>
      <c r="F582" s="270"/>
      <c r="G582" s="270"/>
      <c r="H582" s="270"/>
      <c r="I582" s="270"/>
      <c r="J582" s="270"/>
    </row>
    <row r="583" spans="1:10" ht="16.899999999999999" x14ac:dyDescent="0.5">
      <c r="A583" s="270"/>
      <c r="B583" s="270"/>
      <c r="C583" s="270"/>
      <c r="D583" s="270"/>
      <c r="E583" s="270"/>
      <c r="F583" s="270"/>
      <c r="G583" s="270"/>
      <c r="H583" s="270"/>
      <c r="I583" s="270"/>
      <c r="J583" s="270"/>
    </row>
    <row r="584" spans="1:10" ht="16.899999999999999" x14ac:dyDescent="0.5">
      <c r="A584" s="270"/>
      <c r="B584" s="270"/>
      <c r="C584" s="270"/>
      <c r="D584" s="270"/>
      <c r="E584" s="270"/>
      <c r="F584" s="270"/>
      <c r="G584" s="270"/>
      <c r="H584" s="270"/>
      <c r="I584" s="270"/>
      <c r="J584" s="270"/>
    </row>
    <row r="585" spans="1:10" ht="16.899999999999999" x14ac:dyDescent="0.5">
      <c r="A585" s="270"/>
      <c r="B585" s="270"/>
      <c r="C585" s="270"/>
      <c r="D585" s="270"/>
      <c r="E585" s="270"/>
      <c r="F585" s="270"/>
      <c r="G585" s="270"/>
      <c r="H585" s="270"/>
      <c r="I585" s="270"/>
      <c r="J585" s="270"/>
    </row>
    <row r="586" spans="1:10" ht="16.899999999999999" x14ac:dyDescent="0.5">
      <c r="A586" s="270"/>
      <c r="B586" s="270"/>
      <c r="C586" s="270"/>
      <c r="D586" s="270"/>
      <c r="E586" s="270"/>
      <c r="F586" s="270"/>
      <c r="G586" s="270"/>
      <c r="H586" s="270"/>
      <c r="I586" s="270"/>
      <c r="J586" s="270"/>
    </row>
    <row r="587" spans="1:10" ht="16.899999999999999" x14ac:dyDescent="0.5">
      <c r="A587" s="270"/>
      <c r="B587" s="270"/>
      <c r="C587" s="270"/>
      <c r="D587" s="270"/>
      <c r="E587" s="270"/>
      <c r="F587" s="270"/>
      <c r="G587" s="270"/>
      <c r="H587" s="270"/>
      <c r="I587" s="270"/>
      <c r="J587" s="270"/>
    </row>
    <row r="588" spans="1:10" ht="16.899999999999999" x14ac:dyDescent="0.5">
      <c r="A588" s="270"/>
      <c r="B588" s="270"/>
      <c r="C588" s="270"/>
      <c r="D588" s="270"/>
      <c r="E588" s="270"/>
      <c r="F588" s="270"/>
      <c r="G588" s="270"/>
      <c r="H588" s="270"/>
      <c r="I588" s="270"/>
      <c r="J588" s="270"/>
    </row>
    <row r="589" spans="1:10" ht="16.899999999999999" x14ac:dyDescent="0.5">
      <c r="A589" s="270"/>
      <c r="B589" s="270"/>
      <c r="C589" s="270"/>
      <c r="D589" s="270"/>
      <c r="E589" s="270"/>
      <c r="F589" s="270"/>
      <c r="G589" s="270"/>
      <c r="H589" s="270"/>
      <c r="I589" s="270"/>
      <c r="J589" s="270"/>
    </row>
    <row r="590" spans="1:10" ht="16.899999999999999" x14ac:dyDescent="0.5">
      <c r="A590" s="270"/>
      <c r="B590" s="270"/>
      <c r="C590" s="270"/>
      <c r="D590" s="270"/>
      <c r="E590" s="270"/>
      <c r="F590" s="270"/>
      <c r="G590" s="270"/>
      <c r="H590" s="270"/>
      <c r="I590" s="270"/>
      <c r="J590" s="270"/>
    </row>
    <row r="591" spans="1:10" ht="16.899999999999999" x14ac:dyDescent="0.5">
      <c r="A591" s="270"/>
      <c r="B591" s="270"/>
      <c r="C591" s="270"/>
      <c r="D591" s="270"/>
      <c r="E591" s="270"/>
      <c r="F591" s="270"/>
      <c r="G591" s="270"/>
      <c r="H591" s="270"/>
      <c r="I591" s="270"/>
      <c r="J591" s="270"/>
    </row>
    <row r="592" spans="1:10" ht="16.899999999999999" x14ac:dyDescent="0.5">
      <c r="A592" s="270"/>
      <c r="B592" s="270"/>
      <c r="C592" s="270"/>
      <c r="D592" s="270"/>
      <c r="E592" s="270"/>
      <c r="F592" s="270"/>
      <c r="G592" s="270"/>
      <c r="H592" s="270"/>
      <c r="I592" s="270"/>
      <c r="J592" s="270"/>
    </row>
    <row r="593" spans="1:10" ht="16.899999999999999" x14ac:dyDescent="0.5">
      <c r="A593" s="270"/>
      <c r="B593" s="270"/>
      <c r="C593" s="270"/>
      <c r="D593" s="270"/>
      <c r="E593" s="270"/>
      <c r="F593" s="270"/>
      <c r="G593" s="270"/>
      <c r="H593" s="270"/>
      <c r="I593" s="270"/>
      <c r="J593" s="270"/>
    </row>
    <row r="594" spans="1:10" ht="16.899999999999999" x14ac:dyDescent="0.5">
      <c r="A594" s="270"/>
      <c r="B594" s="270"/>
      <c r="C594" s="270"/>
      <c r="D594" s="270"/>
      <c r="E594" s="270"/>
      <c r="F594" s="270"/>
      <c r="G594" s="270"/>
      <c r="H594" s="270"/>
      <c r="I594" s="270"/>
      <c r="J594" s="270"/>
    </row>
    <row r="595" spans="1:10" ht="16.899999999999999" x14ac:dyDescent="0.5">
      <c r="A595" s="270"/>
      <c r="B595" s="270"/>
      <c r="C595" s="270"/>
      <c r="D595" s="270"/>
      <c r="E595" s="270"/>
      <c r="F595" s="270"/>
      <c r="G595" s="270"/>
      <c r="H595" s="270"/>
      <c r="I595" s="270"/>
      <c r="J595" s="270"/>
    </row>
    <row r="596" spans="1:10" ht="16.899999999999999" x14ac:dyDescent="0.5">
      <c r="A596" s="270"/>
      <c r="B596" s="270"/>
      <c r="C596" s="270"/>
      <c r="D596" s="270"/>
      <c r="E596" s="270"/>
      <c r="F596" s="270"/>
      <c r="G596" s="270"/>
      <c r="H596" s="270"/>
      <c r="I596" s="270"/>
      <c r="J596" s="270"/>
    </row>
    <row r="597" spans="1:10" ht="16.899999999999999" x14ac:dyDescent="0.5">
      <c r="A597" s="270"/>
      <c r="B597" s="270"/>
      <c r="C597" s="270"/>
      <c r="D597" s="270"/>
      <c r="E597" s="270"/>
      <c r="F597" s="270"/>
      <c r="G597" s="270"/>
      <c r="H597" s="270"/>
      <c r="I597" s="270"/>
      <c r="J597" s="270"/>
    </row>
    <row r="598" spans="1:10" ht="16.899999999999999" x14ac:dyDescent="0.5">
      <c r="A598" s="270"/>
      <c r="B598" s="270"/>
      <c r="C598" s="270"/>
      <c r="D598" s="270"/>
      <c r="E598" s="270"/>
      <c r="F598" s="270"/>
      <c r="G598" s="270"/>
      <c r="H598" s="270"/>
      <c r="I598" s="270"/>
      <c r="J598" s="270"/>
    </row>
    <row r="599" spans="1:10" ht="16.899999999999999" x14ac:dyDescent="0.5">
      <c r="A599" s="270"/>
      <c r="B599" s="270"/>
      <c r="C599" s="270"/>
      <c r="D599" s="270"/>
      <c r="E599" s="270"/>
      <c r="F599" s="270"/>
      <c r="G599" s="270"/>
      <c r="H599" s="270"/>
      <c r="I599" s="270"/>
      <c r="J599" s="270"/>
    </row>
    <row r="600" spans="1:10" ht="16.899999999999999" x14ac:dyDescent="0.5">
      <c r="A600" s="270"/>
      <c r="B600" s="270"/>
      <c r="C600" s="270"/>
      <c r="D600" s="270"/>
      <c r="E600" s="270"/>
      <c r="F600" s="270"/>
      <c r="G600" s="270"/>
      <c r="H600" s="270"/>
      <c r="I600" s="270"/>
      <c r="J600" s="270"/>
    </row>
    <row r="601" spans="1:10" ht="16.899999999999999" x14ac:dyDescent="0.5">
      <c r="A601" s="270"/>
      <c r="B601" s="270"/>
      <c r="C601" s="270"/>
      <c r="D601" s="270"/>
      <c r="E601" s="270"/>
      <c r="F601" s="270"/>
      <c r="G601" s="270"/>
      <c r="H601" s="270"/>
      <c r="I601" s="270"/>
      <c r="J601" s="270"/>
    </row>
    <row r="602" spans="1:10" ht="16.899999999999999" x14ac:dyDescent="0.5">
      <c r="A602" s="270"/>
      <c r="B602" s="270"/>
      <c r="C602" s="270"/>
      <c r="D602" s="270"/>
      <c r="E602" s="270"/>
      <c r="F602" s="270"/>
      <c r="G602" s="270"/>
      <c r="H602" s="270"/>
      <c r="I602" s="270"/>
      <c r="J602" s="270"/>
    </row>
    <row r="603" spans="1:10" ht="16.899999999999999" x14ac:dyDescent="0.5">
      <c r="A603" s="270"/>
      <c r="B603" s="270"/>
      <c r="C603" s="270"/>
      <c r="D603" s="270"/>
      <c r="E603" s="270"/>
      <c r="F603" s="270"/>
      <c r="G603" s="270"/>
      <c r="H603" s="270"/>
      <c r="I603" s="270"/>
      <c r="J603" s="270"/>
    </row>
    <row r="604" spans="1:10" ht="16.899999999999999" x14ac:dyDescent="0.5">
      <c r="A604" s="270"/>
      <c r="B604" s="270"/>
      <c r="C604" s="270"/>
      <c r="D604" s="270"/>
      <c r="E604" s="270"/>
      <c r="F604" s="270"/>
      <c r="G604" s="270"/>
      <c r="H604" s="270"/>
      <c r="I604" s="270"/>
      <c r="J604" s="270"/>
    </row>
    <row r="605" spans="1:10" ht="16.899999999999999" x14ac:dyDescent="0.5">
      <c r="A605" s="270"/>
      <c r="B605" s="270"/>
      <c r="C605" s="270"/>
      <c r="D605" s="270"/>
      <c r="E605" s="270"/>
      <c r="F605" s="270"/>
      <c r="G605" s="270"/>
      <c r="H605" s="270"/>
      <c r="I605" s="270"/>
      <c r="J605" s="270"/>
    </row>
    <row r="606" spans="1:10" ht="16.899999999999999" x14ac:dyDescent="0.5">
      <c r="A606" s="270"/>
      <c r="B606" s="270"/>
      <c r="C606" s="270"/>
      <c r="D606" s="270"/>
      <c r="E606" s="270"/>
      <c r="F606" s="270"/>
      <c r="G606" s="270"/>
      <c r="H606" s="270"/>
      <c r="I606" s="270"/>
      <c r="J606" s="270"/>
    </row>
    <row r="607" spans="1:10" ht="16.899999999999999" x14ac:dyDescent="0.5">
      <c r="A607" s="270"/>
      <c r="B607" s="270"/>
      <c r="C607" s="270"/>
      <c r="D607" s="270"/>
      <c r="E607" s="270"/>
      <c r="F607" s="270"/>
      <c r="G607" s="270"/>
      <c r="H607" s="270"/>
      <c r="I607" s="270"/>
      <c r="J607" s="270"/>
    </row>
    <row r="608" spans="1:10" ht="16.899999999999999" x14ac:dyDescent="0.5">
      <c r="A608" s="270"/>
      <c r="B608" s="270"/>
      <c r="C608" s="270"/>
      <c r="D608" s="270"/>
      <c r="E608" s="270"/>
      <c r="F608" s="270"/>
      <c r="G608" s="270"/>
      <c r="H608" s="270"/>
      <c r="I608" s="270"/>
      <c r="J608" s="270"/>
    </row>
    <row r="609" spans="1:10" ht="16.899999999999999" x14ac:dyDescent="0.5">
      <c r="A609" s="270"/>
      <c r="B609" s="270"/>
      <c r="C609" s="270"/>
      <c r="D609" s="270"/>
      <c r="E609" s="270"/>
      <c r="F609" s="270"/>
      <c r="G609" s="270"/>
      <c r="H609" s="270"/>
      <c r="I609" s="270"/>
      <c r="J609" s="270"/>
    </row>
    <row r="610" spans="1:10" ht="16.899999999999999" x14ac:dyDescent="0.5">
      <c r="A610" s="270"/>
      <c r="B610" s="270"/>
      <c r="C610" s="270"/>
      <c r="D610" s="270"/>
      <c r="E610" s="270"/>
      <c r="F610" s="270"/>
      <c r="G610" s="270"/>
      <c r="H610" s="270"/>
      <c r="I610" s="270"/>
      <c r="J610" s="270"/>
    </row>
    <row r="611" spans="1:10" ht="16.899999999999999" x14ac:dyDescent="0.5">
      <c r="A611" s="270"/>
      <c r="B611" s="270"/>
      <c r="C611" s="270"/>
      <c r="D611" s="270"/>
      <c r="E611" s="270"/>
      <c r="F611" s="270"/>
      <c r="G611" s="270"/>
      <c r="H611" s="270"/>
      <c r="I611" s="270"/>
      <c r="J611" s="270"/>
    </row>
    <row r="612" spans="1:10" ht="16.899999999999999" x14ac:dyDescent="0.5">
      <c r="A612" s="270"/>
      <c r="B612" s="270"/>
      <c r="C612" s="270"/>
      <c r="D612" s="270"/>
      <c r="E612" s="270"/>
      <c r="F612" s="270"/>
      <c r="G612" s="270"/>
      <c r="H612" s="270"/>
      <c r="I612" s="270"/>
      <c r="J612" s="270"/>
    </row>
    <row r="613" spans="1:10" ht="16.899999999999999" x14ac:dyDescent="0.5">
      <c r="A613" s="270"/>
      <c r="B613" s="270"/>
      <c r="C613" s="270"/>
      <c r="D613" s="270"/>
      <c r="E613" s="270"/>
      <c r="F613" s="270"/>
      <c r="G613" s="270"/>
      <c r="H613" s="270"/>
      <c r="I613" s="270"/>
      <c r="J613" s="270"/>
    </row>
    <row r="614" spans="1:10" ht="16.899999999999999" x14ac:dyDescent="0.5">
      <c r="A614" s="270"/>
      <c r="B614" s="270"/>
      <c r="C614" s="270"/>
      <c r="D614" s="270"/>
      <c r="E614" s="270"/>
      <c r="F614" s="270"/>
      <c r="G614" s="270"/>
      <c r="H614" s="270"/>
      <c r="I614" s="270"/>
      <c r="J614" s="270"/>
    </row>
    <row r="615" spans="1:10" ht="16.899999999999999" x14ac:dyDescent="0.5">
      <c r="A615" s="270"/>
      <c r="B615" s="270"/>
      <c r="C615" s="270"/>
      <c r="D615" s="270"/>
      <c r="E615" s="270"/>
      <c r="F615" s="270"/>
      <c r="G615" s="270"/>
      <c r="H615" s="270"/>
      <c r="I615" s="270"/>
      <c r="J615" s="270"/>
    </row>
    <row r="616" spans="1:10" ht="16.899999999999999" x14ac:dyDescent="0.5">
      <c r="A616" s="270"/>
      <c r="B616" s="270"/>
      <c r="C616" s="270"/>
      <c r="D616" s="270"/>
      <c r="E616" s="270"/>
      <c r="F616" s="270"/>
      <c r="G616" s="270"/>
      <c r="H616" s="270"/>
      <c r="I616" s="270"/>
      <c r="J616" s="270"/>
    </row>
    <row r="617" spans="1:10" ht="16.899999999999999" x14ac:dyDescent="0.5">
      <c r="A617" s="270"/>
      <c r="B617" s="270"/>
      <c r="C617" s="270"/>
      <c r="D617" s="270"/>
      <c r="E617" s="270"/>
      <c r="F617" s="270"/>
      <c r="G617" s="270"/>
      <c r="H617" s="270"/>
      <c r="I617" s="270"/>
      <c r="J617" s="270"/>
    </row>
    <row r="618" spans="1:10" ht="16.899999999999999" x14ac:dyDescent="0.5">
      <c r="A618" s="270"/>
      <c r="B618" s="270"/>
      <c r="C618" s="270"/>
      <c r="D618" s="270"/>
      <c r="E618" s="270"/>
      <c r="F618" s="270"/>
      <c r="G618" s="270"/>
      <c r="H618" s="270"/>
      <c r="I618" s="270"/>
      <c r="J618" s="270"/>
    </row>
    <row r="619" spans="1:10" ht="16.899999999999999" x14ac:dyDescent="0.5">
      <c r="A619" s="270"/>
      <c r="B619" s="270"/>
      <c r="C619" s="270"/>
      <c r="D619" s="270"/>
      <c r="E619" s="270"/>
      <c r="F619" s="270"/>
      <c r="G619" s="270"/>
      <c r="H619" s="270"/>
      <c r="I619" s="270"/>
      <c r="J619" s="270"/>
    </row>
    <row r="620" spans="1:10" ht="16.899999999999999" x14ac:dyDescent="0.5">
      <c r="A620" s="270"/>
      <c r="B620" s="270"/>
      <c r="C620" s="270"/>
      <c r="D620" s="270"/>
      <c r="E620" s="270"/>
      <c r="F620" s="270"/>
      <c r="G620" s="270"/>
      <c r="H620" s="270"/>
      <c r="I620" s="270"/>
      <c r="J620" s="270"/>
    </row>
    <row r="621" spans="1:10" ht="16.899999999999999" x14ac:dyDescent="0.5">
      <c r="A621" s="270"/>
      <c r="B621" s="270"/>
      <c r="C621" s="270"/>
      <c r="D621" s="270"/>
      <c r="E621" s="270"/>
      <c r="F621" s="270"/>
      <c r="G621" s="270"/>
      <c r="H621" s="270"/>
      <c r="I621" s="270"/>
      <c r="J621" s="270"/>
    </row>
    <row r="622" spans="1:10" ht="16.899999999999999" x14ac:dyDescent="0.5">
      <c r="A622" s="270"/>
      <c r="B622" s="270"/>
      <c r="C622" s="270"/>
      <c r="D622" s="270"/>
      <c r="E622" s="270"/>
      <c r="F622" s="270"/>
      <c r="G622" s="270"/>
      <c r="H622" s="270"/>
      <c r="I622" s="270"/>
      <c r="J622" s="270"/>
    </row>
    <row r="623" spans="1:10" ht="16.899999999999999" x14ac:dyDescent="0.5">
      <c r="A623" s="270"/>
      <c r="B623" s="270"/>
      <c r="C623" s="270"/>
      <c r="D623" s="270"/>
      <c r="E623" s="270"/>
      <c r="F623" s="270"/>
      <c r="G623" s="270"/>
      <c r="H623" s="270"/>
      <c r="I623" s="270"/>
      <c r="J623" s="270"/>
    </row>
    <row r="624" spans="1:10" ht="16.899999999999999" x14ac:dyDescent="0.5">
      <c r="A624" s="270"/>
      <c r="B624" s="270"/>
      <c r="C624" s="270"/>
      <c r="D624" s="270"/>
      <c r="E624" s="270"/>
      <c r="F624" s="270"/>
      <c r="G624" s="270"/>
      <c r="H624" s="270"/>
      <c r="I624" s="270"/>
      <c r="J624" s="270"/>
    </row>
    <row r="625" spans="1:10" ht="16.899999999999999" x14ac:dyDescent="0.5">
      <c r="A625" s="270"/>
      <c r="B625" s="270"/>
      <c r="C625" s="270"/>
      <c r="D625" s="270"/>
      <c r="E625" s="270"/>
      <c r="F625" s="270"/>
      <c r="G625" s="270"/>
      <c r="H625" s="270"/>
      <c r="I625" s="270"/>
      <c r="J625" s="270"/>
    </row>
    <row r="626" spans="1:10" ht="16.899999999999999" x14ac:dyDescent="0.5">
      <c r="A626" s="270"/>
      <c r="B626" s="270"/>
      <c r="C626" s="270"/>
      <c r="D626" s="270"/>
      <c r="E626" s="270"/>
      <c r="F626" s="270"/>
      <c r="G626" s="270"/>
      <c r="H626" s="270"/>
      <c r="I626" s="270"/>
      <c r="J626" s="270"/>
    </row>
    <row r="627" spans="1:10" ht="16.899999999999999" x14ac:dyDescent="0.5">
      <c r="A627" s="270"/>
      <c r="B627" s="270"/>
      <c r="C627" s="270"/>
      <c r="D627" s="270"/>
      <c r="E627" s="270"/>
      <c r="F627" s="270"/>
      <c r="G627" s="270"/>
      <c r="H627" s="270"/>
      <c r="I627" s="270"/>
      <c r="J627" s="270"/>
    </row>
    <row r="628" spans="1:10" ht="16.899999999999999" x14ac:dyDescent="0.5">
      <c r="A628" s="270"/>
      <c r="B628" s="270"/>
      <c r="C628" s="270"/>
      <c r="D628" s="270"/>
      <c r="E628" s="270"/>
      <c r="F628" s="270"/>
      <c r="G628" s="270"/>
      <c r="H628" s="270"/>
      <c r="I628" s="270"/>
      <c r="J628" s="270"/>
    </row>
    <row r="629" spans="1:10" ht="16.899999999999999" x14ac:dyDescent="0.5">
      <c r="A629" s="270"/>
      <c r="B629" s="270"/>
      <c r="C629" s="270"/>
      <c r="D629" s="270"/>
      <c r="E629" s="270"/>
      <c r="F629" s="270"/>
      <c r="G629" s="270"/>
      <c r="H629" s="270"/>
      <c r="I629" s="270"/>
      <c r="J629" s="270"/>
    </row>
    <row r="630" spans="1:10" ht="16.899999999999999" x14ac:dyDescent="0.5">
      <c r="A630" s="270"/>
      <c r="B630" s="270"/>
      <c r="C630" s="270"/>
      <c r="D630" s="270"/>
      <c r="E630" s="270"/>
      <c r="F630" s="270"/>
      <c r="G630" s="270"/>
      <c r="H630" s="270"/>
      <c r="I630" s="270"/>
      <c r="J630" s="270"/>
    </row>
    <row r="631" spans="1:10" ht="16.899999999999999" x14ac:dyDescent="0.5">
      <c r="A631" s="270"/>
      <c r="B631" s="270"/>
      <c r="C631" s="270"/>
      <c r="D631" s="270"/>
      <c r="E631" s="270"/>
      <c r="F631" s="270"/>
      <c r="G631" s="270"/>
      <c r="H631" s="270"/>
      <c r="I631" s="270"/>
      <c r="J631" s="270"/>
    </row>
    <row r="632" spans="1:10" ht="16.899999999999999" x14ac:dyDescent="0.5">
      <c r="A632" s="270"/>
      <c r="B632" s="270"/>
      <c r="C632" s="270"/>
      <c r="D632" s="270"/>
      <c r="E632" s="270"/>
      <c r="F632" s="270"/>
      <c r="G632" s="270"/>
      <c r="H632" s="270"/>
      <c r="I632" s="270"/>
      <c r="J632" s="270"/>
    </row>
    <row r="633" spans="1:10" ht="16.899999999999999" x14ac:dyDescent="0.5">
      <c r="A633" s="270"/>
      <c r="B633" s="270"/>
      <c r="C633" s="270"/>
      <c r="D633" s="270"/>
      <c r="E633" s="270"/>
      <c r="F633" s="270"/>
      <c r="G633" s="270"/>
      <c r="H633" s="270"/>
      <c r="I633" s="270"/>
      <c r="J633" s="270"/>
    </row>
    <row r="634" spans="1:10" ht="16.899999999999999" x14ac:dyDescent="0.5">
      <c r="A634" s="270"/>
      <c r="B634" s="270"/>
      <c r="C634" s="270"/>
      <c r="D634" s="270"/>
      <c r="E634" s="270"/>
      <c r="F634" s="270"/>
      <c r="G634" s="270"/>
      <c r="H634" s="270"/>
      <c r="I634" s="270"/>
      <c r="J634" s="270"/>
    </row>
    <row r="635" spans="1:10" ht="16.899999999999999" x14ac:dyDescent="0.5">
      <c r="A635" s="270"/>
      <c r="B635" s="270"/>
      <c r="C635" s="270"/>
      <c r="D635" s="270"/>
      <c r="E635" s="270"/>
      <c r="F635" s="270"/>
      <c r="G635" s="270"/>
      <c r="H635" s="270"/>
      <c r="I635" s="270"/>
      <c r="J635" s="270"/>
    </row>
    <row r="636" spans="1:10" ht="16.899999999999999" x14ac:dyDescent="0.5">
      <c r="A636" s="270"/>
      <c r="B636" s="270"/>
      <c r="C636" s="270"/>
      <c r="D636" s="270"/>
      <c r="E636" s="270"/>
      <c r="F636" s="270"/>
      <c r="G636" s="270"/>
      <c r="H636" s="270"/>
      <c r="I636" s="270"/>
      <c r="J636" s="270"/>
    </row>
    <row r="637" spans="1:10" ht="16.899999999999999" x14ac:dyDescent="0.5">
      <c r="A637" s="270"/>
      <c r="B637" s="270"/>
      <c r="C637" s="270"/>
      <c r="D637" s="270"/>
      <c r="E637" s="270"/>
      <c r="F637" s="270"/>
      <c r="G637" s="270"/>
      <c r="H637" s="270"/>
      <c r="I637" s="270"/>
      <c r="J637" s="270"/>
    </row>
    <row r="638" spans="1:10" ht="16.899999999999999" x14ac:dyDescent="0.5">
      <c r="A638" s="270"/>
      <c r="B638" s="270"/>
      <c r="C638" s="270"/>
      <c r="D638" s="270"/>
      <c r="E638" s="270"/>
      <c r="F638" s="270"/>
      <c r="G638" s="270"/>
      <c r="H638" s="270"/>
      <c r="I638" s="270"/>
      <c r="J638" s="270"/>
    </row>
    <row r="639" spans="1:10" ht="16.899999999999999" x14ac:dyDescent="0.5">
      <c r="A639" s="270"/>
      <c r="B639" s="270"/>
      <c r="C639" s="270"/>
      <c r="D639" s="270"/>
      <c r="E639" s="270"/>
      <c r="F639" s="270"/>
      <c r="G639" s="270"/>
      <c r="H639" s="270"/>
      <c r="I639" s="270"/>
      <c r="J639" s="270"/>
    </row>
    <row r="640" spans="1:10" ht="16.899999999999999" x14ac:dyDescent="0.5">
      <c r="A640" s="270"/>
      <c r="B640" s="270"/>
      <c r="C640" s="270"/>
      <c r="D640" s="270"/>
      <c r="E640" s="270"/>
      <c r="F640" s="270"/>
      <c r="G640" s="270"/>
      <c r="H640" s="270"/>
      <c r="I640" s="270"/>
      <c r="J640" s="270"/>
    </row>
    <row r="641" spans="1:10" ht="16.899999999999999" x14ac:dyDescent="0.5">
      <c r="A641" s="270"/>
      <c r="B641" s="270"/>
      <c r="C641" s="270"/>
      <c r="D641" s="270"/>
      <c r="E641" s="270"/>
      <c r="F641" s="270"/>
      <c r="G641" s="270"/>
      <c r="H641" s="270"/>
      <c r="I641" s="270"/>
      <c r="J641" s="270"/>
    </row>
    <row r="642" spans="1:10" ht="16.899999999999999" x14ac:dyDescent="0.5">
      <c r="A642" s="270"/>
      <c r="B642" s="270"/>
      <c r="C642" s="270"/>
      <c r="D642" s="270"/>
      <c r="E642" s="270"/>
      <c r="F642" s="270"/>
      <c r="G642" s="270"/>
      <c r="H642" s="270"/>
      <c r="I642" s="270"/>
      <c r="J642" s="270"/>
    </row>
    <row r="643" spans="1:10" ht="16.899999999999999" x14ac:dyDescent="0.5">
      <c r="A643" s="270"/>
      <c r="B643" s="270"/>
      <c r="C643" s="270"/>
      <c r="D643" s="270"/>
      <c r="E643" s="270"/>
      <c r="F643" s="270"/>
      <c r="G643" s="270"/>
      <c r="H643" s="270"/>
      <c r="I643" s="270"/>
      <c r="J643" s="270"/>
    </row>
    <row r="644" spans="1:10" ht="16.899999999999999" x14ac:dyDescent="0.5">
      <c r="A644" s="270"/>
      <c r="B644" s="270"/>
      <c r="C644" s="270"/>
      <c r="D644" s="270"/>
      <c r="E644" s="270"/>
      <c r="F644" s="270"/>
      <c r="G644" s="270"/>
      <c r="H644" s="270"/>
      <c r="I644" s="270"/>
      <c r="J644" s="270"/>
    </row>
    <row r="645" spans="1:10" ht="16.899999999999999" x14ac:dyDescent="0.5">
      <c r="A645" s="270"/>
      <c r="B645" s="270"/>
      <c r="C645" s="270"/>
      <c r="D645" s="270"/>
      <c r="E645" s="270"/>
      <c r="F645" s="270"/>
      <c r="G645" s="270"/>
      <c r="H645" s="270"/>
      <c r="I645" s="270"/>
      <c r="J645" s="270"/>
    </row>
    <row r="646" spans="1:10" ht="16.899999999999999" x14ac:dyDescent="0.5">
      <c r="A646" s="270"/>
      <c r="B646" s="270"/>
      <c r="C646" s="270"/>
      <c r="D646" s="270"/>
      <c r="E646" s="270"/>
      <c r="F646" s="270"/>
      <c r="G646" s="270"/>
      <c r="H646" s="270"/>
      <c r="I646" s="270"/>
      <c r="J646" s="270"/>
    </row>
    <row r="647" spans="1:10" ht="16.899999999999999" x14ac:dyDescent="0.5">
      <c r="A647" s="270"/>
      <c r="B647" s="270"/>
      <c r="C647" s="270"/>
      <c r="D647" s="270"/>
      <c r="E647" s="270"/>
      <c r="F647" s="270"/>
      <c r="G647" s="270"/>
      <c r="H647" s="270"/>
      <c r="I647" s="270"/>
      <c r="J647" s="270"/>
    </row>
    <row r="648" spans="1:10" ht="16.899999999999999" x14ac:dyDescent="0.5">
      <c r="A648" s="270"/>
      <c r="B648" s="270"/>
      <c r="C648" s="270"/>
      <c r="D648" s="270"/>
      <c r="E648" s="270"/>
      <c r="F648" s="270"/>
      <c r="G648" s="270"/>
      <c r="H648" s="270"/>
      <c r="I648" s="270"/>
      <c r="J648" s="270"/>
    </row>
    <row r="649" spans="1:10" ht="16.899999999999999" x14ac:dyDescent="0.5">
      <c r="A649" s="270"/>
      <c r="B649" s="270"/>
      <c r="C649" s="270"/>
      <c r="D649" s="270"/>
      <c r="E649" s="270"/>
      <c r="F649" s="270"/>
      <c r="G649" s="270"/>
      <c r="H649" s="270"/>
      <c r="I649" s="270"/>
      <c r="J649" s="270"/>
    </row>
    <row r="650" spans="1:10" ht="16.899999999999999" x14ac:dyDescent="0.5">
      <c r="A650" s="270"/>
      <c r="B650" s="270"/>
      <c r="C650" s="270"/>
      <c r="D650" s="270"/>
      <c r="E650" s="270"/>
      <c r="F650" s="270"/>
      <c r="G650" s="270"/>
      <c r="H650" s="270"/>
      <c r="I650" s="270"/>
      <c r="J650" s="270"/>
    </row>
    <row r="651" spans="1:10" ht="16.899999999999999" x14ac:dyDescent="0.5">
      <c r="A651" s="270"/>
      <c r="B651" s="270"/>
      <c r="C651" s="270"/>
      <c r="D651" s="270"/>
      <c r="E651" s="270"/>
      <c r="F651" s="270"/>
      <c r="G651" s="270"/>
      <c r="H651" s="270"/>
      <c r="I651" s="270"/>
      <c r="J651" s="270"/>
    </row>
    <row r="652" spans="1:10" ht="16.899999999999999" x14ac:dyDescent="0.5">
      <c r="A652" s="270"/>
      <c r="B652" s="270"/>
      <c r="C652" s="270"/>
      <c r="D652" s="270"/>
      <c r="E652" s="270"/>
      <c r="F652" s="270"/>
      <c r="G652" s="270"/>
      <c r="H652" s="270"/>
      <c r="I652" s="270"/>
      <c r="J652" s="270"/>
    </row>
    <row r="653" spans="1:10" ht="16.899999999999999" x14ac:dyDescent="0.5">
      <c r="A653" s="270"/>
      <c r="B653" s="270"/>
      <c r="C653" s="270"/>
      <c r="D653" s="270"/>
      <c r="E653" s="270"/>
      <c r="F653" s="270"/>
      <c r="G653" s="270"/>
      <c r="H653" s="270"/>
      <c r="I653" s="270"/>
      <c r="J653" s="270"/>
    </row>
    <row r="654" spans="1:10" ht="16.899999999999999" x14ac:dyDescent="0.5">
      <c r="A654" s="270"/>
      <c r="B654" s="270"/>
      <c r="C654" s="270"/>
      <c r="D654" s="270"/>
      <c r="E654" s="270"/>
      <c r="F654" s="270"/>
      <c r="G654" s="270"/>
      <c r="H654" s="270"/>
      <c r="I654" s="270"/>
      <c r="J654" s="270"/>
    </row>
    <row r="655" spans="1:10" ht="16.899999999999999" x14ac:dyDescent="0.5">
      <c r="A655" s="270"/>
      <c r="B655" s="270"/>
      <c r="C655" s="270"/>
      <c r="D655" s="270"/>
      <c r="E655" s="270"/>
      <c r="F655" s="270"/>
      <c r="G655" s="270"/>
      <c r="H655" s="270"/>
      <c r="I655" s="270"/>
      <c r="J655" s="270"/>
    </row>
    <row r="656" spans="1:10" ht="16.899999999999999" x14ac:dyDescent="0.5">
      <c r="A656" s="270"/>
      <c r="B656" s="270"/>
      <c r="C656" s="270"/>
      <c r="D656" s="270"/>
      <c r="E656" s="270"/>
      <c r="F656" s="270"/>
      <c r="G656" s="270"/>
      <c r="H656" s="270"/>
      <c r="I656" s="270"/>
      <c r="J656" s="270"/>
    </row>
    <row r="657" spans="1:10" ht="16.899999999999999" x14ac:dyDescent="0.5">
      <c r="A657" s="270"/>
      <c r="B657" s="270"/>
      <c r="C657" s="270"/>
      <c r="D657" s="270"/>
      <c r="E657" s="270"/>
      <c r="F657" s="270"/>
      <c r="G657" s="270"/>
      <c r="H657" s="270"/>
      <c r="I657" s="270"/>
      <c r="J657" s="270"/>
    </row>
    <row r="658" spans="1:10" ht="16.899999999999999" x14ac:dyDescent="0.5">
      <c r="A658" s="270"/>
      <c r="B658" s="270"/>
      <c r="C658" s="270"/>
      <c r="D658" s="270"/>
      <c r="E658" s="270"/>
      <c r="F658" s="270"/>
      <c r="G658" s="270"/>
      <c r="H658" s="270"/>
      <c r="I658" s="270"/>
      <c r="J658" s="270"/>
    </row>
    <row r="659" spans="1:10" ht="16.899999999999999" x14ac:dyDescent="0.5">
      <c r="A659" s="270"/>
      <c r="B659" s="270"/>
      <c r="C659" s="270"/>
      <c r="D659" s="270"/>
      <c r="E659" s="270"/>
      <c r="F659" s="270"/>
      <c r="G659" s="270"/>
      <c r="H659" s="270"/>
      <c r="I659" s="270"/>
      <c r="J659" s="270"/>
    </row>
    <row r="660" spans="1:10" ht="16.899999999999999" x14ac:dyDescent="0.5">
      <c r="A660" s="270"/>
      <c r="B660" s="270"/>
      <c r="C660" s="270"/>
      <c r="D660" s="270"/>
      <c r="E660" s="270"/>
      <c r="F660" s="270"/>
      <c r="G660" s="270"/>
      <c r="H660" s="270"/>
      <c r="I660" s="270"/>
      <c r="J660" s="270"/>
    </row>
    <row r="661" spans="1:10" ht="16.899999999999999" x14ac:dyDescent="0.5">
      <c r="A661" s="270"/>
      <c r="B661" s="270"/>
      <c r="C661" s="270"/>
      <c r="D661" s="270"/>
      <c r="E661" s="270"/>
      <c r="F661" s="270"/>
      <c r="G661" s="270"/>
      <c r="H661" s="270"/>
      <c r="I661" s="270"/>
      <c r="J661" s="270"/>
    </row>
    <row r="662" spans="1:10" ht="16.899999999999999" x14ac:dyDescent="0.5">
      <c r="A662" s="270"/>
      <c r="B662" s="270"/>
      <c r="C662" s="270"/>
      <c r="D662" s="270"/>
      <c r="E662" s="270"/>
      <c r="F662" s="270"/>
      <c r="G662" s="270"/>
      <c r="H662" s="270"/>
      <c r="I662" s="270"/>
      <c r="J662" s="270"/>
    </row>
    <row r="663" spans="1:10" ht="16.899999999999999" x14ac:dyDescent="0.5">
      <c r="A663" s="270"/>
      <c r="B663" s="270"/>
      <c r="C663" s="270"/>
      <c r="D663" s="270"/>
      <c r="E663" s="270"/>
      <c r="F663" s="270"/>
      <c r="G663" s="270"/>
      <c r="H663" s="270"/>
      <c r="I663" s="270"/>
      <c r="J663" s="270"/>
    </row>
    <row r="664" spans="1:10" ht="16.899999999999999" x14ac:dyDescent="0.5">
      <c r="A664" s="270"/>
      <c r="B664" s="270"/>
      <c r="C664" s="270"/>
      <c r="D664" s="270"/>
      <c r="E664" s="270"/>
      <c r="F664" s="270"/>
      <c r="G664" s="270"/>
      <c r="H664" s="270"/>
      <c r="I664" s="270"/>
      <c r="J664" s="270"/>
    </row>
    <row r="665" spans="1:10" ht="16.899999999999999" x14ac:dyDescent="0.5">
      <c r="A665" s="270"/>
      <c r="B665" s="270"/>
      <c r="C665" s="270"/>
      <c r="D665" s="270"/>
      <c r="E665" s="270"/>
      <c r="F665" s="270"/>
      <c r="G665" s="270"/>
      <c r="H665" s="270"/>
      <c r="I665" s="270"/>
      <c r="J665" s="270"/>
    </row>
    <row r="666" spans="1:10" ht="16.899999999999999" x14ac:dyDescent="0.5">
      <c r="A666" s="270"/>
      <c r="B666" s="270"/>
      <c r="C666" s="270"/>
      <c r="D666" s="270"/>
      <c r="E666" s="270"/>
      <c r="F666" s="270"/>
      <c r="G666" s="270"/>
      <c r="H666" s="270"/>
      <c r="I666" s="270"/>
      <c r="J666" s="270"/>
    </row>
    <row r="667" spans="1:10" ht="16.899999999999999" x14ac:dyDescent="0.5">
      <c r="A667" s="270"/>
      <c r="B667" s="270"/>
      <c r="C667" s="270"/>
      <c r="D667" s="270"/>
      <c r="E667" s="270"/>
      <c r="F667" s="270"/>
      <c r="G667" s="270"/>
      <c r="H667" s="270"/>
      <c r="I667" s="270"/>
      <c r="J667" s="270"/>
    </row>
    <row r="668" spans="1:10" ht="16.899999999999999" x14ac:dyDescent="0.5">
      <c r="A668" s="270"/>
      <c r="B668" s="270"/>
      <c r="C668" s="270"/>
      <c r="D668" s="270"/>
      <c r="E668" s="270"/>
      <c r="F668" s="270"/>
      <c r="G668" s="270"/>
      <c r="H668" s="270"/>
      <c r="I668" s="270"/>
      <c r="J668" s="270"/>
    </row>
    <row r="669" spans="1:10" ht="16.899999999999999" x14ac:dyDescent="0.5">
      <c r="A669" s="270"/>
      <c r="B669" s="270"/>
      <c r="C669" s="270"/>
      <c r="D669" s="270"/>
      <c r="E669" s="270"/>
      <c r="F669" s="270"/>
      <c r="G669" s="270"/>
      <c r="H669" s="270"/>
      <c r="I669" s="270"/>
      <c r="J669" s="270"/>
    </row>
    <row r="670" spans="1:10" ht="16.899999999999999" x14ac:dyDescent="0.5">
      <c r="A670" s="270"/>
      <c r="B670" s="270"/>
      <c r="C670" s="270"/>
      <c r="D670" s="270"/>
      <c r="E670" s="270"/>
      <c r="F670" s="270"/>
      <c r="G670" s="270"/>
      <c r="H670" s="270"/>
      <c r="I670" s="270"/>
      <c r="J670" s="270"/>
    </row>
    <row r="671" spans="1:10" ht="16.899999999999999" x14ac:dyDescent="0.5">
      <c r="A671" s="270"/>
      <c r="B671" s="270"/>
      <c r="C671" s="270"/>
      <c r="D671" s="270"/>
      <c r="E671" s="270"/>
      <c r="F671" s="270"/>
      <c r="G671" s="270"/>
      <c r="H671" s="270"/>
      <c r="I671" s="270"/>
      <c r="J671" s="270"/>
    </row>
    <row r="672" spans="1:10" ht="16.899999999999999" x14ac:dyDescent="0.5">
      <c r="A672" s="270"/>
      <c r="B672" s="270"/>
      <c r="C672" s="270"/>
      <c r="D672" s="270"/>
      <c r="E672" s="270"/>
      <c r="F672" s="270"/>
      <c r="G672" s="270"/>
      <c r="H672" s="270"/>
      <c r="I672" s="270"/>
      <c r="J672" s="270"/>
    </row>
    <row r="673" spans="1:10" ht="16.899999999999999" x14ac:dyDescent="0.5">
      <c r="A673" s="270"/>
      <c r="B673" s="270"/>
      <c r="C673" s="270"/>
      <c r="D673" s="270"/>
      <c r="E673" s="270"/>
      <c r="F673" s="270"/>
      <c r="G673" s="270"/>
      <c r="H673" s="270"/>
      <c r="I673" s="270"/>
      <c r="J673" s="270"/>
    </row>
    <row r="674" spans="1:10" ht="16.899999999999999" x14ac:dyDescent="0.5">
      <c r="A674" s="270"/>
      <c r="B674" s="270"/>
      <c r="C674" s="270"/>
      <c r="D674" s="270"/>
      <c r="E674" s="270"/>
      <c r="F674" s="270"/>
      <c r="G674" s="270"/>
      <c r="H674" s="270"/>
      <c r="I674" s="270"/>
      <c r="J674" s="270"/>
    </row>
    <row r="675" spans="1:10" ht="16.899999999999999" x14ac:dyDescent="0.5">
      <c r="A675" s="270"/>
      <c r="B675" s="270"/>
      <c r="C675" s="270"/>
      <c r="D675" s="270"/>
      <c r="E675" s="270"/>
      <c r="F675" s="270"/>
      <c r="G675" s="270"/>
      <c r="H675" s="270"/>
      <c r="I675" s="270"/>
      <c r="J675" s="270"/>
    </row>
    <row r="676" spans="1:10" ht="16.899999999999999" x14ac:dyDescent="0.5">
      <c r="A676" s="270"/>
      <c r="B676" s="270"/>
      <c r="C676" s="270"/>
      <c r="D676" s="270"/>
      <c r="E676" s="270"/>
      <c r="F676" s="270"/>
      <c r="G676" s="270"/>
      <c r="H676" s="270"/>
      <c r="I676" s="270"/>
      <c r="J676" s="270"/>
    </row>
    <row r="677" spans="1:10" ht="16.899999999999999" x14ac:dyDescent="0.5">
      <c r="A677" s="270"/>
      <c r="B677" s="270"/>
      <c r="C677" s="270"/>
      <c r="D677" s="270"/>
      <c r="E677" s="270"/>
      <c r="F677" s="270"/>
      <c r="G677" s="270"/>
      <c r="H677" s="270"/>
      <c r="I677" s="270"/>
      <c r="J677" s="270"/>
    </row>
    <row r="678" spans="1:10" ht="16.899999999999999" x14ac:dyDescent="0.5">
      <c r="A678" s="270"/>
      <c r="B678" s="270"/>
      <c r="C678" s="270"/>
      <c r="D678" s="270"/>
      <c r="E678" s="270"/>
      <c r="F678" s="270"/>
      <c r="G678" s="270"/>
      <c r="H678" s="270"/>
      <c r="I678" s="270"/>
      <c r="J678" s="270"/>
    </row>
    <row r="679" spans="1:10" ht="16.899999999999999" x14ac:dyDescent="0.5">
      <c r="A679" s="270"/>
      <c r="B679" s="270"/>
      <c r="C679" s="270"/>
      <c r="D679" s="270"/>
      <c r="E679" s="270"/>
      <c r="F679" s="270"/>
      <c r="G679" s="270"/>
      <c r="H679" s="270"/>
      <c r="I679" s="270"/>
      <c r="J679" s="270"/>
    </row>
    <row r="680" spans="1:10" ht="16.899999999999999" x14ac:dyDescent="0.5">
      <c r="A680" s="270"/>
      <c r="B680" s="270"/>
      <c r="C680" s="270"/>
      <c r="D680" s="270"/>
      <c r="E680" s="270"/>
      <c r="F680" s="270"/>
      <c r="G680" s="270"/>
      <c r="H680" s="270"/>
      <c r="I680" s="270"/>
      <c r="J680" s="270"/>
    </row>
    <row r="681" spans="1:10" ht="16.899999999999999" x14ac:dyDescent="0.5">
      <c r="A681" s="270"/>
      <c r="B681" s="270"/>
      <c r="C681" s="270"/>
      <c r="D681" s="270"/>
      <c r="E681" s="270"/>
      <c r="F681" s="270"/>
      <c r="G681" s="270"/>
      <c r="H681" s="270"/>
      <c r="I681" s="270"/>
      <c r="J681" s="270"/>
    </row>
    <row r="682" spans="1:10" ht="16.899999999999999" x14ac:dyDescent="0.5">
      <c r="A682" s="270"/>
      <c r="B682" s="270"/>
      <c r="C682" s="270"/>
      <c r="D682" s="270"/>
      <c r="E682" s="270"/>
      <c r="F682" s="270"/>
      <c r="G682" s="270"/>
      <c r="H682" s="270"/>
      <c r="I682" s="270"/>
      <c r="J682" s="270"/>
    </row>
    <row r="683" spans="1:10" ht="16.899999999999999" x14ac:dyDescent="0.5">
      <c r="A683" s="270"/>
      <c r="B683" s="270"/>
      <c r="C683" s="270"/>
      <c r="D683" s="270"/>
      <c r="E683" s="270"/>
      <c r="F683" s="270"/>
      <c r="G683" s="270"/>
      <c r="H683" s="270"/>
      <c r="I683" s="270"/>
      <c r="J683" s="270"/>
    </row>
    <row r="684" spans="1:10" ht="16.899999999999999" x14ac:dyDescent="0.5">
      <c r="A684" s="270"/>
      <c r="B684" s="270"/>
      <c r="C684" s="270"/>
      <c r="D684" s="270"/>
      <c r="E684" s="270"/>
      <c r="F684" s="270"/>
      <c r="G684" s="270"/>
      <c r="H684" s="270"/>
      <c r="I684" s="270"/>
      <c r="J684" s="270"/>
    </row>
    <row r="685" spans="1:10" ht="16.899999999999999" x14ac:dyDescent="0.5">
      <c r="A685" s="270"/>
      <c r="B685" s="270"/>
      <c r="C685" s="270"/>
      <c r="D685" s="270"/>
      <c r="E685" s="270"/>
      <c r="F685" s="270"/>
      <c r="G685" s="270"/>
      <c r="H685" s="270"/>
      <c r="I685" s="270"/>
      <c r="J685" s="270"/>
    </row>
    <row r="686" spans="1:10" ht="16.899999999999999" x14ac:dyDescent="0.5">
      <c r="A686" s="270"/>
      <c r="B686" s="270"/>
      <c r="C686" s="270"/>
      <c r="D686" s="270"/>
      <c r="E686" s="270"/>
      <c r="F686" s="270"/>
      <c r="G686" s="270"/>
      <c r="H686" s="270"/>
      <c r="I686" s="270"/>
      <c r="J686" s="270"/>
    </row>
    <row r="687" spans="1:10" ht="16.899999999999999" x14ac:dyDescent="0.5">
      <c r="A687" s="270"/>
      <c r="B687" s="270"/>
      <c r="C687" s="270"/>
      <c r="D687" s="270"/>
      <c r="E687" s="270"/>
      <c r="F687" s="270"/>
      <c r="G687" s="270"/>
      <c r="H687" s="270"/>
      <c r="I687" s="270"/>
      <c r="J687" s="270"/>
    </row>
    <row r="688" spans="1:10" ht="16.899999999999999" x14ac:dyDescent="0.5">
      <c r="A688" s="270"/>
      <c r="B688" s="270"/>
      <c r="C688" s="270"/>
      <c r="D688" s="270"/>
      <c r="E688" s="270"/>
      <c r="F688" s="270"/>
      <c r="G688" s="270"/>
      <c r="H688" s="270"/>
      <c r="I688" s="270"/>
      <c r="J688" s="270"/>
    </row>
    <row r="689" spans="1:10" ht="16.899999999999999" x14ac:dyDescent="0.5">
      <c r="A689" s="270"/>
      <c r="B689" s="270"/>
      <c r="C689" s="270"/>
      <c r="D689" s="270"/>
      <c r="E689" s="270"/>
      <c r="F689" s="270"/>
      <c r="G689" s="270"/>
      <c r="H689" s="270"/>
      <c r="I689" s="270"/>
      <c r="J689" s="270"/>
    </row>
    <row r="690" spans="1:10" ht="16.899999999999999" x14ac:dyDescent="0.5">
      <c r="A690" s="270"/>
      <c r="B690" s="270"/>
      <c r="C690" s="270"/>
      <c r="D690" s="270"/>
      <c r="E690" s="270"/>
      <c r="F690" s="270"/>
      <c r="G690" s="270"/>
      <c r="H690" s="270"/>
      <c r="I690" s="270"/>
      <c r="J690" s="270"/>
    </row>
    <row r="691" spans="1:10" ht="16.899999999999999" x14ac:dyDescent="0.5">
      <c r="A691" s="270"/>
      <c r="B691" s="270"/>
      <c r="C691" s="270"/>
      <c r="D691" s="270"/>
      <c r="E691" s="270"/>
      <c r="F691" s="270"/>
      <c r="G691" s="270"/>
      <c r="H691" s="270"/>
      <c r="I691" s="270"/>
      <c r="J691" s="270"/>
    </row>
    <row r="692" spans="1:10" ht="16.899999999999999" x14ac:dyDescent="0.5">
      <c r="A692" s="270"/>
      <c r="B692" s="270"/>
      <c r="C692" s="270"/>
      <c r="D692" s="270"/>
      <c r="E692" s="270"/>
      <c r="F692" s="270"/>
      <c r="G692" s="270"/>
      <c r="H692" s="270"/>
      <c r="I692" s="270"/>
      <c r="J692" s="270"/>
    </row>
    <row r="693" spans="1:10" ht="16.899999999999999" x14ac:dyDescent="0.5">
      <c r="A693" s="270"/>
      <c r="B693" s="270"/>
      <c r="C693" s="270"/>
      <c r="D693" s="270"/>
      <c r="E693" s="270"/>
      <c r="F693" s="270"/>
      <c r="G693" s="270"/>
      <c r="H693" s="270"/>
      <c r="I693" s="270"/>
      <c r="J693" s="270"/>
    </row>
    <row r="694" spans="1:10" ht="16.899999999999999" x14ac:dyDescent="0.5">
      <c r="A694" s="270"/>
      <c r="B694" s="270"/>
      <c r="C694" s="270"/>
      <c r="D694" s="270"/>
      <c r="E694" s="270"/>
      <c r="F694" s="270"/>
      <c r="G694" s="270"/>
      <c r="H694" s="270"/>
      <c r="I694" s="270"/>
      <c r="J694" s="270"/>
    </row>
    <row r="695" spans="1:10" ht="16.899999999999999" x14ac:dyDescent="0.5">
      <c r="A695" s="270"/>
      <c r="B695" s="270"/>
      <c r="C695" s="270"/>
      <c r="D695" s="270"/>
      <c r="E695" s="270"/>
      <c r="F695" s="270"/>
      <c r="G695" s="270"/>
      <c r="H695" s="270"/>
      <c r="I695" s="270"/>
      <c r="J695" s="270"/>
    </row>
    <row r="696" spans="1:10" ht="16.899999999999999" x14ac:dyDescent="0.5">
      <c r="A696" s="270"/>
      <c r="B696" s="270"/>
      <c r="C696" s="270"/>
      <c r="D696" s="270"/>
      <c r="E696" s="270"/>
      <c r="F696" s="270"/>
      <c r="G696" s="270"/>
      <c r="H696" s="270"/>
      <c r="I696" s="270"/>
      <c r="J696" s="270"/>
    </row>
    <row r="697" spans="1:10" ht="16.899999999999999" x14ac:dyDescent="0.5">
      <c r="A697" s="270"/>
      <c r="B697" s="270"/>
      <c r="C697" s="270"/>
      <c r="D697" s="270"/>
      <c r="E697" s="270"/>
      <c r="F697" s="270"/>
      <c r="G697" s="270"/>
      <c r="H697" s="270"/>
      <c r="I697" s="270"/>
      <c r="J697" s="270"/>
    </row>
    <row r="698" spans="1:10" ht="16.899999999999999" x14ac:dyDescent="0.5">
      <c r="A698" s="270"/>
      <c r="B698" s="270"/>
      <c r="C698" s="270"/>
      <c r="D698" s="270"/>
      <c r="E698" s="270"/>
      <c r="F698" s="270"/>
      <c r="G698" s="270"/>
      <c r="H698" s="270"/>
      <c r="I698" s="270"/>
      <c r="J698" s="270"/>
    </row>
    <row r="699" spans="1:10" ht="16.899999999999999" x14ac:dyDescent="0.5">
      <c r="A699" s="270"/>
      <c r="B699" s="270"/>
      <c r="C699" s="270"/>
      <c r="D699" s="270"/>
      <c r="E699" s="270"/>
      <c r="F699" s="270"/>
      <c r="G699" s="270"/>
      <c r="H699" s="270"/>
      <c r="I699" s="270"/>
      <c r="J699" s="270"/>
    </row>
    <row r="700" spans="1:10" ht="16.899999999999999" x14ac:dyDescent="0.5">
      <c r="A700" s="270"/>
      <c r="B700" s="270"/>
      <c r="C700" s="270"/>
      <c r="D700" s="270"/>
      <c r="E700" s="270"/>
      <c r="F700" s="270"/>
      <c r="G700" s="270"/>
      <c r="H700" s="270"/>
      <c r="I700" s="270"/>
      <c r="J700" s="270"/>
    </row>
    <row r="701" spans="1:10" ht="16.899999999999999" x14ac:dyDescent="0.5">
      <c r="A701" s="270"/>
      <c r="B701" s="270"/>
      <c r="C701" s="270"/>
      <c r="D701" s="270"/>
      <c r="E701" s="270"/>
      <c r="F701" s="270"/>
      <c r="G701" s="270"/>
      <c r="H701" s="270"/>
      <c r="I701" s="270"/>
      <c r="J701" s="270"/>
    </row>
    <row r="702" spans="1:10" ht="16.899999999999999" x14ac:dyDescent="0.5">
      <c r="A702" s="270"/>
      <c r="B702" s="270"/>
      <c r="C702" s="270"/>
      <c r="D702" s="270"/>
      <c r="E702" s="270"/>
      <c r="F702" s="270"/>
      <c r="G702" s="270"/>
      <c r="H702" s="270"/>
      <c r="I702" s="270"/>
      <c r="J702" s="270"/>
    </row>
    <row r="703" spans="1:10" ht="16.899999999999999" x14ac:dyDescent="0.5">
      <c r="A703" s="270"/>
      <c r="B703" s="270"/>
      <c r="C703" s="270"/>
      <c r="D703" s="270"/>
      <c r="E703" s="270"/>
      <c r="F703" s="270"/>
      <c r="G703" s="270"/>
      <c r="H703" s="270"/>
      <c r="I703" s="270"/>
      <c r="J703" s="270"/>
    </row>
    <row r="704" spans="1:10" ht="16.899999999999999" x14ac:dyDescent="0.5">
      <c r="A704" s="270"/>
      <c r="B704" s="270"/>
      <c r="C704" s="270"/>
      <c r="D704" s="270"/>
      <c r="E704" s="270"/>
      <c r="F704" s="270"/>
      <c r="G704" s="270"/>
      <c r="H704" s="270"/>
      <c r="I704" s="270"/>
      <c r="J704" s="270"/>
    </row>
    <row r="705" spans="1:10" ht="16.899999999999999" x14ac:dyDescent="0.5">
      <c r="A705" s="270"/>
      <c r="B705" s="270"/>
      <c r="C705" s="270"/>
      <c r="D705" s="270"/>
      <c r="E705" s="270"/>
      <c r="F705" s="270"/>
      <c r="G705" s="270"/>
      <c r="H705" s="270"/>
      <c r="I705" s="270"/>
      <c r="J705" s="270"/>
    </row>
    <row r="706" spans="1:10" ht="16.899999999999999" x14ac:dyDescent="0.5">
      <c r="A706" s="270"/>
      <c r="B706" s="270"/>
      <c r="C706" s="270"/>
      <c r="D706" s="270"/>
      <c r="E706" s="270"/>
      <c r="F706" s="270"/>
      <c r="G706" s="270"/>
      <c r="H706" s="270"/>
      <c r="I706" s="270"/>
      <c r="J706" s="270"/>
    </row>
    <row r="707" spans="1:10" ht="16.899999999999999" x14ac:dyDescent="0.5">
      <c r="A707" s="270"/>
      <c r="B707" s="270"/>
      <c r="C707" s="270"/>
      <c r="D707" s="270"/>
      <c r="E707" s="270"/>
      <c r="F707" s="270"/>
      <c r="G707" s="270"/>
      <c r="H707" s="270"/>
      <c r="I707" s="270"/>
      <c r="J707" s="270"/>
    </row>
    <row r="708" spans="1:10" ht="16.899999999999999" x14ac:dyDescent="0.5">
      <c r="A708" s="270"/>
      <c r="B708" s="270"/>
      <c r="C708" s="270"/>
      <c r="D708" s="270"/>
      <c r="E708" s="270"/>
      <c r="F708" s="270"/>
      <c r="G708" s="270"/>
      <c r="H708" s="270"/>
      <c r="I708" s="270"/>
      <c r="J708" s="270"/>
    </row>
    <row r="709" spans="1:10" ht="16.899999999999999" x14ac:dyDescent="0.5">
      <c r="A709" s="270"/>
      <c r="B709" s="270"/>
      <c r="C709" s="270"/>
      <c r="D709" s="270"/>
      <c r="E709" s="270"/>
      <c r="F709" s="270"/>
      <c r="G709" s="270"/>
      <c r="H709" s="270"/>
      <c r="I709" s="270"/>
      <c r="J709" s="270"/>
    </row>
    <row r="710" spans="1:10" ht="16.899999999999999" x14ac:dyDescent="0.5">
      <c r="A710" s="270"/>
      <c r="B710" s="270"/>
      <c r="C710" s="270"/>
      <c r="D710" s="270"/>
      <c r="E710" s="270"/>
      <c r="F710" s="270"/>
      <c r="G710" s="270"/>
      <c r="H710" s="270"/>
      <c r="I710" s="270"/>
      <c r="J710" s="270"/>
    </row>
    <row r="711" spans="1:10" ht="16.899999999999999" x14ac:dyDescent="0.5">
      <c r="A711" s="270"/>
      <c r="B711" s="270"/>
      <c r="C711" s="270"/>
      <c r="D711" s="270"/>
      <c r="E711" s="270"/>
      <c r="F711" s="270"/>
      <c r="G711" s="270"/>
      <c r="H711" s="270"/>
      <c r="I711" s="270"/>
      <c r="J711" s="270"/>
    </row>
    <row r="712" spans="1:10" ht="16.899999999999999" x14ac:dyDescent="0.5">
      <c r="A712" s="270"/>
      <c r="B712" s="270"/>
      <c r="C712" s="270"/>
      <c r="D712" s="270"/>
      <c r="E712" s="270"/>
      <c r="F712" s="270"/>
      <c r="G712" s="270"/>
      <c r="H712" s="270"/>
      <c r="I712" s="270"/>
      <c r="J712" s="270"/>
    </row>
    <row r="713" spans="1:10" ht="16.899999999999999" x14ac:dyDescent="0.5">
      <c r="A713" s="270"/>
      <c r="B713" s="270"/>
      <c r="C713" s="270"/>
      <c r="D713" s="270"/>
      <c r="E713" s="270"/>
      <c r="F713" s="270"/>
      <c r="G713" s="270"/>
      <c r="H713" s="270"/>
      <c r="I713" s="270"/>
      <c r="J713" s="270"/>
    </row>
    <row r="714" spans="1:10" ht="16.899999999999999" x14ac:dyDescent="0.5">
      <c r="A714" s="270"/>
      <c r="B714" s="270"/>
      <c r="C714" s="270"/>
      <c r="D714" s="270"/>
      <c r="E714" s="270"/>
      <c r="F714" s="270"/>
      <c r="G714" s="270"/>
      <c r="H714" s="270"/>
      <c r="I714" s="270"/>
      <c r="J714" s="270"/>
    </row>
    <row r="715" spans="1:10" ht="16.899999999999999" x14ac:dyDescent="0.5">
      <c r="A715" s="270"/>
      <c r="B715" s="270"/>
      <c r="C715" s="270"/>
      <c r="D715" s="270"/>
      <c r="E715" s="270"/>
      <c r="F715" s="270"/>
      <c r="G715" s="270"/>
      <c r="H715" s="270"/>
      <c r="I715" s="270"/>
      <c r="J715" s="270"/>
    </row>
    <row r="716" spans="1:10" ht="16.899999999999999" x14ac:dyDescent="0.5">
      <c r="A716" s="270"/>
      <c r="B716" s="270"/>
      <c r="C716" s="270"/>
      <c r="D716" s="270"/>
      <c r="E716" s="270"/>
      <c r="F716" s="270"/>
      <c r="G716" s="270"/>
      <c r="H716" s="270"/>
      <c r="I716" s="270"/>
      <c r="J716" s="270"/>
    </row>
    <row r="717" spans="1:10" ht="16.899999999999999" x14ac:dyDescent="0.5">
      <c r="A717" s="270"/>
      <c r="B717" s="270"/>
      <c r="C717" s="270"/>
      <c r="D717" s="270"/>
      <c r="E717" s="270"/>
      <c r="F717" s="270"/>
      <c r="G717" s="270"/>
      <c r="H717" s="270"/>
      <c r="I717" s="270"/>
      <c r="J717" s="270"/>
    </row>
    <row r="718" spans="1:10" ht="16.899999999999999" x14ac:dyDescent="0.5">
      <c r="A718" s="270"/>
      <c r="B718" s="270"/>
      <c r="C718" s="270"/>
      <c r="D718" s="270"/>
      <c r="E718" s="270"/>
      <c r="F718" s="270"/>
      <c r="G718" s="270"/>
      <c r="H718" s="270"/>
      <c r="I718" s="270"/>
      <c r="J718" s="270"/>
    </row>
    <row r="719" spans="1:10" ht="16.899999999999999" x14ac:dyDescent="0.5">
      <c r="A719" s="270"/>
      <c r="B719" s="270"/>
      <c r="C719" s="270"/>
      <c r="D719" s="270"/>
      <c r="E719" s="270"/>
      <c r="F719" s="270"/>
      <c r="G719" s="270"/>
      <c r="H719" s="270"/>
      <c r="I719" s="270"/>
      <c r="J719" s="270"/>
    </row>
    <row r="720" spans="1:10" ht="16.899999999999999" x14ac:dyDescent="0.5">
      <c r="A720" s="270"/>
      <c r="B720" s="270"/>
      <c r="C720" s="270"/>
      <c r="D720" s="270"/>
      <c r="E720" s="270"/>
      <c r="F720" s="270"/>
      <c r="G720" s="270"/>
      <c r="H720" s="270"/>
      <c r="I720" s="270"/>
      <c r="J720" s="270"/>
    </row>
    <row r="721" spans="1:10" ht="16.899999999999999" x14ac:dyDescent="0.5">
      <c r="A721" s="270"/>
      <c r="B721" s="270"/>
      <c r="C721" s="270"/>
      <c r="D721" s="270"/>
      <c r="E721" s="270"/>
      <c r="F721" s="270"/>
      <c r="G721" s="270"/>
      <c r="H721" s="270"/>
      <c r="I721" s="270"/>
      <c r="J721" s="270"/>
    </row>
    <row r="722" spans="1:10" ht="16.899999999999999" x14ac:dyDescent="0.5">
      <c r="A722" s="270"/>
      <c r="B722" s="270"/>
      <c r="C722" s="270"/>
      <c r="D722" s="270"/>
      <c r="E722" s="270"/>
      <c r="F722" s="270"/>
      <c r="G722" s="270"/>
      <c r="H722" s="270"/>
      <c r="I722" s="270"/>
      <c r="J722" s="270"/>
    </row>
    <row r="723" spans="1:10" ht="16.899999999999999" x14ac:dyDescent="0.5">
      <c r="A723" s="270"/>
      <c r="B723" s="270"/>
      <c r="C723" s="270"/>
      <c r="D723" s="270"/>
      <c r="E723" s="270"/>
      <c r="F723" s="270"/>
      <c r="G723" s="270"/>
      <c r="H723" s="270"/>
      <c r="I723" s="270"/>
      <c r="J723" s="270"/>
    </row>
    <row r="724" spans="1:10" ht="16.899999999999999" x14ac:dyDescent="0.5">
      <c r="A724" s="270"/>
      <c r="B724" s="270"/>
      <c r="C724" s="270"/>
      <c r="D724" s="270"/>
      <c r="E724" s="270"/>
      <c r="F724" s="270"/>
      <c r="G724" s="270"/>
      <c r="H724" s="270"/>
      <c r="I724" s="270"/>
      <c r="J724" s="270"/>
    </row>
    <row r="725" spans="1:10" ht="16.899999999999999" x14ac:dyDescent="0.5">
      <c r="A725" s="270"/>
      <c r="B725" s="270"/>
      <c r="C725" s="270"/>
      <c r="D725" s="270"/>
      <c r="E725" s="270"/>
      <c r="F725" s="270"/>
      <c r="G725" s="270"/>
      <c r="H725" s="270"/>
      <c r="I725" s="270"/>
      <c r="J725" s="270"/>
    </row>
    <row r="726" spans="1:10" ht="16.899999999999999" x14ac:dyDescent="0.5">
      <c r="A726" s="270"/>
      <c r="B726" s="270"/>
      <c r="C726" s="270"/>
      <c r="D726" s="270"/>
      <c r="E726" s="270"/>
      <c r="F726" s="270"/>
      <c r="G726" s="270"/>
      <c r="H726" s="270"/>
      <c r="I726" s="270"/>
      <c r="J726" s="270"/>
    </row>
    <row r="727" spans="1:10" ht="16.899999999999999" x14ac:dyDescent="0.5">
      <c r="A727" s="270"/>
      <c r="B727" s="270"/>
      <c r="C727" s="270"/>
      <c r="D727" s="270"/>
      <c r="E727" s="270"/>
      <c r="F727" s="270"/>
      <c r="G727" s="270"/>
      <c r="H727" s="270"/>
      <c r="I727" s="270"/>
      <c r="J727" s="270"/>
    </row>
    <row r="728" spans="1:10" ht="16.899999999999999" x14ac:dyDescent="0.5">
      <c r="A728" s="270"/>
      <c r="B728" s="270"/>
      <c r="C728" s="270"/>
      <c r="D728" s="270"/>
      <c r="E728" s="270"/>
      <c r="F728" s="270"/>
      <c r="G728" s="270"/>
      <c r="H728" s="270"/>
      <c r="I728" s="270"/>
      <c r="J728" s="270"/>
    </row>
    <row r="729" spans="1:10" ht="16.899999999999999" x14ac:dyDescent="0.5">
      <c r="A729" s="270"/>
      <c r="B729" s="270"/>
      <c r="C729" s="270"/>
      <c r="D729" s="270"/>
      <c r="E729" s="270"/>
      <c r="F729" s="270"/>
      <c r="G729" s="270"/>
      <c r="H729" s="270"/>
      <c r="I729" s="270"/>
      <c r="J729" s="270"/>
    </row>
    <row r="730" spans="1:10" ht="16.899999999999999" x14ac:dyDescent="0.5">
      <c r="A730" s="270"/>
      <c r="B730" s="270"/>
      <c r="C730" s="270"/>
      <c r="D730" s="270"/>
      <c r="E730" s="270"/>
      <c r="F730" s="270"/>
      <c r="G730" s="270"/>
      <c r="H730" s="270"/>
      <c r="I730" s="270"/>
      <c r="J730" s="270"/>
    </row>
    <row r="731" spans="1:10" ht="16.899999999999999" x14ac:dyDescent="0.5">
      <c r="A731" s="270"/>
      <c r="B731" s="270"/>
      <c r="C731" s="270"/>
      <c r="D731" s="270"/>
      <c r="E731" s="270"/>
      <c r="F731" s="270"/>
      <c r="G731" s="270"/>
      <c r="H731" s="270"/>
      <c r="I731" s="270"/>
      <c r="J731" s="270"/>
    </row>
    <row r="732" spans="1:10" ht="16.899999999999999" x14ac:dyDescent="0.5">
      <c r="A732" s="270"/>
      <c r="B732" s="270"/>
      <c r="C732" s="270"/>
      <c r="D732" s="270"/>
      <c r="E732" s="270"/>
      <c r="F732" s="270"/>
      <c r="G732" s="270"/>
      <c r="H732" s="270"/>
      <c r="I732" s="270"/>
      <c r="J732" s="270"/>
    </row>
    <row r="733" spans="1:10" ht="16.899999999999999" x14ac:dyDescent="0.5">
      <c r="A733" s="270"/>
      <c r="B733" s="270"/>
      <c r="C733" s="270"/>
      <c r="D733" s="270"/>
      <c r="E733" s="270"/>
      <c r="F733" s="270"/>
      <c r="G733" s="270"/>
      <c r="H733" s="270"/>
      <c r="I733" s="270"/>
      <c r="J733" s="270"/>
    </row>
    <row r="734" spans="1:10" ht="16.899999999999999" x14ac:dyDescent="0.5">
      <c r="A734" s="270"/>
      <c r="B734" s="270"/>
      <c r="C734" s="270"/>
      <c r="D734" s="270"/>
      <c r="E734" s="270"/>
      <c r="F734" s="270"/>
      <c r="G734" s="270"/>
      <c r="H734" s="270"/>
      <c r="I734" s="270"/>
      <c r="J734" s="270"/>
    </row>
    <row r="735" spans="1:10" ht="16.899999999999999" x14ac:dyDescent="0.5">
      <c r="A735" s="270"/>
      <c r="B735" s="270"/>
      <c r="C735" s="270"/>
      <c r="D735" s="270"/>
      <c r="E735" s="270"/>
      <c r="F735" s="270"/>
      <c r="G735" s="270"/>
      <c r="H735" s="270"/>
      <c r="I735" s="270"/>
      <c r="J735" s="270"/>
    </row>
    <row r="736" spans="1:10" ht="16.899999999999999" x14ac:dyDescent="0.5">
      <c r="A736" s="270"/>
      <c r="B736" s="270"/>
      <c r="C736" s="270"/>
      <c r="D736" s="270"/>
      <c r="E736" s="270"/>
      <c r="F736" s="270"/>
      <c r="G736" s="270"/>
      <c r="H736" s="270"/>
      <c r="I736" s="270"/>
      <c r="J736" s="270"/>
    </row>
    <row r="737" spans="1:10" ht="16.899999999999999" x14ac:dyDescent="0.5">
      <c r="A737" s="270"/>
      <c r="B737" s="270"/>
      <c r="C737" s="270"/>
      <c r="D737" s="270"/>
      <c r="E737" s="270"/>
      <c r="F737" s="270"/>
      <c r="G737" s="270"/>
      <c r="H737" s="270"/>
      <c r="I737" s="270"/>
      <c r="J737" s="270"/>
    </row>
    <row r="738" spans="1:10" ht="16.899999999999999" x14ac:dyDescent="0.5">
      <c r="A738" s="270"/>
      <c r="B738" s="270"/>
      <c r="C738" s="270"/>
      <c r="D738" s="270"/>
      <c r="E738" s="270"/>
      <c r="F738" s="270"/>
      <c r="G738" s="270"/>
      <c r="H738" s="270"/>
      <c r="I738" s="270"/>
      <c r="J738" s="270"/>
    </row>
    <row r="739" spans="1:10" ht="16.899999999999999" x14ac:dyDescent="0.5">
      <c r="A739" s="270"/>
      <c r="B739" s="270"/>
      <c r="C739" s="270"/>
      <c r="D739" s="270"/>
      <c r="E739" s="270"/>
      <c r="F739" s="270"/>
      <c r="G739" s="270"/>
      <c r="H739" s="270"/>
      <c r="I739" s="270"/>
      <c r="J739" s="270"/>
    </row>
    <row r="740" spans="1:10" ht="16.899999999999999" x14ac:dyDescent="0.5">
      <c r="A740" s="270"/>
      <c r="B740" s="270"/>
      <c r="C740" s="270"/>
      <c r="D740" s="270"/>
      <c r="E740" s="270"/>
      <c r="F740" s="270"/>
      <c r="G740" s="270"/>
      <c r="H740" s="270"/>
      <c r="I740" s="270"/>
      <c r="J740" s="270"/>
    </row>
    <row r="741" spans="1:10" ht="16.899999999999999" x14ac:dyDescent="0.5">
      <c r="A741" s="270"/>
      <c r="B741" s="270"/>
      <c r="C741" s="270"/>
      <c r="D741" s="270"/>
      <c r="E741" s="270"/>
      <c r="F741" s="270"/>
      <c r="G741" s="270"/>
      <c r="H741" s="270"/>
      <c r="I741" s="270"/>
      <c r="J741" s="270"/>
    </row>
    <row r="742" spans="1:10" ht="16.899999999999999" x14ac:dyDescent="0.5">
      <c r="A742" s="270"/>
      <c r="B742" s="270"/>
      <c r="C742" s="270"/>
      <c r="D742" s="270"/>
      <c r="E742" s="270"/>
      <c r="F742" s="270"/>
      <c r="G742" s="270"/>
      <c r="H742" s="270"/>
      <c r="I742" s="270"/>
      <c r="J742" s="270"/>
    </row>
    <row r="743" spans="1:10" ht="16.899999999999999" x14ac:dyDescent="0.5">
      <c r="A743" s="270"/>
      <c r="B743" s="270"/>
      <c r="C743" s="270"/>
      <c r="D743" s="270"/>
      <c r="E743" s="270"/>
      <c r="F743" s="270"/>
      <c r="G743" s="270"/>
      <c r="H743" s="270"/>
      <c r="I743" s="270"/>
      <c r="J743" s="270"/>
    </row>
    <row r="744" spans="1:10" ht="16.899999999999999" x14ac:dyDescent="0.5">
      <c r="A744" s="270"/>
      <c r="B744" s="270"/>
      <c r="C744" s="270"/>
      <c r="D744" s="270"/>
      <c r="E744" s="270"/>
      <c r="F744" s="270"/>
      <c r="G744" s="270"/>
      <c r="H744" s="270"/>
      <c r="I744" s="270"/>
      <c r="J744" s="270"/>
    </row>
    <row r="745" spans="1:10" ht="16.899999999999999" x14ac:dyDescent="0.5">
      <c r="A745" s="270"/>
      <c r="B745" s="270"/>
      <c r="C745" s="270"/>
      <c r="D745" s="270"/>
      <c r="E745" s="270"/>
      <c r="F745" s="270"/>
      <c r="G745" s="270"/>
      <c r="H745" s="270"/>
      <c r="I745" s="270"/>
      <c r="J745" s="270"/>
    </row>
    <row r="746" spans="1:10" ht="16.899999999999999" x14ac:dyDescent="0.5">
      <c r="A746" s="270"/>
      <c r="B746" s="270"/>
      <c r="C746" s="270"/>
      <c r="D746" s="270"/>
      <c r="E746" s="270"/>
      <c r="F746" s="270"/>
      <c r="G746" s="270"/>
      <c r="H746" s="270"/>
      <c r="I746" s="270"/>
      <c r="J746" s="270"/>
    </row>
    <row r="747" spans="1:10" ht="16.899999999999999" x14ac:dyDescent="0.5">
      <c r="A747" s="270"/>
      <c r="B747" s="270"/>
      <c r="C747" s="270"/>
      <c r="D747" s="270"/>
      <c r="E747" s="270"/>
      <c r="F747" s="270"/>
      <c r="G747" s="270"/>
      <c r="H747" s="270"/>
      <c r="I747" s="270"/>
      <c r="J747" s="270"/>
    </row>
    <row r="748" spans="1:10" ht="16.899999999999999" x14ac:dyDescent="0.5">
      <c r="A748" s="270"/>
      <c r="B748" s="270"/>
      <c r="C748" s="270"/>
      <c r="D748" s="270"/>
      <c r="E748" s="270"/>
      <c r="F748" s="270"/>
      <c r="G748" s="270"/>
      <c r="H748" s="270"/>
      <c r="I748" s="270"/>
      <c r="J748" s="270"/>
    </row>
    <row r="749" spans="1:10" ht="16.899999999999999" x14ac:dyDescent="0.5">
      <c r="A749" s="270"/>
      <c r="B749" s="270"/>
      <c r="C749" s="270"/>
      <c r="D749" s="270"/>
      <c r="E749" s="270"/>
      <c r="F749" s="270"/>
      <c r="G749" s="270"/>
      <c r="H749" s="270"/>
      <c r="I749" s="270"/>
      <c r="J749" s="270"/>
    </row>
    <row r="750" spans="1:10" ht="16.899999999999999" x14ac:dyDescent="0.5">
      <c r="A750" s="270"/>
      <c r="B750" s="270"/>
      <c r="C750" s="270"/>
      <c r="D750" s="270"/>
      <c r="E750" s="270"/>
      <c r="F750" s="270"/>
      <c r="G750" s="270"/>
      <c r="H750" s="270"/>
      <c r="I750" s="270"/>
      <c r="J750" s="270"/>
    </row>
    <row r="751" spans="1:10" ht="16.899999999999999" x14ac:dyDescent="0.5">
      <c r="A751" s="270"/>
      <c r="B751" s="270"/>
      <c r="C751" s="270"/>
      <c r="D751" s="270"/>
      <c r="E751" s="270"/>
      <c r="F751" s="270"/>
      <c r="G751" s="270"/>
      <c r="H751" s="270"/>
      <c r="I751" s="270"/>
      <c r="J751" s="270"/>
    </row>
    <row r="752" spans="1:10" ht="16.899999999999999" x14ac:dyDescent="0.5">
      <c r="A752" s="270"/>
      <c r="B752" s="270"/>
      <c r="C752" s="270"/>
      <c r="D752" s="270"/>
      <c r="E752" s="270"/>
      <c r="F752" s="270"/>
      <c r="G752" s="270"/>
      <c r="H752" s="270"/>
      <c r="I752" s="270"/>
      <c r="J752" s="270"/>
    </row>
    <row r="753" spans="1:10" ht="16.899999999999999" x14ac:dyDescent="0.5">
      <c r="A753" s="270"/>
      <c r="B753" s="270"/>
      <c r="C753" s="270"/>
      <c r="D753" s="270"/>
      <c r="E753" s="270"/>
      <c r="F753" s="270"/>
      <c r="G753" s="270"/>
      <c r="H753" s="270"/>
      <c r="I753" s="270"/>
      <c r="J753" s="270"/>
    </row>
    <row r="754" spans="1:10" ht="16.899999999999999" x14ac:dyDescent="0.5">
      <c r="A754" s="270"/>
      <c r="B754" s="270"/>
      <c r="C754" s="270"/>
      <c r="D754" s="270"/>
      <c r="E754" s="270"/>
      <c r="F754" s="270"/>
      <c r="G754" s="270"/>
      <c r="H754" s="270"/>
      <c r="I754" s="270"/>
      <c r="J754" s="270"/>
    </row>
    <row r="755" spans="1:10" ht="16.899999999999999" x14ac:dyDescent="0.5">
      <c r="A755" s="270"/>
      <c r="B755" s="270"/>
      <c r="C755" s="270"/>
      <c r="D755" s="270"/>
      <c r="E755" s="270"/>
      <c r="F755" s="270"/>
      <c r="G755" s="270"/>
      <c r="H755" s="270"/>
      <c r="I755" s="270"/>
      <c r="J755" s="270"/>
    </row>
    <row r="756" spans="1:10" ht="16.899999999999999" x14ac:dyDescent="0.5">
      <c r="A756" s="270"/>
      <c r="B756" s="270"/>
      <c r="C756" s="270"/>
      <c r="D756" s="270"/>
      <c r="E756" s="270"/>
      <c r="F756" s="270"/>
      <c r="G756" s="270"/>
      <c r="H756" s="270"/>
      <c r="I756" s="270"/>
      <c r="J756" s="270"/>
    </row>
    <row r="757" spans="1:10" ht="16.899999999999999" x14ac:dyDescent="0.5">
      <c r="A757" s="270"/>
      <c r="B757" s="270"/>
      <c r="C757" s="270"/>
      <c r="D757" s="270"/>
      <c r="E757" s="270"/>
      <c r="F757" s="270"/>
      <c r="G757" s="270"/>
      <c r="H757" s="270"/>
      <c r="I757" s="270"/>
      <c r="J757" s="270"/>
    </row>
    <row r="758" spans="1:10" ht="16.899999999999999" x14ac:dyDescent="0.5">
      <c r="A758" s="270"/>
      <c r="B758" s="270"/>
      <c r="C758" s="270"/>
      <c r="D758" s="270"/>
      <c r="E758" s="270"/>
      <c r="F758" s="270"/>
      <c r="G758" s="270"/>
      <c r="H758" s="270"/>
      <c r="I758" s="270"/>
      <c r="J758" s="270"/>
    </row>
    <row r="759" spans="1:10" ht="16.899999999999999" x14ac:dyDescent="0.5">
      <c r="A759" s="270"/>
      <c r="B759" s="270"/>
      <c r="C759" s="270"/>
      <c r="D759" s="270"/>
      <c r="E759" s="270"/>
      <c r="F759" s="270"/>
      <c r="G759" s="270"/>
      <c r="H759" s="270"/>
      <c r="I759" s="270"/>
      <c r="J759" s="270"/>
    </row>
    <row r="760" spans="1:10" ht="16.899999999999999" x14ac:dyDescent="0.5">
      <c r="A760" s="270"/>
      <c r="B760" s="270"/>
      <c r="C760" s="270"/>
      <c r="D760" s="270"/>
      <c r="E760" s="270"/>
      <c r="F760" s="270"/>
      <c r="G760" s="270"/>
      <c r="H760" s="270"/>
      <c r="I760" s="270"/>
      <c r="J760" s="270"/>
    </row>
    <row r="761" spans="1:10" ht="16.899999999999999" x14ac:dyDescent="0.5">
      <c r="A761" s="270"/>
      <c r="B761" s="270"/>
      <c r="C761" s="270"/>
      <c r="D761" s="270"/>
      <c r="E761" s="270"/>
      <c r="F761" s="270"/>
      <c r="G761" s="270"/>
      <c r="H761" s="270"/>
      <c r="I761" s="270"/>
      <c r="J761" s="270"/>
    </row>
    <row r="762" spans="1:10" ht="16.899999999999999" x14ac:dyDescent="0.5">
      <c r="A762" s="270"/>
      <c r="B762" s="270"/>
      <c r="C762" s="270"/>
      <c r="D762" s="270"/>
      <c r="E762" s="270"/>
      <c r="F762" s="270"/>
      <c r="G762" s="270"/>
      <c r="H762" s="270"/>
      <c r="I762" s="270"/>
      <c r="J762" s="270"/>
    </row>
    <row r="763" spans="1:10" ht="16.899999999999999" x14ac:dyDescent="0.5">
      <c r="A763" s="270"/>
      <c r="B763" s="270"/>
      <c r="C763" s="270"/>
      <c r="D763" s="270"/>
      <c r="E763" s="270"/>
      <c r="F763" s="270"/>
      <c r="G763" s="270"/>
      <c r="H763" s="270"/>
      <c r="I763" s="270"/>
      <c r="J763" s="270"/>
    </row>
    <row r="764" spans="1:10" ht="16.899999999999999" x14ac:dyDescent="0.5">
      <c r="A764" s="270"/>
      <c r="B764" s="270"/>
      <c r="C764" s="270"/>
      <c r="D764" s="270"/>
      <c r="E764" s="270"/>
      <c r="F764" s="270"/>
      <c r="G764" s="270"/>
      <c r="H764" s="270"/>
      <c r="I764" s="270"/>
      <c r="J764" s="270"/>
    </row>
    <row r="765" spans="1:10" ht="16.899999999999999" x14ac:dyDescent="0.5">
      <c r="A765" s="270"/>
      <c r="B765" s="270"/>
      <c r="C765" s="270"/>
      <c r="D765" s="270"/>
      <c r="E765" s="270"/>
      <c r="F765" s="270"/>
      <c r="G765" s="270"/>
      <c r="H765" s="270"/>
      <c r="I765" s="270"/>
      <c r="J765" s="270"/>
    </row>
    <row r="766" spans="1:10" ht="16.899999999999999" x14ac:dyDescent="0.5">
      <c r="A766" s="270"/>
      <c r="B766" s="270"/>
      <c r="C766" s="270"/>
      <c r="D766" s="270"/>
      <c r="E766" s="270"/>
      <c r="F766" s="270"/>
      <c r="G766" s="270"/>
      <c r="H766" s="270"/>
      <c r="I766" s="270"/>
      <c r="J766" s="270"/>
    </row>
    <row r="767" spans="1:10" ht="16.899999999999999" x14ac:dyDescent="0.5">
      <c r="A767" s="270"/>
      <c r="B767" s="270"/>
      <c r="C767" s="270"/>
      <c r="D767" s="270"/>
      <c r="E767" s="270"/>
      <c r="F767" s="270"/>
      <c r="G767" s="270"/>
      <c r="H767" s="270"/>
      <c r="I767" s="270"/>
      <c r="J767" s="270"/>
    </row>
    <row r="768" spans="1:10" ht="16.899999999999999" x14ac:dyDescent="0.5">
      <c r="A768" s="270"/>
      <c r="B768" s="270"/>
      <c r="C768" s="270"/>
      <c r="D768" s="270"/>
      <c r="E768" s="270"/>
      <c r="F768" s="270"/>
      <c r="G768" s="270"/>
      <c r="H768" s="270"/>
      <c r="I768" s="270"/>
      <c r="J768" s="270"/>
    </row>
    <row r="769" spans="1:10" ht="16.899999999999999" x14ac:dyDescent="0.5">
      <c r="A769" s="270"/>
      <c r="B769" s="270"/>
      <c r="C769" s="270"/>
      <c r="D769" s="270"/>
      <c r="E769" s="270"/>
      <c r="F769" s="270"/>
      <c r="G769" s="270"/>
      <c r="H769" s="270"/>
      <c r="I769" s="270"/>
      <c r="J769" s="270"/>
    </row>
    <row r="770" spans="1:10" ht="16.899999999999999" x14ac:dyDescent="0.5">
      <c r="A770" s="270"/>
      <c r="B770" s="270"/>
      <c r="C770" s="270"/>
      <c r="D770" s="270"/>
      <c r="E770" s="270"/>
      <c r="F770" s="270"/>
      <c r="G770" s="270"/>
      <c r="H770" s="270"/>
      <c r="I770" s="270"/>
      <c r="J770" s="270"/>
    </row>
    <row r="771" spans="1:10" ht="16.899999999999999" x14ac:dyDescent="0.5">
      <c r="A771" s="270"/>
      <c r="B771" s="270"/>
      <c r="C771" s="270"/>
      <c r="D771" s="270"/>
      <c r="E771" s="270"/>
      <c r="F771" s="270"/>
      <c r="G771" s="270"/>
      <c r="H771" s="270"/>
      <c r="I771" s="270"/>
      <c r="J771" s="270"/>
    </row>
    <row r="772" spans="1:10" ht="16.899999999999999" x14ac:dyDescent="0.5">
      <c r="A772" s="270"/>
      <c r="B772" s="270"/>
      <c r="C772" s="270"/>
      <c r="D772" s="270"/>
      <c r="E772" s="270"/>
      <c r="F772" s="270"/>
      <c r="G772" s="270"/>
      <c r="H772" s="270"/>
      <c r="I772" s="270"/>
      <c r="J772" s="270"/>
    </row>
    <row r="773" spans="1:10" ht="16.899999999999999" x14ac:dyDescent="0.5">
      <c r="A773" s="270"/>
      <c r="B773" s="270"/>
      <c r="C773" s="270"/>
      <c r="D773" s="270"/>
      <c r="E773" s="270"/>
      <c r="F773" s="270"/>
      <c r="G773" s="270"/>
      <c r="H773" s="270"/>
      <c r="I773" s="270"/>
      <c r="J773" s="270"/>
    </row>
    <row r="774" spans="1:10" ht="16.899999999999999" x14ac:dyDescent="0.5">
      <c r="A774" s="270"/>
      <c r="B774" s="270"/>
      <c r="C774" s="270"/>
      <c r="D774" s="270"/>
      <c r="E774" s="270"/>
      <c r="F774" s="270"/>
      <c r="G774" s="270"/>
      <c r="H774" s="270"/>
      <c r="I774" s="270"/>
      <c r="J774" s="270"/>
    </row>
    <row r="775" spans="1:10" ht="16.899999999999999" x14ac:dyDescent="0.5">
      <c r="A775" s="270"/>
      <c r="B775" s="270"/>
      <c r="C775" s="270"/>
      <c r="D775" s="270"/>
      <c r="E775" s="270"/>
      <c r="F775" s="270"/>
      <c r="G775" s="270"/>
      <c r="H775" s="270"/>
      <c r="I775" s="270"/>
      <c r="J775" s="270"/>
    </row>
    <row r="776" spans="1:10" ht="16.899999999999999" x14ac:dyDescent="0.5">
      <c r="A776" s="270"/>
      <c r="B776" s="270"/>
      <c r="C776" s="270"/>
      <c r="D776" s="270"/>
      <c r="E776" s="270"/>
      <c r="F776" s="270"/>
      <c r="G776" s="270"/>
      <c r="H776" s="270"/>
      <c r="I776" s="270"/>
      <c r="J776" s="270"/>
    </row>
    <row r="777" spans="1:10" ht="16.899999999999999" x14ac:dyDescent="0.5">
      <c r="A777" s="270"/>
      <c r="B777" s="270"/>
      <c r="C777" s="270"/>
      <c r="D777" s="270"/>
      <c r="E777" s="270"/>
      <c r="F777" s="270"/>
      <c r="G777" s="270"/>
      <c r="H777" s="270"/>
      <c r="I777" s="270"/>
      <c r="J777" s="270"/>
    </row>
    <row r="778" spans="1:10" ht="16.899999999999999" x14ac:dyDescent="0.5">
      <c r="A778" s="270"/>
      <c r="B778" s="270"/>
      <c r="C778" s="270"/>
      <c r="D778" s="270"/>
      <c r="E778" s="270"/>
      <c r="F778" s="270"/>
      <c r="G778" s="270"/>
      <c r="H778" s="270"/>
      <c r="I778" s="270"/>
      <c r="J778" s="270"/>
    </row>
    <row r="779" spans="1:10" ht="16.899999999999999" x14ac:dyDescent="0.5">
      <c r="A779" s="270"/>
      <c r="B779" s="270"/>
      <c r="C779" s="270"/>
      <c r="D779" s="270"/>
      <c r="E779" s="270"/>
      <c r="F779" s="270"/>
      <c r="G779" s="270"/>
      <c r="H779" s="270"/>
      <c r="I779" s="270"/>
      <c r="J779" s="270"/>
    </row>
    <row r="780" spans="1:10" ht="16.899999999999999" x14ac:dyDescent="0.5">
      <c r="A780" s="270"/>
      <c r="B780" s="270"/>
      <c r="C780" s="270"/>
      <c r="D780" s="270"/>
      <c r="E780" s="270"/>
      <c r="F780" s="270"/>
      <c r="G780" s="270"/>
      <c r="H780" s="270"/>
      <c r="I780" s="270"/>
      <c r="J780" s="270"/>
    </row>
    <row r="781" spans="1:10" ht="16.899999999999999" x14ac:dyDescent="0.5">
      <c r="A781" s="270"/>
      <c r="B781" s="270"/>
      <c r="C781" s="270"/>
      <c r="D781" s="270"/>
      <c r="E781" s="270"/>
      <c r="F781" s="270"/>
      <c r="G781" s="270"/>
      <c r="H781" s="270"/>
      <c r="I781" s="270"/>
      <c r="J781" s="270"/>
    </row>
    <row r="782" spans="1:10" ht="16.899999999999999" x14ac:dyDescent="0.5">
      <c r="A782" s="270"/>
      <c r="B782" s="270"/>
      <c r="C782" s="270"/>
      <c r="D782" s="270"/>
      <c r="E782" s="270"/>
      <c r="F782" s="270"/>
      <c r="G782" s="270"/>
      <c r="H782" s="270"/>
      <c r="I782" s="270"/>
      <c r="J782" s="270"/>
    </row>
    <row r="783" spans="1:10" ht="16.899999999999999" x14ac:dyDescent="0.5">
      <c r="A783" s="270"/>
      <c r="B783" s="270"/>
      <c r="C783" s="270"/>
      <c r="D783" s="270"/>
      <c r="E783" s="270"/>
      <c r="F783" s="270"/>
      <c r="G783" s="270"/>
      <c r="H783" s="270"/>
      <c r="I783" s="270"/>
      <c r="J783" s="270"/>
    </row>
    <row r="784" spans="1:10" ht="16.899999999999999" x14ac:dyDescent="0.5">
      <c r="A784" s="270"/>
      <c r="B784" s="270"/>
      <c r="C784" s="270"/>
      <c r="D784" s="270"/>
      <c r="E784" s="270"/>
      <c r="F784" s="270"/>
      <c r="G784" s="270"/>
      <c r="H784" s="270"/>
      <c r="I784" s="270"/>
      <c r="J784" s="270"/>
    </row>
    <row r="785" spans="1:10" ht="16.899999999999999" x14ac:dyDescent="0.5">
      <c r="A785" s="270"/>
      <c r="B785" s="270"/>
      <c r="C785" s="270"/>
      <c r="D785" s="270"/>
      <c r="E785" s="270"/>
      <c r="F785" s="270"/>
      <c r="G785" s="270"/>
      <c r="H785" s="270"/>
      <c r="I785" s="270"/>
      <c r="J785" s="270"/>
    </row>
    <row r="786" spans="1:10" ht="16.899999999999999" x14ac:dyDescent="0.5">
      <c r="A786" s="270"/>
      <c r="B786" s="270"/>
      <c r="C786" s="270"/>
      <c r="D786" s="270"/>
      <c r="E786" s="270"/>
      <c r="F786" s="270"/>
      <c r="G786" s="270"/>
      <c r="H786" s="270"/>
      <c r="I786" s="270"/>
      <c r="J786" s="270"/>
    </row>
    <row r="787" spans="1:10" ht="16.899999999999999" x14ac:dyDescent="0.5">
      <c r="A787" s="270"/>
      <c r="B787" s="270"/>
      <c r="C787" s="270"/>
      <c r="D787" s="270"/>
      <c r="E787" s="270"/>
      <c r="F787" s="270"/>
      <c r="G787" s="270"/>
      <c r="H787" s="270"/>
      <c r="I787" s="270"/>
      <c r="J787" s="270"/>
    </row>
    <row r="788" spans="1:10" ht="16.899999999999999" x14ac:dyDescent="0.5">
      <c r="A788" s="270"/>
      <c r="B788" s="270"/>
      <c r="C788" s="270"/>
      <c r="D788" s="270"/>
      <c r="E788" s="270"/>
      <c r="F788" s="270"/>
      <c r="G788" s="270"/>
      <c r="H788" s="270"/>
      <c r="I788" s="270"/>
      <c r="J788" s="270"/>
    </row>
    <row r="789" spans="1:10" ht="16.899999999999999" x14ac:dyDescent="0.5">
      <c r="A789" s="270"/>
      <c r="B789" s="270"/>
      <c r="C789" s="270"/>
      <c r="D789" s="270"/>
      <c r="E789" s="270"/>
      <c r="F789" s="270"/>
      <c r="G789" s="270"/>
      <c r="H789" s="270"/>
      <c r="I789" s="270"/>
      <c r="J789" s="270"/>
    </row>
    <row r="790" spans="1:10" ht="16.899999999999999" x14ac:dyDescent="0.5">
      <c r="A790" s="270"/>
      <c r="B790" s="270"/>
      <c r="C790" s="270"/>
      <c r="D790" s="270"/>
      <c r="E790" s="270"/>
      <c r="F790" s="270"/>
      <c r="G790" s="270"/>
      <c r="H790" s="270"/>
      <c r="I790" s="270"/>
      <c r="J790" s="270"/>
    </row>
    <row r="791" spans="1:10" ht="16.899999999999999" x14ac:dyDescent="0.5">
      <c r="A791" s="270"/>
      <c r="B791" s="270"/>
      <c r="C791" s="270"/>
      <c r="D791" s="270"/>
      <c r="E791" s="270"/>
      <c r="F791" s="270"/>
      <c r="G791" s="270"/>
      <c r="H791" s="270"/>
      <c r="I791" s="270"/>
      <c r="J791" s="270"/>
    </row>
    <row r="792" spans="1:10" ht="16.899999999999999" x14ac:dyDescent="0.5">
      <c r="A792" s="270"/>
      <c r="B792" s="270"/>
      <c r="C792" s="270"/>
      <c r="D792" s="270"/>
      <c r="E792" s="270"/>
      <c r="F792" s="270"/>
      <c r="G792" s="270"/>
      <c r="H792" s="270"/>
      <c r="I792" s="270"/>
      <c r="J792" s="270"/>
    </row>
    <row r="793" spans="1:10" ht="16.899999999999999" x14ac:dyDescent="0.5">
      <c r="A793" s="270"/>
      <c r="B793" s="270"/>
      <c r="C793" s="270"/>
      <c r="D793" s="270"/>
      <c r="E793" s="270"/>
      <c r="F793" s="270"/>
      <c r="G793" s="270"/>
      <c r="H793" s="270"/>
      <c r="I793" s="270"/>
      <c r="J793" s="270"/>
    </row>
    <row r="794" spans="1:10" ht="16.899999999999999" x14ac:dyDescent="0.5">
      <c r="A794" s="270"/>
      <c r="B794" s="270"/>
      <c r="C794" s="270"/>
      <c r="D794" s="270"/>
      <c r="E794" s="270"/>
      <c r="F794" s="270"/>
      <c r="G794" s="270"/>
      <c r="H794" s="270"/>
      <c r="I794" s="270"/>
      <c r="J794" s="270"/>
    </row>
    <row r="795" spans="1:10" ht="16.899999999999999" x14ac:dyDescent="0.5">
      <c r="A795" s="270"/>
      <c r="B795" s="270"/>
      <c r="C795" s="270"/>
      <c r="D795" s="270"/>
      <c r="E795" s="270"/>
      <c r="F795" s="270"/>
      <c r="G795" s="270"/>
      <c r="H795" s="270"/>
      <c r="I795" s="270"/>
      <c r="J795" s="270"/>
    </row>
    <row r="796" spans="1:10" ht="16.899999999999999" x14ac:dyDescent="0.5">
      <c r="A796" s="270"/>
      <c r="B796" s="270"/>
      <c r="C796" s="270"/>
      <c r="D796" s="270"/>
      <c r="E796" s="270"/>
      <c r="F796" s="270"/>
      <c r="G796" s="270"/>
      <c r="H796" s="270"/>
      <c r="I796" s="270"/>
      <c r="J796" s="270"/>
    </row>
    <row r="797" spans="1:10" ht="16.899999999999999" x14ac:dyDescent="0.5">
      <c r="A797" s="270"/>
      <c r="B797" s="270"/>
      <c r="C797" s="270"/>
      <c r="D797" s="270"/>
      <c r="E797" s="270"/>
      <c r="F797" s="270"/>
      <c r="G797" s="270"/>
      <c r="H797" s="270"/>
      <c r="I797" s="270"/>
      <c r="J797" s="270"/>
    </row>
    <row r="798" spans="1:10" ht="16.899999999999999" x14ac:dyDescent="0.5">
      <c r="A798" s="270"/>
      <c r="B798" s="270"/>
      <c r="C798" s="270"/>
      <c r="D798" s="270"/>
      <c r="E798" s="270"/>
      <c r="F798" s="270"/>
      <c r="G798" s="270"/>
      <c r="H798" s="270"/>
      <c r="I798" s="270"/>
      <c r="J798" s="270"/>
    </row>
    <row r="799" spans="1:10" ht="16.899999999999999" x14ac:dyDescent="0.5">
      <c r="A799" s="270"/>
      <c r="B799" s="270"/>
      <c r="C799" s="270"/>
      <c r="D799" s="270"/>
      <c r="E799" s="270"/>
      <c r="F799" s="270"/>
      <c r="G799" s="270"/>
      <c r="H799" s="270"/>
      <c r="I799" s="270"/>
      <c r="J799" s="270"/>
    </row>
    <row r="800" spans="1:10" ht="16.899999999999999" x14ac:dyDescent="0.5">
      <c r="A800" s="270"/>
      <c r="B800" s="270"/>
      <c r="C800" s="270"/>
      <c r="D800" s="270"/>
      <c r="E800" s="270"/>
      <c r="F800" s="270"/>
      <c r="G800" s="270"/>
      <c r="H800" s="270"/>
      <c r="I800" s="270"/>
      <c r="J800" s="270"/>
    </row>
    <row r="801" spans="1:10" ht="16.899999999999999" x14ac:dyDescent="0.5">
      <c r="A801" s="270"/>
      <c r="B801" s="270"/>
      <c r="C801" s="270"/>
      <c r="D801" s="270"/>
      <c r="E801" s="270"/>
      <c r="F801" s="270"/>
      <c r="G801" s="270"/>
      <c r="H801" s="270"/>
      <c r="I801" s="270"/>
      <c r="J801" s="270"/>
    </row>
    <row r="802" spans="1:10" ht="16.899999999999999" x14ac:dyDescent="0.5">
      <c r="A802" s="270"/>
      <c r="B802" s="270"/>
      <c r="C802" s="270"/>
      <c r="D802" s="270"/>
      <c r="E802" s="270"/>
      <c r="F802" s="270"/>
      <c r="G802" s="270"/>
      <c r="H802" s="270"/>
      <c r="I802" s="270"/>
      <c r="J802" s="270"/>
    </row>
    <row r="803" spans="1:10" ht="16.899999999999999" x14ac:dyDescent="0.5">
      <c r="A803" s="270"/>
      <c r="B803" s="270"/>
      <c r="C803" s="270"/>
      <c r="D803" s="270"/>
      <c r="E803" s="270"/>
      <c r="F803" s="270"/>
      <c r="G803" s="270"/>
      <c r="H803" s="270"/>
      <c r="I803" s="270"/>
      <c r="J803" s="270"/>
    </row>
    <row r="804" spans="1:10" ht="16.899999999999999" x14ac:dyDescent="0.5">
      <c r="A804" s="270"/>
      <c r="B804" s="270"/>
      <c r="C804" s="270"/>
      <c r="D804" s="270"/>
      <c r="E804" s="270"/>
      <c r="F804" s="270"/>
      <c r="G804" s="270"/>
      <c r="H804" s="270"/>
      <c r="I804" s="270"/>
      <c r="J804" s="270"/>
    </row>
    <row r="805" spans="1:10" ht="16.899999999999999" x14ac:dyDescent="0.5">
      <c r="A805" s="270"/>
      <c r="B805" s="270"/>
      <c r="C805" s="270"/>
      <c r="D805" s="270"/>
      <c r="E805" s="270"/>
      <c r="F805" s="270"/>
      <c r="G805" s="270"/>
      <c r="H805" s="270"/>
      <c r="I805" s="270"/>
      <c r="J805" s="270"/>
    </row>
    <row r="806" spans="1:10" ht="16.899999999999999" x14ac:dyDescent="0.5">
      <c r="A806" s="270"/>
      <c r="B806" s="270"/>
      <c r="C806" s="270"/>
      <c r="D806" s="270"/>
      <c r="E806" s="270"/>
      <c r="F806" s="270"/>
      <c r="G806" s="270"/>
      <c r="H806" s="270"/>
      <c r="I806" s="270"/>
      <c r="J806" s="270"/>
    </row>
    <row r="807" spans="1:10" ht="16.899999999999999" x14ac:dyDescent="0.5">
      <c r="A807" s="270"/>
      <c r="B807" s="270"/>
      <c r="C807" s="270"/>
      <c r="D807" s="270"/>
      <c r="E807" s="270"/>
      <c r="F807" s="270"/>
      <c r="G807" s="270"/>
      <c r="H807" s="270"/>
      <c r="I807" s="270"/>
      <c r="J807" s="270"/>
    </row>
    <row r="808" spans="1:10" ht="16.899999999999999" x14ac:dyDescent="0.5">
      <c r="A808" s="270"/>
      <c r="B808" s="270"/>
      <c r="C808" s="270"/>
      <c r="D808" s="270"/>
      <c r="E808" s="270"/>
      <c r="F808" s="270"/>
      <c r="G808" s="270"/>
      <c r="H808" s="270"/>
      <c r="I808" s="270"/>
      <c r="J808" s="270"/>
    </row>
    <row r="809" spans="1:10" ht="16.899999999999999" x14ac:dyDescent="0.5">
      <c r="A809" s="270"/>
      <c r="B809" s="270"/>
      <c r="C809" s="270"/>
      <c r="D809" s="270"/>
      <c r="E809" s="270"/>
      <c r="F809" s="270"/>
      <c r="G809" s="270"/>
      <c r="H809" s="270"/>
      <c r="I809" s="270"/>
      <c r="J809" s="270"/>
    </row>
    <row r="810" spans="1:10" ht="16.899999999999999" x14ac:dyDescent="0.5">
      <c r="A810" s="270"/>
      <c r="B810" s="270"/>
      <c r="C810" s="270"/>
      <c r="D810" s="270"/>
      <c r="E810" s="270"/>
      <c r="F810" s="270"/>
      <c r="G810" s="270"/>
      <c r="H810" s="270"/>
      <c r="I810" s="270"/>
      <c r="J810" s="270"/>
    </row>
    <row r="811" spans="1:10" ht="16.899999999999999" x14ac:dyDescent="0.5">
      <c r="A811" s="270"/>
      <c r="B811" s="270"/>
      <c r="C811" s="270"/>
      <c r="D811" s="270"/>
      <c r="E811" s="270"/>
      <c r="F811" s="270"/>
      <c r="G811" s="270"/>
      <c r="H811" s="270"/>
      <c r="I811" s="270"/>
      <c r="J811" s="270"/>
    </row>
    <row r="812" spans="1:10" ht="16.899999999999999" x14ac:dyDescent="0.5">
      <c r="A812" s="270"/>
      <c r="B812" s="270"/>
      <c r="C812" s="270"/>
      <c r="D812" s="270"/>
      <c r="E812" s="270"/>
      <c r="F812" s="270"/>
      <c r="G812" s="270"/>
      <c r="H812" s="270"/>
      <c r="I812" s="270"/>
      <c r="J812" s="270"/>
    </row>
    <row r="813" spans="1:10" ht="16.899999999999999" x14ac:dyDescent="0.5">
      <c r="A813" s="270"/>
      <c r="B813" s="270"/>
      <c r="C813" s="270"/>
      <c r="D813" s="270"/>
      <c r="E813" s="270"/>
      <c r="F813" s="270"/>
      <c r="G813" s="270"/>
      <c r="H813" s="270"/>
      <c r="I813" s="270"/>
      <c r="J813" s="270"/>
    </row>
    <row r="814" spans="1:10" ht="16.899999999999999" x14ac:dyDescent="0.5">
      <c r="A814" s="270"/>
      <c r="B814" s="270"/>
      <c r="C814" s="270"/>
      <c r="D814" s="270"/>
      <c r="E814" s="270"/>
      <c r="F814" s="270"/>
      <c r="G814" s="270"/>
      <c r="H814" s="270"/>
      <c r="I814" s="270"/>
      <c r="J814" s="270"/>
    </row>
    <row r="815" spans="1:10" ht="16.899999999999999" x14ac:dyDescent="0.5">
      <c r="A815" s="270"/>
      <c r="B815" s="270"/>
      <c r="C815" s="270"/>
      <c r="D815" s="270"/>
      <c r="E815" s="270"/>
      <c r="F815" s="270"/>
      <c r="G815" s="270"/>
      <c r="H815" s="270"/>
      <c r="I815" s="270"/>
      <c r="J815" s="270"/>
    </row>
    <row r="816" spans="1:10" ht="16.899999999999999" x14ac:dyDescent="0.5">
      <c r="A816" s="270"/>
      <c r="B816" s="270"/>
      <c r="C816" s="270"/>
      <c r="D816" s="270"/>
      <c r="E816" s="270"/>
      <c r="F816" s="270"/>
      <c r="G816" s="270"/>
      <c r="H816" s="270"/>
      <c r="I816" s="270"/>
      <c r="J816" s="270"/>
    </row>
    <row r="817" spans="1:10" ht="16.899999999999999" x14ac:dyDescent="0.5">
      <c r="A817" s="270"/>
      <c r="B817" s="270"/>
      <c r="C817" s="270"/>
      <c r="D817" s="270"/>
      <c r="E817" s="270"/>
      <c r="F817" s="270"/>
      <c r="G817" s="270"/>
      <c r="H817" s="270"/>
      <c r="I817" s="270"/>
      <c r="J817" s="270"/>
    </row>
    <row r="818" spans="1:10" ht="16.899999999999999" x14ac:dyDescent="0.5">
      <c r="A818" s="270"/>
      <c r="B818" s="270"/>
      <c r="C818" s="270"/>
      <c r="D818" s="270"/>
      <c r="E818" s="270"/>
      <c r="F818" s="270"/>
      <c r="G818" s="270"/>
      <c r="H818" s="270"/>
      <c r="I818" s="270"/>
      <c r="J818" s="270"/>
    </row>
    <row r="819" spans="1:10" ht="16.899999999999999" x14ac:dyDescent="0.5">
      <c r="A819" s="270"/>
      <c r="B819" s="270"/>
      <c r="C819" s="270"/>
      <c r="D819" s="270"/>
      <c r="E819" s="270"/>
      <c r="F819" s="270"/>
      <c r="G819" s="270"/>
      <c r="H819" s="270"/>
      <c r="I819" s="270"/>
      <c r="J819" s="270"/>
    </row>
    <row r="820" spans="1:10" ht="16.899999999999999" x14ac:dyDescent="0.5">
      <c r="A820" s="270"/>
      <c r="B820" s="270"/>
      <c r="C820" s="270"/>
      <c r="D820" s="270"/>
      <c r="E820" s="270"/>
      <c r="F820" s="270"/>
      <c r="G820" s="270"/>
      <c r="H820" s="270"/>
      <c r="I820" s="270"/>
      <c r="J820" s="270"/>
    </row>
    <row r="821" spans="1:10" ht="16.899999999999999" x14ac:dyDescent="0.5">
      <c r="A821" s="270"/>
      <c r="B821" s="270"/>
      <c r="C821" s="270"/>
      <c r="D821" s="270"/>
      <c r="E821" s="270"/>
      <c r="F821" s="270"/>
      <c r="G821" s="270"/>
      <c r="H821" s="270"/>
      <c r="I821" s="270"/>
      <c r="J821" s="270"/>
    </row>
    <row r="822" spans="1:10" ht="16.899999999999999" x14ac:dyDescent="0.5">
      <c r="A822" s="270"/>
      <c r="B822" s="270"/>
      <c r="C822" s="270"/>
      <c r="D822" s="270"/>
      <c r="E822" s="270"/>
      <c r="F822" s="270"/>
      <c r="G822" s="270"/>
      <c r="H822" s="270"/>
      <c r="I822" s="270"/>
      <c r="J822" s="270"/>
    </row>
    <row r="823" spans="1:10" ht="16.899999999999999" x14ac:dyDescent="0.5">
      <c r="A823" s="270"/>
      <c r="B823" s="270"/>
      <c r="C823" s="270"/>
      <c r="D823" s="270"/>
      <c r="E823" s="270"/>
      <c r="F823" s="270"/>
      <c r="G823" s="270"/>
      <c r="H823" s="270"/>
      <c r="I823" s="270"/>
      <c r="J823" s="270"/>
    </row>
    <row r="824" spans="1:10" ht="16.899999999999999" x14ac:dyDescent="0.5">
      <c r="A824" s="270"/>
      <c r="B824" s="270"/>
      <c r="C824" s="270"/>
      <c r="D824" s="270"/>
      <c r="E824" s="270"/>
      <c r="F824" s="270"/>
      <c r="G824" s="270"/>
      <c r="H824" s="270"/>
      <c r="I824" s="270"/>
      <c r="J824" s="270"/>
    </row>
    <row r="825" spans="1:10" ht="16.899999999999999" x14ac:dyDescent="0.5">
      <c r="A825" s="270"/>
      <c r="B825" s="270"/>
      <c r="C825" s="270"/>
      <c r="D825" s="270"/>
      <c r="E825" s="270"/>
      <c r="F825" s="270"/>
      <c r="G825" s="270"/>
      <c r="H825" s="270"/>
      <c r="I825" s="270"/>
      <c r="J825" s="270"/>
    </row>
    <row r="826" spans="1:10" ht="16.899999999999999" x14ac:dyDescent="0.5">
      <c r="A826" s="270"/>
      <c r="B826" s="270"/>
      <c r="C826" s="270"/>
      <c r="D826" s="270"/>
      <c r="E826" s="270"/>
      <c r="F826" s="270"/>
      <c r="G826" s="270"/>
      <c r="H826" s="270"/>
      <c r="I826" s="270"/>
      <c r="J826" s="270"/>
    </row>
    <row r="827" spans="1:10" ht="16.899999999999999" x14ac:dyDescent="0.5">
      <c r="A827" s="270"/>
      <c r="B827" s="270"/>
      <c r="C827" s="270"/>
      <c r="D827" s="270"/>
      <c r="E827" s="270"/>
      <c r="F827" s="270"/>
      <c r="G827" s="270"/>
      <c r="H827" s="270"/>
      <c r="I827" s="270"/>
      <c r="J827" s="270"/>
    </row>
    <row r="828" spans="1:10" ht="16.899999999999999" x14ac:dyDescent="0.5">
      <c r="A828" s="270"/>
      <c r="B828" s="270"/>
      <c r="C828" s="270"/>
      <c r="D828" s="270"/>
      <c r="E828" s="270"/>
      <c r="F828" s="270"/>
      <c r="G828" s="270"/>
      <c r="H828" s="270"/>
      <c r="I828" s="270"/>
      <c r="J828" s="270"/>
    </row>
    <row r="829" spans="1:10" ht="16.899999999999999" x14ac:dyDescent="0.5">
      <c r="A829" s="270"/>
      <c r="B829" s="270"/>
      <c r="C829" s="270"/>
      <c r="D829" s="270"/>
      <c r="E829" s="270"/>
      <c r="F829" s="270"/>
      <c r="G829" s="270"/>
      <c r="H829" s="270"/>
      <c r="I829" s="270"/>
      <c r="J829" s="270"/>
    </row>
    <row r="830" spans="1:10" ht="16.899999999999999" x14ac:dyDescent="0.5">
      <c r="A830" s="270"/>
      <c r="B830" s="270"/>
      <c r="C830" s="270"/>
      <c r="D830" s="270"/>
      <c r="E830" s="270"/>
      <c r="F830" s="270"/>
      <c r="G830" s="270"/>
      <c r="H830" s="270"/>
      <c r="I830" s="270"/>
      <c r="J830" s="270"/>
    </row>
    <row r="831" spans="1:10" ht="16.899999999999999" x14ac:dyDescent="0.5">
      <c r="A831" s="270"/>
      <c r="B831" s="270"/>
      <c r="C831" s="270"/>
      <c r="D831" s="270"/>
      <c r="E831" s="270"/>
      <c r="F831" s="270"/>
      <c r="G831" s="270"/>
      <c r="H831" s="270"/>
      <c r="I831" s="270"/>
      <c r="J831" s="270"/>
    </row>
    <row r="832" spans="1:10" ht="16.899999999999999" x14ac:dyDescent="0.5">
      <c r="A832" s="270"/>
      <c r="B832" s="270"/>
      <c r="C832" s="270"/>
      <c r="D832" s="270"/>
      <c r="E832" s="270"/>
      <c r="F832" s="270"/>
      <c r="G832" s="270"/>
      <c r="H832" s="270"/>
      <c r="I832" s="270"/>
      <c r="J832" s="270"/>
    </row>
    <row r="833" spans="1:10" ht="16.899999999999999" x14ac:dyDescent="0.5">
      <c r="A833" s="270"/>
      <c r="B833" s="270"/>
      <c r="C833" s="270"/>
      <c r="D833" s="270"/>
      <c r="E833" s="270"/>
      <c r="F833" s="270"/>
      <c r="G833" s="270"/>
      <c r="H833" s="270"/>
      <c r="I833" s="270"/>
      <c r="J833" s="270"/>
    </row>
    <row r="834" spans="1:10" ht="16.899999999999999" x14ac:dyDescent="0.5">
      <c r="A834" s="270"/>
      <c r="B834" s="270"/>
      <c r="C834" s="270"/>
      <c r="D834" s="270"/>
      <c r="E834" s="270"/>
      <c r="F834" s="270"/>
      <c r="G834" s="270"/>
      <c r="H834" s="270"/>
      <c r="I834" s="270"/>
      <c r="J834" s="270"/>
    </row>
    <row r="835" spans="1:10" ht="16.899999999999999" x14ac:dyDescent="0.5">
      <c r="A835" s="270"/>
      <c r="B835" s="270"/>
      <c r="C835" s="270"/>
      <c r="D835" s="270"/>
      <c r="E835" s="270"/>
      <c r="F835" s="270"/>
      <c r="G835" s="270"/>
      <c r="H835" s="270"/>
      <c r="I835" s="270"/>
      <c r="J835" s="270"/>
    </row>
    <row r="836" spans="1:10" ht="16.899999999999999" x14ac:dyDescent="0.5">
      <c r="A836" s="270"/>
      <c r="B836" s="270"/>
      <c r="C836" s="270"/>
      <c r="D836" s="270"/>
      <c r="E836" s="270"/>
      <c r="F836" s="270"/>
      <c r="G836" s="270"/>
      <c r="H836" s="270"/>
      <c r="I836" s="270"/>
      <c r="J836" s="270"/>
    </row>
    <row r="837" spans="1:10" ht="16.899999999999999" x14ac:dyDescent="0.5">
      <c r="A837" s="270"/>
      <c r="B837" s="270"/>
      <c r="C837" s="270"/>
      <c r="D837" s="270"/>
      <c r="E837" s="270"/>
      <c r="F837" s="270"/>
      <c r="G837" s="270"/>
      <c r="H837" s="270"/>
      <c r="I837" s="270"/>
      <c r="J837" s="270"/>
    </row>
    <row r="838" spans="1:10" ht="16.899999999999999" x14ac:dyDescent="0.5">
      <c r="A838" s="270"/>
      <c r="B838" s="270"/>
      <c r="C838" s="270"/>
      <c r="D838" s="270"/>
      <c r="E838" s="270"/>
      <c r="F838" s="270"/>
      <c r="G838" s="270"/>
      <c r="H838" s="270"/>
      <c r="I838" s="270"/>
      <c r="J838" s="270"/>
    </row>
    <row r="839" spans="1:10" ht="16.899999999999999" x14ac:dyDescent="0.5">
      <c r="A839" s="270"/>
      <c r="B839" s="270"/>
      <c r="C839" s="270"/>
      <c r="D839" s="270"/>
      <c r="E839" s="270"/>
      <c r="F839" s="270"/>
      <c r="G839" s="270"/>
      <c r="H839" s="270"/>
      <c r="I839" s="270"/>
      <c r="J839" s="270"/>
    </row>
    <row r="840" spans="1:10" ht="16.899999999999999" x14ac:dyDescent="0.5">
      <c r="A840" s="270"/>
      <c r="B840" s="270"/>
      <c r="C840" s="270"/>
      <c r="D840" s="270"/>
      <c r="E840" s="270"/>
      <c r="F840" s="270"/>
      <c r="G840" s="270"/>
      <c r="H840" s="270"/>
      <c r="I840" s="270"/>
      <c r="J840" s="270"/>
    </row>
    <row r="841" spans="1:10" ht="16.899999999999999" x14ac:dyDescent="0.5">
      <c r="A841" s="270"/>
      <c r="B841" s="270"/>
      <c r="C841" s="270"/>
      <c r="D841" s="270"/>
      <c r="E841" s="270"/>
      <c r="F841" s="270"/>
      <c r="G841" s="270"/>
      <c r="H841" s="270"/>
      <c r="I841" s="270"/>
      <c r="J841" s="270"/>
    </row>
    <row r="842" spans="1:10" ht="16.899999999999999" x14ac:dyDescent="0.5">
      <c r="A842" s="270"/>
      <c r="B842" s="270"/>
      <c r="C842" s="270"/>
      <c r="D842" s="270"/>
      <c r="E842" s="270"/>
      <c r="F842" s="270"/>
      <c r="G842" s="270"/>
      <c r="H842" s="270"/>
      <c r="I842" s="270"/>
      <c r="J842" s="270"/>
    </row>
    <row r="843" spans="1:10" ht="16.899999999999999" x14ac:dyDescent="0.5">
      <c r="A843" s="270"/>
      <c r="B843" s="270"/>
      <c r="C843" s="270"/>
      <c r="D843" s="270"/>
      <c r="E843" s="270"/>
      <c r="F843" s="270"/>
      <c r="G843" s="270"/>
      <c r="H843" s="270"/>
      <c r="I843" s="270"/>
      <c r="J843" s="270"/>
    </row>
    <row r="844" spans="1:10" ht="16.899999999999999" x14ac:dyDescent="0.5">
      <c r="A844" s="270"/>
      <c r="B844" s="270"/>
      <c r="C844" s="270"/>
      <c r="D844" s="270"/>
      <c r="E844" s="270"/>
      <c r="F844" s="270"/>
      <c r="G844" s="270"/>
      <c r="H844" s="270"/>
      <c r="I844" s="270"/>
      <c r="J844" s="270"/>
    </row>
    <row r="845" spans="1:10" ht="16.899999999999999" x14ac:dyDescent="0.5">
      <c r="A845" s="270"/>
      <c r="B845" s="270"/>
      <c r="C845" s="270"/>
      <c r="D845" s="270"/>
      <c r="E845" s="270"/>
      <c r="F845" s="270"/>
      <c r="G845" s="270"/>
      <c r="H845" s="270"/>
      <c r="I845" s="270"/>
      <c r="J845" s="270"/>
    </row>
    <row r="846" spans="1:10" ht="16.899999999999999" x14ac:dyDescent="0.5">
      <c r="A846" s="270"/>
      <c r="B846" s="270"/>
      <c r="C846" s="270"/>
      <c r="D846" s="270"/>
      <c r="E846" s="270"/>
      <c r="F846" s="270"/>
      <c r="G846" s="270"/>
      <c r="H846" s="270"/>
      <c r="I846" s="270"/>
      <c r="J846" s="270"/>
    </row>
    <row r="847" spans="1:10" ht="16.899999999999999" x14ac:dyDescent="0.5">
      <c r="A847" s="270"/>
      <c r="B847" s="270"/>
      <c r="C847" s="270"/>
      <c r="D847" s="270"/>
      <c r="E847" s="270"/>
      <c r="F847" s="270"/>
      <c r="G847" s="270"/>
      <c r="H847" s="270"/>
      <c r="I847" s="270"/>
      <c r="J847" s="270"/>
    </row>
    <row r="848" spans="1:10" ht="16.899999999999999" x14ac:dyDescent="0.5">
      <c r="A848" s="270"/>
      <c r="B848" s="270"/>
      <c r="C848" s="270"/>
      <c r="D848" s="270"/>
      <c r="E848" s="270"/>
      <c r="F848" s="270"/>
      <c r="G848" s="270"/>
      <c r="H848" s="270"/>
      <c r="I848" s="270"/>
      <c r="J848" s="270"/>
    </row>
    <row r="849" spans="1:10" ht="16.899999999999999" x14ac:dyDescent="0.5">
      <c r="A849" s="270"/>
      <c r="B849" s="270"/>
      <c r="C849" s="270"/>
      <c r="D849" s="270"/>
      <c r="E849" s="270"/>
      <c r="F849" s="270"/>
      <c r="G849" s="270"/>
      <c r="H849" s="270"/>
      <c r="I849" s="270"/>
      <c r="J849" s="270"/>
    </row>
    <row r="850" spans="1:10" ht="16.899999999999999" x14ac:dyDescent="0.5">
      <c r="A850" s="270"/>
      <c r="B850" s="270"/>
      <c r="C850" s="270"/>
      <c r="D850" s="270"/>
      <c r="E850" s="270"/>
      <c r="F850" s="270"/>
      <c r="G850" s="270"/>
      <c r="H850" s="270"/>
      <c r="I850" s="270"/>
      <c r="J850" s="270"/>
    </row>
    <row r="851" spans="1:10" ht="16.899999999999999" x14ac:dyDescent="0.5">
      <c r="A851" s="270"/>
      <c r="B851" s="270"/>
      <c r="C851" s="270"/>
      <c r="D851" s="270"/>
      <c r="E851" s="270"/>
      <c r="F851" s="270"/>
      <c r="G851" s="270"/>
      <c r="H851" s="270"/>
      <c r="I851" s="270"/>
      <c r="J851" s="270"/>
    </row>
    <row r="852" spans="1:10" ht="16.899999999999999" x14ac:dyDescent="0.5">
      <c r="A852" s="270"/>
      <c r="B852" s="270"/>
      <c r="C852" s="270"/>
      <c r="D852" s="270"/>
      <c r="E852" s="270"/>
      <c r="F852" s="270"/>
      <c r="G852" s="270"/>
      <c r="H852" s="270"/>
      <c r="I852" s="270"/>
      <c r="J852" s="270"/>
    </row>
    <row r="853" spans="1:10" ht="16.899999999999999" x14ac:dyDescent="0.5">
      <c r="A853" s="270"/>
      <c r="B853" s="270"/>
      <c r="C853" s="270"/>
      <c r="D853" s="270"/>
      <c r="E853" s="270"/>
      <c r="F853" s="270"/>
      <c r="G853" s="270"/>
      <c r="H853" s="270"/>
      <c r="I853" s="270"/>
      <c r="J853" s="270"/>
    </row>
    <row r="854" spans="1:10" ht="16.899999999999999" x14ac:dyDescent="0.5">
      <c r="A854" s="270"/>
      <c r="B854" s="270"/>
      <c r="C854" s="270"/>
      <c r="D854" s="270"/>
      <c r="E854" s="270"/>
      <c r="F854" s="270"/>
      <c r="G854" s="270"/>
      <c r="H854" s="270"/>
      <c r="I854" s="270"/>
      <c r="J854" s="270"/>
    </row>
    <row r="855" spans="1:10" ht="16.899999999999999" x14ac:dyDescent="0.5">
      <c r="A855" s="270"/>
      <c r="B855" s="270"/>
      <c r="C855" s="270"/>
      <c r="D855" s="270"/>
      <c r="E855" s="270"/>
      <c r="F855" s="270"/>
      <c r="G855" s="270"/>
      <c r="H855" s="270"/>
      <c r="I855" s="270"/>
      <c r="J855" s="270"/>
    </row>
    <row r="856" spans="1:10" ht="16.899999999999999" x14ac:dyDescent="0.5">
      <c r="A856" s="270"/>
      <c r="B856" s="270"/>
      <c r="C856" s="270"/>
      <c r="D856" s="270"/>
      <c r="E856" s="270"/>
      <c r="F856" s="270"/>
      <c r="G856" s="270"/>
      <c r="H856" s="270"/>
      <c r="I856" s="270"/>
      <c r="J856" s="270"/>
    </row>
    <row r="857" spans="1:10" ht="16.899999999999999" x14ac:dyDescent="0.5">
      <c r="A857" s="270"/>
      <c r="B857" s="270"/>
      <c r="C857" s="270"/>
      <c r="D857" s="270"/>
      <c r="E857" s="270"/>
      <c r="F857" s="270"/>
      <c r="G857" s="270"/>
      <c r="H857" s="270"/>
      <c r="I857" s="270"/>
      <c r="J857" s="270"/>
    </row>
    <row r="858" spans="1:10" ht="16.899999999999999" x14ac:dyDescent="0.5">
      <c r="A858" s="270"/>
      <c r="B858" s="270"/>
      <c r="C858" s="270"/>
      <c r="D858" s="270"/>
      <c r="E858" s="270"/>
      <c r="F858" s="270"/>
      <c r="G858" s="270"/>
      <c r="H858" s="270"/>
      <c r="I858" s="270"/>
      <c r="J858" s="270"/>
    </row>
    <row r="859" spans="1:10" ht="16.899999999999999" x14ac:dyDescent="0.5">
      <c r="A859" s="270"/>
      <c r="B859" s="270"/>
      <c r="C859" s="270"/>
      <c r="D859" s="270"/>
      <c r="E859" s="270"/>
      <c r="F859" s="270"/>
      <c r="G859" s="270"/>
      <c r="H859" s="270"/>
      <c r="I859" s="270"/>
      <c r="J859" s="270"/>
    </row>
    <row r="860" spans="1:10" ht="16.899999999999999" x14ac:dyDescent="0.5">
      <c r="A860" s="270"/>
      <c r="B860" s="270"/>
      <c r="C860" s="270"/>
      <c r="D860" s="270"/>
      <c r="E860" s="270"/>
      <c r="F860" s="270"/>
      <c r="G860" s="270"/>
      <c r="H860" s="270"/>
      <c r="I860" s="270"/>
      <c r="J860" s="270"/>
    </row>
    <row r="861" spans="1:10" ht="16.899999999999999" x14ac:dyDescent="0.5">
      <c r="A861" s="270"/>
      <c r="B861" s="270"/>
      <c r="C861" s="270"/>
      <c r="D861" s="270"/>
      <c r="E861" s="270"/>
      <c r="F861" s="270"/>
      <c r="G861" s="270"/>
      <c r="H861" s="270"/>
      <c r="I861" s="270"/>
      <c r="J861" s="270"/>
    </row>
    <row r="862" spans="1:10" ht="16.899999999999999" x14ac:dyDescent="0.5">
      <c r="A862" s="270"/>
      <c r="B862" s="270"/>
      <c r="C862" s="270"/>
      <c r="D862" s="270"/>
      <c r="E862" s="270"/>
      <c r="F862" s="270"/>
      <c r="G862" s="270"/>
      <c r="H862" s="270"/>
      <c r="I862" s="270"/>
      <c r="J862" s="270"/>
    </row>
    <row r="863" spans="1:10" ht="16.899999999999999" x14ac:dyDescent="0.5">
      <c r="A863" s="270"/>
      <c r="B863" s="270"/>
      <c r="C863" s="270"/>
      <c r="D863" s="270"/>
      <c r="E863" s="270"/>
      <c r="F863" s="270"/>
      <c r="G863" s="270"/>
      <c r="H863" s="270"/>
      <c r="I863" s="270"/>
      <c r="J863" s="270"/>
    </row>
    <row r="864" spans="1:10" ht="16.899999999999999" x14ac:dyDescent="0.5">
      <c r="A864" s="270"/>
      <c r="B864" s="270"/>
      <c r="C864" s="270"/>
      <c r="D864" s="270"/>
      <c r="E864" s="270"/>
      <c r="F864" s="270"/>
      <c r="G864" s="270"/>
      <c r="H864" s="270"/>
      <c r="I864" s="270"/>
      <c r="J864" s="270"/>
    </row>
    <row r="865" spans="1:10" ht="16.899999999999999" x14ac:dyDescent="0.5">
      <c r="A865" s="270"/>
      <c r="B865" s="270"/>
      <c r="C865" s="270"/>
      <c r="D865" s="270"/>
      <c r="E865" s="270"/>
      <c r="F865" s="270"/>
      <c r="G865" s="270"/>
      <c r="H865" s="270"/>
      <c r="I865" s="270"/>
      <c r="J865" s="270"/>
    </row>
    <row r="866" spans="1:10" ht="16.899999999999999" x14ac:dyDescent="0.5">
      <c r="A866" s="270"/>
      <c r="B866" s="270"/>
      <c r="C866" s="270"/>
      <c r="D866" s="270"/>
      <c r="E866" s="270"/>
      <c r="F866" s="270"/>
      <c r="G866" s="270"/>
      <c r="H866" s="270"/>
      <c r="I866" s="270"/>
      <c r="J866" s="270"/>
    </row>
    <row r="867" spans="1:10" ht="16.899999999999999" x14ac:dyDescent="0.5">
      <c r="A867" s="270"/>
      <c r="B867" s="270"/>
      <c r="C867" s="270"/>
      <c r="D867" s="270"/>
      <c r="E867" s="270"/>
      <c r="F867" s="270"/>
      <c r="G867" s="270"/>
      <c r="H867" s="270"/>
      <c r="I867" s="270"/>
      <c r="J867" s="270"/>
    </row>
    <row r="868" spans="1:10" ht="16.899999999999999" x14ac:dyDescent="0.5">
      <c r="A868" s="270"/>
      <c r="B868" s="270"/>
      <c r="C868" s="270"/>
      <c r="D868" s="270"/>
      <c r="E868" s="270"/>
      <c r="F868" s="270"/>
      <c r="G868" s="270"/>
      <c r="H868" s="270"/>
      <c r="I868" s="270"/>
      <c r="J868" s="270"/>
    </row>
    <row r="869" spans="1:10" ht="16.899999999999999" x14ac:dyDescent="0.5">
      <c r="A869" s="270"/>
      <c r="B869" s="270"/>
      <c r="C869" s="270"/>
      <c r="D869" s="270"/>
      <c r="E869" s="270"/>
      <c r="F869" s="270"/>
      <c r="G869" s="270"/>
      <c r="H869" s="270"/>
      <c r="I869" s="270"/>
      <c r="J869" s="270"/>
    </row>
    <row r="870" spans="1:10" ht="16.899999999999999" x14ac:dyDescent="0.5">
      <c r="A870" s="270"/>
      <c r="B870" s="270"/>
      <c r="C870" s="270"/>
      <c r="D870" s="270"/>
      <c r="E870" s="270"/>
      <c r="F870" s="270"/>
      <c r="G870" s="270"/>
      <c r="H870" s="270"/>
      <c r="I870" s="270"/>
      <c r="J870" s="270"/>
    </row>
    <row r="871" spans="1:10" ht="16.899999999999999" x14ac:dyDescent="0.5">
      <c r="A871" s="270"/>
      <c r="B871" s="270"/>
      <c r="C871" s="270"/>
      <c r="D871" s="270"/>
      <c r="E871" s="270"/>
      <c r="F871" s="270"/>
      <c r="G871" s="270"/>
      <c r="H871" s="270"/>
      <c r="I871" s="270"/>
      <c r="J871" s="270"/>
    </row>
    <row r="872" spans="1:10" ht="16.899999999999999" x14ac:dyDescent="0.5">
      <c r="A872" s="270"/>
      <c r="B872" s="270"/>
      <c r="C872" s="270"/>
      <c r="D872" s="270"/>
      <c r="E872" s="270"/>
      <c r="F872" s="270"/>
      <c r="G872" s="270"/>
      <c r="H872" s="270"/>
      <c r="I872" s="270"/>
      <c r="J872" s="270"/>
    </row>
    <row r="873" spans="1:10" ht="16.899999999999999" x14ac:dyDescent="0.5">
      <c r="A873" s="270"/>
      <c r="B873" s="270"/>
      <c r="C873" s="270"/>
      <c r="D873" s="270"/>
      <c r="E873" s="270"/>
      <c r="F873" s="270"/>
      <c r="G873" s="270"/>
      <c r="H873" s="270"/>
      <c r="I873" s="270"/>
      <c r="J873" s="270"/>
    </row>
    <row r="874" spans="1:10" ht="16.899999999999999" x14ac:dyDescent="0.5">
      <c r="A874" s="270"/>
      <c r="B874" s="270"/>
      <c r="C874" s="270"/>
      <c r="D874" s="270"/>
      <c r="E874" s="270"/>
      <c r="F874" s="270"/>
      <c r="G874" s="270"/>
      <c r="H874" s="270"/>
      <c r="I874" s="270"/>
      <c r="J874" s="270"/>
    </row>
    <row r="875" spans="1:10" ht="16.899999999999999" x14ac:dyDescent="0.5">
      <c r="A875" s="270"/>
      <c r="B875" s="270"/>
      <c r="C875" s="270"/>
      <c r="D875" s="270"/>
      <c r="E875" s="270"/>
      <c r="F875" s="270"/>
      <c r="G875" s="270"/>
      <c r="H875" s="270"/>
      <c r="I875" s="270"/>
      <c r="J875" s="270"/>
    </row>
    <row r="876" spans="1:10" ht="16.899999999999999" x14ac:dyDescent="0.5">
      <c r="A876" s="270"/>
      <c r="B876" s="270"/>
      <c r="C876" s="270"/>
      <c r="D876" s="270"/>
      <c r="E876" s="270"/>
      <c r="F876" s="270"/>
      <c r="G876" s="270"/>
      <c r="H876" s="270"/>
      <c r="I876" s="270"/>
      <c r="J876" s="270"/>
    </row>
    <row r="877" spans="1:10" ht="16.899999999999999" x14ac:dyDescent="0.5">
      <c r="A877" s="270"/>
      <c r="B877" s="270"/>
      <c r="C877" s="270"/>
      <c r="D877" s="270"/>
      <c r="E877" s="270"/>
      <c r="F877" s="270"/>
      <c r="G877" s="270"/>
      <c r="H877" s="270"/>
      <c r="I877" s="270"/>
      <c r="J877" s="270"/>
    </row>
    <row r="878" spans="1:10" ht="16.899999999999999" x14ac:dyDescent="0.5">
      <c r="A878" s="270"/>
      <c r="B878" s="270"/>
      <c r="C878" s="270"/>
      <c r="D878" s="270"/>
      <c r="E878" s="270"/>
      <c r="F878" s="270"/>
      <c r="G878" s="270"/>
      <c r="H878" s="270"/>
      <c r="I878" s="270"/>
      <c r="J878" s="270"/>
    </row>
    <row r="879" spans="1:10" ht="16.899999999999999" x14ac:dyDescent="0.5">
      <c r="A879" s="270"/>
      <c r="B879" s="270"/>
      <c r="C879" s="270"/>
      <c r="D879" s="270"/>
      <c r="E879" s="270"/>
      <c r="F879" s="270"/>
      <c r="G879" s="270"/>
      <c r="H879" s="270"/>
      <c r="I879" s="270"/>
      <c r="J879" s="270"/>
    </row>
    <row r="880" spans="1:10" ht="16.899999999999999" x14ac:dyDescent="0.5">
      <c r="A880" s="270"/>
      <c r="B880" s="270"/>
      <c r="C880" s="270"/>
      <c r="D880" s="270"/>
      <c r="E880" s="270"/>
      <c r="F880" s="270"/>
      <c r="G880" s="270"/>
      <c r="H880" s="270"/>
      <c r="I880" s="270"/>
      <c r="J880" s="270"/>
    </row>
    <row r="881" spans="1:10" ht="16.899999999999999" x14ac:dyDescent="0.5">
      <c r="A881" s="270"/>
      <c r="B881" s="270"/>
      <c r="C881" s="270"/>
      <c r="D881" s="270"/>
      <c r="E881" s="270"/>
      <c r="F881" s="270"/>
      <c r="G881" s="270"/>
      <c r="H881" s="270"/>
      <c r="I881" s="270"/>
      <c r="J881" s="270"/>
    </row>
    <row r="882" spans="1:10" ht="16.899999999999999" x14ac:dyDescent="0.5">
      <c r="A882" s="270"/>
      <c r="B882" s="270"/>
      <c r="C882" s="270"/>
      <c r="D882" s="270"/>
      <c r="E882" s="270"/>
      <c r="F882" s="270"/>
      <c r="G882" s="270"/>
      <c r="H882" s="270"/>
      <c r="I882" s="270"/>
      <c r="J882" s="270"/>
    </row>
    <row r="883" spans="1:10" ht="16.899999999999999" x14ac:dyDescent="0.5">
      <c r="A883" s="270"/>
      <c r="B883" s="270"/>
      <c r="C883" s="270"/>
      <c r="D883" s="270"/>
      <c r="E883" s="270"/>
      <c r="F883" s="270"/>
      <c r="G883" s="270"/>
      <c r="H883" s="270"/>
      <c r="I883" s="270"/>
      <c r="J883" s="270"/>
    </row>
    <row r="884" spans="1:10" ht="16.899999999999999" x14ac:dyDescent="0.5">
      <c r="A884" s="270"/>
      <c r="B884" s="270"/>
      <c r="C884" s="270"/>
      <c r="D884" s="270"/>
      <c r="E884" s="270"/>
      <c r="F884" s="270"/>
      <c r="G884" s="270"/>
      <c r="H884" s="270"/>
      <c r="I884" s="270"/>
      <c r="J884" s="270"/>
    </row>
    <row r="885" spans="1:10" ht="16.899999999999999" x14ac:dyDescent="0.5">
      <c r="A885" s="270"/>
      <c r="B885" s="270"/>
      <c r="C885" s="270"/>
      <c r="D885" s="270"/>
      <c r="E885" s="270"/>
      <c r="F885" s="270"/>
      <c r="G885" s="270"/>
      <c r="H885" s="270"/>
      <c r="I885" s="270"/>
      <c r="J885" s="270"/>
    </row>
    <row r="886" spans="1:10" ht="16.899999999999999" x14ac:dyDescent="0.5">
      <c r="A886" s="270"/>
      <c r="B886" s="270"/>
      <c r="C886" s="270"/>
      <c r="D886" s="270"/>
      <c r="E886" s="270"/>
      <c r="F886" s="270"/>
      <c r="G886" s="270"/>
      <c r="H886" s="270"/>
      <c r="I886" s="270"/>
      <c r="J886" s="270"/>
    </row>
    <row r="887" spans="1:10" ht="16.899999999999999" x14ac:dyDescent="0.5">
      <c r="A887" s="270"/>
      <c r="B887" s="270"/>
      <c r="C887" s="270"/>
      <c r="D887" s="270"/>
      <c r="E887" s="270"/>
      <c r="F887" s="270"/>
      <c r="G887" s="270"/>
      <c r="H887" s="270"/>
      <c r="I887" s="270"/>
      <c r="J887" s="270"/>
    </row>
    <row r="888" spans="1:10" ht="16.899999999999999" x14ac:dyDescent="0.5">
      <c r="A888" s="270"/>
      <c r="B888" s="270"/>
      <c r="C888" s="270"/>
      <c r="D888" s="270"/>
      <c r="E888" s="270"/>
      <c r="F888" s="270"/>
      <c r="G888" s="270"/>
      <c r="H888" s="270"/>
      <c r="I888" s="270"/>
      <c r="J888" s="270"/>
    </row>
    <row r="889" spans="1:10" ht="16.899999999999999" x14ac:dyDescent="0.5">
      <c r="A889" s="270"/>
      <c r="B889" s="270"/>
      <c r="C889" s="270"/>
      <c r="D889" s="270"/>
      <c r="E889" s="270"/>
      <c r="F889" s="270"/>
      <c r="G889" s="270"/>
      <c r="H889" s="270"/>
      <c r="I889" s="270"/>
      <c r="J889" s="270"/>
    </row>
    <row r="890" spans="1:10" ht="16.899999999999999" x14ac:dyDescent="0.5">
      <c r="A890" s="270"/>
      <c r="B890" s="270"/>
      <c r="C890" s="270"/>
      <c r="D890" s="270"/>
      <c r="E890" s="270"/>
      <c r="F890" s="270"/>
      <c r="G890" s="270"/>
      <c r="H890" s="270"/>
      <c r="I890" s="270"/>
      <c r="J890" s="270"/>
    </row>
    <row r="891" spans="1:10" ht="16.899999999999999" x14ac:dyDescent="0.5">
      <c r="A891" s="270"/>
      <c r="B891" s="270"/>
      <c r="C891" s="270"/>
      <c r="D891" s="270"/>
      <c r="E891" s="270"/>
      <c r="F891" s="270"/>
      <c r="G891" s="270"/>
      <c r="H891" s="270"/>
      <c r="I891" s="270"/>
      <c r="J891" s="270"/>
    </row>
    <row r="892" spans="1:10" ht="16.899999999999999" x14ac:dyDescent="0.5">
      <c r="A892" s="270"/>
      <c r="B892" s="270"/>
      <c r="C892" s="270"/>
      <c r="D892" s="270"/>
      <c r="E892" s="270"/>
      <c r="F892" s="270"/>
      <c r="G892" s="270"/>
      <c r="H892" s="270"/>
      <c r="I892" s="270"/>
      <c r="J892" s="270"/>
    </row>
    <row r="893" spans="1:10" ht="16.899999999999999" x14ac:dyDescent="0.5">
      <c r="A893" s="270"/>
      <c r="B893" s="270"/>
      <c r="C893" s="270"/>
      <c r="D893" s="270"/>
      <c r="E893" s="270"/>
      <c r="F893" s="270"/>
      <c r="G893" s="270"/>
      <c r="H893" s="270"/>
      <c r="I893" s="270"/>
      <c r="J893" s="270"/>
    </row>
    <row r="894" spans="1:10" ht="16.899999999999999" x14ac:dyDescent="0.5">
      <c r="A894" s="270"/>
      <c r="B894" s="270"/>
      <c r="C894" s="270"/>
      <c r="D894" s="270"/>
      <c r="E894" s="270"/>
      <c r="F894" s="270"/>
      <c r="G894" s="270"/>
      <c r="H894" s="270"/>
      <c r="I894" s="270"/>
      <c r="J894" s="270"/>
    </row>
    <row r="895" spans="1:10" ht="16.899999999999999" x14ac:dyDescent="0.5">
      <c r="A895" s="270"/>
      <c r="B895" s="270"/>
      <c r="C895" s="270"/>
      <c r="D895" s="270"/>
      <c r="E895" s="270"/>
      <c r="F895" s="270"/>
      <c r="G895" s="270"/>
      <c r="H895" s="270"/>
      <c r="I895" s="270"/>
      <c r="J895" s="270"/>
    </row>
    <row r="896" spans="1:10" ht="16.899999999999999" x14ac:dyDescent="0.5">
      <c r="A896" s="270"/>
      <c r="B896" s="270"/>
      <c r="C896" s="270"/>
      <c r="D896" s="270"/>
      <c r="E896" s="270"/>
      <c r="F896" s="270"/>
      <c r="G896" s="270"/>
      <c r="H896" s="270"/>
      <c r="I896" s="270"/>
      <c r="J896" s="270"/>
    </row>
    <row r="897" spans="1:10" ht="16.899999999999999" x14ac:dyDescent="0.5">
      <c r="A897" s="270"/>
      <c r="B897" s="270"/>
      <c r="C897" s="270"/>
      <c r="D897" s="270"/>
      <c r="E897" s="270"/>
      <c r="F897" s="270"/>
      <c r="G897" s="270"/>
      <c r="H897" s="270"/>
      <c r="I897" s="270"/>
      <c r="J897" s="270"/>
    </row>
    <row r="898" spans="1:10" ht="16.899999999999999" x14ac:dyDescent="0.5">
      <c r="A898" s="270"/>
      <c r="B898" s="270"/>
      <c r="C898" s="270"/>
      <c r="D898" s="270"/>
      <c r="E898" s="270"/>
      <c r="F898" s="270"/>
      <c r="G898" s="270"/>
      <c r="H898" s="270"/>
      <c r="I898" s="270"/>
      <c r="J898" s="270"/>
    </row>
    <row r="899" spans="1:10" ht="16.899999999999999" x14ac:dyDescent="0.5">
      <c r="A899" s="270"/>
      <c r="B899" s="270"/>
      <c r="C899" s="270"/>
      <c r="D899" s="270"/>
      <c r="E899" s="270"/>
      <c r="F899" s="270"/>
      <c r="G899" s="270"/>
      <c r="H899" s="270"/>
      <c r="I899" s="270"/>
      <c r="J899" s="270"/>
    </row>
    <row r="900" spans="1:10" ht="16.899999999999999" x14ac:dyDescent="0.5">
      <c r="A900" s="270"/>
      <c r="B900" s="270"/>
      <c r="C900" s="270"/>
      <c r="D900" s="270"/>
      <c r="E900" s="270"/>
      <c r="F900" s="270"/>
      <c r="G900" s="270"/>
      <c r="H900" s="270"/>
      <c r="I900" s="270"/>
      <c r="J900" s="270"/>
    </row>
    <row r="901" spans="1:10" ht="16.899999999999999" x14ac:dyDescent="0.5">
      <c r="A901" s="270"/>
      <c r="B901" s="270"/>
      <c r="C901" s="270"/>
      <c r="D901" s="270"/>
      <c r="E901" s="270"/>
      <c r="F901" s="270"/>
      <c r="G901" s="270"/>
      <c r="H901" s="270"/>
      <c r="I901" s="270"/>
      <c r="J901" s="270"/>
    </row>
    <row r="902" spans="1:10" ht="16.899999999999999" x14ac:dyDescent="0.5">
      <c r="A902" s="270"/>
      <c r="B902" s="270"/>
      <c r="C902" s="270"/>
      <c r="D902" s="270"/>
      <c r="E902" s="270"/>
      <c r="F902" s="270"/>
      <c r="G902" s="270"/>
      <c r="H902" s="270"/>
      <c r="I902" s="270"/>
      <c r="J902" s="270"/>
    </row>
    <row r="903" spans="1:10" ht="16.899999999999999" x14ac:dyDescent="0.5">
      <c r="A903" s="270"/>
      <c r="B903" s="270"/>
      <c r="C903" s="270"/>
      <c r="D903" s="270"/>
      <c r="E903" s="270"/>
      <c r="F903" s="270"/>
      <c r="G903" s="270"/>
      <c r="H903" s="270"/>
      <c r="I903" s="270"/>
      <c r="J903" s="270"/>
    </row>
    <row r="904" spans="1:10" ht="16.899999999999999" x14ac:dyDescent="0.5">
      <c r="A904" s="270"/>
      <c r="B904" s="270"/>
      <c r="C904" s="270"/>
      <c r="D904" s="270"/>
      <c r="E904" s="270"/>
      <c r="F904" s="270"/>
      <c r="G904" s="270"/>
      <c r="H904" s="270"/>
      <c r="I904" s="270"/>
      <c r="J904" s="270"/>
    </row>
    <row r="905" spans="1:10" ht="16.899999999999999" x14ac:dyDescent="0.5">
      <c r="A905" s="270"/>
      <c r="B905" s="270"/>
      <c r="C905" s="270"/>
      <c r="D905" s="270"/>
      <c r="E905" s="270"/>
      <c r="F905" s="270"/>
      <c r="G905" s="270"/>
      <c r="H905" s="270"/>
      <c r="I905" s="270"/>
      <c r="J905" s="270"/>
    </row>
    <row r="906" spans="1:10" ht="16.899999999999999" x14ac:dyDescent="0.5">
      <c r="A906" s="270"/>
      <c r="B906" s="270"/>
      <c r="C906" s="270"/>
      <c r="D906" s="270"/>
      <c r="E906" s="270"/>
      <c r="F906" s="270"/>
      <c r="G906" s="270"/>
      <c r="H906" s="270"/>
      <c r="I906" s="270"/>
      <c r="J906" s="270"/>
    </row>
    <row r="907" spans="1:10" ht="16.899999999999999" x14ac:dyDescent="0.5">
      <c r="A907" s="270"/>
      <c r="B907" s="270"/>
      <c r="C907" s="270"/>
      <c r="D907" s="270"/>
      <c r="E907" s="270"/>
      <c r="F907" s="270"/>
      <c r="G907" s="270"/>
      <c r="H907" s="270"/>
      <c r="I907" s="270"/>
      <c r="J907" s="270"/>
    </row>
    <row r="908" spans="1:10" ht="16.899999999999999" x14ac:dyDescent="0.5">
      <c r="A908" s="270"/>
      <c r="B908" s="270"/>
      <c r="C908" s="270"/>
      <c r="D908" s="270"/>
      <c r="E908" s="270"/>
      <c r="F908" s="270"/>
      <c r="G908" s="270"/>
      <c r="H908" s="270"/>
      <c r="I908" s="270"/>
      <c r="J908" s="270"/>
    </row>
    <row r="909" spans="1:10" ht="16.899999999999999" x14ac:dyDescent="0.5">
      <c r="A909" s="270"/>
      <c r="B909" s="270"/>
      <c r="C909" s="270"/>
      <c r="D909" s="270"/>
      <c r="E909" s="270"/>
      <c r="F909" s="270"/>
      <c r="G909" s="270"/>
      <c r="H909" s="270"/>
      <c r="I909" s="270"/>
      <c r="J909" s="270"/>
    </row>
    <row r="910" spans="1:10" ht="16.899999999999999" x14ac:dyDescent="0.5">
      <c r="A910" s="270"/>
      <c r="B910" s="270"/>
      <c r="C910" s="270"/>
      <c r="D910" s="270"/>
      <c r="E910" s="270"/>
      <c r="F910" s="270"/>
      <c r="G910" s="270"/>
      <c r="H910" s="270"/>
      <c r="I910" s="270"/>
      <c r="J910" s="270"/>
    </row>
    <row r="911" spans="1:10" ht="16.899999999999999" x14ac:dyDescent="0.5">
      <c r="A911" s="270"/>
      <c r="B911" s="270"/>
      <c r="C911" s="270"/>
      <c r="D911" s="270"/>
      <c r="E911" s="270"/>
      <c r="F911" s="270"/>
      <c r="G911" s="270"/>
      <c r="H911" s="270"/>
      <c r="I911" s="270"/>
      <c r="J911" s="270"/>
    </row>
    <row r="912" spans="1:10" ht="16.899999999999999" x14ac:dyDescent="0.5">
      <c r="A912" s="270"/>
      <c r="B912" s="270"/>
      <c r="C912" s="270"/>
      <c r="D912" s="270"/>
      <c r="E912" s="270"/>
      <c r="F912" s="270"/>
      <c r="G912" s="270"/>
      <c r="H912" s="270"/>
      <c r="I912" s="270"/>
      <c r="J912" s="270"/>
    </row>
    <row r="913" spans="1:10" ht="16.899999999999999" x14ac:dyDescent="0.5">
      <c r="A913" s="270"/>
      <c r="B913" s="270"/>
      <c r="C913" s="270"/>
      <c r="D913" s="270"/>
      <c r="E913" s="270"/>
      <c r="F913" s="270"/>
      <c r="G913" s="270"/>
      <c r="H913" s="270"/>
      <c r="I913" s="270"/>
      <c r="J913" s="270"/>
    </row>
    <row r="914" spans="1:10" ht="16.899999999999999" x14ac:dyDescent="0.5">
      <c r="A914" s="270"/>
      <c r="B914" s="270"/>
      <c r="C914" s="270"/>
      <c r="D914" s="270"/>
      <c r="E914" s="270"/>
      <c r="F914" s="270"/>
      <c r="G914" s="270"/>
      <c r="H914" s="270"/>
      <c r="I914" s="270"/>
      <c r="J914" s="270"/>
    </row>
    <row r="915" spans="1:10" ht="16.899999999999999" x14ac:dyDescent="0.5">
      <c r="A915" s="270"/>
      <c r="B915" s="270"/>
      <c r="C915" s="270"/>
      <c r="D915" s="270"/>
      <c r="E915" s="270"/>
      <c r="F915" s="270"/>
      <c r="G915" s="270"/>
      <c r="H915" s="270"/>
      <c r="I915" s="270"/>
      <c r="J915" s="270"/>
    </row>
    <row r="916" spans="1:10" ht="16.899999999999999" x14ac:dyDescent="0.5">
      <c r="A916" s="270"/>
      <c r="B916" s="270"/>
      <c r="C916" s="270"/>
      <c r="D916" s="270"/>
      <c r="E916" s="270"/>
      <c r="F916" s="270"/>
      <c r="G916" s="270"/>
      <c r="H916" s="270"/>
      <c r="I916" s="270"/>
      <c r="J916" s="270"/>
    </row>
    <row r="917" spans="1:10" ht="16.899999999999999" x14ac:dyDescent="0.5">
      <c r="A917" s="270"/>
      <c r="B917" s="270"/>
      <c r="C917" s="270"/>
      <c r="D917" s="270"/>
      <c r="E917" s="270"/>
      <c r="F917" s="270"/>
      <c r="G917" s="270"/>
      <c r="H917" s="270"/>
      <c r="I917" s="270"/>
      <c r="J917" s="270"/>
    </row>
    <row r="918" spans="1:10" ht="16.899999999999999" x14ac:dyDescent="0.5">
      <c r="A918" s="270"/>
      <c r="B918" s="270"/>
      <c r="C918" s="270"/>
      <c r="D918" s="270"/>
      <c r="E918" s="270"/>
      <c r="F918" s="270"/>
      <c r="G918" s="270"/>
      <c r="H918" s="270"/>
      <c r="I918" s="270"/>
      <c r="J918" s="270"/>
    </row>
    <row r="919" spans="1:10" ht="16.899999999999999" x14ac:dyDescent="0.5">
      <c r="A919" s="270"/>
      <c r="B919" s="270"/>
      <c r="C919" s="270"/>
      <c r="D919" s="270"/>
      <c r="E919" s="270"/>
      <c r="F919" s="270"/>
      <c r="G919" s="270"/>
      <c r="H919" s="270"/>
      <c r="I919" s="270"/>
      <c r="J919" s="270"/>
    </row>
    <row r="920" spans="1:10" ht="16.899999999999999" x14ac:dyDescent="0.5">
      <c r="A920" s="270"/>
      <c r="B920" s="270"/>
      <c r="C920" s="270"/>
      <c r="D920" s="270"/>
      <c r="E920" s="270"/>
      <c r="F920" s="270"/>
      <c r="G920" s="270"/>
      <c r="H920" s="270"/>
      <c r="I920" s="270"/>
      <c r="J920" s="270"/>
    </row>
    <row r="921" spans="1:10" ht="16.899999999999999" x14ac:dyDescent="0.5">
      <c r="A921" s="270"/>
      <c r="B921" s="270"/>
      <c r="C921" s="270"/>
      <c r="D921" s="270"/>
      <c r="E921" s="270"/>
      <c r="F921" s="270"/>
      <c r="G921" s="270"/>
      <c r="H921" s="270"/>
      <c r="I921" s="270"/>
      <c r="J921" s="270"/>
    </row>
    <row r="922" spans="1:10" ht="16.899999999999999" x14ac:dyDescent="0.5">
      <c r="A922" s="270"/>
      <c r="B922" s="270"/>
      <c r="C922" s="270"/>
      <c r="D922" s="270"/>
      <c r="E922" s="270"/>
      <c r="F922" s="270"/>
      <c r="G922" s="270"/>
      <c r="H922" s="270"/>
      <c r="I922" s="270"/>
      <c r="J922" s="270"/>
    </row>
    <row r="923" spans="1:10" ht="16.899999999999999" x14ac:dyDescent="0.5">
      <c r="A923" s="270"/>
      <c r="B923" s="270"/>
      <c r="C923" s="270"/>
      <c r="D923" s="270"/>
      <c r="E923" s="270"/>
      <c r="F923" s="270"/>
      <c r="G923" s="270"/>
      <c r="H923" s="270"/>
      <c r="I923" s="270"/>
      <c r="J923" s="270"/>
    </row>
    <row r="924" spans="1:10" ht="16.899999999999999" x14ac:dyDescent="0.5">
      <c r="A924" s="270"/>
      <c r="B924" s="270"/>
      <c r="C924" s="270"/>
      <c r="D924" s="270"/>
      <c r="E924" s="270"/>
      <c r="F924" s="270"/>
      <c r="G924" s="270"/>
      <c r="H924" s="270"/>
      <c r="I924" s="270"/>
      <c r="J924" s="270"/>
    </row>
    <row r="925" spans="1:10" ht="16.899999999999999" x14ac:dyDescent="0.5">
      <c r="A925" s="270"/>
      <c r="B925" s="270"/>
      <c r="C925" s="270"/>
      <c r="D925" s="270"/>
      <c r="E925" s="270"/>
      <c r="F925" s="270"/>
      <c r="G925" s="270"/>
      <c r="H925" s="270"/>
      <c r="I925" s="270"/>
      <c r="J925" s="270"/>
    </row>
    <row r="926" spans="1:10" ht="16.899999999999999" x14ac:dyDescent="0.5">
      <c r="A926" s="270"/>
      <c r="B926" s="270"/>
      <c r="C926" s="270"/>
      <c r="D926" s="270"/>
      <c r="E926" s="270"/>
      <c r="F926" s="270"/>
      <c r="G926" s="270"/>
      <c r="H926" s="270"/>
      <c r="I926" s="270"/>
      <c r="J926" s="270"/>
    </row>
    <row r="927" spans="1:10" ht="16.899999999999999" x14ac:dyDescent="0.5">
      <c r="A927" s="270"/>
      <c r="B927" s="270"/>
      <c r="C927" s="270"/>
      <c r="D927" s="270"/>
      <c r="E927" s="270"/>
      <c r="F927" s="270"/>
      <c r="G927" s="270"/>
      <c r="H927" s="270"/>
      <c r="I927" s="270"/>
      <c r="J927" s="270"/>
    </row>
    <row r="928" spans="1:10" ht="16.899999999999999" x14ac:dyDescent="0.5">
      <c r="A928" s="270"/>
      <c r="B928" s="270"/>
      <c r="C928" s="270"/>
      <c r="D928" s="270"/>
      <c r="E928" s="270"/>
      <c r="F928" s="270"/>
      <c r="G928" s="270"/>
      <c r="H928" s="270"/>
      <c r="I928" s="270"/>
      <c r="J928" s="270"/>
    </row>
    <row r="929" spans="1:10" ht="16.899999999999999" x14ac:dyDescent="0.5">
      <c r="A929" s="270"/>
      <c r="B929" s="270"/>
      <c r="C929" s="270"/>
      <c r="D929" s="270"/>
      <c r="E929" s="270"/>
      <c r="F929" s="270"/>
      <c r="G929" s="270"/>
      <c r="H929" s="270"/>
      <c r="I929" s="270"/>
      <c r="J929" s="270"/>
    </row>
    <row r="930" spans="1:10" ht="16.899999999999999" x14ac:dyDescent="0.5">
      <c r="A930" s="270"/>
      <c r="B930" s="270"/>
      <c r="C930" s="270"/>
      <c r="D930" s="270"/>
      <c r="E930" s="270"/>
      <c r="F930" s="270"/>
      <c r="G930" s="270"/>
      <c r="H930" s="270"/>
      <c r="I930" s="270"/>
      <c r="J930" s="270"/>
    </row>
    <row r="931" spans="1:10" ht="16.899999999999999" x14ac:dyDescent="0.5">
      <c r="A931" s="270"/>
      <c r="B931" s="270"/>
      <c r="C931" s="270"/>
      <c r="D931" s="270"/>
      <c r="E931" s="270"/>
      <c r="F931" s="270"/>
      <c r="G931" s="270"/>
      <c r="H931" s="270"/>
      <c r="I931" s="270"/>
      <c r="J931" s="270"/>
    </row>
    <row r="932" spans="1:10" ht="16.899999999999999" x14ac:dyDescent="0.5">
      <c r="A932" s="270"/>
      <c r="B932" s="270"/>
      <c r="C932" s="270"/>
      <c r="D932" s="270"/>
      <c r="E932" s="270"/>
      <c r="F932" s="270"/>
      <c r="G932" s="270"/>
      <c r="H932" s="270"/>
      <c r="I932" s="270"/>
      <c r="J932" s="270"/>
    </row>
    <row r="933" spans="1:10" ht="16.899999999999999" x14ac:dyDescent="0.5">
      <c r="A933" s="270"/>
      <c r="B933" s="270"/>
      <c r="C933" s="270"/>
      <c r="D933" s="270"/>
      <c r="E933" s="270"/>
      <c r="F933" s="270"/>
      <c r="G933" s="270"/>
      <c r="H933" s="270"/>
      <c r="I933" s="270"/>
      <c r="J933" s="270"/>
    </row>
    <row r="934" spans="1:10" ht="16.899999999999999" x14ac:dyDescent="0.5">
      <c r="A934" s="270"/>
      <c r="B934" s="270"/>
      <c r="C934" s="270"/>
      <c r="D934" s="270"/>
      <c r="E934" s="270"/>
      <c r="F934" s="270"/>
      <c r="G934" s="270"/>
      <c r="H934" s="270"/>
      <c r="I934" s="270"/>
      <c r="J934" s="270"/>
    </row>
    <row r="935" spans="1:10" ht="16.899999999999999" x14ac:dyDescent="0.5">
      <c r="A935" s="270"/>
      <c r="B935" s="270"/>
      <c r="C935" s="270"/>
      <c r="D935" s="270"/>
      <c r="E935" s="270"/>
      <c r="F935" s="270"/>
      <c r="G935" s="270"/>
      <c r="H935" s="270"/>
      <c r="I935" s="270"/>
      <c r="J935" s="270"/>
    </row>
    <row r="936" spans="1:10" ht="16.899999999999999" x14ac:dyDescent="0.5">
      <c r="A936" s="270"/>
      <c r="B936" s="270"/>
      <c r="C936" s="270"/>
      <c r="D936" s="270"/>
      <c r="E936" s="270"/>
      <c r="F936" s="270"/>
      <c r="G936" s="270"/>
      <c r="H936" s="270"/>
      <c r="I936" s="270"/>
      <c r="J936" s="270"/>
    </row>
    <row r="937" spans="1:10" ht="16.899999999999999" x14ac:dyDescent="0.5">
      <c r="A937" s="270"/>
      <c r="B937" s="270"/>
      <c r="C937" s="270"/>
      <c r="D937" s="270"/>
      <c r="E937" s="270"/>
      <c r="F937" s="270"/>
      <c r="G937" s="270"/>
      <c r="H937" s="270"/>
      <c r="I937" s="270"/>
      <c r="J937" s="270"/>
    </row>
    <row r="938" spans="1:10" ht="16.899999999999999" x14ac:dyDescent="0.5">
      <c r="A938" s="270"/>
      <c r="B938" s="270"/>
      <c r="C938" s="270"/>
      <c r="D938" s="270"/>
      <c r="E938" s="270"/>
      <c r="F938" s="270"/>
      <c r="G938" s="270"/>
      <c r="H938" s="270"/>
      <c r="I938" s="270"/>
      <c r="J938" s="270"/>
    </row>
    <row r="939" spans="1:10" ht="16.899999999999999" x14ac:dyDescent="0.5">
      <c r="A939" s="270"/>
      <c r="B939" s="270"/>
      <c r="C939" s="270"/>
      <c r="D939" s="270"/>
      <c r="E939" s="270"/>
      <c r="F939" s="270"/>
      <c r="G939" s="270"/>
      <c r="H939" s="270"/>
      <c r="I939" s="270"/>
      <c r="J939" s="270"/>
    </row>
    <row r="940" spans="1:10" ht="16.899999999999999" x14ac:dyDescent="0.5">
      <c r="A940" s="270"/>
      <c r="B940" s="270"/>
      <c r="C940" s="270"/>
      <c r="D940" s="270"/>
      <c r="E940" s="270"/>
      <c r="F940" s="270"/>
      <c r="G940" s="270"/>
      <c r="H940" s="270"/>
      <c r="I940" s="270"/>
      <c r="J940" s="270"/>
    </row>
    <row r="941" spans="1:10" ht="16.899999999999999" x14ac:dyDescent="0.5">
      <c r="A941" s="270"/>
      <c r="B941" s="270"/>
      <c r="C941" s="270"/>
      <c r="D941" s="270"/>
      <c r="E941" s="270"/>
      <c r="F941" s="270"/>
      <c r="G941" s="270"/>
      <c r="H941" s="270"/>
      <c r="I941" s="270"/>
      <c r="J941" s="270"/>
    </row>
    <row r="942" spans="1:10" ht="16.899999999999999" x14ac:dyDescent="0.5">
      <c r="A942" s="270"/>
      <c r="B942" s="270"/>
      <c r="C942" s="270"/>
      <c r="D942" s="270"/>
      <c r="E942" s="270"/>
      <c r="F942" s="270"/>
      <c r="G942" s="270"/>
      <c r="H942" s="270"/>
      <c r="I942" s="270"/>
      <c r="J942" s="270"/>
    </row>
    <row r="943" spans="1:10" ht="16.899999999999999" x14ac:dyDescent="0.5">
      <c r="A943" s="270"/>
      <c r="B943" s="270"/>
      <c r="C943" s="270"/>
      <c r="D943" s="270"/>
      <c r="E943" s="270"/>
      <c r="F943" s="270"/>
      <c r="G943" s="270"/>
      <c r="H943" s="270"/>
      <c r="I943" s="270"/>
      <c r="J943" s="270"/>
    </row>
    <row r="944" spans="1:10" ht="16.899999999999999" x14ac:dyDescent="0.5">
      <c r="A944" s="270"/>
      <c r="B944" s="270"/>
      <c r="C944" s="270"/>
      <c r="D944" s="270"/>
      <c r="E944" s="270"/>
      <c r="F944" s="270"/>
      <c r="G944" s="270"/>
      <c r="H944" s="270"/>
      <c r="I944" s="270"/>
      <c r="J944" s="270"/>
    </row>
    <row r="945" spans="1:10" ht="16.899999999999999" x14ac:dyDescent="0.5">
      <c r="A945" s="270"/>
      <c r="B945" s="270"/>
      <c r="C945" s="270"/>
      <c r="D945" s="270"/>
      <c r="E945" s="270"/>
      <c r="F945" s="270"/>
      <c r="G945" s="270"/>
      <c r="H945" s="270"/>
      <c r="I945" s="270"/>
      <c r="J945" s="270"/>
    </row>
    <row r="946" spans="1:10" ht="16.899999999999999" x14ac:dyDescent="0.5">
      <c r="A946" s="270"/>
      <c r="B946" s="270"/>
      <c r="C946" s="270"/>
      <c r="D946" s="270"/>
      <c r="E946" s="270"/>
      <c r="F946" s="270"/>
      <c r="G946" s="270"/>
      <c r="H946" s="270"/>
      <c r="I946" s="270"/>
      <c r="J946" s="270"/>
    </row>
    <row r="947" spans="1:10" ht="16.899999999999999" x14ac:dyDescent="0.5">
      <c r="A947" s="270"/>
      <c r="B947" s="270"/>
      <c r="C947" s="270"/>
      <c r="D947" s="270"/>
      <c r="E947" s="270"/>
      <c r="F947" s="270"/>
      <c r="G947" s="270"/>
      <c r="H947" s="270"/>
      <c r="I947" s="270"/>
      <c r="J947" s="270"/>
    </row>
    <row r="948" spans="1:10" ht="16.899999999999999" x14ac:dyDescent="0.5">
      <c r="A948" s="270"/>
      <c r="B948" s="270"/>
      <c r="C948" s="270"/>
      <c r="D948" s="270"/>
      <c r="E948" s="270"/>
      <c r="F948" s="270"/>
      <c r="G948" s="270"/>
      <c r="H948" s="270"/>
      <c r="I948" s="270"/>
      <c r="J948" s="270"/>
    </row>
    <row r="949" spans="1:10" ht="16.899999999999999" x14ac:dyDescent="0.5">
      <c r="A949" s="270"/>
      <c r="B949" s="270"/>
      <c r="C949" s="270"/>
      <c r="D949" s="270"/>
      <c r="E949" s="270"/>
      <c r="F949" s="270"/>
      <c r="G949" s="270"/>
      <c r="H949" s="270"/>
      <c r="I949" s="270"/>
      <c r="J949" s="270"/>
    </row>
    <row r="950" spans="1:10" ht="16.899999999999999" x14ac:dyDescent="0.5">
      <c r="A950" s="270"/>
      <c r="B950" s="270"/>
      <c r="C950" s="270"/>
      <c r="D950" s="270"/>
      <c r="E950" s="270"/>
      <c r="F950" s="270"/>
      <c r="G950" s="270"/>
      <c r="H950" s="270"/>
      <c r="I950" s="270"/>
      <c r="J950" s="270"/>
    </row>
    <row r="951" spans="1:10" ht="16.899999999999999" x14ac:dyDescent="0.5">
      <c r="A951" s="270"/>
      <c r="B951" s="270"/>
      <c r="C951" s="270"/>
      <c r="D951" s="270"/>
      <c r="E951" s="270"/>
      <c r="F951" s="270"/>
      <c r="G951" s="270"/>
      <c r="H951" s="270"/>
      <c r="I951" s="270"/>
      <c r="J951" s="270"/>
    </row>
    <row r="952" spans="1:10" ht="16.899999999999999" x14ac:dyDescent="0.5">
      <c r="A952" s="270"/>
      <c r="B952" s="270"/>
      <c r="C952" s="270"/>
      <c r="D952" s="270"/>
      <c r="E952" s="270"/>
      <c r="F952" s="270"/>
      <c r="G952" s="270"/>
      <c r="H952" s="270"/>
      <c r="I952" s="270"/>
      <c r="J952" s="270"/>
    </row>
    <row r="953" spans="1:10" ht="16.899999999999999" x14ac:dyDescent="0.5">
      <c r="A953" s="270"/>
      <c r="B953" s="270"/>
      <c r="C953" s="270"/>
      <c r="D953" s="270"/>
      <c r="E953" s="270"/>
      <c r="F953" s="270"/>
      <c r="G953" s="270"/>
      <c r="H953" s="270"/>
      <c r="I953" s="270"/>
      <c r="J953" s="270"/>
    </row>
    <row r="954" spans="1:10" ht="16.899999999999999" x14ac:dyDescent="0.5">
      <c r="A954" s="270"/>
      <c r="B954" s="270"/>
      <c r="C954" s="270"/>
      <c r="D954" s="270"/>
      <c r="E954" s="270"/>
      <c r="F954" s="270"/>
      <c r="G954" s="270"/>
      <c r="H954" s="270"/>
      <c r="I954" s="270"/>
      <c r="J954" s="270"/>
    </row>
    <row r="955" spans="1:10" ht="16.899999999999999" x14ac:dyDescent="0.5">
      <c r="A955" s="270"/>
      <c r="B955" s="270"/>
      <c r="C955" s="270"/>
      <c r="D955" s="270"/>
      <c r="E955" s="270"/>
      <c r="F955" s="270"/>
      <c r="G955" s="270"/>
      <c r="H955" s="270"/>
      <c r="I955" s="270"/>
      <c r="J955" s="270"/>
    </row>
    <row r="956" spans="1:10" ht="16.899999999999999" x14ac:dyDescent="0.5">
      <c r="A956" s="270"/>
      <c r="B956" s="270"/>
      <c r="C956" s="270"/>
      <c r="D956" s="270"/>
      <c r="E956" s="270"/>
      <c r="F956" s="270"/>
      <c r="G956" s="270"/>
      <c r="H956" s="270"/>
      <c r="I956" s="270"/>
      <c r="J956" s="270"/>
    </row>
    <row r="957" spans="1:10" ht="16.899999999999999" x14ac:dyDescent="0.5">
      <c r="A957" s="270"/>
      <c r="B957" s="270"/>
      <c r="C957" s="270"/>
      <c r="D957" s="270"/>
      <c r="E957" s="270"/>
      <c r="F957" s="270"/>
      <c r="G957" s="270"/>
      <c r="H957" s="270"/>
      <c r="I957" s="270"/>
      <c r="J957" s="270"/>
    </row>
    <row r="958" spans="1:10" ht="16.899999999999999" x14ac:dyDescent="0.5">
      <c r="A958" s="270"/>
      <c r="B958" s="270"/>
      <c r="C958" s="270"/>
      <c r="D958" s="270"/>
      <c r="E958" s="270"/>
      <c r="F958" s="270"/>
      <c r="G958" s="270"/>
      <c r="H958" s="270"/>
      <c r="I958" s="270"/>
      <c r="J958" s="270"/>
    </row>
    <row r="959" spans="1:10" ht="16.899999999999999" x14ac:dyDescent="0.5">
      <c r="A959" s="270"/>
      <c r="B959" s="270"/>
      <c r="C959" s="270"/>
      <c r="D959" s="270"/>
      <c r="E959" s="270"/>
      <c r="F959" s="270"/>
      <c r="G959" s="270"/>
      <c r="H959" s="270"/>
      <c r="I959" s="270"/>
      <c r="J959" s="270"/>
    </row>
    <row r="960" spans="1:10" ht="16.899999999999999" x14ac:dyDescent="0.5">
      <c r="A960" s="270"/>
      <c r="B960" s="270"/>
      <c r="C960" s="270"/>
      <c r="D960" s="270"/>
      <c r="E960" s="270"/>
      <c r="F960" s="270"/>
      <c r="G960" s="270"/>
      <c r="H960" s="270"/>
      <c r="I960" s="270"/>
      <c r="J960" s="270"/>
    </row>
    <row r="961" spans="1:10" ht="16.899999999999999" x14ac:dyDescent="0.5">
      <c r="A961" s="270"/>
      <c r="B961" s="270"/>
      <c r="C961" s="270"/>
      <c r="D961" s="270"/>
      <c r="E961" s="270"/>
      <c r="F961" s="270"/>
      <c r="G961" s="270"/>
      <c r="H961" s="270"/>
      <c r="I961" s="270"/>
      <c r="J961" s="270"/>
    </row>
    <row r="962" spans="1:10" ht="16.899999999999999" x14ac:dyDescent="0.5">
      <c r="A962" s="270"/>
      <c r="B962" s="270"/>
      <c r="C962" s="270"/>
      <c r="D962" s="270"/>
      <c r="E962" s="270"/>
      <c r="F962" s="270"/>
      <c r="G962" s="270"/>
      <c r="H962" s="270"/>
      <c r="I962" s="270"/>
      <c r="J962" s="270"/>
    </row>
    <row r="963" spans="1:10" ht="16.899999999999999" x14ac:dyDescent="0.5">
      <c r="A963" s="270"/>
      <c r="B963" s="270"/>
      <c r="C963" s="270"/>
      <c r="D963" s="270"/>
      <c r="E963" s="270"/>
      <c r="F963" s="270"/>
      <c r="G963" s="270"/>
      <c r="H963" s="270"/>
      <c r="I963" s="270"/>
      <c r="J963" s="270"/>
    </row>
    <row r="964" spans="1:10" ht="16.899999999999999" x14ac:dyDescent="0.5">
      <c r="A964" s="270"/>
      <c r="B964" s="270"/>
      <c r="C964" s="270"/>
      <c r="D964" s="270"/>
      <c r="E964" s="270"/>
      <c r="F964" s="270"/>
      <c r="G964" s="270"/>
      <c r="H964" s="270"/>
      <c r="I964" s="270"/>
      <c r="J964" s="270"/>
    </row>
    <row r="965" spans="1:10" ht="16.899999999999999" x14ac:dyDescent="0.5">
      <c r="A965" s="270"/>
      <c r="B965" s="270"/>
      <c r="C965" s="270"/>
      <c r="D965" s="270"/>
      <c r="E965" s="270"/>
      <c r="F965" s="270"/>
      <c r="G965" s="270"/>
      <c r="H965" s="270"/>
      <c r="I965" s="270"/>
      <c r="J965" s="270"/>
    </row>
    <row r="966" spans="1:10" ht="16.899999999999999" x14ac:dyDescent="0.5">
      <c r="A966" s="270"/>
      <c r="B966" s="270"/>
      <c r="C966" s="270"/>
      <c r="D966" s="270"/>
      <c r="E966" s="270"/>
      <c r="F966" s="270"/>
      <c r="G966" s="270"/>
      <c r="H966" s="270"/>
      <c r="I966" s="270"/>
      <c r="J966" s="270"/>
    </row>
    <row r="967" spans="1:10" ht="16.899999999999999" x14ac:dyDescent="0.5">
      <c r="A967" s="270"/>
      <c r="B967" s="270"/>
      <c r="C967" s="270"/>
      <c r="D967" s="270"/>
      <c r="E967" s="270"/>
      <c r="F967" s="270"/>
      <c r="G967" s="270"/>
      <c r="H967" s="270"/>
      <c r="I967" s="270"/>
      <c r="J967" s="270"/>
    </row>
    <row r="968" spans="1:10" ht="16.899999999999999" x14ac:dyDescent="0.5">
      <c r="A968" s="270"/>
      <c r="B968" s="270"/>
      <c r="C968" s="270"/>
      <c r="D968" s="270"/>
      <c r="E968" s="270"/>
      <c r="F968" s="270"/>
      <c r="G968" s="270"/>
      <c r="H968" s="270"/>
      <c r="I968" s="270"/>
      <c r="J968" s="270"/>
    </row>
    <row r="969" spans="1:10" ht="16.899999999999999" x14ac:dyDescent="0.5">
      <c r="A969" s="270"/>
      <c r="B969" s="270"/>
      <c r="C969" s="270"/>
      <c r="D969" s="270"/>
      <c r="E969" s="270"/>
      <c r="F969" s="270"/>
      <c r="G969" s="270"/>
      <c r="H969" s="270"/>
      <c r="I969" s="270"/>
      <c r="J969" s="270"/>
    </row>
    <row r="970" spans="1:10" ht="16.899999999999999" x14ac:dyDescent="0.5">
      <c r="A970" s="270"/>
      <c r="B970" s="270"/>
      <c r="C970" s="270"/>
      <c r="D970" s="270"/>
      <c r="E970" s="270"/>
      <c r="F970" s="270"/>
      <c r="G970" s="270"/>
      <c r="H970" s="270"/>
      <c r="I970" s="270"/>
      <c r="J970" s="270"/>
    </row>
    <row r="971" spans="1:10" ht="16.899999999999999" x14ac:dyDescent="0.5">
      <c r="A971" s="270"/>
      <c r="B971" s="270"/>
      <c r="C971" s="270"/>
      <c r="D971" s="270"/>
      <c r="E971" s="270"/>
      <c r="F971" s="270"/>
      <c r="G971" s="270"/>
      <c r="H971" s="270"/>
      <c r="I971" s="270"/>
      <c r="J971" s="270"/>
    </row>
    <row r="972" spans="1:10" ht="16.899999999999999" x14ac:dyDescent="0.5">
      <c r="A972" s="270"/>
      <c r="B972" s="270"/>
      <c r="C972" s="270"/>
      <c r="D972" s="270"/>
      <c r="E972" s="270"/>
      <c r="F972" s="270"/>
      <c r="G972" s="270"/>
      <c r="H972" s="270"/>
      <c r="I972" s="270"/>
      <c r="J972" s="270"/>
    </row>
    <row r="973" spans="1:10" ht="16.899999999999999" x14ac:dyDescent="0.5">
      <c r="A973" s="270"/>
      <c r="B973" s="270"/>
      <c r="C973" s="270"/>
      <c r="D973" s="270"/>
      <c r="E973" s="270"/>
      <c r="F973" s="270"/>
      <c r="G973" s="270"/>
      <c r="H973" s="270"/>
      <c r="I973" s="270"/>
      <c r="J973" s="270"/>
    </row>
    <row r="974" spans="1:10" ht="16.899999999999999" x14ac:dyDescent="0.5">
      <c r="A974" s="270"/>
      <c r="B974" s="270"/>
      <c r="C974" s="270"/>
      <c r="D974" s="270"/>
      <c r="E974" s="270"/>
      <c r="F974" s="270"/>
      <c r="G974" s="270"/>
      <c r="H974" s="270"/>
      <c r="I974" s="270"/>
      <c r="J974" s="270"/>
    </row>
    <row r="975" spans="1:10" ht="16.899999999999999" x14ac:dyDescent="0.5">
      <c r="A975" s="270"/>
      <c r="B975" s="270"/>
      <c r="C975" s="270"/>
      <c r="D975" s="270"/>
      <c r="E975" s="270"/>
      <c r="F975" s="270"/>
      <c r="G975" s="270"/>
      <c r="H975" s="270"/>
      <c r="I975" s="270"/>
      <c r="J975" s="270"/>
    </row>
    <row r="976" spans="1:10" ht="16.899999999999999" x14ac:dyDescent="0.5">
      <c r="A976" s="270"/>
      <c r="B976" s="270"/>
      <c r="C976" s="270"/>
      <c r="D976" s="270"/>
      <c r="E976" s="270"/>
      <c r="F976" s="270"/>
      <c r="G976" s="270"/>
      <c r="H976" s="270"/>
      <c r="I976" s="270"/>
      <c r="J976" s="270"/>
    </row>
    <row r="977" spans="1:10" ht="16.899999999999999" x14ac:dyDescent="0.5">
      <c r="A977" s="270"/>
      <c r="B977" s="270"/>
      <c r="C977" s="270"/>
      <c r="D977" s="270"/>
      <c r="E977" s="270"/>
      <c r="F977" s="270"/>
      <c r="G977" s="270"/>
      <c r="H977" s="270"/>
      <c r="I977" s="270"/>
      <c r="J977" s="270"/>
    </row>
    <row r="978" spans="1:10" ht="16.899999999999999" x14ac:dyDescent="0.5">
      <c r="A978" s="270"/>
      <c r="B978" s="270"/>
      <c r="C978" s="270"/>
      <c r="D978" s="270"/>
      <c r="E978" s="270"/>
      <c r="F978" s="270"/>
      <c r="G978" s="270"/>
      <c r="H978" s="270"/>
      <c r="I978" s="270"/>
      <c r="J978" s="270"/>
    </row>
    <row r="979" spans="1:10" ht="16.899999999999999" x14ac:dyDescent="0.5">
      <c r="A979" s="270"/>
      <c r="B979" s="270"/>
      <c r="C979" s="270"/>
      <c r="D979" s="270"/>
      <c r="E979" s="270"/>
      <c r="F979" s="270"/>
      <c r="G979" s="270"/>
      <c r="H979" s="270"/>
      <c r="I979" s="270"/>
      <c r="J979" s="270"/>
    </row>
    <row r="980" spans="1:10" ht="16.899999999999999" x14ac:dyDescent="0.5">
      <c r="A980" s="270"/>
      <c r="B980" s="270"/>
      <c r="C980" s="270"/>
      <c r="D980" s="270"/>
      <c r="E980" s="270"/>
      <c r="F980" s="270"/>
      <c r="G980" s="270"/>
      <c r="H980" s="270"/>
      <c r="I980" s="270"/>
      <c r="J980" s="270"/>
    </row>
    <row r="981" spans="1:10" ht="16.899999999999999" x14ac:dyDescent="0.5">
      <c r="A981" s="270"/>
      <c r="B981" s="270"/>
      <c r="C981" s="270"/>
      <c r="D981" s="270"/>
      <c r="E981" s="270"/>
      <c r="F981" s="270"/>
      <c r="G981" s="270"/>
      <c r="H981" s="270"/>
      <c r="I981" s="270"/>
      <c r="J981" s="270"/>
    </row>
    <row r="982" spans="1:10" ht="16.899999999999999" x14ac:dyDescent="0.5">
      <c r="A982" s="270"/>
      <c r="B982" s="270"/>
      <c r="C982" s="270"/>
      <c r="D982" s="270"/>
      <c r="E982" s="270"/>
      <c r="F982" s="270"/>
      <c r="G982" s="270"/>
      <c r="H982" s="270"/>
      <c r="I982" s="270"/>
      <c r="J982" s="270"/>
    </row>
    <row r="983" spans="1:10" ht="16.899999999999999" x14ac:dyDescent="0.5">
      <c r="A983" s="270"/>
      <c r="B983" s="270"/>
      <c r="C983" s="270"/>
      <c r="D983" s="270"/>
      <c r="E983" s="270"/>
      <c r="F983" s="270"/>
      <c r="G983" s="270"/>
      <c r="H983" s="270"/>
      <c r="I983" s="270"/>
      <c r="J983" s="270"/>
    </row>
    <row r="984" spans="1:10" ht="16.899999999999999" x14ac:dyDescent="0.5">
      <c r="A984" s="270"/>
      <c r="B984" s="270"/>
      <c r="C984" s="270"/>
      <c r="D984" s="270"/>
      <c r="E984" s="270"/>
      <c r="F984" s="270"/>
      <c r="G984" s="270"/>
      <c r="H984" s="270"/>
      <c r="I984" s="270"/>
      <c r="J984" s="270"/>
    </row>
    <row r="985" spans="1:10" ht="16.899999999999999" x14ac:dyDescent="0.5">
      <c r="A985" s="270"/>
      <c r="B985" s="270"/>
      <c r="C985" s="270"/>
      <c r="D985" s="270"/>
      <c r="E985" s="270"/>
      <c r="F985" s="270"/>
      <c r="G985" s="270"/>
      <c r="H985" s="270"/>
      <c r="I985" s="270"/>
      <c r="J985" s="270"/>
    </row>
    <row r="986" spans="1:10" ht="16.899999999999999" x14ac:dyDescent="0.5">
      <c r="A986" s="270"/>
      <c r="B986" s="270"/>
      <c r="C986" s="270"/>
      <c r="D986" s="270"/>
      <c r="E986" s="270"/>
      <c r="F986" s="270"/>
      <c r="G986" s="270"/>
      <c r="H986" s="270"/>
      <c r="I986" s="270"/>
      <c r="J986" s="270"/>
    </row>
    <row r="987" spans="1:10" ht="16.899999999999999" x14ac:dyDescent="0.5">
      <c r="A987" s="270"/>
      <c r="B987" s="270"/>
      <c r="C987" s="270"/>
      <c r="D987" s="270"/>
      <c r="E987" s="270"/>
      <c r="F987" s="270"/>
      <c r="G987" s="270"/>
      <c r="H987" s="270"/>
      <c r="I987" s="270"/>
      <c r="J987" s="270"/>
    </row>
    <row r="988" spans="1:10" ht="16.899999999999999" x14ac:dyDescent="0.5">
      <c r="A988" s="270"/>
      <c r="B988" s="270"/>
      <c r="C988" s="270"/>
      <c r="D988" s="270"/>
      <c r="E988" s="270"/>
      <c r="F988" s="270"/>
      <c r="G988" s="270"/>
      <c r="H988" s="270"/>
      <c r="I988" s="270"/>
      <c r="J988" s="270"/>
    </row>
    <row r="989" spans="1:10" ht="16.899999999999999" x14ac:dyDescent="0.5">
      <c r="A989" s="270"/>
      <c r="B989" s="270"/>
      <c r="C989" s="270"/>
      <c r="D989" s="270"/>
      <c r="E989" s="270"/>
      <c r="F989" s="270"/>
      <c r="G989" s="270"/>
      <c r="H989" s="270"/>
      <c r="I989" s="270"/>
      <c r="J989" s="270"/>
    </row>
    <row r="990" spans="1:10" ht="16.899999999999999" x14ac:dyDescent="0.5">
      <c r="A990" s="270"/>
      <c r="B990" s="270"/>
      <c r="C990" s="270"/>
      <c r="D990" s="270"/>
      <c r="E990" s="270"/>
      <c r="F990" s="270"/>
      <c r="G990" s="270"/>
      <c r="H990" s="270"/>
      <c r="I990" s="270"/>
      <c r="J990" s="270"/>
    </row>
    <row r="991" spans="1:10" ht="16.899999999999999" x14ac:dyDescent="0.5">
      <c r="A991" s="270"/>
      <c r="B991" s="270"/>
      <c r="C991" s="270"/>
      <c r="D991" s="270"/>
      <c r="E991" s="270"/>
      <c r="F991" s="270"/>
      <c r="G991" s="270"/>
      <c r="H991" s="270"/>
      <c r="I991" s="270"/>
      <c r="J991" s="270"/>
    </row>
    <row r="992" spans="1:10" ht="16.899999999999999" x14ac:dyDescent="0.5">
      <c r="A992" s="270"/>
      <c r="B992" s="270"/>
      <c r="C992" s="270"/>
      <c r="D992" s="270"/>
      <c r="E992" s="270"/>
      <c r="F992" s="270"/>
      <c r="G992" s="270"/>
      <c r="H992" s="270"/>
      <c r="I992" s="270"/>
      <c r="J992" s="270"/>
    </row>
    <row r="993" spans="1:10" ht="16.899999999999999" x14ac:dyDescent="0.5">
      <c r="A993" s="270"/>
      <c r="B993" s="270"/>
      <c r="C993" s="270"/>
      <c r="D993" s="270"/>
      <c r="E993" s="270"/>
      <c r="F993" s="270"/>
      <c r="G993" s="270"/>
      <c r="H993" s="270"/>
      <c r="I993" s="270"/>
      <c r="J993" s="270"/>
    </row>
    <row r="994" spans="1:10" ht="16.899999999999999" x14ac:dyDescent="0.5">
      <c r="A994" s="270"/>
      <c r="B994" s="270"/>
      <c r="C994" s="270"/>
      <c r="D994" s="270"/>
      <c r="E994" s="270"/>
      <c r="F994" s="270"/>
      <c r="G994" s="270"/>
      <c r="H994" s="270"/>
      <c r="I994" s="270"/>
      <c r="J994" s="270"/>
    </row>
    <row r="995" spans="1:10" ht="16.899999999999999" x14ac:dyDescent="0.5">
      <c r="A995" s="270"/>
      <c r="B995" s="270"/>
      <c r="C995" s="270"/>
      <c r="D995" s="270"/>
      <c r="E995" s="270"/>
      <c r="F995" s="270"/>
      <c r="G995" s="270"/>
      <c r="H995" s="270"/>
      <c r="I995" s="270"/>
      <c r="J995" s="270"/>
    </row>
    <row r="996" spans="1:10" ht="16.899999999999999" x14ac:dyDescent="0.5">
      <c r="A996" s="270"/>
      <c r="B996" s="270"/>
      <c r="C996" s="270"/>
      <c r="D996" s="270"/>
      <c r="E996" s="270"/>
      <c r="F996" s="270"/>
      <c r="G996" s="270"/>
      <c r="H996" s="270"/>
      <c r="I996" s="270"/>
      <c r="J996" s="270"/>
    </row>
    <row r="997" spans="1:10" ht="16.899999999999999" x14ac:dyDescent="0.5">
      <c r="A997" s="270"/>
      <c r="B997" s="270"/>
      <c r="C997" s="270"/>
      <c r="D997" s="270"/>
      <c r="E997" s="270"/>
      <c r="F997" s="270"/>
      <c r="G997" s="270"/>
      <c r="H997" s="270"/>
      <c r="I997" s="270"/>
      <c r="J997" s="270"/>
    </row>
    <row r="998" spans="1:10" ht="16.899999999999999" x14ac:dyDescent="0.5">
      <c r="A998" s="270"/>
      <c r="B998" s="270"/>
      <c r="C998" s="270"/>
      <c r="D998" s="270"/>
      <c r="E998" s="270"/>
      <c r="F998" s="270"/>
      <c r="G998" s="270"/>
      <c r="H998" s="270"/>
      <c r="I998" s="270"/>
      <c r="J998" s="270"/>
    </row>
    <row r="999" spans="1:10" ht="16.899999999999999" x14ac:dyDescent="0.5">
      <c r="A999" s="270"/>
      <c r="B999" s="270"/>
      <c r="C999" s="270"/>
      <c r="D999" s="270"/>
      <c r="E999" s="270"/>
      <c r="F999" s="270"/>
      <c r="G999" s="270"/>
      <c r="H999" s="270"/>
      <c r="I999" s="270"/>
      <c r="J999" s="270"/>
    </row>
    <row r="1000" spans="1:10" ht="16.899999999999999" x14ac:dyDescent="0.5">
      <c r="A1000" s="270"/>
      <c r="B1000" s="270"/>
      <c r="C1000" s="270"/>
      <c r="D1000" s="270"/>
      <c r="E1000" s="270"/>
      <c r="F1000" s="270"/>
      <c r="G1000" s="270"/>
      <c r="H1000" s="270"/>
      <c r="I1000" s="270"/>
      <c r="J1000" s="27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  <pageSetUpPr fitToPage="1"/>
  </sheetPr>
  <dimension ref="A1:AA1000"/>
  <sheetViews>
    <sheetView workbookViewId="0"/>
  </sheetViews>
  <sheetFormatPr defaultColWidth="14.42578125" defaultRowHeight="15.75" customHeight="1" x14ac:dyDescent="0.4"/>
  <cols>
    <col min="1" max="1" width="17.42578125" customWidth="1"/>
    <col min="2" max="2" width="9.85546875" customWidth="1"/>
    <col min="3" max="5" width="4.7109375" customWidth="1"/>
  </cols>
  <sheetData>
    <row r="1" spans="1:27" ht="15.75" customHeight="1" x14ac:dyDescent="0.65">
      <c r="A1" s="271" t="s">
        <v>1042</v>
      </c>
      <c r="B1" s="271" t="s">
        <v>1043</v>
      </c>
      <c r="C1" s="272" t="s">
        <v>1044</v>
      </c>
      <c r="D1" s="272" t="s">
        <v>1045</v>
      </c>
      <c r="E1" s="272" t="s">
        <v>1046</v>
      </c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</row>
    <row r="2" spans="1:27" ht="15.75" customHeight="1" x14ac:dyDescent="0.65">
      <c r="A2" s="66" t="s">
        <v>71</v>
      </c>
      <c r="B2" s="66" t="s">
        <v>58</v>
      </c>
      <c r="C2" s="273"/>
      <c r="D2" s="273"/>
      <c r="E2" s="273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</row>
    <row r="3" spans="1:27" ht="15.75" customHeight="1" x14ac:dyDescent="0.65">
      <c r="A3" s="66" t="s">
        <v>303</v>
      </c>
      <c r="B3" s="66" t="s">
        <v>51</v>
      </c>
      <c r="C3" s="273"/>
      <c r="D3" s="273"/>
      <c r="E3" s="273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</row>
    <row r="4" spans="1:27" ht="15.75" customHeight="1" x14ac:dyDescent="0.65">
      <c r="A4" s="66" t="s">
        <v>282</v>
      </c>
      <c r="B4" s="66" t="s">
        <v>51</v>
      </c>
      <c r="C4" s="273"/>
      <c r="D4" s="273"/>
      <c r="E4" s="273"/>
      <c r="F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</row>
    <row r="5" spans="1:27" ht="15.75" customHeight="1" x14ac:dyDescent="0.65">
      <c r="A5" s="66" t="s">
        <v>121</v>
      </c>
      <c r="B5" s="66" t="s">
        <v>51</v>
      </c>
      <c r="C5" s="273"/>
      <c r="D5" s="273"/>
      <c r="E5" s="273"/>
      <c r="F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</row>
    <row r="6" spans="1:27" ht="15.75" customHeight="1" x14ac:dyDescent="0.65">
      <c r="A6" s="66" t="s">
        <v>264</v>
      </c>
      <c r="B6" s="66" t="s">
        <v>51</v>
      </c>
      <c r="C6" s="273"/>
      <c r="D6" s="273"/>
      <c r="E6" s="273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  <c r="AA6" s="66"/>
    </row>
    <row r="7" spans="1:27" ht="15.75" customHeight="1" x14ac:dyDescent="0.65">
      <c r="A7" s="66" t="s">
        <v>264</v>
      </c>
      <c r="B7" s="66" t="s">
        <v>51</v>
      </c>
      <c r="C7" s="273"/>
      <c r="D7" s="273"/>
      <c r="E7" s="273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</row>
    <row r="8" spans="1:27" ht="15.75" customHeight="1" x14ac:dyDescent="0.65">
      <c r="A8" s="66" t="s">
        <v>119</v>
      </c>
      <c r="B8" s="66" t="s">
        <v>51</v>
      </c>
      <c r="C8" s="273"/>
      <c r="D8" s="273"/>
      <c r="E8" s="273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</row>
    <row r="9" spans="1:27" ht="15.75" customHeight="1" x14ac:dyDescent="0.65">
      <c r="A9" s="66" t="s">
        <v>119</v>
      </c>
      <c r="B9" s="66" t="s">
        <v>58</v>
      </c>
      <c r="C9" s="273"/>
      <c r="D9" s="273"/>
      <c r="E9" s="273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</row>
    <row r="10" spans="1:27" ht="15.75" customHeight="1" x14ac:dyDescent="0.65">
      <c r="A10" s="66" t="s">
        <v>113</v>
      </c>
      <c r="B10" s="66" t="s">
        <v>51</v>
      </c>
      <c r="C10" s="273"/>
      <c r="D10" s="273"/>
      <c r="E10" s="273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</row>
    <row r="11" spans="1:27" ht="15.75" customHeight="1" x14ac:dyDescent="0.65">
      <c r="A11" s="66" t="s">
        <v>116</v>
      </c>
      <c r="B11" s="66" t="s">
        <v>51</v>
      </c>
      <c r="C11" s="273"/>
      <c r="D11" s="273"/>
      <c r="E11" s="273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</row>
    <row r="12" spans="1:27" ht="15.75" customHeight="1" x14ac:dyDescent="0.65">
      <c r="A12" s="66" t="s">
        <v>111</v>
      </c>
      <c r="B12" s="66" t="s">
        <v>51</v>
      </c>
      <c r="C12" s="273"/>
      <c r="D12" s="273"/>
      <c r="E12" s="273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</row>
    <row r="13" spans="1:27" ht="15.75" customHeight="1" x14ac:dyDescent="0.65">
      <c r="A13" s="66" t="s">
        <v>111</v>
      </c>
      <c r="B13" s="66" t="s">
        <v>51</v>
      </c>
      <c r="C13" s="273"/>
      <c r="D13" s="273"/>
      <c r="E13" s="273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</row>
    <row r="14" spans="1:27" ht="15.75" customHeight="1" x14ac:dyDescent="0.65">
      <c r="A14" s="66" t="s">
        <v>244</v>
      </c>
      <c r="B14" s="66" t="s">
        <v>51</v>
      </c>
      <c r="C14" s="273"/>
      <c r="D14" s="273"/>
      <c r="E14" s="273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</row>
    <row r="15" spans="1:27" ht="15.75" customHeight="1" x14ac:dyDescent="0.65">
      <c r="A15" s="66" t="s">
        <v>296</v>
      </c>
      <c r="B15" s="66" t="s">
        <v>51</v>
      </c>
      <c r="C15" s="273"/>
      <c r="D15" s="273"/>
      <c r="E15" s="273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</row>
    <row r="16" spans="1:27" ht="15.75" customHeight="1" x14ac:dyDescent="0.65">
      <c r="A16" s="66" t="s">
        <v>296</v>
      </c>
      <c r="B16" s="66" t="s">
        <v>51</v>
      </c>
      <c r="C16" s="273"/>
      <c r="D16" s="273"/>
      <c r="E16" s="273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</row>
    <row r="17" spans="1:27" ht="15.75" customHeight="1" x14ac:dyDescent="0.65">
      <c r="A17" s="66" t="s">
        <v>261</v>
      </c>
      <c r="B17" s="66" t="s">
        <v>58</v>
      </c>
      <c r="C17" s="273"/>
      <c r="D17" s="273"/>
      <c r="E17" s="273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</row>
    <row r="18" spans="1:27" ht="15.75" customHeight="1" x14ac:dyDescent="0.65">
      <c r="A18" s="66" t="s">
        <v>287</v>
      </c>
      <c r="B18" s="66" t="s">
        <v>51</v>
      </c>
      <c r="C18" s="273"/>
      <c r="D18" s="273"/>
      <c r="E18" s="273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</row>
    <row r="19" spans="1:27" ht="15.75" customHeight="1" x14ac:dyDescent="0.65">
      <c r="A19" s="66" t="s">
        <v>287</v>
      </c>
      <c r="B19" s="66" t="s">
        <v>51</v>
      </c>
      <c r="C19" s="273"/>
      <c r="D19" s="273"/>
      <c r="E19" s="273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</row>
    <row r="20" spans="1:27" ht="15.75" customHeight="1" x14ac:dyDescent="0.65">
      <c r="A20" s="66" t="s">
        <v>109</v>
      </c>
      <c r="B20" s="66" t="s">
        <v>51</v>
      </c>
      <c r="C20" s="273"/>
      <c r="D20" s="273"/>
      <c r="E20" s="273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6"/>
    </row>
    <row r="21" spans="1:27" ht="15.75" customHeight="1" x14ac:dyDescent="0.65">
      <c r="A21" s="66" t="s">
        <v>110</v>
      </c>
      <c r="B21" s="66" t="s">
        <v>51</v>
      </c>
      <c r="C21" s="273"/>
      <c r="D21" s="273"/>
      <c r="E21" s="273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6"/>
    </row>
    <row r="22" spans="1:27" ht="15.75" customHeight="1" x14ac:dyDescent="0.65">
      <c r="A22" s="66" t="s">
        <v>110</v>
      </c>
      <c r="B22" s="66" t="s">
        <v>58</v>
      </c>
      <c r="C22" s="273"/>
      <c r="D22" s="273"/>
      <c r="E22" s="273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6"/>
    </row>
    <row r="23" spans="1:27" ht="15.75" customHeight="1" x14ac:dyDescent="0.65">
      <c r="A23" s="66"/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</row>
    <row r="24" spans="1:27" ht="15.75" customHeight="1" x14ac:dyDescent="0.65">
      <c r="A24" s="66"/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/>
    </row>
    <row r="25" spans="1:27" ht="15.75" customHeight="1" x14ac:dyDescent="0.65">
      <c r="A25" s="66"/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</row>
    <row r="26" spans="1:27" ht="15.75" customHeight="1" x14ac:dyDescent="0.65">
      <c r="A26" s="66"/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</row>
    <row r="27" spans="1:27" ht="15.75" customHeight="1" x14ac:dyDescent="0.65">
      <c r="A27" s="66"/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6"/>
    </row>
    <row r="28" spans="1:27" ht="15.75" customHeight="1" x14ac:dyDescent="0.65">
      <c r="A28" s="66"/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</row>
    <row r="29" spans="1:27" ht="15.75" customHeight="1" x14ac:dyDescent="0.65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</row>
    <row r="30" spans="1:27" ht="21" x14ac:dyDescent="0.65">
      <c r="A30" s="66"/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</row>
    <row r="31" spans="1:27" ht="21" x14ac:dyDescent="0.65">
      <c r="A31" s="66"/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</row>
    <row r="32" spans="1:27" ht="21" x14ac:dyDescent="0.65">
      <c r="A32" s="66"/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</row>
    <row r="33" spans="1:27" ht="21" x14ac:dyDescent="0.65">
      <c r="A33" s="66"/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  <c r="AA33" s="66"/>
    </row>
    <row r="34" spans="1:27" ht="21" x14ac:dyDescent="0.65">
      <c r="A34" s="66"/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</row>
    <row r="35" spans="1:27" ht="21" x14ac:dyDescent="0.65">
      <c r="A35" s="66"/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</row>
    <row r="36" spans="1:27" ht="21" x14ac:dyDescent="0.65">
      <c r="A36" s="66"/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</row>
    <row r="37" spans="1:27" ht="21" x14ac:dyDescent="0.65">
      <c r="A37" s="66"/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</row>
    <row r="38" spans="1:27" ht="21" x14ac:dyDescent="0.65">
      <c r="A38" s="66"/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  <c r="AA38" s="66"/>
    </row>
    <row r="39" spans="1:27" ht="21" x14ac:dyDescent="0.65">
      <c r="A39" s="66"/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  <c r="AA39" s="66"/>
    </row>
    <row r="40" spans="1:27" ht="21" x14ac:dyDescent="0.65">
      <c r="A40" s="66"/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</row>
    <row r="41" spans="1:27" ht="21" x14ac:dyDescent="0.65">
      <c r="A41" s="66"/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</row>
    <row r="42" spans="1:27" ht="21" x14ac:dyDescent="0.65">
      <c r="A42" s="66"/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</row>
    <row r="43" spans="1:27" ht="21" x14ac:dyDescent="0.65">
      <c r="A43" s="66"/>
      <c r="B43" s="66"/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</row>
    <row r="44" spans="1:27" ht="21" x14ac:dyDescent="0.65">
      <c r="A44" s="66"/>
      <c r="B44" s="66"/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  <c r="AA44" s="66"/>
    </row>
    <row r="45" spans="1:27" ht="21" x14ac:dyDescent="0.65">
      <c r="A45" s="66"/>
      <c r="B45" s="66"/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  <c r="AA45" s="66"/>
    </row>
    <row r="46" spans="1:27" ht="21" x14ac:dyDescent="0.65">
      <c r="A46" s="66"/>
      <c r="B46" s="66"/>
      <c r="C46" s="66"/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  <c r="AA46" s="66"/>
    </row>
    <row r="47" spans="1:27" ht="21" x14ac:dyDescent="0.65">
      <c r="A47" s="66"/>
      <c r="B47" s="66"/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</row>
    <row r="48" spans="1:27" ht="21" x14ac:dyDescent="0.65">
      <c r="A48" s="66"/>
      <c r="B48" s="66"/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</row>
    <row r="49" spans="1:27" ht="21" x14ac:dyDescent="0.65">
      <c r="A49" s="66"/>
      <c r="B49" s="66"/>
      <c r="C49" s="66"/>
      <c r="D49" s="66"/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  <c r="AA49" s="66"/>
    </row>
    <row r="50" spans="1:27" ht="21" x14ac:dyDescent="0.65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</row>
    <row r="51" spans="1:27" ht="21" x14ac:dyDescent="0.65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</row>
    <row r="52" spans="1:27" ht="21" x14ac:dyDescent="0.65">
      <c r="A52" s="66"/>
      <c r="B52" s="66"/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  <c r="AA52" s="66"/>
    </row>
    <row r="53" spans="1:27" ht="21" x14ac:dyDescent="0.65">
      <c r="A53" s="66"/>
      <c r="B53" s="66"/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  <c r="AA53" s="66"/>
    </row>
    <row r="54" spans="1:27" ht="21" x14ac:dyDescent="0.65">
      <c r="A54" s="66"/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  <c r="AA54" s="66"/>
    </row>
    <row r="55" spans="1:27" ht="21" x14ac:dyDescent="0.65">
      <c r="A55" s="66"/>
      <c r="B55" s="66"/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  <c r="AA55" s="66"/>
    </row>
    <row r="56" spans="1:27" ht="21" x14ac:dyDescent="0.65">
      <c r="A56" s="66"/>
      <c r="B56" s="66"/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</row>
    <row r="57" spans="1:27" ht="21" x14ac:dyDescent="0.65">
      <c r="A57" s="66"/>
      <c r="B57" s="66"/>
      <c r="C57" s="66"/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6"/>
    </row>
    <row r="58" spans="1:27" ht="21" x14ac:dyDescent="0.65">
      <c r="A58" s="66"/>
      <c r="B58" s="66"/>
      <c r="C58" s="66"/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</row>
    <row r="59" spans="1:27" ht="21" x14ac:dyDescent="0.65">
      <c r="A59" s="66"/>
      <c r="B59" s="66"/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</row>
    <row r="60" spans="1:27" ht="21" x14ac:dyDescent="0.65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</row>
    <row r="61" spans="1:27" ht="21" x14ac:dyDescent="0.65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</row>
    <row r="62" spans="1:27" ht="21" x14ac:dyDescent="0.65">
      <c r="A62" s="66"/>
      <c r="B62" s="66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</row>
    <row r="63" spans="1:27" ht="21" x14ac:dyDescent="0.65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</row>
    <row r="64" spans="1:27" ht="21" x14ac:dyDescent="0.65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</row>
    <row r="65" spans="1:27" ht="21" x14ac:dyDescent="0.65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</row>
    <row r="66" spans="1:27" ht="21" x14ac:dyDescent="0.65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</row>
    <row r="67" spans="1:27" ht="21" x14ac:dyDescent="0.65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  <c r="AA67" s="66"/>
    </row>
    <row r="68" spans="1:27" ht="21" x14ac:dyDescent="0.65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</row>
    <row r="69" spans="1:27" ht="21" x14ac:dyDescent="0.65">
      <c r="A69" s="66"/>
      <c r="B69" s="66"/>
      <c r="C69" s="66"/>
      <c r="D69" s="66"/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</row>
    <row r="70" spans="1:27" ht="21" x14ac:dyDescent="0.65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</row>
    <row r="71" spans="1:27" ht="21" x14ac:dyDescent="0.65">
      <c r="A71" s="66"/>
      <c r="B71" s="66"/>
      <c r="C71" s="66"/>
      <c r="D71" s="66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</row>
    <row r="72" spans="1:27" ht="21" x14ac:dyDescent="0.65">
      <c r="A72" s="66"/>
      <c r="B72" s="66"/>
      <c r="C72" s="66"/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</row>
    <row r="73" spans="1:27" ht="21" x14ac:dyDescent="0.65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</row>
    <row r="74" spans="1:27" ht="21" x14ac:dyDescent="0.65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  <c r="AA74" s="66"/>
    </row>
    <row r="75" spans="1:27" ht="21" x14ac:dyDescent="0.65">
      <c r="A75" s="66"/>
      <c r="B75" s="66"/>
      <c r="C75" s="66"/>
      <c r="D75" s="66"/>
      <c r="E75" s="66"/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  <c r="AA75" s="66"/>
    </row>
    <row r="76" spans="1:27" ht="21" x14ac:dyDescent="0.65">
      <c r="A76" s="66"/>
      <c r="B76" s="66"/>
      <c r="C76" s="66"/>
      <c r="D76" s="66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  <c r="AA76" s="66"/>
    </row>
    <row r="77" spans="1:27" ht="21" x14ac:dyDescent="0.65">
      <c r="A77" s="66"/>
      <c r="B77" s="66"/>
      <c r="C77" s="66"/>
      <c r="D77" s="66"/>
      <c r="E77" s="66"/>
      <c r="F77" s="66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  <c r="AA77" s="66"/>
    </row>
    <row r="78" spans="1:27" ht="21" x14ac:dyDescent="0.65">
      <c r="A78" s="66"/>
      <c r="B78" s="66"/>
      <c r="C78" s="66"/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</row>
    <row r="79" spans="1:27" ht="21" x14ac:dyDescent="0.65">
      <c r="A79" s="66"/>
      <c r="B79" s="66"/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  <c r="AA79" s="66"/>
    </row>
    <row r="80" spans="1:27" ht="21" x14ac:dyDescent="0.65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  <c r="AA80" s="66"/>
    </row>
    <row r="81" spans="1:27" ht="21" x14ac:dyDescent="0.65">
      <c r="A81" s="66"/>
      <c r="B81" s="66"/>
      <c r="C81" s="66"/>
      <c r="D81" s="66"/>
      <c r="E81" s="66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  <c r="AA81" s="66"/>
    </row>
    <row r="82" spans="1:27" ht="21" x14ac:dyDescent="0.65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66"/>
    </row>
    <row r="83" spans="1:27" ht="21" x14ac:dyDescent="0.65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  <c r="AA83" s="66"/>
    </row>
    <row r="84" spans="1:27" ht="21" x14ac:dyDescent="0.65">
      <c r="A84" s="66"/>
      <c r="B84" s="66"/>
      <c r="C84" s="66"/>
      <c r="D84" s="66"/>
      <c r="E84" s="66"/>
      <c r="F84" s="66"/>
      <c r="G84" s="66"/>
      <c r="H84" s="66"/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  <c r="AA84" s="66"/>
    </row>
    <row r="85" spans="1:27" ht="21" x14ac:dyDescent="0.65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  <c r="AA85" s="66"/>
    </row>
    <row r="86" spans="1:27" ht="21" x14ac:dyDescent="0.65">
      <c r="A86" s="66"/>
      <c r="B86" s="66"/>
      <c r="C86" s="66"/>
      <c r="D86" s="66"/>
      <c r="E86" s="66"/>
      <c r="F86" s="66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  <c r="AA86" s="66"/>
    </row>
    <row r="87" spans="1:27" ht="21" x14ac:dyDescent="0.65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  <c r="AA87" s="66"/>
    </row>
    <row r="88" spans="1:27" ht="21" x14ac:dyDescent="0.65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  <c r="AA88" s="66"/>
    </row>
    <row r="89" spans="1:27" ht="21" x14ac:dyDescent="0.65">
      <c r="A89" s="66"/>
      <c r="B89" s="66"/>
      <c r="C89" s="66"/>
      <c r="D89" s="66"/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  <c r="AA89" s="66"/>
    </row>
    <row r="90" spans="1:27" ht="21" x14ac:dyDescent="0.65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  <c r="AA90" s="66"/>
    </row>
    <row r="91" spans="1:27" ht="21" x14ac:dyDescent="0.65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  <c r="AA91" s="66"/>
    </row>
    <row r="92" spans="1:27" ht="21" x14ac:dyDescent="0.65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  <c r="AA92" s="66"/>
    </row>
    <row r="93" spans="1:27" ht="21" x14ac:dyDescent="0.65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  <c r="AA93" s="66"/>
    </row>
    <row r="94" spans="1:27" ht="21" x14ac:dyDescent="0.65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  <c r="AA94" s="66"/>
    </row>
    <row r="95" spans="1:27" ht="21" x14ac:dyDescent="0.65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  <c r="AA95" s="66"/>
    </row>
    <row r="96" spans="1:27" ht="21" x14ac:dyDescent="0.65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  <c r="AA96" s="66"/>
    </row>
    <row r="97" spans="1:27" ht="21" x14ac:dyDescent="0.65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  <c r="AA97" s="66"/>
    </row>
    <row r="98" spans="1:27" ht="21" x14ac:dyDescent="0.65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  <c r="AA98" s="66"/>
    </row>
    <row r="99" spans="1:27" ht="21" x14ac:dyDescent="0.65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  <c r="AA99" s="66"/>
    </row>
    <row r="100" spans="1:27" ht="21" x14ac:dyDescent="0.65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  <c r="AA100" s="66"/>
    </row>
    <row r="101" spans="1:27" ht="21" x14ac:dyDescent="0.65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  <c r="AA101" s="66"/>
    </row>
    <row r="102" spans="1:27" ht="21" x14ac:dyDescent="0.65">
      <c r="A102" s="66"/>
      <c r="B102" s="66"/>
      <c r="C102" s="66"/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  <c r="AA102" s="66"/>
    </row>
    <row r="103" spans="1:27" ht="21" x14ac:dyDescent="0.65">
      <c r="A103" s="66"/>
      <c r="B103" s="66"/>
      <c r="C103" s="66"/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  <c r="AA103" s="66"/>
    </row>
    <row r="104" spans="1:27" ht="21" x14ac:dyDescent="0.65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  <c r="AA104" s="66"/>
    </row>
    <row r="105" spans="1:27" ht="21" x14ac:dyDescent="0.65">
      <c r="A105" s="66"/>
      <c r="B105" s="66"/>
      <c r="C105" s="66"/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  <c r="AA105" s="66"/>
    </row>
    <row r="106" spans="1:27" ht="21" x14ac:dyDescent="0.65">
      <c r="A106" s="66"/>
      <c r="B106" s="66"/>
      <c r="C106" s="66"/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  <c r="AA106" s="66"/>
    </row>
    <row r="107" spans="1:27" ht="21" x14ac:dyDescent="0.65">
      <c r="A107" s="66"/>
      <c r="B107" s="66"/>
      <c r="C107" s="66"/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  <c r="AA107" s="66"/>
    </row>
    <row r="108" spans="1:27" ht="21" x14ac:dyDescent="0.65">
      <c r="A108" s="66"/>
      <c r="B108" s="66"/>
      <c r="C108" s="66"/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  <c r="AA108" s="66"/>
    </row>
    <row r="109" spans="1:27" ht="21" x14ac:dyDescent="0.65">
      <c r="A109" s="66"/>
      <c r="B109" s="66"/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  <c r="AA109" s="66"/>
    </row>
    <row r="110" spans="1:27" ht="21" x14ac:dyDescent="0.65">
      <c r="A110" s="66"/>
      <c r="B110" s="66"/>
      <c r="C110" s="66"/>
      <c r="D110" s="66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  <c r="AA110" s="66"/>
    </row>
    <row r="111" spans="1:27" ht="21" x14ac:dyDescent="0.65">
      <c r="A111" s="66"/>
      <c r="B111" s="66"/>
      <c r="C111" s="66"/>
      <c r="D111" s="66"/>
      <c r="E111" s="66"/>
      <c r="F111" s="66"/>
      <c r="G111" s="66"/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  <c r="AA111" s="66"/>
    </row>
    <row r="112" spans="1:27" ht="21" x14ac:dyDescent="0.65">
      <c r="A112" s="66"/>
      <c r="B112" s="66"/>
      <c r="C112" s="66"/>
      <c r="D112" s="66"/>
      <c r="E112" s="66"/>
      <c r="F112" s="66"/>
      <c r="G112" s="66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  <c r="AA112" s="66"/>
    </row>
    <row r="113" spans="1:27" ht="21" x14ac:dyDescent="0.65">
      <c r="A113" s="66"/>
      <c r="B113" s="66"/>
      <c r="C113" s="66"/>
      <c r="D113" s="66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  <c r="AA113" s="66"/>
    </row>
    <row r="114" spans="1:27" ht="21" x14ac:dyDescent="0.65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  <c r="AA114" s="66"/>
    </row>
    <row r="115" spans="1:27" ht="21" x14ac:dyDescent="0.65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  <c r="AA115" s="66"/>
    </row>
    <row r="116" spans="1:27" ht="21" x14ac:dyDescent="0.65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  <c r="AA116" s="66"/>
    </row>
    <row r="117" spans="1:27" ht="21" x14ac:dyDescent="0.65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  <c r="AA117" s="66"/>
    </row>
    <row r="118" spans="1:27" ht="21" x14ac:dyDescent="0.65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  <c r="AA118" s="66"/>
    </row>
    <row r="119" spans="1:27" ht="21" x14ac:dyDescent="0.65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  <c r="AA119" s="66"/>
    </row>
    <row r="120" spans="1:27" ht="21" x14ac:dyDescent="0.65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  <c r="AA120" s="66"/>
    </row>
    <row r="121" spans="1:27" ht="21" x14ac:dyDescent="0.65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  <c r="AA121" s="66"/>
    </row>
    <row r="122" spans="1:27" ht="21" x14ac:dyDescent="0.65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  <c r="AA122" s="66"/>
    </row>
    <row r="123" spans="1:27" ht="21" x14ac:dyDescent="0.65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  <c r="AA123" s="66"/>
    </row>
    <row r="124" spans="1:27" ht="21" x14ac:dyDescent="0.65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  <c r="AA124" s="66"/>
    </row>
    <row r="125" spans="1:27" ht="21" x14ac:dyDescent="0.65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  <c r="AA125" s="66"/>
    </row>
    <row r="126" spans="1:27" ht="21" x14ac:dyDescent="0.65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  <c r="AA126" s="66"/>
    </row>
    <row r="127" spans="1:27" ht="21" x14ac:dyDescent="0.65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  <c r="AA127" s="66"/>
    </row>
    <row r="128" spans="1:27" ht="21" x14ac:dyDescent="0.65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  <c r="AA128" s="66"/>
    </row>
    <row r="129" spans="1:27" ht="21" x14ac:dyDescent="0.65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  <c r="AA129" s="66"/>
    </row>
    <row r="130" spans="1:27" ht="21" x14ac:dyDescent="0.65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  <c r="AA130" s="66"/>
    </row>
    <row r="131" spans="1:27" ht="21" x14ac:dyDescent="0.65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  <c r="AA131" s="66"/>
    </row>
    <row r="132" spans="1:27" ht="21" x14ac:dyDescent="0.65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  <c r="AA132" s="66"/>
    </row>
    <row r="133" spans="1:27" ht="21" x14ac:dyDescent="0.65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  <c r="AA133" s="66"/>
    </row>
    <row r="134" spans="1:27" ht="21" x14ac:dyDescent="0.65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  <c r="AA134" s="66"/>
    </row>
    <row r="135" spans="1:27" ht="21" x14ac:dyDescent="0.65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  <c r="AA135" s="66"/>
    </row>
    <row r="136" spans="1:27" ht="21" x14ac:dyDescent="0.65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  <c r="AA136" s="66"/>
    </row>
    <row r="137" spans="1:27" ht="21" x14ac:dyDescent="0.65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  <c r="AA137" s="66"/>
    </row>
    <row r="138" spans="1:27" ht="21" x14ac:dyDescent="0.65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  <c r="AA138" s="66"/>
    </row>
    <row r="139" spans="1:27" ht="21" x14ac:dyDescent="0.65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  <c r="AA139" s="66"/>
    </row>
    <row r="140" spans="1:27" ht="21" x14ac:dyDescent="0.65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  <c r="AA140" s="66"/>
    </row>
    <row r="141" spans="1:27" ht="21" x14ac:dyDescent="0.65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  <c r="AA141" s="66"/>
    </row>
    <row r="142" spans="1:27" ht="21" x14ac:dyDescent="0.65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  <c r="AA142" s="66"/>
    </row>
    <row r="143" spans="1:27" ht="21" x14ac:dyDescent="0.65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  <c r="AA143" s="66"/>
    </row>
    <row r="144" spans="1:27" ht="21" x14ac:dyDescent="0.65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  <c r="AA144" s="66"/>
    </row>
    <row r="145" spans="1:27" ht="21" x14ac:dyDescent="0.65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  <c r="AA145" s="66"/>
    </row>
    <row r="146" spans="1:27" ht="21" x14ac:dyDescent="0.65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  <c r="AA146" s="66"/>
    </row>
    <row r="147" spans="1:27" ht="21" x14ac:dyDescent="0.65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  <c r="AA147" s="66"/>
    </row>
    <row r="148" spans="1:27" ht="21" x14ac:dyDescent="0.65">
      <c r="A148" s="66"/>
      <c r="B148" s="66"/>
      <c r="C148" s="66"/>
      <c r="D148" s="66"/>
      <c r="E148" s="66"/>
      <c r="F148" s="66"/>
      <c r="G148" s="66"/>
      <c r="H148" s="66"/>
      <c r="I148" s="66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  <c r="AA148" s="66"/>
    </row>
    <row r="149" spans="1:27" ht="21" x14ac:dyDescent="0.65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  <c r="AA149" s="66"/>
    </row>
    <row r="150" spans="1:27" ht="21" x14ac:dyDescent="0.65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  <c r="AA150" s="66"/>
    </row>
    <row r="151" spans="1:27" ht="21" x14ac:dyDescent="0.65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  <c r="AA151" s="66"/>
    </row>
    <row r="152" spans="1:27" ht="21" x14ac:dyDescent="0.65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  <c r="AA152" s="66"/>
    </row>
    <row r="153" spans="1:27" ht="21" x14ac:dyDescent="0.65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66"/>
      <c r="Y153" s="66"/>
      <c r="Z153" s="66"/>
      <c r="AA153" s="66"/>
    </row>
    <row r="154" spans="1:27" ht="21" x14ac:dyDescent="0.65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  <c r="AA154" s="66"/>
    </row>
    <row r="155" spans="1:27" ht="21" x14ac:dyDescent="0.65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  <c r="AA155" s="66"/>
    </row>
    <row r="156" spans="1:27" ht="21" x14ac:dyDescent="0.65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  <c r="AA156" s="66"/>
    </row>
    <row r="157" spans="1:27" ht="21" x14ac:dyDescent="0.65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  <c r="AA157" s="66"/>
    </row>
    <row r="158" spans="1:27" ht="21" x14ac:dyDescent="0.65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  <c r="AA158" s="66"/>
    </row>
    <row r="159" spans="1:27" ht="21" x14ac:dyDescent="0.65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  <c r="AA159" s="66"/>
    </row>
    <row r="160" spans="1:27" ht="21" x14ac:dyDescent="0.65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  <c r="AA160" s="66"/>
    </row>
    <row r="161" spans="1:27" ht="21" x14ac:dyDescent="0.65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  <c r="AA161" s="66"/>
    </row>
    <row r="162" spans="1:27" ht="21" x14ac:dyDescent="0.65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  <c r="AA162" s="66"/>
    </row>
    <row r="163" spans="1:27" ht="21" x14ac:dyDescent="0.65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  <c r="AA163" s="66"/>
    </row>
    <row r="164" spans="1:27" ht="21" x14ac:dyDescent="0.65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  <c r="Z164" s="66"/>
      <c r="AA164" s="66"/>
    </row>
    <row r="165" spans="1:27" ht="21" x14ac:dyDescent="0.65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6"/>
      <c r="AA165" s="66"/>
    </row>
    <row r="166" spans="1:27" ht="21" x14ac:dyDescent="0.65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  <c r="Z166" s="66"/>
      <c r="AA166" s="66"/>
    </row>
    <row r="167" spans="1:27" ht="21" x14ac:dyDescent="0.65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/>
      <c r="AA167" s="66"/>
    </row>
    <row r="168" spans="1:27" ht="21" x14ac:dyDescent="0.65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  <c r="AA168" s="66"/>
    </row>
    <row r="169" spans="1:27" ht="21" x14ac:dyDescent="0.65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  <c r="AA169" s="66"/>
    </row>
    <row r="170" spans="1:27" ht="21" x14ac:dyDescent="0.65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  <c r="AA170" s="66"/>
    </row>
    <row r="171" spans="1:27" ht="21" x14ac:dyDescent="0.65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  <c r="AA171" s="66"/>
    </row>
    <row r="172" spans="1:27" ht="21" x14ac:dyDescent="0.65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  <c r="AA172" s="66"/>
    </row>
    <row r="173" spans="1:27" ht="21" x14ac:dyDescent="0.65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  <c r="AA173" s="66"/>
    </row>
    <row r="174" spans="1:27" ht="21" x14ac:dyDescent="0.65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  <c r="AA174" s="66"/>
    </row>
    <row r="175" spans="1:27" ht="21" x14ac:dyDescent="0.65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  <c r="Z175" s="66"/>
      <c r="AA175" s="66"/>
    </row>
    <row r="176" spans="1:27" ht="21" x14ac:dyDescent="0.65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  <c r="AA176" s="66"/>
    </row>
    <row r="177" spans="1:27" ht="21" x14ac:dyDescent="0.65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  <c r="AA177" s="66"/>
    </row>
    <row r="178" spans="1:27" ht="21" x14ac:dyDescent="0.65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  <c r="AA178" s="66"/>
    </row>
    <row r="179" spans="1:27" ht="21" x14ac:dyDescent="0.65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  <c r="AA179" s="66"/>
    </row>
    <row r="180" spans="1:27" ht="21" x14ac:dyDescent="0.65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  <c r="X180" s="66"/>
      <c r="Y180" s="66"/>
      <c r="Z180" s="66"/>
      <c r="AA180" s="66"/>
    </row>
    <row r="181" spans="1:27" ht="21" x14ac:dyDescent="0.65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  <c r="Z181" s="66"/>
      <c r="AA181" s="66"/>
    </row>
    <row r="182" spans="1:27" ht="21" x14ac:dyDescent="0.65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6"/>
      <c r="AA182" s="66"/>
    </row>
    <row r="183" spans="1:27" ht="21" x14ac:dyDescent="0.65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  <c r="Z183" s="66"/>
      <c r="AA183" s="66"/>
    </row>
    <row r="184" spans="1:27" ht="21" x14ac:dyDescent="0.65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  <c r="Z184" s="66"/>
      <c r="AA184" s="66"/>
    </row>
    <row r="185" spans="1:27" ht="21" x14ac:dyDescent="0.65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  <c r="AA185" s="66"/>
    </row>
    <row r="186" spans="1:27" ht="21" x14ac:dyDescent="0.65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  <c r="AA186" s="66"/>
    </row>
    <row r="187" spans="1:27" ht="21" x14ac:dyDescent="0.65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6"/>
      <c r="AA187" s="66"/>
    </row>
    <row r="188" spans="1:27" ht="21" x14ac:dyDescent="0.65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  <c r="AA188" s="66"/>
    </row>
    <row r="189" spans="1:27" ht="21" x14ac:dyDescent="0.65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  <c r="AA189" s="66"/>
    </row>
    <row r="190" spans="1:27" ht="21" x14ac:dyDescent="0.65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  <c r="AA190" s="66"/>
    </row>
    <row r="191" spans="1:27" ht="21" x14ac:dyDescent="0.65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  <c r="AA191" s="66"/>
    </row>
    <row r="192" spans="1:27" ht="21" x14ac:dyDescent="0.65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  <c r="Z192" s="66"/>
      <c r="AA192" s="66"/>
    </row>
    <row r="193" spans="1:27" ht="21" x14ac:dyDescent="0.65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  <c r="AA193" s="66"/>
    </row>
    <row r="194" spans="1:27" ht="21" x14ac:dyDescent="0.65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  <c r="AA194" s="66"/>
    </row>
    <row r="195" spans="1:27" ht="21" x14ac:dyDescent="0.65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  <c r="AA195" s="66"/>
    </row>
    <row r="196" spans="1:27" ht="21" x14ac:dyDescent="0.65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  <c r="AA196" s="66"/>
    </row>
    <row r="197" spans="1:27" ht="21" x14ac:dyDescent="0.65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  <c r="AA197" s="66"/>
    </row>
    <row r="198" spans="1:27" ht="21" x14ac:dyDescent="0.65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  <c r="AA198" s="66"/>
    </row>
    <row r="199" spans="1:27" ht="21" x14ac:dyDescent="0.65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  <c r="AA199" s="66"/>
    </row>
    <row r="200" spans="1:27" ht="21" x14ac:dyDescent="0.65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  <c r="AA200" s="66"/>
    </row>
    <row r="201" spans="1:27" ht="21" x14ac:dyDescent="0.65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  <c r="AA201" s="66"/>
    </row>
    <row r="202" spans="1:27" ht="21" x14ac:dyDescent="0.65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  <c r="AA202" s="66"/>
    </row>
    <row r="203" spans="1:27" ht="21" x14ac:dyDescent="0.65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  <c r="AA203" s="66"/>
    </row>
    <row r="204" spans="1:27" ht="21" x14ac:dyDescent="0.65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  <c r="AA204" s="66"/>
    </row>
    <row r="205" spans="1:27" ht="21" x14ac:dyDescent="0.65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  <c r="AA205" s="66"/>
    </row>
    <row r="206" spans="1:27" ht="21" x14ac:dyDescent="0.65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  <c r="AA206" s="66"/>
    </row>
    <row r="207" spans="1:27" ht="21" x14ac:dyDescent="0.65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  <c r="AA207" s="66"/>
    </row>
    <row r="208" spans="1:27" ht="21" x14ac:dyDescent="0.65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66"/>
      <c r="L208" s="66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66"/>
      <c r="Z208" s="66"/>
      <c r="AA208" s="66"/>
    </row>
    <row r="209" spans="1:27" ht="21" x14ac:dyDescent="0.65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  <c r="Z209" s="66"/>
      <c r="AA209" s="66"/>
    </row>
    <row r="210" spans="1:27" ht="21" x14ac:dyDescent="0.65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  <c r="AA210" s="66"/>
    </row>
    <row r="211" spans="1:27" ht="21" x14ac:dyDescent="0.65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  <c r="AA211" s="66"/>
    </row>
    <row r="212" spans="1:27" ht="21" x14ac:dyDescent="0.65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  <c r="AA212" s="66"/>
    </row>
    <row r="213" spans="1:27" ht="21" x14ac:dyDescent="0.65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  <c r="AA213" s="66"/>
    </row>
    <row r="214" spans="1:27" ht="21" x14ac:dyDescent="0.65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6"/>
      <c r="L214" s="66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  <c r="Z214" s="66"/>
      <c r="AA214" s="66"/>
    </row>
    <row r="215" spans="1:27" ht="21" x14ac:dyDescent="0.65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  <c r="AA215" s="66"/>
    </row>
    <row r="216" spans="1:27" ht="21" x14ac:dyDescent="0.65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  <c r="Z216" s="66"/>
      <c r="AA216" s="66"/>
    </row>
    <row r="217" spans="1:27" ht="21" x14ac:dyDescent="0.65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  <c r="AA217" s="66"/>
    </row>
    <row r="218" spans="1:27" ht="21" x14ac:dyDescent="0.65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  <c r="AA218" s="66"/>
    </row>
    <row r="219" spans="1:27" ht="21" x14ac:dyDescent="0.65">
      <c r="A219" s="66"/>
      <c r="B219" s="66"/>
      <c r="C219" s="66"/>
      <c r="D219" s="66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  <c r="AA219" s="66"/>
    </row>
    <row r="220" spans="1:27" ht="21" x14ac:dyDescent="0.65">
      <c r="A220" s="66"/>
      <c r="B220" s="66"/>
      <c r="C220" s="66"/>
      <c r="D220" s="66"/>
      <c r="E220" s="66"/>
      <c r="F220" s="66"/>
      <c r="G220" s="66"/>
      <c r="H220" s="66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  <c r="AA220" s="66"/>
    </row>
    <row r="221" spans="1:27" ht="21" x14ac:dyDescent="0.65">
      <c r="A221" s="66"/>
      <c r="B221" s="66"/>
      <c r="C221" s="66"/>
      <c r="D221" s="66"/>
      <c r="E221" s="66"/>
      <c r="F221" s="66"/>
      <c r="G221" s="66"/>
      <c r="H221" s="66"/>
      <c r="I221" s="66"/>
      <c r="J221" s="66"/>
      <c r="K221" s="66"/>
      <c r="L221" s="66"/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  <c r="Z221" s="66"/>
      <c r="AA221" s="66"/>
    </row>
    <row r="222" spans="1:27" ht="21" x14ac:dyDescent="0.65">
      <c r="A222" s="66"/>
      <c r="B222" s="66"/>
      <c r="C222" s="66"/>
      <c r="D222" s="66"/>
      <c r="E222" s="66"/>
      <c r="F222" s="66"/>
      <c r="G222" s="66"/>
      <c r="H222" s="66"/>
      <c r="I222" s="66"/>
      <c r="J222" s="66"/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  <c r="AA222" s="66"/>
    </row>
    <row r="223" spans="1:27" ht="21" x14ac:dyDescent="0.65">
      <c r="A223" s="66"/>
      <c r="B223" s="66"/>
      <c r="C223" s="66"/>
      <c r="D223" s="66"/>
      <c r="E223" s="66"/>
      <c r="F223" s="66"/>
      <c r="G223" s="66"/>
      <c r="H223" s="66"/>
      <c r="I223" s="66"/>
      <c r="J223" s="66"/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  <c r="AA223" s="66"/>
    </row>
    <row r="224" spans="1:27" ht="21" x14ac:dyDescent="0.65">
      <c r="A224" s="66"/>
      <c r="B224" s="66"/>
      <c r="C224" s="66"/>
      <c r="D224" s="66"/>
      <c r="E224" s="66"/>
      <c r="F224" s="66"/>
      <c r="G224" s="66"/>
      <c r="H224" s="66"/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  <c r="AA224" s="66"/>
    </row>
    <row r="225" spans="1:27" ht="21" x14ac:dyDescent="0.65">
      <c r="A225" s="66"/>
      <c r="B225" s="66"/>
      <c r="C225" s="66"/>
      <c r="D225" s="66"/>
      <c r="E225" s="66"/>
      <c r="F225" s="66"/>
      <c r="G225" s="66"/>
      <c r="H225" s="66"/>
      <c r="I225" s="66"/>
      <c r="J225" s="66"/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  <c r="AA225" s="66"/>
    </row>
    <row r="226" spans="1:27" ht="21" x14ac:dyDescent="0.65">
      <c r="A226" s="66"/>
      <c r="B226" s="66"/>
      <c r="C226" s="66"/>
      <c r="D226" s="66"/>
      <c r="E226" s="66"/>
      <c r="F226" s="66"/>
      <c r="G226" s="66"/>
      <c r="H226" s="66"/>
      <c r="I226" s="66"/>
      <c r="J226" s="66"/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  <c r="AA226" s="66"/>
    </row>
    <row r="227" spans="1:27" ht="21" x14ac:dyDescent="0.65">
      <c r="A227" s="66"/>
      <c r="B227" s="66"/>
      <c r="C227" s="66"/>
      <c r="D227" s="66"/>
      <c r="E227" s="66"/>
      <c r="F227" s="66"/>
      <c r="G227" s="66"/>
      <c r="H227" s="66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  <c r="AA227" s="66"/>
    </row>
    <row r="228" spans="1:27" ht="21" x14ac:dyDescent="0.65">
      <c r="A228" s="66"/>
      <c r="B228" s="66"/>
      <c r="C228" s="66"/>
      <c r="D228" s="66"/>
      <c r="E228" s="66"/>
      <c r="F228" s="66"/>
      <c r="G228" s="66"/>
      <c r="H228" s="66"/>
      <c r="I228" s="66"/>
      <c r="J228" s="66"/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  <c r="AA228" s="66"/>
    </row>
    <row r="229" spans="1:27" ht="21" x14ac:dyDescent="0.65">
      <c r="A229" s="66"/>
      <c r="B229" s="66"/>
      <c r="C229" s="66"/>
      <c r="D229" s="66"/>
      <c r="E229" s="66"/>
      <c r="F229" s="66"/>
      <c r="G229" s="66"/>
      <c r="H229" s="66"/>
      <c r="I229" s="66"/>
      <c r="J229" s="66"/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  <c r="AA229" s="66"/>
    </row>
    <row r="230" spans="1:27" ht="21" x14ac:dyDescent="0.65">
      <c r="A230" s="66"/>
      <c r="B230" s="66"/>
      <c r="C230" s="66"/>
      <c r="D230" s="66"/>
      <c r="E230" s="66"/>
      <c r="F230" s="66"/>
      <c r="G230" s="66"/>
      <c r="H230" s="66"/>
      <c r="I230" s="66"/>
      <c r="J230" s="66"/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  <c r="AA230" s="66"/>
    </row>
    <row r="231" spans="1:27" ht="21" x14ac:dyDescent="0.65">
      <c r="A231" s="66"/>
      <c r="B231" s="66"/>
      <c r="C231" s="66"/>
      <c r="D231" s="66"/>
      <c r="E231" s="66"/>
      <c r="F231" s="66"/>
      <c r="G231" s="66"/>
      <c r="H231" s="66"/>
      <c r="I231" s="66"/>
      <c r="J231" s="66"/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66"/>
      <c r="Z231" s="66"/>
      <c r="AA231" s="66"/>
    </row>
    <row r="232" spans="1:27" ht="21" x14ac:dyDescent="0.65">
      <c r="A232" s="66"/>
      <c r="B232" s="66"/>
      <c r="C232" s="66"/>
      <c r="D232" s="66"/>
      <c r="E232" s="66"/>
      <c r="F232" s="66"/>
      <c r="G232" s="66"/>
      <c r="H232" s="66"/>
      <c r="I232" s="66"/>
      <c r="J232" s="66"/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  <c r="AA232" s="66"/>
    </row>
    <row r="233" spans="1:27" ht="21" x14ac:dyDescent="0.65">
      <c r="A233" s="66"/>
      <c r="B233" s="66"/>
      <c r="C233" s="66"/>
      <c r="D233" s="66"/>
      <c r="E233" s="66"/>
      <c r="F233" s="66"/>
      <c r="G233" s="66"/>
      <c r="H233" s="66"/>
      <c r="I233" s="66"/>
      <c r="J233" s="66"/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  <c r="AA233" s="66"/>
    </row>
    <row r="234" spans="1:27" ht="21" x14ac:dyDescent="0.65">
      <c r="A234" s="66"/>
      <c r="B234" s="66"/>
      <c r="C234" s="66"/>
      <c r="D234" s="66"/>
      <c r="E234" s="66"/>
      <c r="F234" s="66"/>
      <c r="G234" s="66"/>
      <c r="H234" s="66"/>
      <c r="I234" s="66"/>
      <c r="J234" s="66"/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  <c r="AA234" s="66"/>
    </row>
    <row r="235" spans="1:27" ht="21" x14ac:dyDescent="0.65">
      <c r="A235" s="66"/>
      <c r="B235" s="66"/>
      <c r="C235" s="66"/>
      <c r="D235" s="66"/>
      <c r="E235" s="66"/>
      <c r="F235" s="66"/>
      <c r="G235" s="66"/>
      <c r="H235" s="66"/>
      <c r="I235" s="66"/>
      <c r="J235" s="66"/>
      <c r="K235" s="66"/>
      <c r="L235" s="66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  <c r="Z235" s="66"/>
      <c r="AA235" s="66"/>
    </row>
    <row r="236" spans="1:27" ht="21" x14ac:dyDescent="0.65">
      <c r="A236" s="66"/>
      <c r="B236" s="66"/>
      <c r="C236" s="66"/>
      <c r="D236" s="66"/>
      <c r="E236" s="66"/>
      <c r="F236" s="66"/>
      <c r="G236" s="66"/>
      <c r="H236" s="66"/>
      <c r="I236" s="66"/>
      <c r="J236" s="66"/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  <c r="AA236" s="66"/>
    </row>
    <row r="237" spans="1:27" ht="21" x14ac:dyDescent="0.65">
      <c r="A237" s="66"/>
      <c r="B237" s="66"/>
      <c r="C237" s="66"/>
      <c r="D237" s="66"/>
      <c r="E237" s="66"/>
      <c r="F237" s="66"/>
      <c r="G237" s="66"/>
      <c r="H237" s="66"/>
      <c r="I237" s="66"/>
      <c r="J237" s="66"/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  <c r="AA237" s="66"/>
    </row>
    <row r="238" spans="1:27" ht="21" x14ac:dyDescent="0.65">
      <c r="A238" s="66"/>
      <c r="B238" s="66"/>
      <c r="C238" s="66"/>
      <c r="D238" s="66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  <c r="Z238" s="66"/>
      <c r="AA238" s="66"/>
    </row>
    <row r="239" spans="1:27" ht="21" x14ac:dyDescent="0.65">
      <c r="A239" s="66"/>
      <c r="B239" s="66"/>
      <c r="C239" s="66"/>
      <c r="D239" s="66"/>
      <c r="E239" s="66"/>
      <c r="F239" s="66"/>
      <c r="G239" s="66"/>
      <c r="H239" s="66"/>
      <c r="I239" s="66"/>
      <c r="J239" s="66"/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  <c r="AA239" s="66"/>
    </row>
    <row r="240" spans="1:27" ht="21" x14ac:dyDescent="0.65">
      <c r="A240" s="66"/>
      <c r="B240" s="66"/>
      <c r="C240" s="66"/>
      <c r="D240" s="66"/>
      <c r="E240" s="66"/>
      <c r="F240" s="66"/>
      <c r="G240" s="66"/>
      <c r="H240" s="66"/>
      <c r="I240" s="66"/>
      <c r="J240" s="66"/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  <c r="AA240" s="66"/>
    </row>
    <row r="241" spans="1:27" ht="21" x14ac:dyDescent="0.65">
      <c r="A241" s="66"/>
      <c r="B241" s="66"/>
      <c r="C241" s="66"/>
      <c r="D241" s="66"/>
      <c r="E241" s="66"/>
      <c r="F241" s="66"/>
      <c r="G241" s="66"/>
      <c r="H241" s="66"/>
      <c r="I241" s="66"/>
      <c r="J241" s="66"/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  <c r="AA241" s="66"/>
    </row>
    <row r="242" spans="1:27" ht="21" x14ac:dyDescent="0.65">
      <c r="A242" s="66"/>
      <c r="B242" s="66"/>
      <c r="C242" s="66"/>
      <c r="D242" s="66"/>
      <c r="E242" s="66"/>
      <c r="F242" s="66"/>
      <c r="G242" s="66"/>
      <c r="H242" s="66"/>
      <c r="I242" s="66"/>
      <c r="J242" s="66"/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  <c r="AA242" s="66"/>
    </row>
    <row r="243" spans="1:27" ht="21" x14ac:dyDescent="0.65">
      <c r="A243" s="66"/>
      <c r="B243" s="66"/>
      <c r="C243" s="66"/>
      <c r="D243" s="66"/>
      <c r="E243" s="66"/>
      <c r="F243" s="66"/>
      <c r="G243" s="66"/>
      <c r="H243" s="66"/>
      <c r="I243" s="66"/>
      <c r="J243" s="66"/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  <c r="AA243" s="66"/>
    </row>
    <row r="244" spans="1:27" ht="21" x14ac:dyDescent="0.65">
      <c r="A244" s="66"/>
      <c r="B244" s="66"/>
      <c r="C244" s="66"/>
      <c r="D244" s="66"/>
      <c r="E244" s="66"/>
      <c r="F244" s="66"/>
      <c r="G244" s="66"/>
      <c r="H244" s="66"/>
      <c r="I244" s="66"/>
      <c r="J244" s="66"/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  <c r="AA244" s="66"/>
    </row>
    <row r="245" spans="1:27" ht="21" x14ac:dyDescent="0.65">
      <c r="A245" s="66"/>
      <c r="B245" s="66"/>
      <c r="C245" s="66"/>
      <c r="D245" s="66"/>
      <c r="E245" s="66"/>
      <c r="F245" s="66"/>
      <c r="G245" s="66"/>
      <c r="H245" s="66"/>
      <c r="I245" s="66"/>
      <c r="J245" s="66"/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  <c r="AA245" s="66"/>
    </row>
    <row r="246" spans="1:27" ht="21" x14ac:dyDescent="0.65">
      <c r="A246" s="66"/>
      <c r="B246" s="66"/>
      <c r="C246" s="66"/>
      <c r="D246" s="66"/>
      <c r="E246" s="66"/>
      <c r="F246" s="66"/>
      <c r="G246" s="66"/>
      <c r="H246" s="66"/>
      <c r="I246" s="66"/>
      <c r="J246" s="66"/>
      <c r="K246" s="66"/>
      <c r="L246" s="66"/>
      <c r="M246" s="66"/>
      <c r="N246" s="66"/>
      <c r="O246" s="66"/>
      <c r="P246" s="66"/>
      <c r="Q246" s="66"/>
      <c r="R246" s="66"/>
      <c r="S246" s="66"/>
      <c r="T246" s="66"/>
      <c r="U246" s="66"/>
      <c r="V246" s="66"/>
      <c r="W246" s="66"/>
      <c r="X246" s="66"/>
      <c r="Y246" s="66"/>
      <c r="Z246" s="66"/>
      <c r="AA246" s="66"/>
    </row>
    <row r="247" spans="1:27" ht="21" x14ac:dyDescent="0.65">
      <c r="A247" s="66"/>
      <c r="B247" s="66"/>
      <c r="C247" s="66"/>
      <c r="D247" s="66"/>
      <c r="E247" s="66"/>
      <c r="F247" s="66"/>
      <c r="G247" s="66"/>
      <c r="H247" s="66"/>
      <c r="I247" s="66"/>
      <c r="J247" s="66"/>
      <c r="K247" s="66"/>
      <c r="L247" s="66"/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6"/>
      <c r="X247" s="66"/>
      <c r="Y247" s="66"/>
      <c r="Z247" s="66"/>
      <c r="AA247" s="66"/>
    </row>
    <row r="248" spans="1:27" ht="21" x14ac:dyDescent="0.65">
      <c r="A248" s="66"/>
      <c r="B248" s="66"/>
      <c r="C248" s="66"/>
      <c r="D248" s="66"/>
      <c r="E248" s="66"/>
      <c r="F248" s="66"/>
      <c r="G248" s="66"/>
      <c r="H248" s="66"/>
      <c r="I248" s="66"/>
      <c r="J248" s="66"/>
      <c r="K248" s="66"/>
      <c r="L248" s="66"/>
      <c r="M248" s="66"/>
      <c r="N248" s="66"/>
      <c r="O248" s="66"/>
      <c r="P248" s="66"/>
      <c r="Q248" s="66"/>
      <c r="R248" s="66"/>
      <c r="S248" s="66"/>
      <c r="T248" s="66"/>
      <c r="U248" s="66"/>
      <c r="V248" s="66"/>
      <c r="W248" s="66"/>
      <c r="X248" s="66"/>
      <c r="Y248" s="66"/>
      <c r="Z248" s="66"/>
      <c r="AA248" s="66"/>
    </row>
    <row r="249" spans="1:27" ht="21" x14ac:dyDescent="0.65">
      <c r="A249" s="66"/>
      <c r="B249" s="66"/>
      <c r="C249" s="66"/>
      <c r="D249" s="66"/>
      <c r="E249" s="66"/>
      <c r="F249" s="66"/>
      <c r="G249" s="66"/>
      <c r="H249" s="66"/>
      <c r="I249" s="66"/>
      <c r="J249" s="66"/>
      <c r="K249" s="66"/>
      <c r="L249" s="66"/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66"/>
      <c r="X249" s="66"/>
      <c r="Y249" s="66"/>
      <c r="Z249" s="66"/>
      <c r="AA249" s="66"/>
    </row>
    <row r="250" spans="1:27" ht="21" x14ac:dyDescent="0.65">
      <c r="A250" s="66"/>
      <c r="B250" s="66"/>
      <c r="C250" s="66"/>
      <c r="D250" s="66"/>
      <c r="E250" s="66"/>
      <c r="F250" s="66"/>
      <c r="G250" s="66"/>
      <c r="H250" s="66"/>
      <c r="I250" s="66"/>
      <c r="J250" s="66"/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  <c r="Z250" s="66"/>
      <c r="AA250" s="66"/>
    </row>
    <row r="251" spans="1:27" ht="21" x14ac:dyDescent="0.65">
      <c r="A251" s="66"/>
      <c r="B251" s="66"/>
      <c r="C251" s="66"/>
      <c r="D251" s="66"/>
      <c r="E251" s="66"/>
      <c r="F251" s="66"/>
      <c r="G251" s="66"/>
      <c r="H251" s="66"/>
      <c r="I251" s="66"/>
      <c r="J251" s="66"/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  <c r="AA251" s="66"/>
    </row>
    <row r="252" spans="1:27" ht="21" x14ac:dyDescent="0.65">
      <c r="A252" s="66"/>
      <c r="B252" s="66"/>
      <c r="C252" s="66"/>
      <c r="D252" s="66"/>
      <c r="E252" s="66"/>
      <c r="F252" s="66"/>
      <c r="G252" s="66"/>
      <c r="H252" s="66"/>
      <c r="I252" s="66"/>
      <c r="J252" s="66"/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  <c r="Z252" s="66"/>
      <c r="AA252" s="66"/>
    </row>
    <row r="253" spans="1:27" ht="21" x14ac:dyDescent="0.65">
      <c r="A253" s="66"/>
      <c r="B253" s="66"/>
      <c r="C253" s="66"/>
      <c r="D253" s="66"/>
      <c r="E253" s="66"/>
      <c r="F253" s="66"/>
      <c r="G253" s="66"/>
      <c r="H253" s="66"/>
      <c r="I253" s="66"/>
      <c r="J253" s="66"/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  <c r="AA253" s="66"/>
    </row>
    <row r="254" spans="1:27" ht="21" x14ac:dyDescent="0.65">
      <c r="A254" s="66"/>
      <c r="B254" s="66"/>
      <c r="C254" s="66"/>
      <c r="D254" s="66"/>
      <c r="E254" s="66"/>
      <c r="F254" s="66"/>
      <c r="G254" s="66"/>
      <c r="H254" s="66"/>
      <c r="I254" s="66"/>
      <c r="J254" s="66"/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  <c r="AA254" s="66"/>
    </row>
    <row r="255" spans="1:27" ht="21" x14ac:dyDescent="0.65">
      <c r="A255" s="66"/>
      <c r="B255" s="66"/>
      <c r="C255" s="66"/>
      <c r="D255" s="66"/>
      <c r="E255" s="66"/>
      <c r="F255" s="66"/>
      <c r="G255" s="66"/>
      <c r="H255" s="66"/>
      <c r="I255" s="66"/>
      <c r="J255" s="66"/>
      <c r="K255" s="66"/>
      <c r="L255" s="66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66"/>
      <c r="Z255" s="66"/>
      <c r="AA255" s="66"/>
    </row>
    <row r="256" spans="1:27" ht="21" x14ac:dyDescent="0.65">
      <c r="A256" s="66"/>
      <c r="B256" s="66"/>
      <c r="C256" s="66"/>
      <c r="D256" s="66"/>
      <c r="E256" s="66"/>
      <c r="F256" s="66"/>
      <c r="G256" s="66"/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  <c r="AA256" s="66"/>
    </row>
    <row r="257" spans="1:27" ht="21" x14ac:dyDescent="0.65">
      <c r="A257" s="66"/>
      <c r="B257" s="66"/>
      <c r="C257" s="66"/>
      <c r="D257" s="66"/>
      <c r="E257" s="66"/>
      <c r="F257" s="66"/>
      <c r="G257" s="66"/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  <c r="AA257" s="66"/>
    </row>
    <row r="258" spans="1:27" ht="21" x14ac:dyDescent="0.65">
      <c r="A258" s="66"/>
      <c r="B258" s="66"/>
      <c r="C258" s="66"/>
      <c r="D258" s="66"/>
      <c r="E258" s="66"/>
      <c r="F258" s="66"/>
      <c r="G258" s="66"/>
      <c r="H258" s="66"/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  <c r="Z258" s="66"/>
      <c r="AA258" s="66"/>
    </row>
    <row r="259" spans="1:27" ht="21" x14ac:dyDescent="0.65">
      <c r="A259" s="66"/>
      <c r="B259" s="66"/>
      <c r="C259" s="66"/>
      <c r="D259" s="66"/>
      <c r="E259" s="66"/>
      <c r="F259" s="66"/>
      <c r="G259" s="66"/>
      <c r="H259" s="66"/>
      <c r="I259" s="66"/>
      <c r="J259" s="66"/>
      <c r="K259" s="66"/>
      <c r="L259" s="66"/>
      <c r="M259" s="66"/>
      <c r="N259" s="66"/>
      <c r="O259" s="66"/>
      <c r="P259" s="66"/>
      <c r="Q259" s="66"/>
      <c r="R259" s="66"/>
      <c r="S259" s="66"/>
      <c r="T259" s="66"/>
      <c r="U259" s="66"/>
      <c r="V259" s="66"/>
      <c r="W259" s="66"/>
      <c r="X259" s="66"/>
      <c r="Y259" s="66"/>
      <c r="Z259" s="66"/>
      <c r="AA259" s="66"/>
    </row>
    <row r="260" spans="1:27" ht="21" x14ac:dyDescent="0.65">
      <c r="A260" s="66"/>
      <c r="B260" s="66"/>
      <c r="C260" s="66"/>
      <c r="D260" s="66"/>
      <c r="E260" s="66"/>
      <c r="F260" s="66"/>
      <c r="G260" s="66"/>
      <c r="H260" s="66"/>
      <c r="I260" s="66"/>
      <c r="J260" s="66"/>
      <c r="K260" s="66"/>
      <c r="L260" s="66"/>
      <c r="M260" s="66"/>
      <c r="N260" s="66"/>
      <c r="O260" s="66"/>
      <c r="P260" s="66"/>
      <c r="Q260" s="66"/>
      <c r="R260" s="66"/>
      <c r="S260" s="66"/>
      <c r="T260" s="66"/>
      <c r="U260" s="66"/>
      <c r="V260" s="66"/>
      <c r="W260" s="66"/>
      <c r="X260" s="66"/>
      <c r="Y260" s="66"/>
      <c r="Z260" s="66"/>
      <c r="AA260" s="66"/>
    </row>
    <row r="261" spans="1:27" ht="21" x14ac:dyDescent="0.65">
      <c r="A261" s="66"/>
      <c r="B261" s="66"/>
      <c r="C261" s="66"/>
      <c r="D261" s="66"/>
      <c r="E261" s="66"/>
      <c r="F261" s="66"/>
      <c r="G261" s="66"/>
      <c r="H261" s="66"/>
      <c r="I261" s="66"/>
      <c r="J261" s="66"/>
      <c r="K261" s="66"/>
      <c r="L261" s="66"/>
      <c r="M261" s="66"/>
      <c r="N261" s="66"/>
      <c r="O261" s="66"/>
      <c r="P261" s="66"/>
      <c r="Q261" s="66"/>
      <c r="R261" s="66"/>
      <c r="S261" s="66"/>
      <c r="T261" s="66"/>
      <c r="U261" s="66"/>
      <c r="V261" s="66"/>
      <c r="W261" s="66"/>
      <c r="X261" s="66"/>
      <c r="Y261" s="66"/>
      <c r="Z261" s="66"/>
      <c r="AA261" s="66"/>
    </row>
    <row r="262" spans="1:27" ht="21" x14ac:dyDescent="0.65">
      <c r="A262" s="66"/>
      <c r="B262" s="66"/>
      <c r="C262" s="66"/>
      <c r="D262" s="66"/>
      <c r="E262" s="66"/>
      <c r="F262" s="66"/>
      <c r="G262" s="66"/>
      <c r="H262" s="66"/>
      <c r="I262" s="66"/>
      <c r="J262" s="66"/>
      <c r="K262" s="66"/>
      <c r="L262" s="66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  <c r="Z262" s="66"/>
      <c r="AA262" s="66"/>
    </row>
    <row r="263" spans="1:27" ht="21" x14ac:dyDescent="0.65">
      <c r="A263" s="66"/>
      <c r="B263" s="66"/>
      <c r="C263" s="66"/>
      <c r="D263" s="66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  <c r="AA263" s="66"/>
    </row>
    <row r="264" spans="1:27" ht="21" x14ac:dyDescent="0.65">
      <c r="A264" s="66"/>
      <c r="B264" s="66"/>
      <c r="C264" s="66"/>
      <c r="D264" s="66"/>
      <c r="E264" s="66"/>
      <c r="F264" s="66"/>
      <c r="G264" s="66"/>
      <c r="H264" s="66"/>
      <c r="I264" s="66"/>
      <c r="J264" s="66"/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  <c r="AA264" s="66"/>
    </row>
    <row r="265" spans="1:27" ht="21" x14ac:dyDescent="0.65">
      <c r="A265" s="66"/>
      <c r="B265" s="66"/>
      <c r="C265" s="66"/>
      <c r="D265" s="66"/>
      <c r="E265" s="66"/>
      <c r="F265" s="66"/>
      <c r="G265" s="66"/>
      <c r="H265" s="66"/>
      <c r="I265" s="66"/>
      <c r="J265" s="66"/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  <c r="AA265" s="66"/>
    </row>
    <row r="266" spans="1:27" ht="21" x14ac:dyDescent="0.65">
      <c r="A266" s="66"/>
      <c r="B266" s="66"/>
      <c r="C266" s="66"/>
      <c r="D266" s="66"/>
      <c r="E266" s="66"/>
      <c r="F266" s="66"/>
      <c r="G266" s="66"/>
      <c r="H266" s="66"/>
      <c r="I266" s="66"/>
      <c r="J266" s="66"/>
      <c r="K266" s="66"/>
      <c r="L266" s="66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  <c r="AA266" s="66"/>
    </row>
    <row r="267" spans="1:27" ht="21" x14ac:dyDescent="0.65">
      <c r="A267" s="66"/>
      <c r="B267" s="66"/>
      <c r="C267" s="66"/>
      <c r="D267" s="66"/>
      <c r="E267" s="66"/>
      <c r="F267" s="66"/>
      <c r="G267" s="66"/>
      <c r="H267" s="66"/>
      <c r="I267" s="66"/>
      <c r="J267" s="66"/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  <c r="AA267" s="66"/>
    </row>
    <row r="268" spans="1:27" ht="21" x14ac:dyDescent="0.65">
      <c r="A268" s="66"/>
      <c r="B268" s="66"/>
      <c r="C268" s="66"/>
      <c r="D268" s="66"/>
      <c r="E268" s="66"/>
      <c r="F268" s="66"/>
      <c r="G268" s="66"/>
      <c r="H268" s="66"/>
      <c r="I268" s="66"/>
      <c r="J268" s="66"/>
      <c r="K268" s="66"/>
      <c r="L268" s="66"/>
      <c r="M268" s="66"/>
      <c r="N268" s="66"/>
      <c r="O268" s="66"/>
      <c r="P268" s="66"/>
      <c r="Q268" s="66"/>
      <c r="R268" s="66"/>
      <c r="S268" s="66"/>
      <c r="T268" s="66"/>
      <c r="U268" s="66"/>
      <c r="V268" s="66"/>
      <c r="W268" s="66"/>
      <c r="X268" s="66"/>
      <c r="Y268" s="66"/>
      <c r="Z268" s="66"/>
      <c r="AA268" s="66"/>
    </row>
    <row r="269" spans="1:27" ht="21" x14ac:dyDescent="0.65">
      <c r="A269" s="66"/>
      <c r="B269" s="66"/>
      <c r="C269" s="66"/>
      <c r="D269" s="66"/>
      <c r="E269" s="66"/>
      <c r="F269" s="66"/>
      <c r="G269" s="66"/>
      <c r="H269" s="66"/>
      <c r="I269" s="66"/>
      <c r="J269" s="66"/>
      <c r="K269" s="66"/>
      <c r="L269" s="66"/>
      <c r="M269" s="66"/>
      <c r="N269" s="66"/>
      <c r="O269" s="66"/>
      <c r="P269" s="66"/>
      <c r="Q269" s="66"/>
      <c r="R269" s="66"/>
      <c r="S269" s="66"/>
      <c r="T269" s="66"/>
      <c r="U269" s="66"/>
      <c r="V269" s="66"/>
      <c r="W269" s="66"/>
      <c r="X269" s="66"/>
      <c r="Y269" s="66"/>
      <c r="Z269" s="66"/>
      <c r="AA269" s="66"/>
    </row>
    <row r="270" spans="1:27" ht="21" x14ac:dyDescent="0.65">
      <c r="A270" s="66"/>
      <c r="B270" s="66"/>
      <c r="C270" s="66"/>
      <c r="D270" s="66"/>
      <c r="E270" s="66"/>
      <c r="F270" s="66"/>
      <c r="G270" s="66"/>
      <c r="H270" s="66"/>
      <c r="I270" s="66"/>
      <c r="J270" s="66"/>
      <c r="K270" s="66"/>
      <c r="L270" s="66"/>
      <c r="M270" s="66"/>
      <c r="N270" s="66"/>
      <c r="O270" s="66"/>
      <c r="P270" s="66"/>
      <c r="Q270" s="66"/>
      <c r="R270" s="66"/>
      <c r="S270" s="66"/>
      <c r="T270" s="66"/>
      <c r="U270" s="66"/>
      <c r="V270" s="66"/>
      <c r="W270" s="66"/>
      <c r="X270" s="66"/>
      <c r="Y270" s="66"/>
      <c r="Z270" s="66"/>
      <c r="AA270" s="66"/>
    </row>
    <row r="271" spans="1:27" ht="21" x14ac:dyDescent="0.65">
      <c r="A271" s="66"/>
      <c r="B271" s="66"/>
      <c r="C271" s="66"/>
      <c r="D271" s="66"/>
      <c r="E271" s="66"/>
      <c r="F271" s="66"/>
      <c r="G271" s="66"/>
      <c r="H271" s="66"/>
      <c r="I271" s="66"/>
      <c r="J271" s="66"/>
      <c r="K271" s="66"/>
      <c r="L271" s="66"/>
      <c r="M271" s="66"/>
      <c r="N271" s="66"/>
      <c r="O271" s="66"/>
      <c r="P271" s="66"/>
      <c r="Q271" s="66"/>
      <c r="R271" s="66"/>
      <c r="S271" s="66"/>
      <c r="T271" s="66"/>
      <c r="U271" s="66"/>
      <c r="V271" s="66"/>
      <c r="W271" s="66"/>
      <c r="X271" s="66"/>
      <c r="Y271" s="66"/>
      <c r="Z271" s="66"/>
      <c r="AA271" s="66"/>
    </row>
    <row r="272" spans="1:27" ht="21" x14ac:dyDescent="0.65">
      <c r="A272" s="66"/>
      <c r="B272" s="66"/>
      <c r="C272" s="66"/>
      <c r="D272" s="66"/>
      <c r="E272" s="66"/>
      <c r="F272" s="66"/>
      <c r="G272" s="66"/>
      <c r="H272" s="66"/>
      <c r="I272" s="66"/>
      <c r="J272" s="66"/>
      <c r="K272" s="66"/>
      <c r="L272" s="66"/>
      <c r="M272" s="66"/>
      <c r="N272" s="66"/>
      <c r="O272" s="66"/>
      <c r="P272" s="66"/>
      <c r="Q272" s="66"/>
      <c r="R272" s="66"/>
      <c r="S272" s="66"/>
      <c r="T272" s="66"/>
      <c r="U272" s="66"/>
      <c r="V272" s="66"/>
      <c r="W272" s="66"/>
      <c r="X272" s="66"/>
      <c r="Y272" s="66"/>
      <c r="Z272" s="66"/>
      <c r="AA272" s="66"/>
    </row>
    <row r="273" spans="1:27" ht="21" x14ac:dyDescent="0.65">
      <c r="A273" s="66"/>
      <c r="B273" s="66"/>
      <c r="C273" s="66"/>
      <c r="D273" s="66"/>
      <c r="E273" s="66"/>
      <c r="F273" s="66"/>
      <c r="G273" s="66"/>
      <c r="H273" s="66"/>
      <c r="I273" s="66"/>
      <c r="J273" s="66"/>
      <c r="K273" s="66"/>
      <c r="L273" s="66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  <c r="Z273" s="66"/>
      <c r="AA273" s="66"/>
    </row>
    <row r="274" spans="1:27" ht="21" x14ac:dyDescent="0.65">
      <c r="A274" s="66"/>
      <c r="B274" s="66"/>
      <c r="C274" s="66"/>
      <c r="D274" s="66"/>
      <c r="E274" s="66"/>
      <c r="F274" s="66"/>
      <c r="G274" s="66"/>
      <c r="H274" s="66"/>
      <c r="I274" s="66"/>
      <c r="J274" s="66"/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  <c r="AA274" s="66"/>
    </row>
    <row r="275" spans="1:27" ht="21" x14ac:dyDescent="0.65">
      <c r="A275" s="66"/>
      <c r="B275" s="66"/>
      <c r="C275" s="66"/>
      <c r="D275" s="66"/>
      <c r="E275" s="66"/>
      <c r="F275" s="66"/>
      <c r="G275" s="66"/>
      <c r="H275" s="66"/>
      <c r="I275" s="66"/>
      <c r="J275" s="66"/>
      <c r="K275" s="66"/>
      <c r="L275" s="66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  <c r="X275" s="66"/>
      <c r="Y275" s="66"/>
      <c r="Z275" s="66"/>
      <c r="AA275" s="66"/>
    </row>
    <row r="276" spans="1:27" ht="21" x14ac:dyDescent="0.65">
      <c r="A276" s="66"/>
      <c r="B276" s="66"/>
      <c r="C276" s="66"/>
      <c r="D276" s="66"/>
      <c r="E276" s="66"/>
      <c r="F276" s="66"/>
      <c r="G276" s="66"/>
      <c r="H276" s="66"/>
      <c r="I276" s="66"/>
      <c r="J276" s="66"/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  <c r="AA276" s="66"/>
    </row>
    <row r="277" spans="1:27" ht="21" x14ac:dyDescent="0.65">
      <c r="A277" s="66"/>
      <c r="B277" s="66"/>
      <c r="C277" s="66"/>
      <c r="D277" s="66"/>
      <c r="E277" s="66"/>
      <c r="F277" s="66"/>
      <c r="G277" s="66"/>
      <c r="H277" s="66"/>
      <c r="I277" s="66"/>
      <c r="J277" s="66"/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  <c r="AA277" s="66"/>
    </row>
    <row r="278" spans="1:27" ht="21" x14ac:dyDescent="0.65">
      <c r="A278" s="66"/>
      <c r="B278" s="66"/>
      <c r="C278" s="66"/>
      <c r="D278" s="66"/>
      <c r="E278" s="66"/>
      <c r="F278" s="66"/>
      <c r="G278" s="66"/>
      <c r="H278" s="66"/>
      <c r="I278" s="66"/>
      <c r="J278" s="66"/>
      <c r="K278" s="66"/>
      <c r="L278" s="66"/>
      <c r="M278" s="66"/>
      <c r="N278" s="66"/>
      <c r="O278" s="66"/>
      <c r="P278" s="66"/>
      <c r="Q278" s="66"/>
      <c r="R278" s="66"/>
      <c r="S278" s="66"/>
      <c r="T278" s="66"/>
      <c r="U278" s="66"/>
      <c r="V278" s="66"/>
      <c r="W278" s="66"/>
      <c r="X278" s="66"/>
      <c r="Y278" s="66"/>
      <c r="Z278" s="66"/>
      <c r="AA278" s="66"/>
    </row>
    <row r="279" spans="1:27" ht="21" x14ac:dyDescent="0.65">
      <c r="A279" s="66"/>
      <c r="B279" s="66"/>
      <c r="C279" s="66"/>
      <c r="D279" s="66"/>
      <c r="E279" s="66"/>
      <c r="F279" s="66"/>
      <c r="G279" s="66"/>
      <c r="H279" s="66"/>
      <c r="I279" s="66"/>
      <c r="J279" s="66"/>
      <c r="K279" s="66"/>
      <c r="L279" s="66"/>
      <c r="M279" s="66"/>
      <c r="N279" s="66"/>
      <c r="O279" s="66"/>
      <c r="P279" s="66"/>
      <c r="Q279" s="66"/>
      <c r="R279" s="66"/>
      <c r="S279" s="66"/>
      <c r="T279" s="66"/>
      <c r="U279" s="66"/>
      <c r="V279" s="66"/>
      <c r="W279" s="66"/>
      <c r="X279" s="66"/>
      <c r="Y279" s="66"/>
      <c r="Z279" s="66"/>
      <c r="AA279" s="66"/>
    </row>
    <row r="280" spans="1:27" ht="21" x14ac:dyDescent="0.65">
      <c r="A280" s="66"/>
      <c r="B280" s="66"/>
      <c r="C280" s="66"/>
      <c r="D280" s="66"/>
      <c r="E280" s="66"/>
      <c r="F280" s="66"/>
      <c r="G280" s="66"/>
      <c r="H280" s="66"/>
      <c r="I280" s="66"/>
      <c r="J280" s="66"/>
      <c r="K280" s="66"/>
      <c r="L280" s="66"/>
      <c r="M280" s="66"/>
      <c r="N280" s="66"/>
      <c r="O280" s="66"/>
      <c r="P280" s="66"/>
      <c r="Q280" s="66"/>
      <c r="R280" s="66"/>
      <c r="S280" s="66"/>
      <c r="T280" s="66"/>
      <c r="U280" s="66"/>
      <c r="V280" s="66"/>
      <c r="W280" s="66"/>
      <c r="X280" s="66"/>
      <c r="Y280" s="66"/>
      <c r="Z280" s="66"/>
      <c r="AA280" s="66"/>
    </row>
    <row r="281" spans="1:27" ht="21" x14ac:dyDescent="0.65">
      <c r="A281" s="66"/>
      <c r="B281" s="66"/>
      <c r="C281" s="66"/>
      <c r="D281" s="66"/>
      <c r="E281" s="66"/>
      <c r="F281" s="66"/>
      <c r="G281" s="66"/>
      <c r="H281" s="66"/>
      <c r="I281" s="66"/>
      <c r="J281" s="66"/>
      <c r="K281" s="66"/>
      <c r="L281" s="66"/>
      <c r="M281" s="66"/>
      <c r="N281" s="66"/>
      <c r="O281" s="66"/>
      <c r="P281" s="66"/>
      <c r="Q281" s="66"/>
      <c r="R281" s="66"/>
      <c r="S281" s="66"/>
      <c r="T281" s="66"/>
      <c r="U281" s="66"/>
      <c r="V281" s="66"/>
      <c r="W281" s="66"/>
      <c r="X281" s="66"/>
      <c r="Y281" s="66"/>
      <c r="Z281" s="66"/>
      <c r="AA281" s="66"/>
    </row>
    <row r="282" spans="1:27" ht="21" x14ac:dyDescent="0.65">
      <c r="A282" s="66"/>
      <c r="B282" s="66"/>
      <c r="C282" s="66"/>
      <c r="D282" s="66"/>
      <c r="E282" s="66"/>
      <c r="F282" s="66"/>
      <c r="G282" s="66"/>
      <c r="H282" s="66"/>
      <c r="I282" s="66"/>
      <c r="J282" s="66"/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  <c r="AA282" s="66"/>
    </row>
    <row r="283" spans="1:27" ht="21" x14ac:dyDescent="0.65">
      <c r="A283" s="66"/>
      <c r="B283" s="66"/>
      <c r="C283" s="66"/>
      <c r="D283" s="66"/>
      <c r="E283" s="66"/>
      <c r="F283" s="66"/>
      <c r="G283" s="66"/>
      <c r="H283" s="66"/>
      <c r="I283" s="66"/>
      <c r="J283" s="66"/>
      <c r="K283" s="66"/>
      <c r="L283" s="66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  <c r="Z283" s="66"/>
      <c r="AA283" s="66"/>
    </row>
    <row r="284" spans="1:27" ht="21" x14ac:dyDescent="0.65">
      <c r="A284" s="66"/>
      <c r="B284" s="66"/>
      <c r="C284" s="66"/>
      <c r="D284" s="66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66"/>
      <c r="P284" s="66"/>
      <c r="Q284" s="66"/>
      <c r="R284" s="66"/>
      <c r="S284" s="66"/>
      <c r="T284" s="66"/>
      <c r="U284" s="66"/>
      <c r="V284" s="66"/>
      <c r="W284" s="66"/>
      <c r="X284" s="66"/>
      <c r="Y284" s="66"/>
      <c r="Z284" s="66"/>
      <c r="AA284" s="66"/>
    </row>
    <row r="285" spans="1:27" ht="21" x14ac:dyDescent="0.65">
      <c r="A285" s="66"/>
      <c r="B285" s="66"/>
      <c r="C285" s="66"/>
      <c r="D285" s="66"/>
      <c r="E285" s="66"/>
      <c r="F285" s="66"/>
      <c r="G285" s="66"/>
      <c r="H285" s="66"/>
      <c r="I285" s="66"/>
      <c r="J285" s="66"/>
      <c r="K285" s="66"/>
      <c r="L285" s="66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  <c r="X285" s="66"/>
      <c r="Y285" s="66"/>
      <c r="Z285" s="66"/>
      <c r="AA285" s="66"/>
    </row>
    <row r="286" spans="1:27" ht="21" x14ac:dyDescent="0.65">
      <c r="A286" s="66"/>
      <c r="B286" s="66"/>
      <c r="C286" s="66"/>
      <c r="D286" s="66"/>
      <c r="E286" s="66"/>
      <c r="F286" s="66"/>
      <c r="G286" s="66"/>
      <c r="H286" s="66"/>
      <c r="I286" s="66"/>
      <c r="J286" s="66"/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  <c r="AA286" s="66"/>
    </row>
    <row r="287" spans="1:27" ht="21" x14ac:dyDescent="0.65">
      <c r="A287" s="66"/>
      <c r="B287" s="66"/>
      <c r="C287" s="66"/>
      <c r="D287" s="66"/>
      <c r="E287" s="66"/>
      <c r="F287" s="66"/>
      <c r="G287" s="66"/>
      <c r="H287" s="66"/>
      <c r="I287" s="66"/>
      <c r="J287" s="66"/>
      <c r="K287" s="66"/>
      <c r="L287" s="66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  <c r="Z287" s="66"/>
      <c r="AA287" s="66"/>
    </row>
    <row r="288" spans="1:27" ht="21" x14ac:dyDescent="0.65">
      <c r="A288" s="66"/>
      <c r="B288" s="66"/>
      <c r="C288" s="66"/>
      <c r="D288" s="66"/>
      <c r="E288" s="66"/>
      <c r="F288" s="66"/>
      <c r="G288" s="66"/>
      <c r="H288" s="66"/>
      <c r="I288" s="66"/>
      <c r="J288" s="66"/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  <c r="AA288" s="66"/>
    </row>
    <row r="289" spans="1:27" ht="21" x14ac:dyDescent="0.65">
      <c r="A289" s="66"/>
      <c r="B289" s="66"/>
      <c r="C289" s="66"/>
      <c r="D289" s="66"/>
      <c r="E289" s="66"/>
      <c r="F289" s="66"/>
      <c r="G289" s="66"/>
      <c r="H289" s="66"/>
      <c r="I289" s="66"/>
      <c r="J289" s="66"/>
      <c r="K289" s="66"/>
      <c r="L289" s="66"/>
      <c r="M289" s="66"/>
      <c r="N289" s="66"/>
      <c r="O289" s="66"/>
      <c r="P289" s="66"/>
      <c r="Q289" s="66"/>
      <c r="R289" s="66"/>
      <c r="S289" s="66"/>
      <c r="T289" s="66"/>
      <c r="U289" s="66"/>
      <c r="V289" s="66"/>
      <c r="W289" s="66"/>
      <c r="X289" s="66"/>
      <c r="Y289" s="66"/>
      <c r="Z289" s="66"/>
      <c r="AA289" s="66"/>
    </row>
    <row r="290" spans="1:27" ht="21" x14ac:dyDescent="0.65">
      <c r="A290" s="66"/>
      <c r="B290" s="66"/>
      <c r="C290" s="66"/>
      <c r="D290" s="66"/>
      <c r="E290" s="66"/>
      <c r="F290" s="66"/>
      <c r="G290" s="66"/>
      <c r="H290" s="66"/>
      <c r="I290" s="66"/>
      <c r="J290" s="66"/>
      <c r="K290" s="66"/>
      <c r="L290" s="66"/>
      <c r="M290" s="66"/>
      <c r="N290" s="66"/>
      <c r="O290" s="66"/>
      <c r="P290" s="66"/>
      <c r="Q290" s="66"/>
      <c r="R290" s="66"/>
      <c r="S290" s="66"/>
      <c r="T290" s="66"/>
      <c r="U290" s="66"/>
      <c r="V290" s="66"/>
      <c r="W290" s="66"/>
      <c r="X290" s="66"/>
      <c r="Y290" s="66"/>
      <c r="Z290" s="66"/>
      <c r="AA290" s="66"/>
    </row>
    <row r="291" spans="1:27" ht="21" x14ac:dyDescent="0.65">
      <c r="A291" s="66"/>
      <c r="B291" s="66"/>
      <c r="C291" s="66"/>
      <c r="D291" s="66"/>
      <c r="E291" s="66"/>
      <c r="F291" s="66"/>
      <c r="G291" s="66"/>
      <c r="H291" s="66"/>
      <c r="I291" s="66"/>
      <c r="J291" s="66"/>
      <c r="K291" s="66"/>
      <c r="L291" s="66"/>
      <c r="M291" s="66"/>
      <c r="N291" s="66"/>
      <c r="O291" s="66"/>
      <c r="P291" s="66"/>
      <c r="Q291" s="66"/>
      <c r="R291" s="66"/>
      <c r="S291" s="66"/>
      <c r="T291" s="66"/>
      <c r="U291" s="66"/>
      <c r="V291" s="66"/>
      <c r="W291" s="66"/>
      <c r="X291" s="66"/>
      <c r="Y291" s="66"/>
      <c r="Z291" s="66"/>
      <c r="AA291" s="66"/>
    </row>
    <row r="292" spans="1:27" ht="21" x14ac:dyDescent="0.65">
      <c r="A292" s="66"/>
      <c r="B292" s="66"/>
      <c r="C292" s="66"/>
      <c r="D292" s="66"/>
      <c r="E292" s="66"/>
      <c r="F292" s="66"/>
      <c r="G292" s="66"/>
      <c r="H292" s="66"/>
      <c r="I292" s="66"/>
      <c r="J292" s="66"/>
      <c r="K292" s="66"/>
      <c r="L292" s="66"/>
      <c r="M292" s="66"/>
      <c r="N292" s="66"/>
      <c r="O292" s="66"/>
      <c r="P292" s="66"/>
      <c r="Q292" s="66"/>
      <c r="R292" s="66"/>
      <c r="S292" s="66"/>
      <c r="T292" s="66"/>
      <c r="U292" s="66"/>
      <c r="V292" s="66"/>
      <c r="W292" s="66"/>
      <c r="X292" s="66"/>
      <c r="Y292" s="66"/>
      <c r="Z292" s="66"/>
      <c r="AA292" s="66"/>
    </row>
    <row r="293" spans="1:27" ht="21" x14ac:dyDescent="0.65">
      <c r="A293" s="66"/>
      <c r="B293" s="66"/>
      <c r="C293" s="66"/>
      <c r="D293" s="66"/>
      <c r="E293" s="66"/>
      <c r="F293" s="66"/>
      <c r="G293" s="66"/>
      <c r="H293" s="66"/>
      <c r="I293" s="66"/>
      <c r="J293" s="66"/>
      <c r="K293" s="66"/>
      <c r="L293" s="66"/>
      <c r="M293" s="66"/>
      <c r="N293" s="66"/>
      <c r="O293" s="66"/>
      <c r="P293" s="66"/>
      <c r="Q293" s="66"/>
      <c r="R293" s="66"/>
      <c r="S293" s="66"/>
      <c r="T293" s="66"/>
      <c r="U293" s="66"/>
      <c r="V293" s="66"/>
      <c r="W293" s="66"/>
      <c r="X293" s="66"/>
      <c r="Y293" s="66"/>
      <c r="Z293" s="66"/>
      <c r="AA293" s="66"/>
    </row>
    <row r="294" spans="1:27" ht="21" x14ac:dyDescent="0.65">
      <c r="A294" s="66"/>
      <c r="B294" s="66"/>
      <c r="C294" s="66"/>
      <c r="D294" s="66"/>
      <c r="E294" s="66"/>
      <c r="F294" s="66"/>
      <c r="G294" s="66"/>
      <c r="H294" s="66"/>
      <c r="I294" s="66"/>
      <c r="J294" s="66"/>
      <c r="K294" s="66"/>
      <c r="L294" s="66"/>
      <c r="M294" s="66"/>
      <c r="N294" s="66"/>
      <c r="O294" s="66"/>
      <c r="P294" s="66"/>
      <c r="Q294" s="66"/>
      <c r="R294" s="66"/>
      <c r="S294" s="66"/>
      <c r="T294" s="66"/>
      <c r="U294" s="66"/>
      <c r="V294" s="66"/>
      <c r="W294" s="66"/>
      <c r="X294" s="66"/>
      <c r="Y294" s="66"/>
      <c r="Z294" s="66"/>
      <c r="AA294" s="66"/>
    </row>
    <row r="295" spans="1:27" ht="21" x14ac:dyDescent="0.65">
      <c r="A295" s="66"/>
      <c r="B295" s="66"/>
      <c r="C295" s="66"/>
      <c r="D295" s="66"/>
      <c r="E295" s="66"/>
      <c r="F295" s="66"/>
      <c r="G295" s="66"/>
      <c r="H295" s="66"/>
      <c r="I295" s="66"/>
      <c r="J295" s="66"/>
      <c r="K295" s="66"/>
      <c r="L295" s="66"/>
      <c r="M295" s="66"/>
      <c r="N295" s="66"/>
      <c r="O295" s="66"/>
      <c r="P295" s="66"/>
      <c r="Q295" s="66"/>
      <c r="R295" s="66"/>
      <c r="S295" s="66"/>
      <c r="T295" s="66"/>
      <c r="U295" s="66"/>
      <c r="V295" s="66"/>
      <c r="W295" s="66"/>
      <c r="X295" s="66"/>
      <c r="Y295" s="66"/>
      <c r="Z295" s="66"/>
      <c r="AA295" s="66"/>
    </row>
    <row r="296" spans="1:27" ht="21" x14ac:dyDescent="0.65">
      <c r="A296" s="66"/>
      <c r="B296" s="66"/>
      <c r="C296" s="66"/>
      <c r="D296" s="66"/>
      <c r="E296" s="66"/>
      <c r="F296" s="66"/>
      <c r="G296" s="66"/>
      <c r="H296" s="66"/>
      <c r="I296" s="66"/>
      <c r="J296" s="66"/>
      <c r="K296" s="66"/>
      <c r="L296" s="66"/>
      <c r="M296" s="66"/>
      <c r="N296" s="66"/>
      <c r="O296" s="66"/>
      <c r="P296" s="66"/>
      <c r="Q296" s="66"/>
      <c r="R296" s="66"/>
      <c r="S296" s="66"/>
      <c r="T296" s="66"/>
      <c r="U296" s="66"/>
      <c r="V296" s="66"/>
      <c r="W296" s="66"/>
      <c r="X296" s="66"/>
      <c r="Y296" s="66"/>
      <c r="Z296" s="66"/>
      <c r="AA296" s="66"/>
    </row>
    <row r="297" spans="1:27" ht="21" x14ac:dyDescent="0.65">
      <c r="A297" s="66"/>
      <c r="B297" s="66"/>
      <c r="C297" s="66"/>
      <c r="D297" s="66"/>
      <c r="E297" s="66"/>
      <c r="F297" s="66"/>
      <c r="G297" s="66"/>
      <c r="H297" s="66"/>
      <c r="I297" s="66"/>
      <c r="J297" s="66"/>
      <c r="K297" s="66"/>
      <c r="L297" s="66"/>
      <c r="M297" s="66"/>
      <c r="N297" s="66"/>
      <c r="O297" s="66"/>
      <c r="P297" s="66"/>
      <c r="Q297" s="66"/>
      <c r="R297" s="66"/>
      <c r="S297" s="66"/>
      <c r="T297" s="66"/>
      <c r="U297" s="66"/>
      <c r="V297" s="66"/>
      <c r="W297" s="66"/>
      <c r="X297" s="66"/>
      <c r="Y297" s="66"/>
      <c r="Z297" s="66"/>
      <c r="AA297" s="66"/>
    </row>
    <row r="298" spans="1:27" ht="21" x14ac:dyDescent="0.65">
      <c r="A298" s="66"/>
      <c r="B298" s="66"/>
      <c r="C298" s="66"/>
      <c r="D298" s="66"/>
      <c r="E298" s="66"/>
      <c r="F298" s="66"/>
      <c r="G298" s="66"/>
      <c r="H298" s="66"/>
      <c r="I298" s="66"/>
      <c r="J298" s="66"/>
      <c r="K298" s="66"/>
      <c r="L298" s="66"/>
      <c r="M298" s="66"/>
      <c r="N298" s="66"/>
      <c r="O298" s="66"/>
      <c r="P298" s="66"/>
      <c r="Q298" s="66"/>
      <c r="R298" s="66"/>
      <c r="S298" s="66"/>
      <c r="T298" s="66"/>
      <c r="U298" s="66"/>
      <c r="V298" s="66"/>
      <c r="W298" s="66"/>
      <c r="X298" s="66"/>
      <c r="Y298" s="66"/>
      <c r="Z298" s="66"/>
      <c r="AA298" s="66"/>
    </row>
    <row r="299" spans="1:27" ht="21" x14ac:dyDescent="0.65">
      <c r="A299" s="66"/>
      <c r="B299" s="66"/>
      <c r="C299" s="66"/>
      <c r="D299" s="66"/>
      <c r="E299" s="66"/>
      <c r="F299" s="66"/>
      <c r="G299" s="66"/>
      <c r="H299" s="66"/>
      <c r="I299" s="66"/>
      <c r="J299" s="66"/>
      <c r="K299" s="66"/>
      <c r="L299" s="66"/>
      <c r="M299" s="66"/>
      <c r="N299" s="66"/>
      <c r="O299" s="66"/>
      <c r="P299" s="66"/>
      <c r="Q299" s="66"/>
      <c r="R299" s="66"/>
      <c r="S299" s="66"/>
      <c r="T299" s="66"/>
      <c r="U299" s="66"/>
      <c r="V299" s="66"/>
      <c r="W299" s="66"/>
      <c r="X299" s="66"/>
      <c r="Y299" s="66"/>
      <c r="Z299" s="66"/>
      <c r="AA299" s="66"/>
    </row>
    <row r="300" spans="1:27" ht="21" x14ac:dyDescent="0.65">
      <c r="A300" s="66"/>
      <c r="B300" s="66"/>
      <c r="C300" s="66"/>
      <c r="D300" s="66"/>
      <c r="E300" s="66"/>
      <c r="F300" s="66"/>
      <c r="G300" s="66"/>
      <c r="H300" s="66"/>
      <c r="I300" s="66"/>
      <c r="J300" s="66"/>
      <c r="K300" s="66"/>
      <c r="L300" s="66"/>
      <c r="M300" s="66"/>
      <c r="N300" s="66"/>
      <c r="O300" s="66"/>
      <c r="P300" s="66"/>
      <c r="Q300" s="66"/>
      <c r="R300" s="66"/>
      <c r="S300" s="66"/>
      <c r="T300" s="66"/>
      <c r="U300" s="66"/>
      <c r="V300" s="66"/>
      <c r="W300" s="66"/>
      <c r="X300" s="66"/>
      <c r="Y300" s="66"/>
      <c r="Z300" s="66"/>
      <c r="AA300" s="66"/>
    </row>
    <row r="301" spans="1:27" ht="21" x14ac:dyDescent="0.65">
      <c r="A301" s="66"/>
      <c r="B301" s="66"/>
      <c r="C301" s="66"/>
      <c r="D301" s="66"/>
      <c r="E301" s="66"/>
      <c r="F301" s="66"/>
      <c r="G301" s="66"/>
      <c r="H301" s="66"/>
      <c r="I301" s="66"/>
      <c r="J301" s="66"/>
      <c r="K301" s="66"/>
      <c r="L301" s="66"/>
      <c r="M301" s="66"/>
      <c r="N301" s="66"/>
      <c r="O301" s="66"/>
      <c r="P301" s="66"/>
      <c r="Q301" s="66"/>
      <c r="R301" s="66"/>
      <c r="S301" s="66"/>
      <c r="T301" s="66"/>
      <c r="U301" s="66"/>
      <c r="V301" s="66"/>
      <c r="W301" s="66"/>
      <c r="X301" s="66"/>
      <c r="Y301" s="66"/>
      <c r="Z301" s="66"/>
      <c r="AA301" s="66"/>
    </row>
    <row r="302" spans="1:27" ht="21" x14ac:dyDescent="0.65">
      <c r="A302" s="66"/>
      <c r="B302" s="66"/>
      <c r="C302" s="66"/>
      <c r="D302" s="66"/>
      <c r="E302" s="66"/>
      <c r="F302" s="66"/>
      <c r="G302" s="66"/>
      <c r="H302" s="66"/>
      <c r="I302" s="66"/>
      <c r="J302" s="66"/>
      <c r="K302" s="66"/>
      <c r="L302" s="66"/>
      <c r="M302" s="66"/>
      <c r="N302" s="66"/>
      <c r="O302" s="66"/>
      <c r="P302" s="66"/>
      <c r="Q302" s="66"/>
      <c r="R302" s="66"/>
      <c r="S302" s="66"/>
      <c r="T302" s="66"/>
      <c r="U302" s="66"/>
      <c r="V302" s="66"/>
      <c r="W302" s="66"/>
      <c r="X302" s="66"/>
      <c r="Y302" s="66"/>
      <c r="Z302" s="66"/>
      <c r="AA302" s="66"/>
    </row>
    <row r="303" spans="1:27" ht="21" x14ac:dyDescent="0.65">
      <c r="A303" s="66"/>
      <c r="B303" s="66"/>
      <c r="C303" s="66"/>
      <c r="D303" s="66"/>
      <c r="E303" s="66"/>
      <c r="F303" s="66"/>
      <c r="G303" s="66"/>
      <c r="H303" s="66"/>
      <c r="I303" s="66"/>
      <c r="J303" s="66"/>
      <c r="K303" s="66"/>
      <c r="L303" s="66"/>
      <c r="M303" s="66"/>
      <c r="N303" s="66"/>
      <c r="O303" s="66"/>
      <c r="P303" s="66"/>
      <c r="Q303" s="66"/>
      <c r="R303" s="66"/>
      <c r="S303" s="66"/>
      <c r="T303" s="66"/>
      <c r="U303" s="66"/>
      <c r="V303" s="66"/>
      <c r="W303" s="66"/>
      <c r="X303" s="66"/>
      <c r="Y303" s="66"/>
      <c r="Z303" s="66"/>
      <c r="AA303" s="66"/>
    </row>
    <row r="304" spans="1:27" ht="21" x14ac:dyDescent="0.65">
      <c r="A304" s="66"/>
      <c r="B304" s="66"/>
      <c r="C304" s="66"/>
      <c r="D304" s="66"/>
      <c r="E304" s="66"/>
      <c r="F304" s="66"/>
      <c r="G304" s="66"/>
      <c r="H304" s="66"/>
      <c r="I304" s="66"/>
      <c r="J304" s="66"/>
      <c r="K304" s="66"/>
      <c r="L304" s="66"/>
      <c r="M304" s="66"/>
      <c r="N304" s="66"/>
      <c r="O304" s="66"/>
      <c r="P304" s="66"/>
      <c r="Q304" s="66"/>
      <c r="R304" s="66"/>
      <c r="S304" s="66"/>
      <c r="T304" s="66"/>
      <c r="U304" s="66"/>
      <c r="V304" s="66"/>
      <c r="W304" s="66"/>
      <c r="X304" s="66"/>
      <c r="Y304" s="66"/>
      <c r="Z304" s="66"/>
      <c r="AA304" s="66"/>
    </row>
    <row r="305" spans="1:27" ht="21" x14ac:dyDescent="0.65">
      <c r="A305" s="66"/>
      <c r="B305" s="66"/>
      <c r="C305" s="66"/>
      <c r="D305" s="66"/>
      <c r="E305" s="66"/>
      <c r="F305" s="66"/>
      <c r="G305" s="66"/>
      <c r="H305" s="66"/>
      <c r="I305" s="66"/>
      <c r="J305" s="66"/>
      <c r="K305" s="66"/>
      <c r="L305" s="66"/>
      <c r="M305" s="66"/>
      <c r="N305" s="66"/>
      <c r="O305" s="66"/>
      <c r="P305" s="66"/>
      <c r="Q305" s="66"/>
      <c r="R305" s="66"/>
      <c r="S305" s="66"/>
      <c r="T305" s="66"/>
      <c r="U305" s="66"/>
      <c r="V305" s="66"/>
      <c r="W305" s="66"/>
      <c r="X305" s="66"/>
      <c r="Y305" s="66"/>
      <c r="Z305" s="66"/>
      <c r="AA305" s="66"/>
    </row>
    <row r="306" spans="1:27" ht="21" x14ac:dyDescent="0.65">
      <c r="A306" s="66"/>
      <c r="B306" s="66"/>
      <c r="C306" s="66"/>
      <c r="D306" s="66"/>
      <c r="E306" s="66"/>
      <c r="F306" s="66"/>
      <c r="G306" s="66"/>
      <c r="H306" s="66"/>
      <c r="I306" s="66"/>
      <c r="J306" s="66"/>
      <c r="K306" s="66"/>
      <c r="L306" s="66"/>
      <c r="M306" s="66"/>
      <c r="N306" s="66"/>
      <c r="O306" s="66"/>
      <c r="P306" s="66"/>
      <c r="Q306" s="66"/>
      <c r="R306" s="66"/>
      <c r="S306" s="66"/>
      <c r="T306" s="66"/>
      <c r="U306" s="66"/>
      <c r="V306" s="66"/>
      <c r="W306" s="66"/>
      <c r="X306" s="66"/>
      <c r="Y306" s="66"/>
      <c r="Z306" s="66"/>
      <c r="AA306" s="66"/>
    </row>
    <row r="307" spans="1:27" ht="21" x14ac:dyDescent="0.65">
      <c r="A307" s="66"/>
      <c r="B307" s="66"/>
      <c r="C307" s="66"/>
      <c r="D307" s="66"/>
      <c r="E307" s="66"/>
      <c r="F307" s="66"/>
      <c r="G307" s="66"/>
      <c r="H307" s="66"/>
      <c r="I307" s="66"/>
      <c r="J307" s="66"/>
      <c r="K307" s="66"/>
      <c r="L307" s="66"/>
      <c r="M307" s="66"/>
      <c r="N307" s="66"/>
      <c r="O307" s="66"/>
      <c r="P307" s="66"/>
      <c r="Q307" s="66"/>
      <c r="R307" s="66"/>
      <c r="S307" s="66"/>
      <c r="T307" s="66"/>
      <c r="U307" s="66"/>
      <c r="V307" s="66"/>
      <c r="W307" s="66"/>
      <c r="X307" s="66"/>
      <c r="Y307" s="66"/>
      <c r="Z307" s="66"/>
      <c r="AA307" s="66"/>
    </row>
    <row r="308" spans="1:27" ht="21" x14ac:dyDescent="0.65">
      <c r="A308" s="66"/>
      <c r="B308" s="66"/>
      <c r="C308" s="66"/>
      <c r="D308" s="66"/>
      <c r="E308" s="66"/>
      <c r="F308" s="66"/>
      <c r="G308" s="66"/>
      <c r="H308" s="66"/>
      <c r="I308" s="66"/>
      <c r="J308" s="66"/>
      <c r="K308" s="66"/>
      <c r="L308" s="66"/>
      <c r="M308" s="66"/>
      <c r="N308" s="66"/>
      <c r="O308" s="66"/>
      <c r="P308" s="66"/>
      <c r="Q308" s="66"/>
      <c r="R308" s="66"/>
      <c r="S308" s="66"/>
      <c r="T308" s="66"/>
      <c r="U308" s="66"/>
      <c r="V308" s="66"/>
      <c r="W308" s="66"/>
      <c r="X308" s="66"/>
      <c r="Y308" s="66"/>
      <c r="Z308" s="66"/>
      <c r="AA308" s="66"/>
    </row>
    <row r="309" spans="1:27" ht="21" x14ac:dyDescent="0.65">
      <c r="A309" s="66"/>
      <c r="B309" s="66"/>
      <c r="C309" s="66"/>
      <c r="D309" s="66"/>
      <c r="E309" s="66"/>
      <c r="F309" s="66"/>
      <c r="G309" s="66"/>
      <c r="H309" s="66"/>
      <c r="I309" s="66"/>
      <c r="J309" s="66"/>
      <c r="K309" s="66"/>
      <c r="L309" s="66"/>
      <c r="M309" s="66"/>
      <c r="N309" s="66"/>
      <c r="O309" s="66"/>
      <c r="P309" s="66"/>
      <c r="Q309" s="66"/>
      <c r="R309" s="66"/>
      <c r="S309" s="66"/>
      <c r="T309" s="66"/>
      <c r="U309" s="66"/>
      <c r="V309" s="66"/>
      <c r="W309" s="66"/>
      <c r="X309" s="66"/>
      <c r="Y309" s="66"/>
      <c r="Z309" s="66"/>
      <c r="AA309" s="66"/>
    </row>
    <row r="310" spans="1:27" ht="21" x14ac:dyDescent="0.65">
      <c r="A310" s="66"/>
      <c r="B310" s="66"/>
      <c r="C310" s="66"/>
      <c r="D310" s="66"/>
      <c r="E310" s="66"/>
      <c r="F310" s="66"/>
      <c r="G310" s="66"/>
      <c r="H310" s="66"/>
      <c r="I310" s="66"/>
      <c r="J310" s="66"/>
      <c r="K310" s="66"/>
      <c r="L310" s="66"/>
      <c r="M310" s="66"/>
      <c r="N310" s="66"/>
      <c r="O310" s="66"/>
      <c r="P310" s="66"/>
      <c r="Q310" s="66"/>
      <c r="R310" s="66"/>
      <c r="S310" s="66"/>
      <c r="T310" s="66"/>
      <c r="U310" s="66"/>
      <c r="V310" s="66"/>
      <c r="W310" s="66"/>
      <c r="X310" s="66"/>
      <c r="Y310" s="66"/>
      <c r="Z310" s="66"/>
      <c r="AA310" s="66"/>
    </row>
    <row r="311" spans="1:27" ht="21" x14ac:dyDescent="0.65">
      <c r="A311" s="66"/>
      <c r="B311" s="66"/>
      <c r="C311" s="66"/>
      <c r="D311" s="66"/>
      <c r="E311" s="66"/>
      <c r="F311" s="66"/>
      <c r="G311" s="66"/>
      <c r="H311" s="66"/>
      <c r="I311" s="66"/>
      <c r="J311" s="66"/>
      <c r="K311" s="66"/>
      <c r="L311" s="66"/>
      <c r="M311" s="66"/>
      <c r="N311" s="66"/>
      <c r="O311" s="66"/>
      <c r="P311" s="66"/>
      <c r="Q311" s="66"/>
      <c r="R311" s="66"/>
      <c r="S311" s="66"/>
      <c r="T311" s="66"/>
      <c r="U311" s="66"/>
      <c r="V311" s="66"/>
      <c r="W311" s="66"/>
      <c r="X311" s="66"/>
      <c r="Y311" s="66"/>
      <c r="Z311" s="66"/>
      <c r="AA311" s="66"/>
    </row>
    <row r="312" spans="1:27" ht="21" x14ac:dyDescent="0.65">
      <c r="A312" s="66"/>
      <c r="B312" s="66"/>
      <c r="C312" s="66"/>
      <c r="D312" s="66"/>
      <c r="E312" s="66"/>
      <c r="F312" s="66"/>
      <c r="G312" s="66"/>
      <c r="H312" s="66"/>
      <c r="I312" s="66"/>
      <c r="J312" s="66"/>
      <c r="K312" s="66"/>
      <c r="L312" s="66"/>
      <c r="M312" s="66"/>
      <c r="N312" s="66"/>
      <c r="O312" s="66"/>
      <c r="P312" s="66"/>
      <c r="Q312" s="66"/>
      <c r="R312" s="66"/>
      <c r="S312" s="66"/>
      <c r="T312" s="66"/>
      <c r="U312" s="66"/>
      <c r="V312" s="66"/>
      <c r="W312" s="66"/>
      <c r="X312" s="66"/>
      <c r="Y312" s="66"/>
      <c r="Z312" s="66"/>
      <c r="AA312" s="66"/>
    </row>
    <row r="313" spans="1:27" ht="21" x14ac:dyDescent="0.65">
      <c r="A313" s="66"/>
      <c r="B313" s="66"/>
      <c r="C313" s="66"/>
      <c r="D313" s="66"/>
      <c r="E313" s="66"/>
      <c r="F313" s="66"/>
      <c r="G313" s="66"/>
      <c r="H313" s="66"/>
      <c r="I313" s="66"/>
      <c r="J313" s="66"/>
      <c r="K313" s="66"/>
      <c r="L313" s="66"/>
      <c r="M313" s="66"/>
      <c r="N313" s="66"/>
      <c r="O313" s="66"/>
      <c r="P313" s="66"/>
      <c r="Q313" s="66"/>
      <c r="R313" s="66"/>
      <c r="S313" s="66"/>
      <c r="T313" s="66"/>
      <c r="U313" s="66"/>
      <c r="V313" s="66"/>
      <c r="W313" s="66"/>
      <c r="X313" s="66"/>
      <c r="Y313" s="66"/>
      <c r="Z313" s="66"/>
      <c r="AA313" s="66"/>
    </row>
    <row r="314" spans="1:27" ht="21" x14ac:dyDescent="0.65">
      <c r="A314" s="66"/>
      <c r="B314" s="66"/>
      <c r="C314" s="66"/>
      <c r="D314" s="66"/>
      <c r="E314" s="66"/>
      <c r="F314" s="66"/>
      <c r="G314" s="66"/>
      <c r="H314" s="66"/>
      <c r="I314" s="66"/>
      <c r="J314" s="66"/>
      <c r="K314" s="66"/>
      <c r="L314" s="66"/>
      <c r="M314" s="66"/>
      <c r="N314" s="66"/>
      <c r="O314" s="66"/>
      <c r="P314" s="66"/>
      <c r="Q314" s="66"/>
      <c r="R314" s="66"/>
      <c r="S314" s="66"/>
      <c r="T314" s="66"/>
      <c r="U314" s="66"/>
      <c r="V314" s="66"/>
      <c r="W314" s="66"/>
      <c r="X314" s="66"/>
      <c r="Y314" s="66"/>
      <c r="Z314" s="66"/>
      <c r="AA314" s="66"/>
    </row>
    <row r="315" spans="1:27" ht="21" x14ac:dyDescent="0.65">
      <c r="A315" s="66"/>
      <c r="B315" s="66"/>
      <c r="C315" s="66"/>
      <c r="D315" s="66"/>
      <c r="E315" s="66"/>
      <c r="F315" s="66"/>
      <c r="G315" s="66"/>
      <c r="H315" s="66"/>
      <c r="I315" s="66"/>
      <c r="J315" s="66"/>
      <c r="K315" s="66"/>
      <c r="L315" s="66"/>
      <c r="M315" s="66"/>
      <c r="N315" s="66"/>
      <c r="O315" s="66"/>
      <c r="P315" s="66"/>
      <c r="Q315" s="66"/>
      <c r="R315" s="66"/>
      <c r="S315" s="66"/>
      <c r="T315" s="66"/>
      <c r="U315" s="66"/>
      <c r="V315" s="66"/>
      <c r="W315" s="66"/>
      <c r="X315" s="66"/>
      <c r="Y315" s="66"/>
      <c r="Z315" s="66"/>
      <c r="AA315" s="66"/>
    </row>
    <row r="316" spans="1:27" ht="21" x14ac:dyDescent="0.65">
      <c r="A316" s="66"/>
      <c r="B316" s="66"/>
      <c r="C316" s="66"/>
      <c r="D316" s="66"/>
      <c r="E316" s="66"/>
      <c r="F316" s="66"/>
      <c r="G316" s="66"/>
      <c r="H316" s="66"/>
      <c r="I316" s="66"/>
      <c r="J316" s="66"/>
      <c r="K316" s="66"/>
      <c r="L316" s="66"/>
      <c r="M316" s="66"/>
      <c r="N316" s="66"/>
      <c r="O316" s="66"/>
      <c r="P316" s="66"/>
      <c r="Q316" s="66"/>
      <c r="R316" s="66"/>
      <c r="S316" s="66"/>
      <c r="T316" s="66"/>
      <c r="U316" s="66"/>
      <c r="V316" s="66"/>
      <c r="W316" s="66"/>
      <c r="X316" s="66"/>
      <c r="Y316" s="66"/>
      <c r="Z316" s="66"/>
      <c r="AA316" s="66"/>
    </row>
    <row r="317" spans="1:27" ht="21" x14ac:dyDescent="0.65">
      <c r="A317" s="66"/>
      <c r="B317" s="66"/>
      <c r="C317" s="66"/>
      <c r="D317" s="66"/>
      <c r="E317" s="66"/>
      <c r="F317" s="66"/>
      <c r="G317" s="66"/>
      <c r="H317" s="66"/>
      <c r="I317" s="66"/>
      <c r="J317" s="66"/>
      <c r="K317" s="66"/>
      <c r="L317" s="66"/>
      <c r="M317" s="66"/>
      <c r="N317" s="66"/>
      <c r="O317" s="66"/>
      <c r="P317" s="66"/>
      <c r="Q317" s="66"/>
      <c r="R317" s="66"/>
      <c r="S317" s="66"/>
      <c r="T317" s="66"/>
      <c r="U317" s="66"/>
      <c r="V317" s="66"/>
      <c r="W317" s="66"/>
      <c r="X317" s="66"/>
      <c r="Y317" s="66"/>
      <c r="Z317" s="66"/>
      <c r="AA317" s="66"/>
    </row>
    <row r="318" spans="1:27" ht="21" x14ac:dyDescent="0.65">
      <c r="A318" s="66"/>
      <c r="B318" s="66"/>
      <c r="C318" s="66"/>
      <c r="D318" s="66"/>
      <c r="E318" s="66"/>
      <c r="F318" s="66"/>
      <c r="G318" s="66"/>
      <c r="H318" s="66"/>
      <c r="I318" s="66"/>
      <c r="J318" s="66"/>
      <c r="K318" s="66"/>
      <c r="L318" s="66"/>
      <c r="M318" s="66"/>
      <c r="N318" s="66"/>
      <c r="O318" s="66"/>
      <c r="P318" s="66"/>
      <c r="Q318" s="66"/>
      <c r="R318" s="66"/>
      <c r="S318" s="66"/>
      <c r="T318" s="66"/>
      <c r="U318" s="66"/>
      <c r="V318" s="66"/>
      <c r="W318" s="66"/>
      <c r="X318" s="66"/>
      <c r="Y318" s="66"/>
      <c r="Z318" s="66"/>
      <c r="AA318" s="66"/>
    </row>
    <row r="319" spans="1:27" ht="21" x14ac:dyDescent="0.65">
      <c r="A319" s="66"/>
      <c r="B319" s="66"/>
      <c r="C319" s="66"/>
      <c r="D319" s="66"/>
      <c r="E319" s="66"/>
      <c r="F319" s="66"/>
      <c r="G319" s="66"/>
      <c r="H319" s="66"/>
      <c r="I319" s="66"/>
      <c r="J319" s="66"/>
      <c r="K319" s="66"/>
      <c r="L319" s="66"/>
      <c r="M319" s="66"/>
      <c r="N319" s="66"/>
      <c r="O319" s="66"/>
      <c r="P319" s="66"/>
      <c r="Q319" s="66"/>
      <c r="R319" s="66"/>
      <c r="S319" s="66"/>
      <c r="T319" s="66"/>
      <c r="U319" s="66"/>
      <c r="V319" s="66"/>
      <c r="W319" s="66"/>
      <c r="X319" s="66"/>
      <c r="Y319" s="66"/>
      <c r="Z319" s="66"/>
      <c r="AA319" s="66"/>
    </row>
    <row r="320" spans="1:27" ht="21" x14ac:dyDescent="0.65">
      <c r="A320" s="66"/>
      <c r="B320" s="66"/>
      <c r="C320" s="66"/>
      <c r="D320" s="66"/>
      <c r="E320" s="66"/>
      <c r="F320" s="66"/>
      <c r="G320" s="66"/>
      <c r="H320" s="66"/>
      <c r="I320" s="66"/>
      <c r="J320" s="66"/>
      <c r="K320" s="66"/>
      <c r="L320" s="66"/>
      <c r="M320" s="66"/>
      <c r="N320" s="66"/>
      <c r="O320" s="66"/>
      <c r="P320" s="66"/>
      <c r="Q320" s="66"/>
      <c r="R320" s="66"/>
      <c r="S320" s="66"/>
      <c r="T320" s="66"/>
      <c r="U320" s="66"/>
      <c r="V320" s="66"/>
      <c r="W320" s="66"/>
      <c r="X320" s="66"/>
      <c r="Y320" s="66"/>
      <c r="Z320" s="66"/>
      <c r="AA320" s="66"/>
    </row>
    <row r="321" spans="1:27" ht="21" x14ac:dyDescent="0.65">
      <c r="A321" s="66"/>
      <c r="B321" s="66"/>
      <c r="C321" s="66"/>
      <c r="D321" s="66"/>
      <c r="E321" s="66"/>
      <c r="F321" s="66"/>
      <c r="G321" s="66"/>
      <c r="H321" s="66"/>
      <c r="I321" s="66"/>
      <c r="J321" s="66"/>
      <c r="K321" s="66"/>
      <c r="L321" s="66"/>
      <c r="M321" s="66"/>
      <c r="N321" s="66"/>
      <c r="O321" s="66"/>
      <c r="P321" s="66"/>
      <c r="Q321" s="66"/>
      <c r="R321" s="66"/>
      <c r="S321" s="66"/>
      <c r="T321" s="66"/>
      <c r="U321" s="66"/>
      <c r="V321" s="66"/>
      <c r="W321" s="66"/>
      <c r="X321" s="66"/>
      <c r="Y321" s="66"/>
      <c r="Z321" s="66"/>
      <c r="AA321" s="66"/>
    </row>
    <row r="322" spans="1:27" ht="21" x14ac:dyDescent="0.65">
      <c r="A322" s="66"/>
      <c r="B322" s="66"/>
      <c r="C322" s="66"/>
      <c r="D322" s="66"/>
      <c r="E322" s="66"/>
      <c r="F322" s="66"/>
      <c r="G322" s="66"/>
      <c r="H322" s="66"/>
      <c r="I322" s="66"/>
      <c r="J322" s="66"/>
      <c r="K322" s="66"/>
      <c r="L322" s="66"/>
      <c r="M322" s="66"/>
      <c r="N322" s="66"/>
      <c r="O322" s="66"/>
      <c r="P322" s="66"/>
      <c r="Q322" s="66"/>
      <c r="R322" s="66"/>
      <c r="S322" s="66"/>
      <c r="T322" s="66"/>
      <c r="U322" s="66"/>
      <c r="V322" s="66"/>
      <c r="W322" s="66"/>
      <c r="X322" s="66"/>
      <c r="Y322" s="66"/>
      <c r="Z322" s="66"/>
      <c r="AA322" s="66"/>
    </row>
    <row r="323" spans="1:27" ht="21" x14ac:dyDescent="0.65">
      <c r="A323" s="66"/>
      <c r="B323" s="66"/>
      <c r="C323" s="66"/>
      <c r="D323" s="66"/>
      <c r="E323" s="66"/>
      <c r="F323" s="66"/>
      <c r="G323" s="66"/>
      <c r="H323" s="66"/>
      <c r="I323" s="66"/>
      <c r="J323" s="66"/>
      <c r="K323" s="66"/>
      <c r="L323" s="66"/>
      <c r="M323" s="66"/>
      <c r="N323" s="66"/>
      <c r="O323" s="66"/>
      <c r="P323" s="66"/>
      <c r="Q323" s="66"/>
      <c r="R323" s="66"/>
      <c r="S323" s="66"/>
      <c r="T323" s="66"/>
      <c r="U323" s="66"/>
      <c r="V323" s="66"/>
      <c r="W323" s="66"/>
      <c r="X323" s="66"/>
      <c r="Y323" s="66"/>
      <c r="Z323" s="66"/>
      <c r="AA323" s="66"/>
    </row>
    <row r="324" spans="1:27" ht="21" x14ac:dyDescent="0.65">
      <c r="A324" s="66"/>
      <c r="B324" s="66"/>
      <c r="C324" s="66"/>
      <c r="D324" s="66"/>
      <c r="E324" s="66"/>
      <c r="F324" s="66"/>
      <c r="G324" s="66"/>
      <c r="H324" s="66"/>
      <c r="I324" s="66"/>
      <c r="J324" s="66"/>
      <c r="K324" s="66"/>
      <c r="L324" s="66"/>
      <c r="M324" s="66"/>
      <c r="N324" s="66"/>
      <c r="O324" s="66"/>
      <c r="P324" s="66"/>
      <c r="Q324" s="66"/>
      <c r="R324" s="66"/>
      <c r="S324" s="66"/>
      <c r="T324" s="66"/>
      <c r="U324" s="66"/>
      <c r="V324" s="66"/>
      <c r="W324" s="66"/>
      <c r="X324" s="66"/>
      <c r="Y324" s="66"/>
      <c r="Z324" s="66"/>
      <c r="AA324" s="66"/>
    </row>
    <row r="325" spans="1:27" ht="21" x14ac:dyDescent="0.65">
      <c r="A325" s="66"/>
      <c r="B325" s="66"/>
      <c r="C325" s="66"/>
      <c r="D325" s="66"/>
      <c r="E325" s="66"/>
      <c r="F325" s="66"/>
      <c r="G325" s="66"/>
      <c r="H325" s="66"/>
      <c r="I325" s="66"/>
      <c r="J325" s="66"/>
      <c r="K325" s="66"/>
      <c r="L325" s="66"/>
      <c r="M325" s="66"/>
      <c r="N325" s="66"/>
      <c r="O325" s="66"/>
      <c r="P325" s="66"/>
      <c r="Q325" s="66"/>
      <c r="R325" s="66"/>
      <c r="S325" s="66"/>
      <c r="T325" s="66"/>
      <c r="U325" s="66"/>
      <c r="V325" s="66"/>
      <c r="W325" s="66"/>
      <c r="X325" s="66"/>
      <c r="Y325" s="66"/>
      <c r="Z325" s="66"/>
      <c r="AA325" s="66"/>
    </row>
    <row r="326" spans="1:27" ht="21" x14ac:dyDescent="0.65">
      <c r="A326" s="66"/>
      <c r="B326" s="66"/>
      <c r="C326" s="66"/>
      <c r="D326" s="66"/>
      <c r="E326" s="66"/>
      <c r="F326" s="66"/>
      <c r="G326" s="66"/>
      <c r="H326" s="66"/>
      <c r="I326" s="66"/>
      <c r="J326" s="66"/>
      <c r="K326" s="66"/>
      <c r="L326" s="66"/>
      <c r="M326" s="66"/>
      <c r="N326" s="66"/>
      <c r="O326" s="66"/>
      <c r="P326" s="66"/>
      <c r="Q326" s="66"/>
      <c r="R326" s="66"/>
      <c r="S326" s="66"/>
      <c r="T326" s="66"/>
      <c r="U326" s="66"/>
      <c r="V326" s="66"/>
      <c r="W326" s="66"/>
      <c r="X326" s="66"/>
      <c r="Y326" s="66"/>
      <c r="Z326" s="66"/>
      <c r="AA326" s="66"/>
    </row>
    <row r="327" spans="1:27" ht="21" x14ac:dyDescent="0.65">
      <c r="A327" s="66"/>
      <c r="B327" s="66"/>
      <c r="C327" s="66"/>
      <c r="D327" s="66"/>
      <c r="E327" s="66"/>
      <c r="F327" s="66"/>
      <c r="G327" s="66"/>
      <c r="H327" s="66"/>
      <c r="I327" s="66"/>
      <c r="J327" s="66"/>
      <c r="K327" s="66"/>
      <c r="L327" s="66"/>
      <c r="M327" s="66"/>
      <c r="N327" s="66"/>
      <c r="O327" s="66"/>
      <c r="P327" s="66"/>
      <c r="Q327" s="66"/>
      <c r="R327" s="66"/>
      <c r="S327" s="66"/>
      <c r="T327" s="66"/>
      <c r="U327" s="66"/>
      <c r="V327" s="66"/>
      <c r="W327" s="66"/>
      <c r="X327" s="66"/>
      <c r="Y327" s="66"/>
      <c r="Z327" s="66"/>
      <c r="AA327" s="66"/>
    </row>
    <row r="328" spans="1:27" ht="21" x14ac:dyDescent="0.65">
      <c r="A328" s="66"/>
      <c r="B328" s="66"/>
      <c r="C328" s="66"/>
      <c r="D328" s="66"/>
      <c r="E328" s="66"/>
      <c r="F328" s="66"/>
      <c r="G328" s="66"/>
      <c r="H328" s="66"/>
      <c r="I328" s="66"/>
      <c r="J328" s="66"/>
      <c r="K328" s="66"/>
      <c r="L328" s="66"/>
      <c r="M328" s="66"/>
      <c r="N328" s="66"/>
      <c r="O328" s="66"/>
      <c r="P328" s="66"/>
      <c r="Q328" s="66"/>
      <c r="R328" s="66"/>
      <c r="S328" s="66"/>
      <c r="T328" s="66"/>
      <c r="U328" s="66"/>
      <c r="V328" s="66"/>
      <c r="W328" s="66"/>
      <c r="X328" s="66"/>
      <c r="Y328" s="66"/>
      <c r="Z328" s="66"/>
      <c r="AA328" s="66"/>
    </row>
    <row r="329" spans="1:27" ht="21" x14ac:dyDescent="0.65">
      <c r="A329" s="66"/>
      <c r="B329" s="66"/>
      <c r="C329" s="66"/>
      <c r="D329" s="66"/>
      <c r="E329" s="66"/>
      <c r="F329" s="66"/>
      <c r="G329" s="66"/>
      <c r="H329" s="66"/>
      <c r="I329" s="66"/>
      <c r="J329" s="66"/>
      <c r="K329" s="66"/>
      <c r="L329" s="66"/>
      <c r="M329" s="66"/>
      <c r="N329" s="66"/>
      <c r="O329" s="66"/>
      <c r="P329" s="66"/>
      <c r="Q329" s="66"/>
      <c r="R329" s="66"/>
      <c r="S329" s="66"/>
      <c r="T329" s="66"/>
      <c r="U329" s="66"/>
      <c r="V329" s="66"/>
      <c r="W329" s="66"/>
      <c r="X329" s="66"/>
      <c r="Y329" s="66"/>
      <c r="Z329" s="66"/>
      <c r="AA329" s="66"/>
    </row>
    <row r="330" spans="1:27" ht="21" x14ac:dyDescent="0.65">
      <c r="A330" s="66"/>
      <c r="B330" s="66"/>
      <c r="C330" s="66"/>
      <c r="D330" s="66"/>
      <c r="E330" s="66"/>
      <c r="F330" s="66"/>
      <c r="G330" s="66"/>
      <c r="H330" s="66"/>
      <c r="I330" s="66"/>
      <c r="J330" s="66"/>
      <c r="K330" s="66"/>
      <c r="L330" s="66"/>
      <c r="M330" s="66"/>
      <c r="N330" s="66"/>
      <c r="O330" s="66"/>
      <c r="P330" s="66"/>
      <c r="Q330" s="66"/>
      <c r="R330" s="66"/>
      <c r="S330" s="66"/>
      <c r="T330" s="66"/>
      <c r="U330" s="66"/>
      <c r="V330" s="66"/>
      <c r="W330" s="66"/>
      <c r="X330" s="66"/>
      <c r="Y330" s="66"/>
      <c r="Z330" s="66"/>
      <c r="AA330" s="66"/>
    </row>
    <row r="331" spans="1:27" ht="21" x14ac:dyDescent="0.65">
      <c r="A331" s="66"/>
      <c r="B331" s="66"/>
      <c r="C331" s="66"/>
      <c r="D331" s="66"/>
      <c r="E331" s="66"/>
      <c r="F331" s="66"/>
      <c r="G331" s="66"/>
      <c r="H331" s="66"/>
      <c r="I331" s="66"/>
      <c r="J331" s="66"/>
      <c r="K331" s="66"/>
      <c r="L331" s="66"/>
      <c r="M331" s="66"/>
      <c r="N331" s="66"/>
      <c r="O331" s="66"/>
      <c r="P331" s="66"/>
      <c r="Q331" s="66"/>
      <c r="R331" s="66"/>
      <c r="S331" s="66"/>
      <c r="T331" s="66"/>
      <c r="U331" s="66"/>
      <c r="V331" s="66"/>
      <c r="W331" s="66"/>
      <c r="X331" s="66"/>
      <c r="Y331" s="66"/>
      <c r="Z331" s="66"/>
      <c r="AA331" s="66"/>
    </row>
    <row r="332" spans="1:27" ht="21" x14ac:dyDescent="0.65">
      <c r="A332" s="66"/>
      <c r="B332" s="66"/>
      <c r="C332" s="66"/>
      <c r="D332" s="66"/>
      <c r="E332" s="66"/>
      <c r="F332" s="66"/>
      <c r="G332" s="66"/>
      <c r="H332" s="66"/>
      <c r="I332" s="66"/>
      <c r="J332" s="66"/>
      <c r="K332" s="66"/>
      <c r="L332" s="66"/>
      <c r="M332" s="66"/>
      <c r="N332" s="66"/>
      <c r="O332" s="66"/>
      <c r="P332" s="66"/>
      <c r="Q332" s="66"/>
      <c r="R332" s="66"/>
      <c r="S332" s="66"/>
      <c r="T332" s="66"/>
      <c r="U332" s="66"/>
      <c r="V332" s="66"/>
      <c r="W332" s="66"/>
      <c r="X332" s="66"/>
      <c r="Y332" s="66"/>
      <c r="Z332" s="66"/>
      <c r="AA332" s="66"/>
    </row>
    <row r="333" spans="1:27" ht="21" x14ac:dyDescent="0.65">
      <c r="A333" s="66"/>
      <c r="B333" s="66"/>
      <c r="C333" s="66"/>
      <c r="D333" s="66"/>
      <c r="E333" s="66"/>
      <c r="F333" s="66"/>
      <c r="G333" s="66"/>
      <c r="H333" s="66"/>
      <c r="I333" s="66"/>
      <c r="J333" s="66"/>
      <c r="K333" s="66"/>
      <c r="L333" s="66"/>
      <c r="M333" s="66"/>
      <c r="N333" s="66"/>
      <c r="O333" s="66"/>
      <c r="P333" s="66"/>
      <c r="Q333" s="66"/>
      <c r="R333" s="66"/>
      <c r="S333" s="66"/>
      <c r="T333" s="66"/>
      <c r="U333" s="66"/>
      <c r="V333" s="66"/>
      <c r="W333" s="66"/>
      <c r="X333" s="66"/>
      <c r="Y333" s="66"/>
      <c r="Z333" s="66"/>
      <c r="AA333" s="66"/>
    </row>
    <row r="334" spans="1:27" ht="21" x14ac:dyDescent="0.65">
      <c r="A334" s="66"/>
      <c r="B334" s="66"/>
      <c r="C334" s="66"/>
      <c r="D334" s="66"/>
      <c r="E334" s="66"/>
      <c r="F334" s="66"/>
      <c r="G334" s="66"/>
      <c r="H334" s="66"/>
      <c r="I334" s="66"/>
      <c r="J334" s="66"/>
      <c r="K334" s="66"/>
      <c r="L334" s="66"/>
      <c r="M334" s="66"/>
      <c r="N334" s="66"/>
      <c r="O334" s="66"/>
      <c r="P334" s="66"/>
      <c r="Q334" s="66"/>
      <c r="R334" s="66"/>
      <c r="S334" s="66"/>
      <c r="T334" s="66"/>
      <c r="U334" s="66"/>
      <c r="V334" s="66"/>
      <c r="W334" s="66"/>
      <c r="X334" s="66"/>
      <c r="Y334" s="66"/>
      <c r="Z334" s="66"/>
      <c r="AA334" s="66"/>
    </row>
    <row r="335" spans="1:27" ht="21" x14ac:dyDescent="0.65">
      <c r="A335" s="66"/>
      <c r="B335" s="66"/>
      <c r="C335" s="66"/>
      <c r="D335" s="66"/>
      <c r="E335" s="66"/>
      <c r="F335" s="66"/>
      <c r="G335" s="66"/>
      <c r="H335" s="66"/>
      <c r="I335" s="66"/>
      <c r="J335" s="66"/>
      <c r="K335" s="66"/>
      <c r="L335" s="66"/>
      <c r="M335" s="66"/>
      <c r="N335" s="66"/>
      <c r="O335" s="66"/>
      <c r="P335" s="66"/>
      <c r="Q335" s="66"/>
      <c r="R335" s="66"/>
      <c r="S335" s="66"/>
      <c r="T335" s="66"/>
      <c r="U335" s="66"/>
      <c r="V335" s="66"/>
      <c r="W335" s="66"/>
      <c r="X335" s="66"/>
      <c r="Y335" s="66"/>
      <c r="Z335" s="66"/>
      <c r="AA335" s="66"/>
    </row>
    <row r="336" spans="1:27" ht="21" x14ac:dyDescent="0.65">
      <c r="A336" s="66"/>
      <c r="B336" s="66"/>
      <c r="C336" s="66"/>
      <c r="D336" s="66"/>
      <c r="E336" s="66"/>
      <c r="F336" s="66"/>
      <c r="G336" s="66"/>
      <c r="H336" s="66"/>
      <c r="I336" s="66"/>
      <c r="J336" s="66"/>
      <c r="K336" s="66"/>
      <c r="L336" s="66"/>
      <c r="M336" s="66"/>
      <c r="N336" s="66"/>
      <c r="O336" s="66"/>
      <c r="P336" s="66"/>
      <c r="Q336" s="66"/>
      <c r="R336" s="66"/>
      <c r="S336" s="66"/>
      <c r="T336" s="66"/>
      <c r="U336" s="66"/>
      <c r="V336" s="66"/>
      <c r="W336" s="66"/>
      <c r="X336" s="66"/>
      <c r="Y336" s="66"/>
      <c r="Z336" s="66"/>
      <c r="AA336" s="66"/>
    </row>
    <row r="337" spans="1:27" ht="21" x14ac:dyDescent="0.65">
      <c r="A337" s="66"/>
      <c r="B337" s="66"/>
      <c r="C337" s="66"/>
      <c r="D337" s="66"/>
      <c r="E337" s="66"/>
      <c r="F337" s="66"/>
      <c r="G337" s="66"/>
      <c r="H337" s="66"/>
      <c r="I337" s="66"/>
      <c r="J337" s="66"/>
      <c r="K337" s="66"/>
      <c r="L337" s="66"/>
      <c r="M337" s="66"/>
      <c r="N337" s="66"/>
      <c r="O337" s="66"/>
      <c r="P337" s="66"/>
      <c r="Q337" s="66"/>
      <c r="R337" s="66"/>
      <c r="S337" s="66"/>
      <c r="T337" s="66"/>
      <c r="U337" s="66"/>
      <c r="V337" s="66"/>
      <c r="W337" s="66"/>
      <c r="X337" s="66"/>
      <c r="Y337" s="66"/>
      <c r="Z337" s="66"/>
      <c r="AA337" s="66"/>
    </row>
    <row r="338" spans="1:27" ht="21" x14ac:dyDescent="0.65">
      <c r="A338" s="66"/>
      <c r="B338" s="66"/>
      <c r="C338" s="66"/>
      <c r="D338" s="66"/>
      <c r="E338" s="66"/>
      <c r="F338" s="66"/>
      <c r="G338" s="66"/>
      <c r="H338" s="66"/>
      <c r="I338" s="66"/>
      <c r="J338" s="66"/>
      <c r="K338" s="66"/>
      <c r="L338" s="66"/>
      <c r="M338" s="66"/>
      <c r="N338" s="66"/>
      <c r="O338" s="66"/>
      <c r="P338" s="66"/>
      <c r="Q338" s="66"/>
      <c r="R338" s="66"/>
      <c r="S338" s="66"/>
      <c r="T338" s="66"/>
      <c r="U338" s="66"/>
      <c r="V338" s="66"/>
      <c r="W338" s="66"/>
      <c r="X338" s="66"/>
      <c r="Y338" s="66"/>
      <c r="Z338" s="66"/>
      <c r="AA338" s="66"/>
    </row>
    <row r="339" spans="1:27" ht="21" x14ac:dyDescent="0.65">
      <c r="A339" s="66"/>
      <c r="B339" s="66"/>
      <c r="C339" s="66"/>
      <c r="D339" s="66"/>
      <c r="E339" s="66"/>
      <c r="F339" s="66"/>
      <c r="G339" s="66"/>
      <c r="H339" s="66"/>
      <c r="I339" s="66"/>
      <c r="J339" s="66"/>
      <c r="K339" s="66"/>
      <c r="L339" s="66"/>
      <c r="M339" s="66"/>
      <c r="N339" s="66"/>
      <c r="O339" s="66"/>
      <c r="P339" s="66"/>
      <c r="Q339" s="66"/>
      <c r="R339" s="66"/>
      <c r="S339" s="66"/>
      <c r="T339" s="66"/>
      <c r="U339" s="66"/>
      <c r="V339" s="66"/>
      <c r="W339" s="66"/>
      <c r="X339" s="66"/>
      <c r="Y339" s="66"/>
      <c r="Z339" s="66"/>
      <c r="AA339" s="66"/>
    </row>
    <row r="340" spans="1:27" ht="21" x14ac:dyDescent="0.65">
      <c r="A340" s="66"/>
      <c r="B340" s="66"/>
      <c r="C340" s="66"/>
      <c r="D340" s="66"/>
      <c r="E340" s="66"/>
      <c r="F340" s="66"/>
      <c r="G340" s="66"/>
      <c r="H340" s="66"/>
      <c r="I340" s="66"/>
      <c r="J340" s="66"/>
      <c r="K340" s="66"/>
      <c r="L340" s="66"/>
      <c r="M340" s="66"/>
      <c r="N340" s="66"/>
      <c r="O340" s="66"/>
      <c r="P340" s="66"/>
      <c r="Q340" s="66"/>
      <c r="R340" s="66"/>
      <c r="S340" s="66"/>
      <c r="T340" s="66"/>
      <c r="U340" s="66"/>
      <c r="V340" s="66"/>
      <c r="W340" s="66"/>
      <c r="X340" s="66"/>
      <c r="Y340" s="66"/>
      <c r="Z340" s="66"/>
      <c r="AA340" s="66"/>
    </row>
    <row r="341" spans="1:27" ht="21" x14ac:dyDescent="0.65">
      <c r="A341" s="66"/>
      <c r="B341" s="66"/>
      <c r="C341" s="66"/>
      <c r="D341" s="66"/>
      <c r="E341" s="66"/>
      <c r="F341" s="66"/>
      <c r="G341" s="66"/>
      <c r="H341" s="66"/>
      <c r="I341" s="66"/>
      <c r="J341" s="66"/>
      <c r="K341" s="66"/>
      <c r="L341" s="66"/>
      <c r="M341" s="66"/>
      <c r="N341" s="66"/>
      <c r="O341" s="66"/>
      <c r="P341" s="66"/>
      <c r="Q341" s="66"/>
      <c r="R341" s="66"/>
      <c r="S341" s="66"/>
      <c r="T341" s="66"/>
      <c r="U341" s="66"/>
      <c r="V341" s="66"/>
      <c r="W341" s="66"/>
      <c r="X341" s="66"/>
      <c r="Y341" s="66"/>
      <c r="Z341" s="66"/>
      <c r="AA341" s="66"/>
    </row>
    <row r="342" spans="1:27" ht="21" x14ac:dyDescent="0.65">
      <c r="A342" s="66"/>
      <c r="B342" s="66"/>
      <c r="C342" s="66"/>
      <c r="D342" s="66"/>
      <c r="E342" s="66"/>
      <c r="F342" s="66"/>
      <c r="G342" s="66"/>
      <c r="H342" s="66"/>
      <c r="I342" s="66"/>
      <c r="J342" s="66"/>
      <c r="K342" s="66"/>
      <c r="L342" s="66"/>
      <c r="M342" s="66"/>
      <c r="N342" s="66"/>
      <c r="O342" s="66"/>
      <c r="P342" s="66"/>
      <c r="Q342" s="66"/>
      <c r="R342" s="66"/>
      <c r="S342" s="66"/>
      <c r="T342" s="66"/>
      <c r="U342" s="66"/>
      <c r="V342" s="66"/>
      <c r="W342" s="66"/>
      <c r="X342" s="66"/>
      <c r="Y342" s="66"/>
      <c r="Z342" s="66"/>
      <c r="AA342" s="66"/>
    </row>
    <row r="343" spans="1:27" ht="21" x14ac:dyDescent="0.65">
      <c r="A343" s="66"/>
      <c r="B343" s="66"/>
      <c r="C343" s="66"/>
      <c r="D343" s="66"/>
      <c r="E343" s="66"/>
      <c r="F343" s="66"/>
      <c r="G343" s="66"/>
      <c r="H343" s="66"/>
      <c r="I343" s="66"/>
      <c r="J343" s="66"/>
      <c r="K343" s="66"/>
      <c r="L343" s="66"/>
      <c r="M343" s="66"/>
      <c r="N343" s="66"/>
      <c r="O343" s="66"/>
      <c r="P343" s="66"/>
      <c r="Q343" s="66"/>
      <c r="R343" s="66"/>
      <c r="S343" s="66"/>
      <c r="T343" s="66"/>
      <c r="U343" s="66"/>
      <c r="V343" s="66"/>
      <c r="W343" s="66"/>
      <c r="X343" s="66"/>
      <c r="Y343" s="66"/>
      <c r="Z343" s="66"/>
      <c r="AA343" s="66"/>
    </row>
    <row r="344" spans="1:27" ht="21" x14ac:dyDescent="0.65">
      <c r="A344" s="66"/>
      <c r="B344" s="66"/>
      <c r="C344" s="66"/>
      <c r="D344" s="66"/>
      <c r="E344" s="66"/>
      <c r="F344" s="66"/>
      <c r="G344" s="66"/>
      <c r="H344" s="66"/>
      <c r="I344" s="66"/>
      <c r="J344" s="66"/>
      <c r="K344" s="66"/>
      <c r="L344" s="66"/>
      <c r="M344" s="66"/>
      <c r="N344" s="66"/>
      <c r="O344" s="66"/>
      <c r="P344" s="66"/>
      <c r="Q344" s="66"/>
      <c r="R344" s="66"/>
      <c r="S344" s="66"/>
      <c r="T344" s="66"/>
      <c r="U344" s="66"/>
      <c r="V344" s="66"/>
      <c r="W344" s="66"/>
      <c r="X344" s="66"/>
      <c r="Y344" s="66"/>
      <c r="Z344" s="66"/>
      <c r="AA344" s="66"/>
    </row>
    <row r="345" spans="1:27" ht="21" x14ac:dyDescent="0.65">
      <c r="A345" s="66"/>
      <c r="B345" s="66"/>
      <c r="C345" s="66"/>
      <c r="D345" s="66"/>
      <c r="E345" s="66"/>
      <c r="F345" s="66"/>
      <c r="G345" s="66"/>
      <c r="H345" s="66"/>
      <c r="I345" s="66"/>
      <c r="J345" s="66"/>
      <c r="K345" s="66"/>
      <c r="L345" s="66"/>
      <c r="M345" s="66"/>
      <c r="N345" s="66"/>
      <c r="O345" s="66"/>
      <c r="P345" s="66"/>
      <c r="Q345" s="66"/>
      <c r="R345" s="66"/>
      <c r="S345" s="66"/>
      <c r="T345" s="66"/>
      <c r="U345" s="66"/>
      <c r="V345" s="66"/>
      <c r="W345" s="66"/>
      <c r="X345" s="66"/>
      <c r="Y345" s="66"/>
      <c r="Z345" s="66"/>
      <c r="AA345" s="66"/>
    </row>
    <row r="346" spans="1:27" ht="21" x14ac:dyDescent="0.65">
      <c r="A346" s="66"/>
      <c r="B346" s="66"/>
      <c r="C346" s="66"/>
      <c r="D346" s="66"/>
      <c r="E346" s="66"/>
      <c r="F346" s="66"/>
      <c r="G346" s="66"/>
      <c r="H346" s="66"/>
      <c r="I346" s="66"/>
      <c r="J346" s="66"/>
      <c r="K346" s="66"/>
      <c r="L346" s="66"/>
      <c r="M346" s="66"/>
      <c r="N346" s="66"/>
      <c r="O346" s="66"/>
      <c r="P346" s="66"/>
      <c r="Q346" s="66"/>
      <c r="R346" s="66"/>
      <c r="S346" s="66"/>
      <c r="T346" s="66"/>
      <c r="U346" s="66"/>
      <c r="V346" s="66"/>
      <c r="W346" s="66"/>
      <c r="X346" s="66"/>
      <c r="Y346" s="66"/>
      <c r="Z346" s="66"/>
      <c r="AA346" s="66"/>
    </row>
    <row r="347" spans="1:27" ht="21" x14ac:dyDescent="0.65">
      <c r="A347" s="66"/>
      <c r="B347" s="66"/>
      <c r="C347" s="66"/>
      <c r="D347" s="66"/>
      <c r="E347" s="66"/>
      <c r="F347" s="66"/>
      <c r="G347" s="66"/>
      <c r="H347" s="66"/>
      <c r="I347" s="66"/>
      <c r="J347" s="66"/>
      <c r="K347" s="66"/>
      <c r="L347" s="66"/>
      <c r="M347" s="66"/>
      <c r="N347" s="66"/>
      <c r="O347" s="66"/>
      <c r="P347" s="66"/>
      <c r="Q347" s="66"/>
      <c r="R347" s="66"/>
      <c r="S347" s="66"/>
      <c r="T347" s="66"/>
      <c r="U347" s="66"/>
      <c r="V347" s="66"/>
      <c r="W347" s="66"/>
      <c r="X347" s="66"/>
      <c r="Y347" s="66"/>
      <c r="Z347" s="66"/>
      <c r="AA347" s="66"/>
    </row>
    <row r="348" spans="1:27" ht="21" x14ac:dyDescent="0.65">
      <c r="A348" s="66"/>
      <c r="B348" s="66"/>
      <c r="C348" s="66"/>
      <c r="D348" s="66"/>
      <c r="E348" s="66"/>
      <c r="F348" s="66"/>
      <c r="G348" s="66"/>
      <c r="H348" s="66"/>
      <c r="I348" s="66"/>
      <c r="J348" s="66"/>
      <c r="K348" s="66"/>
      <c r="L348" s="66"/>
      <c r="M348" s="66"/>
      <c r="N348" s="66"/>
      <c r="O348" s="66"/>
      <c r="P348" s="66"/>
      <c r="Q348" s="66"/>
      <c r="R348" s="66"/>
      <c r="S348" s="66"/>
      <c r="T348" s="66"/>
      <c r="U348" s="66"/>
      <c r="V348" s="66"/>
      <c r="W348" s="66"/>
      <c r="X348" s="66"/>
      <c r="Y348" s="66"/>
      <c r="Z348" s="66"/>
      <c r="AA348" s="66"/>
    </row>
    <row r="349" spans="1:27" ht="21" x14ac:dyDescent="0.65">
      <c r="A349" s="66"/>
      <c r="B349" s="66"/>
      <c r="C349" s="66"/>
      <c r="D349" s="66"/>
      <c r="E349" s="66"/>
      <c r="F349" s="66"/>
      <c r="G349" s="66"/>
      <c r="H349" s="66"/>
      <c r="I349" s="66"/>
      <c r="J349" s="66"/>
      <c r="K349" s="66"/>
      <c r="L349" s="66"/>
      <c r="M349" s="66"/>
      <c r="N349" s="66"/>
      <c r="O349" s="66"/>
      <c r="P349" s="66"/>
      <c r="Q349" s="66"/>
      <c r="R349" s="66"/>
      <c r="S349" s="66"/>
      <c r="T349" s="66"/>
      <c r="U349" s="66"/>
      <c r="V349" s="66"/>
      <c r="W349" s="66"/>
      <c r="X349" s="66"/>
      <c r="Y349" s="66"/>
      <c r="Z349" s="66"/>
      <c r="AA349" s="66"/>
    </row>
    <row r="350" spans="1:27" ht="21" x14ac:dyDescent="0.65">
      <c r="A350" s="66"/>
      <c r="B350" s="66"/>
      <c r="C350" s="66"/>
      <c r="D350" s="66"/>
      <c r="E350" s="66"/>
      <c r="F350" s="66"/>
      <c r="G350" s="66"/>
      <c r="H350" s="66"/>
      <c r="I350" s="66"/>
      <c r="J350" s="66"/>
      <c r="K350" s="66"/>
      <c r="L350" s="66"/>
      <c r="M350" s="66"/>
      <c r="N350" s="66"/>
      <c r="O350" s="66"/>
      <c r="P350" s="66"/>
      <c r="Q350" s="66"/>
      <c r="R350" s="66"/>
      <c r="S350" s="66"/>
      <c r="T350" s="66"/>
      <c r="U350" s="66"/>
      <c r="V350" s="66"/>
      <c r="W350" s="66"/>
      <c r="X350" s="66"/>
      <c r="Y350" s="66"/>
      <c r="Z350" s="66"/>
      <c r="AA350" s="66"/>
    </row>
    <row r="351" spans="1:27" ht="21" x14ac:dyDescent="0.65">
      <c r="A351" s="66"/>
      <c r="B351" s="66"/>
      <c r="C351" s="66"/>
      <c r="D351" s="66"/>
      <c r="E351" s="66"/>
      <c r="F351" s="66"/>
      <c r="G351" s="66"/>
      <c r="H351" s="66"/>
      <c r="I351" s="66"/>
      <c r="J351" s="66"/>
      <c r="K351" s="66"/>
      <c r="L351" s="66"/>
      <c r="M351" s="66"/>
      <c r="N351" s="66"/>
      <c r="O351" s="66"/>
      <c r="P351" s="66"/>
      <c r="Q351" s="66"/>
      <c r="R351" s="66"/>
      <c r="S351" s="66"/>
      <c r="T351" s="66"/>
      <c r="U351" s="66"/>
      <c r="V351" s="66"/>
      <c r="W351" s="66"/>
      <c r="X351" s="66"/>
      <c r="Y351" s="66"/>
      <c r="Z351" s="66"/>
      <c r="AA351" s="66"/>
    </row>
    <row r="352" spans="1:27" ht="21" x14ac:dyDescent="0.65">
      <c r="A352" s="66"/>
      <c r="B352" s="66"/>
      <c r="C352" s="66"/>
      <c r="D352" s="66"/>
      <c r="E352" s="66"/>
      <c r="F352" s="66"/>
      <c r="G352" s="66"/>
      <c r="H352" s="66"/>
      <c r="I352" s="66"/>
      <c r="J352" s="66"/>
      <c r="K352" s="66"/>
      <c r="L352" s="66"/>
      <c r="M352" s="66"/>
      <c r="N352" s="66"/>
      <c r="O352" s="66"/>
      <c r="P352" s="66"/>
      <c r="Q352" s="66"/>
      <c r="R352" s="66"/>
      <c r="S352" s="66"/>
      <c r="T352" s="66"/>
      <c r="U352" s="66"/>
      <c r="V352" s="66"/>
      <c r="W352" s="66"/>
      <c r="X352" s="66"/>
      <c r="Y352" s="66"/>
      <c r="Z352" s="66"/>
      <c r="AA352" s="66"/>
    </row>
    <row r="353" spans="1:27" ht="21" x14ac:dyDescent="0.65">
      <c r="A353" s="66"/>
      <c r="B353" s="66"/>
      <c r="C353" s="66"/>
      <c r="D353" s="66"/>
      <c r="E353" s="66"/>
      <c r="F353" s="66"/>
      <c r="G353" s="66"/>
      <c r="H353" s="66"/>
      <c r="I353" s="66"/>
      <c r="J353" s="66"/>
      <c r="K353" s="66"/>
      <c r="L353" s="66"/>
      <c r="M353" s="66"/>
      <c r="N353" s="66"/>
      <c r="O353" s="66"/>
      <c r="P353" s="66"/>
      <c r="Q353" s="66"/>
      <c r="R353" s="66"/>
      <c r="S353" s="66"/>
      <c r="T353" s="66"/>
      <c r="U353" s="66"/>
      <c r="V353" s="66"/>
      <c r="W353" s="66"/>
      <c r="X353" s="66"/>
      <c r="Y353" s="66"/>
      <c r="Z353" s="66"/>
      <c r="AA353" s="66"/>
    </row>
    <row r="354" spans="1:27" ht="21" x14ac:dyDescent="0.65">
      <c r="A354" s="66"/>
      <c r="B354" s="66"/>
      <c r="C354" s="66"/>
      <c r="D354" s="66"/>
      <c r="E354" s="66"/>
      <c r="F354" s="66"/>
      <c r="G354" s="66"/>
      <c r="H354" s="66"/>
      <c r="I354" s="66"/>
      <c r="J354" s="66"/>
      <c r="K354" s="66"/>
      <c r="L354" s="66"/>
      <c r="M354" s="66"/>
      <c r="N354" s="66"/>
      <c r="O354" s="66"/>
      <c r="P354" s="66"/>
      <c r="Q354" s="66"/>
      <c r="R354" s="66"/>
      <c r="S354" s="66"/>
      <c r="T354" s="66"/>
      <c r="U354" s="66"/>
      <c r="V354" s="66"/>
      <c r="W354" s="66"/>
      <c r="X354" s="66"/>
      <c r="Y354" s="66"/>
      <c r="Z354" s="66"/>
      <c r="AA354" s="66"/>
    </row>
    <row r="355" spans="1:27" ht="21" x14ac:dyDescent="0.65">
      <c r="A355" s="66"/>
      <c r="B355" s="66"/>
      <c r="C355" s="66"/>
      <c r="D355" s="66"/>
      <c r="E355" s="66"/>
      <c r="F355" s="66"/>
      <c r="G355" s="66"/>
      <c r="H355" s="66"/>
      <c r="I355" s="66"/>
      <c r="J355" s="66"/>
      <c r="K355" s="66"/>
      <c r="L355" s="66"/>
      <c r="M355" s="66"/>
      <c r="N355" s="66"/>
      <c r="O355" s="66"/>
      <c r="P355" s="66"/>
      <c r="Q355" s="66"/>
      <c r="R355" s="66"/>
      <c r="S355" s="66"/>
      <c r="T355" s="66"/>
      <c r="U355" s="66"/>
      <c r="V355" s="66"/>
      <c r="W355" s="66"/>
      <c r="X355" s="66"/>
      <c r="Y355" s="66"/>
      <c r="Z355" s="66"/>
      <c r="AA355" s="66"/>
    </row>
    <row r="356" spans="1:27" ht="21" x14ac:dyDescent="0.65">
      <c r="A356" s="66"/>
      <c r="B356" s="66"/>
      <c r="C356" s="66"/>
      <c r="D356" s="66"/>
      <c r="E356" s="66"/>
      <c r="F356" s="66"/>
      <c r="G356" s="66"/>
      <c r="H356" s="66"/>
      <c r="I356" s="66"/>
      <c r="J356" s="66"/>
      <c r="K356" s="66"/>
      <c r="L356" s="66"/>
      <c r="M356" s="66"/>
      <c r="N356" s="66"/>
      <c r="O356" s="66"/>
      <c r="P356" s="66"/>
      <c r="Q356" s="66"/>
      <c r="R356" s="66"/>
      <c r="S356" s="66"/>
      <c r="T356" s="66"/>
      <c r="U356" s="66"/>
      <c r="V356" s="66"/>
      <c r="W356" s="66"/>
      <c r="X356" s="66"/>
      <c r="Y356" s="66"/>
      <c r="Z356" s="66"/>
      <c r="AA356" s="66"/>
    </row>
    <row r="357" spans="1:27" ht="21" x14ac:dyDescent="0.65">
      <c r="A357" s="66"/>
      <c r="B357" s="66"/>
      <c r="C357" s="66"/>
      <c r="D357" s="66"/>
      <c r="E357" s="66"/>
      <c r="F357" s="66"/>
      <c r="G357" s="66"/>
      <c r="H357" s="66"/>
      <c r="I357" s="66"/>
      <c r="J357" s="66"/>
      <c r="K357" s="66"/>
      <c r="L357" s="66"/>
      <c r="M357" s="66"/>
      <c r="N357" s="66"/>
      <c r="O357" s="66"/>
      <c r="P357" s="66"/>
      <c r="Q357" s="66"/>
      <c r="R357" s="66"/>
      <c r="S357" s="66"/>
      <c r="T357" s="66"/>
      <c r="U357" s="66"/>
      <c r="V357" s="66"/>
      <c r="W357" s="66"/>
      <c r="X357" s="66"/>
      <c r="Y357" s="66"/>
      <c r="Z357" s="66"/>
      <c r="AA357" s="66"/>
    </row>
    <row r="358" spans="1:27" ht="21" x14ac:dyDescent="0.65">
      <c r="A358" s="66"/>
      <c r="B358" s="66"/>
      <c r="C358" s="66"/>
      <c r="D358" s="66"/>
      <c r="E358" s="66"/>
      <c r="F358" s="66"/>
      <c r="G358" s="66"/>
      <c r="H358" s="66"/>
      <c r="I358" s="66"/>
      <c r="J358" s="66"/>
      <c r="K358" s="66"/>
      <c r="L358" s="66"/>
      <c r="M358" s="66"/>
      <c r="N358" s="66"/>
      <c r="O358" s="66"/>
      <c r="P358" s="66"/>
      <c r="Q358" s="66"/>
      <c r="R358" s="66"/>
      <c r="S358" s="66"/>
      <c r="T358" s="66"/>
      <c r="U358" s="66"/>
      <c r="V358" s="66"/>
      <c r="W358" s="66"/>
      <c r="X358" s="66"/>
      <c r="Y358" s="66"/>
      <c r="Z358" s="66"/>
      <c r="AA358" s="66"/>
    </row>
    <row r="359" spans="1:27" ht="21" x14ac:dyDescent="0.65">
      <c r="A359" s="66"/>
      <c r="B359" s="66"/>
      <c r="C359" s="66"/>
      <c r="D359" s="66"/>
      <c r="E359" s="66"/>
      <c r="F359" s="66"/>
      <c r="G359" s="66"/>
      <c r="H359" s="66"/>
      <c r="I359" s="66"/>
      <c r="J359" s="66"/>
      <c r="K359" s="66"/>
      <c r="L359" s="66"/>
      <c r="M359" s="66"/>
      <c r="N359" s="66"/>
      <c r="O359" s="66"/>
      <c r="P359" s="66"/>
      <c r="Q359" s="66"/>
      <c r="R359" s="66"/>
      <c r="S359" s="66"/>
      <c r="T359" s="66"/>
      <c r="U359" s="66"/>
      <c r="V359" s="66"/>
      <c r="W359" s="66"/>
      <c r="X359" s="66"/>
      <c r="Y359" s="66"/>
      <c r="Z359" s="66"/>
      <c r="AA359" s="66"/>
    </row>
    <row r="360" spans="1:27" ht="21" x14ac:dyDescent="0.65">
      <c r="A360" s="66"/>
      <c r="B360" s="66"/>
      <c r="C360" s="66"/>
      <c r="D360" s="66"/>
      <c r="E360" s="66"/>
      <c r="F360" s="66"/>
      <c r="G360" s="66"/>
      <c r="H360" s="66"/>
      <c r="I360" s="66"/>
      <c r="J360" s="66"/>
      <c r="K360" s="66"/>
      <c r="L360" s="66"/>
      <c r="M360" s="66"/>
      <c r="N360" s="66"/>
      <c r="O360" s="66"/>
      <c r="P360" s="66"/>
      <c r="Q360" s="66"/>
      <c r="R360" s="66"/>
      <c r="S360" s="66"/>
      <c r="T360" s="66"/>
      <c r="U360" s="66"/>
      <c r="V360" s="66"/>
      <c r="W360" s="66"/>
      <c r="X360" s="66"/>
      <c r="Y360" s="66"/>
      <c r="Z360" s="66"/>
      <c r="AA360" s="66"/>
    </row>
    <row r="361" spans="1:27" ht="21" x14ac:dyDescent="0.65">
      <c r="A361" s="66"/>
      <c r="B361" s="66"/>
      <c r="C361" s="66"/>
      <c r="D361" s="66"/>
      <c r="E361" s="66"/>
      <c r="F361" s="66"/>
      <c r="G361" s="66"/>
      <c r="H361" s="66"/>
      <c r="I361" s="66"/>
      <c r="J361" s="66"/>
      <c r="K361" s="66"/>
      <c r="L361" s="66"/>
      <c r="M361" s="66"/>
      <c r="N361" s="66"/>
      <c r="O361" s="66"/>
      <c r="P361" s="66"/>
      <c r="Q361" s="66"/>
      <c r="R361" s="66"/>
      <c r="S361" s="66"/>
      <c r="T361" s="66"/>
      <c r="U361" s="66"/>
      <c r="V361" s="66"/>
      <c r="W361" s="66"/>
      <c r="X361" s="66"/>
      <c r="Y361" s="66"/>
      <c r="Z361" s="66"/>
      <c r="AA361" s="66"/>
    </row>
    <row r="362" spans="1:27" ht="21" x14ac:dyDescent="0.65">
      <c r="A362" s="66"/>
      <c r="B362" s="66"/>
      <c r="C362" s="66"/>
      <c r="D362" s="66"/>
      <c r="E362" s="66"/>
      <c r="F362" s="66"/>
      <c r="G362" s="66"/>
      <c r="H362" s="66"/>
      <c r="I362" s="66"/>
      <c r="J362" s="66"/>
      <c r="K362" s="66"/>
      <c r="L362" s="66"/>
      <c r="M362" s="66"/>
      <c r="N362" s="66"/>
      <c r="O362" s="66"/>
      <c r="P362" s="66"/>
      <c r="Q362" s="66"/>
      <c r="R362" s="66"/>
      <c r="S362" s="66"/>
      <c r="T362" s="66"/>
      <c r="U362" s="66"/>
      <c r="V362" s="66"/>
      <c r="W362" s="66"/>
      <c r="X362" s="66"/>
      <c r="Y362" s="66"/>
      <c r="Z362" s="66"/>
      <c r="AA362" s="66"/>
    </row>
    <row r="363" spans="1:27" ht="21" x14ac:dyDescent="0.65">
      <c r="A363" s="66"/>
      <c r="B363" s="66"/>
      <c r="C363" s="66"/>
      <c r="D363" s="66"/>
      <c r="E363" s="66"/>
      <c r="F363" s="66"/>
      <c r="G363" s="66"/>
      <c r="H363" s="66"/>
      <c r="I363" s="66"/>
      <c r="J363" s="66"/>
      <c r="K363" s="66"/>
      <c r="L363" s="66"/>
      <c r="M363" s="66"/>
      <c r="N363" s="66"/>
      <c r="O363" s="66"/>
      <c r="P363" s="66"/>
      <c r="Q363" s="66"/>
      <c r="R363" s="66"/>
      <c r="S363" s="66"/>
      <c r="T363" s="66"/>
      <c r="U363" s="66"/>
      <c r="V363" s="66"/>
      <c r="W363" s="66"/>
      <c r="X363" s="66"/>
      <c r="Y363" s="66"/>
      <c r="Z363" s="66"/>
      <c r="AA363" s="66"/>
    </row>
    <row r="364" spans="1:27" ht="21" x14ac:dyDescent="0.65">
      <c r="A364" s="66"/>
      <c r="B364" s="66"/>
      <c r="C364" s="66"/>
      <c r="D364" s="66"/>
      <c r="E364" s="66"/>
      <c r="F364" s="66"/>
      <c r="G364" s="66"/>
      <c r="H364" s="66"/>
      <c r="I364" s="66"/>
      <c r="J364" s="66"/>
      <c r="K364" s="66"/>
      <c r="L364" s="66"/>
      <c r="M364" s="66"/>
      <c r="N364" s="66"/>
      <c r="O364" s="66"/>
      <c r="P364" s="66"/>
      <c r="Q364" s="66"/>
      <c r="R364" s="66"/>
      <c r="S364" s="66"/>
      <c r="T364" s="66"/>
      <c r="U364" s="66"/>
      <c r="V364" s="66"/>
      <c r="W364" s="66"/>
      <c r="X364" s="66"/>
      <c r="Y364" s="66"/>
      <c r="Z364" s="66"/>
      <c r="AA364" s="66"/>
    </row>
    <row r="365" spans="1:27" ht="21" x14ac:dyDescent="0.65">
      <c r="A365" s="66"/>
      <c r="B365" s="66"/>
      <c r="C365" s="66"/>
      <c r="D365" s="66"/>
      <c r="E365" s="66"/>
      <c r="F365" s="66"/>
      <c r="G365" s="66"/>
      <c r="H365" s="66"/>
      <c r="I365" s="66"/>
      <c r="J365" s="66"/>
      <c r="K365" s="66"/>
      <c r="L365" s="66"/>
      <c r="M365" s="66"/>
      <c r="N365" s="66"/>
      <c r="O365" s="66"/>
      <c r="P365" s="66"/>
      <c r="Q365" s="66"/>
      <c r="R365" s="66"/>
      <c r="S365" s="66"/>
      <c r="T365" s="66"/>
      <c r="U365" s="66"/>
      <c r="V365" s="66"/>
      <c r="W365" s="66"/>
      <c r="X365" s="66"/>
      <c r="Y365" s="66"/>
      <c r="Z365" s="66"/>
      <c r="AA365" s="66"/>
    </row>
    <row r="366" spans="1:27" ht="21" x14ac:dyDescent="0.65">
      <c r="A366" s="66"/>
      <c r="B366" s="66"/>
      <c r="C366" s="66"/>
      <c r="D366" s="66"/>
      <c r="E366" s="66"/>
      <c r="F366" s="66"/>
      <c r="G366" s="66"/>
      <c r="H366" s="66"/>
      <c r="I366" s="66"/>
      <c r="J366" s="66"/>
      <c r="K366" s="66"/>
      <c r="L366" s="66"/>
      <c r="M366" s="66"/>
      <c r="N366" s="66"/>
      <c r="O366" s="66"/>
      <c r="P366" s="66"/>
      <c r="Q366" s="66"/>
      <c r="R366" s="66"/>
      <c r="S366" s="66"/>
      <c r="T366" s="66"/>
      <c r="U366" s="66"/>
      <c r="V366" s="66"/>
      <c r="W366" s="66"/>
      <c r="X366" s="66"/>
      <c r="Y366" s="66"/>
      <c r="Z366" s="66"/>
      <c r="AA366" s="66"/>
    </row>
    <row r="367" spans="1:27" ht="21" x14ac:dyDescent="0.65">
      <c r="A367" s="66"/>
      <c r="B367" s="66"/>
      <c r="C367" s="66"/>
      <c r="D367" s="66"/>
      <c r="E367" s="66"/>
      <c r="F367" s="66"/>
      <c r="G367" s="66"/>
      <c r="H367" s="66"/>
      <c r="I367" s="66"/>
      <c r="J367" s="66"/>
      <c r="K367" s="66"/>
      <c r="L367" s="66"/>
      <c r="M367" s="66"/>
      <c r="N367" s="66"/>
      <c r="O367" s="66"/>
      <c r="P367" s="66"/>
      <c r="Q367" s="66"/>
      <c r="R367" s="66"/>
      <c r="S367" s="66"/>
      <c r="T367" s="66"/>
      <c r="U367" s="66"/>
      <c r="V367" s="66"/>
      <c r="W367" s="66"/>
      <c r="X367" s="66"/>
      <c r="Y367" s="66"/>
      <c r="Z367" s="66"/>
      <c r="AA367" s="66"/>
    </row>
    <row r="368" spans="1:27" ht="21" x14ac:dyDescent="0.65">
      <c r="A368" s="66"/>
      <c r="B368" s="66"/>
      <c r="C368" s="66"/>
      <c r="D368" s="66"/>
      <c r="E368" s="66"/>
      <c r="F368" s="66"/>
      <c r="G368" s="66"/>
      <c r="H368" s="66"/>
      <c r="I368" s="66"/>
      <c r="J368" s="66"/>
      <c r="K368" s="66"/>
      <c r="L368" s="66"/>
      <c r="M368" s="66"/>
      <c r="N368" s="66"/>
      <c r="O368" s="66"/>
      <c r="P368" s="66"/>
      <c r="Q368" s="66"/>
      <c r="R368" s="66"/>
      <c r="S368" s="66"/>
      <c r="T368" s="66"/>
      <c r="U368" s="66"/>
      <c r="V368" s="66"/>
      <c r="W368" s="66"/>
      <c r="X368" s="66"/>
      <c r="Y368" s="66"/>
      <c r="Z368" s="66"/>
      <c r="AA368" s="66"/>
    </row>
    <row r="369" spans="1:27" ht="21" x14ac:dyDescent="0.65">
      <c r="A369" s="66"/>
      <c r="B369" s="66"/>
      <c r="C369" s="66"/>
      <c r="D369" s="66"/>
      <c r="E369" s="66"/>
      <c r="F369" s="66"/>
      <c r="G369" s="66"/>
      <c r="H369" s="66"/>
      <c r="I369" s="66"/>
      <c r="J369" s="66"/>
      <c r="K369" s="66"/>
      <c r="L369" s="66"/>
      <c r="M369" s="66"/>
      <c r="N369" s="66"/>
      <c r="O369" s="66"/>
      <c r="P369" s="66"/>
      <c r="Q369" s="66"/>
      <c r="R369" s="66"/>
      <c r="S369" s="66"/>
      <c r="T369" s="66"/>
      <c r="U369" s="66"/>
      <c r="V369" s="66"/>
      <c r="W369" s="66"/>
      <c r="X369" s="66"/>
      <c r="Y369" s="66"/>
      <c r="Z369" s="66"/>
      <c r="AA369" s="66"/>
    </row>
    <row r="370" spans="1:27" ht="21" x14ac:dyDescent="0.65">
      <c r="A370" s="66"/>
      <c r="B370" s="66"/>
      <c r="C370" s="66"/>
      <c r="D370" s="66"/>
      <c r="E370" s="66"/>
      <c r="F370" s="66"/>
      <c r="G370" s="66"/>
      <c r="H370" s="66"/>
      <c r="I370" s="66"/>
      <c r="J370" s="66"/>
      <c r="K370" s="66"/>
      <c r="L370" s="66"/>
      <c r="M370" s="66"/>
      <c r="N370" s="66"/>
      <c r="O370" s="66"/>
      <c r="P370" s="66"/>
      <c r="Q370" s="66"/>
      <c r="R370" s="66"/>
      <c r="S370" s="66"/>
      <c r="T370" s="66"/>
      <c r="U370" s="66"/>
      <c r="V370" s="66"/>
      <c r="W370" s="66"/>
      <c r="X370" s="66"/>
      <c r="Y370" s="66"/>
      <c r="Z370" s="66"/>
      <c r="AA370" s="66"/>
    </row>
    <row r="371" spans="1:27" ht="21" x14ac:dyDescent="0.65">
      <c r="A371" s="66"/>
      <c r="B371" s="66"/>
      <c r="C371" s="66"/>
      <c r="D371" s="66"/>
      <c r="E371" s="66"/>
      <c r="F371" s="66"/>
      <c r="G371" s="66"/>
      <c r="H371" s="66"/>
      <c r="I371" s="66"/>
      <c r="J371" s="66"/>
      <c r="K371" s="66"/>
      <c r="L371" s="66"/>
      <c r="M371" s="66"/>
      <c r="N371" s="66"/>
      <c r="O371" s="66"/>
      <c r="P371" s="66"/>
      <c r="Q371" s="66"/>
      <c r="R371" s="66"/>
      <c r="S371" s="66"/>
      <c r="T371" s="66"/>
      <c r="U371" s="66"/>
      <c r="V371" s="66"/>
      <c r="W371" s="66"/>
      <c r="X371" s="66"/>
      <c r="Y371" s="66"/>
      <c r="Z371" s="66"/>
      <c r="AA371" s="66"/>
    </row>
    <row r="372" spans="1:27" ht="21" x14ac:dyDescent="0.65">
      <c r="A372" s="66"/>
      <c r="B372" s="66"/>
      <c r="C372" s="66"/>
      <c r="D372" s="66"/>
      <c r="E372" s="66"/>
      <c r="F372" s="66"/>
      <c r="G372" s="66"/>
      <c r="H372" s="66"/>
      <c r="I372" s="66"/>
      <c r="J372" s="66"/>
      <c r="K372" s="66"/>
      <c r="L372" s="66"/>
      <c r="M372" s="66"/>
      <c r="N372" s="66"/>
      <c r="O372" s="66"/>
      <c r="P372" s="66"/>
      <c r="Q372" s="66"/>
      <c r="R372" s="66"/>
      <c r="S372" s="66"/>
      <c r="T372" s="66"/>
      <c r="U372" s="66"/>
      <c r="V372" s="66"/>
      <c r="W372" s="66"/>
      <c r="X372" s="66"/>
      <c r="Y372" s="66"/>
      <c r="Z372" s="66"/>
      <c r="AA372" s="66"/>
    </row>
    <row r="373" spans="1:27" ht="21" x14ac:dyDescent="0.65">
      <c r="A373" s="66"/>
      <c r="B373" s="66"/>
      <c r="C373" s="66"/>
      <c r="D373" s="66"/>
      <c r="E373" s="66"/>
      <c r="F373" s="66"/>
      <c r="G373" s="66"/>
      <c r="H373" s="66"/>
      <c r="I373" s="66"/>
      <c r="J373" s="66"/>
      <c r="K373" s="66"/>
      <c r="L373" s="66"/>
      <c r="M373" s="66"/>
      <c r="N373" s="66"/>
      <c r="O373" s="66"/>
      <c r="P373" s="66"/>
      <c r="Q373" s="66"/>
      <c r="R373" s="66"/>
      <c r="S373" s="66"/>
      <c r="T373" s="66"/>
      <c r="U373" s="66"/>
      <c r="V373" s="66"/>
      <c r="W373" s="66"/>
      <c r="X373" s="66"/>
      <c r="Y373" s="66"/>
      <c r="Z373" s="66"/>
      <c r="AA373" s="66"/>
    </row>
    <row r="374" spans="1:27" ht="21" x14ac:dyDescent="0.65">
      <c r="A374" s="66"/>
      <c r="B374" s="66"/>
      <c r="C374" s="66"/>
      <c r="D374" s="66"/>
      <c r="E374" s="66"/>
      <c r="F374" s="66"/>
      <c r="G374" s="66"/>
      <c r="H374" s="66"/>
      <c r="I374" s="66"/>
      <c r="J374" s="66"/>
      <c r="K374" s="66"/>
      <c r="L374" s="66"/>
      <c r="M374" s="66"/>
      <c r="N374" s="66"/>
      <c r="O374" s="66"/>
      <c r="P374" s="66"/>
      <c r="Q374" s="66"/>
      <c r="R374" s="66"/>
      <c r="S374" s="66"/>
      <c r="T374" s="66"/>
      <c r="U374" s="66"/>
      <c r="V374" s="66"/>
      <c r="W374" s="66"/>
      <c r="X374" s="66"/>
      <c r="Y374" s="66"/>
      <c r="Z374" s="66"/>
      <c r="AA374" s="66"/>
    </row>
    <row r="375" spans="1:27" ht="21" x14ac:dyDescent="0.65">
      <c r="A375" s="66"/>
      <c r="B375" s="66"/>
      <c r="C375" s="66"/>
      <c r="D375" s="66"/>
      <c r="E375" s="66"/>
      <c r="F375" s="66"/>
      <c r="G375" s="66"/>
      <c r="H375" s="66"/>
      <c r="I375" s="66"/>
      <c r="J375" s="66"/>
      <c r="K375" s="66"/>
      <c r="L375" s="66"/>
      <c r="M375" s="66"/>
      <c r="N375" s="66"/>
      <c r="O375" s="66"/>
      <c r="P375" s="66"/>
      <c r="Q375" s="66"/>
      <c r="R375" s="66"/>
      <c r="S375" s="66"/>
      <c r="T375" s="66"/>
      <c r="U375" s="66"/>
      <c r="V375" s="66"/>
      <c r="W375" s="66"/>
      <c r="X375" s="66"/>
      <c r="Y375" s="66"/>
      <c r="Z375" s="66"/>
      <c r="AA375" s="66"/>
    </row>
    <row r="376" spans="1:27" ht="21" x14ac:dyDescent="0.65">
      <c r="A376" s="66"/>
      <c r="B376" s="66"/>
      <c r="C376" s="66"/>
      <c r="D376" s="66"/>
      <c r="E376" s="66"/>
      <c r="F376" s="66"/>
      <c r="G376" s="66"/>
      <c r="H376" s="66"/>
      <c r="I376" s="66"/>
      <c r="J376" s="66"/>
      <c r="K376" s="66"/>
      <c r="L376" s="66"/>
      <c r="M376" s="66"/>
      <c r="N376" s="66"/>
      <c r="O376" s="66"/>
      <c r="P376" s="66"/>
      <c r="Q376" s="66"/>
      <c r="R376" s="66"/>
      <c r="S376" s="66"/>
      <c r="T376" s="66"/>
      <c r="U376" s="66"/>
      <c r="V376" s="66"/>
      <c r="W376" s="66"/>
      <c r="X376" s="66"/>
      <c r="Y376" s="66"/>
      <c r="Z376" s="66"/>
      <c r="AA376" s="66"/>
    </row>
    <row r="377" spans="1:27" ht="21" x14ac:dyDescent="0.65">
      <c r="A377" s="66"/>
      <c r="B377" s="66"/>
      <c r="C377" s="66"/>
      <c r="D377" s="66"/>
      <c r="E377" s="66"/>
      <c r="F377" s="66"/>
      <c r="G377" s="66"/>
      <c r="H377" s="66"/>
      <c r="I377" s="66"/>
      <c r="J377" s="66"/>
      <c r="K377" s="66"/>
      <c r="L377" s="66"/>
      <c r="M377" s="66"/>
      <c r="N377" s="66"/>
      <c r="O377" s="66"/>
      <c r="P377" s="66"/>
      <c r="Q377" s="66"/>
      <c r="R377" s="66"/>
      <c r="S377" s="66"/>
      <c r="T377" s="66"/>
      <c r="U377" s="66"/>
      <c r="V377" s="66"/>
      <c r="W377" s="66"/>
      <c r="X377" s="66"/>
      <c r="Y377" s="66"/>
      <c r="Z377" s="66"/>
      <c r="AA377" s="66"/>
    </row>
    <row r="378" spans="1:27" ht="21" x14ac:dyDescent="0.65">
      <c r="A378" s="66"/>
      <c r="B378" s="66"/>
      <c r="C378" s="66"/>
      <c r="D378" s="66"/>
      <c r="E378" s="66"/>
      <c r="F378" s="66"/>
      <c r="G378" s="66"/>
      <c r="H378" s="66"/>
      <c r="I378" s="66"/>
      <c r="J378" s="66"/>
      <c r="K378" s="66"/>
      <c r="L378" s="66"/>
      <c r="M378" s="66"/>
      <c r="N378" s="66"/>
      <c r="O378" s="66"/>
      <c r="P378" s="66"/>
      <c r="Q378" s="66"/>
      <c r="R378" s="66"/>
      <c r="S378" s="66"/>
      <c r="T378" s="66"/>
      <c r="U378" s="66"/>
      <c r="V378" s="66"/>
      <c r="W378" s="66"/>
      <c r="X378" s="66"/>
      <c r="Y378" s="66"/>
      <c r="Z378" s="66"/>
      <c r="AA378" s="66"/>
    </row>
    <row r="379" spans="1:27" ht="21" x14ac:dyDescent="0.65">
      <c r="A379" s="66"/>
      <c r="B379" s="66"/>
      <c r="C379" s="66"/>
      <c r="D379" s="66"/>
      <c r="E379" s="66"/>
      <c r="F379" s="66"/>
      <c r="G379" s="66"/>
      <c r="H379" s="66"/>
      <c r="I379" s="66"/>
      <c r="J379" s="66"/>
      <c r="K379" s="66"/>
      <c r="L379" s="66"/>
      <c r="M379" s="66"/>
      <c r="N379" s="66"/>
      <c r="O379" s="66"/>
      <c r="P379" s="66"/>
      <c r="Q379" s="66"/>
      <c r="R379" s="66"/>
      <c r="S379" s="66"/>
      <c r="T379" s="66"/>
      <c r="U379" s="66"/>
      <c r="V379" s="66"/>
      <c r="W379" s="66"/>
      <c r="X379" s="66"/>
      <c r="Y379" s="66"/>
      <c r="Z379" s="66"/>
      <c r="AA379" s="66"/>
    </row>
    <row r="380" spans="1:27" ht="21" x14ac:dyDescent="0.65">
      <c r="A380" s="66"/>
      <c r="B380" s="66"/>
      <c r="C380" s="66"/>
      <c r="D380" s="66"/>
      <c r="E380" s="66"/>
      <c r="F380" s="66"/>
      <c r="G380" s="66"/>
      <c r="H380" s="66"/>
      <c r="I380" s="66"/>
      <c r="J380" s="66"/>
      <c r="K380" s="66"/>
      <c r="L380" s="66"/>
      <c r="M380" s="66"/>
      <c r="N380" s="66"/>
      <c r="O380" s="66"/>
      <c r="P380" s="66"/>
      <c r="Q380" s="66"/>
      <c r="R380" s="66"/>
      <c r="S380" s="66"/>
      <c r="T380" s="66"/>
      <c r="U380" s="66"/>
      <c r="V380" s="66"/>
      <c r="W380" s="66"/>
      <c r="X380" s="66"/>
      <c r="Y380" s="66"/>
      <c r="Z380" s="66"/>
      <c r="AA380" s="66"/>
    </row>
    <row r="381" spans="1:27" ht="21" x14ac:dyDescent="0.65">
      <c r="A381" s="66"/>
      <c r="B381" s="66"/>
      <c r="C381" s="66"/>
      <c r="D381" s="66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66"/>
      <c r="P381" s="66"/>
      <c r="Q381" s="66"/>
      <c r="R381" s="66"/>
      <c r="S381" s="66"/>
      <c r="T381" s="66"/>
      <c r="U381" s="66"/>
      <c r="V381" s="66"/>
      <c r="W381" s="66"/>
      <c r="X381" s="66"/>
      <c r="Y381" s="66"/>
      <c r="Z381" s="66"/>
      <c r="AA381" s="66"/>
    </row>
    <row r="382" spans="1:27" ht="21" x14ac:dyDescent="0.65">
      <c r="A382" s="66"/>
      <c r="B382" s="66"/>
      <c r="C382" s="66"/>
      <c r="D382" s="66"/>
      <c r="E382" s="66"/>
      <c r="F382" s="66"/>
      <c r="G382" s="66"/>
      <c r="H382" s="66"/>
      <c r="I382" s="66"/>
      <c r="J382" s="66"/>
      <c r="K382" s="66"/>
      <c r="L382" s="66"/>
      <c r="M382" s="66"/>
      <c r="N382" s="66"/>
      <c r="O382" s="66"/>
      <c r="P382" s="66"/>
      <c r="Q382" s="66"/>
      <c r="R382" s="66"/>
      <c r="S382" s="66"/>
      <c r="T382" s="66"/>
      <c r="U382" s="66"/>
      <c r="V382" s="66"/>
      <c r="W382" s="66"/>
      <c r="X382" s="66"/>
      <c r="Y382" s="66"/>
      <c r="Z382" s="66"/>
      <c r="AA382" s="66"/>
    </row>
    <row r="383" spans="1:27" ht="21" x14ac:dyDescent="0.65">
      <c r="A383" s="66"/>
      <c r="B383" s="66"/>
      <c r="C383" s="66"/>
      <c r="D383" s="66"/>
      <c r="E383" s="66"/>
      <c r="F383" s="66"/>
      <c r="G383" s="66"/>
      <c r="H383" s="66"/>
      <c r="I383" s="66"/>
      <c r="J383" s="66"/>
      <c r="K383" s="66"/>
      <c r="L383" s="66"/>
      <c r="M383" s="66"/>
      <c r="N383" s="66"/>
      <c r="O383" s="66"/>
      <c r="P383" s="66"/>
      <c r="Q383" s="66"/>
      <c r="R383" s="66"/>
      <c r="S383" s="66"/>
      <c r="T383" s="66"/>
      <c r="U383" s="66"/>
      <c r="V383" s="66"/>
      <c r="W383" s="66"/>
      <c r="X383" s="66"/>
      <c r="Y383" s="66"/>
      <c r="Z383" s="66"/>
      <c r="AA383" s="66"/>
    </row>
    <row r="384" spans="1:27" ht="21" x14ac:dyDescent="0.65">
      <c r="A384" s="66"/>
      <c r="B384" s="66"/>
      <c r="C384" s="66"/>
      <c r="D384" s="66"/>
      <c r="E384" s="66"/>
      <c r="F384" s="66"/>
      <c r="G384" s="66"/>
      <c r="H384" s="66"/>
      <c r="I384" s="66"/>
      <c r="J384" s="66"/>
      <c r="K384" s="66"/>
      <c r="L384" s="66"/>
      <c r="M384" s="66"/>
      <c r="N384" s="66"/>
      <c r="O384" s="66"/>
      <c r="P384" s="66"/>
      <c r="Q384" s="66"/>
      <c r="R384" s="66"/>
      <c r="S384" s="66"/>
      <c r="T384" s="66"/>
      <c r="U384" s="66"/>
      <c r="V384" s="66"/>
      <c r="W384" s="66"/>
      <c r="X384" s="66"/>
      <c r="Y384" s="66"/>
      <c r="Z384" s="66"/>
      <c r="AA384" s="66"/>
    </row>
    <row r="385" spans="1:27" ht="21" x14ac:dyDescent="0.65">
      <c r="A385" s="66"/>
      <c r="B385" s="66"/>
      <c r="C385" s="66"/>
      <c r="D385" s="66"/>
      <c r="E385" s="66"/>
      <c r="F385" s="66"/>
      <c r="G385" s="66"/>
      <c r="H385" s="66"/>
      <c r="I385" s="66"/>
      <c r="J385" s="66"/>
      <c r="K385" s="66"/>
      <c r="L385" s="66"/>
      <c r="M385" s="66"/>
      <c r="N385" s="66"/>
      <c r="O385" s="66"/>
      <c r="P385" s="66"/>
      <c r="Q385" s="66"/>
      <c r="R385" s="66"/>
      <c r="S385" s="66"/>
      <c r="T385" s="66"/>
      <c r="U385" s="66"/>
      <c r="V385" s="66"/>
      <c r="W385" s="66"/>
      <c r="X385" s="66"/>
      <c r="Y385" s="66"/>
      <c r="Z385" s="66"/>
      <c r="AA385" s="66"/>
    </row>
    <row r="386" spans="1:27" ht="21" x14ac:dyDescent="0.65">
      <c r="A386" s="66"/>
      <c r="B386" s="66"/>
      <c r="C386" s="66"/>
      <c r="D386" s="66"/>
      <c r="E386" s="66"/>
      <c r="F386" s="66"/>
      <c r="G386" s="66"/>
      <c r="H386" s="66"/>
      <c r="I386" s="66"/>
      <c r="J386" s="66"/>
      <c r="K386" s="66"/>
      <c r="L386" s="66"/>
      <c r="M386" s="66"/>
      <c r="N386" s="66"/>
      <c r="O386" s="66"/>
      <c r="P386" s="66"/>
      <c r="Q386" s="66"/>
      <c r="R386" s="66"/>
      <c r="S386" s="66"/>
      <c r="T386" s="66"/>
      <c r="U386" s="66"/>
      <c r="V386" s="66"/>
      <c r="W386" s="66"/>
      <c r="X386" s="66"/>
      <c r="Y386" s="66"/>
      <c r="Z386" s="66"/>
      <c r="AA386" s="66"/>
    </row>
    <row r="387" spans="1:27" ht="21" x14ac:dyDescent="0.65">
      <c r="A387" s="66"/>
      <c r="B387" s="66"/>
      <c r="C387" s="66"/>
      <c r="D387" s="66"/>
      <c r="E387" s="66"/>
      <c r="F387" s="66"/>
      <c r="G387" s="66"/>
      <c r="H387" s="66"/>
      <c r="I387" s="66"/>
      <c r="J387" s="66"/>
      <c r="K387" s="66"/>
      <c r="L387" s="66"/>
      <c r="M387" s="66"/>
      <c r="N387" s="66"/>
      <c r="O387" s="66"/>
      <c r="P387" s="66"/>
      <c r="Q387" s="66"/>
      <c r="R387" s="66"/>
      <c r="S387" s="66"/>
      <c r="T387" s="66"/>
      <c r="U387" s="66"/>
      <c r="V387" s="66"/>
      <c r="W387" s="66"/>
      <c r="X387" s="66"/>
      <c r="Y387" s="66"/>
      <c r="Z387" s="66"/>
      <c r="AA387" s="66"/>
    </row>
    <row r="388" spans="1:27" ht="21" x14ac:dyDescent="0.65">
      <c r="A388" s="66"/>
      <c r="B388" s="66"/>
      <c r="C388" s="66"/>
      <c r="D388" s="66"/>
      <c r="E388" s="66"/>
      <c r="F388" s="66"/>
      <c r="G388" s="66"/>
      <c r="H388" s="66"/>
      <c r="I388" s="66"/>
      <c r="J388" s="66"/>
      <c r="K388" s="66"/>
      <c r="L388" s="66"/>
      <c r="M388" s="66"/>
      <c r="N388" s="66"/>
      <c r="O388" s="66"/>
      <c r="P388" s="66"/>
      <c r="Q388" s="66"/>
      <c r="R388" s="66"/>
      <c r="S388" s="66"/>
      <c r="T388" s="66"/>
      <c r="U388" s="66"/>
      <c r="V388" s="66"/>
      <c r="W388" s="66"/>
      <c r="X388" s="66"/>
      <c r="Y388" s="66"/>
      <c r="Z388" s="66"/>
      <c r="AA388" s="66"/>
    </row>
    <row r="389" spans="1:27" ht="21" x14ac:dyDescent="0.65">
      <c r="A389" s="66"/>
      <c r="B389" s="66"/>
      <c r="C389" s="66"/>
      <c r="D389" s="66"/>
      <c r="E389" s="66"/>
      <c r="F389" s="66"/>
      <c r="G389" s="66"/>
      <c r="H389" s="66"/>
      <c r="I389" s="66"/>
      <c r="J389" s="66"/>
      <c r="K389" s="66"/>
      <c r="L389" s="66"/>
      <c r="M389" s="66"/>
      <c r="N389" s="66"/>
      <c r="O389" s="66"/>
      <c r="P389" s="66"/>
      <c r="Q389" s="66"/>
      <c r="R389" s="66"/>
      <c r="S389" s="66"/>
      <c r="T389" s="66"/>
      <c r="U389" s="66"/>
      <c r="V389" s="66"/>
      <c r="W389" s="66"/>
      <c r="X389" s="66"/>
      <c r="Y389" s="66"/>
      <c r="Z389" s="66"/>
      <c r="AA389" s="66"/>
    </row>
    <row r="390" spans="1:27" ht="21" x14ac:dyDescent="0.65">
      <c r="A390" s="66"/>
      <c r="B390" s="66"/>
      <c r="C390" s="66"/>
      <c r="D390" s="66"/>
      <c r="E390" s="66"/>
      <c r="F390" s="66"/>
      <c r="G390" s="66"/>
      <c r="H390" s="66"/>
      <c r="I390" s="66"/>
      <c r="J390" s="66"/>
      <c r="K390" s="66"/>
      <c r="L390" s="66"/>
      <c r="M390" s="66"/>
      <c r="N390" s="66"/>
      <c r="O390" s="66"/>
      <c r="P390" s="66"/>
      <c r="Q390" s="66"/>
      <c r="R390" s="66"/>
      <c r="S390" s="66"/>
      <c r="T390" s="66"/>
      <c r="U390" s="66"/>
      <c r="V390" s="66"/>
      <c r="W390" s="66"/>
      <c r="X390" s="66"/>
      <c r="Y390" s="66"/>
      <c r="Z390" s="66"/>
      <c r="AA390" s="66"/>
    </row>
    <row r="391" spans="1:27" ht="21" x14ac:dyDescent="0.65">
      <c r="A391" s="66"/>
      <c r="B391" s="66"/>
      <c r="C391" s="66"/>
      <c r="D391" s="66"/>
      <c r="E391" s="66"/>
      <c r="F391" s="66"/>
      <c r="G391" s="66"/>
      <c r="H391" s="66"/>
      <c r="I391" s="66"/>
      <c r="J391" s="66"/>
      <c r="K391" s="66"/>
      <c r="L391" s="66"/>
      <c r="M391" s="66"/>
      <c r="N391" s="66"/>
      <c r="O391" s="66"/>
      <c r="P391" s="66"/>
      <c r="Q391" s="66"/>
      <c r="R391" s="66"/>
      <c r="S391" s="66"/>
      <c r="T391" s="66"/>
      <c r="U391" s="66"/>
      <c r="V391" s="66"/>
      <c r="W391" s="66"/>
      <c r="X391" s="66"/>
      <c r="Y391" s="66"/>
      <c r="Z391" s="66"/>
      <c r="AA391" s="66"/>
    </row>
    <row r="392" spans="1:27" ht="21" x14ac:dyDescent="0.65">
      <c r="A392" s="66"/>
      <c r="B392" s="66"/>
      <c r="C392" s="66"/>
      <c r="D392" s="66"/>
      <c r="E392" s="66"/>
      <c r="F392" s="66"/>
      <c r="G392" s="66"/>
      <c r="H392" s="66"/>
      <c r="I392" s="66"/>
      <c r="J392" s="66"/>
      <c r="K392" s="66"/>
      <c r="L392" s="66"/>
      <c r="M392" s="66"/>
      <c r="N392" s="66"/>
      <c r="O392" s="66"/>
      <c r="P392" s="66"/>
      <c r="Q392" s="66"/>
      <c r="R392" s="66"/>
      <c r="S392" s="66"/>
      <c r="T392" s="66"/>
      <c r="U392" s="66"/>
      <c r="V392" s="66"/>
      <c r="W392" s="66"/>
      <c r="X392" s="66"/>
      <c r="Y392" s="66"/>
      <c r="Z392" s="66"/>
      <c r="AA392" s="66"/>
    </row>
    <row r="393" spans="1:27" ht="21" x14ac:dyDescent="0.65">
      <c r="A393" s="66"/>
      <c r="B393" s="66"/>
      <c r="C393" s="66"/>
      <c r="D393" s="66"/>
      <c r="E393" s="66"/>
      <c r="F393" s="66"/>
      <c r="G393" s="66"/>
      <c r="H393" s="66"/>
      <c r="I393" s="66"/>
      <c r="J393" s="66"/>
      <c r="K393" s="66"/>
      <c r="L393" s="66"/>
      <c r="M393" s="66"/>
      <c r="N393" s="66"/>
      <c r="O393" s="66"/>
      <c r="P393" s="66"/>
      <c r="Q393" s="66"/>
      <c r="R393" s="66"/>
      <c r="S393" s="66"/>
      <c r="T393" s="66"/>
      <c r="U393" s="66"/>
      <c r="V393" s="66"/>
      <c r="W393" s="66"/>
      <c r="X393" s="66"/>
      <c r="Y393" s="66"/>
      <c r="Z393" s="66"/>
      <c r="AA393" s="66"/>
    </row>
    <row r="394" spans="1:27" ht="21" x14ac:dyDescent="0.65">
      <c r="A394" s="66"/>
      <c r="B394" s="66"/>
      <c r="C394" s="66"/>
      <c r="D394" s="66"/>
      <c r="E394" s="66"/>
      <c r="F394" s="66"/>
      <c r="G394" s="66"/>
      <c r="H394" s="66"/>
      <c r="I394" s="66"/>
      <c r="J394" s="66"/>
      <c r="K394" s="66"/>
      <c r="L394" s="66"/>
      <c r="M394" s="66"/>
      <c r="N394" s="66"/>
      <c r="O394" s="66"/>
      <c r="P394" s="66"/>
      <c r="Q394" s="66"/>
      <c r="R394" s="66"/>
      <c r="S394" s="66"/>
      <c r="T394" s="66"/>
      <c r="U394" s="66"/>
      <c r="V394" s="66"/>
      <c r="W394" s="66"/>
      <c r="X394" s="66"/>
      <c r="Y394" s="66"/>
      <c r="Z394" s="66"/>
      <c r="AA394" s="66"/>
    </row>
    <row r="395" spans="1:27" ht="21" x14ac:dyDescent="0.65">
      <c r="A395" s="66"/>
      <c r="B395" s="66"/>
      <c r="C395" s="66"/>
      <c r="D395" s="66"/>
      <c r="E395" s="66"/>
      <c r="F395" s="66"/>
      <c r="G395" s="66"/>
      <c r="H395" s="66"/>
      <c r="I395" s="66"/>
      <c r="J395" s="66"/>
      <c r="K395" s="66"/>
      <c r="L395" s="66"/>
      <c r="M395" s="66"/>
      <c r="N395" s="66"/>
      <c r="O395" s="66"/>
      <c r="P395" s="66"/>
      <c r="Q395" s="66"/>
      <c r="R395" s="66"/>
      <c r="S395" s="66"/>
      <c r="T395" s="66"/>
      <c r="U395" s="66"/>
      <c r="V395" s="66"/>
      <c r="W395" s="66"/>
      <c r="X395" s="66"/>
      <c r="Y395" s="66"/>
      <c r="Z395" s="66"/>
      <c r="AA395" s="66"/>
    </row>
    <row r="396" spans="1:27" ht="21" x14ac:dyDescent="0.65">
      <c r="A396" s="66"/>
      <c r="B396" s="66"/>
      <c r="C396" s="66"/>
      <c r="D396" s="66"/>
      <c r="E396" s="66"/>
      <c r="F396" s="66"/>
      <c r="G396" s="66"/>
      <c r="H396" s="66"/>
      <c r="I396" s="66"/>
      <c r="J396" s="66"/>
      <c r="K396" s="66"/>
      <c r="L396" s="66"/>
      <c r="M396" s="66"/>
      <c r="N396" s="66"/>
      <c r="O396" s="66"/>
      <c r="P396" s="66"/>
      <c r="Q396" s="66"/>
      <c r="R396" s="66"/>
      <c r="S396" s="66"/>
      <c r="T396" s="66"/>
      <c r="U396" s="66"/>
      <c r="V396" s="66"/>
      <c r="W396" s="66"/>
      <c r="X396" s="66"/>
      <c r="Y396" s="66"/>
      <c r="Z396" s="66"/>
      <c r="AA396" s="66"/>
    </row>
    <row r="397" spans="1:27" ht="21" x14ac:dyDescent="0.65">
      <c r="A397" s="66"/>
      <c r="B397" s="66"/>
      <c r="C397" s="66"/>
      <c r="D397" s="66"/>
      <c r="E397" s="66"/>
      <c r="F397" s="66"/>
      <c r="G397" s="66"/>
      <c r="H397" s="66"/>
      <c r="I397" s="66"/>
      <c r="J397" s="66"/>
      <c r="K397" s="66"/>
      <c r="L397" s="66"/>
      <c r="M397" s="66"/>
      <c r="N397" s="66"/>
      <c r="O397" s="66"/>
      <c r="P397" s="66"/>
      <c r="Q397" s="66"/>
      <c r="R397" s="66"/>
      <c r="S397" s="66"/>
      <c r="T397" s="66"/>
      <c r="U397" s="66"/>
      <c r="V397" s="66"/>
      <c r="W397" s="66"/>
      <c r="X397" s="66"/>
      <c r="Y397" s="66"/>
      <c r="Z397" s="66"/>
      <c r="AA397" s="66"/>
    </row>
    <row r="398" spans="1:27" ht="21" x14ac:dyDescent="0.65">
      <c r="A398" s="66"/>
      <c r="B398" s="66"/>
      <c r="C398" s="66"/>
      <c r="D398" s="66"/>
      <c r="E398" s="66"/>
      <c r="F398" s="66"/>
      <c r="G398" s="66"/>
      <c r="H398" s="66"/>
      <c r="I398" s="66"/>
      <c r="J398" s="66"/>
      <c r="K398" s="66"/>
      <c r="L398" s="66"/>
      <c r="M398" s="66"/>
      <c r="N398" s="66"/>
      <c r="O398" s="66"/>
      <c r="P398" s="66"/>
      <c r="Q398" s="66"/>
      <c r="R398" s="66"/>
      <c r="S398" s="66"/>
      <c r="T398" s="66"/>
      <c r="U398" s="66"/>
      <c r="V398" s="66"/>
      <c r="W398" s="66"/>
      <c r="X398" s="66"/>
      <c r="Y398" s="66"/>
      <c r="Z398" s="66"/>
      <c r="AA398" s="66"/>
    </row>
    <row r="399" spans="1:27" ht="21" x14ac:dyDescent="0.65">
      <c r="A399" s="66"/>
      <c r="B399" s="66"/>
      <c r="C399" s="66"/>
      <c r="D399" s="66"/>
      <c r="E399" s="66"/>
      <c r="F399" s="66"/>
      <c r="G399" s="66"/>
      <c r="H399" s="66"/>
      <c r="I399" s="66"/>
      <c r="J399" s="66"/>
      <c r="K399" s="66"/>
      <c r="L399" s="66"/>
      <c r="M399" s="66"/>
      <c r="N399" s="66"/>
      <c r="O399" s="66"/>
      <c r="P399" s="66"/>
      <c r="Q399" s="66"/>
      <c r="R399" s="66"/>
      <c r="S399" s="66"/>
      <c r="T399" s="66"/>
      <c r="U399" s="66"/>
      <c r="V399" s="66"/>
      <c r="W399" s="66"/>
      <c r="X399" s="66"/>
      <c r="Y399" s="66"/>
      <c r="Z399" s="66"/>
      <c r="AA399" s="66"/>
    </row>
    <row r="400" spans="1:27" ht="21" x14ac:dyDescent="0.65">
      <c r="A400" s="66"/>
      <c r="B400" s="66"/>
      <c r="C400" s="66"/>
      <c r="D400" s="66"/>
      <c r="E400" s="66"/>
      <c r="F400" s="66"/>
      <c r="G400" s="66"/>
      <c r="H400" s="66"/>
      <c r="I400" s="66"/>
      <c r="J400" s="66"/>
      <c r="K400" s="66"/>
      <c r="L400" s="66"/>
      <c r="M400" s="66"/>
      <c r="N400" s="66"/>
      <c r="O400" s="66"/>
      <c r="P400" s="66"/>
      <c r="Q400" s="66"/>
      <c r="R400" s="66"/>
      <c r="S400" s="66"/>
      <c r="T400" s="66"/>
      <c r="U400" s="66"/>
      <c r="V400" s="66"/>
      <c r="W400" s="66"/>
      <c r="X400" s="66"/>
      <c r="Y400" s="66"/>
      <c r="Z400" s="66"/>
      <c r="AA400" s="66"/>
    </row>
    <row r="401" spans="1:27" ht="21" x14ac:dyDescent="0.65">
      <c r="A401" s="66"/>
      <c r="B401" s="66"/>
      <c r="C401" s="66"/>
      <c r="D401" s="66"/>
      <c r="E401" s="66"/>
      <c r="F401" s="66"/>
      <c r="G401" s="66"/>
      <c r="H401" s="66"/>
      <c r="I401" s="66"/>
      <c r="J401" s="66"/>
      <c r="K401" s="66"/>
      <c r="L401" s="66"/>
      <c r="M401" s="66"/>
      <c r="N401" s="66"/>
      <c r="O401" s="66"/>
      <c r="P401" s="66"/>
      <c r="Q401" s="66"/>
      <c r="R401" s="66"/>
      <c r="S401" s="66"/>
      <c r="T401" s="66"/>
      <c r="U401" s="66"/>
      <c r="V401" s="66"/>
      <c r="W401" s="66"/>
      <c r="X401" s="66"/>
      <c r="Y401" s="66"/>
      <c r="Z401" s="66"/>
      <c r="AA401" s="66"/>
    </row>
    <row r="402" spans="1:27" ht="21" x14ac:dyDescent="0.65">
      <c r="A402" s="66"/>
      <c r="B402" s="66"/>
      <c r="C402" s="66"/>
      <c r="D402" s="66"/>
      <c r="E402" s="66"/>
      <c r="F402" s="66"/>
      <c r="G402" s="66"/>
      <c r="H402" s="66"/>
      <c r="I402" s="66"/>
      <c r="J402" s="66"/>
      <c r="K402" s="66"/>
      <c r="L402" s="66"/>
      <c r="M402" s="66"/>
      <c r="N402" s="66"/>
      <c r="O402" s="66"/>
      <c r="P402" s="66"/>
      <c r="Q402" s="66"/>
      <c r="R402" s="66"/>
      <c r="S402" s="66"/>
      <c r="T402" s="66"/>
      <c r="U402" s="66"/>
      <c r="V402" s="66"/>
      <c r="W402" s="66"/>
      <c r="X402" s="66"/>
      <c r="Y402" s="66"/>
      <c r="Z402" s="66"/>
      <c r="AA402" s="66"/>
    </row>
    <row r="403" spans="1:27" ht="21" x14ac:dyDescent="0.65">
      <c r="A403" s="66"/>
      <c r="B403" s="66"/>
      <c r="C403" s="66"/>
      <c r="D403" s="66"/>
      <c r="E403" s="66"/>
      <c r="F403" s="66"/>
      <c r="G403" s="66"/>
      <c r="H403" s="66"/>
      <c r="I403" s="66"/>
      <c r="J403" s="66"/>
      <c r="K403" s="66"/>
      <c r="L403" s="66"/>
      <c r="M403" s="66"/>
      <c r="N403" s="66"/>
      <c r="O403" s="66"/>
      <c r="P403" s="66"/>
      <c r="Q403" s="66"/>
      <c r="R403" s="66"/>
      <c r="S403" s="66"/>
      <c r="T403" s="66"/>
      <c r="U403" s="66"/>
      <c r="V403" s="66"/>
      <c r="W403" s="66"/>
      <c r="X403" s="66"/>
      <c r="Y403" s="66"/>
      <c r="Z403" s="66"/>
      <c r="AA403" s="66"/>
    </row>
    <row r="404" spans="1:27" ht="21" x14ac:dyDescent="0.65">
      <c r="A404" s="66"/>
      <c r="B404" s="66"/>
      <c r="C404" s="66"/>
      <c r="D404" s="66"/>
      <c r="E404" s="66"/>
      <c r="F404" s="66"/>
      <c r="G404" s="66"/>
      <c r="H404" s="66"/>
      <c r="I404" s="66"/>
      <c r="J404" s="66"/>
      <c r="K404" s="66"/>
      <c r="L404" s="66"/>
      <c r="M404" s="66"/>
      <c r="N404" s="66"/>
      <c r="O404" s="66"/>
      <c r="P404" s="66"/>
      <c r="Q404" s="66"/>
      <c r="R404" s="66"/>
      <c r="S404" s="66"/>
      <c r="T404" s="66"/>
      <c r="U404" s="66"/>
      <c r="V404" s="66"/>
      <c r="W404" s="66"/>
      <c r="X404" s="66"/>
      <c r="Y404" s="66"/>
      <c r="Z404" s="66"/>
      <c r="AA404" s="66"/>
    </row>
    <row r="405" spans="1:27" ht="21" x14ac:dyDescent="0.65">
      <c r="A405" s="66"/>
      <c r="B405" s="66"/>
      <c r="C405" s="66"/>
      <c r="D405" s="66"/>
      <c r="E405" s="66"/>
      <c r="F405" s="66"/>
      <c r="G405" s="66"/>
      <c r="H405" s="66"/>
      <c r="I405" s="66"/>
      <c r="J405" s="66"/>
      <c r="K405" s="66"/>
      <c r="L405" s="66"/>
      <c r="M405" s="66"/>
      <c r="N405" s="66"/>
      <c r="O405" s="66"/>
      <c r="P405" s="66"/>
      <c r="Q405" s="66"/>
      <c r="R405" s="66"/>
      <c r="S405" s="66"/>
      <c r="T405" s="66"/>
      <c r="U405" s="66"/>
      <c r="V405" s="66"/>
      <c r="W405" s="66"/>
      <c r="X405" s="66"/>
      <c r="Y405" s="66"/>
      <c r="Z405" s="66"/>
      <c r="AA405" s="66"/>
    </row>
    <row r="406" spans="1:27" ht="21" x14ac:dyDescent="0.65">
      <c r="A406" s="66"/>
      <c r="B406" s="66"/>
      <c r="C406" s="66"/>
      <c r="D406" s="66"/>
      <c r="E406" s="66"/>
      <c r="F406" s="66"/>
      <c r="G406" s="66"/>
      <c r="H406" s="66"/>
      <c r="I406" s="66"/>
      <c r="J406" s="66"/>
      <c r="K406" s="66"/>
      <c r="L406" s="66"/>
      <c r="M406" s="66"/>
      <c r="N406" s="66"/>
      <c r="O406" s="66"/>
      <c r="P406" s="66"/>
      <c r="Q406" s="66"/>
      <c r="R406" s="66"/>
      <c r="S406" s="66"/>
      <c r="T406" s="66"/>
      <c r="U406" s="66"/>
      <c r="V406" s="66"/>
      <c r="W406" s="66"/>
      <c r="X406" s="66"/>
      <c r="Y406" s="66"/>
      <c r="Z406" s="66"/>
      <c r="AA406" s="66"/>
    </row>
    <row r="407" spans="1:27" ht="21" x14ac:dyDescent="0.65">
      <c r="A407" s="66"/>
      <c r="B407" s="66"/>
      <c r="C407" s="66"/>
      <c r="D407" s="66"/>
      <c r="E407" s="66"/>
      <c r="F407" s="66"/>
      <c r="G407" s="66"/>
      <c r="H407" s="66"/>
      <c r="I407" s="66"/>
      <c r="J407" s="66"/>
      <c r="K407" s="66"/>
      <c r="L407" s="66"/>
      <c r="M407" s="66"/>
      <c r="N407" s="66"/>
      <c r="O407" s="66"/>
      <c r="P407" s="66"/>
      <c r="Q407" s="66"/>
      <c r="R407" s="66"/>
      <c r="S407" s="66"/>
      <c r="T407" s="66"/>
      <c r="U407" s="66"/>
      <c r="V407" s="66"/>
      <c r="W407" s="66"/>
      <c r="X407" s="66"/>
      <c r="Y407" s="66"/>
      <c r="Z407" s="66"/>
      <c r="AA407" s="66"/>
    </row>
    <row r="408" spans="1:27" ht="21" x14ac:dyDescent="0.65">
      <c r="A408" s="66"/>
      <c r="B408" s="66"/>
      <c r="C408" s="66"/>
      <c r="D408" s="66"/>
      <c r="E408" s="66"/>
      <c r="F408" s="66"/>
      <c r="G408" s="66"/>
      <c r="H408" s="66"/>
      <c r="I408" s="66"/>
      <c r="J408" s="66"/>
      <c r="K408" s="66"/>
      <c r="L408" s="66"/>
      <c r="M408" s="66"/>
      <c r="N408" s="66"/>
      <c r="O408" s="66"/>
      <c r="P408" s="66"/>
      <c r="Q408" s="66"/>
      <c r="R408" s="66"/>
      <c r="S408" s="66"/>
      <c r="T408" s="66"/>
      <c r="U408" s="66"/>
      <c r="V408" s="66"/>
      <c r="W408" s="66"/>
      <c r="X408" s="66"/>
      <c r="Y408" s="66"/>
      <c r="Z408" s="66"/>
      <c r="AA408" s="66"/>
    </row>
    <row r="409" spans="1:27" ht="21" x14ac:dyDescent="0.65">
      <c r="A409" s="66"/>
      <c r="B409" s="66"/>
      <c r="C409" s="66"/>
      <c r="D409" s="66"/>
      <c r="E409" s="66"/>
      <c r="F409" s="66"/>
      <c r="G409" s="66"/>
      <c r="H409" s="66"/>
      <c r="I409" s="66"/>
      <c r="J409" s="66"/>
      <c r="K409" s="66"/>
      <c r="L409" s="66"/>
      <c r="M409" s="66"/>
      <c r="N409" s="66"/>
      <c r="O409" s="66"/>
      <c r="P409" s="66"/>
      <c r="Q409" s="66"/>
      <c r="R409" s="66"/>
      <c r="S409" s="66"/>
      <c r="T409" s="66"/>
      <c r="U409" s="66"/>
      <c r="V409" s="66"/>
      <c r="W409" s="66"/>
      <c r="X409" s="66"/>
      <c r="Y409" s="66"/>
      <c r="Z409" s="66"/>
      <c r="AA409" s="66"/>
    </row>
    <row r="410" spans="1:27" ht="21" x14ac:dyDescent="0.65">
      <c r="A410" s="66"/>
      <c r="B410" s="66"/>
      <c r="C410" s="66"/>
      <c r="D410" s="66"/>
      <c r="E410" s="66"/>
      <c r="F410" s="66"/>
      <c r="G410" s="66"/>
      <c r="H410" s="66"/>
      <c r="I410" s="66"/>
      <c r="J410" s="66"/>
      <c r="K410" s="66"/>
      <c r="L410" s="66"/>
      <c r="M410" s="66"/>
      <c r="N410" s="66"/>
      <c r="O410" s="66"/>
      <c r="P410" s="66"/>
      <c r="Q410" s="66"/>
      <c r="R410" s="66"/>
      <c r="S410" s="66"/>
      <c r="T410" s="66"/>
      <c r="U410" s="66"/>
      <c r="V410" s="66"/>
      <c r="W410" s="66"/>
      <c r="X410" s="66"/>
      <c r="Y410" s="66"/>
      <c r="Z410" s="66"/>
      <c r="AA410" s="66"/>
    </row>
    <row r="411" spans="1:27" ht="21" x14ac:dyDescent="0.65">
      <c r="A411" s="66"/>
      <c r="B411" s="66"/>
      <c r="C411" s="66"/>
      <c r="D411" s="66"/>
      <c r="E411" s="66"/>
      <c r="F411" s="66"/>
      <c r="G411" s="66"/>
      <c r="H411" s="66"/>
      <c r="I411" s="66"/>
      <c r="J411" s="66"/>
      <c r="K411" s="66"/>
      <c r="L411" s="66"/>
      <c r="M411" s="66"/>
      <c r="N411" s="66"/>
      <c r="O411" s="66"/>
      <c r="P411" s="66"/>
      <c r="Q411" s="66"/>
      <c r="R411" s="66"/>
      <c r="S411" s="66"/>
      <c r="T411" s="66"/>
      <c r="U411" s="66"/>
      <c r="V411" s="66"/>
      <c r="W411" s="66"/>
      <c r="X411" s="66"/>
      <c r="Y411" s="66"/>
      <c r="Z411" s="66"/>
      <c r="AA411" s="66"/>
    </row>
    <row r="412" spans="1:27" ht="21" x14ac:dyDescent="0.65">
      <c r="A412" s="66"/>
      <c r="B412" s="66"/>
      <c r="C412" s="66"/>
      <c r="D412" s="66"/>
      <c r="E412" s="66"/>
      <c r="F412" s="66"/>
      <c r="G412" s="66"/>
      <c r="H412" s="66"/>
      <c r="I412" s="66"/>
      <c r="J412" s="66"/>
      <c r="K412" s="66"/>
      <c r="L412" s="66"/>
      <c r="M412" s="66"/>
      <c r="N412" s="66"/>
      <c r="O412" s="66"/>
      <c r="P412" s="66"/>
      <c r="Q412" s="66"/>
      <c r="R412" s="66"/>
      <c r="S412" s="66"/>
      <c r="T412" s="66"/>
      <c r="U412" s="66"/>
      <c r="V412" s="66"/>
      <c r="W412" s="66"/>
      <c r="X412" s="66"/>
      <c r="Y412" s="66"/>
      <c r="Z412" s="66"/>
      <c r="AA412" s="66"/>
    </row>
    <row r="413" spans="1:27" ht="21" x14ac:dyDescent="0.65">
      <c r="A413" s="66"/>
      <c r="B413" s="66"/>
      <c r="C413" s="66"/>
      <c r="D413" s="66"/>
      <c r="E413" s="66"/>
      <c r="F413" s="66"/>
      <c r="G413" s="66"/>
      <c r="H413" s="66"/>
      <c r="I413" s="66"/>
      <c r="J413" s="66"/>
      <c r="K413" s="66"/>
      <c r="L413" s="66"/>
      <c r="M413" s="66"/>
      <c r="N413" s="66"/>
      <c r="O413" s="66"/>
      <c r="P413" s="66"/>
      <c r="Q413" s="66"/>
      <c r="R413" s="66"/>
      <c r="S413" s="66"/>
      <c r="T413" s="66"/>
      <c r="U413" s="66"/>
      <c r="V413" s="66"/>
      <c r="W413" s="66"/>
      <c r="X413" s="66"/>
      <c r="Y413" s="66"/>
      <c r="Z413" s="66"/>
      <c r="AA413" s="66"/>
    </row>
    <row r="414" spans="1:27" ht="21" x14ac:dyDescent="0.65">
      <c r="A414" s="66"/>
      <c r="B414" s="66"/>
      <c r="C414" s="66"/>
      <c r="D414" s="66"/>
      <c r="E414" s="66"/>
      <c r="F414" s="66"/>
      <c r="G414" s="66"/>
      <c r="H414" s="66"/>
      <c r="I414" s="66"/>
      <c r="J414" s="66"/>
      <c r="K414" s="66"/>
      <c r="L414" s="66"/>
      <c r="M414" s="66"/>
      <c r="N414" s="66"/>
      <c r="O414" s="66"/>
      <c r="P414" s="66"/>
      <c r="Q414" s="66"/>
      <c r="R414" s="66"/>
      <c r="S414" s="66"/>
      <c r="T414" s="66"/>
      <c r="U414" s="66"/>
      <c r="V414" s="66"/>
      <c r="W414" s="66"/>
      <c r="X414" s="66"/>
      <c r="Y414" s="66"/>
      <c r="Z414" s="66"/>
      <c r="AA414" s="66"/>
    </row>
    <row r="415" spans="1:27" ht="21" x14ac:dyDescent="0.65">
      <c r="A415" s="66"/>
      <c r="B415" s="66"/>
      <c r="C415" s="66"/>
      <c r="D415" s="66"/>
      <c r="E415" s="66"/>
      <c r="F415" s="66"/>
      <c r="G415" s="66"/>
      <c r="H415" s="66"/>
      <c r="I415" s="66"/>
      <c r="J415" s="66"/>
      <c r="K415" s="66"/>
      <c r="L415" s="66"/>
      <c r="M415" s="66"/>
      <c r="N415" s="66"/>
      <c r="O415" s="66"/>
      <c r="P415" s="66"/>
      <c r="Q415" s="66"/>
      <c r="R415" s="66"/>
      <c r="S415" s="66"/>
      <c r="T415" s="66"/>
      <c r="U415" s="66"/>
      <c r="V415" s="66"/>
      <c r="W415" s="66"/>
      <c r="X415" s="66"/>
      <c r="Y415" s="66"/>
      <c r="Z415" s="66"/>
      <c r="AA415" s="66"/>
    </row>
    <row r="416" spans="1:27" ht="21" x14ac:dyDescent="0.65">
      <c r="A416" s="66"/>
      <c r="B416" s="66"/>
      <c r="C416" s="66"/>
      <c r="D416" s="66"/>
      <c r="E416" s="66"/>
      <c r="F416" s="66"/>
      <c r="G416" s="66"/>
      <c r="H416" s="66"/>
      <c r="I416" s="66"/>
      <c r="J416" s="66"/>
      <c r="K416" s="66"/>
      <c r="L416" s="66"/>
      <c r="M416" s="66"/>
      <c r="N416" s="66"/>
      <c r="O416" s="66"/>
      <c r="P416" s="66"/>
      <c r="Q416" s="66"/>
      <c r="R416" s="66"/>
      <c r="S416" s="66"/>
      <c r="T416" s="66"/>
      <c r="U416" s="66"/>
      <c r="V416" s="66"/>
      <c r="W416" s="66"/>
      <c r="X416" s="66"/>
      <c r="Y416" s="66"/>
      <c r="Z416" s="66"/>
      <c r="AA416" s="66"/>
    </row>
    <row r="417" spans="1:27" ht="21" x14ac:dyDescent="0.65">
      <c r="A417" s="66"/>
      <c r="B417" s="66"/>
      <c r="C417" s="66"/>
      <c r="D417" s="66"/>
      <c r="E417" s="66"/>
      <c r="F417" s="66"/>
      <c r="G417" s="66"/>
      <c r="H417" s="66"/>
      <c r="I417" s="66"/>
      <c r="J417" s="66"/>
      <c r="K417" s="66"/>
      <c r="L417" s="66"/>
      <c r="M417" s="66"/>
      <c r="N417" s="66"/>
      <c r="O417" s="66"/>
      <c r="P417" s="66"/>
      <c r="Q417" s="66"/>
      <c r="R417" s="66"/>
      <c r="S417" s="66"/>
      <c r="T417" s="66"/>
      <c r="U417" s="66"/>
      <c r="V417" s="66"/>
      <c r="W417" s="66"/>
      <c r="X417" s="66"/>
      <c r="Y417" s="66"/>
      <c r="Z417" s="66"/>
      <c r="AA417" s="66"/>
    </row>
    <row r="418" spans="1:27" ht="21" x14ac:dyDescent="0.65">
      <c r="A418" s="66"/>
      <c r="B418" s="66"/>
      <c r="C418" s="66"/>
      <c r="D418" s="66"/>
      <c r="E418" s="66"/>
      <c r="F418" s="66"/>
      <c r="G418" s="66"/>
      <c r="H418" s="66"/>
      <c r="I418" s="66"/>
      <c r="J418" s="66"/>
      <c r="K418" s="66"/>
      <c r="L418" s="66"/>
      <c r="M418" s="66"/>
      <c r="N418" s="66"/>
      <c r="O418" s="66"/>
      <c r="P418" s="66"/>
      <c r="Q418" s="66"/>
      <c r="R418" s="66"/>
      <c r="S418" s="66"/>
      <c r="T418" s="66"/>
      <c r="U418" s="66"/>
      <c r="V418" s="66"/>
      <c r="W418" s="66"/>
      <c r="X418" s="66"/>
      <c r="Y418" s="66"/>
      <c r="Z418" s="66"/>
      <c r="AA418" s="66"/>
    </row>
    <row r="419" spans="1:27" ht="21" x14ac:dyDescent="0.65">
      <c r="A419" s="66"/>
      <c r="B419" s="66"/>
      <c r="C419" s="66"/>
      <c r="D419" s="66"/>
      <c r="E419" s="66"/>
      <c r="F419" s="66"/>
      <c r="G419" s="66"/>
      <c r="H419" s="66"/>
      <c r="I419" s="66"/>
      <c r="J419" s="66"/>
      <c r="K419" s="66"/>
      <c r="L419" s="66"/>
      <c r="M419" s="66"/>
      <c r="N419" s="66"/>
      <c r="O419" s="66"/>
      <c r="P419" s="66"/>
      <c r="Q419" s="66"/>
      <c r="R419" s="66"/>
      <c r="S419" s="66"/>
      <c r="T419" s="66"/>
      <c r="U419" s="66"/>
      <c r="V419" s="66"/>
      <c r="W419" s="66"/>
      <c r="X419" s="66"/>
      <c r="Y419" s="66"/>
      <c r="Z419" s="66"/>
      <c r="AA419" s="66"/>
    </row>
    <row r="420" spans="1:27" ht="21" x14ac:dyDescent="0.65">
      <c r="A420" s="66"/>
      <c r="B420" s="66"/>
      <c r="C420" s="66"/>
      <c r="D420" s="66"/>
      <c r="E420" s="66"/>
      <c r="F420" s="66"/>
      <c r="G420" s="66"/>
      <c r="H420" s="66"/>
      <c r="I420" s="66"/>
      <c r="J420" s="66"/>
      <c r="K420" s="66"/>
      <c r="L420" s="66"/>
      <c r="M420" s="66"/>
      <c r="N420" s="66"/>
      <c r="O420" s="66"/>
      <c r="P420" s="66"/>
      <c r="Q420" s="66"/>
      <c r="R420" s="66"/>
      <c r="S420" s="66"/>
      <c r="T420" s="66"/>
      <c r="U420" s="66"/>
      <c r="V420" s="66"/>
      <c r="W420" s="66"/>
      <c r="X420" s="66"/>
      <c r="Y420" s="66"/>
      <c r="Z420" s="66"/>
      <c r="AA420" s="66"/>
    </row>
    <row r="421" spans="1:27" ht="21" x14ac:dyDescent="0.65">
      <c r="A421" s="66"/>
      <c r="B421" s="66"/>
      <c r="C421" s="66"/>
      <c r="D421" s="66"/>
      <c r="E421" s="66"/>
      <c r="F421" s="66"/>
      <c r="G421" s="66"/>
      <c r="H421" s="66"/>
      <c r="I421" s="66"/>
      <c r="J421" s="66"/>
      <c r="K421" s="66"/>
      <c r="L421" s="66"/>
      <c r="M421" s="66"/>
      <c r="N421" s="66"/>
      <c r="O421" s="66"/>
      <c r="P421" s="66"/>
      <c r="Q421" s="66"/>
      <c r="R421" s="66"/>
      <c r="S421" s="66"/>
      <c r="T421" s="66"/>
      <c r="U421" s="66"/>
      <c r="V421" s="66"/>
      <c r="W421" s="66"/>
      <c r="X421" s="66"/>
      <c r="Y421" s="66"/>
      <c r="Z421" s="66"/>
      <c r="AA421" s="66"/>
    </row>
    <row r="422" spans="1:27" ht="21" x14ac:dyDescent="0.65">
      <c r="A422" s="66"/>
      <c r="B422" s="66"/>
      <c r="C422" s="66"/>
      <c r="D422" s="66"/>
      <c r="E422" s="66"/>
      <c r="F422" s="66"/>
      <c r="G422" s="66"/>
      <c r="H422" s="66"/>
      <c r="I422" s="66"/>
      <c r="J422" s="66"/>
      <c r="K422" s="66"/>
      <c r="L422" s="66"/>
      <c r="M422" s="66"/>
      <c r="N422" s="66"/>
      <c r="O422" s="66"/>
      <c r="P422" s="66"/>
      <c r="Q422" s="66"/>
      <c r="R422" s="66"/>
      <c r="S422" s="66"/>
      <c r="T422" s="66"/>
      <c r="U422" s="66"/>
      <c r="V422" s="66"/>
      <c r="W422" s="66"/>
      <c r="X422" s="66"/>
      <c r="Y422" s="66"/>
      <c r="Z422" s="66"/>
      <c r="AA422" s="66"/>
    </row>
    <row r="423" spans="1:27" ht="21" x14ac:dyDescent="0.65">
      <c r="A423" s="66"/>
      <c r="B423" s="66"/>
      <c r="C423" s="66"/>
      <c r="D423" s="66"/>
      <c r="E423" s="66"/>
      <c r="F423" s="66"/>
      <c r="G423" s="66"/>
      <c r="H423" s="66"/>
      <c r="I423" s="66"/>
      <c r="J423" s="66"/>
      <c r="K423" s="66"/>
      <c r="L423" s="66"/>
      <c r="M423" s="66"/>
      <c r="N423" s="66"/>
      <c r="O423" s="66"/>
      <c r="P423" s="66"/>
      <c r="Q423" s="66"/>
      <c r="R423" s="66"/>
      <c r="S423" s="66"/>
      <c r="T423" s="66"/>
      <c r="U423" s="66"/>
      <c r="V423" s="66"/>
      <c r="W423" s="66"/>
      <c r="X423" s="66"/>
      <c r="Y423" s="66"/>
      <c r="Z423" s="66"/>
      <c r="AA423" s="66"/>
    </row>
    <row r="424" spans="1:27" ht="21" x14ac:dyDescent="0.65">
      <c r="A424" s="66"/>
      <c r="B424" s="66"/>
      <c r="C424" s="66"/>
      <c r="D424" s="66"/>
      <c r="E424" s="66"/>
      <c r="F424" s="66"/>
      <c r="G424" s="66"/>
      <c r="H424" s="66"/>
      <c r="I424" s="66"/>
      <c r="J424" s="66"/>
      <c r="K424" s="66"/>
      <c r="L424" s="66"/>
      <c r="M424" s="66"/>
      <c r="N424" s="66"/>
      <c r="O424" s="66"/>
      <c r="P424" s="66"/>
      <c r="Q424" s="66"/>
      <c r="R424" s="66"/>
      <c r="S424" s="66"/>
      <c r="T424" s="66"/>
      <c r="U424" s="66"/>
      <c r="V424" s="66"/>
      <c r="W424" s="66"/>
      <c r="X424" s="66"/>
      <c r="Y424" s="66"/>
      <c r="Z424" s="66"/>
      <c r="AA424" s="66"/>
    </row>
    <row r="425" spans="1:27" ht="21" x14ac:dyDescent="0.65">
      <c r="A425" s="66"/>
      <c r="B425" s="66"/>
      <c r="C425" s="66"/>
      <c r="D425" s="66"/>
      <c r="E425" s="66"/>
      <c r="F425" s="66"/>
      <c r="G425" s="66"/>
      <c r="H425" s="66"/>
      <c r="I425" s="66"/>
      <c r="J425" s="66"/>
      <c r="K425" s="66"/>
      <c r="L425" s="66"/>
      <c r="M425" s="66"/>
      <c r="N425" s="66"/>
      <c r="O425" s="66"/>
      <c r="P425" s="66"/>
      <c r="Q425" s="66"/>
      <c r="R425" s="66"/>
      <c r="S425" s="66"/>
      <c r="T425" s="66"/>
      <c r="U425" s="66"/>
      <c r="V425" s="66"/>
      <c r="W425" s="66"/>
      <c r="X425" s="66"/>
      <c r="Y425" s="66"/>
      <c r="Z425" s="66"/>
      <c r="AA425" s="66"/>
    </row>
    <row r="426" spans="1:27" ht="21" x14ac:dyDescent="0.65">
      <c r="A426" s="66"/>
      <c r="B426" s="66"/>
      <c r="C426" s="66"/>
      <c r="D426" s="66"/>
      <c r="E426" s="66"/>
      <c r="F426" s="66"/>
      <c r="G426" s="66"/>
      <c r="H426" s="66"/>
      <c r="I426" s="66"/>
      <c r="J426" s="66"/>
      <c r="K426" s="66"/>
      <c r="L426" s="66"/>
      <c r="M426" s="66"/>
      <c r="N426" s="66"/>
      <c r="O426" s="66"/>
      <c r="P426" s="66"/>
      <c r="Q426" s="66"/>
      <c r="R426" s="66"/>
      <c r="S426" s="66"/>
      <c r="T426" s="66"/>
      <c r="U426" s="66"/>
      <c r="V426" s="66"/>
      <c r="W426" s="66"/>
      <c r="X426" s="66"/>
      <c r="Y426" s="66"/>
      <c r="Z426" s="66"/>
      <c r="AA426" s="66"/>
    </row>
    <row r="427" spans="1:27" ht="21" x14ac:dyDescent="0.65">
      <c r="A427" s="66"/>
      <c r="B427" s="66"/>
      <c r="C427" s="66"/>
      <c r="D427" s="66"/>
      <c r="E427" s="66"/>
      <c r="F427" s="66"/>
      <c r="G427" s="66"/>
      <c r="H427" s="66"/>
      <c r="I427" s="66"/>
      <c r="J427" s="66"/>
      <c r="K427" s="66"/>
      <c r="L427" s="66"/>
      <c r="M427" s="66"/>
      <c r="N427" s="66"/>
      <c r="O427" s="66"/>
      <c r="P427" s="66"/>
      <c r="Q427" s="66"/>
      <c r="R427" s="66"/>
      <c r="S427" s="66"/>
      <c r="T427" s="66"/>
      <c r="U427" s="66"/>
      <c r="V427" s="66"/>
      <c r="W427" s="66"/>
      <c r="X427" s="66"/>
      <c r="Y427" s="66"/>
      <c r="Z427" s="66"/>
      <c r="AA427" s="66"/>
    </row>
    <row r="428" spans="1:27" ht="21" x14ac:dyDescent="0.65">
      <c r="A428" s="66"/>
      <c r="B428" s="66"/>
      <c r="C428" s="66"/>
      <c r="D428" s="66"/>
      <c r="E428" s="66"/>
      <c r="F428" s="66"/>
      <c r="G428" s="66"/>
      <c r="H428" s="66"/>
      <c r="I428" s="66"/>
      <c r="J428" s="66"/>
      <c r="K428" s="66"/>
      <c r="L428" s="66"/>
      <c r="M428" s="66"/>
      <c r="N428" s="66"/>
      <c r="O428" s="66"/>
      <c r="P428" s="66"/>
      <c r="Q428" s="66"/>
      <c r="R428" s="66"/>
      <c r="S428" s="66"/>
      <c r="T428" s="66"/>
      <c r="U428" s="66"/>
      <c r="V428" s="66"/>
      <c r="W428" s="66"/>
      <c r="X428" s="66"/>
      <c r="Y428" s="66"/>
      <c r="Z428" s="66"/>
      <c r="AA428" s="66"/>
    </row>
    <row r="429" spans="1:27" ht="21" x14ac:dyDescent="0.65">
      <c r="A429" s="66"/>
      <c r="B429" s="66"/>
      <c r="C429" s="66"/>
      <c r="D429" s="66"/>
      <c r="E429" s="66"/>
      <c r="F429" s="66"/>
      <c r="G429" s="66"/>
      <c r="H429" s="66"/>
      <c r="I429" s="66"/>
      <c r="J429" s="66"/>
      <c r="K429" s="66"/>
      <c r="L429" s="66"/>
      <c r="M429" s="66"/>
      <c r="N429" s="66"/>
      <c r="O429" s="66"/>
      <c r="P429" s="66"/>
      <c r="Q429" s="66"/>
      <c r="R429" s="66"/>
      <c r="S429" s="66"/>
      <c r="T429" s="66"/>
      <c r="U429" s="66"/>
      <c r="V429" s="66"/>
      <c r="W429" s="66"/>
      <c r="X429" s="66"/>
      <c r="Y429" s="66"/>
      <c r="Z429" s="66"/>
      <c r="AA429" s="66"/>
    </row>
    <row r="430" spans="1:27" ht="21" x14ac:dyDescent="0.65">
      <c r="A430" s="66"/>
      <c r="B430" s="66"/>
      <c r="C430" s="66"/>
      <c r="D430" s="66"/>
      <c r="E430" s="66"/>
      <c r="F430" s="66"/>
      <c r="G430" s="66"/>
      <c r="H430" s="66"/>
      <c r="I430" s="66"/>
      <c r="J430" s="66"/>
      <c r="K430" s="66"/>
      <c r="L430" s="66"/>
      <c r="M430" s="66"/>
      <c r="N430" s="66"/>
      <c r="O430" s="66"/>
      <c r="P430" s="66"/>
      <c r="Q430" s="66"/>
      <c r="R430" s="66"/>
      <c r="S430" s="66"/>
      <c r="T430" s="66"/>
      <c r="U430" s="66"/>
      <c r="V430" s="66"/>
      <c r="W430" s="66"/>
      <c r="X430" s="66"/>
      <c r="Y430" s="66"/>
      <c r="Z430" s="66"/>
      <c r="AA430" s="66"/>
    </row>
    <row r="431" spans="1:27" ht="21" x14ac:dyDescent="0.65">
      <c r="A431" s="66"/>
      <c r="B431" s="66"/>
      <c r="C431" s="66"/>
      <c r="D431" s="66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66"/>
      <c r="P431" s="66"/>
      <c r="Q431" s="66"/>
      <c r="R431" s="66"/>
      <c r="S431" s="66"/>
      <c r="T431" s="66"/>
      <c r="U431" s="66"/>
      <c r="V431" s="66"/>
      <c r="W431" s="66"/>
      <c r="X431" s="66"/>
      <c r="Y431" s="66"/>
      <c r="Z431" s="66"/>
      <c r="AA431" s="66"/>
    </row>
    <row r="432" spans="1:27" ht="21" x14ac:dyDescent="0.65">
      <c r="A432" s="66"/>
      <c r="B432" s="66"/>
      <c r="C432" s="66"/>
      <c r="D432" s="66"/>
      <c r="E432" s="66"/>
      <c r="F432" s="66"/>
      <c r="G432" s="66"/>
      <c r="H432" s="66"/>
      <c r="I432" s="66"/>
      <c r="J432" s="66"/>
      <c r="K432" s="66"/>
      <c r="L432" s="66"/>
      <c r="M432" s="66"/>
      <c r="N432" s="66"/>
      <c r="O432" s="66"/>
      <c r="P432" s="66"/>
      <c r="Q432" s="66"/>
      <c r="R432" s="66"/>
      <c r="S432" s="66"/>
      <c r="T432" s="66"/>
      <c r="U432" s="66"/>
      <c r="V432" s="66"/>
      <c r="W432" s="66"/>
      <c r="X432" s="66"/>
      <c r="Y432" s="66"/>
      <c r="Z432" s="66"/>
      <c r="AA432" s="66"/>
    </row>
    <row r="433" spans="1:27" ht="21" x14ac:dyDescent="0.65">
      <c r="A433" s="66"/>
      <c r="B433" s="66"/>
      <c r="C433" s="66"/>
      <c r="D433" s="66"/>
      <c r="E433" s="66"/>
      <c r="F433" s="66"/>
      <c r="G433" s="66"/>
      <c r="H433" s="66"/>
      <c r="I433" s="66"/>
      <c r="J433" s="66"/>
      <c r="K433" s="66"/>
      <c r="L433" s="66"/>
      <c r="M433" s="66"/>
      <c r="N433" s="66"/>
      <c r="O433" s="66"/>
      <c r="P433" s="66"/>
      <c r="Q433" s="66"/>
      <c r="R433" s="66"/>
      <c r="S433" s="66"/>
      <c r="T433" s="66"/>
      <c r="U433" s="66"/>
      <c r="V433" s="66"/>
      <c r="W433" s="66"/>
      <c r="X433" s="66"/>
      <c r="Y433" s="66"/>
      <c r="Z433" s="66"/>
      <c r="AA433" s="66"/>
    </row>
    <row r="434" spans="1:27" ht="21" x14ac:dyDescent="0.65">
      <c r="A434" s="66"/>
      <c r="B434" s="66"/>
      <c r="C434" s="66"/>
      <c r="D434" s="66"/>
      <c r="E434" s="66"/>
      <c r="F434" s="66"/>
      <c r="G434" s="66"/>
      <c r="H434" s="66"/>
      <c r="I434" s="66"/>
      <c r="J434" s="66"/>
      <c r="K434" s="66"/>
      <c r="L434" s="66"/>
      <c r="M434" s="66"/>
      <c r="N434" s="66"/>
      <c r="O434" s="66"/>
      <c r="P434" s="66"/>
      <c r="Q434" s="66"/>
      <c r="R434" s="66"/>
      <c r="S434" s="66"/>
      <c r="T434" s="66"/>
      <c r="U434" s="66"/>
      <c r="V434" s="66"/>
      <c r="W434" s="66"/>
      <c r="X434" s="66"/>
      <c r="Y434" s="66"/>
      <c r="Z434" s="66"/>
      <c r="AA434" s="66"/>
    </row>
    <row r="435" spans="1:27" ht="21" x14ac:dyDescent="0.65">
      <c r="A435" s="66"/>
      <c r="B435" s="66"/>
      <c r="C435" s="66"/>
      <c r="D435" s="66"/>
      <c r="E435" s="66"/>
      <c r="F435" s="66"/>
      <c r="G435" s="66"/>
      <c r="H435" s="66"/>
      <c r="I435" s="66"/>
      <c r="J435" s="66"/>
      <c r="K435" s="66"/>
      <c r="L435" s="66"/>
      <c r="M435" s="66"/>
      <c r="N435" s="66"/>
      <c r="O435" s="66"/>
      <c r="P435" s="66"/>
      <c r="Q435" s="66"/>
      <c r="R435" s="66"/>
      <c r="S435" s="66"/>
      <c r="T435" s="66"/>
      <c r="U435" s="66"/>
      <c r="V435" s="66"/>
      <c r="W435" s="66"/>
      <c r="X435" s="66"/>
      <c r="Y435" s="66"/>
      <c r="Z435" s="66"/>
      <c r="AA435" s="66"/>
    </row>
    <row r="436" spans="1:27" ht="21" x14ac:dyDescent="0.65">
      <c r="A436" s="66"/>
      <c r="B436" s="66"/>
      <c r="C436" s="66"/>
      <c r="D436" s="66"/>
      <c r="E436" s="66"/>
      <c r="F436" s="66"/>
      <c r="G436" s="66"/>
      <c r="H436" s="66"/>
      <c r="I436" s="66"/>
      <c r="J436" s="66"/>
      <c r="K436" s="66"/>
      <c r="L436" s="66"/>
      <c r="M436" s="66"/>
      <c r="N436" s="66"/>
      <c r="O436" s="66"/>
      <c r="P436" s="66"/>
      <c r="Q436" s="66"/>
      <c r="R436" s="66"/>
      <c r="S436" s="66"/>
      <c r="T436" s="66"/>
      <c r="U436" s="66"/>
      <c r="V436" s="66"/>
      <c r="W436" s="66"/>
      <c r="X436" s="66"/>
      <c r="Y436" s="66"/>
      <c r="Z436" s="66"/>
      <c r="AA436" s="66"/>
    </row>
    <row r="437" spans="1:27" ht="21" x14ac:dyDescent="0.65">
      <c r="A437" s="66"/>
      <c r="B437" s="66"/>
      <c r="C437" s="66"/>
      <c r="D437" s="66"/>
      <c r="E437" s="66"/>
      <c r="F437" s="66"/>
      <c r="G437" s="66"/>
      <c r="H437" s="66"/>
      <c r="I437" s="66"/>
      <c r="J437" s="66"/>
      <c r="K437" s="66"/>
      <c r="L437" s="66"/>
      <c r="M437" s="66"/>
      <c r="N437" s="66"/>
      <c r="O437" s="66"/>
      <c r="P437" s="66"/>
      <c r="Q437" s="66"/>
      <c r="R437" s="66"/>
      <c r="S437" s="66"/>
      <c r="T437" s="66"/>
      <c r="U437" s="66"/>
      <c r="V437" s="66"/>
      <c r="W437" s="66"/>
      <c r="X437" s="66"/>
      <c r="Y437" s="66"/>
      <c r="Z437" s="66"/>
      <c r="AA437" s="66"/>
    </row>
    <row r="438" spans="1:27" ht="21" x14ac:dyDescent="0.65">
      <c r="A438" s="66"/>
      <c r="B438" s="66"/>
      <c r="C438" s="66"/>
      <c r="D438" s="66"/>
      <c r="E438" s="66"/>
      <c r="F438" s="66"/>
      <c r="G438" s="66"/>
      <c r="H438" s="66"/>
      <c r="I438" s="66"/>
      <c r="J438" s="66"/>
      <c r="K438" s="66"/>
      <c r="L438" s="66"/>
      <c r="M438" s="66"/>
      <c r="N438" s="66"/>
      <c r="O438" s="66"/>
      <c r="P438" s="66"/>
      <c r="Q438" s="66"/>
      <c r="R438" s="66"/>
      <c r="S438" s="66"/>
      <c r="T438" s="66"/>
      <c r="U438" s="66"/>
      <c r="V438" s="66"/>
      <c r="W438" s="66"/>
      <c r="X438" s="66"/>
      <c r="Y438" s="66"/>
      <c r="Z438" s="66"/>
      <c r="AA438" s="66"/>
    </row>
    <row r="439" spans="1:27" ht="21" x14ac:dyDescent="0.65">
      <c r="A439" s="66"/>
      <c r="B439" s="66"/>
      <c r="C439" s="66"/>
      <c r="D439" s="66"/>
      <c r="E439" s="66"/>
      <c r="F439" s="66"/>
      <c r="G439" s="66"/>
      <c r="H439" s="66"/>
      <c r="I439" s="66"/>
      <c r="J439" s="66"/>
      <c r="K439" s="66"/>
      <c r="L439" s="66"/>
      <c r="M439" s="66"/>
      <c r="N439" s="66"/>
      <c r="O439" s="66"/>
      <c r="P439" s="66"/>
      <c r="Q439" s="66"/>
      <c r="R439" s="66"/>
      <c r="S439" s="66"/>
      <c r="T439" s="66"/>
      <c r="U439" s="66"/>
      <c r="V439" s="66"/>
      <c r="W439" s="66"/>
      <c r="X439" s="66"/>
      <c r="Y439" s="66"/>
      <c r="Z439" s="66"/>
      <c r="AA439" s="66"/>
    </row>
    <row r="440" spans="1:27" ht="21" x14ac:dyDescent="0.65">
      <c r="A440" s="66"/>
      <c r="B440" s="66"/>
      <c r="C440" s="66"/>
      <c r="D440" s="66"/>
      <c r="E440" s="66"/>
      <c r="F440" s="66"/>
      <c r="G440" s="66"/>
      <c r="H440" s="66"/>
      <c r="I440" s="66"/>
      <c r="J440" s="66"/>
      <c r="K440" s="66"/>
      <c r="L440" s="66"/>
      <c r="M440" s="66"/>
      <c r="N440" s="66"/>
      <c r="O440" s="66"/>
      <c r="P440" s="66"/>
      <c r="Q440" s="66"/>
      <c r="R440" s="66"/>
      <c r="S440" s="66"/>
      <c r="T440" s="66"/>
      <c r="U440" s="66"/>
      <c r="V440" s="66"/>
      <c r="W440" s="66"/>
      <c r="X440" s="66"/>
      <c r="Y440" s="66"/>
      <c r="Z440" s="66"/>
      <c r="AA440" s="66"/>
    </row>
    <row r="441" spans="1:27" ht="21" x14ac:dyDescent="0.65">
      <c r="A441" s="66"/>
      <c r="B441" s="66"/>
      <c r="C441" s="66"/>
      <c r="D441" s="66"/>
      <c r="E441" s="66"/>
      <c r="F441" s="66"/>
      <c r="G441" s="66"/>
      <c r="H441" s="66"/>
      <c r="I441" s="66"/>
      <c r="J441" s="66"/>
      <c r="K441" s="66"/>
      <c r="L441" s="66"/>
      <c r="M441" s="66"/>
      <c r="N441" s="66"/>
      <c r="O441" s="66"/>
      <c r="P441" s="66"/>
      <c r="Q441" s="66"/>
      <c r="R441" s="66"/>
      <c r="S441" s="66"/>
      <c r="T441" s="66"/>
      <c r="U441" s="66"/>
      <c r="V441" s="66"/>
      <c r="W441" s="66"/>
      <c r="X441" s="66"/>
      <c r="Y441" s="66"/>
      <c r="Z441" s="66"/>
      <c r="AA441" s="66"/>
    </row>
    <row r="442" spans="1:27" ht="21" x14ac:dyDescent="0.65">
      <c r="A442" s="66"/>
      <c r="B442" s="66"/>
      <c r="C442" s="66"/>
      <c r="D442" s="66"/>
      <c r="E442" s="66"/>
      <c r="F442" s="66"/>
      <c r="G442" s="66"/>
      <c r="H442" s="66"/>
      <c r="I442" s="66"/>
      <c r="J442" s="66"/>
      <c r="K442" s="66"/>
      <c r="L442" s="66"/>
      <c r="M442" s="66"/>
      <c r="N442" s="66"/>
      <c r="O442" s="66"/>
      <c r="P442" s="66"/>
      <c r="Q442" s="66"/>
      <c r="R442" s="66"/>
      <c r="S442" s="66"/>
      <c r="T442" s="66"/>
      <c r="U442" s="66"/>
      <c r="V442" s="66"/>
      <c r="W442" s="66"/>
      <c r="X442" s="66"/>
      <c r="Y442" s="66"/>
      <c r="Z442" s="66"/>
      <c r="AA442" s="66"/>
    </row>
    <row r="443" spans="1:27" ht="21" x14ac:dyDescent="0.65">
      <c r="A443" s="66"/>
      <c r="B443" s="66"/>
      <c r="C443" s="66"/>
      <c r="D443" s="66"/>
      <c r="E443" s="66"/>
      <c r="F443" s="66"/>
      <c r="G443" s="66"/>
      <c r="H443" s="66"/>
      <c r="I443" s="66"/>
      <c r="J443" s="66"/>
      <c r="K443" s="66"/>
      <c r="L443" s="66"/>
      <c r="M443" s="66"/>
      <c r="N443" s="66"/>
      <c r="O443" s="66"/>
      <c r="P443" s="66"/>
      <c r="Q443" s="66"/>
      <c r="R443" s="66"/>
      <c r="S443" s="66"/>
      <c r="T443" s="66"/>
      <c r="U443" s="66"/>
      <c r="V443" s="66"/>
      <c r="W443" s="66"/>
      <c r="X443" s="66"/>
      <c r="Y443" s="66"/>
      <c r="Z443" s="66"/>
      <c r="AA443" s="66"/>
    </row>
    <row r="444" spans="1:27" ht="21" x14ac:dyDescent="0.65">
      <c r="A444" s="66"/>
      <c r="B444" s="66"/>
      <c r="C444" s="66"/>
      <c r="D444" s="66"/>
      <c r="E444" s="66"/>
      <c r="F444" s="66"/>
      <c r="G444" s="66"/>
      <c r="H444" s="66"/>
      <c r="I444" s="66"/>
      <c r="J444" s="66"/>
      <c r="K444" s="66"/>
      <c r="L444" s="66"/>
      <c r="M444" s="66"/>
      <c r="N444" s="66"/>
      <c r="O444" s="66"/>
      <c r="P444" s="66"/>
      <c r="Q444" s="66"/>
      <c r="R444" s="66"/>
      <c r="S444" s="66"/>
      <c r="T444" s="66"/>
      <c r="U444" s="66"/>
      <c r="V444" s="66"/>
      <c r="W444" s="66"/>
      <c r="X444" s="66"/>
      <c r="Y444" s="66"/>
      <c r="Z444" s="66"/>
      <c r="AA444" s="66"/>
    </row>
    <row r="445" spans="1:27" ht="21" x14ac:dyDescent="0.65">
      <c r="A445" s="66"/>
      <c r="B445" s="66"/>
      <c r="C445" s="66"/>
      <c r="D445" s="66"/>
      <c r="E445" s="66"/>
      <c r="F445" s="66"/>
      <c r="G445" s="66"/>
      <c r="H445" s="66"/>
      <c r="I445" s="66"/>
      <c r="J445" s="66"/>
      <c r="K445" s="66"/>
      <c r="L445" s="66"/>
      <c r="M445" s="66"/>
      <c r="N445" s="66"/>
      <c r="O445" s="66"/>
      <c r="P445" s="66"/>
      <c r="Q445" s="66"/>
      <c r="R445" s="66"/>
      <c r="S445" s="66"/>
      <c r="T445" s="66"/>
      <c r="U445" s="66"/>
      <c r="V445" s="66"/>
      <c r="W445" s="66"/>
      <c r="X445" s="66"/>
      <c r="Y445" s="66"/>
      <c r="Z445" s="66"/>
      <c r="AA445" s="66"/>
    </row>
    <row r="446" spans="1:27" ht="21" x14ac:dyDescent="0.65">
      <c r="A446" s="66"/>
      <c r="B446" s="66"/>
      <c r="C446" s="66"/>
      <c r="D446" s="66"/>
      <c r="E446" s="66"/>
      <c r="F446" s="66"/>
      <c r="G446" s="66"/>
      <c r="H446" s="66"/>
      <c r="I446" s="66"/>
      <c r="J446" s="66"/>
      <c r="K446" s="66"/>
      <c r="L446" s="66"/>
      <c r="M446" s="66"/>
      <c r="N446" s="66"/>
      <c r="O446" s="66"/>
      <c r="P446" s="66"/>
      <c r="Q446" s="66"/>
      <c r="R446" s="66"/>
      <c r="S446" s="66"/>
      <c r="T446" s="66"/>
      <c r="U446" s="66"/>
      <c r="V446" s="66"/>
      <c r="W446" s="66"/>
      <c r="X446" s="66"/>
      <c r="Y446" s="66"/>
      <c r="Z446" s="66"/>
      <c r="AA446" s="66"/>
    </row>
    <row r="447" spans="1:27" ht="21" x14ac:dyDescent="0.65">
      <c r="A447" s="66"/>
      <c r="B447" s="66"/>
      <c r="C447" s="66"/>
      <c r="D447" s="66"/>
      <c r="E447" s="66"/>
      <c r="F447" s="66"/>
      <c r="G447" s="66"/>
      <c r="H447" s="66"/>
      <c r="I447" s="66"/>
      <c r="J447" s="66"/>
      <c r="K447" s="66"/>
      <c r="L447" s="66"/>
      <c r="M447" s="66"/>
      <c r="N447" s="66"/>
      <c r="O447" s="66"/>
      <c r="P447" s="66"/>
      <c r="Q447" s="66"/>
      <c r="R447" s="66"/>
      <c r="S447" s="66"/>
      <c r="T447" s="66"/>
      <c r="U447" s="66"/>
      <c r="V447" s="66"/>
      <c r="W447" s="66"/>
      <c r="X447" s="66"/>
      <c r="Y447" s="66"/>
      <c r="Z447" s="66"/>
      <c r="AA447" s="66"/>
    </row>
    <row r="448" spans="1:27" ht="21" x14ac:dyDescent="0.65">
      <c r="A448" s="66"/>
      <c r="B448" s="66"/>
      <c r="C448" s="66"/>
      <c r="D448" s="66"/>
      <c r="E448" s="66"/>
      <c r="F448" s="66"/>
      <c r="G448" s="66"/>
      <c r="H448" s="66"/>
      <c r="I448" s="66"/>
      <c r="J448" s="66"/>
      <c r="K448" s="66"/>
      <c r="L448" s="66"/>
      <c r="M448" s="66"/>
      <c r="N448" s="66"/>
      <c r="O448" s="66"/>
      <c r="P448" s="66"/>
      <c r="Q448" s="66"/>
      <c r="R448" s="66"/>
      <c r="S448" s="66"/>
      <c r="T448" s="66"/>
      <c r="U448" s="66"/>
      <c r="V448" s="66"/>
      <c r="W448" s="66"/>
      <c r="X448" s="66"/>
      <c r="Y448" s="66"/>
      <c r="Z448" s="66"/>
      <c r="AA448" s="66"/>
    </row>
    <row r="449" spans="1:27" ht="21" x14ac:dyDescent="0.65">
      <c r="A449" s="66"/>
      <c r="B449" s="66"/>
      <c r="C449" s="66"/>
      <c r="D449" s="66"/>
      <c r="E449" s="66"/>
      <c r="F449" s="66"/>
      <c r="G449" s="66"/>
      <c r="H449" s="66"/>
      <c r="I449" s="66"/>
      <c r="J449" s="66"/>
      <c r="K449" s="66"/>
      <c r="L449" s="66"/>
      <c r="M449" s="66"/>
      <c r="N449" s="66"/>
      <c r="O449" s="66"/>
      <c r="P449" s="66"/>
      <c r="Q449" s="66"/>
      <c r="R449" s="66"/>
      <c r="S449" s="66"/>
      <c r="T449" s="66"/>
      <c r="U449" s="66"/>
      <c r="V449" s="66"/>
      <c r="W449" s="66"/>
      <c r="X449" s="66"/>
      <c r="Y449" s="66"/>
      <c r="Z449" s="66"/>
      <c r="AA449" s="66"/>
    </row>
    <row r="450" spans="1:27" ht="21" x14ac:dyDescent="0.65">
      <c r="A450" s="66"/>
      <c r="B450" s="66"/>
      <c r="C450" s="66"/>
      <c r="D450" s="66"/>
      <c r="E450" s="66"/>
      <c r="F450" s="66"/>
      <c r="G450" s="66"/>
      <c r="H450" s="66"/>
      <c r="I450" s="66"/>
      <c r="J450" s="66"/>
      <c r="K450" s="66"/>
      <c r="L450" s="66"/>
      <c r="M450" s="66"/>
      <c r="N450" s="66"/>
      <c r="O450" s="66"/>
      <c r="P450" s="66"/>
      <c r="Q450" s="66"/>
      <c r="R450" s="66"/>
      <c r="S450" s="66"/>
      <c r="T450" s="66"/>
      <c r="U450" s="66"/>
      <c r="V450" s="66"/>
      <c r="W450" s="66"/>
      <c r="X450" s="66"/>
      <c r="Y450" s="66"/>
      <c r="Z450" s="66"/>
      <c r="AA450" s="66"/>
    </row>
    <row r="451" spans="1:27" ht="21" x14ac:dyDescent="0.65">
      <c r="A451" s="66"/>
      <c r="B451" s="66"/>
      <c r="C451" s="66"/>
      <c r="D451" s="66"/>
      <c r="E451" s="66"/>
      <c r="F451" s="66"/>
      <c r="G451" s="66"/>
      <c r="H451" s="66"/>
      <c r="I451" s="66"/>
      <c r="J451" s="66"/>
      <c r="K451" s="66"/>
      <c r="L451" s="66"/>
      <c r="M451" s="66"/>
      <c r="N451" s="66"/>
      <c r="O451" s="66"/>
      <c r="P451" s="66"/>
      <c r="Q451" s="66"/>
      <c r="R451" s="66"/>
      <c r="S451" s="66"/>
      <c r="T451" s="66"/>
      <c r="U451" s="66"/>
      <c r="V451" s="66"/>
      <c r="W451" s="66"/>
      <c r="X451" s="66"/>
      <c r="Y451" s="66"/>
      <c r="Z451" s="66"/>
      <c r="AA451" s="66"/>
    </row>
    <row r="452" spans="1:27" ht="21" x14ac:dyDescent="0.65">
      <c r="A452" s="66"/>
      <c r="B452" s="66"/>
      <c r="C452" s="66"/>
      <c r="D452" s="66"/>
      <c r="E452" s="66"/>
      <c r="F452" s="66"/>
      <c r="G452" s="66"/>
      <c r="H452" s="66"/>
      <c r="I452" s="66"/>
      <c r="J452" s="66"/>
      <c r="K452" s="66"/>
      <c r="L452" s="66"/>
      <c r="M452" s="66"/>
      <c r="N452" s="66"/>
      <c r="O452" s="66"/>
      <c r="P452" s="66"/>
      <c r="Q452" s="66"/>
      <c r="R452" s="66"/>
      <c r="S452" s="66"/>
      <c r="T452" s="66"/>
      <c r="U452" s="66"/>
      <c r="V452" s="66"/>
      <c r="W452" s="66"/>
      <c r="X452" s="66"/>
      <c r="Y452" s="66"/>
      <c r="Z452" s="66"/>
      <c r="AA452" s="66"/>
    </row>
    <row r="453" spans="1:27" ht="21" x14ac:dyDescent="0.65">
      <c r="A453" s="66"/>
      <c r="B453" s="66"/>
      <c r="C453" s="66"/>
      <c r="D453" s="66"/>
      <c r="E453" s="66"/>
      <c r="F453" s="66"/>
      <c r="G453" s="66"/>
      <c r="H453" s="66"/>
      <c r="I453" s="66"/>
      <c r="J453" s="66"/>
      <c r="K453" s="66"/>
      <c r="L453" s="66"/>
      <c r="M453" s="66"/>
      <c r="N453" s="66"/>
      <c r="O453" s="66"/>
      <c r="P453" s="66"/>
      <c r="Q453" s="66"/>
      <c r="R453" s="66"/>
      <c r="S453" s="66"/>
      <c r="T453" s="66"/>
      <c r="U453" s="66"/>
      <c r="V453" s="66"/>
      <c r="W453" s="66"/>
      <c r="X453" s="66"/>
      <c r="Y453" s="66"/>
      <c r="Z453" s="66"/>
      <c r="AA453" s="66"/>
    </row>
    <row r="454" spans="1:27" ht="21" x14ac:dyDescent="0.65">
      <c r="A454" s="66"/>
      <c r="B454" s="66"/>
      <c r="C454" s="66"/>
      <c r="D454" s="66"/>
      <c r="E454" s="66"/>
      <c r="F454" s="66"/>
      <c r="G454" s="66"/>
      <c r="H454" s="66"/>
      <c r="I454" s="66"/>
      <c r="J454" s="66"/>
      <c r="K454" s="66"/>
      <c r="L454" s="66"/>
      <c r="M454" s="66"/>
      <c r="N454" s="66"/>
      <c r="O454" s="66"/>
      <c r="P454" s="66"/>
      <c r="Q454" s="66"/>
      <c r="R454" s="66"/>
      <c r="S454" s="66"/>
      <c r="T454" s="66"/>
      <c r="U454" s="66"/>
      <c r="V454" s="66"/>
      <c r="W454" s="66"/>
      <c r="X454" s="66"/>
      <c r="Y454" s="66"/>
      <c r="Z454" s="66"/>
      <c r="AA454" s="66"/>
    </row>
    <row r="455" spans="1:27" ht="21" x14ac:dyDescent="0.65">
      <c r="A455" s="66"/>
      <c r="B455" s="66"/>
      <c r="C455" s="66"/>
      <c r="D455" s="66"/>
      <c r="E455" s="66"/>
      <c r="F455" s="66"/>
      <c r="G455" s="66"/>
      <c r="H455" s="66"/>
      <c r="I455" s="66"/>
      <c r="J455" s="66"/>
      <c r="K455" s="66"/>
      <c r="L455" s="66"/>
      <c r="M455" s="66"/>
      <c r="N455" s="66"/>
      <c r="O455" s="66"/>
      <c r="P455" s="66"/>
      <c r="Q455" s="66"/>
      <c r="R455" s="66"/>
      <c r="S455" s="66"/>
      <c r="T455" s="66"/>
      <c r="U455" s="66"/>
      <c r="V455" s="66"/>
      <c r="W455" s="66"/>
      <c r="X455" s="66"/>
      <c r="Y455" s="66"/>
      <c r="Z455" s="66"/>
      <c r="AA455" s="66"/>
    </row>
    <row r="456" spans="1:27" ht="21" x14ac:dyDescent="0.65">
      <c r="A456" s="66"/>
      <c r="B456" s="66"/>
      <c r="C456" s="66"/>
      <c r="D456" s="66"/>
      <c r="E456" s="66"/>
      <c r="F456" s="66"/>
      <c r="G456" s="66"/>
      <c r="H456" s="66"/>
      <c r="I456" s="66"/>
      <c r="J456" s="66"/>
      <c r="K456" s="66"/>
      <c r="L456" s="66"/>
      <c r="M456" s="66"/>
      <c r="N456" s="66"/>
      <c r="O456" s="66"/>
      <c r="P456" s="66"/>
      <c r="Q456" s="66"/>
      <c r="R456" s="66"/>
      <c r="S456" s="66"/>
      <c r="T456" s="66"/>
      <c r="U456" s="66"/>
      <c r="V456" s="66"/>
      <c r="W456" s="66"/>
      <c r="X456" s="66"/>
      <c r="Y456" s="66"/>
      <c r="Z456" s="66"/>
      <c r="AA456" s="66"/>
    </row>
    <row r="457" spans="1:27" ht="21" x14ac:dyDescent="0.65">
      <c r="A457" s="66"/>
      <c r="B457" s="66"/>
      <c r="C457" s="66"/>
      <c r="D457" s="66"/>
      <c r="E457" s="66"/>
      <c r="F457" s="66"/>
      <c r="G457" s="66"/>
      <c r="H457" s="66"/>
      <c r="I457" s="66"/>
      <c r="J457" s="66"/>
      <c r="K457" s="66"/>
      <c r="L457" s="66"/>
      <c r="M457" s="66"/>
      <c r="N457" s="66"/>
      <c r="O457" s="66"/>
      <c r="P457" s="66"/>
      <c r="Q457" s="66"/>
      <c r="R457" s="66"/>
      <c r="S457" s="66"/>
      <c r="T457" s="66"/>
      <c r="U457" s="66"/>
      <c r="V457" s="66"/>
      <c r="W457" s="66"/>
      <c r="X457" s="66"/>
      <c r="Y457" s="66"/>
      <c r="Z457" s="66"/>
      <c r="AA457" s="66"/>
    </row>
    <row r="458" spans="1:27" ht="21" x14ac:dyDescent="0.65">
      <c r="A458" s="66"/>
      <c r="B458" s="66"/>
      <c r="C458" s="66"/>
      <c r="D458" s="66"/>
      <c r="E458" s="66"/>
      <c r="F458" s="66"/>
      <c r="G458" s="66"/>
      <c r="H458" s="66"/>
      <c r="I458" s="66"/>
      <c r="J458" s="66"/>
      <c r="K458" s="66"/>
      <c r="L458" s="66"/>
      <c r="M458" s="66"/>
      <c r="N458" s="66"/>
      <c r="O458" s="66"/>
      <c r="P458" s="66"/>
      <c r="Q458" s="66"/>
      <c r="R458" s="66"/>
      <c r="S458" s="66"/>
      <c r="T458" s="66"/>
      <c r="U458" s="66"/>
      <c r="V458" s="66"/>
      <c r="W458" s="66"/>
      <c r="X458" s="66"/>
      <c r="Y458" s="66"/>
      <c r="Z458" s="66"/>
      <c r="AA458" s="66"/>
    </row>
    <row r="459" spans="1:27" ht="21" x14ac:dyDescent="0.65">
      <c r="A459" s="66"/>
      <c r="B459" s="66"/>
      <c r="C459" s="66"/>
      <c r="D459" s="66"/>
      <c r="E459" s="66"/>
      <c r="F459" s="66"/>
      <c r="G459" s="66"/>
      <c r="H459" s="66"/>
      <c r="I459" s="66"/>
      <c r="J459" s="66"/>
      <c r="K459" s="66"/>
      <c r="L459" s="66"/>
      <c r="M459" s="66"/>
      <c r="N459" s="66"/>
      <c r="O459" s="66"/>
      <c r="P459" s="66"/>
      <c r="Q459" s="66"/>
      <c r="R459" s="66"/>
      <c r="S459" s="66"/>
      <c r="T459" s="66"/>
      <c r="U459" s="66"/>
      <c r="V459" s="66"/>
      <c r="W459" s="66"/>
      <c r="X459" s="66"/>
      <c r="Y459" s="66"/>
      <c r="Z459" s="66"/>
      <c r="AA459" s="66"/>
    </row>
    <row r="460" spans="1:27" ht="21" x14ac:dyDescent="0.65">
      <c r="A460" s="66"/>
      <c r="B460" s="66"/>
      <c r="C460" s="66"/>
      <c r="D460" s="66"/>
      <c r="E460" s="66"/>
      <c r="F460" s="66"/>
      <c r="G460" s="66"/>
      <c r="H460" s="66"/>
      <c r="I460" s="66"/>
      <c r="J460" s="66"/>
      <c r="K460" s="66"/>
      <c r="L460" s="66"/>
      <c r="M460" s="66"/>
      <c r="N460" s="66"/>
      <c r="O460" s="66"/>
      <c r="P460" s="66"/>
      <c r="Q460" s="66"/>
      <c r="R460" s="66"/>
      <c r="S460" s="66"/>
      <c r="T460" s="66"/>
      <c r="U460" s="66"/>
      <c r="V460" s="66"/>
      <c r="W460" s="66"/>
      <c r="X460" s="66"/>
      <c r="Y460" s="66"/>
      <c r="Z460" s="66"/>
      <c r="AA460" s="66"/>
    </row>
    <row r="461" spans="1:27" ht="21" x14ac:dyDescent="0.65">
      <c r="A461" s="66"/>
      <c r="B461" s="66"/>
      <c r="C461" s="66"/>
      <c r="D461" s="66"/>
      <c r="E461" s="66"/>
      <c r="F461" s="66"/>
      <c r="G461" s="66"/>
      <c r="H461" s="66"/>
      <c r="I461" s="66"/>
      <c r="J461" s="66"/>
      <c r="K461" s="66"/>
      <c r="L461" s="66"/>
      <c r="M461" s="66"/>
      <c r="N461" s="66"/>
      <c r="O461" s="66"/>
      <c r="P461" s="66"/>
      <c r="Q461" s="66"/>
      <c r="R461" s="66"/>
      <c r="S461" s="66"/>
      <c r="T461" s="66"/>
      <c r="U461" s="66"/>
      <c r="V461" s="66"/>
      <c r="W461" s="66"/>
      <c r="X461" s="66"/>
      <c r="Y461" s="66"/>
      <c r="Z461" s="66"/>
      <c r="AA461" s="66"/>
    </row>
    <row r="462" spans="1:27" ht="21" x14ac:dyDescent="0.65">
      <c r="A462" s="66"/>
      <c r="B462" s="66"/>
      <c r="C462" s="66"/>
      <c r="D462" s="66"/>
      <c r="E462" s="66"/>
      <c r="F462" s="66"/>
      <c r="G462" s="66"/>
      <c r="H462" s="66"/>
      <c r="I462" s="66"/>
      <c r="J462" s="66"/>
      <c r="K462" s="66"/>
      <c r="L462" s="66"/>
      <c r="M462" s="66"/>
      <c r="N462" s="66"/>
      <c r="O462" s="66"/>
      <c r="P462" s="66"/>
      <c r="Q462" s="66"/>
      <c r="R462" s="66"/>
      <c r="S462" s="66"/>
      <c r="T462" s="66"/>
      <c r="U462" s="66"/>
      <c r="V462" s="66"/>
      <c r="W462" s="66"/>
      <c r="X462" s="66"/>
      <c r="Y462" s="66"/>
      <c r="Z462" s="66"/>
      <c r="AA462" s="66"/>
    </row>
    <row r="463" spans="1:27" ht="21" x14ac:dyDescent="0.65">
      <c r="A463" s="66"/>
      <c r="B463" s="66"/>
      <c r="C463" s="66"/>
      <c r="D463" s="66"/>
      <c r="E463" s="66"/>
      <c r="F463" s="66"/>
      <c r="G463" s="66"/>
      <c r="H463" s="66"/>
      <c r="I463" s="66"/>
      <c r="J463" s="66"/>
      <c r="K463" s="66"/>
      <c r="L463" s="66"/>
      <c r="M463" s="66"/>
      <c r="N463" s="66"/>
      <c r="O463" s="66"/>
      <c r="P463" s="66"/>
      <c r="Q463" s="66"/>
      <c r="R463" s="66"/>
      <c r="S463" s="66"/>
      <c r="T463" s="66"/>
      <c r="U463" s="66"/>
      <c r="V463" s="66"/>
      <c r="W463" s="66"/>
      <c r="X463" s="66"/>
      <c r="Y463" s="66"/>
      <c r="Z463" s="66"/>
      <c r="AA463" s="66"/>
    </row>
    <row r="464" spans="1:27" ht="21" x14ac:dyDescent="0.65">
      <c r="A464" s="66"/>
      <c r="B464" s="66"/>
      <c r="C464" s="66"/>
      <c r="D464" s="66"/>
      <c r="E464" s="66"/>
      <c r="F464" s="66"/>
      <c r="G464" s="66"/>
      <c r="H464" s="66"/>
      <c r="I464" s="66"/>
      <c r="J464" s="66"/>
      <c r="K464" s="66"/>
      <c r="L464" s="66"/>
      <c r="M464" s="66"/>
      <c r="N464" s="66"/>
      <c r="O464" s="66"/>
      <c r="P464" s="66"/>
      <c r="Q464" s="66"/>
      <c r="R464" s="66"/>
      <c r="S464" s="66"/>
      <c r="T464" s="66"/>
      <c r="U464" s="66"/>
      <c r="V464" s="66"/>
      <c r="W464" s="66"/>
      <c r="X464" s="66"/>
      <c r="Y464" s="66"/>
      <c r="Z464" s="66"/>
      <c r="AA464" s="66"/>
    </row>
    <row r="465" spans="1:27" ht="21" x14ac:dyDescent="0.65">
      <c r="A465" s="66"/>
      <c r="B465" s="66"/>
      <c r="C465" s="66"/>
      <c r="D465" s="66"/>
      <c r="E465" s="66"/>
      <c r="F465" s="66"/>
      <c r="G465" s="66"/>
      <c r="H465" s="66"/>
      <c r="I465" s="66"/>
      <c r="J465" s="66"/>
      <c r="K465" s="66"/>
      <c r="L465" s="66"/>
      <c r="M465" s="66"/>
      <c r="N465" s="66"/>
      <c r="O465" s="66"/>
      <c r="P465" s="66"/>
      <c r="Q465" s="66"/>
      <c r="R465" s="66"/>
      <c r="S465" s="66"/>
      <c r="T465" s="66"/>
      <c r="U465" s="66"/>
      <c r="V465" s="66"/>
      <c r="W465" s="66"/>
      <c r="X465" s="66"/>
      <c r="Y465" s="66"/>
      <c r="Z465" s="66"/>
      <c r="AA465" s="66"/>
    </row>
    <row r="466" spans="1:27" ht="21" x14ac:dyDescent="0.65">
      <c r="A466" s="66"/>
      <c r="B466" s="66"/>
      <c r="C466" s="66"/>
      <c r="D466" s="66"/>
      <c r="E466" s="66"/>
      <c r="F466" s="66"/>
      <c r="G466" s="66"/>
      <c r="H466" s="66"/>
      <c r="I466" s="66"/>
      <c r="J466" s="66"/>
      <c r="K466" s="66"/>
      <c r="L466" s="66"/>
      <c r="M466" s="66"/>
      <c r="N466" s="66"/>
      <c r="O466" s="66"/>
      <c r="P466" s="66"/>
      <c r="Q466" s="66"/>
      <c r="R466" s="66"/>
      <c r="S466" s="66"/>
      <c r="T466" s="66"/>
      <c r="U466" s="66"/>
      <c r="V466" s="66"/>
      <c r="W466" s="66"/>
      <c r="X466" s="66"/>
      <c r="Y466" s="66"/>
      <c r="Z466" s="66"/>
      <c r="AA466" s="66"/>
    </row>
    <row r="467" spans="1:27" ht="21" x14ac:dyDescent="0.65">
      <c r="A467" s="66"/>
      <c r="B467" s="66"/>
      <c r="C467" s="66"/>
      <c r="D467" s="66"/>
      <c r="E467" s="66"/>
      <c r="F467" s="66"/>
      <c r="G467" s="66"/>
      <c r="H467" s="66"/>
      <c r="I467" s="66"/>
      <c r="J467" s="66"/>
      <c r="K467" s="66"/>
      <c r="L467" s="66"/>
      <c r="M467" s="66"/>
      <c r="N467" s="66"/>
      <c r="O467" s="66"/>
      <c r="P467" s="66"/>
      <c r="Q467" s="66"/>
      <c r="R467" s="66"/>
      <c r="S467" s="66"/>
      <c r="T467" s="66"/>
      <c r="U467" s="66"/>
      <c r="V467" s="66"/>
      <c r="W467" s="66"/>
      <c r="X467" s="66"/>
      <c r="Y467" s="66"/>
      <c r="Z467" s="66"/>
      <c r="AA467" s="66"/>
    </row>
    <row r="468" spans="1:27" ht="21" x14ac:dyDescent="0.65">
      <c r="A468" s="66"/>
      <c r="B468" s="66"/>
      <c r="C468" s="66"/>
      <c r="D468" s="66"/>
      <c r="E468" s="66"/>
      <c r="F468" s="66"/>
      <c r="G468" s="66"/>
      <c r="H468" s="66"/>
      <c r="I468" s="66"/>
      <c r="J468" s="66"/>
      <c r="K468" s="66"/>
      <c r="L468" s="66"/>
      <c r="M468" s="66"/>
      <c r="N468" s="66"/>
      <c r="O468" s="66"/>
      <c r="P468" s="66"/>
      <c r="Q468" s="66"/>
      <c r="R468" s="66"/>
      <c r="S468" s="66"/>
      <c r="T468" s="66"/>
      <c r="U468" s="66"/>
      <c r="V468" s="66"/>
      <c r="W468" s="66"/>
      <c r="X468" s="66"/>
      <c r="Y468" s="66"/>
      <c r="Z468" s="66"/>
      <c r="AA468" s="66"/>
    </row>
    <row r="469" spans="1:27" ht="21" x14ac:dyDescent="0.65">
      <c r="A469" s="66"/>
      <c r="B469" s="66"/>
      <c r="C469" s="66"/>
      <c r="D469" s="66"/>
      <c r="E469" s="66"/>
      <c r="F469" s="66"/>
      <c r="G469" s="66"/>
      <c r="H469" s="66"/>
      <c r="I469" s="66"/>
      <c r="J469" s="66"/>
      <c r="K469" s="66"/>
      <c r="L469" s="66"/>
      <c r="M469" s="66"/>
      <c r="N469" s="66"/>
      <c r="O469" s="66"/>
      <c r="P469" s="66"/>
      <c r="Q469" s="66"/>
      <c r="R469" s="66"/>
      <c r="S469" s="66"/>
      <c r="T469" s="66"/>
      <c r="U469" s="66"/>
      <c r="V469" s="66"/>
      <c r="W469" s="66"/>
      <c r="X469" s="66"/>
      <c r="Y469" s="66"/>
      <c r="Z469" s="66"/>
      <c r="AA469" s="66"/>
    </row>
    <row r="470" spans="1:27" ht="21" x14ac:dyDescent="0.65">
      <c r="A470" s="66"/>
      <c r="B470" s="66"/>
      <c r="C470" s="66"/>
      <c r="D470" s="66"/>
      <c r="E470" s="66"/>
      <c r="F470" s="66"/>
      <c r="G470" s="66"/>
      <c r="H470" s="66"/>
      <c r="I470" s="66"/>
      <c r="J470" s="66"/>
      <c r="K470" s="66"/>
      <c r="L470" s="66"/>
      <c r="M470" s="66"/>
      <c r="N470" s="66"/>
      <c r="O470" s="66"/>
      <c r="P470" s="66"/>
      <c r="Q470" s="66"/>
      <c r="R470" s="66"/>
      <c r="S470" s="66"/>
      <c r="T470" s="66"/>
      <c r="U470" s="66"/>
      <c r="V470" s="66"/>
      <c r="W470" s="66"/>
      <c r="X470" s="66"/>
      <c r="Y470" s="66"/>
      <c r="Z470" s="66"/>
      <c r="AA470" s="66"/>
    </row>
    <row r="471" spans="1:27" ht="21" x14ac:dyDescent="0.65">
      <c r="A471" s="66"/>
      <c r="B471" s="66"/>
      <c r="C471" s="66"/>
      <c r="D471" s="66"/>
      <c r="E471" s="66"/>
      <c r="F471" s="66"/>
      <c r="G471" s="66"/>
      <c r="H471" s="66"/>
      <c r="I471" s="66"/>
      <c r="J471" s="66"/>
      <c r="K471" s="66"/>
      <c r="L471" s="66"/>
      <c r="M471" s="66"/>
      <c r="N471" s="66"/>
      <c r="O471" s="66"/>
      <c r="P471" s="66"/>
      <c r="Q471" s="66"/>
      <c r="R471" s="66"/>
      <c r="S471" s="66"/>
      <c r="T471" s="66"/>
      <c r="U471" s="66"/>
      <c r="V471" s="66"/>
      <c r="W471" s="66"/>
      <c r="X471" s="66"/>
      <c r="Y471" s="66"/>
      <c r="Z471" s="66"/>
      <c r="AA471" s="66"/>
    </row>
    <row r="472" spans="1:27" ht="21" x14ac:dyDescent="0.65">
      <c r="A472" s="66"/>
      <c r="B472" s="66"/>
      <c r="C472" s="66"/>
      <c r="D472" s="66"/>
      <c r="E472" s="66"/>
      <c r="F472" s="66"/>
      <c r="G472" s="66"/>
      <c r="H472" s="66"/>
      <c r="I472" s="66"/>
      <c r="J472" s="66"/>
      <c r="K472" s="66"/>
      <c r="L472" s="66"/>
      <c r="M472" s="66"/>
      <c r="N472" s="66"/>
      <c r="O472" s="66"/>
      <c r="P472" s="66"/>
      <c r="Q472" s="66"/>
      <c r="R472" s="66"/>
      <c r="S472" s="66"/>
      <c r="T472" s="66"/>
      <c r="U472" s="66"/>
      <c r="V472" s="66"/>
      <c r="W472" s="66"/>
      <c r="X472" s="66"/>
      <c r="Y472" s="66"/>
      <c r="Z472" s="66"/>
      <c r="AA472" s="66"/>
    </row>
    <row r="473" spans="1:27" ht="21" x14ac:dyDescent="0.65">
      <c r="A473" s="66"/>
      <c r="B473" s="66"/>
      <c r="C473" s="66"/>
      <c r="D473" s="66"/>
      <c r="E473" s="66"/>
      <c r="F473" s="66"/>
      <c r="G473" s="66"/>
      <c r="H473" s="66"/>
      <c r="I473" s="66"/>
      <c r="J473" s="66"/>
      <c r="K473" s="66"/>
      <c r="L473" s="66"/>
      <c r="M473" s="66"/>
      <c r="N473" s="66"/>
      <c r="O473" s="66"/>
      <c r="P473" s="66"/>
      <c r="Q473" s="66"/>
      <c r="R473" s="66"/>
      <c r="S473" s="66"/>
      <c r="T473" s="66"/>
      <c r="U473" s="66"/>
      <c r="V473" s="66"/>
      <c r="W473" s="66"/>
      <c r="X473" s="66"/>
      <c r="Y473" s="66"/>
      <c r="Z473" s="66"/>
      <c r="AA473" s="66"/>
    </row>
    <row r="474" spans="1:27" ht="21" x14ac:dyDescent="0.65">
      <c r="A474" s="66"/>
      <c r="B474" s="66"/>
      <c r="C474" s="66"/>
      <c r="D474" s="66"/>
      <c r="E474" s="66"/>
      <c r="F474" s="66"/>
      <c r="G474" s="66"/>
      <c r="H474" s="66"/>
      <c r="I474" s="66"/>
      <c r="J474" s="66"/>
      <c r="K474" s="66"/>
      <c r="L474" s="66"/>
      <c r="M474" s="66"/>
      <c r="N474" s="66"/>
      <c r="O474" s="66"/>
      <c r="P474" s="66"/>
      <c r="Q474" s="66"/>
      <c r="R474" s="66"/>
      <c r="S474" s="66"/>
      <c r="T474" s="66"/>
      <c r="U474" s="66"/>
      <c r="V474" s="66"/>
      <c r="W474" s="66"/>
      <c r="X474" s="66"/>
      <c r="Y474" s="66"/>
      <c r="Z474" s="66"/>
      <c r="AA474" s="66"/>
    </row>
    <row r="475" spans="1:27" ht="21" x14ac:dyDescent="0.65">
      <c r="A475" s="66"/>
      <c r="B475" s="66"/>
      <c r="C475" s="66"/>
      <c r="D475" s="66"/>
      <c r="E475" s="66"/>
      <c r="F475" s="66"/>
      <c r="G475" s="66"/>
      <c r="H475" s="66"/>
      <c r="I475" s="66"/>
      <c r="J475" s="66"/>
      <c r="K475" s="66"/>
      <c r="L475" s="66"/>
      <c r="M475" s="66"/>
      <c r="N475" s="66"/>
      <c r="O475" s="66"/>
      <c r="P475" s="66"/>
      <c r="Q475" s="66"/>
      <c r="R475" s="66"/>
      <c r="S475" s="66"/>
      <c r="T475" s="66"/>
      <c r="U475" s="66"/>
      <c r="V475" s="66"/>
      <c r="W475" s="66"/>
      <c r="X475" s="66"/>
      <c r="Y475" s="66"/>
      <c r="Z475" s="66"/>
      <c r="AA475" s="66"/>
    </row>
    <row r="476" spans="1:27" ht="21" x14ac:dyDescent="0.65">
      <c r="A476" s="66"/>
      <c r="B476" s="66"/>
      <c r="C476" s="66"/>
      <c r="D476" s="66"/>
      <c r="E476" s="66"/>
      <c r="F476" s="66"/>
      <c r="G476" s="66"/>
      <c r="H476" s="66"/>
      <c r="I476" s="66"/>
      <c r="J476" s="66"/>
      <c r="K476" s="66"/>
      <c r="L476" s="66"/>
      <c r="M476" s="66"/>
      <c r="N476" s="66"/>
      <c r="O476" s="66"/>
      <c r="P476" s="66"/>
      <c r="Q476" s="66"/>
      <c r="R476" s="66"/>
      <c r="S476" s="66"/>
      <c r="T476" s="66"/>
      <c r="U476" s="66"/>
      <c r="V476" s="66"/>
      <c r="W476" s="66"/>
      <c r="X476" s="66"/>
      <c r="Y476" s="66"/>
      <c r="Z476" s="66"/>
      <c r="AA476" s="66"/>
    </row>
    <row r="477" spans="1:27" ht="21" x14ac:dyDescent="0.65">
      <c r="A477" s="66"/>
      <c r="B477" s="66"/>
      <c r="C477" s="66"/>
      <c r="D477" s="66"/>
      <c r="E477" s="66"/>
      <c r="F477" s="66"/>
      <c r="G477" s="66"/>
      <c r="H477" s="66"/>
      <c r="I477" s="66"/>
      <c r="J477" s="66"/>
      <c r="K477" s="66"/>
      <c r="L477" s="66"/>
      <c r="M477" s="66"/>
      <c r="N477" s="66"/>
      <c r="O477" s="66"/>
      <c r="P477" s="66"/>
      <c r="Q477" s="66"/>
      <c r="R477" s="66"/>
      <c r="S477" s="66"/>
      <c r="T477" s="66"/>
      <c r="U477" s="66"/>
      <c r="V477" s="66"/>
      <c r="W477" s="66"/>
      <c r="X477" s="66"/>
      <c r="Y477" s="66"/>
      <c r="Z477" s="66"/>
      <c r="AA477" s="66"/>
    </row>
    <row r="478" spans="1:27" ht="21" x14ac:dyDescent="0.65">
      <c r="A478" s="66"/>
      <c r="B478" s="66"/>
      <c r="C478" s="66"/>
      <c r="D478" s="66"/>
      <c r="E478" s="66"/>
      <c r="F478" s="66"/>
      <c r="G478" s="66"/>
      <c r="H478" s="66"/>
      <c r="I478" s="66"/>
      <c r="J478" s="66"/>
      <c r="K478" s="66"/>
      <c r="L478" s="66"/>
      <c r="M478" s="66"/>
      <c r="N478" s="66"/>
      <c r="O478" s="66"/>
      <c r="P478" s="66"/>
      <c r="Q478" s="66"/>
      <c r="R478" s="66"/>
      <c r="S478" s="66"/>
      <c r="T478" s="66"/>
      <c r="U478" s="66"/>
      <c r="V478" s="66"/>
      <c r="W478" s="66"/>
      <c r="X478" s="66"/>
      <c r="Y478" s="66"/>
      <c r="Z478" s="66"/>
      <c r="AA478" s="66"/>
    </row>
    <row r="479" spans="1:27" ht="21" x14ac:dyDescent="0.65">
      <c r="A479" s="66"/>
      <c r="B479" s="66"/>
      <c r="C479" s="66"/>
      <c r="D479" s="66"/>
      <c r="E479" s="66"/>
      <c r="F479" s="66"/>
      <c r="G479" s="66"/>
      <c r="H479" s="66"/>
      <c r="I479" s="66"/>
      <c r="J479" s="66"/>
      <c r="K479" s="66"/>
      <c r="L479" s="66"/>
      <c r="M479" s="66"/>
      <c r="N479" s="66"/>
      <c r="O479" s="66"/>
      <c r="P479" s="66"/>
      <c r="Q479" s="66"/>
      <c r="R479" s="66"/>
      <c r="S479" s="66"/>
      <c r="T479" s="66"/>
      <c r="U479" s="66"/>
      <c r="V479" s="66"/>
      <c r="W479" s="66"/>
      <c r="X479" s="66"/>
      <c r="Y479" s="66"/>
      <c r="Z479" s="66"/>
      <c r="AA479" s="66"/>
    </row>
    <row r="480" spans="1:27" ht="21" x14ac:dyDescent="0.65">
      <c r="A480" s="66"/>
      <c r="B480" s="66"/>
      <c r="C480" s="66"/>
      <c r="D480" s="66"/>
      <c r="E480" s="66"/>
      <c r="F480" s="66"/>
      <c r="G480" s="66"/>
      <c r="H480" s="66"/>
      <c r="I480" s="66"/>
      <c r="J480" s="66"/>
      <c r="K480" s="66"/>
      <c r="L480" s="66"/>
      <c r="M480" s="66"/>
      <c r="N480" s="66"/>
      <c r="O480" s="66"/>
      <c r="P480" s="66"/>
      <c r="Q480" s="66"/>
      <c r="R480" s="66"/>
      <c r="S480" s="66"/>
      <c r="T480" s="66"/>
      <c r="U480" s="66"/>
      <c r="V480" s="66"/>
      <c r="W480" s="66"/>
      <c r="X480" s="66"/>
      <c r="Y480" s="66"/>
      <c r="Z480" s="66"/>
      <c r="AA480" s="66"/>
    </row>
    <row r="481" spans="1:27" ht="21" x14ac:dyDescent="0.65">
      <c r="A481" s="66"/>
      <c r="B481" s="66"/>
      <c r="C481" s="66"/>
      <c r="D481" s="66"/>
      <c r="E481" s="66"/>
      <c r="F481" s="66"/>
      <c r="G481" s="66"/>
      <c r="H481" s="66"/>
      <c r="I481" s="66"/>
      <c r="J481" s="66"/>
      <c r="K481" s="66"/>
      <c r="L481" s="66"/>
      <c r="M481" s="66"/>
      <c r="N481" s="66"/>
      <c r="O481" s="66"/>
      <c r="P481" s="66"/>
      <c r="Q481" s="66"/>
      <c r="R481" s="66"/>
      <c r="S481" s="66"/>
      <c r="T481" s="66"/>
      <c r="U481" s="66"/>
      <c r="V481" s="66"/>
      <c r="W481" s="66"/>
      <c r="X481" s="66"/>
      <c r="Y481" s="66"/>
      <c r="Z481" s="66"/>
      <c r="AA481" s="66"/>
    </row>
    <row r="482" spans="1:27" ht="21" x14ac:dyDescent="0.65">
      <c r="A482" s="66"/>
      <c r="B482" s="66"/>
      <c r="C482" s="66"/>
      <c r="D482" s="66"/>
      <c r="E482" s="66"/>
      <c r="F482" s="66"/>
      <c r="G482" s="66"/>
      <c r="H482" s="66"/>
      <c r="I482" s="66"/>
      <c r="J482" s="66"/>
      <c r="K482" s="66"/>
      <c r="L482" s="66"/>
      <c r="M482" s="66"/>
      <c r="N482" s="66"/>
      <c r="O482" s="66"/>
      <c r="P482" s="66"/>
      <c r="Q482" s="66"/>
      <c r="R482" s="66"/>
      <c r="S482" s="66"/>
      <c r="T482" s="66"/>
      <c r="U482" s="66"/>
      <c r="V482" s="66"/>
      <c r="W482" s="66"/>
      <c r="X482" s="66"/>
      <c r="Y482" s="66"/>
      <c r="Z482" s="66"/>
      <c r="AA482" s="66"/>
    </row>
    <row r="483" spans="1:27" ht="21" x14ac:dyDescent="0.65">
      <c r="A483" s="66"/>
      <c r="B483" s="66"/>
      <c r="C483" s="66"/>
      <c r="D483" s="66"/>
      <c r="E483" s="66"/>
      <c r="F483" s="66"/>
      <c r="G483" s="66"/>
      <c r="H483" s="66"/>
      <c r="I483" s="66"/>
      <c r="J483" s="66"/>
      <c r="K483" s="66"/>
      <c r="L483" s="66"/>
      <c r="M483" s="66"/>
      <c r="N483" s="66"/>
      <c r="O483" s="66"/>
      <c r="P483" s="66"/>
      <c r="Q483" s="66"/>
      <c r="R483" s="66"/>
      <c r="S483" s="66"/>
      <c r="T483" s="66"/>
      <c r="U483" s="66"/>
      <c r="V483" s="66"/>
      <c r="W483" s="66"/>
      <c r="X483" s="66"/>
      <c r="Y483" s="66"/>
      <c r="Z483" s="66"/>
      <c r="AA483" s="66"/>
    </row>
    <row r="484" spans="1:27" ht="21" x14ac:dyDescent="0.65">
      <c r="A484" s="66"/>
      <c r="B484" s="66"/>
      <c r="C484" s="66"/>
      <c r="D484" s="66"/>
      <c r="E484" s="66"/>
      <c r="F484" s="66"/>
      <c r="G484" s="66"/>
      <c r="H484" s="66"/>
      <c r="I484" s="66"/>
      <c r="J484" s="66"/>
      <c r="K484" s="66"/>
      <c r="L484" s="66"/>
      <c r="M484" s="66"/>
      <c r="N484" s="66"/>
      <c r="O484" s="66"/>
      <c r="P484" s="66"/>
      <c r="Q484" s="66"/>
      <c r="R484" s="66"/>
      <c r="S484" s="66"/>
      <c r="T484" s="66"/>
      <c r="U484" s="66"/>
      <c r="V484" s="66"/>
      <c r="W484" s="66"/>
      <c r="X484" s="66"/>
      <c r="Y484" s="66"/>
      <c r="Z484" s="66"/>
      <c r="AA484" s="66"/>
    </row>
    <row r="485" spans="1:27" ht="21" x14ac:dyDescent="0.65">
      <c r="A485" s="66"/>
      <c r="B485" s="66"/>
      <c r="C485" s="66"/>
      <c r="D485" s="66"/>
      <c r="E485" s="66"/>
      <c r="F485" s="66"/>
      <c r="G485" s="66"/>
      <c r="H485" s="66"/>
      <c r="I485" s="66"/>
      <c r="J485" s="66"/>
      <c r="K485" s="66"/>
      <c r="L485" s="66"/>
      <c r="M485" s="66"/>
      <c r="N485" s="66"/>
      <c r="O485" s="66"/>
      <c r="P485" s="66"/>
      <c r="Q485" s="66"/>
      <c r="R485" s="66"/>
      <c r="S485" s="66"/>
      <c r="T485" s="66"/>
      <c r="U485" s="66"/>
      <c r="V485" s="66"/>
      <c r="W485" s="66"/>
      <c r="X485" s="66"/>
      <c r="Y485" s="66"/>
      <c r="Z485" s="66"/>
      <c r="AA485" s="66"/>
    </row>
    <row r="486" spans="1:27" ht="21" x14ac:dyDescent="0.65">
      <c r="A486" s="66"/>
      <c r="B486" s="66"/>
      <c r="C486" s="66"/>
      <c r="D486" s="66"/>
      <c r="E486" s="66"/>
      <c r="F486" s="66"/>
      <c r="G486" s="66"/>
      <c r="H486" s="66"/>
      <c r="I486" s="66"/>
      <c r="J486" s="66"/>
      <c r="K486" s="66"/>
      <c r="L486" s="66"/>
      <c r="M486" s="66"/>
      <c r="N486" s="66"/>
      <c r="O486" s="66"/>
      <c r="P486" s="66"/>
      <c r="Q486" s="66"/>
      <c r="R486" s="66"/>
      <c r="S486" s="66"/>
      <c r="T486" s="66"/>
      <c r="U486" s="66"/>
      <c r="V486" s="66"/>
      <c r="W486" s="66"/>
      <c r="X486" s="66"/>
      <c r="Y486" s="66"/>
      <c r="Z486" s="66"/>
      <c r="AA486" s="66"/>
    </row>
    <row r="487" spans="1:27" ht="21" x14ac:dyDescent="0.65">
      <c r="A487" s="66"/>
      <c r="B487" s="66"/>
      <c r="C487" s="66"/>
      <c r="D487" s="66"/>
      <c r="E487" s="66"/>
      <c r="F487" s="66"/>
      <c r="G487" s="66"/>
      <c r="H487" s="66"/>
      <c r="I487" s="66"/>
      <c r="J487" s="66"/>
      <c r="K487" s="66"/>
      <c r="L487" s="66"/>
      <c r="M487" s="66"/>
      <c r="N487" s="66"/>
      <c r="O487" s="66"/>
      <c r="P487" s="66"/>
      <c r="Q487" s="66"/>
      <c r="R487" s="66"/>
      <c r="S487" s="66"/>
      <c r="T487" s="66"/>
      <c r="U487" s="66"/>
      <c r="V487" s="66"/>
      <c r="W487" s="66"/>
      <c r="X487" s="66"/>
      <c r="Y487" s="66"/>
      <c r="Z487" s="66"/>
      <c r="AA487" s="66"/>
    </row>
    <row r="488" spans="1:27" ht="21" x14ac:dyDescent="0.65">
      <c r="A488" s="66"/>
      <c r="B488" s="66"/>
      <c r="C488" s="66"/>
      <c r="D488" s="66"/>
      <c r="E488" s="66"/>
      <c r="F488" s="66"/>
      <c r="G488" s="66"/>
      <c r="H488" s="66"/>
      <c r="I488" s="66"/>
      <c r="J488" s="66"/>
      <c r="K488" s="66"/>
      <c r="L488" s="66"/>
      <c r="M488" s="66"/>
      <c r="N488" s="66"/>
      <c r="O488" s="66"/>
      <c r="P488" s="66"/>
      <c r="Q488" s="66"/>
      <c r="R488" s="66"/>
      <c r="S488" s="66"/>
      <c r="T488" s="66"/>
      <c r="U488" s="66"/>
      <c r="V488" s="66"/>
      <c r="W488" s="66"/>
      <c r="X488" s="66"/>
      <c r="Y488" s="66"/>
      <c r="Z488" s="66"/>
      <c r="AA488" s="66"/>
    </row>
    <row r="489" spans="1:27" ht="21" x14ac:dyDescent="0.65">
      <c r="A489" s="66"/>
      <c r="B489" s="66"/>
      <c r="C489" s="66"/>
      <c r="D489" s="66"/>
      <c r="E489" s="66"/>
      <c r="F489" s="66"/>
      <c r="G489" s="66"/>
      <c r="H489" s="66"/>
      <c r="I489" s="66"/>
      <c r="J489" s="66"/>
      <c r="K489" s="66"/>
      <c r="L489" s="66"/>
      <c r="M489" s="66"/>
      <c r="N489" s="66"/>
      <c r="O489" s="66"/>
      <c r="P489" s="66"/>
      <c r="Q489" s="66"/>
      <c r="R489" s="66"/>
      <c r="S489" s="66"/>
      <c r="T489" s="66"/>
      <c r="U489" s="66"/>
      <c r="V489" s="66"/>
      <c r="W489" s="66"/>
      <c r="X489" s="66"/>
      <c r="Y489" s="66"/>
      <c r="Z489" s="66"/>
      <c r="AA489" s="66"/>
    </row>
    <row r="490" spans="1:27" ht="21" x14ac:dyDescent="0.65">
      <c r="A490" s="66"/>
      <c r="B490" s="66"/>
      <c r="C490" s="66"/>
      <c r="D490" s="66"/>
      <c r="E490" s="66"/>
      <c r="F490" s="66"/>
      <c r="G490" s="66"/>
      <c r="H490" s="66"/>
      <c r="I490" s="66"/>
      <c r="J490" s="66"/>
      <c r="K490" s="66"/>
      <c r="L490" s="66"/>
      <c r="M490" s="66"/>
      <c r="N490" s="66"/>
      <c r="O490" s="66"/>
      <c r="P490" s="66"/>
      <c r="Q490" s="66"/>
      <c r="R490" s="66"/>
      <c r="S490" s="66"/>
      <c r="T490" s="66"/>
      <c r="U490" s="66"/>
      <c r="V490" s="66"/>
      <c r="W490" s="66"/>
      <c r="X490" s="66"/>
      <c r="Y490" s="66"/>
      <c r="Z490" s="66"/>
      <c r="AA490" s="66"/>
    </row>
    <row r="491" spans="1:27" ht="21" x14ac:dyDescent="0.65">
      <c r="A491" s="66"/>
      <c r="B491" s="66"/>
      <c r="C491" s="66"/>
      <c r="D491" s="66"/>
      <c r="E491" s="66"/>
      <c r="F491" s="66"/>
      <c r="G491" s="66"/>
      <c r="H491" s="66"/>
      <c r="I491" s="66"/>
      <c r="J491" s="66"/>
      <c r="K491" s="66"/>
      <c r="L491" s="66"/>
      <c r="M491" s="66"/>
      <c r="N491" s="66"/>
      <c r="O491" s="66"/>
      <c r="P491" s="66"/>
      <c r="Q491" s="66"/>
      <c r="R491" s="66"/>
      <c r="S491" s="66"/>
      <c r="T491" s="66"/>
      <c r="U491" s="66"/>
      <c r="V491" s="66"/>
      <c r="W491" s="66"/>
      <c r="X491" s="66"/>
      <c r="Y491" s="66"/>
      <c r="Z491" s="66"/>
      <c r="AA491" s="66"/>
    </row>
    <row r="492" spans="1:27" ht="21" x14ac:dyDescent="0.65">
      <c r="A492" s="66"/>
      <c r="B492" s="66"/>
      <c r="C492" s="66"/>
      <c r="D492" s="66"/>
      <c r="E492" s="66"/>
      <c r="F492" s="66"/>
      <c r="G492" s="66"/>
      <c r="H492" s="66"/>
      <c r="I492" s="66"/>
      <c r="J492" s="66"/>
      <c r="K492" s="66"/>
      <c r="L492" s="66"/>
      <c r="M492" s="66"/>
      <c r="N492" s="66"/>
      <c r="O492" s="66"/>
      <c r="P492" s="66"/>
      <c r="Q492" s="66"/>
      <c r="R492" s="66"/>
      <c r="S492" s="66"/>
      <c r="T492" s="66"/>
      <c r="U492" s="66"/>
      <c r="V492" s="66"/>
      <c r="W492" s="66"/>
      <c r="X492" s="66"/>
      <c r="Y492" s="66"/>
      <c r="Z492" s="66"/>
      <c r="AA492" s="66"/>
    </row>
    <row r="493" spans="1:27" ht="21" x14ac:dyDescent="0.65">
      <c r="A493" s="66"/>
      <c r="B493" s="66"/>
      <c r="C493" s="66"/>
      <c r="D493" s="66"/>
      <c r="E493" s="66"/>
      <c r="F493" s="66"/>
      <c r="G493" s="66"/>
      <c r="H493" s="66"/>
      <c r="I493" s="66"/>
      <c r="J493" s="66"/>
      <c r="K493" s="66"/>
      <c r="L493" s="66"/>
      <c r="M493" s="66"/>
      <c r="N493" s="66"/>
      <c r="O493" s="66"/>
      <c r="P493" s="66"/>
      <c r="Q493" s="66"/>
      <c r="R493" s="66"/>
      <c r="S493" s="66"/>
      <c r="T493" s="66"/>
      <c r="U493" s="66"/>
      <c r="V493" s="66"/>
      <c r="W493" s="66"/>
      <c r="X493" s="66"/>
      <c r="Y493" s="66"/>
      <c r="Z493" s="66"/>
      <c r="AA493" s="66"/>
    </row>
    <row r="494" spans="1:27" ht="21" x14ac:dyDescent="0.65">
      <c r="A494" s="66"/>
      <c r="B494" s="66"/>
      <c r="C494" s="66"/>
      <c r="D494" s="66"/>
      <c r="E494" s="66"/>
      <c r="F494" s="66"/>
      <c r="G494" s="66"/>
      <c r="H494" s="66"/>
      <c r="I494" s="66"/>
      <c r="J494" s="66"/>
      <c r="K494" s="66"/>
      <c r="L494" s="66"/>
      <c r="M494" s="66"/>
      <c r="N494" s="66"/>
      <c r="O494" s="66"/>
      <c r="P494" s="66"/>
      <c r="Q494" s="66"/>
      <c r="R494" s="66"/>
      <c r="S494" s="66"/>
      <c r="T494" s="66"/>
      <c r="U494" s="66"/>
      <c r="V494" s="66"/>
      <c r="W494" s="66"/>
      <c r="X494" s="66"/>
      <c r="Y494" s="66"/>
      <c r="Z494" s="66"/>
      <c r="AA494" s="66"/>
    </row>
    <row r="495" spans="1:27" ht="21" x14ac:dyDescent="0.65">
      <c r="A495" s="66"/>
      <c r="B495" s="66"/>
      <c r="C495" s="66"/>
      <c r="D495" s="66"/>
      <c r="E495" s="66"/>
      <c r="F495" s="66"/>
      <c r="G495" s="66"/>
      <c r="H495" s="66"/>
      <c r="I495" s="66"/>
      <c r="J495" s="66"/>
      <c r="K495" s="66"/>
      <c r="L495" s="66"/>
      <c r="M495" s="66"/>
      <c r="N495" s="66"/>
      <c r="O495" s="66"/>
      <c r="P495" s="66"/>
      <c r="Q495" s="66"/>
      <c r="R495" s="66"/>
      <c r="S495" s="66"/>
      <c r="T495" s="66"/>
      <c r="U495" s="66"/>
      <c r="V495" s="66"/>
      <c r="W495" s="66"/>
      <c r="X495" s="66"/>
      <c r="Y495" s="66"/>
      <c r="Z495" s="66"/>
      <c r="AA495" s="66"/>
    </row>
    <row r="496" spans="1:27" ht="21" x14ac:dyDescent="0.65">
      <c r="A496" s="66"/>
      <c r="B496" s="66"/>
      <c r="C496" s="66"/>
      <c r="D496" s="66"/>
      <c r="E496" s="66"/>
      <c r="F496" s="66"/>
      <c r="G496" s="66"/>
      <c r="H496" s="66"/>
      <c r="I496" s="66"/>
      <c r="J496" s="66"/>
      <c r="K496" s="66"/>
      <c r="L496" s="66"/>
      <c r="M496" s="66"/>
      <c r="N496" s="66"/>
      <c r="O496" s="66"/>
      <c r="P496" s="66"/>
      <c r="Q496" s="66"/>
      <c r="R496" s="66"/>
      <c r="S496" s="66"/>
      <c r="T496" s="66"/>
      <c r="U496" s="66"/>
      <c r="V496" s="66"/>
      <c r="W496" s="66"/>
      <c r="X496" s="66"/>
      <c r="Y496" s="66"/>
      <c r="Z496" s="66"/>
      <c r="AA496" s="66"/>
    </row>
    <row r="497" spans="1:27" ht="21" x14ac:dyDescent="0.65">
      <c r="A497" s="66"/>
      <c r="B497" s="66"/>
      <c r="C497" s="66"/>
      <c r="D497" s="66"/>
      <c r="E497" s="66"/>
      <c r="F497" s="66"/>
      <c r="G497" s="66"/>
      <c r="H497" s="66"/>
      <c r="I497" s="66"/>
      <c r="J497" s="66"/>
      <c r="K497" s="66"/>
      <c r="L497" s="66"/>
      <c r="M497" s="66"/>
      <c r="N497" s="66"/>
      <c r="O497" s="66"/>
      <c r="P497" s="66"/>
      <c r="Q497" s="66"/>
      <c r="R497" s="66"/>
      <c r="S497" s="66"/>
      <c r="T497" s="66"/>
      <c r="U497" s="66"/>
      <c r="V497" s="66"/>
      <c r="W497" s="66"/>
      <c r="X497" s="66"/>
      <c r="Y497" s="66"/>
      <c r="Z497" s="66"/>
      <c r="AA497" s="66"/>
    </row>
    <row r="498" spans="1:27" ht="21" x14ac:dyDescent="0.65">
      <c r="A498" s="66"/>
      <c r="B498" s="66"/>
      <c r="C498" s="66"/>
      <c r="D498" s="66"/>
      <c r="E498" s="66"/>
      <c r="F498" s="66"/>
      <c r="G498" s="66"/>
      <c r="H498" s="66"/>
      <c r="I498" s="66"/>
      <c r="J498" s="66"/>
      <c r="K498" s="66"/>
      <c r="L498" s="66"/>
      <c r="M498" s="66"/>
      <c r="N498" s="66"/>
      <c r="O498" s="66"/>
      <c r="P498" s="66"/>
      <c r="Q498" s="66"/>
      <c r="R498" s="66"/>
      <c r="S498" s="66"/>
      <c r="T498" s="66"/>
      <c r="U498" s="66"/>
      <c r="V498" s="66"/>
      <c r="W498" s="66"/>
      <c r="X498" s="66"/>
      <c r="Y498" s="66"/>
      <c r="Z498" s="66"/>
      <c r="AA498" s="66"/>
    </row>
    <row r="499" spans="1:27" ht="21" x14ac:dyDescent="0.65">
      <c r="A499" s="66"/>
      <c r="B499" s="66"/>
      <c r="C499" s="66"/>
      <c r="D499" s="66"/>
      <c r="E499" s="66"/>
      <c r="F499" s="66"/>
      <c r="G499" s="66"/>
      <c r="H499" s="66"/>
      <c r="I499" s="66"/>
      <c r="J499" s="66"/>
      <c r="K499" s="66"/>
      <c r="L499" s="66"/>
      <c r="M499" s="66"/>
      <c r="N499" s="66"/>
      <c r="O499" s="66"/>
      <c r="P499" s="66"/>
      <c r="Q499" s="66"/>
      <c r="R499" s="66"/>
      <c r="S499" s="66"/>
      <c r="T499" s="66"/>
      <c r="U499" s="66"/>
      <c r="V499" s="66"/>
      <c r="W499" s="66"/>
      <c r="X499" s="66"/>
      <c r="Y499" s="66"/>
      <c r="Z499" s="66"/>
      <c r="AA499" s="66"/>
    </row>
    <row r="500" spans="1:27" ht="21" x14ac:dyDescent="0.65">
      <c r="A500" s="66"/>
      <c r="B500" s="66"/>
      <c r="C500" s="66"/>
      <c r="D500" s="66"/>
      <c r="E500" s="66"/>
      <c r="F500" s="66"/>
      <c r="G500" s="66"/>
      <c r="H500" s="66"/>
      <c r="I500" s="66"/>
      <c r="J500" s="66"/>
      <c r="K500" s="66"/>
      <c r="L500" s="66"/>
      <c r="M500" s="66"/>
      <c r="N500" s="66"/>
      <c r="O500" s="66"/>
      <c r="P500" s="66"/>
      <c r="Q500" s="66"/>
      <c r="R500" s="66"/>
      <c r="S500" s="66"/>
      <c r="T500" s="66"/>
      <c r="U500" s="66"/>
      <c r="V500" s="66"/>
      <c r="W500" s="66"/>
      <c r="X500" s="66"/>
      <c r="Y500" s="66"/>
      <c r="Z500" s="66"/>
      <c r="AA500" s="66"/>
    </row>
    <row r="501" spans="1:27" ht="21" x14ac:dyDescent="0.65">
      <c r="A501" s="66"/>
      <c r="B501" s="66"/>
      <c r="C501" s="66"/>
      <c r="D501" s="66"/>
      <c r="E501" s="66"/>
      <c r="F501" s="66"/>
      <c r="G501" s="66"/>
      <c r="H501" s="66"/>
      <c r="I501" s="66"/>
      <c r="J501" s="66"/>
      <c r="K501" s="66"/>
      <c r="L501" s="66"/>
      <c r="M501" s="66"/>
      <c r="N501" s="66"/>
      <c r="O501" s="66"/>
      <c r="P501" s="66"/>
      <c r="Q501" s="66"/>
      <c r="R501" s="66"/>
      <c r="S501" s="66"/>
      <c r="T501" s="66"/>
      <c r="U501" s="66"/>
      <c r="V501" s="66"/>
      <c r="W501" s="66"/>
      <c r="X501" s="66"/>
      <c r="Y501" s="66"/>
      <c r="Z501" s="66"/>
      <c r="AA501" s="66"/>
    </row>
    <row r="502" spans="1:27" ht="21" x14ac:dyDescent="0.65">
      <c r="A502" s="66"/>
      <c r="B502" s="66"/>
      <c r="C502" s="66"/>
      <c r="D502" s="66"/>
      <c r="E502" s="66"/>
      <c r="F502" s="66"/>
      <c r="G502" s="66"/>
      <c r="H502" s="66"/>
      <c r="I502" s="66"/>
      <c r="J502" s="66"/>
      <c r="K502" s="66"/>
      <c r="L502" s="66"/>
      <c r="M502" s="66"/>
      <c r="N502" s="66"/>
      <c r="O502" s="66"/>
      <c r="P502" s="66"/>
      <c r="Q502" s="66"/>
      <c r="R502" s="66"/>
      <c r="S502" s="66"/>
      <c r="T502" s="66"/>
      <c r="U502" s="66"/>
      <c r="V502" s="66"/>
      <c r="W502" s="66"/>
      <c r="X502" s="66"/>
      <c r="Y502" s="66"/>
      <c r="Z502" s="66"/>
      <c r="AA502" s="66"/>
    </row>
    <row r="503" spans="1:27" ht="21" x14ac:dyDescent="0.65">
      <c r="A503" s="66"/>
      <c r="B503" s="66"/>
      <c r="C503" s="66"/>
      <c r="D503" s="66"/>
      <c r="E503" s="66"/>
      <c r="F503" s="66"/>
      <c r="G503" s="66"/>
      <c r="H503" s="66"/>
      <c r="I503" s="66"/>
      <c r="J503" s="66"/>
      <c r="K503" s="66"/>
      <c r="L503" s="66"/>
      <c r="M503" s="66"/>
      <c r="N503" s="66"/>
      <c r="O503" s="66"/>
      <c r="P503" s="66"/>
      <c r="Q503" s="66"/>
      <c r="R503" s="66"/>
      <c r="S503" s="66"/>
      <c r="T503" s="66"/>
      <c r="U503" s="66"/>
      <c r="V503" s="66"/>
      <c r="W503" s="66"/>
      <c r="X503" s="66"/>
      <c r="Y503" s="66"/>
      <c r="Z503" s="66"/>
      <c r="AA503" s="66"/>
    </row>
    <row r="504" spans="1:27" ht="21" x14ac:dyDescent="0.65">
      <c r="A504" s="66"/>
      <c r="B504" s="66"/>
      <c r="C504" s="66"/>
      <c r="D504" s="66"/>
      <c r="E504" s="66"/>
      <c r="F504" s="66"/>
      <c r="G504" s="66"/>
      <c r="H504" s="66"/>
      <c r="I504" s="66"/>
      <c r="J504" s="66"/>
      <c r="K504" s="66"/>
      <c r="L504" s="66"/>
      <c r="M504" s="66"/>
      <c r="N504" s="66"/>
      <c r="O504" s="66"/>
      <c r="P504" s="66"/>
      <c r="Q504" s="66"/>
      <c r="R504" s="66"/>
      <c r="S504" s="66"/>
      <c r="T504" s="66"/>
      <c r="U504" s="66"/>
      <c r="V504" s="66"/>
      <c r="W504" s="66"/>
      <c r="X504" s="66"/>
      <c r="Y504" s="66"/>
      <c r="Z504" s="66"/>
      <c r="AA504" s="66"/>
    </row>
    <row r="505" spans="1:27" ht="21" x14ac:dyDescent="0.65">
      <c r="A505" s="66"/>
      <c r="B505" s="66"/>
      <c r="C505" s="66"/>
      <c r="D505" s="66"/>
      <c r="E505" s="66"/>
      <c r="F505" s="66"/>
      <c r="G505" s="66"/>
      <c r="H505" s="66"/>
      <c r="I505" s="66"/>
      <c r="J505" s="66"/>
      <c r="K505" s="66"/>
      <c r="L505" s="66"/>
      <c r="M505" s="66"/>
      <c r="N505" s="66"/>
      <c r="O505" s="66"/>
      <c r="P505" s="66"/>
      <c r="Q505" s="66"/>
      <c r="R505" s="66"/>
      <c r="S505" s="66"/>
      <c r="T505" s="66"/>
      <c r="U505" s="66"/>
      <c r="V505" s="66"/>
      <c r="W505" s="66"/>
      <c r="X505" s="66"/>
      <c r="Y505" s="66"/>
      <c r="Z505" s="66"/>
      <c r="AA505" s="66"/>
    </row>
    <row r="506" spans="1:27" ht="21" x14ac:dyDescent="0.65">
      <c r="A506" s="66"/>
      <c r="B506" s="66"/>
      <c r="C506" s="66"/>
      <c r="D506" s="66"/>
      <c r="E506" s="66"/>
      <c r="F506" s="66"/>
      <c r="G506" s="66"/>
      <c r="H506" s="66"/>
      <c r="I506" s="66"/>
      <c r="J506" s="66"/>
      <c r="K506" s="66"/>
      <c r="L506" s="66"/>
      <c r="M506" s="66"/>
      <c r="N506" s="66"/>
      <c r="O506" s="66"/>
      <c r="P506" s="66"/>
      <c r="Q506" s="66"/>
      <c r="R506" s="66"/>
      <c r="S506" s="66"/>
      <c r="T506" s="66"/>
      <c r="U506" s="66"/>
      <c r="V506" s="66"/>
      <c r="W506" s="66"/>
      <c r="X506" s="66"/>
      <c r="Y506" s="66"/>
      <c r="Z506" s="66"/>
      <c r="AA506" s="66"/>
    </row>
    <row r="507" spans="1:27" ht="21" x14ac:dyDescent="0.65">
      <c r="A507" s="66"/>
      <c r="B507" s="66"/>
      <c r="C507" s="66"/>
      <c r="D507" s="66"/>
      <c r="E507" s="66"/>
      <c r="F507" s="66"/>
      <c r="G507" s="66"/>
      <c r="H507" s="66"/>
      <c r="I507" s="66"/>
      <c r="J507" s="66"/>
      <c r="K507" s="66"/>
      <c r="L507" s="66"/>
      <c r="M507" s="66"/>
      <c r="N507" s="66"/>
      <c r="O507" s="66"/>
      <c r="P507" s="66"/>
      <c r="Q507" s="66"/>
      <c r="R507" s="66"/>
      <c r="S507" s="66"/>
      <c r="T507" s="66"/>
      <c r="U507" s="66"/>
      <c r="V507" s="66"/>
      <c r="W507" s="66"/>
      <c r="X507" s="66"/>
      <c r="Y507" s="66"/>
      <c r="Z507" s="66"/>
      <c r="AA507" s="66"/>
    </row>
    <row r="508" spans="1:27" ht="21" x14ac:dyDescent="0.65">
      <c r="A508" s="66"/>
      <c r="B508" s="66"/>
      <c r="C508" s="66"/>
      <c r="D508" s="66"/>
      <c r="E508" s="66"/>
      <c r="F508" s="66"/>
      <c r="G508" s="66"/>
      <c r="H508" s="66"/>
      <c r="I508" s="66"/>
      <c r="J508" s="66"/>
      <c r="K508" s="66"/>
      <c r="L508" s="66"/>
      <c r="M508" s="66"/>
      <c r="N508" s="66"/>
      <c r="O508" s="66"/>
      <c r="P508" s="66"/>
      <c r="Q508" s="66"/>
      <c r="R508" s="66"/>
      <c r="S508" s="66"/>
      <c r="T508" s="66"/>
      <c r="U508" s="66"/>
      <c r="V508" s="66"/>
      <c r="W508" s="66"/>
      <c r="X508" s="66"/>
      <c r="Y508" s="66"/>
      <c r="Z508" s="66"/>
      <c r="AA508" s="66"/>
    </row>
    <row r="509" spans="1:27" ht="21" x14ac:dyDescent="0.65">
      <c r="A509" s="66"/>
      <c r="B509" s="66"/>
      <c r="C509" s="66"/>
      <c r="D509" s="66"/>
      <c r="E509" s="66"/>
      <c r="F509" s="66"/>
      <c r="G509" s="66"/>
      <c r="H509" s="66"/>
      <c r="I509" s="66"/>
      <c r="J509" s="66"/>
      <c r="K509" s="66"/>
      <c r="L509" s="66"/>
      <c r="M509" s="66"/>
      <c r="N509" s="66"/>
      <c r="O509" s="66"/>
      <c r="P509" s="66"/>
      <c r="Q509" s="66"/>
      <c r="R509" s="66"/>
      <c r="S509" s="66"/>
      <c r="T509" s="66"/>
      <c r="U509" s="66"/>
      <c r="V509" s="66"/>
      <c r="W509" s="66"/>
      <c r="X509" s="66"/>
      <c r="Y509" s="66"/>
      <c r="Z509" s="66"/>
      <c r="AA509" s="66"/>
    </row>
    <row r="510" spans="1:27" ht="21" x14ac:dyDescent="0.65">
      <c r="A510" s="66"/>
      <c r="B510" s="66"/>
      <c r="C510" s="66"/>
      <c r="D510" s="66"/>
      <c r="E510" s="66"/>
      <c r="F510" s="66"/>
      <c r="G510" s="66"/>
      <c r="H510" s="66"/>
      <c r="I510" s="66"/>
      <c r="J510" s="66"/>
      <c r="K510" s="66"/>
      <c r="L510" s="66"/>
      <c r="M510" s="66"/>
      <c r="N510" s="66"/>
      <c r="O510" s="66"/>
      <c r="P510" s="66"/>
      <c r="Q510" s="66"/>
      <c r="R510" s="66"/>
      <c r="S510" s="66"/>
      <c r="T510" s="66"/>
      <c r="U510" s="66"/>
      <c r="V510" s="66"/>
      <c r="W510" s="66"/>
      <c r="X510" s="66"/>
      <c r="Y510" s="66"/>
      <c r="Z510" s="66"/>
      <c r="AA510" s="66"/>
    </row>
    <row r="511" spans="1:27" ht="21" x14ac:dyDescent="0.65">
      <c r="A511" s="66"/>
      <c r="B511" s="66"/>
      <c r="C511" s="66"/>
      <c r="D511" s="66"/>
      <c r="E511" s="66"/>
      <c r="F511" s="66"/>
      <c r="G511" s="66"/>
      <c r="H511" s="66"/>
      <c r="I511" s="66"/>
      <c r="J511" s="66"/>
      <c r="K511" s="66"/>
      <c r="L511" s="66"/>
      <c r="M511" s="66"/>
      <c r="N511" s="66"/>
      <c r="O511" s="66"/>
      <c r="P511" s="66"/>
      <c r="Q511" s="66"/>
      <c r="R511" s="66"/>
      <c r="S511" s="66"/>
      <c r="T511" s="66"/>
      <c r="U511" s="66"/>
      <c r="V511" s="66"/>
      <c r="W511" s="66"/>
      <c r="X511" s="66"/>
      <c r="Y511" s="66"/>
      <c r="Z511" s="66"/>
      <c r="AA511" s="66"/>
    </row>
    <row r="512" spans="1:27" ht="21" x14ac:dyDescent="0.65">
      <c r="A512" s="66"/>
      <c r="B512" s="66"/>
      <c r="C512" s="66"/>
      <c r="D512" s="66"/>
      <c r="E512" s="66"/>
      <c r="F512" s="66"/>
      <c r="G512" s="66"/>
      <c r="H512" s="66"/>
      <c r="I512" s="66"/>
      <c r="J512" s="66"/>
      <c r="K512" s="66"/>
      <c r="L512" s="66"/>
      <c r="M512" s="66"/>
      <c r="N512" s="66"/>
      <c r="O512" s="66"/>
      <c r="P512" s="66"/>
      <c r="Q512" s="66"/>
      <c r="R512" s="66"/>
      <c r="S512" s="66"/>
      <c r="T512" s="66"/>
      <c r="U512" s="66"/>
      <c r="V512" s="66"/>
      <c r="W512" s="66"/>
      <c r="X512" s="66"/>
      <c r="Y512" s="66"/>
      <c r="Z512" s="66"/>
      <c r="AA512" s="66"/>
    </row>
    <row r="513" spans="1:27" ht="21" x14ac:dyDescent="0.65">
      <c r="A513" s="66"/>
      <c r="B513" s="66"/>
      <c r="C513" s="66"/>
      <c r="D513" s="66"/>
      <c r="E513" s="66"/>
      <c r="F513" s="66"/>
      <c r="G513" s="66"/>
      <c r="H513" s="66"/>
      <c r="I513" s="66"/>
      <c r="J513" s="66"/>
      <c r="K513" s="66"/>
      <c r="L513" s="66"/>
      <c r="M513" s="66"/>
      <c r="N513" s="66"/>
      <c r="O513" s="66"/>
      <c r="P513" s="66"/>
      <c r="Q513" s="66"/>
      <c r="R513" s="66"/>
      <c r="S513" s="66"/>
      <c r="T513" s="66"/>
      <c r="U513" s="66"/>
      <c r="V513" s="66"/>
      <c r="W513" s="66"/>
      <c r="X513" s="66"/>
      <c r="Y513" s="66"/>
      <c r="Z513" s="66"/>
      <c r="AA513" s="66"/>
    </row>
    <row r="514" spans="1:27" ht="21" x14ac:dyDescent="0.65">
      <c r="A514" s="66"/>
      <c r="B514" s="66"/>
      <c r="C514" s="66"/>
      <c r="D514" s="66"/>
      <c r="E514" s="66"/>
      <c r="F514" s="66"/>
      <c r="G514" s="66"/>
      <c r="H514" s="66"/>
      <c r="I514" s="66"/>
      <c r="J514" s="66"/>
      <c r="K514" s="66"/>
      <c r="L514" s="66"/>
      <c r="M514" s="66"/>
      <c r="N514" s="66"/>
      <c r="O514" s="66"/>
      <c r="P514" s="66"/>
      <c r="Q514" s="66"/>
      <c r="R514" s="66"/>
      <c r="S514" s="66"/>
      <c r="T514" s="66"/>
      <c r="U514" s="66"/>
      <c r="V514" s="66"/>
      <c r="W514" s="66"/>
      <c r="X514" s="66"/>
      <c r="Y514" s="66"/>
      <c r="Z514" s="66"/>
      <c r="AA514" s="66"/>
    </row>
    <row r="515" spans="1:27" ht="21" x14ac:dyDescent="0.65">
      <c r="A515" s="66"/>
      <c r="B515" s="66"/>
      <c r="C515" s="66"/>
      <c r="D515" s="66"/>
      <c r="E515" s="66"/>
      <c r="F515" s="66"/>
      <c r="G515" s="66"/>
      <c r="H515" s="66"/>
      <c r="I515" s="66"/>
      <c r="J515" s="66"/>
      <c r="K515" s="66"/>
      <c r="L515" s="66"/>
      <c r="M515" s="66"/>
      <c r="N515" s="66"/>
      <c r="O515" s="66"/>
      <c r="P515" s="66"/>
      <c r="Q515" s="66"/>
      <c r="R515" s="66"/>
      <c r="S515" s="66"/>
      <c r="T515" s="66"/>
      <c r="U515" s="66"/>
      <c r="V515" s="66"/>
      <c r="W515" s="66"/>
      <c r="X515" s="66"/>
      <c r="Y515" s="66"/>
      <c r="Z515" s="66"/>
      <c r="AA515" s="66"/>
    </row>
    <row r="516" spans="1:27" ht="21" x14ac:dyDescent="0.65">
      <c r="A516" s="66"/>
      <c r="B516" s="66"/>
      <c r="C516" s="66"/>
      <c r="D516" s="66"/>
      <c r="E516" s="66"/>
      <c r="F516" s="66"/>
      <c r="G516" s="66"/>
      <c r="H516" s="66"/>
      <c r="I516" s="66"/>
      <c r="J516" s="66"/>
      <c r="K516" s="66"/>
      <c r="L516" s="66"/>
      <c r="M516" s="66"/>
      <c r="N516" s="66"/>
      <c r="O516" s="66"/>
      <c r="P516" s="66"/>
      <c r="Q516" s="66"/>
      <c r="R516" s="66"/>
      <c r="S516" s="66"/>
      <c r="T516" s="66"/>
      <c r="U516" s="66"/>
      <c r="V516" s="66"/>
      <c r="W516" s="66"/>
      <c r="X516" s="66"/>
      <c r="Y516" s="66"/>
      <c r="Z516" s="66"/>
      <c r="AA516" s="66"/>
    </row>
    <row r="517" spans="1:27" ht="21" x14ac:dyDescent="0.65">
      <c r="A517" s="66"/>
      <c r="B517" s="66"/>
      <c r="C517" s="66"/>
      <c r="D517" s="66"/>
      <c r="E517" s="66"/>
      <c r="F517" s="66"/>
      <c r="G517" s="66"/>
      <c r="H517" s="66"/>
      <c r="I517" s="66"/>
      <c r="J517" s="66"/>
      <c r="K517" s="66"/>
      <c r="L517" s="66"/>
      <c r="M517" s="66"/>
      <c r="N517" s="66"/>
      <c r="O517" s="66"/>
      <c r="P517" s="66"/>
      <c r="Q517" s="66"/>
      <c r="R517" s="66"/>
      <c r="S517" s="66"/>
      <c r="T517" s="66"/>
      <c r="U517" s="66"/>
      <c r="V517" s="66"/>
      <c r="W517" s="66"/>
      <c r="X517" s="66"/>
      <c r="Y517" s="66"/>
      <c r="Z517" s="66"/>
      <c r="AA517" s="66"/>
    </row>
    <row r="518" spans="1:27" ht="21" x14ac:dyDescent="0.65">
      <c r="A518" s="66"/>
      <c r="B518" s="66"/>
      <c r="C518" s="66"/>
      <c r="D518" s="66"/>
      <c r="E518" s="66"/>
      <c r="F518" s="66"/>
      <c r="G518" s="66"/>
      <c r="H518" s="66"/>
      <c r="I518" s="66"/>
      <c r="J518" s="66"/>
      <c r="K518" s="66"/>
      <c r="L518" s="66"/>
      <c r="M518" s="66"/>
      <c r="N518" s="66"/>
      <c r="O518" s="66"/>
      <c r="P518" s="66"/>
      <c r="Q518" s="66"/>
      <c r="R518" s="66"/>
      <c r="S518" s="66"/>
      <c r="T518" s="66"/>
      <c r="U518" s="66"/>
      <c r="V518" s="66"/>
      <c r="W518" s="66"/>
      <c r="X518" s="66"/>
      <c r="Y518" s="66"/>
      <c r="Z518" s="66"/>
      <c r="AA518" s="66"/>
    </row>
    <row r="519" spans="1:27" ht="21" x14ac:dyDescent="0.65">
      <c r="A519" s="66"/>
      <c r="B519" s="66"/>
      <c r="C519" s="66"/>
      <c r="D519" s="66"/>
      <c r="E519" s="66"/>
      <c r="F519" s="66"/>
      <c r="G519" s="66"/>
      <c r="H519" s="66"/>
      <c r="I519" s="66"/>
      <c r="J519" s="66"/>
      <c r="K519" s="66"/>
      <c r="L519" s="66"/>
      <c r="M519" s="66"/>
      <c r="N519" s="66"/>
      <c r="O519" s="66"/>
      <c r="P519" s="66"/>
      <c r="Q519" s="66"/>
      <c r="R519" s="66"/>
      <c r="S519" s="66"/>
      <c r="T519" s="66"/>
      <c r="U519" s="66"/>
      <c r="V519" s="66"/>
      <c r="W519" s="66"/>
      <c r="X519" s="66"/>
      <c r="Y519" s="66"/>
      <c r="Z519" s="66"/>
      <c r="AA519" s="66"/>
    </row>
    <row r="520" spans="1:27" ht="21" x14ac:dyDescent="0.65">
      <c r="A520" s="66"/>
      <c r="B520" s="66"/>
      <c r="C520" s="66"/>
      <c r="D520" s="66"/>
      <c r="E520" s="66"/>
      <c r="F520" s="66"/>
      <c r="G520" s="66"/>
      <c r="H520" s="66"/>
      <c r="I520" s="66"/>
      <c r="J520" s="66"/>
      <c r="K520" s="66"/>
      <c r="L520" s="66"/>
      <c r="M520" s="66"/>
      <c r="N520" s="66"/>
      <c r="O520" s="66"/>
      <c r="P520" s="66"/>
      <c r="Q520" s="66"/>
      <c r="R520" s="66"/>
      <c r="S520" s="66"/>
      <c r="T520" s="66"/>
      <c r="U520" s="66"/>
      <c r="V520" s="66"/>
      <c r="W520" s="66"/>
      <c r="X520" s="66"/>
      <c r="Y520" s="66"/>
      <c r="Z520" s="66"/>
      <c r="AA520" s="66"/>
    </row>
    <row r="521" spans="1:27" ht="21" x14ac:dyDescent="0.65">
      <c r="A521" s="66"/>
      <c r="B521" s="66"/>
      <c r="C521" s="66"/>
      <c r="D521" s="66"/>
      <c r="E521" s="66"/>
      <c r="F521" s="66"/>
      <c r="G521" s="66"/>
      <c r="H521" s="66"/>
      <c r="I521" s="66"/>
      <c r="J521" s="66"/>
      <c r="K521" s="66"/>
      <c r="L521" s="66"/>
      <c r="M521" s="66"/>
      <c r="N521" s="66"/>
      <c r="O521" s="66"/>
      <c r="P521" s="66"/>
      <c r="Q521" s="66"/>
      <c r="R521" s="66"/>
      <c r="S521" s="66"/>
      <c r="T521" s="66"/>
      <c r="U521" s="66"/>
      <c r="V521" s="66"/>
      <c r="W521" s="66"/>
      <c r="X521" s="66"/>
      <c r="Y521" s="66"/>
      <c r="Z521" s="66"/>
      <c r="AA521" s="66"/>
    </row>
    <row r="522" spans="1:27" ht="21" x14ac:dyDescent="0.65">
      <c r="A522" s="66"/>
      <c r="B522" s="66"/>
      <c r="C522" s="66"/>
      <c r="D522" s="66"/>
      <c r="E522" s="66"/>
      <c r="F522" s="66"/>
      <c r="G522" s="66"/>
      <c r="H522" s="66"/>
      <c r="I522" s="66"/>
      <c r="J522" s="66"/>
      <c r="K522" s="66"/>
      <c r="L522" s="66"/>
      <c r="M522" s="66"/>
      <c r="N522" s="66"/>
      <c r="O522" s="66"/>
      <c r="P522" s="66"/>
      <c r="Q522" s="66"/>
      <c r="R522" s="66"/>
      <c r="S522" s="66"/>
      <c r="T522" s="66"/>
      <c r="U522" s="66"/>
      <c r="V522" s="66"/>
      <c r="W522" s="66"/>
      <c r="X522" s="66"/>
      <c r="Y522" s="66"/>
      <c r="Z522" s="66"/>
      <c r="AA522" s="66"/>
    </row>
    <row r="523" spans="1:27" ht="21" x14ac:dyDescent="0.65">
      <c r="A523" s="66"/>
      <c r="B523" s="66"/>
      <c r="C523" s="66"/>
      <c r="D523" s="66"/>
      <c r="E523" s="66"/>
      <c r="F523" s="66"/>
      <c r="G523" s="66"/>
      <c r="H523" s="66"/>
      <c r="I523" s="66"/>
      <c r="J523" s="66"/>
      <c r="K523" s="66"/>
      <c r="L523" s="66"/>
      <c r="M523" s="66"/>
      <c r="N523" s="66"/>
      <c r="O523" s="66"/>
      <c r="P523" s="66"/>
      <c r="Q523" s="66"/>
      <c r="R523" s="66"/>
      <c r="S523" s="66"/>
      <c r="T523" s="66"/>
      <c r="U523" s="66"/>
      <c r="V523" s="66"/>
      <c r="W523" s="66"/>
      <c r="X523" s="66"/>
      <c r="Y523" s="66"/>
      <c r="Z523" s="66"/>
      <c r="AA523" s="66"/>
    </row>
    <row r="524" spans="1:27" ht="21" x14ac:dyDescent="0.65">
      <c r="A524" s="66"/>
      <c r="B524" s="66"/>
      <c r="C524" s="66"/>
      <c r="D524" s="66"/>
      <c r="E524" s="66"/>
      <c r="F524" s="66"/>
      <c r="G524" s="66"/>
      <c r="H524" s="66"/>
      <c r="I524" s="66"/>
      <c r="J524" s="66"/>
      <c r="K524" s="66"/>
      <c r="L524" s="66"/>
      <c r="M524" s="66"/>
      <c r="N524" s="66"/>
      <c r="O524" s="66"/>
      <c r="P524" s="66"/>
      <c r="Q524" s="66"/>
      <c r="R524" s="66"/>
      <c r="S524" s="66"/>
      <c r="T524" s="66"/>
      <c r="U524" s="66"/>
      <c r="V524" s="66"/>
      <c r="W524" s="66"/>
      <c r="X524" s="66"/>
      <c r="Y524" s="66"/>
      <c r="Z524" s="66"/>
      <c r="AA524" s="66"/>
    </row>
    <row r="525" spans="1:27" ht="21" x14ac:dyDescent="0.65">
      <c r="A525" s="66"/>
      <c r="B525" s="66"/>
      <c r="C525" s="66"/>
      <c r="D525" s="66"/>
      <c r="E525" s="66"/>
      <c r="F525" s="66"/>
      <c r="G525" s="66"/>
      <c r="H525" s="66"/>
      <c r="I525" s="66"/>
      <c r="J525" s="66"/>
      <c r="K525" s="66"/>
      <c r="L525" s="66"/>
      <c r="M525" s="66"/>
      <c r="N525" s="66"/>
      <c r="O525" s="66"/>
      <c r="P525" s="66"/>
      <c r="Q525" s="66"/>
      <c r="R525" s="66"/>
      <c r="S525" s="66"/>
      <c r="T525" s="66"/>
      <c r="U525" s="66"/>
      <c r="V525" s="66"/>
      <c r="W525" s="66"/>
      <c r="X525" s="66"/>
      <c r="Y525" s="66"/>
      <c r="Z525" s="66"/>
      <c r="AA525" s="66"/>
    </row>
    <row r="526" spans="1:27" ht="21" x14ac:dyDescent="0.65">
      <c r="A526" s="66"/>
      <c r="B526" s="66"/>
      <c r="C526" s="66"/>
      <c r="D526" s="66"/>
      <c r="E526" s="66"/>
      <c r="F526" s="66"/>
      <c r="G526" s="66"/>
      <c r="H526" s="66"/>
      <c r="I526" s="66"/>
      <c r="J526" s="66"/>
      <c r="K526" s="66"/>
      <c r="L526" s="66"/>
      <c r="M526" s="66"/>
      <c r="N526" s="66"/>
      <c r="O526" s="66"/>
      <c r="P526" s="66"/>
      <c r="Q526" s="66"/>
      <c r="R526" s="66"/>
      <c r="S526" s="66"/>
      <c r="T526" s="66"/>
      <c r="U526" s="66"/>
      <c r="V526" s="66"/>
      <c r="W526" s="66"/>
      <c r="X526" s="66"/>
      <c r="Y526" s="66"/>
      <c r="Z526" s="66"/>
      <c r="AA526" s="66"/>
    </row>
    <row r="527" spans="1:27" ht="21" x14ac:dyDescent="0.65">
      <c r="A527" s="66"/>
      <c r="B527" s="66"/>
      <c r="C527" s="66"/>
      <c r="D527" s="66"/>
      <c r="E527" s="66"/>
      <c r="F527" s="66"/>
      <c r="G527" s="66"/>
      <c r="H527" s="66"/>
      <c r="I527" s="66"/>
      <c r="J527" s="66"/>
      <c r="K527" s="66"/>
      <c r="L527" s="66"/>
      <c r="M527" s="66"/>
      <c r="N527" s="66"/>
      <c r="O527" s="66"/>
      <c r="P527" s="66"/>
      <c r="Q527" s="66"/>
      <c r="R527" s="66"/>
      <c r="S527" s="66"/>
      <c r="T527" s="66"/>
      <c r="U527" s="66"/>
      <c r="V527" s="66"/>
      <c r="W527" s="66"/>
      <c r="X527" s="66"/>
      <c r="Y527" s="66"/>
      <c r="Z527" s="66"/>
      <c r="AA527" s="66"/>
    </row>
    <row r="528" spans="1:27" ht="21" x14ac:dyDescent="0.65">
      <c r="A528" s="66"/>
      <c r="B528" s="66"/>
      <c r="C528" s="66"/>
      <c r="D528" s="66"/>
      <c r="E528" s="66"/>
      <c r="F528" s="66"/>
      <c r="G528" s="66"/>
      <c r="H528" s="66"/>
      <c r="I528" s="66"/>
      <c r="J528" s="66"/>
      <c r="K528" s="66"/>
      <c r="L528" s="66"/>
      <c r="M528" s="66"/>
      <c r="N528" s="66"/>
      <c r="O528" s="66"/>
      <c r="P528" s="66"/>
      <c r="Q528" s="66"/>
      <c r="R528" s="66"/>
      <c r="S528" s="66"/>
      <c r="T528" s="66"/>
      <c r="U528" s="66"/>
      <c r="V528" s="66"/>
      <c r="W528" s="66"/>
      <c r="X528" s="66"/>
      <c r="Y528" s="66"/>
      <c r="Z528" s="66"/>
      <c r="AA528" s="66"/>
    </row>
    <row r="529" spans="1:27" ht="21" x14ac:dyDescent="0.65">
      <c r="A529" s="66"/>
      <c r="B529" s="66"/>
      <c r="C529" s="66"/>
      <c r="D529" s="66"/>
      <c r="E529" s="66"/>
      <c r="F529" s="66"/>
      <c r="G529" s="66"/>
      <c r="H529" s="66"/>
      <c r="I529" s="66"/>
      <c r="J529" s="66"/>
      <c r="K529" s="66"/>
      <c r="L529" s="66"/>
      <c r="M529" s="66"/>
      <c r="N529" s="66"/>
      <c r="O529" s="66"/>
      <c r="P529" s="66"/>
      <c r="Q529" s="66"/>
      <c r="R529" s="66"/>
      <c r="S529" s="66"/>
      <c r="T529" s="66"/>
      <c r="U529" s="66"/>
      <c r="V529" s="66"/>
      <c r="W529" s="66"/>
      <c r="X529" s="66"/>
      <c r="Y529" s="66"/>
      <c r="Z529" s="66"/>
      <c r="AA529" s="66"/>
    </row>
    <row r="530" spans="1:27" ht="21" x14ac:dyDescent="0.65">
      <c r="A530" s="66"/>
      <c r="B530" s="66"/>
      <c r="C530" s="66"/>
      <c r="D530" s="66"/>
      <c r="E530" s="66"/>
      <c r="F530" s="66"/>
      <c r="G530" s="66"/>
      <c r="H530" s="66"/>
      <c r="I530" s="66"/>
      <c r="J530" s="66"/>
      <c r="K530" s="66"/>
      <c r="L530" s="66"/>
      <c r="M530" s="66"/>
      <c r="N530" s="66"/>
      <c r="O530" s="66"/>
      <c r="P530" s="66"/>
      <c r="Q530" s="66"/>
      <c r="R530" s="66"/>
      <c r="S530" s="66"/>
      <c r="T530" s="66"/>
      <c r="U530" s="66"/>
      <c r="V530" s="66"/>
      <c r="W530" s="66"/>
      <c r="X530" s="66"/>
      <c r="Y530" s="66"/>
      <c r="Z530" s="66"/>
      <c r="AA530" s="66"/>
    </row>
    <row r="531" spans="1:27" ht="21" x14ac:dyDescent="0.65">
      <c r="A531" s="66"/>
      <c r="B531" s="66"/>
      <c r="C531" s="66"/>
      <c r="D531" s="66"/>
      <c r="E531" s="66"/>
      <c r="F531" s="66"/>
      <c r="G531" s="66"/>
      <c r="H531" s="66"/>
      <c r="I531" s="66"/>
      <c r="J531" s="66"/>
      <c r="K531" s="66"/>
      <c r="L531" s="66"/>
      <c r="M531" s="66"/>
      <c r="N531" s="66"/>
      <c r="O531" s="66"/>
      <c r="P531" s="66"/>
      <c r="Q531" s="66"/>
      <c r="R531" s="66"/>
      <c r="S531" s="66"/>
      <c r="T531" s="66"/>
      <c r="U531" s="66"/>
      <c r="V531" s="66"/>
      <c r="W531" s="66"/>
      <c r="X531" s="66"/>
      <c r="Y531" s="66"/>
      <c r="Z531" s="66"/>
      <c r="AA531" s="66"/>
    </row>
    <row r="532" spans="1:27" ht="21" x14ac:dyDescent="0.65">
      <c r="A532" s="66"/>
      <c r="B532" s="66"/>
      <c r="C532" s="66"/>
      <c r="D532" s="66"/>
      <c r="E532" s="66"/>
      <c r="F532" s="66"/>
      <c r="G532" s="66"/>
      <c r="H532" s="66"/>
      <c r="I532" s="66"/>
      <c r="J532" s="66"/>
      <c r="K532" s="66"/>
      <c r="L532" s="66"/>
      <c r="M532" s="66"/>
      <c r="N532" s="66"/>
      <c r="O532" s="66"/>
      <c r="P532" s="66"/>
      <c r="Q532" s="66"/>
      <c r="R532" s="66"/>
      <c r="S532" s="66"/>
      <c r="T532" s="66"/>
      <c r="U532" s="66"/>
      <c r="V532" s="66"/>
      <c r="W532" s="66"/>
      <c r="X532" s="66"/>
      <c r="Y532" s="66"/>
      <c r="Z532" s="66"/>
      <c r="AA532" s="66"/>
    </row>
    <row r="533" spans="1:27" ht="21" x14ac:dyDescent="0.65">
      <c r="A533" s="66"/>
      <c r="B533" s="66"/>
      <c r="C533" s="66"/>
      <c r="D533" s="66"/>
      <c r="E533" s="66"/>
      <c r="F533" s="66"/>
      <c r="G533" s="66"/>
      <c r="H533" s="66"/>
      <c r="I533" s="66"/>
      <c r="J533" s="66"/>
      <c r="K533" s="66"/>
      <c r="L533" s="66"/>
      <c r="M533" s="66"/>
      <c r="N533" s="66"/>
      <c r="O533" s="66"/>
      <c r="P533" s="66"/>
      <c r="Q533" s="66"/>
      <c r="R533" s="66"/>
      <c r="S533" s="66"/>
      <c r="T533" s="66"/>
      <c r="U533" s="66"/>
      <c r="V533" s="66"/>
      <c r="W533" s="66"/>
      <c r="X533" s="66"/>
      <c r="Y533" s="66"/>
      <c r="Z533" s="66"/>
      <c r="AA533" s="66"/>
    </row>
    <row r="534" spans="1:27" ht="21" x14ac:dyDescent="0.65">
      <c r="A534" s="66"/>
      <c r="B534" s="66"/>
      <c r="C534" s="66"/>
      <c r="D534" s="66"/>
      <c r="E534" s="66"/>
      <c r="F534" s="66"/>
      <c r="G534" s="66"/>
      <c r="H534" s="66"/>
      <c r="I534" s="66"/>
      <c r="J534" s="66"/>
      <c r="K534" s="66"/>
      <c r="L534" s="66"/>
      <c r="M534" s="66"/>
      <c r="N534" s="66"/>
      <c r="O534" s="66"/>
      <c r="P534" s="66"/>
      <c r="Q534" s="66"/>
      <c r="R534" s="66"/>
      <c r="S534" s="66"/>
      <c r="T534" s="66"/>
      <c r="U534" s="66"/>
      <c r="V534" s="66"/>
      <c r="W534" s="66"/>
      <c r="X534" s="66"/>
      <c r="Y534" s="66"/>
      <c r="Z534" s="66"/>
      <c r="AA534" s="66"/>
    </row>
    <row r="535" spans="1:27" ht="21" x14ac:dyDescent="0.65">
      <c r="A535" s="66"/>
      <c r="B535" s="66"/>
      <c r="C535" s="66"/>
      <c r="D535" s="66"/>
      <c r="E535" s="66"/>
      <c r="F535" s="66"/>
      <c r="G535" s="66"/>
      <c r="H535" s="66"/>
      <c r="I535" s="66"/>
      <c r="J535" s="66"/>
      <c r="K535" s="66"/>
      <c r="L535" s="66"/>
      <c r="M535" s="66"/>
      <c r="N535" s="66"/>
      <c r="O535" s="66"/>
      <c r="P535" s="66"/>
      <c r="Q535" s="66"/>
      <c r="R535" s="66"/>
      <c r="S535" s="66"/>
      <c r="T535" s="66"/>
      <c r="U535" s="66"/>
      <c r="V535" s="66"/>
      <c r="W535" s="66"/>
      <c r="X535" s="66"/>
      <c r="Y535" s="66"/>
      <c r="Z535" s="66"/>
      <c r="AA535" s="66"/>
    </row>
    <row r="536" spans="1:27" ht="21" x14ac:dyDescent="0.65">
      <c r="A536" s="66"/>
      <c r="B536" s="66"/>
      <c r="C536" s="66"/>
      <c r="D536" s="66"/>
      <c r="E536" s="66"/>
      <c r="F536" s="66"/>
      <c r="G536" s="66"/>
      <c r="H536" s="66"/>
      <c r="I536" s="66"/>
      <c r="J536" s="66"/>
      <c r="K536" s="66"/>
      <c r="L536" s="66"/>
      <c r="M536" s="66"/>
      <c r="N536" s="66"/>
      <c r="O536" s="66"/>
      <c r="P536" s="66"/>
      <c r="Q536" s="66"/>
      <c r="R536" s="66"/>
      <c r="S536" s="66"/>
      <c r="T536" s="66"/>
      <c r="U536" s="66"/>
      <c r="V536" s="66"/>
      <c r="W536" s="66"/>
      <c r="X536" s="66"/>
      <c r="Y536" s="66"/>
      <c r="Z536" s="66"/>
      <c r="AA536" s="66"/>
    </row>
    <row r="537" spans="1:27" ht="21" x14ac:dyDescent="0.65">
      <c r="A537" s="66"/>
      <c r="B537" s="66"/>
      <c r="C537" s="66"/>
      <c r="D537" s="66"/>
      <c r="E537" s="66"/>
      <c r="F537" s="66"/>
      <c r="G537" s="66"/>
      <c r="H537" s="66"/>
      <c r="I537" s="66"/>
      <c r="J537" s="66"/>
      <c r="K537" s="66"/>
      <c r="L537" s="66"/>
      <c r="M537" s="66"/>
      <c r="N537" s="66"/>
      <c r="O537" s="66"/>
      <c r="P537" s="66"/>
      <c r="Q537" s="66"/>
      <c r="R537" s="66"/>
      <c r="S537" s="66"/>
      <c r="T537" s="66"/>
      <c r="U537" s="66"/>
      <c r="V537" s="66"/>
      <c r="W537" s="66"/>
      <c r="X537" s="66"/>
      <c r="Y537" s="66"/>
      <c r="Z537" s="66"/>
      <c r="AA537" s="66"/>
    </row>
    <row r="538" spans="1:27" ht="21" x14ac:dyDescent="0.65">
      <c r="A538" s="66"/>
      <c r="B538" s="66"/>
      <c r="C538" s="66"/>
      <c r="D538" s="66"/>
      <c r="E538" s="66"/>
      <c r="F538" s="66"/>
      <c r="G538" s="66"/>
      <c r="H538" s="66"/>
      <c r="I538" s="66"/>
      <c r="J538" s="66"/>
      <c r="K538" s="66"/>
      <c r="L538" s="66"/>
      <c r="M538" s="66"/>
      <c r="N538" s="66"/>
      <c r="O538" s="66"/>
      <c r="P538" s="66"/>
      <c r="Q538" s="66"/>
      <c r="R538" s="66"/>
      <c r="S538" s="66"/>
      <c r="T538" s="66"/>
      <c r="U538" s="66"/>
      <c r="V538" s="66"/>
      <c r="W538" s="66"/>
      <c r="X538" s="66"/>
      <c r="Y538" s="66"/>
      <c r="Z538" s="66"/>
      <c r="AA538" s="66"/>
    </row>
    <row r="539" spans="1:27" ht="21" x14ac:dyDescent="0.65">
      <c r="A539" s="66"/>
      <c r="B539" s="66"/>
      <c r="C539" s="66"/>
      <c r="D539" s="66"/>
      <c r="E539" s="66"/>
      <c r="F539" s="66"/>
      <c r="G539" s="66"/>
      <c r="H539" s="66"/>
      <c r="I539" s="66"/>
      <c r="J539" s="66"/>
      <c r="K539" s="66"/>
      <c r="L539" s="66"/>
      <c r="M539" s="66"/>
      <c r="N539" s="66"/>
      <c r="O539" s="66"/>
      <c r="P539" s="66"/>
      <c r="Q539" s="66"/>
      <c r="R539" s="66"/>
      <c r="S539" s="66"/>
      <c r="T539" s="66"/>
      <c r="U539" s="66"/>
      <c r="V539" s="66"/>
      <c r="W539" s="66"/>
      <c r="X539" s="66"/>
      <c r="Y539" s="66"/>
      <c r="Z539" s="66"/>
      <c r="AA539" s="66"/>
    </row>
    <row r="540" spans="1:27" ht="21" x14ac:dyDescent="0.65">
      <c r="A540" s="66"/>
      <c r="B540" s="66"/>
      <c r="C540" s="66"/>
      <c r="D540" s="66"/>
      <c r="E540" s="66"/>
      <c r="F540" s="66"/>
      <c r="G540" s="66"/>
      <c r="H540" s="66"/>
      <c r="I540" s="66"/>
      <c r="J540" s="66"/>
      <c r="K540" s="66"/>
      <c r="L540" s="66"/>
      <c r="M540" s="66"/>
      <c r="N540" s="66"/>
      <c r="O540" s="66"/>
      <c r="P540" s="66"/>
      <c r="Q540" s="66"/>
      <c r="R540" s="66"/>
      <c r="S540" s="66"/>
      <c r="T540" s="66"/>
      <c r="U540" s="66"/>
      <c r="V540" s="66"/>
      <c r="W540" s="66"/>
      <c r="X540" s="66"/>
      <c r="Y540" s="66"/>
      <c r="Z540" s="66"/>
      <c r="AA540" s="66"/>
    </row>
    <row r="541" spans="1:27" ht="21" x14ac:dyDescent="0.65">
      <c r="A541" s="66"/>
      <c r="B541" s="66"/>
      <c r="C541" s="66"/>
      <c r="D541" s="66"/>
      <c r="E541" s="66"/>
      <c r="F541" s="66"/>
      <c r="G541" s="66"/>
      <c r="H541" s="66"/>
      <c r="I541" s="66"/>
      <c r="J541" s="66"/>
      <c r="K541" s="66"/>
      <c r="L541" s="66"/>
      <c r="M541" s="66"/>
      <c r="N541" s="66"/>
      <c r="O541" s="66"/>
      <c r="P541" s="66"/>
      <c r="Q541" s="66"/>
      <c r="R541" s="66"/>
      <c r="S541" s="66"/>
      <c r="T541" s="66"/>
      <c r="U541" s="66"/>
      <c r="V541" s="66"/>
      <c r="W541" s="66"/>
      <c r="X541" s="66"/>
      <c r="Y541" s="66"/>
      <c r="Z541" s="66"/>
      <c r="AA541" s="66"/>
    </row>
    <row r="542" spans="1:27" ht="21" x14ac:dyDescent="0.65">
      <c r="A542" s="66"/>
      <c r="B542" s="66"/>
      <c r="C542" s="66"/>
      <c r="D542" s="66"/>
      <c r="E542" s="66"/>
      <c r="F542" s="66"/>
      <c r="G542" s="66"/>
      <c r="H542" s="66"/>
      <c r="I542" s="66"/>
      <c r="J542" s="66"/>
      <c r="K542" s="66"/>
      <c r="L542" s="66"/>
      <c r="M542" s="66"/>
      <c r="N542" s="66"/>
      <c r="O542" s="66"/>
      <c r="P542" s="66"/>
      <c r="Q542" s="66"/>
      <c r="R542" s="66"/>
      <c r="S542" s="66"/>
      <c r="T542" s="66"/>
      <c r="U542" s="66"/>
      <c r="V542" s="66"/>
      <c r="W542" s="66"/>
      <c r="X542" s="66"/>
      <c r="Y542" s="66"/>
      <c r="Z542" s="66"/>
      <c r="AA542" s="66"/>
    </row>
    <row r="543" spans="1:27" ht="21" x14ac:dyDescent="0.65">
      <c r="A543" s="66"/>
      <c r="B543" s="66"/>
      <c r="C543" s="66"/>
      <c r="D543" s="66"/>
      <c r="E543" s="66"/>
      <c r="F543" s="66"/>
      <c r="G543" s="66"/>
      <c r="H543" s="66"/>
      <c r="I543" s="66"/>
      <c r="J543" s="66"/>
      <c r="K543" s="66"/>
      <c r="L543" s="66"/>
      <c r="M543" s="66"/>
      <c r="N543" s="66"/>
      <c r="O543" s="66"/>
      <c r="P543" s="66"/>
      <c r="Q543" s="66"/>
      <c r="R543" s="66"/>
      <c r="S543" s="66"/>
      <c r="T543" s="66"/>
      <c r="U543" s="66"/>
      <c r="V543" s="66"/>
      <c r="W543" s="66"/>
      <c r="X543" s="66"/>
      <c r="Y543" s="66"/>
      <c r="Z543" s="66"/>
      <c r="AA543" s="66"/>
    </row>
    <row r="544" spans="1:27" ht="21" x14ac:dyDescent="0.65">
      <c r="A544" s="66"/>
      <c r="B544" s="66"/>
      <c r="C544" s="66"/>
      <c r="D544" s="66"/>
      <c r="E544" s="66"/>
      <c r="F544" s="66"/>
      <c r="G544" s="66"/>
      <c r="H544" s="66"/>
      <c r="I544" s="66"/>
      <c r="J544" s="66"/>
      <c r="K544" s="66"/>
      <c r="L544" s="66"/>
      <c r="M544" s="66"/>
      <c r="N544" s="66"/>
      <c r="O544" s="66"/>
      <c r="P544" s="66"/>
      <c r="Q544" s="66"/>
      <c r="R544" s="66"/>
      <c r="S544" s="66"/>
      <c r="T544" s="66"/>
      <c r="U544" s="66"/>
      <c r="V544" s="66"/>
      <c r="W544" s="66"/>
      <c r="X544" s="66"/>
      <c r="Y544" s="66"/>
      <c r="Z544" s="66"/>
      <c r="AA544" s="66"/>
    </row>
    <row r="545" spans="1:27" ht="21" x14ac:dyDescent="0.65">
      <c r="A545" s="66"/>
      <c r="B545" s="66"/>
      <c r="C545" s="66"/>
      <c r="D545" s="66"/>
      <c r="E545" s="66"/>
      <c r="F545" s="66"/>
      <c r="G545" s="66"/>
      <c r="H545" s="66"/>
      <c r="I545" s="66"/>
      <c r="J545" s="66"/>
      <c r="K545" s="66"/>
      <c r="L545" s="66"/>
      <c r="M545" s="66"/>
      <c r="N545" s="66"/>
      <c r="O545" s="66"/>
      <c r="P545" s="66"/>
      <c r="Q545" s="66"/>
      <c r="R545" s="66"/>
      <c r="S545" s="66"/>
      <c r="T545" s="66"/>
      <c r="U545" s="66"/>
      <c r="V545" s="66"/>
      <c r="W545" s="66"/>
      <c r="X545" s="66"/>
      <c r="Y545" s="66"/>
      <c r="Z545" s="66"/>
      <c r="AA545" s="66"/>
    </row>
    <row r="546" spans="1:27" ht="21" x14ac:dyDescent="0.65">
      <c r="A546" s="66"/>
      <c r="B546" s="66"/>
      <c r="C546" s="66"/>
      <c r="D546" s="66"/>
      <c r="E546" s="66"/>
      <c r="F546" s="66"/>
      <c r="G546" s="66"/>
      <c r="H546" s="66"/>
      <c r="I546" s="66"/>
      <c r="J546" s="66"/>
      <c r="K546" s="66"/>
      <c r="L546" s="66"/>
      <c r="M546" s="66"/>
      <c r="N546" s="66"/>
      <c r="O546" s="66"/>
      <c r="P546" s="66"/>
      <c r="Q546" s="66"/>
      <c r="R546" s="66"/>
      <c r="S546" s="66"/>
      <c r="T546" s="66"/>
      <c r="U546" s="66"/>
      <c r="V546" s="66"/>
      <c r="W546" s="66"/>
      <c r="X546" s="66"/>
      <c r="Y546" s="66"/>
      <c r="Z546" s="66"/>
      <c r="AA546" s="66"/>
    </row>
    <row r="547" spans="1:27" ht="21" x14ac:dyDescent="0.65">
      <c r="A547" s="66"/>
      <c r="B547" s="66"/>
      <c r="C547" s="66"/>
      <c r="D547" s="66"/>
      <c r="E547" s="66"/>
      <c r="F547" s="66"/>
      <c r="G547" s="66"/>
      <c r="H547" s="66"/>
      <c r="I547" s="66"/>
      <c r="J547" s="66"/>
      <c r="K547" s="66"/>
      <c r="L547" s="66"/>
      <c r="M547" s="66"/>
      <c r="N547" s="66"/>
      <c r="O547" s="66"/>
      <c r="P547" s="66"/>
      <c r="Q547" s="66"/>
      <c r="R547" s="66"/>
      <c r="S547" s="66"/>
      <c r="T547" s="66"/>
      <c r="U547" s="66"/>
      <c r="V547" s="66"/>
      <c r="W547" s="66"/>
      <c r="X547" s="66"/>
      <c r="Y547" s="66"/>
      <c r="Z547" s="66"/>
      <c r="AA547" s="66"/>
    </row>
    <row r="548" spans="1:27" ht="21" x14ac:dyDescent="0.65">
      <c r="A548" s="66"/>
      <c r="B548" s="66"/>
      <c r="C548" s="66"/>
      <c r="D548" s="66"/>
      <c r="E548" s="66"/>
      <c r="F548" s="66"/>
      <c r="G548" s="66"/>
      <c r="H548" s="66"/>
      <c r="I548" s="66"/>
      <c r="J548" s="66"/>
      <c r="K548" s="66"/>
      <c r="L548" s="66"/>
      <c r="M548" s="66"/>
      <c r="N548" s="66"/>
      <c r="O548" s="66"/>
      <c r="P548" s="66"/>
      <c r="Q548" s="66"/>
      <c r="R548" s="66"/>
      <c r="S548" s="66"/>
      <c r="T548" s="66"/>
      <c r="U548" s="66"/>
      <c r="V548" s="66"/>
      <c r="W548" s="66"/>
      <c r="X548" s="66"/>
      <c r="Y548" s="66"/>
      <c r="Z548" s="66"/>
      <c r="AA548" s="66"/>
    </row>
    <row r="549" spans="1:27" ht="21" x14ac:dyDescent="0.65">
      <c r="A549" s="66"/>
      <c r="B549" s="66"/>
      <c r="C549" s="66"/>
      <c r="D549" s="66"/>
      <c r="E549" s="66"/>
      <c r="F549" s="66"/>
      <c r="G549" s="66"/>
      <c r="H549" s="66"/>
      <c r="I549" s="66"/>
      <c r="J549" s="66"/>
      <c r="K549" s="66"/>
      <c r="L549" s="66"/>
      <c r="M549" s="66"/>
      <c r="N549" s="66"/>
      <c r="O549" s="66"/>
      <c r="P549" s="66"/>
      <c r="Q549" s="66"/>
      <c r="R549" s="66"/>
      <c r="S549" s="66"/>
      <c r="T549" s="66"/>
      <c r="U549" s="66"/>
      <c r="V549" s="66"/>
      <c r="W549" s="66"/>
      <c r="X549" s="66"/>
      <c r="Y549" s="66"/>
      <c r="Z549" s="66"/>
      <c r="AA549" s="66"/>
    </row>
    <row r="550" spans="1:27" ht="21" x14ac:dyDescent="0.65">
      <c r="A550" s="66"/>
      <c r="B550" s="66"/>
      <c r="C550" s="66"/>
      <c r="D550" s="66"/>
      <c r="E550" s="66"/>
      <c r="F550" s="66"/>
      <c r="G550" s="66"/>
      <c r="H550" s="66"/>
      <c r="I550" s="66"/>
      <c r="J550" s="66"/>
      <c r="K550" s="66"/>
      <c r="L550" s="66"/>
      <c r="M550" s="66"/>
      <c r="N550" s="66"/>
      <c r="O550" s="66"/>
      <c r="P550" s="66"/>
      <c r="Q550" s="66"/>
      <c r="R550" s="66"/>
      <c r="S550" s="66"/>
      <c r="T550" s="66"/>
      <c r="U550" s="66"/>
      <c r="V550" s="66"/>
      <c r="W550" s="66"/>
      <c r="X550" s="66"/>
      <c r="Y550" s="66"/>
      <c r="Z550" s="66"/>
      <c r="AA550" s="66"/>
    </row>
    <row r="551" spans="1:27" ht="21" x14ac:dyDescent="0.65">
      <c r="A551" s="66"/>
      <c r="B551" s="66"/>
      <c r="C551" s="66"/>
      <c r="D551" s="66"/>
      <c r="E551" s="66"/>
      <c r="F551" s="66"/>
      <c r="G551" s="66"/>
      <c r="H551" s="66"/>
      <c r="I551" s="66"/>
      <c r="J551" s="66"/>
      <c r="K551" s="66"/>
      <c r="L551" s="66"/>
      <c r="M551" s="66"/>
      <c r="N551" s="66"/>
      <c r="O551" s="66"/>
      <c r="P551" s="66"/>
      <c r="Q551" s="66"/>
      <c r="R551" s="66"/>
      <c r="S551" s="66"/>
      <c r="T551" s="66"/>
      <c r="U551" s="66"/>
      <c r="V551" s="66"/>
      <c r="W551" s="66"/>
      <c r="X551" s="66"/>
      <c r="Y551" s="66"/>
      <c r="Z551" s="66"/>
      <c r="AA551" s="66"/>
    </row>
    <row r="552" spans="1:27" ht="21" x14ac:dyDescent="0.65">
      <c r="A552" s="66"/>
      <c r="B552" s="66"/>
      <c r="C552" s="66"/>
      <c r="D552" s="66"/>
      <c r="E552" s="66"/>
      <c r="F552" s="66"/>
      <c r="G552" s="66"/>
      <c r="H552" s="66"/>
      <c r="I552" s="66"/>
      <c r="J552" s="66"/>
      <c r="K552" s="66"/>
      <c r="L552" s="66"/>
      <c r="M552" s="66"/>
      <c r="N552" s="66"/>
      <c r="O552" s="66"/>
      <c r="P552" s="66"/>
      <c r="Q552" s="66"/>
      <c r="R552" s="66"/>
      <c r="S552" s="66"/>
      <c r="T552" s="66"/>
      <c r="U552" s="66"/>
      <c r="V552" s="66"/>
      <c r="W552" s="66"/>
      <c r="X552" s="66"/>
      <c r="Y552" s="66"/>
      <c r="Z552" s="66"/>
      <c r="AA552" s="66"/>
    </row>
    <row r="553" spans="1:27" ht="21" x14ac:dyDescent="0.65">
      <c r="A553" s="66"/>
      <c r="B553" s="66"/>
      <c r="C553" s="66"/>
      <c r="D553" s="66"/>
      <c r="E553" s="66"/>
      <c r="F553" s="66"/>
      <c r="G553" s="66"/>
      <c r="H553" s="66"/>
      <c r="I553" s="66"/>
      <c r="J553" s="66"/>
      <c r="K553" s="66"/>
      <c r="L553" s="66"/>
      <c r="M553" s="66"/>
      <c r="N553" s="66"/>
      <c r="O553" s="66"/>
      <c r="P553" s="66"/>
      <c r="Q553" s="66"/>
      <c r="R553" s="66"/>
      <c r="S553" s="66"/>
      <c r="T553" s="66"/>
      <c r="U553" s="66"/>
      <c r="V553" s="66"/>
      <c r="W553" s="66"/>
      <c r="X553" s="66"/>
      <c r="Y553" s="66"/>
      <c r="Z553" s="66"/>
      <c r="AA553" s="66"/>
    </row>
    <row r="554" spans="1:27" ht="21" x14ac:dyDescent="0.65">
      <c r="A554" s="66"/>
      <c r="B554" s="66"/>
      <c r="C554" s="66"/>
      <c r="D554" s="66"/>
      <c r="E554" s="66"/>
      <c r="F554" s="66"/>
      <c r="G554" s="66"/>
      <c r="H554" s="66"/>
      <c r="I554" s="66"/>
      <c r="J554" s="66"/>
      <c r="K554" s="66"/>
      <c r="L554" s="66"/>
      <c r="M554" s="66"/>
      <c r="N554" s="66"/>
      <c r="O554" s="66"/>
      <c r="P554" s="66"/>
      <c r="Q554" s="66"/>
      <c r="R554" s="66"/>
      <c r="S554" s="66"/>
      <c r="T554" s="66"/>
      <c r="U554" s="66"/>
      <c r="V554" s="66"/>
      <c r="W554" s="66"/>
      <c r="X554" s="66"/>
      <c r="Y554" s="66"/>
      <c r="Z554" s="66"/>
      <c r="AA554" s="66"/>
    </row>
    <row r="555" spans="1:27" ht="21" x14ac:dyDescent="0.65">
      <c r="A555" s="66"/>
      <c r="B555" s="66"/>
      <c r="C555" s="66"/>
      <c r="D555" s="66"/>
      <c r="E555" s="66"/>
      <c r="F555" s="66"/>
      <c r="G555" s="66"/>
      <c r="H555" s="66"/>
      <c r="I555" s="66"/>
      <c r="J555" s="66"/>
      <c r="K555" s="66"/>
      <c r="L555" s="66"/>
      <c r="M555" s="66"/>
      <c r="N555" s="66"/>
      <c r="O555" s="66"/>
      <c r="P555" s="66"/>
      <c r="Q555" s="66"/>
      <c r="R555" s="66"/>
      <c r="S555" s="66"/>
      <c r="T555" s="66"/>
      <c r="U555" s="66"/>
      <c r="V555" s="66"/>
      <c r="W555" s="66"/>
      <c r="X555" s="66"/>
      <c r="Y555" s="66"/>
      <c r="Z555" s="66"/>
      <c r="AA555" s="66"/>
    </row>
    <row r="556" spans="1:27" ht="21" x14ac:dyDescent="0.65">
      <c r="A556" s="66"/>
      <c r="B556" s="66"/>
      <c r="C556" s="66"/>
      <c r="D556" s="66"/>
      <c r="E556" s="66"/>
      <c r="F556" s="66"/>
      <c r="G556" s="66"/>
      <c r="H556" s="66"/>
      <c r="I556" s="66"/>
      <c r="J556" s="66"/>
      <c r="K556" s="66"/>
      <c r="L556" s="66"/>
      <c r="M556" s="66"/>
      <c r="N556" s="66"/>
      <c r="O556" s="66"/>
      <c r="P556" s="66"/>
      <c r="Q556" s="66"/>
      <c r="R556" s="66"/>
      <c r="S556" s="66"/>
      <c r="T556" s="66"/>
      <c r="U556" s="66"/>
      <c r="V556" s="66"/>
      <c r="W556" s="66"/>
      <c r="X556" s="66"/>
      <c r="Y556" s="66"/>
      <c r="Z556" s="66"/>
      <c r="AA556" s="66"/>
    </row>
    <row r="557" spans="1:27" ht="21" x14ac:dyDescent="0.65">
      <c r="A557" s="66"/>
      <c r="B557" s="66"/>
      <c r="C557" s="66"/>
      <c r="D557" s="66"/>
      <c r="E557" s="66"/>
      <c r="F557" s="66"/>
      <c r="G557" s="66"/>
      <c r="H557" s="66"/>
      <c r="I557" s="66"/>
      <c r="J557" s="66"/>
      <c r="K557" s="66"/>
      <c r="L557" s="66"/>
      <c r="M557" s="66"/>
      <c r="N557" s="66"/>
      <c r="O557" s="66"/>
      <c r="P557" s="66"/>
      <c r="Q557" s="66"/>
      <c r="R557" s="66"/>
      <c r="S557" s="66"/>
      <c r="T557" s="66"/>
      <c r="U557" s="66"/>
      <c r="V557" s="66"/>
      <c r="W557" s="66"/>
      <c r="X557" s="66"/>
      <c r="Y557" s="66"/>
      <c r="Z557" s="66"/>
      <c r="AA557" s="66"/>
    </row>
    <row r="558" spans="1:27" ht="21" x14ac:dyDescent="0.65">
      <c r="A558" s="66"/>
      <c r="B558" s="66"/>
      <c r="C558" s="66"/>
      <c r="D558" s="66"/>
      <c r="E558" s="66"/>
      <c r="F558" s="66"/>
      <c r="G558" s="66"/>
      <c r="H558" s="66"/>
      <c r="I558" s="66"/>
      <c r="J558" s="66"/>
      <c r="K558" s="66"/>
      <c r="L558" s="66"/>
      <c r="M558" s="66"/>
      <c r="N558" s="66"/>
      <c r="O558" s="66"/>
      <c r="P558" s="66"/>
      <c r="Q558" s="66"/>
      <c r="R558" s="66"/>
      <c r="S558" s="66"/>
      <c r="T558" s="66"/>
      <c r="U558" s="66"/>
      <c r="V558" s="66"/>
      <c r="W558" s="66"/>
      <c r="X558" s="66"/>
      <c r="Y558" s="66"/>
      <c r="Z558" s="66"/>
      <c r="AA558" s="66"/>
    </row>
    <row r="559" spans="1:27" ht="21" x14ac:dyDescent="0.65">
      <c r="A559" s="66"/>
      <c r="B559" s="66"/>
      <c r="C559" s="66"/>
      <c r="D559" s="66"/>
      <c r="E559" s="66"/>
      <c r="F559" s="66"/>
      <c r="G559" s="66"/>
      <c r="H559" s="66"/>
      <c r="I559" s="66"/>
      <c r="J559" s="66"/>
      <c r="K559" s="66"/>
      <c r="L559" s="66"/>
      <c r="M559" s="66"/>
      <c r="N559" s="66"/>
      <c r="O559" s="66"/>
      <c r="P559" s="66"/>
      <c r="Q559" s="66"/>
      <c r="R559" s="66"/>
      <c r="S559" s="66"/>
      <c r="T559" s="66"/>
      <c r="U559" s="66"/>
      <c r="V559" s="66"/>
      <c r="W559" s="66"/>
      <c r="X559" s="66"/>
      <c r="Y559" s="66"/>
      <c r="Z559" s="66"/>
      <c r="AA559" s="66"/>
    </row>
    <row r="560" spans="1:27" ht="21" x14ac:dyDescent="0.65">
      <c r="A560" s="66"/>
      <c r="B560" s="66"/>
      <c r="C560" s="66"/>
      <c r="D560" s="66"/>
      <c r="E560" s="66"/>
      <c r="F560" s="66"/>
      <c r="G560" s="66"/>
      <c r="H560" s="66"/>
      <c r="I560" s="66"/>
      <c r="J560" s="66"/>
      <c r="K560" s="66"/>
      <c r="L560" s="66"/>
      <c r="M560" s="66"/>
      <c r="N560" s="66"/>
      <c r="O560" s="66"/>
      <c r="P560" s="66"/>
      <c r="Q560" s="66"/>
      <c r="R560" s="66"/>
      <c r="S560" s="66"/>
      <c r="T560" s="66"/>
      <c r="U560" s="66"/>
      <c r="V560" s="66"/>
      <c r="W560" s="66"/>
      <c r="X560" s="66"/>
      <c r="Y560" s="66"/>
      <c r="Z560" s="66"/>
      <c r="AA560" s="66"/>
    </row>
    <row r="561" spans="1:27" ht="21" x14ac:dyDescent="0.65">
      <c r="A561" s="66"/>
      <c r="B561" s="66"/>
      <c r="C561" s="66"/>
      <c r="D561" s="66"/>
      <c r="E561" s="66"/>
      <c r="F561" s="66"/>
      <c r="G561" s="66"/>
      <c r="H561" s="66"/>
      <c r="I561" s="66"/>
      <c r="J561" s="66"/>
      <c r="K561" s="66"/>
      <c r="L561" s="66"/>
      <c r="M561" s="66"/>
      <c r="N561" s="66"/>
      <c r="O561" s="66"/>
      <c r="P561" s="66"/>
      <c r="Q561" s="66"/>
      <c r="R561" s="66"/>
      <c r="S561" s="66"/>
      <c r="T561" s="66"/>
      <c r="U561" s="66"/>
      <c r="V561" s="66"/>
      <c r="W561" s="66"/>
      <c r="X561" s="66"/>
      <c r="Y561" s="66"/>
      <c r="Z561" s="66"/>
      <c r="AA561" s="66"/>
    </row>
    <row r="562" spans="1:27" ht="21" x14ac:dyDescent="0.65">
      <c r="A562" s="66"/>
      <c r="B562" s="66"/>
      <c r="C562" s="66"/>
      <c r="D562" s="66"/>
      <c r="E562" s="66"/>
      <c r="F562" s="66"/>
      <c r="G562" s="66"/>
      <c r="H562" s="66"/>
      <c r="I562" s="66"/>
      <c r="J562" s="66"/>
      <c r="K562" s="66"/>
      <c r="L562" s="66"/>
      <c r="M562" s="66"/>
      <c r="N562" s="66"/>
      <c r="O562" s="66"/>
      <c r="P562" s="66"/>
      <c r="Q562" s="66"/>
      <c r="R562" s="66"/>
      <c r="S562" s="66"/>
      <c r="T562" s="66"/>
      <c r="U562" s="66"/>
      <c r="V562" s="66"/>
      <c r="W562" s="66"/>
      <c r="X562" s="66"/>
      <c r="Y562" s="66"/>
      <c r="Z562" s="66"/>
      <c r="AA562" s="66"/>
    </row>
    <row r="563" spans="1:27" ht="21" x14ac:dyDescent="0.65">
      <c r="A563" s="66"/>
      <c r="B563" s="66"/>
      <c r="C563" s="66"/>
      <c r="D563" s="66"/>
      <c r="E563" s="66"/>
      <c r="F563" s="66"/>
      <c r="G563" s="66"/>
      <c r="H563" s="66"/>
      <c r="I563" s="66"/>
      <c r="J563" s="66"/>
      <c r="K563" s="66"/>
      <c r="L563" s="66"/>
      <c r="M563" s="66"/>
      <c r="N563" s="66"/>
      <c r="O563" s="66"/>
      <c r="P563" s="66"/>
      <c r="Q563" s="66"/>
      <c r="R563" s="66"/>
      <c r="S563" s="66"/>
      <c r="T563" s="66"/>
      <c r="U563" s="66"/>
      <c r="V563" s="66"/>
      <c r="W563" s="66"/>
      <c r="X563" s="66"/>
      <c r="Y563" s="66"/>
      <c r="Z563" s="66"/>
      <c r="AA563" s="66"/>
    </row>
    <row r="564" spans="1:27" ht="21" x14ac:dyDescent="0.65">
      <c r="A564" s="66"/>
      <c r="B564" s="66"/>
      <c r="C564" s="66"/>
      <c r="D564" s="66"/>
      <c r="E564" s="66"/>
      <c r="F564" s="66"/>
      <c r="G564" s="66"/>
      <c r="H564" s="66"/>
      <c r="I564" s="66"/>
      <c r="J564" s="66"/>
      <c r="K564" s="66"/>
      <c r="L564" s="66"/>
      <c r="M564" s="66"/>
      <c r="N564" s="66"/>
      <c r="O564" s="66"/>
      <c r="P564" s="66"/>
      <c r="Q564" s="66"/>
      <c r="R564" s="66"/>
      <c r="S564" s="66"/>
      <c r="T564" s="66"/>
      <c r="U564" s="66"/>
      <c r="V564" s="66"/>
      <c r="W564" s="66"/>
      <c r="X564" s="66"/>
      <c r="Y564" s="66"/>
      <c r="Z564" s="66"/>
      <c r="AA564" s="66"/>
    </row>
    <row r="565" spans="1:27" ht="21" x14ac:dyDescent="0.65">
      <c r="A565" s="66"/>
      <c r="B565" s="66"/>
      <c r="C565" s="66"/>
      <c r="D565" s="66"/>
      <c r="E565" s="66"/>
      <c r="F565" s="66"/>
      <c r="G565" s="66"/>
      <c r="H565" s="66"/>
      <c r="I565" s="66"/>
      <c r="J565" s="66"/>
      <c r="K565" s="66"/>
      <c r="L565" s="66"/>
      <c r="M565" s="66"/>
      <c r="N565" s="66"/>
      <c r="O565" s="66"/>
      <c r="P565" s="66"/>
      <c r="Q565" s="66"/>
      <c r="R565" s="66"/>
      <c r="S565" s="66"/>
      <c r="T565" s="66"/>
      <c r="U565" s="66"/>
      <c r="V565" s="66"/>
      <c r="W565" s="66"/>
      <c r="X565" s="66"/>
      <c r="Y565" s="66"/>
      <c r="Z565" s="66"/>
      <c r="AA565" s="66"/>
    </row>
    <row r="566" spans="1:27" ht="21" x14ac:dyDescent="0.65">
      <c r="A566" s="66"/>
      <c r="B566" s="66"/>
      <c r="C566" s="66"/>
      <c r="D566" s="66"/>
      <c r="E566" s="66"/>
      <c r="F566" s="66"/>
      <c r="G566" s="66"/>
      <c r="H566" s="66"/>
      <c r="I566" s="66"/>
      <c r="J566" s="66"/>
      <c r="K566" s="66"/>
      <c r="L566" s="66"/>
      <c r="M566" s="66"/>
      <c r="N566" s="66"/>
      <c r="O566" s="66"/>
      <c r="P566" s="66"/>
      <c r="Q566" s="66"/>
      <c r="R566" s="66"/>
      <c r="S566" s="66"/>
      <c r="T566" s="66"/>
      <c r="U566" s="66"/>
      <c r="V566" s="66"/>
      <c r="W566" s="66"/>
      <c r="X566" s="66"/>
      <c r="Y566" s="66"/>
      <c r="Z566" s="66"/>
      <c r="AA566" s="66"/>
    </row>
    <row r="567" spans="1:27" ht="21" x14ac:dyDescent="0.65">
      <c r="A567" s="66"/>
      <c r="B567" s="66"/>
      <c r="C567" s="66"/>
      <c r="D567" s="66"/>
      <c r="E567" s="66"/>
      <c r="F567" s="66"/>
      <c r="G567" s="66"/>
      <c r="H567" s="66"/>
      <c r="I567" s="66"/>
      <c r="J567" s="66"/>
      <c r="K567" s="66"/>
      <c r="L567" s="66"/>
      <c r="M567" s="66"/>
      <c r="N567" s="66"/>
      <c r="O567" s="66"/>
      <c r="P567" s="66"/>
      <c r="Q567" s="66"/>
      <c r="R567" s="66"/>
      <c r="S567" s="66"/>
      <c r="T567" s="66"/>
      <c r="U567" s="66"/>
      <c r="V567" s="66"/>
      <c r="W567" s="66"/>
      <c r="X567" s="66"/>
      <c r="Y567" s="66"/>
      <c r="Z567" s="66"/>
      <c r="AA567" s="66"/>
    </row>
    <row r="568" spans="1:27" ht="21" x14ac:dyDescent="0.65">
      <c r="A568" s="66"/>
      <c r="B568" s="66"/>
      <c r="C568" s="66"/>
      <c r="D568" s="66"/>
      <c r="E568" s="66"/>
      <c r="F568" s="66"/>
      <c r="G568" s="66"/>
      <c r="H568" s="66"/>
      <c r="I568" s="66"/>
      <c r="J568" s="66"/>
      <c r="K568" s="66"/>
      <c r="L568" s="66"/>
      <c r="M568" s="66"/>
      <c r="N568" s="66"/>
      <c r="O568" s="66"/>
      <c r="P568" s="66"/>
      <c r="Q568" s="66"/>
      <c r="R568" s="66"/>
      <c r="S568" s="66"/>
      <c r="T568" s="66"/>
      <c r="U568" s="66"/>
      <c r="V568" s="66"/>
      <c r="W568" s="66"/>
      <c r="X568" s="66"/>
      <c r="Y568" s="66"/>
      <c r="Z568" s="66"/>
      <c r="AA568" s="66"/>
    </row>
    <row r="569" spans="1:27" ht="21" x14ac:dyDescent="0.65">
      <c r="A569" s="66"/>
      <c r="B569" s="66"/>
      <c r="C569" s="66"/>
      <c r="D569" s="66"/>
      <c r="E569" s="66"/>
      <c r="F569" s="66"/>
      <c r="G569" s="66"/>
      <c r="H569" s="66"/>
      <c r="I569" s="66"/>
      <c r="J569" s="66"/>
      <c r="K569" s="66"/>
      <c r="L569" s="66"/>
      <c r="M569" s="66"/>
      <c r="N569" s="66"/>
      <c r="O569" s="66"/>
      <c r="P569" s="66"/>
      <c r="Q569" s="66"/>
      <c r="R569" s="66"/>
      <c r="S569" s="66"/>
      <c r="T569" s="66"/>
      <c r="U569" s="66"/>
      <c r="V569" s="66"/>
      <c r="W569" s="66"/>
      <c r="X569" s="66"/>
      <c r="Y569" s="66"/>
      <c r="Z569" s="66"/>
      <c r="AA569" s="66"/>
    </row>
    <row r="570" spans="1:27" ht="21" x14ac:dyDescent="0.65">
      <c r="A570" s="66"/>
      <c r="B570" s="66"/>
      <c r="C570" s="66"/>
      <c r="D570" s="66"/>
      <c r="E570" s="66"/>
      <c r="F570" s="66"/>
      <c r="G570" s="66"/>
      <c r="H570" s="66"/>
      <c r="I570" s="66"/>
      <c r="J570" s="66"/>
      <c r="K570" s="66"/>
      <c r="L570" s="66"/>
      <c r="M570" s="66"/>
      <c r="N570" s="66"/>
      <c r="O570" s="66"/>
      <c r="P570" s="66"/>
      <c r="Q570" s="66"/>
      <c r="R570" s="66"/>
      <c r="S570" s="66"/>
      <c r="T570" s="66"/>
      <c r="U570" s="66"/>
      <c r="V570" s="66"/>
      <c r="W570" s="66"/>
      <c r="X570" s="66"/>
      <c r="Y570" s="66"/>
      <c r="Z570" s="66"/>
      <c r="AA570" s="66"/>
    </row>
    <row r="571" spans="1:27" ht="21" x14ac:dyDescent="0.65">
      <c r="A571" s="66"/>
      <c r="B571" s="66"/>
      <c r="C571" s="66"/>
      <c r="D571" s="66"/>
      <c r="E571" s="66"/>
      <c r="F571" s="66"/>
      <c r="G571" s="66"/>
      <c r="H571" s="66"/>
      <c r="I571" s="66"/>
      <c r="J571" s="66"/>
      <c r="K571" s="66"/>
      <c r="L571" s="66"/>
      <c r="M571" s="66"/>
      <c r="N571" s="66"/>
      <c r="O571" s="66"/>
      <c r="P571" s="66"/>
      <c r="Q571" s="66"/>
      <c r="R571" s="66"/>
      <c r="S571" s="66"/>
      <c r="T571" s="66"/>
      <c r="U571" s="66"/>
      <c r="V571" s="66"/>
      <c r="W571" s="66"/>
      <c r="X571" s="66"/>
      <c r="Y571" s="66"/>
      <c r="Z571" s="66"/>
      <c r="AA571" s="66"/>
    </row>
    <row r="572" spans="1:27" ht="21" x14ac:dyDescent="0.65">
      <c r="A572" s="66"/>
      <c r="B572" s="66"/>
      <c r="C572" s="66"/>
      <c r="D572" s="66"/>
      <c r="E572" s="66"/>
      <c r="F572" s="66"/>
      <c r="G572" s="66"/>
      <c r="H572" s="66"/>
      <c r="I572" s="66"/>
      <c r="J572" s="66"/>
      <c r="K572" s="66"/>
      <c r="L572" s="66"/>
      <c r="M572" s="66"/>
      <c r="N572" s="66"/>
      <c r="O572" s="66"/>
      <c r="P572" s="66"/>
      <c r="Q572" s="66"/>
      <c r="R572" s="66"/>
      <c r="S572" s="66"/>
      <c r="T572" s="66"/>
      <c r="U572" s="66"/>
      <c r="V572" s="66"/>
      <c r="W572" s="66"/>
      <c r="X572" s="66"/>
      <c r="Y572" s="66"/>
      <c r="Z572" s="66"/>
      <c r="AA572" s="66"/>
    </row>
    <row r="573" spans="1:27" ht="21" x14ac:dyDescent="0.65">
      <c r="A573" s="66"/>
      <c r="B573" s="66"/>
      <c r="C573" s="66"/>
      <c r="D573" s="66"/>
      <c r="E573" s="66"/>
      <c r="F573" s="66"/>
      <c r="G573" s="66"/>
      <c r="H573" s="66"/>
      <c r="I573" s="66"/>
      <c r="J573" s="66"/>
      <c r="K573" s="66"/>
      <c r="L573" s="66"/>
      <c r="M573" s="66"/>
      <c r="N573" s="66"/>
      <c r="O573" s="66"/>
      <c r="P573" s="66"/>
      <c r="Q573" s="66"/>
      <c r="R573" s="66"/>
      <c r="S573" s="66"/>
      <c r="T573" s="66"/>
      <c r="U573" s="66"/>
      <c r="V573" s="66"/>
      <c r="W573" s="66"/>
      <c r="X573" s="66"/>
      <c r="Y573" s="66"/>
      <c r="Z573" s="66"/>
      <c r="AA573" s="66"/>
    </row>
    <row r="574" spans="1:27" ht="21" x14ac:dyDescent="0.65">
      <c r="A574" s="66"/>
      <c r="B574" s="66"/>
      <c r="C574" s="66"/>
      <c r="D574" s="66"/>
      <c r="E574" s="66"/>
      <c r="F574" s="66"/>
      <c r="G574" s="66"/>
      <c r="H574" s="66"/>
      <c r="I574" s="66"/>
      <c r="J574" s="66"/>
      <c r="K574" s="66"/>
      <c r="L574" s="66"/>
      <c r="M574" s="66"/>
      <c r="N574" s="66"/>
      <c r="O574" s="66"/>
      <c r="P574" s="66"/>
      <c r="Q574" s="66"/>
      <c r="R574" s="66"/>
      <c r="S574" s="66"/>
      <c r="T574" s="66"/>
      <c r="U574" s="66"/>
      <c r="V574" s="66"/>
      <c r="W574" s="66"/>
      <c r="X574" s="66"/>
      <c r="Y574" s="66"/>
      <c r="Z574" s="66"/>
      <c r="AA574" s="66"/>
    </row>
    <row r="575" spans="1:27" ht="21" x14ac:dyDescent="0.65">
      <c r="A575" s="66"/>
      <c r="B575" s="66"/>
      <c r="C575" s="66"/>
      <c r="D575" s="66"/>
      <c r="E575" s="66"/>
      <c r="F575" s="66"/>
      <c r="G575" s="66"/>
      <c r="H575" s="66"/>
      <c r="I575" s="66"/>
      <c r="J575" s="66"/>
      <c r="K575" s="66"/>
      <c r="L575" s="66"/>
      <c r="M575" s="66"/>
      <c r="N575" s="66"/>
      <c r="O575" s="66"/>
      <c r="P575" s="66"/>
      <c r="Q575" s="66"/>
      <c r="R575" s="66"/>
      <c r="S575" s="66"/>
      <c r="T575" s="66"/>
      <c r="U575" s="66"/>
      <c r="V575" s="66"/>
      <c r="W575" s="66"/>
      <c r="X575" s="66"/>
      <c r="Y575" s="66"/>
      <c r="Z575" s="66"/>
      <c r="AA575" s="66"/>
    </row>
    <row r="576" spans="1:27" ht="21" x14ac:dyDescent="0.65">
      <c r="A576" s="66"/>
      <c r="B576" s="66"/>
      <c r="C576" s="66"/>
      <c r="D576" s="66"/>
      <c r="E576" s="66"/>
      <c r="F576" s="66"/>
      <c r="G576" s="66"/>
      <c r="H576" s="66"/>
      <c r="I576" s="66"/>
      <c r="J576" s="66"/>
      <c r="K576" s="66"/>
      <c r="L576" s="66"/>
      <c r="M576" s="66"/>
      <c r="N576" s="66"/>
      <c r="O576" s="66"/>
      <c r="P576" s="66"/>
      <c r="Q576" s="66"/>
      <c r="R576" s="66"/>
      <c r="S576" s="66"/>
      <c r="T576" s="66"/>
      <c r="U576" s="66"/>
      <c r="V576" s="66"/>
      <c r="W576" s="66"/>
      <c r="X576" s="66"/>
      <c r="Y576" s="66"/>
      <c r="Z576" s="66"/>
      <c r="AA576" s="66"/>
    </row>
    <row r="577" spans="1:27" ht="21" x14ac:dyDescent="0.65">
      <c r="A577" s="66"/>
      <c r="B577" s="66"/>
      <c r="C577" s="66"/>
      <c r="D577" s="66"/>
      <c r="E577" s="66"/>
      <c r="F577" s="66"/>
      <c r="G577" s="66"/>
      <c r="H577" s="66"/>
      <c r="I577" s="66"/>
      <c r="J577" s="66"/>
      <c r="K577" s="66"/>
      <c r="L577" s="66"/>
      <c r="M577" s="66"/>
      <c r="N577" s="66"/>
      <c r="O577" s="66"/>
      <c r="P577" s="66"/>
      <c r="Q577" s="66"/>
      <c r="R577" s="66"/>
      <c r="S577" s="66"/>
      <c r="T577" s="66"/>
      <c r="U577" s="66"/>
      <c r="V577" s="66"/>
      <c r="W577" s="66"/>
      <c r="X577" s="66"/>
      <c r="Y577" s="66"/>
      <c r="Z577" s="66"/>
      <c r="AA577" s="66"/>
    </row>
    <row r="578" spans="1:27" ht="21" x14ac:dyDescent="0.65">
      <c r="A578" s="66"/>
      <c r="B578" s="66"/>
      <c r="C578" s="66"/>
      <c r="D578" s="66"/>
      <c r="E578" s="66"/>
      <c r="F578" s="66"/>
      <c r="G578" s="66"/>
      <c r="H578" s="66"/>
      <c r="I578" s="66"/>
      <c r="J578" s="66"/>
      <c r="K578" s="66"/>
      <c r="L578" s="66"/>
      <c r="M578" s="66"/>
      <c r="N578" s="66"/>
      <c r="O578" s="66"/>
      <c r="P578" s="66"/>
      <c r="Q578" s="66"/>
      <c r="R578" s="66"/>
      <c r="S578" s="66"/>
      <c r="T578" s="66"/>
      <c r="U578" s="66"/>
      <c r="V578" s="66"/>
      <c r="W578" s="66"/>
      <c r="X578" s="66"/>
      <c r="Y578" s="66"/>
      <c r="Z578" s="66"/>
      <c r="AA578" s="66"/>
    </row>
    <row r="579" spans="1:27" ht="21" x14ac:dyDescent="0.65">
      <c r="A579" s="66"/>
      <c r="B579" s="66"/>
      <c r="C579" s="66"/>
      <c r="D579" s="66"/>
      <c r="E579" s="66"/>
      <c r="F579" s="66"/>
      <c r="G579" s="66"/>
      <c r="H579" s="66"/>
      <c r="I579" s="66"/>
      <c r="J579" s="66"/>
      <c r="K579" s="66"/>
      <c r="L579" s="66"/>
      <c r="M579" s="66"/>
      <c r="N579" s="66"/>
      <c r="O579" s="66"/>
      <c r="P579" s="66"/>
      <c r="Q579" s="66"/>
      <c r="R579" s="66"/>
      <c r="S579" s="66"/>
      <c r="T579" s="66"/>
      <c r="U579" s="66"/>
      <c r="V579" s="66"/>
      <c r="W579" s="66"/>
      <c r="X579" s="66"/>
      <c r="Y579" s="66"/>
      <c r="Z579" s="66"/>
      <c r="AA579" s="66"/>
    </row>
    <row r="580" spans="1:27" ht="21" x14ac:dyDescent="0.65">
      <c r="A580" s="66"/>
      <c r="B580" s="66"/>
      <c r="C580" s="66"/>
      <c r="D580" s="66"/>
      <c r="E580" s="66"/>
      <c r="F580" s="66"/>
      <c r="G580" s="66"/>
      <c r="H580" s="66"/>
      <c r="I580" s="66"/>
      <c r="J580" s="66"/>
      <c r="K580" s="66"/>
      <c r="L580" s="66"/>
      <c r="M580" s="66"/>
      <c r="N580" s="66"/>
      <c r="O580" s="66"/>
      <c r="P580" s="66"/>
      <c r="Q580" s="66"/>
      <c r="R580" s="66"/>
      <c r="S580" s="66"/>
      <c r="T580" s="66"/>
      <c r="U580" s="66"/>
      <c r="V580" s="66"/>
      <c r="W580" s="66"/>
      <c r="X580" s="66"/>
      <c r="Y580" s="66"/>
      <c r="Z580" s="66"/>
      <c r="AA580" s="66"/>
    </row>
    <row r="581" spans="1:27" ht="21" x14ac:dyDescent="0.65">
      <c r="A581" s="66"/>
      <c r="B581" s="66"/>
      <c r="C581" s="66"/>
      <c r="D581" s="66"/>
      <c r="E581" s="66"/>
      <c r="F581" s="66"/>
      <c r="G581" s="66"/>
      <c r="H581" s="66"/>
      <c r="I581" s="66"/>
      <c r="J581" s="66"/>
      <c r="K581" s="66"/>
      <c r="L581" s="66"/>
      <c r="M581" s="66"/>
      <c r="N581" s="66"/>
      <c r="O581" s="66"/>
      <c r="P581" s="66"/>
      <c r="Q581" s="66"/>
      <c r="R581" s="66"/>
      <c r="S581" s="66"/>
      <c r="T581" s="66"/>
      <c r="U581" s="66"/>
      <c r="V581" s="66"/>
      <c r="W581" s="66"/>
      <c r="X581" s="66"/>
      <c r="Y581" s="66"/>
      <c r="Z581" s="66"/>
      <c r="AA581" s="66"/>
    </row>
    <row r="582" spans="1:27" ht="21" x14ac:dyDescent="0.65">
      <c r="A582" s="66"/>
      <c r="B582" s="66"/>
      <c r="C582" s="66"/>
      <c r="D582" s="66"/>
      <c r="E582" s="66"/>
      <c r="F582" s="66"/>
      <c r="G582" s="66"/>
      <c r="H582" s="66"/>
      <c r="I582" s="66"/>
      <c r="J582" s="66"/>
      <c r="K582" s="66"/>
      <c r="L582" s="66"/>
      <c r="M582" s="66"/>
      <c r="N582" s="66"/>
      <c r="O582" s="66"/>
      <c r="P582" s="66"/>
      <c r="Q582" s="66"/>
      <c r="R582" s="66"/>
      <c r="S582" s="66"/>
      <c r="T582" s="66"/>
      <c r="U582" s="66"/>
      <c r="V582" s="66"/>
      <c r="W582" s="66"/>
      <c r="X582" s="66"/>
      <c r="Y582" s="66"/>
      <c r="Z582" s="66"/>
      <c r="AA582" s="66"/>
    </row>
    <row r="583" spans="1:27" ht="21" x14ac:dyDescent="0.65">
      <c r="A583" s="66"/>
      <c r="B583" s="66"/>
      <c r="C583" s="66"/>
      <c r="D583" s="66"/>
      <c r="E583" s="66"/>
      <c r="F583" s="66"/>
      <c r="G583" s="66"/>
      <c r="H583" s="66"/>
      <c r="I583" s="66"/>
      <c r="J583" s="66"/>
      <c r="K583" s="66"/>
      <c r="L583" s="66"/>
      <c r="M583" s="66"/>
      <c r="N583" s="66"/>
      <c r="O583" s="66"/>
      <c r="P583" s="66"/>
      <c r="Q583" s="66"/>
      <c r="R583" s="66"/>
      <c r="S583" s="66"/>
      <c r="T583" s="66"/>
      <c r="U583" s="66"/>
      <c r="V583" s="66"/>
      <c r="W583" s="66"/>
      <c r="X583" s="66"/>
      <c r="Y583" s="66"/>
      <c r="Z583" s="66"/>
      <c r="AA583" s="66"/>
    </row>
    <row r="584" spans="1:27" ht="21" x14ac:dyDescent="0.65">
      <c r="A584" s="66"/>
      <c r="B584" s="66"/>
      <c r="C584" s="66"/>
      <c r="D584" s="66"/>
      <c r="E584" s="66"/>
      <c r="F584" s="66"/>
      <c r="G584" s="66"/>
      <c r="H584" s="66"/>
      <c r="I584" s="66"/>
      <c r="J584" s="66"/>
      <c r="K584" s="66"/>
      <c r="L584" s="66"/>
      <c r="M584" s="66"/>
      <c r="N584" s="66"/>
      <c r="O584" s="66"/>
      <c r="P584" s="66"/>
      <c r="Q584" s="66"/>
      <c r="R584" s="66"/>
      <c r="S584" s="66"/>
      <c r="T584" s="66"/>
      <c r="U584" s="66"/>
      <c r="V584" s="66"/>
      <c r="W584" s="66"/>
      <c r="X584" s="66"/>
      <c r="Y584" s="66"/>
      <c r="Z584" s="66"/>
      <c r="AA584" s="66"/>
    </row>
    <row r="585" spans="1:27" ht="21" x14ac:dyDescent="0.65">
      <c r="A585" s="66"/>
      <c r="B585" s="66"/>
      <c r="C585" s="66"/>
      <c r="D585" s="66"/>
      <c r="E585" s="66"/>
      <c r="F585" s="66"/>
      <c r="G585" s="66"/>
      <c r="H585" s="66"/>
      <c r="I585" s="66"/>
      <c r="J585" s="66"/>
      <c r="K585" s="66"/>
      <c r="L585" s="66"/>
      <c r="M585" s="66"/>
      <c r="N585" s="66"/>
      <c r="O585" s="66"/>
      <c r="P585" s="66"/>
      <c r="Q585" s="66"/>
      <c r="R585" s="66"/>
      <c r="S585" s="66"/>
      <c r="T585" s="66"/>
      <c r="U585" s="66"/>
      <c r="V585" s="66"/>
      <c r="W585" s="66"/>
      <c r="X585" s="66"/>
      <c r="Y585" s="66"/>
      <c r="Z585" s="66"/>
      <c r="AA585" s="66"/>
    </row>
    <row r="586" spans="1:27" ht="21" x14ac:dyDescent="0.65">
      <c r="A586" s="66"/>
      <c r="B586" s="66"/>
      <c r="C586" s="66"/>
      <c r="D586" s="66"/>
      <c r="E586" s="66"/>
      <c r="F586" s="66"/>
      <c r="G586" s="66"/>
      <c r="H586" s="66"/>
      <c r="I586" s="66"/>
      <c r="J586" s="66"/>
      <c r="K586" s="66"/>
      <c r="L586" s="66"/>
      <c r="M586" s="66"/>
      <c r="N586" s="66"/>
      <c r="O586" s="66"/>
      <c r="P586" s="66"/>
      <c r="Q586" s="66"/>
      <c r="R586" s="66"/>
      <c r="S586" s="66"/>
      <c r="T586" s="66"/>
      <c r="U586" s="66"/>
      <c r="V586" s="66"/>
      <c r="W586" s="66"/>
      <c r="X586" s="66"/>
      <c r="Y586" s="66"/>
      <c r="Z586" s="66"/>
      <c r="AA586" s="66"/>
    </row>
    <row r="587" spans="1:27" ht="21" x14ac:dyDescent="0.65">
      <c r="A587" s="66"/>
      <c r="B587" s="66"/>
      <c r="C587" s="66"/>
      <c r="D587" s="66"/>
      <c r="E587" s="66"/>
      <c r="F587" s="66"/>
      <c r="G587" s="66"/>
      <c r="H587" s="66"/>
      <c r="I587" s="66"/>
      <c r="J587" s="66"/>
      <c r="K587" s="66"/>
      <c r="L587" s="66"/>
      <c r="M587" s="66"/>
      <c r="N587" s="66"/>
      <c r="O587" s="66"/>
      <c r="P587" s="66"/>
      <c r="Q587" s="66"/>
      <c r="R587" s="66"/>
      <c r="S587" s="66"/>
      <c r="T587" s="66"/>
      <c r="U587" s="66"/>
      <c r="V587" s="66"/>
      <c r="W587" s="66"/>
      <c r="X587" s="66"/>
      <c r="Y587" s="66"/>
      <c r="Z587" s="66"/>
      <c r="AA587" s="66"/>
    </row>
    <row r="588" spans="1:27" ht="21" x14ac:dyDescent="0.65">
      <c r="A588" s="66"/>
      <c r="B588" s="66"/>
      <c r="C588" s="66"/>
      <c r="D588" s="66"/>
      <c r="E588" s="66"/>
      <c r="F588" s="66"/>
      <c r="G588" s="66"/>
      <c r="H588" s="66"/>
      <c r="I588" s="66"/>
      <c r="J588" s="66"/>
      <c r="K588" s="66"/>
      <c r="L588" s="66"/>
      <c r="M588" s="66"/>
      <c r="N588" s="66"/>
      <c r="O588" s="66"/>
      <c r="P588" s="66"/>
      <c r="Q588" s="66"/>
      <c r="R588" s="66"/>
      <c r="S588" s="66"/>
      <c r="T588" s="66"/>
      <c r="U588" s="66"/>
      <c r="V588" s="66"/>
      <c r="W588" s="66"/>
      <c r="X588" s="66"/>
      <c r="Y588" s="66"/>
      <c r="Z588" s="66"/>
      <c r="AA588" s="66"/>
    </row>
    <row r="589" spans="1:27" ht="21" x14ac:dyDescent="0.65">
      <c r="A589" s="66"/>
      <c r="B589" s="66"/>
      <c r="C589" s="66"/>
      <c r="D589" s="66"/>
      <c r="E589" s="66"/>
      <c r="F589" s="66"/>
      <c r="G589" s="66"/>
      <c r="H589" s="66"/>
      <c r="I589" s="66"/>
      <c r="J589" s="66"/>
      <c r="K589" s="66"/>
      <c r="L589" s="66"/>
      <c r="M589" s="66"/>
      <c r="N589" s="66"/>
      <c r="O589" s="66"/>
      <c r="P589" s="66"/>
      <c r="Q589" s="66"/>
      <c r="R589" s="66"/>
      <c r="S589" s="66"/>
      <c r="T589" s="66"/>
      <c r="U589" s="66"/>
      <c r="V589" s="66"/>
      <c r="W589" s="66"/>
      <c r="X589" s="66"/>
      <c r="Y589" s="66"/>
      <c r="Z589" s="66"/>
      <c r="AA589" s="66"/>
    </row>
    <row r="590" spans="1:27" ht="21" x14ac:dyDescent="0.65">
      <c r="A590" s="66"/>
      <c r="B590" s="66"/>
      <c r="C590" s="66"/>
      <c r="D590" s="66"/>
      <c r="E590" s="66"/>
      <c r="F590" s="66"/>
      <c r="G590" s="66"/>
      <c r="H590" s="66"/>
      <c r="I590" s="66"/>
      <c r="J590" s="66"/>
      <c r="K590" s="66"/>
      <c r="L590" s="66"/>
      <c r="M590" s="66"/>
      <c r="N590" s="66"/>
      <c r="O590" s="66"/>
      <c r="P590" s="66"/>
      <c r="Q590" s="66"/>
      <c r="R590" s="66"/>
      <c r="S590" s="66"/>
      <c r="T590" s="66"/>
      <c r="U590" s="66"/>
      <c r="V590" s="66"/>
      <c r="W590" s="66"/>
      <c r="X590" s="66"/>
      <c r="Y590" s="66"/>
      <c r="Z590" s="66"/>
      <c r="AA590" s="66"/>
    </row>
    <row r="591" spans="1:27" ht="21" x14ac:dyDescent="0.65">
      <c r="A591" s="66"/>
      <c r="B591" s="66"/>
      <c r="C591" s="66"/>
      <c r="D591" s="66"/>
      <c r="E591" s="66"/>
      <c r="F591" s="66"/>
      <c r="G591" s="66"/>
      <c r="H591" s="66"/>
      <c r="I591" s="66"/>
      <c r="J591" s="66"/>
      <c r="K591" s="66"/>
      <c r="L591" s="66"/>
      <c r="M591" s="66"/>
      <c r="N591" s="66"/>
      <c r="O591" s="66"/>
      <c r="P591" s="66"/>
      <c r="Q591" s="66"/>
      <c r="R591" s="66"/>
      <c r="S591" s="66"/>
      <c r="T591" s="66"/>
      <c r="U591" s="66"/>
      <c r="V591" s="66"/>
      <c r="W591" s="66"/>
      <c r="X591" s="66"/>
      <c r="Y591" s="66"/>
      <c r="Z591" s="66"/>
      <c r="AA591" s="66"/>
    </row>
    <row r="592" spans="1:27" ht="21" x14ac:dyDescent="0.65">
      <c r="A592" s="66"/>
      <c r="B592" s="66"/>
      <c r="C592" s="66"/>
      <c r="D592" s="66"/>
      <c r="E592" s="66"/>
      <c r="F592" s="66"/>
      <c r="G592" s="66"/>
      <c r="H592" s="66"/>
      <c r="I592" s="66"/>
      <c r="J592" s="66"/>
      <c r="K592" s="66"/>
      <c r="L592" s="66"/>
      <c r="M592" s="66"/>
      <c r="N592" s="66"/>
      <c r="O592" s="66"/>
      <c r="P592" s="66"/>
      <c r="Q592" s="66"/>
      <c r="R592" s="66"/>
      <c r="S592" s="66"/>
      <c r="T592" s="66"/>
      <c r="U592" s="66"/>
      <c r="V592" s="66"/>
      <c r="W592" s="66"/>
      <c r="X592" s="66"/>
      <c r="Y592" s="66"/>
      <c r="Z592" s="66"/>
      <c r="AA592" s="66"/>
    </row>
    <row r="593" spans="1:27" ht="21" x14ac:dyDescent="0.65">
      <c r="A593" s="66"/>
      <c r="B593" s="66"/>
      <c r="C593" s="66"/>
      <c r="D593" s="66"/>
      <c r="E593" s="66"/>
      <c r="F593" s="66"/>
      <c r="G593" s="66"/>
      <c r="H593" s="66"/>
      <c r="I593" s="66"/>
      <c r="J593" s="66"/>
      <c r="K593" s="66"/>
      <c r="L593" s="66"/>
      <c r="M593" s="66"/>
      <c r="N593" s="66"/>
      <c r="O593" s="66"/>
      <c r="P593" s="66"/>
      <c r="Q593" s="66"/>
      <c r="R593" s="66"/>
      <c r="S593" s="66"/>
      <c r="T593" s="66"/>
      <c r="U593" s="66"/>
      <c r="V593" s="66"/>
      <c r="W593" s="66"/>
      <c r="X593" s="66"/>
      <c r="Y593" s="66"/>
      <c r="Z593" s="66"/>
      <c r="AA593" s="66"/>
    </row>
    <row r="594" spans="1:27" ht="21" x14ac:dyDescent="0.65">
      <c r="A594" s="66"/>
      <c r="B594" s="66"/>
      <c r="C594" s="66"/>
      <c r="D594" s="66"/>
      <c r="E594" s="66"/>
      <c r="F594" s="66"/>
      <c r="G594" s="66"/>
      <c r="H594" s="66"/>
      <c r="I594" s="66"/>
      <c r="J594" s="66"/>
      <c r="K594" s="66"/>
      <c r="L594" s="66"/>
      <c r="M594" s="66"/>
      <c r="N594" s="66"/>
      <c r="O594" s="66"/>
      <c r="P594" s="66"/>
      <c r="Q594" s="66"/>
      <c r="R594" s="66"/>
      <c r="S594" s="66"/>
      <c r="T594" s="66"/>
      <c r="U594" s="66"/>
      <c r="V594" s="66"/>
      <c r="W594" s="66"/>
      <c r="X594" s="66"/>
      <c r="Y594" s="66"/>
      <c r="Z594" s="66"/>
      <c r="AA594" s="66"/>
    </row>
    <row r="595" spans="1:27" ht="21" x14ac:dyDescent="0.65">
      <c r="A595" s="66"/>
      <c r="B595" s="66"/>
      <c r="C595" s="66"/>
      <c r="D595" s="66"/>
      <c r="E595" s="66"/>
      <c r="F595" s="66"/>
      <c r="G595" s="66"/>
      <c r="H595" s="66"/>
      <c r="I595" s="66"/>
      <c r="J595" s="66"/>
      <c r="K595" s="66"/>
      <c r="L595" s="66"/>
      <c r="M595" s="66"/>
      <c r="N595" s="66"/>
      <c r="O595" s="66"/>
      <c r="P595" s="66"/>
      <c r="Q595" s="66"/>
      <c r="R595" s="66"/>
      <c r="S595" s="66"/>
      <c r="T595" s="66"/>
      <c r="U595" s="66"/>
      <c r="V595" s="66"/>
      <c r="W595" s="66"/>
      <c r="X595" s="66"/>
      <c r="Y595" s="66"/>
      <c r="Z595" s="66"/>
      <c r="AA595" s="66"/>
    </row>
    <row r="596" spans="1:27" ht="21" x14ac:dyDescent="0.65">
      <c r="A596" s="66"/>
      <c r="B596" s="66"/>
      <c r="C596" s="66"/>
      <c r="D596" s="66"/>
      <c r="E596" s="66"/>
      <c r="F596" s="66"/>
      <c r="G596" s="66"/>
      <c r="H596" s="66"/>
      <c r="I596" s="66"/>
      <c r="J596" s="66"/>
      <c r="K596" s="66"/>
      <c r="L596" s="66"/>
      <c r="M596" s="66"/>
      <c r="N596" s="66"/>
      <c r="O596" s="66"/>
      <c r="P596" s="66"/>
      <c r="Q596" s="66"/>
      <c r="R596" s="66"/>
      <c r="S596" s="66"/>
      <c r="T596" s="66"/>
      <c r="U596" s="66"/>
      <c r="V596" s="66"/>
      <c r="W596" s="66"/>
      <c r="X596" s="66"/>
      <c r="Y596" s="66"/>
      <c r="Z596" s="66"/>
      <c r="AA596" s="66"/>
    </row>
    <row r="597" spans="1:27" ht="21" x14ac:dyDescent="0.65">
      <c r="A597" s="66"/>
      <c r="B597" s="66"/>
      <c r="C597" s="66"/>
      <c r="D597" s="66"/>
      <c r="E597" s="66"/>
      <c r="F597" s="66"/>
      <c r="G597" s="66"/>
      <c r="H597" s="66"/>
      <c r="I597" s="66"/>
      <c r="J597" s="66"/>
      <c r="K597" s="66"/>
      <c r="L597" s="66"/>
      <c r="M597" s="66"/>
      <c r="N597" s="66"/>
      <c r="O597" s="66"/>
      <c r="P597" s="66"/>
      <c r="Q597" s="66"/>
      <c r="R597" s="66"/>
      <c r="S597" s="66"/>
      <c r="T597" s="66"/>
      <c r="U597" s="66"/>
      <c r="V597" s="66"/>
      <c r="W597" s="66"/>
      <c r="X597" s="66"/>
      <c r="Y597" s="66"/>
      <c r="Z597" s="66"/>
      <c r="AA597" s="66"/>
    </row>
    <row r="598" spans="1:27" ht="21" x14ac:dyDescent="0.65">
      <c r="A598" s="66"/>
      <c r="B598" s="66"/>
      <c r="C598" s="66"/>
      <c r="D598" s="66"/>
      <c r="E598" s="66"/>
      <c r="F598" s="66"/>
      <c r="G598" s="66"/>
      <c r="H598" s="66"/>
      <c r="I598" s="66"/>
      <c r="J598" s="66"/>
      <c r="K598" s="66"/>
      <c r="L598" s="66"/>
      <c r="M598" s="66"/>
      <c r="N598" s="66"/>
      <c r="O598" s="66"/>
      <c r="P598" s="66"/>
      <c r="Q598" s="66"/>
      <c r="R598" s="66"/>
      <c r="S598" s="66"/>
      <c r="T598" s="66"/>
      <c r="U598" s="66"/>
      <c r="V598" s="66"/>
      <c r="W598" s="66"/>
      <c r="X598" s="66"/>
      <c r="Y598" s="66"/>
      <c r="Z598" s="66"/>
      <c r="AA598" s="66"/>
    </row>
    <row r="599" spans="1:27" ht="21" x14ac:dyDescent="0.65">
      <c r="A599" s="66"/>
      <c r="B599" s="66"/>
      <c r="C599" s="66"/>
      <c r="D599" s="66"/>
      <c r="E599" s="66"/>
      <c r="F599" s="66"/>
      <c r="G599" s="66"/>
      <c r="H599" s="66"/>
      <c r="I599" s="66"/>
      <c r="J599" s="66"/>
      <c r="K599" s="66"/>
      <c r="L599" s="66"/>
      <c r="M599" s="66"/>
      <c r="N599" s="66"/>
      <c r="O599" s="66"/>
      <c r="P599" s="66"/>
      <c r="Q599" s="66"/>
      <c r="R599" s="66"/>
      <c r="S599" s="66"/>
      <c r="T599" s="66"/>
      <c r="U599" s="66"/>
      <c r="V599" s="66"/>
      <c r="W599" s="66"/>
      <c r="X599" s="66"/>
      <c r="Y599" s="66"/>
      <c r="Z599" s="66"/>
      <c r="AA599" s="66"/>
    </row>
    <row r="600" spans="1:27" ht="21" x14ac:dyDescent="0.65">
      <c r="A600" s="66"/>
      <c r="B600" s="66"/>
      <c r="C600" s="66"/>
      <c r="D600" s="66"/>
      <c r="E600" s="66"/>
      <c r="F600" s="66"/>
      <c r="G600" s="66"/>
      <c r="H600" s="66"/>
      <c r="I600" s="66"/>
      <c r="J600" s="66"/>
      <c r="K600" s="66"/>
      <c r="L600" s="66"/>
      <c r="M600" s="66"/>
      <c r="N600" s="66"/>
      <c r="O600" s="66"/>
      <c r="P600" s="66"/>
      <c r="Q600" s="66"/>
      <c r="R600" s="66"/>
      <c r="S600" s="66"/>
      <c r="T600" s="66"/>
      <c r="U600" s="66"/>
      <c r="V600" s="66"/>
      <c r="W600" s="66"/>
      <c r="X600" s="66"/>
      <c r="Y600" s="66"/>
      <c r="Z600" s="66"/>
      <c r="AA600" s="66"/>
    </row>
    <row r="601" spans="1:27" ht="21" x14ac:dyDescent="0.65">
      <c r="A601" s="66"/>
      <c r="B601" s="66"/>
      <c r="C601" s="66"/>
      <c r="D601" s="66"/>
      <c r="E601" s="66"/>
      <c r="F601" s="66"/>
      <c r="G601" s="66"/>
      <c r="H601" s="66"/>
      <c r="I601" s="66"/>
      <c r="J601" s="66"/>
      <c r="K601" s="66"/>
      <c r="L601" s="66"/>
      <c r="M601" s="66"/>
      <c r="N601" s="66"/>
      <c r="O601" s="66"/>
      <c r="P601" s="66"/>
      <c r="Q601" s="66"/>
      <c r="R601" s="66"/>
      <c r="S601" s="66"/>
      <c r="T601" s="66"/>
      <c r="U601" s="66"/>
      <c r="V601" s="66"/>
      <c r="W601" s="66"/>
      <c r="X601" s="66"/>
      <c r="Y601" s="66"/>
      <c r="Z601" s="66"/>
      <c r="AA601" s="66"/>
    </row>
    <row r="602" spans="1:27" ht="21" x14ac:dyDescent="0.65">
      <c r="A602" s="66"/>
      <c r="B602" s="66"/>
      <c r="C602" s="66"/>
      <c r="D602" s="66"/>
      <c r="E602" s="66"/>
      <c r="F602" s="66"/>
      <c r="G602" s="66"/>
      <c r="H602" s="66"/>
      <c r="I602" s="66"/>
      <c r="J602" s="66"/>
      <c r="K602" s="66"/>
      <c r="L602" s="66"/>
      <c r="M602" s="66"/>
      <c r="N602" s="66"/>
      <c r="O602" s="66"/>
      <c r="P602" s="66"/>
      <c r="Q602" s="66"/>
      <c r="R602" s="66"/>
      <c r="S602" s="66"/>
      <c r="T602" s="66"/>
      <c r="U602" s="66"/>
      <c r="V602" s="66"/>
      <c r="W602" s="66"/>
      <c r="X602" s="66"/>
      <c r="Y602" s="66"/>
      <c r="Z602" s="66"/>
      <c r="AA602" s="66"/>
    </row>
    <row r="603" spans="1:27" ht="21" x14ac:dyDescent="0.65">
      <c r="A603" s="66"/>
      <c r="B603" s="66"/>
      <c r="C603" s="66"/>
      <c r="D603" s="66"/>
      <c r="E603" s="66"/>
      <c r="F603" s="66"/>
      <c r="G603" s="66"/>
      <c r="H603" s="66"/>
      <c r="I603" s="66"/>
      <c r="J603" s="66"/>
      <c r="K603" s="66"/>
      <c r="L603" s="66"/>
      <c r="M603" s="66"/>
      <c r="N603" s="66"/>
      <c r="O603" s="66"/>
      <c r="P603" s="66"/>
      <c r="Q603" s="66"/>
      <c r="R603" s="66"/>
      <c r="S603" s="66"/>
      <c r="T603" s="66"/>
      <c r="U603" s="66"/>
      <c r="V603" s="66"/>
      <c r="W603" s="66"/>
      <c r="X603" s="66"/>
      <c r="Y603" s="66"/>
      <c r="Z603" s="66"/>
      <c r="AA603" s="66"/>
    </row>
    <row r="604" spans="1:27" ht="21" x14ac:dyDescent="0.65">
      <c r="A604" s="66"/>
      <c r="B604" s="66"/>
      <c r="C604" s="66"/>
      <c r="D604" s="66"/>
      <c r="E604" s="66"/>
      <c r="F604" s="66"/>
      <c r="G604" s="66"/>
      <c r="H604" s="66"/>
      <c r="I604" s="66"/>
      <c r="J604" s="66"/>
      <c r="K604" s="66"/>
      <c r="L604" s="66"/>
      <c r="M604" s="66"/>
      <c r="N604" s="66"/>
      <c r="O604" s="66"/>
      <c r="P604" s="66"/>
      <c r="Q604" s="66"/>
      <c r="R604" s="66"/>
      <c r="S604" s="66"/>
      <c r="T604" s="66"/>
      <c r="U604" s="66"/>
      <c r="V604" s="66"/>
      <c r="W604" s="66"/>
      <c r="X604" s="66"/>
      <c r="Y604" s="66"/>
      <c r="Z604" s="66"/>
      <c r="AA604" s="66"/>
    </row>
    <row r="605" spans="1:27" ht="21" x14ac:dyDescent="0.65">
      <c r="A605" s="66"/>
      <c r="B605" s="66"/>
      <c r="C605" s="66"/>
      <c r="D605" s="66"/>
      <c r="E605" s="66"/>
      <c r="F605" s="66"/>
      <c r="G605" s="66"/>
      <c r="H605" s="66"/>
      <c r="I605" s="66"/>
      <c r="J605" s="66"/>
      <c r="K605" s="66"/>
      <c r="L605" s="66"/>
      <c r="M605" s="66"/>
      <c r="N605" s="66"/>
      <c r="O605" s="66"/>
      <c r="P605" s="66"/>
      <c r="Q605" s="66"/>
      <c r="R605" s="66"/>
      <c r="S605" s="66"/>
      <c r="T605" s="66"/>
      <c r="U605" s="66"/>
      <c r="V605" s="66"/>
      <c r="W605" s="66"/>
      <c r="X605" s="66"/>
      <c r="Y605" s="66"/>
      <c r="Z605" s="66"/>
      <c r="AA605" s="66"/>
    </row>
    <row r="606" spans="1:27" ht="21" x14ac:dyDescent="0.65">
      <c r="A606" s="66"/>
      <c r="B606" s="66"/>
      <c r="C606" s="66"/>
      <c r="D606" s="66"/>
      <c r="E606" s="66"/>
      <c r="F606" s="66"/>
      <c r="G606" s="66"/>
      <c r="H606" s="66"/>
      <c r="I606" s="66"/>
      <c r="J606" s="66"/>
      <c r="K606" s="66"/>
      <c r="L606" s="66"/>
      <c r="M606" s="66"/>
      <c r="N606" s="66"/>
      <c r="O606" s="66"/>
      <c r="P606" s="66"/>
      <c r="Q606" s="66"/>
      <c r="R606" s="66"/>
      <c r="S606" s="66"/>
      <c r="T606" s="66"/>
      <c r="U606" s="66"/>
      <c r="V606" s="66"/>
      <c r="W606" s="66"/>
      <c r="X606" s="66"/>
      <c r="Y606" s="66"/>
      <c r="Z606" s="66"/>
      <c r="AA606" s="66"/>
    </row>
    <row r="607" spans="1:27" ht="21" x14ac:dyDescent="0.65">
      <c r="A607" s="66"/>
      <c r="B607" s="66"/>
      <c r="C607" s="66"/>
      <c r="D607" s="66"/>
      <c r="E607" s="66"/>
      <c r="F607" s="66"/>
      <c r="G607" s="66"/>
      <c r="H607" s="66"/>
      <c r="I607" s="66"/>
      <c r="J607" s="66"/>
      <c r="K607" s="66"/>
      <c r="L607" s="66"/>
      <c r="M607" s="66"/>
      <c r="N607" s="66"/>
      <c r="O607" s="66"/>
      <c r="P607" s="66"/>
      <c r="Q607" s="66"/>
      <c r="R607" s="66"/>
      <c r="S607" s="66"/>
      <c r="T607" s="66"/>
      <c r="U607" s="66"/>
      <c r="V607" s="66"/>
      <c r="W607" s="66"/>
      <c r="X607" s="66"/>
      <c r="Y607" s="66"/>
      <c r="Z607" s="66"/>
      <c r="AA607" s="66"/>
    </row>
    <row r="608" spans="1:27" ht="21" x14ac:dyDescent="0.65">
      <c r="A608" s="66"/>
      <c r="B608" s="66"/>
      <c r="C608" s="66"/>
      <c r="D608" s="66"/>
      <c r="E608" s="66"/>
      <c r="F608" s="66"/>
      <c r="G608" s="66"/>
      <c r="H608" s="66"/>
      <c r="I608" s="66"/>
      <c r="J608" s="66"/>
      <c r="K608" s="66"/>
      <c r="L608" s="66"/>
      <c r="M608" s="66"/>
      <c r="N608" s="66"/>
      <c r="O608" s="66"/>
      <c r="P608" s="66"/>
      <c r="Q608" s="66"/>
      <c r="R608" s="66"/>
      <c r="S608" s="66"/>
      <c r="T608" s="66"/>
      <c r="U608" s="66"/>
      <c r="V608" s="66"/>
      <c r="W608" s="66"/>
      <c r="X608" s="66"/>
      <c r="Y608" s="66"/>
      <c r="Z608" s="66"/>
      <c r="AA608" s="66"/>
    </row>
    <row r="609" spans="1:27" ht="21" x14ac:dyDescent="0.65">
      <c r="A609" s="66"/>
      <c r="B609" s="66"/>
      <c r="C609" s="66"/>
      <c r="D609" s="66"/>
      <c r="E609" s="66"/>
      <c r="F609" s="66"/>
      <c r="G609" s="66"/>
      <c r="H609" s="66"/>
      <c r="I609" s="66"/>
      <c r="J609" s="66"/>
      <c r="K609" s="66"/>
      <c r="L609" s="66"/>
      <c r="M609" s="66"/>
      <c r="N609" s="66"/>
      <c r="O609" s="66"/>
      <c r="P609" s="66"/>
      <c r="Q609" s="66"/>
      <c r="R609" s="66"/>
      <c r="S609" s="66"/>
      <c r="T609" s="66"/>
      <c r="U609" s="66"/>
      <c r="V609" s="66"/>
      <c r="W609" s="66"/>
      <c r="X609" s="66"/>
      <c r="Y609" s="66"/>
      <c r="Z609" s="66"/>
      <c r="AA609" s="66"/>
    </row>
    <row r="610" spans="1:27" ht="21" x14ac:dyDescent="0.65">
      <c r="A610" s="66"/>
      <c r="B610" s="66"/>
      <c r="C610" s="66"/>
      <c r="D610" s="66"/>
      <c r="E610" s="66"/>
      <c r="F610" s="66"/>
      <c r="G610" s="66"/>
      <c r="H610" s="66"/>
      <c r="I610" s="66"/>
      <c r="J610" s="66"/>
      <c r="K610" s="66"/>
      <c r="L610" s="66"/>
      <c r="M610" s="66"/>
      <c r="N610" s="66"/>
      <c r="O610" s="66"/>
      <c r="P610" s="66"/>
      <c r="Q610" s="66"/>
      <c r="R610" s="66"/>
      <c r="S610" s="66"/>
      <c r="T610" s="66"/>
      <c r="U610" s="66"/>
      <c r="V610" s="66"/>
      <c r="W610" s="66"/>
      <c r="X610" s="66"/>
      <c r="Y610" s="66"/>
      <c r="Z610" s="66"/>
      <c r="AA610" s="66"/>
    </row>
    <row r="611" spans="1:27" ht="21" x14ac:dyDescent="0.65">
      <c r="A611" s="66"/>
      <c r="B611" s="66"/>
      <c r="C611" s="66"/>
      <c r="D611" s="66"/>
      <c r="E611" s="66"/>
      <c r="F611" s="66"/>
      <c r="G611" s="66"/>
      <c r="H611" s="66"/>
      <c r="I611" s="66"/>
      <c r="J611" s="66"/>
      <c r="K611" s="66"/>
      <c r="L611" s="66"/>
      <c r="M611" s="66"/>
      <c r="N611" s="66"/>
      <c r="O611" s="66"/>
      <c r="P611" s="66"/>
      <c r="Q611" s="66"/>
      <c r="R611" s="66"/>
      <c r="S611" s="66"/>
      <c r="T611" s="66"/>
      <c r="U611" s="66"/>
      <c r="V611" s="66"/>
      <c r="W611" s="66"/>
      <c r="X611" s="66"/>
      <c r="Y611" s="66"/>
      <c r="Z611" s="66"/>
      <c r="AA611" s="66"/>
    </row>
    <row r="612" spans="1:27" ht="21" x14ac:dyDescent="0.65">
      <c r="A612" s="66"/>
      <c r="B612" s="66"/>
      <c r="C612" s="66"/>
      <c r="D612" s="66"/>
      <c r="E612" s="66"/>
      <c r="F612" s="66"/>
      <c r="G612" s="66"/>
      <c r="H612" s="66"/>
      <c r="I612" s="66"/>
      <c r="J612" s="66"/>
      <c r="K612" s="66"/>
      <c r="L612" s="66"/>
      <c r="M612" s="66"/>
      <c r="N612" s="66"/>
      <c r="O612" s="66"/>
      <c r="P612" s="66"/>
      <c r="Q612" s="66"/>
      <c r="R612" s="66"/>
      <c r="S612" s="66"/>
      <c r="T612" s="66"/>
      <c r="U612" s="66"/>
      <c r="V612" s="66"/>
      <c r="W612" s="66"/>
      <c r="X612" s="66"/>
      <c r="Y612" s="66"/>
      <c r="Z612" s="66"/>
      <c r="AA612" s="66"/>
    </row>
    <row r="613" spans="1:27" ht="21" x14ac:dyDescent="0.65">
      <c r="A613" s="66"/>
      <c r="B613" s="66"/>
      <c r="C613" s="66"/>
      <c r="D613" s="66"/>
      <c r="E613" s="66"/>
      <c r="F613" s="66"/>
      <c r="G613" s="66"/>
      <c r="H613" s="66"/>
      <c r="I613" s="66"/>
      <c r="J613" s="66"/>
      <c r="K613" s="66"/>
      <c r="L613" s="66"/>
      <c r="M613" s="66"/>
      <c r="N613" s="66"/>
      <c r="O613" s="66"/>
      <c r="P613" s="66"/>
      <c r="Q613" s="66"/>
      <c r="R613" s="66"/>
      <c r="S613" s="66"/>
      <c r="T613" s="66"/>
      <c r="U613" s="66"/>
      <c r="V613" s="66"/>
      <c r="W613" s="66"/>
      <c r="X613" s="66"/>
      <c r="Y613" s="66"/>
      <c r="Z613" s="66"/>
      <c r="AA613" s="66"/>
    </row>
    <row r="614" spans="1:27" ht="21" x14ac:dyDescent="0.65">
      <c r="A614" s="66"/>
      <c r="B614" s="66"/>
      <c r="C614" s="66"/>
      <c r="D614" s="66"/>
      <c r="E614" s="66"/>
      <c r="F614" s="66"/>
      <c r="G614" s="66"/>
      <c r="H614" s="66"/>
      <c r="I614" s="66"/>
      <c r="J614" s="66"/>
      <c r="K614" s="66"/>
      <c r="L614" s="66"/>
      <c r="M614" s="66"/>
      <c r="N614" s="66"/>
      <c r="O614" s="66"/>
      <c r="P614" s="66"/>
      <c r="Q614" s="66"/>
      <c r="R614" s="66"/>
      <c r="S614" s="66"/>
      <c r="T614" s="66"/>
      <c r="U614" s="66"/>
      <c r="V614" s="66"/>
      <c r="W614" s="66"/>
      <c r="X614" s="66"/>
      <c r="Y614" s="66"/>
      <c r="Z614" s="66"/>
      <c r="AA614" s="66"/>
    </row>
    <row r="615" spans="1:27" ht="21" x14ac:dyDescent="0.65">
      <c r="A615" s="66"/>
      <c r="B615" s="66"/>
      <c r="C615" s="66"/>
      <c r="D615" s="66"/>
      <c r="E615" s="66"/>
      <c r="F615" s="66"/>
      <c r="G615" s="66"/>
      <c r="H615" s="66"/>
      <c r="I615" s="66"/>
      <c r="J615" s="66"/>
      <c r="K615" s="66"/>
      <c r="L615" s="66"/>
      <c r="M615" s="66"/>
      <c r="N615" s="66"/>
      <c r="O615" s="66"/>
      <c r="P615" s="66"/>
      <c r="Q615" s="66"/>
      <c r="R615" s="66"/>
      <c r="S615" s="66"/>
      <c r="T615" s="66"/>
      <c r="U615" s="66"/>
      <c r="V615" s="66"/>
      <c r="W615" s="66"/>
      <c r="X615" s="66"/>
      <c r="Y615" s="66"/>
      <c r="Z615" s="66"/>
      <c r="AA615" s="66"/>
    </row>
    <row r="616" spans="1:27" ht="21" x14ac:dyDescent="0.65">
      <c r="A616" s="66"/>
      <c r="B616" s="66"/>
      <c r="C616" s="66"/>
      <c r="D616" s="66"/>
      <c r="E616" s="66"/>
      <c r="F616" s="66"/>
      <c r="G616" s="66"/>
      <c r="H616" s="66"/>
      <c r="I616" s="66"/>
      <c r="J616" s="66"/>
      <c r="K616" s="66"/>
      <c r="L616" s="66"/>
      <c r="M616" s="66"/>
      <c r="N616" s="66"/>
      <c r="O616" s="66"/>
      <c r="P616" s="66"/>
      <c r="Q616" s="66"/>
      <c r="R616" s="66"/>
      <c r="S616" s="66"/>
      <c r="T616" s="66"/>
      <c r="U616" s="66"/>
      <c r="V616" s="66"/>
      <c r="W616" s="66"/>
      <c r="X616" s="66"/>
      <c r="Y616" s="66"/>
      <c r="Z616" s="66"/>
      <c r="AA616" s="66"/>
    </row>
    <row r="617" spans="1:27" ht="21" x14ac:dyDescent="0.65">
      <c r="A617" s="66"/>
      <c r="B617" s="66"/>
      <c r="C617" s="66"/>
      <c r="D617" s="66"/>
      <c r="E617" s="66"/>
      <c r="F617" s="66"/>
      <c r="G617" s="66"/>
      <c r="H617" s="66"/>
      <c r="I617" s="66"/>
      <c r="J617" s="66"/>
      <c r="K617" s="66"/>
      <c r="L617" s="66"/>
      <c r="M617" s="66"/>
      <c r="N617" s="66"/>
      <c r="O617" s="66"/>
      <c r="P617" s="66"/>
      <c r="Q617" s="66"/>
      <c r="R617" s="66"/>
      <c r="S617" s="66"/>
      <c r="T617" s="66"/>
      <c r="U617" s="66"/>
      <c r="V617" s="66"/>
      <c r="W617" s="66"/>
      <c r="X617" s="66"/>
      <c r="Y617" s="66"/>
      <c r="Z617" s="66"/>
      <c r="AA617" s="66"/>
    </row>
    <row r="618" spans="1:27" ht="21" x14ac:dyDescent="0.65">
      <c r="A618" s="66"/>
      <c r="B618" s="66"/>
      <c r="C618" s="66"/>
      <c r="D618" s="66"/>
      <c r="E618" s="66"/>
      <c r="F618" s="66"/>
      <c r="G618" s="66"/>
      <c r="H618" s="66"/>
      <c r="I618" s="66"/>
      <c r="J618" s="66"/>
      <c r="K618" s="66"/>
      <c r="L618" s="66"/>
      <c r="M618" s="66"/>
      <c r="N618" s="66"/>
      <c r="O618" s="66"/>
      <c r="P618" s="66"/>
      <c r="Q618" s="66"/>
      <c r="R618" s="66"/>
      <c r="S618" s="66"/>
      <c r="T618" s="66"/>
      <c r="U618" s="66"/>
      <c r="V618" s="66"/>
      <c r="W618" s="66"/>
      <c r="X618" s="66"/>
      <c r="Y618" s="66"/>
      <c r="Z618" s="66"/>
      <c r="AA618" s="66"/>
    </row>
    <row r="619" spans="1:27" ht="21" x14ac:dyDescent="0.65">
      <c r="A619" s="66"/>
      <c r="B619" s="66"/>
      <c r="C619" s="66"/>
      <c r="D619" s="66"/>
      <c r="E619" s="66"/>
      <c r="F619" s="66"/>
      <c r="G619" s="66"/>
      <c r="H619" s="66"/>
      <c r="I619" s="66"/>
      <c r="J619" s="66"/>
      <c r="K619" s="66"/>
      <c r="L619" s="66"/>
      <c r="M619" s="66"/>
      <c r="N619" s="66"/>
      <c r="O619" s="66"/>
      <c r="P619" s="66"/>
      <c r="Q619" s="66"/>
      <c r="R619" s="66"/>
      <c r="S619" s="66"/>
      <c r="T619" s="66"/>
      <c r="U619" s="66"/>
      <c r="V619" s="66"/>
      <c r="W619" s="66"/>
      <c r="X619" s="66"/>
      <c r="Y619" s="66"/>
      <c r="Z619" s="66"/>
      <c r="AA619" s="66"/>
    </row>
    <row r="620" spans="1:27" ht="21" x14ac:dyDescent="0.65">
      <c r="A620" s="66"/>
      <c r="B620" s="66"/>
      <c r="C620" s="66"/>
      <c r="D620" s="66"/>
      <c r="E620" s="66"/>
      <c r="F620" s="66"/>
      <c r="G620" s="66"/>
      <c r="H620" s="66"/>
      <c r="I620" s="66"/>
      <c r="J620" s="66"/>
      <c r="K620" s="66"/>
      <c r="L620" s="66"/>
      <c r="M620" s="66"/>
      <c r="N620" s="66"/>
      <c r="O620" s="66"/>
      <c r="P620" s="66"/>
      <c r="Q620" s="66"/>
      <c r="R620" s="66"/>
      <c r="S620" s="66"/>
      <c r="T620" s="66"/>
      <c r="U620" s="66"/>
      <c r="V620" s="66"/>
      <c r="W620" s="66"/>
      <c r="X620" s="66"/>
      <c r="Y620" s="66"/>
      <c r="Z620" s="66"/>
      <c r="AA620" s="66"/>
    </row>
    <row r="621" spans="1:27" ht="21" x14ac:dyDescent="0.65">
      <c r="A621" s="66"/>
      <c r="B621" s="66"/>
      <c r="C621" s="66"/>
      <c r="D621" s="66"/>
      <c r="E621" s="66"/>
      <c r="F621" s="66"/>
      <c r="G621" s="66"/>
      <c r="H621" s="66"/>
      <c r="I621" s="66"/>
      <c r="J621" s="66"/>
      <c r="K621" s="66"/>
      <c r="L621" s="66"/>
      <c r="M621" s="66"/>
      <c r="N621" s="66"/>
      <c r="O621" s="66"/>
      <c r="P621" s="66"/>
      <c r="Q621" s="66"/>
      <c r="R621" s="66"/>
      <c r="S621" s="66"/>
      <c r="T621" s="66"/>
      <c r="U621" s="66"/>
      <c r="V621" s="66"/>
      <c r="W621" s="66"/>
      <c r="X621" s="66"/>
      <c r="Y621" s="66"/>
      <c r="Z621" s="66"/>
      <c r="AA621" s="66"/>
    </row>
    <row r="622" spans="1:27" ht="21" x14ac:dyDescent="0.65">
      <c r="A622" s="66"/>
      <c r="B622" s="66"/>
      <c r="C622" s="66"/>
      <c r="D622" s="66"/>
      <c r="E622" s="66"/>
      <c r="F622" s="66"/>
      <c r="G622" s="66"/>
      <c r="H622" s="66"/>
      <c r="I622" s="66"/>
      <c r="J622" s="66"/>
      <c r="K622" s="66"/>
      <c r="L622" s="66"/>
      <c r="M622" s="66"/>
      <c r="N622" s="66"/>
      <c r="O622" s="66"/>
      <c r="P622" s="66"/>
      <c r="Q622" s="66"/>
      <c r="R622" s="66"/>
      <c r="S622" s="66"/>
      <c r="T622" s="66"/>
      <c r="U622" s="66"/>
      <c r="V622" s="66"/>
      <c r="W622" s="66"/>
      <c r="X622" s="66"/>
      <c r="Y622" s="66"/>
      <c r="Z622" s="66"/>
      <c r="AA622" s="66"/>
    </row>
    <row r="623" spans="1:27" ht="21" x14ac:dyDescent="0.65">
      <c r="A623" s="66"/>
      <c r="B623" s="66"/>
      <c r="C623" s="66"/>
      <c r="D623" s="66"/>
      <c r="E623" s="66"/>
      <c r="F623" s="66"/>
      <c r="G623" s="66"/>
      <c r="H623" s="66"/>
      <c r="I623" s="66"/>
      <c r="J623" s="66"/>
      <c r="K623" s="66"/>
      <c r="L623" s="66"/>
      <c r="M623" s="66"/>
      <c r="N623" s="66"/>
      <c r="O623" s="66"/>
      <c r="P623" s="66"/>
      <c r="Q623" s="66"/>
      <c r="R623" s="66"/>
      <c r="S623" s="66"/>
      <c r="T623" s="66"/>
      <c r="U623" s="66"/>
      <c r="V623" s="66"/>
      <c r="W623" s="66"/>
      <c r="X623" s="66"/>
      <c r="Y623" s="66"/>
      <c r="Z623" s="66"/>
      <c r="AA623" s="66"/>
    </row>
    <row r="624" spans="1:27" ht="21" x14ac:dyDescent="0.65">
      <c r="A624" s="66"/>
      <c r="B624" s="66"/>
      <c r="C624" s="66"/>
      <c r="D624" s="66"/>
      <c r="E624" s="66"/>
      <c r="F624" s="66"/>
      <c r="G624" s="66"/>
      <c r="H624" s="66"/>
      <c r="I624" s="66"/>
      <c r="J624" s="66"/>
      <c r="K624" s="66"/>
      <c r="L624" s="66"/>
      <c r="M624" s="66"/>
      <c r="N624" s="66"/>
      <c r="O624" s="66"/>
      <c r="P624" s="66"/>
      <c r="Q624" s="66"/>
      <c r="R624" s="66"/>
      <c r="S624" s="66"/>
      <c r="T624" s="66"/>
      <c r="U624" s="66"/>
      <c r="V624" s="66"/>
      <c r="W624" s="66"/>
      <c r="X624" s="66"/>
      <c r="Y624" s="66"/>
      <c r="Z624" s="66"/>
      <c r="AA624" s="66"/>
    </row>
    <row r="625" spans="1:27" ht="21" x14ac:dyDescent="0.65">
      <c r="A625" s="66"/>
      <c r="B625" s="66"/>
      <c r="C625" s="66"/>
      <c r="D625" s="66"/>
      <c r="E625" s="66"/>
      <c r="F625" s="66"/>
      <c r="G625" s="66"/>
      <c r="H625" s="66"/>
      <c r="I625" s="66"/>
      <c r="J625" s="66"/>
      <c r="K625" s="66"/>
      <c r="L625" s="66"/>
      <c r="M625" s="66"/>
      <c r="N625" s="66"/>
      <c r="O625" s="66"/>
      <c r="P625" s="66"/>
      <c r="Q625" s="66"/>
      <c r="R625" s="66"/>
      <c r="S625" s="66"/>
      <c r="T625" s="66"/>
      <c r="U625" s="66"/>
      <c r="V625" s="66"/>
      <c r="W625" s="66"/>
      <c r="X625" s="66"/>
      <c r="Y625" s="66"/>
      <c r="Z625" s="66"/>
      <c r="AA625" s="66"/>
    </row>
    <row r="626" spans="1:27" ht="21" x14ac:dyDescent="0.65">
      <c r="A626" s="66"/>
      <c r="B626" s="66"/>
      <c r="C626" s="66"/>
      <c r="D626" s="66"/>
      <c r="E626" s="66"/>
      <c r="F626" s="66"/>
      <c r="G626" s="66"/>
      <c r="H626" s="66"/>
      <c r="I626" s="66"/>
      <c r="J626" s="66"/>
      <c r="K626" s="66"/>
      <c r="L626" s="66"/>
      <c r="M626" s="66"/>
      <c r="N626" s="66"/>
      <c r="O626" s="66"/>
      <c r="P626" s="66"/>
      <c r="Q626" s="66"/>
      <c r="R626" s="66"/>
      <c r="S626" s="66"/>
      <c r="T626" s="66"/>
      <c r="U626" s="66"/>
      <c r="V626" s="66"/>
      <c r="W626" s="66"/>
      <c r="X626" s="66"/>
      <c r="Y626" s="66"/>
      <c r="Z626" s="66"/>
      <c r="AA626" s="66"/>
    </row>
    <row r="627" spans="1:27" ht="21" x14ac:dyDescent="0.65">
      <c r="A627" s="66"/>
      <c r="B627" s="66"/>
      <c r="C627" s="66"/>
      <c r="D627" s="66"/>
      <c r="E627" s="66"/>
      <c r="F627" s="66"/>
      <c r="G627" s="66"/>
      <c r="H627" s="66"/>
      <c r="I627" s="66"/>
      <c r="J627" s="66"/>
      <c r="K627" s="66"/>
      <c r="L627" s="66"/>
      <c r="M627" s="66"/>
      <c r="N627" s="66"/>
      <c r="O627" s="66"/>
      <c r="P627" s="66"/>
      <c r="Q627" s="66"/>
      <c r="R627" s="66"/>
      <c r="S627" s="66"/>
      <c r="T627" s="66"/>
      <c r="U627" s="66"/>
      <c r="V627" s="66"/>
      <c r="W627" s="66"/>
      <c r="X627" s="66"/>
      <c r="Y627" s="66"/>
      <c r="Z627" s="66"/>
      <c r="AA627" s="66"/>
    </row>
    <row r="628" spans="1:27" ht="21" x14ac:dyDescent="0.65">
      <c r="A628" s="66"/>
      <c r="B628" s="66"/>
      <c r="C628" s="66"/>
      <c r="D628" s="66"/>
      <c r="E628" s="66"/>
      <c r="F628" s="66"/>
      <c r="G628" s="66"/>
      <c r="H628" s="66"/>
      <c r="I628" s="66"/>
      <c r="J628" s="66"/>
      <c r="K628" s="66"/>
      <c r="L628" s="66"/>
      <c r="M628" s="66"/>
      <c r="N628" s="66"/>
      <c r="O628" s="66"/>
      <c r="P628" s="66"/>
      <c r="Q628" s="66"/>
      <c r="R628" s="66"/>
      <c r="S628" s="66"/>
      <c r="T628" s="66"/>
      <c r="U628" s="66"/>
      <c r="V628" s="66"/>
      <c r="W628" s="66"/>
      <c r="X628" s="66"/>
      <c r="Y628" s="66"/>
      <c r="Z628" s="66"/>
      <c r="AA628" s="66"/>
    </row>
    <row r="629" spans="1:27" ht="21" x14ac:dyDescent="0.65">
      <c r="A629" s="66"/>
      <c r="B629" s="66"/>
      <c r="C629" s="66"/>
      <c r="D629" s="66"/>
      <c r="E629" s="66"/>
      <c r="F629" s="66"/>
      <c r="G629" s="66"/>
      <c r="H629" s="66"/>
      <c r="I629" s="66"/>
      <c r="J629" s="66"/>
      <c r="K629" s="66"/>
      <c r="L629" s="66"/>
      <c r="M629" s="66"/>
      <c r="N629" s="66"/>
      <c r="O629" s="66"/>
      <c r="P629" s="66"/>
      <c r="Q629" s="66"/>
      <c r="R629" s="66"/>
      <c r="S629" s="66"/>
      <c r="T629" s="66"/>
      <c r="U629" s="66"/>
      <c r="V629" s="66"/>
      <c r="W629" s="66"/>
      <c r="X629" s="66"/>
      <c r="Y629" s="66"/>
      <c r="Z629" s="66"/>
      <c r="AA629" s="66"/>
    </row>
    <row r="630" spans="1:27" ht="21" x14ac:dyDescent="0.65">
      <c r="A630" s="66"/>
      <c r="B630" s="66"/>
      <c r="C630" s="66"/>
      <c r="D630" s="66"/>
      <c r="E630" s="66"/>
      <c r="F630" s="66"/>
      <c r="G630" s="66"/>
      <c r="H630" s="66"/>
      <c r="I630" s="66"/>
      <c r="J630" s="66"/>
      <c r="K630" s="66"/>
      <c r="L630" s="66"/>
      <c r="M630" s="66"/>
      <c r="N630" s="66"/>
      <c r="O630" s="66"/>
      <c r="P630" s="66"/>
      <c r="Q630" s="66"/>
      <c r="R630" s="66"/>
      <c r="S630" s="66"/>
      <c r="T630" s="66"/>
      <c r="U630" s="66"/>
      <c r="V630" s="66"/>
      <c r="W630" s="66"/>
      <c r="X630" s="66"/>
      <c r="Y630" s="66"/>
      <c r="Z630" s="66"/>
      <c r="AA630" s="66"/>
    </row>
    <row r="631" spans="1:27" ht="21" x14ac:dyDescent="0.65">
      <c r="A631" s="66"/>
      <c r="B631" s="66"/>
      <c r="C631" s="66"/>
      <c r="D631" s="66"/>
      <c r="E631" s="66"/>
      <c r="F631" s="66"/>
      <c r="G631" s="66"/>
      <c r="H631" s="66"/>
      <c r="I631" s="66"/>
      <c r="J631" s="66"/>
      <c r="K631" s="66"/>
      <c r="L631" s="66"/>
      <c r="M631" s="66"/>
      <c r="N631" s="66"/>
      <c r="O631" s="66"/>
      <c r="P631" s="66"/>
      <c r="Q631" s="66"/>
      <c r="R631" s="66"/>
      <c r="S631" s="66"/>
      <c r="T631" s="66"/>
      <c r="U631" s="66"/>
      <c r="V631" s="66"/>
      <c r="W631" s="66"/>
      <c r="X631" s="66"/>
      <c r="Y631" s="66"/>
      <c r="Z631" s="66"/>
      <c r="AA631" s="66"/>
    </row>
    <row r="632" spans="1:27" ht="21" x14ac:dyDescent="0.65">
      <c r="A632" s="66"/>
      <c r="B632" s="66"/>
      <c r="C632" s="66"/>
      <c r="D632" s="66"/>
      <c r="E632" s="66"/>
      <c r="F632" s="66"/>
      <c r="G632" s="66"/>
      <c r="H632" s="66"/>
      <c r="I632" s="66"/>
      <c r="J632" s="66"/>
      <c r="K632" s="66"/>
      <c r="L632" s="66"/>
      <c r="M632" s="66"/>
      <c r="N632" s="66"/>
      <c r="O632" s="66"/>
      <c r="P632" s="66"/>
      <c r="Q632" s="66"/>
      <c r="R632" s="66"/>
      <c r="S632" s="66"/>
      <c r="T632" s="66"/>
      <c r="U632" s="66"/>
      <c r="V632" s="66"/>
      <c r="W632" s="66"/>
      <c r="X632" s="66"/>
      <c r="Y632" s="66"/>
      <c r="Z632" s="66"/>
      <c r="AA632" s="66"/>
    </row>
    <row r="633" spans="1:27" ht="21" x14ac:dyDescent="0.65">
      <c r="A633" s="66"/>
      <c r="B633" s="66"/>
      <c r="C633" s="66"/>
      <c r="D633" s="66"/>
      <c r="E633" s="66"/>
      <c r="F633" s="66"/>
      <c r="G633" s="66"/>
      <c r="H633" s="66"/>
      <c r="I633" s="66"/>
      <c r="J633" s="66"/>
      <c r="K633" s="66"/>
      <c r="L633" s="66"/>
      <c r="M633" s="66"/>
      <c r="N633" s="66"/>
      <c r="O633" s="66"/>
      <c r="P633" s="66"/>
      <c r="Q633" s="66"/>
      <c r="R633" s="66"/>
      <c r="S633" s="66"/>
      <c r="T633" s="66"/>
      <c r="U633" s="66"/>
      <c r="V633" s="66"/>
      <c r="W633" s="66"/>
      <c r="X633" s="66"/>
      <c r="Y633" s="66"/>
      <c r="Z633" s="66"/>
      <c r="AA633" s="66"/>
    </row>
    <row r="634" spans="1:27" ht="21" x14ac:dyDescent="0.65">
      <c r="A634" s="66"/>
      <c r="B634" s="66"/>
      <c r="C634" s="66"/>
      <c r="D634" s="66"/>
      <c r="E634" s="66"/>
      <c r="F634" s="66"/>
      <c r="G634" s="66"/>
      <c r="H634" s="66"/>
      <c r="I634" s="66"/>
      <c r="J634" s="66"/>
      <c r="K634" s="66"/>
      <c r="L634" s="66"/>
      <c r="M634" s="66"/>
      <c r="N634" s="66"/>
      <c r="O634" s="66"/>
      <c r="P634" s="66"/>
      <c r="Q634" s="66"/>
      <c r="R634" s="66"/>
      <c r="S634" s="66"/>
      <c r="T634" s="66"/>
      <c r="U634" s="66"/>
      <c r="V634" s="66"/>
      <c r="W634" s="66"/>
      <c r="X634" s="66"/>
      <c r="Y634" s="66"/>
      <c r="Z634" s="66"/>
      <c r="AA634" s="66"/>
    </row>
    <row r="635" spans="1:27" ht="21" x14ac:dyDescent="0.65">
      <c r="A635" s="66"/>
      <c r="B635" s="66"/>
      <c r="C635" s="66"/>
      <c r="D635" s="66"/>
      <c r="E635" s="66"/>
      <c r="F635" s="66"/>
      <c r="G635" s="66"/>
      <c r="H635" s="66"/>
      <c r="I635" s="66"/>
      <c r="J635" s="66"/>
      <c r="K635" s="66"/>
      <c r="L635" s="66"/>
      <c r="M635" s="66"/>
      <c r="N635" s="66"/>
      <c r="O635" s="66"/>
      <c r="P635" s="66"/>
      <c r="Q635" s="66"/>
      <c r="R635" s="66"/>
      <c r="S635" s="66"/>
      <c r="T635" s="66"/>
      <c r="U635" s="66"/>
      <c r="V635" s="66"/>
      <c r="W635" s="66"/>
      <c r="X635" s="66"/>
      <c r="Y635" s="66"/>
      <c r="Z635" s="66"/>
      <c r="AA635" s="66"/>
    </row>
    <row r="636" spans="1:27" ht="21" x14ac:dyDescent="0.65">
      <c r="A636" s="66"/>
      <c r="B636" s="66"/>
      <c r="C636" s="66"/>
      <c r="D636" s="66"/>
      <c r="E636" s="66"/>
      <c r="F636" s="66"/>
      <c r="G636" s="66"/>
      <c r="H636" s="66"/>
      <c r="I636" s="66"/>
      <c r="J636" s="66"/>
      <c r="K636" s="66"/>
      <c r="L636" s="66"/>
      <c r="M636" s="66"/>
      <c r="N636" s="66"/>
      <c r="O636" s="66"/>
      <c r="P636" s="66"/>
      <c r="Q636" s="66"/>
      <c r="R636" s="66"/>
      <c r="S636" s="66"/>
      <c r="T636" s="66"/>
      <c r="U636" s="66"/>
      <c r="V636" s="66"/>
      <c r="W636" s="66"/>
      <c r="X636" s="66"/>
      <c r="Y636" s="66"/>
      <c r="Z636" s="66"/>
      <c r="AA636" s="66"/>
    </row>
    <row r="637" spans="1:27" ht="21" x14ac:dyDescent="0.65">
      <c r="A637" s="66"/>
      <c r="B637" s="66"/>
      <c r="C637" s="66"/>
      <c r="D637" s="66"/>
      <c r="E637" s="66"/>
      <c r="F637" s="66"/>
      <c r="G637" s="66"/>
      <c r="H637" s="66"/>
      <c r="I637" s="66"/>
      <c r="J637" s="66"/>
      <c r="K637" s="66"/>
      <c r="L637" s="66"/>
      <c r="M637" s="66"/>
      <c r="N637" s="66"/>
      <c r="O637" s="66"/>
      <c r="P637" s="66"/>
      <c r="Q637" s="66"/>
      <c r="R637" s="66"/>
      <c r="S637" s="66"/>
      <c r="T637" s="66"/>
      <c r="U637" s="66"/>
      <c r="V637" s="66"/>
      <c r="W637" s="66"/>
      <c r="X637" s="66"/>
      <c r="Y637" s="66"/>
      <c r="Z637" s="66"/>
      <c r="AA637" s="66"/>
    </row>
    <row r="638" spans="1:27" ht="21" x14ac:dyDescent="0.65">
      <c r="A638" s="66"/>
      <c r="B638" s="66"/>
      <c r="C638" s="66"/>
      <c r="D638" s="66"/>
      <c r="E638" s="66"/>
      <c r="F638" s="66"/>
      <c r="G638" s="66"/>
      <c r="H638" s="66"/>
      <c r="I638" s="66"/>
      <c r="J638" s="66"/>
      <c r="K638" s="66"/>
      <c r="L638" s="66"/>
      <c r="M638" s="66"/>
      <c r="N638" s="66"/>
      <c r="O638" s="66"/>
      <c r="P638" s="66"/>
      <c r="Q638" s="66"/>
      <c r="R638" s="66"/>
      <c r="S638" s="66"/>
      <c r="T638" s="66"/>
      <c r="U638" s="66"/>
      <c r="V638" s="66"/>
      <c r="W638" s="66"/>
      <c r="X638" s="66"/>
      <c r="Y638" s="66"/>
      <c r="Z638" s="66"/>
      <c r="AA638" s="66"/>
    </row>
    <row r="639" spans="1:27" ht="21" x14ac:dyDescent="0.65">
      <c r="A639" s="66"/>
      <c r="B639" s="66"/>
      <c r="C639" s="66"/>
      <c r="D639" s="66"/>
      <c r="E639" s="66"/>
      <c r="F639" s="66"/>
      <c r="G639" s="66"/>
      <c r="H639" s="66"/>
      <c r="I639" s="66"/>
      <c r="J639" s="66"/>
      <c r="K639" s="66"/>
      <c r="L639" s="66"/>
      <c r="M639" s="66"/>
      <c r="N639" s="66"/>
      <c r="O639" s="66"/>
      <c r="P639" s="66"/>
      <c r="Q639" s="66"/>
      <c r="R639" s="66"/>
      <c r="S639" s="66"/>
      <c r="T639" s="66"/>
      <c r="U639" s="66"/>
      <c r="V639" s="66"/>
      <c r="W639" s="66"/>
      <c r="X639" s="66"/>
      <c r="Y639" s="66"/>
      <c r="Z639" s="66"/>
      <c r="AA639" s="66"/>
    </row>
    <row r="640" spans="1:27" ht="21" x14ac:dyDescent="0.65">
      <c r="A640" s="66"/>
      <c r="B640" s="66"/>
      <c r="C640" s="66"/>
      <c r="D640" s="66"/>
      <c r="E640" s="66"/>
      <c r="F640" s="66"/>
      <c r="G640" s="66"/>
      <c r="H640" s="66"/>
      <c r="I640" s="66"/>
      <c r="J640" s="66"/>
      <c r="K640" s="66"/>
      <c r="L640" s="66"/>
      <c r="M640" s="66"/>
      <c r="N640" s="66"/>
      <c r="O640" s="66"/>
      <c r="P640" s="66"/>
      <c r="Q640" s="66"/>
      <c r="R640" s="66"/>
      <c r="S640" s="66"/>
      <c r="T640" s="66"/>
      <c r="U640" s="66"/>
      <c r="V640" s="66"/>
      <c r="W640" s="66"/>
      <c r="X640" s="66"/>
      <c r="Y640" s="66"/>
      <c r="Z640" s="66"/>
      <c r="AA640" s="66"/>
    </row>
    <row r="641" spans="1:27" ht="21" x14ac:dyDescent="0.65">
      <c r="A641" s="66"/>
      <c r="B641" s="66"/>
      <c r="C641" s="66"/>
      <c r="D641" s="66"/>
      <c r="E641" s="66"/>
      <c r="F641" s="66"/>
      <c r="G641" s="66"/>
      <c r="H641" s="66"/>
      <c r="I641" s="66"/>
      <c r="J641" s="66"/>
      <c r="K641" s="66"/>
      <c r="L641" s="66"/>
      <c r="M641" s="66"/>
      <c r="N641" s="66"/>
      <c r="O641" s="66"/>
      <c r="P641" s="66"/>
      <c r="Q641" s="66"/>
      <c r="R641" s="66"/>
      <c r="S641" s="66"/>
      <c r="T641" s="66"/>
      <c r="U641" s="66"/>
      <c r="V641" s="66"/>
      <c r="W641" s="66"/>
      <c r="X641" s="66"/>
      <c r="Y641" s="66"/>
      <c r="Z641" s="66"/>
      <c r="AA641" s="66"/>
    </row>
    <row r="642" spans="1:27" ht="21" x14ac:dyDescent="0.65">
      <c r="A642" s="66"/>
      <c r="B642" s="66"/>
      <c r="C642" s="66"/>
      <c r="D642" s="66"/>
      <c r="E642" s="66"/>
      <c r="F642" s="66"/>
      <c r="G642" s="66"/>
      <c r="H642" s="66"/>
      <c r="I642" s="66"/>
      <c r="J642" s="66"/>
      <c r="K642" s="66"/>
      <c r="L642" s="66"/>
      <c r="M642" s="66"/>
      <c r="N642" s="66"/>
      <c r="O642" s="66"/>
      <c r="P642" s="66"/>
      <c r="Q642" s="66"/>
      <c r="R642" s="66"/>
      <c r="S642" s="66"/>
      <c r="T642" s="66"/>
      <c r="U642" s="66"/>
      <c r="V642" s="66"/>
      <c r="W642" s="66"/>
      <c r="X642" s="66"/>
      <c r="Y642" s="66"/>
      <c r="Z642" s="66"/>
      <c r="AA642" s="66"/>
    </row>
    <row r="643" spans="1:27" ht="21" x14ac:dyDescent="0.65">
      <c r="A643" s="66"/>
      <c r="B643" s="66"/>
      <c r="C643" s="66"/>
      <c r="D643" s="66"/>
      <c r="E643" s="66"/>
      <c r="F643" s="66"/>
      <c r="G643" s="66"/>
      <c r="H643" s="66"/>
      <c r="I643" s="66"/>
      <c r="J643" s="66"/>
      <c r="K643" s="66"/>
      <c r="L643" s="66"/>
      <c r="M643" s="66"/>
      <c r="N643" s="66"/>
      <c r="O643" s="66"/>
      <c r="P643" s="66"/>
      <c r="Q643" s="66"/>
      <c r="R643" s="66"/>
      <c r="S643" s="66"/>
      <c r="T643" s="66"/>
      <c r="U643" s="66"/>
      <c r="V643" s="66"/>
      <c r="W643" s="66"/>
      <c r="X643" s="66"/>
      <c r="Y643" s="66"/>
      <c r="Z643" s="66"/>
      <c r="AA643" s="66"/>
    </row>
    <row r="644" spans="1:27" ht="21" x14ac:dyDescent="0.65">
      <c r="A644" s="66"/>
      <c r="B644" s="66"/>
      <c r="C644" s="66"/>
      <c r="D644" s="66"/>
      <c r="E644" s="66"/>
      <c r="F644" s="66"/>
      <c r="G644" s="66"/>
      <c r="H644" s="66"/>
      <c r="I644" s="66"/>
      <c r="J644" s="66"/>
      <c r="K644" s="66"/>
      <c r="L644" s="66"/>
      <c r="M644" s="66"/>
      <c r="N644" s="66"/>
      <c r="O644" s="66"/>
      <c r="P644" s="66"/>
      <c r="Q644" s="66"/>
      <c r="R644" s="66"/>
      <c r="S644" s="66"/>
      <c r="T644" s="66"/>
      <c r="U644" s="66"/>
      <c r="V644" s="66"/>
      <c r="W644" s="66"/>
      <c r="X644" s="66"/>
      <c r="Y644" s="66"/>
      <c r="Z644" s="66"/>
      <c r="AA644" s="66"/>
    </row>
    <row r="645" spans="1:27" ht="21" x14ac:dyDescent="0.65">
      <c r="A645" s="66"/>
      <c r="B645" s="66"/>
      <c r="C645" s="66"/>
      <c r="D645" s="66"/>
      <c r="E645" s="66"/>
      <c r="F645" s="66"/>
      <c r="G645" s="66"/>
      <c r="H645" s="66"/>
      <c r="I645" s="66"/>
      <c r="J645" s="66"/>
      <c r="K645" s="66"/>
      <c r="L645" s="66"/>
      <c r="M645" s="66"/>
      <c r="N645" s="66"/>
      <c r="O645" s="66"/>
      <c r="P645" s="66"/>
      <c r="Q645" s="66"/>
      <c r="R645" s="66"/>
      <c r="S645" s="66"/>
      <c r="T645" s="66"/>
      <c r="U645" s="66"/>
      <c r="V645" s="66"/>
      <c r="W645" s="66"/>
      <c r="X645" s="66"/>
      <c r="Y645" s="66"/>
      <c r="Z645" s="66"/>
      <c r="AA645" s="66"/>
    </row>
    <row r="646" spans="1:27" ht="21" x14ac:dyDescent="0.65">
      <c r="A646" s="66"/>
      <c r="B646" s="66"/>
      <c r="C646" s="66"/>
      <c r="D646" s="66"/>
      <c r="E646" s="66"/>
      <c r="F646" s="66"/>
      <c r="G646" s="66"/>
      <c r="H646" s="66"/>
      <c r="I646" s="66"/>
      <c r="J646" s="66"/>
      <c r="K646" s="66"/>
      <c r="L646" s="66"/>
      <c r="M646" s="66"/>
      <c r="N646" s="66"/>
      <c r="O646" s="66"/>
      <c r="P646" s="66"/>
      <c r="Q646" s="66"/>
      <c r="R646" s="66"/>
      <c r="S646" s="66"/>
      <c r="T646" s="66"/>
      <c r="U646" s="66"/>
      <c r="V646" s="66"/>
      <c r="W646" s="66"/>
      <c r="X646" s="66"/>
      <c r="Y646" s="66"/>
      <c r="Z646" s="66"/>
      <c r="AA646" s="66"/>
    </row>
    <row r="647" spans="1:27" ht="21" x14ac:dyDescent="0.65">
      <c r="A647" s="66"/>
      <c r="B647" s="66"/>
      <c r="C647" s="66"/>
      <c r="D647" s="66"/>
      <c r="E647" s="66"/>
      <c r="F647" s="66"/>
      <c r="G647" s="66"/>
      <c r="H647" s="66"/>
      <c r="I647" s="66"/>
      <c r="J647" s="66"/>
      <c r="K647" s="66"/>
      <c r="L647" s="66"/>
      <c r="M647" s="66"/>
      <c r="N647" s="66"/>
      <c r="O647" s="66"/>
      <c r="P647" s="66"/>
      <c r="Q647" s="66"/>
      <c r="R647" s="66"/>
      <c r="S647" s="66"/>
      <c r="T647" s="66"/>
      <c r="U647" s="66"/>
      <c r="V647" s="66"/>
      <c r="W647" s="66"/>
      <c r="X647" s="66"/>
      <c r="Y647" s="66"/>
      <c r="Z647" s="66"/>
      <c r="AA647" s="66"/>
    </row>
    <row r="648" spans="1:27" ht="21" x14ac:dyDescent="0.65">
      <c r="A648" s="66"/>
      <c r="B648" s="66"/>
      <c r="C648" s="66"/>
      <c r="D648" s="66"/>
      <c r="E648" s="66"/>
      <c r="F648" s="66"/>
      <c r="G648" s="66"/>
      <c r="H648" s="66"/>
      <c r="I648" s="66"/>
      <c r="J648" s="66"/>
      <c r="K648" s="66"/>
      <c r="L648" s="66"/>
      <c r="M648" s="66"/>
      <c r="N648" s="66"/>
      <c r="O648" s="66"/>
      <c r="P648" s="66"/>
      <c r="Q648" s="66"/>
      <c r="R648" s="66"/>
      <c r="S648" s="66"/>
      <c r="T648" s="66"/>
      <c r="U648" s="66"/>
      <c r="V648" s="66"/>
      <c r="W648" s="66"/>
      <c r="X648" s="66"/>
      <c r="Y648" s="66"/>
      <c r="Z648" s="66"/>
      <c r="AA648" s="66"/>
    </row>
    <row r="649" spans="1:27" ht="21" x14ac:dyDescent="0.65">
      <c r="A649" s="66"/>
      <c r="B649" s="66"/>
      <c r="C649" s="66"/>
      <c r="D649" s="66"/>
      <c r="E649" s="66"/>
      <c r="F649" s="66"/>
      <c r="G649" s="66"/>
      <c r="H649" s="66"/>
      <c r="I649" s="66"/>
      <c r="J649" s="66"/>
      <c r="K649" s="66"/>
      <c r="L649" s="66"/>
      <c r="M649" s="66"/>
      <c r="N649" s="66"/>
      <c r="O649" s="66"/>
      <c r="P649" s="66"/>
      <c r="Q649" s="66"/>
      <c r="R649" s="66"/>
      <c r="S649" s="66"/>
      <c r="T649" s="66"/>
      <c r="U649" s="66"/>
      <c r="V649" s="66"/>
      <c r="W649" s="66"/>
      <c r="X649" s="66"/>
      <c r="Y649" s="66"/>
      <c r="Z649" s="66"/>
      <c r="AA649" s="66"/>
    </row>
    <row r="650" spans="1:27" ht="21" x14ac:dyDescent="0.65">
      <c r="A650" s="66"/>
      <c r="B650" s="66"/>
      <c r="C650" s="66"/>
      <c r="D650" s="66"/>
      <c r="E650" s="66"/>
      <c r="F650" s="66"/>
      <c r="G650" s="66"/>
      <c r="H650" s="66"/>
      <c r="I650" s="66"/>
      <c r="J650" s="66"/>
      <c r="K650" s="66"/>
      <c r="L650" s="66"/>
      <c r="M650" s="66"/>
      <c r="N650" s="66"/>
      <c r="O650" s="66"/>
      <c r="P650" s="66"/>
      <c r="Q650" s="66"/>
      <c r="R650" s="66"/>
      <c r="S650" s="66"/>
      <c r="T650" s="66"/>
      <c r="U650" s="66"/>
      <c r="V650" s="66"/>
      <c r="W650" s="66"/>
      <c r="X650" s="66"/>
      <c r="Y650" s="66"/>
      <c r="Z650" s="66"/>
      <c r="AA650" s="66"/>
    </row>
    <row r="651" spans="1:27" ht="21" x14ac:dyDescent="0.65">
      <c r="A651" s="66"/>
      <c r="B651" s="66"/>
      <c r="C651" s="66"/>
      <c r="D651" s="66"/>
      <c r="E651" s="66"/>
      <c r="F651" s="66"/>
      <c r="G651" s="66"/>
      <c r="H651" s="66"/>
      <c r="I651" s="66"/>
      <c r="J651" s="66"/>
      <c r="K651" s="66"/>
      <c r="L651" s="66"/>
      <c r="M651" s="66"/>
      <c r="N651" s="66"/>
      <c r="O651" s="66"/>
      <c r="P651" s="66"/>
      <c r="Q651" s="66"/>
      <c r="R651" s="66"/>
      <c r="S651" s="66"/>
      <c r="T651" s="66"/>
      <c r="U651" s="66"/>
      <c r="V651" s="66"/>
      <c r="W651" s="66"/>
      <c r="X651" s="66"/>
      <c r="Y651" s="66"/>
      <c r="Z651" s="66"/>
      <c r="AA651" s="66"/>
    </row>
    <row r="652" spans="1:27" ht="21" x14ac:dyDescent="0.65">
      <c r="A652" s="66"/>
      <c r="B652" s="66"/>
      <c r="C652" s="66"/>
      <c r="D652" s="66"/>
      <c r="E652" s="66"/>
      <c r="F652" s="66"/>
      <c r="G652" s="66"/>
      <c r="H652" s="66"/>
      <c r="I652" s="66"/>
      <c r="J652" s="66"/>
      <c r="K652" s="66"/>
      <c r="L652" s="66"/>
      <c r="M652" s="66"/>
      <c r="N652" s="66"/>
      <c r="O652" s="66"/>
      <c r="P652" s="66"/>
      <c r="Q652" s="66"/>
      <c r="R652" s="66"/>
      <c r="S652" s="66"/>
      <c r="T652" s="66"/>
      <c r="U652" s="66"/>
      <c r="V652" s="66"/>
      <c r="W652" s="66"/>
      <c r="X652" s="66"/>
      <c r="Y652" s="66"/>
      <c r="Z652" s="66"/>
      <c r="AA652" s="66"/>
    </row>
    <row r="653" spans="1:27" ht="21" x14ac:dyDescent="0.65">
      <c r="A653" s="66"/>
      <c r="B653" s="66"/>
      <c r="C653" s="66"/>
      <c r="D653" s="66"/>
      <c r="E653" s="66"/>
      <c r="F653" s="66"/>
      <c r="G653" s="66"/>
      <c r="H653" s="66"/>
      <c r="I653" s="66"/>
      <c r="J653" s="66"/>
      <c r="K653" s="66"/>
      <c r="L653" s="66"/>
      <c r="M653" s="66"/>
      <c r="N653" s="66"/>
      <c r="O653" s="66"/>
      <c r="P653" s="66"/>
      <c r="Q653" s="66"/>
      <c r="R653" s="66"/>
      <c r="S653" s="66"/>
      <c r="T653" s="66"/>
      <c r="U653" s="66"/>
      <c r="V653" s="66"/>
      <c r="W653" s="66"/>
      <c r="X653" s="66"/>
      <c r="Y653" s="66"/>
      <c r="Z653" s="66"/>
      <c r="AA653" s="66"/>
    </row>
    <row r="654" spans="1:27" ht="21" x14ac:dyDescent="0.65">
      <c r="A654" s="66"/>
      <c r="B654" s="66"/>
      <c r="C654" s="66"/>
      <c r="D654" s="66"/>
      <c r="E654" s="66"/>
      <c r="F654" s="66"/>
      <c r="G654" s="66"/>
      <c r="H654" s="66"/>
      <c r="I654" s="66"/>
      <c r="J654" s="66"/>
      <c r="K654" s="66"/>
      <c r="L654" s="66"/>
      <c r="M654" s="66"/>
      <c r="N654" s="66"/>
      <c r="O654" s="66"/>
      <c r="P654" s="66"/>
      <c r="Q654" s="66"/>
      <c r="R654" s="66"/>
      <c r="S654" s="66"/>
      <c r="T654" s="66"/>
      <c r="U654" s="66"/>
      <c r="V654" s="66"/>
      <c r="W654" s="66"/>
      <c r="X654" s="66"/>
      <c r="Y654" s="66"/>
      <c r="Z654" s="66"/>
      <c r="AA654" s="66"/>
    </row>
    <row r="655" spans="1:27" ht="21" x14ac:dyDescent="0.65">
      <c r="A655" s="66"/>
      <c r="B655" s="66"/>
      <c r="C655" s="66"/>
      <c r="D655" s="66"/>
      <c r="E655" s="66"/>
      <c r="F655" s="66"/>
      <c r="G655" s="66"/>
      <c r="H655" s="66"/>
      <c r="I655" s="66"/>
      <c r="J655" s="66"/>
      <c r="K655" s="66"/>
      <c r="L655" s="66"/>
      <c r="M655" s="66"/>
      <c r="N655" s="66"/>
      <c r="O655" s="66"/>
      <c r="P655" s="66"/>
      <c r="Q655" s="66"/>
      <c r="R655" s="66"/>
      <c r="S655" s="66"/>
      <c r="T655" s="66"/>
      <c r="U655" s="66"/>
      <c r="V655" s="66"/>
      <c r="W655" s="66"/>
      <c r="X655" s="66"/>
      <c r="Y655" s="66"/>
      <c r="Z655" s="66"/>
      <c r="AA655" s="66"/>
    </row>
    <row r="656" spans="1:27" ht="21" x14ac:dyDescent="0.65">
      <c r="A656" s="66"/>
      <c r="B656" s="66"/>
      <c r="C656" s="66"/>
      <c r="D656" s="66"/>
      <c r="E656" s="66"/>
      <c r="F656" s="66"/>
      <c r="G656" s="66"/>
      <c r="H656" s="66"/>
      <c r="I656" s="66"/>
      <c r="J656" s="66"/>
      <c r="K656" s="66"/>
      <c r="L656" s="66"/>
      <c r="M656" s="66"/>
      <c r="N656" s="66"/>
      <c r="O656" s="66"/>
      <c r="P656" s="66"/>
      <c r="Q656" s="66"/>
      <c r="R656" s="66"/>
      <c r="S656" s="66"/>
      <c r="T656" s="66"/>
      <c r="U656" s="66"/>
      <c r="V656" s="66"/>
      <c r="W656" s="66"/>
      <c r="X656" s="66"/>
      <c r="Y656" s="66"/>
      <c r="Z656" s="66"/>
      <c r="AA656" s="66"/>
    </row>
    <row r="657" spans="1:27" ht="21" x14ac:dyDescent="0.65">
      <c r="A657" s="66"/>
      <c r="B657" s="66"/>
      <c r="C657" s="66"/>
      <c r="D657" s="66"/>
      <c r="E657" s="66"/>
      <c r="F657" s="66"/>
      <c r="G657" s="66"/>
      <c r="H657" s="66"/>
      <c r="I657" s="66"/>
      <c r="J657" s="66"/>
      <c r="K657" s="66"/>
      <c r="L657" s="66"/>
      <c r="M657" s="66"/>
      <c r="N657" s="66"/>
      <c r="O657" s="66"/>
      <c r="P657" s="66"/>
      <c r="Q657" s="66"/>
      <c r="R657" s="66"/>
      <c r="S657" s="66"/>
      <c r="T657" s="66"/>
      <c r="U657" s="66"/>
      <c r="V657" s="66"/>
      <c r="W657" s="66"/>
      <c r="X657" s="66"/>
      <c r="Y657" s="66"/>
      <c r="Z657" s="66"/>
      <c r="AA657" s="66"/>
    </row>
    <row r="658" spans="1:27" ht="21" x14ac:dyDescent="0.65">
      <c r="A658" s="66"/>
      <c r="B658" s="66"/>
      <c r="C658" s="66"/>
      <c r="D658" s="66"/>
      <c r="E658" s="66"/>
      <c r="F658" s="66"/>
      <c r="G658" s="66"/>
      <c r="H658" s="66"/>
      <c r="I658" s="66"/>
      <c r="J658" s="66"/>
      <c r="K658" s="66"/>
      <c r="L658" s="66"/>
      <c r="M658" s="66"/>
      <c r="N658" s="66"/>
      <c r="O658" s="66"/>
      <c r="P658" s="66"/>
      <c r="Q658" s="66"/>
      <c r="R658" s="66"/>
      <c r="S658" s="66"/>
      <c r="T658" s="66"/>
      <c r="U658" s="66"/>
      <c r="V658" s="66"/>
      <c r="W658" s="66"/>
      <c r="X658" s="66"/>
      <c r="Y658" s="66"/>
      <c r="Z658" s="66"/>
      <c r="AA658" s="66"/>
    </row>
    <row r="659" spans="1:27" ht="21" x14ac:dyDescent="0.65">
      <c r="A659" s="66"/>
      <c r="B659" s="66"/>
      <c r="C659" s="66"/>
      <c r="D659" s="66"/>
      <c r="E659" s="66"/>
      <c r="F659" s="66"/>
      <c r="G659" s="66"/>
      <c r="H659" s="66"/>
      <c r="I659" s="66"/>
      <c r="J659" s="66"/>
      <c r="K659" s="66"/>
      <c r="L659" s="66"/>
      <c r="M659" s="66"/>
      <c r="N659" s="66"/>
      <c r="O659" s="66"/>
      <c r="P659" s="66"/>
      <c r="Q659" s="66"/>
      <c r="R659" s="66"/>
      <c r="S659" s="66"/>
      <c r="T659" s="66"/>
      <c r="U659" s="66"/>
      <c r="V659" s="66"/>
      <c r="W659" s="66"/>
      <c r="X659" s="66"/>
      <c r="Y659" s="66"/>
      <c r="Z659" s="66"/>
      <c r="AA659" s="66"/>
    </row>
    <row r="660" spans="1:27" ht="21" x14ac:dyDescent="0.65">
      <c r="A660" s="66"/>
      <c r="B660" s="66"/>
      <c r="C660" s="66"/>
      <c r="D660" s="66"/>
      <c r="E660" s="66"/>
      <c r="F660" s="66"/>
      <c r="G660" s="66"/>
      <c r="H660" s="66"/>
      <c r="I660" s="66"/>
      <c r="J660" s="66"/>
      <c r="K660" s="66"/>
      <c r="L660" s="66"/>
      <c r="M660" s="66"/>
      <c r="N660" s="66"/>
      <c r="O660" s="66"/>
      <c r="P660" s="66"/>
      <c r="Q660" s="66"/>
      <c r="R660" s="66"/>
      <c r="S660" s="66"/>
      <c r="T660" s="66"/>
      <c r="U660" s="66"/>
      <c r="V660" s="66"/>
      <c r="W660" s="66"/>
      <c r="X660" s="66"/>
      <c r="Y660" s="66"/>
      <c r="Z660" s="66"/>
      <c r="AA660" s="66"/>
    </row>
    <row r="661" spans="1:27" ht="21" x14ac:dyDescent="0.65">
      <c r="A661" s="66"/>
      <c r="B661" s="66"/>
      <c r="C661" s="66"/>
      <c r="D661" s="66"/>
      <c r="E661" s="66"/>
      <c r="F661" s="66"/>
      <c r="G661" s="66"/>
      <c r="H661" s="66"/>
      <c r="I661" s="66"/>
      <c r="J661" s="66"/>
      <c r="K661" s="66"/>
      <c r="L661" s="66"/>
      <c r="M661" s="66"/>
      <c r="N661" s="66"/>
      <c r="O661" s="66"/>
      <c r="P661" s="66"/>
      <c r="Q661" s="66"/>
      <c r="R661" s="66"/>
      <c r="S661" s="66"/>
      <c r="T661" s="66"/>
      <c r="U661" s="66"/>
      <c r="V661" s="66"/>
      <c r="W661" s="66"/>
      <c r="X661" s="66"/>
      <c r="Y661" s="66"/>
      <c r="Z661" s="66"/>
      <c r="AA661" s="66"/>
    </row>
    <row r="662" spans="1:27" ht="21" x14ac:dyDescent="0.65">
      <c r="A662" s="66"/>
      <c r="B662" s="66"/>
      <c r="C662" s="66"/>
      <c r="D662" s="66"/>
      <c r="E662" s="66"/>
      <c r="F662" s="66"/>
      <c r="G662" s="66"/>
      <c r="H662" s="66"/>
      <c r="I662" s="66"/>
      <c r="J662" s="66"/>
      <c r="K662" s="66"/>
      <c r="L662" s="66"/>
      <c r="M662" s="66"/>
      <c r="N662" s="66"/>
      <c r="O662" s="66"/>
      <c r="P662" s="66"/>
      <c r="Q662" s="66"/>
      <c r="R662" s="66"/>
      <c r="S662" s="66"/>
      <c r="T662" s="66"/>
      <c r="U662" s="66"/>
      <c r="V662" s="66"/>
      <c r="W662" s="66"/>
      <c r="X662" s="66"/>
      <c r="Y662" s="66"/>
      <c r="Z662" s="66"/>
      <c r="AA662" s="66"/>
    </row>
    <row r="663" spans="1:27" ht="21" x14ac:dyDescent="0.65">
      <c r="A663" s="66"/>
      <c r="B663" s="66"/>
      <c r="C663" s="66"/>
      <c r="D663" s="66"/>
      <c r="E663" s="66"/>
      <c r="F663" s="66"/>
      <c r="G663" s="66"/>
      <c r="H663" s="66"/>
      <c r="I663" s="66"/>
      <c r="J663" s="66"/>
      <c r="K663" s="66"/>
      <c r="L663" s="66"/>
      <c r="M663" s="66"/>
      <c r="N663" s="66"/>
      <c r="O663" s="66"/>
      <c r="P663" s="66"/>
      <c r="Q663" s="66"/>
      <c r="R663" s="66"/>
      <c r="S663" s="66"/>
      <c r="T663" s="66"/>
      <c r="U663" s="66"/>
      <c r="V663" s="66"/>
      <c r="W663" s="66"/>
      <c r="X663" s="66"/>
      <c r="Y663" s="66"/>
      <c r="Z663" s="66"/>
      <c r="AA663" s="66"/>
    </row>
    <row r="664" spans="1:27" ht="21" x14ac:dyDescent="0.65">
      <c r="A664" s="66"/>
      <c r="B664" s="66"/>
      <c r="C664" s="66"/>
      <c r="D664" s="66"/>
      <c r="E664" s="66"/>
      <c r="F664" s="66"/>
      <c r="G664" s="66"/>
      <c r="H664" s="66"/>
      <c r="I664" s="66"/>
      <c r="J664" s="66"/>
      <c r="K664" s="66"/>
      <c r="L664" s="66"/>
      <c r="M664" s="66"/>
      <c r="N664" s="66"/>
      <c r="O664" s="66"/>
      <c r="P664" s="66"/>
      <c r="Q664" s="66"/>
      <c r="R664" s="66"/>
      <c r="S664" s="66"/>
      <c r="T664" s="66"/>
      <c r="U664" s="66"/>
      <c r="V664" s="66"/>
      <c r="W664" s="66"/>
      <c r="X664" s="66"/>
      <c r="Y664" s="66"/>
      <c r="Z664" s="66"/>
      <c r="AA664" s="66"/>
    </row>
    <row r="665" spans="1:27" ht="21" x14ac:dyDescent="0.65">
      <c r="A665" s="66"/>
      <c r="B665" s="66"/>
      <c r="C665" s="66"/>
      <c r="D665" s="66"/>
      <c r="E665" s="66"/>
      <c r="F665" s="66"/>
      <c r="G665" s="66"/>
      <c r="H665" s="66"/>
      <c r="I665" s="66"/>
      <c r="J665" s="66"/>
      <c r="K665" s="66"/>
      <c r="L665" s="66"/>
      <c r="M665" s="66"/>
      <c r="N665" s="66"/>
      <c r="O665" s="66"/>
      <c r="P665" s="66"/>
      <c r="Q665" s="66"/>
      <c r="R665" s="66"/>
      <c r="S665" s="66"/>
      <c r="T665" s="66"/>
      <c r="U665" s="66"/>
      <c r="V665" s="66"/>
      <c r="W665" s="66"/>
      <c r="X665" s="66"/>
      <c r="Y665" s="66"/>
      <c r="Z665" s="66"/>
      <c r="AA665" s="66"/>
    </row>
    <row r="666" spans="1:27" ht="21" x14ac:dyDescent="0.65">
      <c r="A666" s="66"/>
      <c r="B666" s="66"/>
      <c r="C666" s="66"/>
      <c r="D666" s="66"/>
      <c r="E666" s="66"/>
      <c r="F666" s="66"/>
      <c r="G666" s="66"/>
      <c r="H666" s="66"/>
      <c r="I666" s="66"/>
      <c r="J666" s="66"/>
      <c r="K666" s="66"/>
      <c r="L666" s="66"/>
      <c r="M666" s="66"/>
      <c r="N666" s="66"/>
      <c r="O666" s="66"/>
      <c r="P666" s="66"/>
      <c r="Q666" s="66"/>
      <c r="R666" s="66"/>
      <c r="S666" s="66"/>
      <c r="T666" s="66"/>
      <c r="U666" s="66"/>
      <c r="V666" s="66"/>
      <c r="W666" s="66"/>
      <c r="X666" s="66"/>
      <c r="Y666" s="66"/>
      <c r="Z666" s="66"/>
      <c r="AA666" s="66"/>
    </row>
    <row r="667" spans="1:27" ht="21" x14ac:dyDescent="0.65">
      <c r="A667" s="66"/>
      <c r="B667" s="66"/>
      <c r="C667" s="66"/>
      <c r="D667" s="66"/>
      <c r="E667" s="66"/>
      <c r="F667" s="66"/>
      <c r="G667" s="66"/>
      <c r="H667" s="66"/>
      <c r="I667" s="66"/>
      <c r="J667" s="66"/>
      <c r="K667" s="66"/>
      <c r="L667" s="66"/>
      <c r="M667" s="66"/>
      <c r="N667" s="66"/>
      <c r="O667" s="66"/>
      <c r="P667" s="66"/>
      <c r="Q667" s="66"/>
      <c r="R667" s="66"/>
      <c r="S667" s="66"/>
      <c r="T667" s="66"/>
      <c r="U667" s="66"/>
      <c r="V667" s="66"/>
      <c r="W667" s="66"/>
      <c r="X667" s="66"/>
      <c r="Y667" s="66"/>
      <c r="Z667" s="66"/>
      <c r="AA667" s="66"/>
    </row>
    <row r="668" spans="1:27" ht="21" x14ac:dyDescent="0.65">
      <c r="A668" s="66"/>
      <c r="B668" s="66"/>
      <c r="C668" s="66"/>
      <c r="D668" s="66"/>
      <c r="E668" s="66"/>
      <c r="F668" s="66"/>
      <c r="G668" s="66"/>
      <c r="H668" s="66"/>
      <c r="I668" s="66"/>
      <c r="J668" s="66"/>
      <c r="K668" s="66"/>
      <c r="L668" s="66"/>
      <c r="M668" s="66"/>
      <c r="N668" s="66"/>
      <c r="O668" s="66"/>
      <c r="P668" s="66"/>
      <c r="Q668" s="66"/>
      <c r="R668" s="66"/>
      <c r="S668" s="66"/>
      <c r="T668" s="66"/>
      <c r="U668" s="66"/>
      <c r="V668" s="66"/>
      <c r="W668" s="66"/>
      <c r="X668" s="66"/>
      <c r="Y668" s="66"/>
      <c r="Z668" s="66"/>
      <c r="AA668" s="66"/>
    </row>
    <row r="669" spans="1:27" ht="21" x14ac:dyDescent="0.65">
      <c r="A669" s="66"/>
      <c r="B669" s="66"/>
      <c r="C669" s="66"/>
      <c r="D669" s="66"/>
      <c r="E669" s="66"/>
      <c r="F669" s="66"/>
      <c r="G669" s="66"/>
      <c r="H669" s="66"/>
      <c r="I669" s="66"/>
      <c r="J669" s="66"/>
      <c r="K669" s="66"/>
      <c r="L669" s="66"/>
      <c r="M669" s="66"/>
      <c r="N669" s="66"/>
      <c r="O669" s="66"/>
      <c r="P669" s="66"/>
      <c r="Q669" s="66"/>
      <c r="R669" s="66"/>
      <c r="S669" s="66"/>
      <c r="T669" s="66"/>
      <c r="U669" s="66"/>
      <c r="V669" s="66"/>
      <c r="W669" s="66"/>
      <c r="X669" s="66"/>
      <c r="Y669" s="66"/>
      <c r="Z669" s="66"/>
      <c r="AA669" s="66"/>
    </row>
    <row r="670" spans="1:27" ht="21" x14ac:dyDescent="0.65">
      <c r="A670" s="66"/>
      <c r="B670" s="66"/>
      <c r="C670" s="66"/>
      <c r="D670" s="66"/>
      <c r="E670" s="66"/>
      <c r="F670" s="66"/>
      <c r="G670" s="66"/>
      <c r="H670" s="66"/>
      <c r="I670" s="66"/>
      <c r="J670" s="66"/>
      <c r="K670" s="66"/>
      <c r="L670" s="66"/>
      <c r="M670" s="66"/>
      <c r="N670" s="66"/>
      <c r="O670" s="66"/>
      <c r="P670" s="66"/>
      <c r="Q670" s="66"/>
      <c r="R670" s="66"/>
      <c r="S670" s="66"/>
      <c r="T670" s="66"/>
      <c r="U670" s="66"/>
      <c r="V670" s="66"/>
      <c r="W670" s="66"/>
      <c r="X670" s="66"/>
      <c r="Y670" s="66"/>
      <c r="Z670" s="66"/>
      <c r="AA670" s="66"/>
    </row>
    <row r="671" spans="1:27" ht="21" x14ac:dyDescent="0.65">
      <c r="A671" s="66"/>
      <c r="B671" s="66"/>
      <c r="C671" s="66"/>
      <c r="D671" s="66"/>
      <c r="E671" s="66"/>
      <c r="F671" s="66"/>
      <c r="G671" s="66"/>
      <c r="H671" s="66"/>
      <c r="I671" s="66"/>
      <c r="J671" s="66"/>
      <c r="K671" s="66"/>
      <c r="L671" s="66"/>
      <c r="M671" s="66"/>
      <c r="N671" s="66"/>
      <c r="O671" s="66"/>
      <c r="P671" s="66"/>
      <c r="Q671" s="66"/>
      <c r="R671" s="66"/>
      <c r="S671" s="66"/>
      <c r="T671" s="66"/>
      <c r="U671" s="66"/>
      <c r="V671" s="66"/>
      <c r="W671" s="66"/>
      <c r="X671" s="66"/>
      <c r="Y671" s="66"/>
      <c r="Z671" s="66"/>
      <c r="AA671" s="66"/>
    </row>
    <row r="672" spans="1:27" ht="21" x14ac:dyDescent="0.65">
      <c r="A672" s="66"/>
      <c r="B672" s="66"/>
      <c r="C672" s="66"/>
      <c r="D672" s="66"/>
      <c r="E672" s="66"/>
      <c r="F672" s="66"/>
      <c r="G672" s="66"/>
      <c r="H672" s="66"/>
      <c r="I672" s="66"/>
      <c r="J672" s="66"/>
      <c r="K672" s="66"/>
      <c r="L672" s="66"/>
      <c r="M672" s="66"/>
      <c r="N672" s="66"/>
      <c r="O672" s="66"/>
      <c r="P672" s="66"/>
      <c r="Q672" s="66"/>
      <c r="R672" s="66"/>
      <c r="S672" s="66"/>
      <c r="T672" s="66"/>
      <c r="U672" s="66"/>
      <c r="V672" s="66"/>
      <c r="W672" s="66"/>
      <c r="X672" s="66"/>
      <c r="Y672" s="66"/>
      <c r="Z672" s="66"/>
      <c r="AA672" s="66"/>
    </row>
    <row r="673" spans="1:27" ht="21" x14ac:dyDescent="0.65">
      <c r="A673" s="66"/>
      <c r="B673" s="66"/>
      <c r="C673" s="66"/>
      <c r="D673" s="66"/>
      <c r="E673" s="66"/>
      <c r="F673" s="66"/>
      <c r="G673" s="66"/>
      <c r="H673" s="66"/>
      <c r="I673" s="66"/>
      <c r="J673" s="66"/>
      <c r="K673" s="66"/>
      <c r="L673" s="66"/>
      <c r="M673" s="66"/>
      <c r="N673" s="66"/>
      <c r="O673" s="66"/>
      <c r="P673" s="66"/>
      <c r="Q673" s="66"/>
      <c r="R673" s="66"/>
      <c r="S673" s="66"/>
      <c r="T673" s="66"/>
      <c r="U673" s="66"/>
      <c r="V673" s="66"/>
      <c r="W673" s="66"/>
      <c r="X673" s="66"/>
      <c r="Y673" s="66"/>
      <c r="Z673" s="66"/>
      <c r="AA673" s="66"/>
    </row>
    <row r="674" spans="1:27" ht="21" x14ac:dyDescent="0.65">
      <c r="A674" s="66"/>
      <c r="B674" s="66"/>
      <c r="C674" s="66"/>
      <c r="D674" s="66"/>
      <c r="E674" s="66"/>
      <c r="F674" s="66"/>
      <c r="G674" s="66"/>
      <c r="H674" s="66"/>
      <c r="I674" s="66"/>
      <c r="J674" s="66"/>
      <c r="K674" s="66"/>
      <c r="L674" s="66"/>
      <c r="M674" s="66"/>
      <c r="N674" s="66"/>
      <c r="O674" s="66"/>
      <c r="P674" s="66"/>
      <c r="Q674" s="66"/>
      <c r="R674" s="66"/>
      <c r="S674" s="66"/>
      <c r="T674" s="66"/>
      <c r="U674" s="66"/>
      <c r="V674" s="66"/>
      <c r="W674" s="66"/>
      <c r="X674" s="66"/>
      <c r="Y674" s="66"/>
      <c r="Z674" s="66"/>
      <c r="AA674" s="66"/>
    </row>
    <row r="675" spans="1:27" ht="21" x14ac:dyDescent="0.65">
      <c r="A675" s="66"/>
      <c r="B675" s="66"/>
      <c r="C675" s="66"/>
      <c r="D675" s="66"/>
      <c r="E675" s="66"/>
      <c r="F675" s="66"/>
      <c r="G675" s="66"/>
      <c r="H675" s="66"/>
      <c r="I675" s="66"/>
      <c r="J675" s="66"/>
      <c r="K675" s="66"/>
      <c r="L675" s="66"/>
      <c r="M675" s="66"/>
      <c r="N675" s="66"/>
      <c r="O675" s="66"/>
      <c r="P675" s="66"/>
      <c r="Q675" s="66"/>
      <c r="R675" s="66"/>
      <c r="S675" s="66"/>
      <c r="T675" s="66"/>
      <c r="U675" s="66"/>
      <c r="V675" s="66"/>
      <c r="W675" s="66"/>
      <c r="X675" s="66"/>
      <c r="Y675" s="66"/>
      <c r="Z675" s="66"/>
      <c r="AA675" s="66"/>
    </row>
    <row r="676" spans="1:27" ht="21" x14ac:dyDescent="0.65">
      <c r="A676" s="66"/>
      <c r="B676" s="66"/>
      <c r="C676" s="66"/>
      <c r="D676" s="66"/>
      <c r="E676" s="66"/>
      <c r="F676" s="66"/>
      <c r="G676" s="66"/>
      <c r="H676" s="66"/>
      <c r="I676" s="66"/>
      <c r="J676" s="66"/>
      <c r="K676" s="66"/>
      <c r="L676" s="66"/>
      <c r="M676" s="66"/>
      <c r="N676" s="66"/>
      <c r="O676" s="66"/>
      <c r="P676" s="66"/>
      <c r="Q676" s="66"/>
      <c r="R676" s="66"/>
      <c r="S676" s="66"/>
      <c r="T676" s="66"/>
      <c r="U676" s="66"/>
      <c r="V676" s="66"/>
      <c r="W676" s="66"/>
      <c r="X676" s="66"/>
      <c r="Y676" s="66"/>
      <c r="Z676" s="66"/>
      <c r="AA676" s="66"/>
    </row>
    <row r="677" spans="1:27" ht="21" x14ac:dyDescent="0.65">
      <c r="A677" s="66"/>
      <c r="B677" s="66"/>
      <c r="C677" s="66"/>
      <c r="D677" s="66"/>
      <c r="E677" s="66"/>
      <c r="F677" s="66"/>
      <c r="G677" s="66"/>
      <c r="H677" s="66"/>
      <c r="I677" s="66"/>
      <c r="J677" s="66"/>
      <c r="K677" s="66"/>
      <c r="L677" s="66"/>
      <c r="M677" s="66"/>
      <c r="N677" s="66"/>
      <c r="O677" s="66"/>
      <c r="P677" s="66"/>
      <c r="Q677" s="66"/>
      <c r="R677" s="66"/>
      <c r="S677" s="66"/>
      <c r="T677" s="66"/>
      <c r="U677" s="66"/>
      <c r="V677" s="66"/>
      <c r="W677" s="66"/>
      <c r="X677" s="66"/>
      <c r="Y677" s="66"/>
      <c r="Z677" s="66"/>
      <c r="AA677" s="66"/>
    </row>
    <row r="678" spans="1:27" ht="21" x14ac:dyDescent="0.65">
      <c r="A678" s="66"/>
      <c r="B678" s="66"/>
      <c r="C678" s="66"/>
      <c r="D678" s="66"/>
      <c r="E678" s="66"/>
      <c r="F678" s="66"/>
      <c r="G678" s="66"/>
      <c r="H678" s="66"/>
      <c r="I678" s="66"/>
      <c r="J678" s="66"/>
      <c r="K678" s="66"/>
      <c r="L678" s="66"/>
      <c r="M678" s="66"/>
      <c r="N678" s="66"/>
      <c r="O678" s="66"/>
      <c r="P678" s="66"/>
      <c r="Q678" s="66"/>
      <c r="R678" s="66"/>
      <c r="S678" s="66"/>
      <c r="T678" s="66"/>
      <c r="U678" s="66"/>
      <c r="V678" s="66"/>
      <c r="W678" s="66"/>
      <c r="X678" s="66"/>
      <c r="Y678" s="66"/>
      <c r="Z678" s="66"/>
      <c r="AA678" s="66"/>
    </row>
    <row r="679" spans="1:27" ht="21" x14ac:dyDescent="0.65">
      <c r="A679" s="66"/>
      <c r="B679" s="66"/>
      <c r="C679" s="66"/>
      <c r="D679" s="66"/>
      <c r="E679" s="66"/>
      <c r="F679" s="66"/>
      <c r="G679" s="66"/>
      <c r="H679" s="66"/>
      <c r="I679" s="66"/>
      <c r="J679" s="66"/>
      <c r="K679" s="66"/>
      <c r="L679" s="66"/>
      <c r="M679" s="66"/>
      <c r="N679" s="66"/>
      <c r="O679" s="66"/>
      <c r="P679" s="66"/>
      <c r="Q679" s="66"/>
      <c r="R679" s="66"/>
      <c r="S679" s="66"/>
      <c r="T679" s="66"/>
      <c r="U679" s="66"/>
      <c r="V679" s="66"/>
      <c r="W679" s="66"/>
      <c r="X679" s="66"/>
      <c r="Y679" s="66"/>
      <c r="Z679" s="66"/>
      <c r="AA679" s="66"/>
    </row>
    <row r="680" spans="1:27" ht="21" x14ac:dyDescent="0.65">
      <c r="A680" s="66"/>
      <c r="B680" s="66"/>
      <c r="C680" s="66"/>
      <c r="D680" s="66"/>
      <c r="E680" s="66"/>
      <c r="F680" s="66"/>
      <c r="G680" s="66"/>
      <c r="H680" s="66"/>
      <c r="I680" s="66"/>
      <c r="J680" s="66"/>
      <c r="K680" s="66"/>
      <c r="L680" s="66"/>
      <c r="M680" s="66"/>
      <c r="N680" s="66"/>
      <c r="O680" s="66"/>
      <c r="P680" s="66"/>
      <c r="Q680" s="66"/>
      <c r="R680" s="66"/>
      <c r="S680" s="66"/>
      <c r="T680" s="66"/>
      <c r="U680" s="66"/>
      <c r="V680" s="66"/>
      <c r="W680" s="66"/>
      <c r="X680" s="66"/>
      <c r="Y680" s="66"/>
      <c r="Z680" s="66"/>
      <c r="AA680" s="66"/>
    </row>
    <row r="681" spans="1:27" ht="21" x14ac:dyDescent="0.65">
      <c r="A681" s="66"/>
      <c r="B681" s="66"/>
      <c r="C681" s="66"/>
      <c r="D681" s="66"/>
      <c r="E681" s="66"/>
      <c r="F681" s="66"/>
      <c r="G681" s="66"/>
      <c r="H681" s="66"/>
      <c r="I681" s="66"/>
      <c r="J681" s="66"/>
      <c r="K681" s="66"/>
      <c r="L681" s="66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  <c r="X681" s="66"/>
      <c r="Y681" s="66"/>
      <c r="Z681" s="66"/>
      <c r="AA681" s="66"/>
    </row>
    <row r="682" spans="1:27" ht="21" x14ac:dyDescent="0.65">
      <c r="A682" s="66"/>
      <c r="B682" s="66"/>
      <c r="C682" s="66"/>
      <c r="D682" s="66"/>
      <c r="E682" s="66"/>
      <c r="F682" s="66"/>
      <c r="G682" s="66"/>
      <c r="H682" s="66"/>
      <c r="I682" s="66"/>
      <c r="J682" s="66"/>
      <c r="K682" s="66"/>
      <c r="L682" s="66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  <c r="X682" s="66"/>
      <c r="Y682" s="66"/>
      <c r="Z682" s="66"/>
      <c r="AA682" s="66"/>
    </row>
    <row r="683" spans="1:27" ht="21" x14ac:dyDescent="0.65">
      <c r="A683" s="66"/>
      <c r="B683" s="66"/>
      <c r="C683" s="66"/>
      <c r="D683" s="66"/>
      <c r="E683" s="66"/>
      <c r="F683" s="66"/>
      <c r="G683" s="66"/>
      <c r="H683" s="66"/>
      <c r="I683" s="66"/>
      <c r="J683" s="66"/>
      <c r="K683" s="66"/>
      <c r="L683" s="66"/>
      <c r="M683" s="66"/>
      <c r="N683" s="66"/>
      <c r="O683" s="66"/>
      <c r="P683" s="66"/>
      <c r="Q683" s="66"/>
      <c r="R683" s="66"/>
      <c r="S683" s="66"/>
      <c r="T683" s="66"/>
      <c r="U683" s="66"/>
      <c r="V683" s="66"/>
      <c r="W683" s="66"/>
      <c r="X683" s="66"/>
      <c r="Y683" s="66"/>
      <c r="Z683" s="66"/>
      <c r="AA683" s="66"/>
    </row>
    <row r="684" spans="1:27" ht="21" x14ac:dyDescent="0.65">
      <c r="A684" s="66"/>
      <c r="B684" s="66"/>
      <c r="C684" s="66"/>
      <c r="D684" s="66"/>
      <c r="E684" s="66"/>
      <c r="F684" s="66"/>
      <c r="G684" s="66"/>
      <c r="H684" s="66"/>
      <c r="I684" s="66"/>
      <c r="J684" s="66"/>
      <c r="K684" s="66"/>
      <c r="L684" s="66"/>
      <c r="M684" s="66"/>
      <c r="N684" s="66"/>
      <c r="O684" s="66"/>
      <c r="P684" s="66"/>
      <c r="Q684" s="66"/>
      <c r="R684" s="66"/>
      <c r="S684" s="66"/>
      <c r="T684" s="66"/>
      <c r="U684" s="66"/>
      <c r="V684" s="66"/>
      <c r="W684" s="66"/>
      <c r="X684" s="66"/>
      <c r="Y684" s="66"/>
      <c r="Z684" s="66"/>
      <c r="AA684" s="66"/>
    </row>
    <row r="685" spans="1:27" ht="21" x14ac:dyDescent="0.65">
      <c r="A685" s="66"/>
      <c r="B685" s="66"/>
      <c r="C685" s="66"/>
      <c r="D685" s="66"/>
      <c r="E685" s="66"/>
      <c r="F685" s="66"/>
      <c r="G685" s="66"/>
      <c r="H685" s="66"/>
      <c r="I685" s="66"/>
      <c r="J685" s="66"/>
      <c r="K685" s="66"/>
      <c r="L685" s="66"/>
      <c r="M685" s="66"/>
      <c r="N685" s="66"/>
      <c r="O685" s="66"/>
      <c r="P685" s="66"/>
      <c r="Q685" s="66"/>
      <c r="R685" s="66"/>
      <c r="S685" s="66"/>
      <c r="T685" s="66"/>
      <c r="U685" s="66"/>
      <c r="V685" s="66"/>
      <c r="W685" s="66"/>
      <c r="X685" s="66"/>
      <c r="Y685" s="66"/>
      <c r="Z685" s="66"/>
      <c r="AA685" s="66"/>
    </row>
    <row r="686" spans="1:27" ht="21" x14ac:dyDescent="0.65">
      <c r="A686" s="66"/>
      <c r="B686" s="66"/>
      <c r="C686" s="66"/>
      <c r="D686" s="66"/>
      <c r="E686" s="66"/>
      <c r="F686" s="66"/>
      <c r="G686" s="66"/>
      <c r="H686" s="66"/>
      <c r="I686" s="66"/>
      <c r="J686" s="66"/>
      <c r="K686" s="66"/>
      <c r="L686" s="66"/>
      <c r="M686" s="66"/>
      <c r="N686" s="66"/>
      <c r="O686" s="66"/>
      <c r="P686" s="66"/>
      <c r="Q686" s="66"/>
      <c r="R686" s="66"/>
      <c r="S686" s="66"/>
      <c r="T686" s="66"/>
      <c r="U686" s="66"/>
      <c r="V686" s="66"/>
      <c r="W686" s="66"/>
      <c r="X686" s="66"/>
      <c r="Y686" s="66"/>
      <c r="Z686" s="66"/>
      <c r="AA686" s="66"/>
    </row>
    <row r="687" spans="1:27" ht="21" x14ac:dyDescent="0.65">
      <c r="A687" s="66"/>
      <c r="B687" s="66"/>
      <c r="C687" s="66"/>
      <c r="D687" s="66"/>
      <c r="E687" s="66"/>
      <c r="F687" s="66"/>
      <c r="G687" s="66"/>
      <c r="H687" s="66"/>
      <c r="I687" s="66"/>
      <c r="J687" s="66"/>
      <c r="K687" s="66"/>
      <c r="L687" s="66"/>
      <c r="M687" s="66"/>
      <c r="N687" s="66"/>
      <c r="O687" s="66"/>
      <c r="P687" s="66"/>
      <c r="Q687" s="66"/>
      <c r="R687" s="66"/>
      <c r="S687" s="66"/>
      <c r="T687" s="66"/>
      <c r="U687" s="66"/>
      <c r="V687" s="66"/>
      <c r="W687" s="66"/>
      <c r="X687" s="66"/>
      <c r="Y687" s="66"/>
      <c r="Z687" s="66"/>
      <c r="AA687" s="66"/>
    </row>
    <row r="688" spans="1:27" ht="21" x14ac:dyDescent="0.65">
      <c r="A688" s="66"/>
      <c r="B688" s="66"/>
      <c r="C688" s="66"/>
      <c r="D688" s="66"/>
      <c r="E688" s="66"/>
      <c r="F688" s="66"/>
      <c r="G688" s="66"/>
      <c r="H688" s="66"/>
      <c r="I688" s="66"/>
      <c r="J688" s="66"/>
      <c r="K688" s="66"/>
      <c r="L688" s="66"/>
      <c r="M688" s="66"/>
      <c r="N688" s="66"/>
      <c r="O688" s="66"/>
      <c r="P688" s="66"/>
      <c r="Q688" s="66"/>
      <c r="R688" s="66"/>
      <c r="S688" s="66"/>
      <c r="T688" s="66"/>
      <c r="U688" s="66"/>
      <c r="V688" s="66"/>
      <c r="W688" s="66"/>
      <c r="X688" s="66"/>
      <c r="Y688" s="66"/>
      <c r="Z688" s="66"/>
      <c r="AA688" s="66"/>
    </row>
    <row r="689" spans="1:27" ht="21" x14ac:dyDescent="0.65">
      <c r="A689" s="66"/>
      <c r="B689" s="66"/>
      <c r="C689" s="66"/>
      <c r="D689" s="66"/>
      <c r="E689" s="66"/>
      <c r="F689" s="66"/>
      <c r="G689" s="66"/>
      <c r="H689" s="66"/>
      <c r="I689" s="66"/>
      <c r="J689" s="66"/>
      <c r="K689" s="66"/>
      <c r="L689" s="66"/>
      <c r="M689" s="66"/>
      <c r="N689" s="66"/>
      <c r="O689" s="66"/>
      <c r="P689" s="66"/>
      <c r="Q689" s="66"/>
      <c r="R689" s="66"/>
      <c r="S689" s="66"/>
      <c r="T689" s="66"/>
      <c r="U689" s="66"/>
      <c r="V689" s="66"/>
      <c r="W689" s="66"/>
      <c r="X689" s="66"/>
      <c r="Y689" s="66"/>
      <c r="Z689" s="66"/>
      <c r="AA689" s="66"/>
    </row>
    <row r="690" spans="1:27" ht="21" x14ac:dyDescent="0.65">
      <c r="A690" s="66"/>
      <c r="B690" s="66"/>
      <c r="C690" s="66"/>
      <c r="D690" s="66"/>
      <c r="E690" s="66"/>
      <c r="F690" s="66"/>
      <c r="G690" s="66"/>
      <c r="H690" s="66"/>
      <c r="I690" s="66"/>
      <c r="J690" s="66"/>
      <c r="K690" s="66"/>
      <c r="L690" s="66"/>
      <c r="M690" s="66"/>
      <c r="N690" s="66"/>
      <c r="O690" s="66"/>
      <c r="P690" s="66"/>
      <c r="Q690" s="66"/>
      <c r="R690" s="66"/>
      <c r="S690" s="66"/>
      <c r="T690" s="66"/>
      <c r="U690" s="66"/>
      <c r="V690" s="66"/>
      <c r="W690" s="66"/>
      <c r="X690" s="66"/>
      <c r="Y690" s="66"/>
      <c r="Z690" s="66"/>
      <c r="AA690" s="66"/>
    </row>
    <row r="691" spans="1:27" ht="21" x14ac:dyDescent="0.65">
      <c r="A691" s="66"/>
      <c r="B691" s="66"/>
      <c r="C691" s="66"/>
      <c r="D691" s="66"/>
      <c r="E691" s="66"/>
      <c r="F691" s="66"/>
      <c r="G691" s="66"/>
      <c r="H691" s="66"/>
      <c r="I691" s="66"/>
      <c r="J691" s="66"/>
      <c r="K691" s="66"/>
      <c r="L691" s="66"/>
      <c r="M691" s="66"/>
      <c r="N691" s="66"/>
      <c r="O691" s="66"/>
      <c r="P691" s="66"/>
      <c r="Q691" s="66"/>
      <c r="R691" s="66"/>
      <c r="S691" s="66"/>
      <c r="T691" s="66"/>
      <c r="U691" s="66"/>
      <c r="V691" s="66"/>
      <c r="W691" s="66"/>
      <c r="X691" s="66"/>
      <c r="Y691" s="66"/>
      <c r="Z691" s="66"/>
      <c r="AA691" s="66"/>
    </row>
    <row r="692" spans="1:27" ht="21" x14ac:dyDescent="0.65">
      <c r="A692" s="66"/>
      <c r="B692" s="66"/>
      <c r="C692" s="66"/>
      <c r="D692" s="66"/>
      <c r="E692" s="66"/>
      <c r="F692" s="66"/>
      <c r="G692" s="66"/>
      <c r="H692" s="66"/>
      <c r="I692" s="66"/>
      <c r="J692" s="66"/>
      <c r="K692" s="66"/>
      <c r="L692" s="66"/>
      <c r="M692" s="66"/>
      <c r="N692" s="66"/>
      <c r="O692" s="66"/>
      <c r="P692" s="66"/>
      <c r="Q692" s="66"/>
      <c r="R692" s="66"/>
      <c r="S692" s="66"/>
      <c r="T692" s="66"/>
      <c r="U692" s="66"/>
      <c r="V692" s="66"/>
      <c r="W692" s="66"/>
      <c r="X692" s="66"/>
      <c r="Y692" s="66"/>
      <c r="Z692" s="66"/>
      <c r="AA692" s="66"/>
    </row>
    <row r="693" spans="1:27" ht="21" x14ac:dyDescent="0.65">
      <c r="A693" s="66"/>
      <c r="B693" s="66"/>
      <c r="C693" s="66"/>
      <c r="D693" s="66"/>
      <c r="E693" s="66"/>
      <c r="F693" s="66"/>
      <c r="G693" s="66"/>
      <c r="H693" s="66"/>
      <c r="I693" s="66"/>
      <c r="J693" s="66"/>
      <c r="K693" s="66"/>
      <c r="L693" s="66"/>
      <c r="M693" s="66"/>
      <c r="N693" s="66"/>
      <c r="O693" s="66"/>
      <c r="P693" s="66"/>
      <c r="Q693" s="66"/>
      <c r="R693" s="66"/>
      <c r="S693" s="66"/>
      <c r="T693" s="66"/>
      <c r="U693" s="66"/>
      <c r="V693" s="66"/>
      <c r="W693" s="66"/>
      <c r="X693" s="66"/>
      <c r="Y693" s="66"/>
      <c r="Z693" s="66"/>
      <c r="AA693" s="66"/>
    </row>
    <row r="694" spans="1:27" ht="21" x14ac:dyDescent="0.65">
      <c r="A694" s="66"/>
      <c r="B694" s="66"/>
      <c r="C694" s="66"/>
      <c r="D694" s="66"/>
      <c r="E694" s="66"/>
      <c r="F694" s="66"/>
      <c r="G694" s="66"/>
      <c r="H694" s="66"/>
      <c r="I694" s="66"/>
      <c r="J694" s="66"/>
      <c r="K694" s="66"/>
      <c r="L694" s="66"/>
      <c r="M694" s="66"/>
      <c r="N694" s="66"/>
      <c r="O694" s="66"/>
      <c r="P694" s="66"/>
      <c r="Q694" s="66"/>
      <c r="R694" s="66"/>
      <c r="S694" s="66"/>
      <c r="T694" s="66"/>
      <c r="U694" s="66"/>
      <c r="V694" s="66"/>
      <c r="W694" s="66"/>
      <c r="X694" s="66"/>
      <c r="Y694" s="66"/>
      <c r="Z694" s="66"/>
      <c r="AA694" s="66"/>
    </row>
    <row r="695" spans="1:27" ht="21" x14ac:dyDescent="0.65">
      <c r="A695" s="66"/>
      <c r="B695" s="66"/>
      <c r="C695" s="66"/>
      <c r="D695" s="66"/>
      <c r="E695" s="66"/>
      <c r="F695" s="66"/>
      <c r="G695" s="66"/>
      <c r="H695" s="66"/>
      <c r="I695" s="66"/>
      <c r="J695" s="66"/>
      <c r="K695" s="66"/>
      <c r="L695" s="66"/>
      <c r="M695" s="66"/>
      <c r="N695" s="66"/>
      <c r="O695" s="66"/>
      <c r="P695" s="66"/>
      <c r="Q695" s="66"/>
      <c r="R695" s="66"/>
      <c r="S695" s="66"/>
      <c r="T695" s="66"/>
      <c r="U695" s="66"/>
      <c r="V695" s="66"/>
      <c r="W695" s="66"/>
      <c r="X695" s="66"/>
      <c r="Y695" s="66"/>
      <c r="Z695" s="66"/>
      <c r="AA695" s="66"/>
    </row>
    <row r="696" spans="1:27" ht="21" x14ac:dyDescent="0.65">
      <c r="A696" s="66"/>
      <c r="B696" s="66"/>
      <c r="C696" s="66"/>
      <c r="D696" s="66"/>
      <c r="E696" s="66"/>
      <c r="F696" s="66"/>
      <c r="G696" s="66"/>
      <c r="H696" s="66"/>
      <c r="I696" s="66"/>
      <c r="J696" s="66"/>
      <c r="K696" s="66"/>
      <c r="L696" s="66"/>
      <c r="M696" s="66"/>
      <c r="N696" s="66"/>
      <c r="O696" s="66"/>
      <c r="P696" s="66"/>
      <c r="Q696" s="66"/>
      <c r="R696" s="66"/>
      <c r="S696" s="66"/>
      <c r="T696" s="66"/>
      <c r="U696" s="66"/>
      <c r="V696" s="66"/>
      <c r="W696" s="66"/>
      <c r="X696" s="66"/>
      <c r="Y696" s="66"/>
      <c r="Z696" s="66"/>
      <c r="AA696" s="66"/>
    </row>
    <row r="697" spans="1:27" ht="21" x14ac:dyDescent="0.65">
      <c r="A697" s="66"/>
      <c r="B697" s="66"/>
      <c r="C697" s="66"/>
      <c r="D697" s="66"/>
      <c r="E697" s="66"/>
      <c r="F697" s="66"/>
      <c r="G697" s="66"/>
      <c r="H697" s="66"/>
      <c r="I697" s="66"/>
      <c r="J697" s="66"/>
      <c r="K697" s="66"/>
      <c r="L697" s="66"/>
      <c r="M697" s="66"/>
      <c r="N697" s="66"/>
      <c r="O697" s="66"/>
      <c r="P697" s="66"/>
      <c r="Q697" s="66"/>
      <c r="R697" s="66"/>
      <c r="S697" s="66"/>
      <c r="T697" s="66"/>
      <c r="U697" s="66"/>
      <c r="V697" s="66"/>
      <c r="W697" s="66"/>
      <c r="X697" s="66"/>
      <c r="Y697" s="66"/>
      <c r="Z697" s="66"/>
      <c r="AA697" s="66"/>
    </row>
    <row r="698" spans="1:27" ht="21" x14ac:dyDescent="0.65">
      <c r="A698" s="66"/>
      <c r="B698" s="66"/>
      <c r="C698" s="66"/>
      <c r="D698" s="66"/>
      <c r="E698" s="66"/>
      <c r="F698" s="66"/>
      <c r="G698" s="66"/>
      <c r="H698" s="66"/>
      <c r="I698" s="66"/>
      <c r="J698" s="66"/>
      <c r="K698" s="66"/>
      <c r="L698" s="66"/>
      <c r="M698" s="66"/>
      <c r="N698" s="66"/>
      <c r="O698" s="66"/>
      <c r="P698" s="66"/>
      <c r="Q698" s="66"/>
      <c r="R698" s="66"/>
      <c r="S698" s="66"/>
      <c r="T698" s="66"/>
      <c r="U698" s="66"/>
      <c r="V698" s="66"/>
      <c r="W698" s="66"/>
      <c r="X698" s="66"/>
      <c r="Y698" s="66"/>
      <c r="Z698" s="66"/>
      <c r="AA698" s="66"/>
    </row>
    <row r="699" spans="1:27" ht="21" x14ac:dyDescent="0.65">
      <c r="A699" s="66"/>
      <c r="B699" s="66"/>
      <c r="C699" s="66"/>
      <c r="D699" s="66"/>
      <c r="E699" s="66"/>
      <c r="F699" s="66"/>
      <c r="G699" s="66"/>
      <c r="H699" s="66"/>
      <c r="I699" s="66"/>
      <c r="J699" s="66"/>
      <c r="K699" s="66"/>
      <c r="L699" s="66"/>
      <c r="M699" s="66"/>
      <c r="N699" s="66"/>
      <c r="O699" s="66"/>
      <c r="P699" s="66"/>
      <c r="Q699" s="66"/>
      <c r="R699" s="66"/>
      <c r="S699" s="66"/>
      <c r="T699" s="66"/>
      <c r="U699" s="66"/>
      <c r="V699" s="66"/>
      <c r="W699" s="66"/>
      <c r="X699" s="66"/>
      <c r="Y699" s="66"/>
      <c r="Z699" s="66"/>
      <c r="AA699" s="66"/>
    </row>
    <row r="700" spans="1:27" ht="21" x14ac:dyDescent="0.65">
      <c r="A700" s="66"/>
      <c r="B700" s="66"/>
      <c r="C700" s="66"/>
      <c r="D700" s="66"/>
      <c r="E700" s="66"/>
      <c r="F700" s="66"/>
      <c r="G700" s="66"/>
      <c r="H700" s="66"/>
      <c r="I700" s="66"/>
      <c r="J700" s="66"/>
      <c r="K700" s="66"/>
      <c r="L700" s="66"/>
      <c r="M700" s="66"/>
      <c r="N700" s="66"/>
      <c r="O700" s="66"/>
      <c r="P700" s="66"/>
      <c r="Q700" s="66"/>
      <c r="R700" s="66"/>
      <c r="S700" s="66"/>
      <c r="T700" s="66"/>
      <c r="U700" s="66"/>
      <c r="V700" s="66"/>
      <c r="W700" s="66"/>
      <c r="X700" s="66"/>
      <c r="Y700" s="66"/>
      <c r="Z700" s="66"/>
      <c r="AA700" s="66"/>
    </row>
    <row r="701" spans="1:27" ht="21" x14ac:dyDescent="0.65">
      <c r="A701" s="66"/>
      <c r="B701" s="66"/>
      <c r="C701" s="66"/>
      <c r="D701" s="66"/>
      <c r="E701" s="66"/>
      <c r="F701" s="66"/>
      <c r="G701" s="66"/>
      <c r="H701" s="66"/>
      <c r="I701" s="66"/>
      <c r="J701" s="66"/>
      <c r="K701" s="66"/>
      <c r="L701" s="66"/>
      <c r="M701" s="66"/>
      <c r="N701" s="66"/>
      <c r="O701" s="66"/>
      <c r="P701" s="66"/>
      <c r="Q701" s="66"/>
      <c r="R701" s="66"/>
      <c r="S701" s="66"/>
      <c r="T701" s="66"/>
      <c r="U701" s="66"/>
      <c r="V701" s="66"/>
      <c r="W701" s="66"/>
      <c r="X701" s="66"/>
      <c r="Y701" s="66"/>
      <c r="Z701" s="66"/>
      <c r="AA701" s="66"/>
    </row>
    <row r="702" spans="1:27" ht="21" x14ac:dyDescent="0.65">
      <c r="A702" s="66"/>
      <c r="B702" s="66"/>
      <c r="C702" s="66"/>
      <c r="D702" s="66"/>
      <c r="E702" s="66"/>
      <c r="F702" s="66"/>
      <c r="G702" s="66"/>
      <c r="H702" s="66"/>
      <c r="I702" s="66"/>
      <c r="J702" s="66"/>
      <c r="K702" s="66"/>
      <c r="L702" s="66"/>
      <c r="M702" s="66"/>
      <c r="N702" s="66"/>
      <c r="O702" s="66"/>
      <c r="P702" s="66"/>
      <c r="Q702" s="66"/>
      <c r="R702" s="66"/>
      <c r="S702" s="66"/>
      <c r="T702" s="66"/>
      <c r="U702" s="66"/>
      <c r="V702" s="66"/>
      <c r="W702" s="66"/>
      <c r="X702" s="66"/>
      <c r="Y702" s="66"/>
      <c r="Z702" s="66"/>
      <c r="AA702" s="66"/>
    </row>
    <row r="703" spans="1:27" ht="21" x14ac:dyDescent="0.65">
      <c r="A703" s="66"/>
      <c r="B703" s="66"/>
      <c r="C703" s="66"/>
      <c r="D703" s="66"/>
      <c r="E703" s="66"/>
      <c r="F703" s="66"/>
      <c r="G703" s="66"/>
      <c r="H703" s="66"/>
      <c r="I703" s="66"/>
      <c r="J703" s="66"/>
      <c r="K703" s="66"/>
      <c r="L703" s="66"/>
      <c r="M703" s="66"/>
      <c r="N703" s="66"/>
      <c r="O703" s="66"/>
      <c r="P703" s="66"/>
      <c r="Q703" s="66"/>
      <c r="R703" s="66"/>
      <c r="S703" s="66"/>
      <c r="T703" s="66"/>
      <c r="U703" s="66"/>
      <c r="V703" s="66"/>
      <c r="W703" s="66"/>
      <c r="X703" s="66"/>
      <c r="Y703" s="66"/>
      <c r="Z703" s="66"/>
      <c r="AA703" s="66"/>
    </row>
    <row r="704" spans="1:27" ht="21" x14ac:dyDescent="0.65">
      <c r="A704" s="66"/>
      <c r="B704" s="66"/>
      <c r="C704" s="66"/>
      <c r="D704" s="66"/>
      <c r="E704" s="66"/>
      <c r="F704" s="66"/>
      <c r="G704" s="66"/>
      <c r="H704" s="66"/>
      <c r="I704" s="66"/>
      <c r="J704" s="66"/>
      <c r="K704" s="66"/>
      <c r="L704" s="66"/>
      <c r="M704" s="66"/>
      <c r="N704" s="66"/>
      <c r="O704" s="66"/>
      <c r="P704" s="66"/>
      <c r="Q704" s="66"/>
      <c r="R704" s="66"/>
      <c r="S704" s="66"/>
      <c r="T704" s="66"/>
      <c r="U704" s="66"/>
      <c r="V704" s="66"/>
      <c r="W704" s="66"/>
      <c r="X704" s="66"/>
      <c r="Y704" s="66"/>
      <c r="Z704" s="66"/>
      <c r="AA704" s="66"/>
    </row>
    <row r="705" spans="1:27" ht="21" x14ac:dyDescent="0.65">
      <c r="A705" s="66"/>
      <c r="B705" s="66"/>
      <c r="C705" s="66"/>
      <c r="D705" s="66"/>
      <c r="E705" s="66"/>
      <c r="F705" s="66"/>
      <c r="G705" s="66"/>
      <c r="H705" s="66"/>
      <c r="I705" s="66"/>
      <c r="J705" s="66"/>
      <c r="K705" s="66"/>
      <c r="L705" s="66"/>
      <c r="M705" s="66"/>
      <c r="N705" s="66"/>
      <c r="O705" s="66"/>
      <c r="P705" s="66"/>
      <c r="Q705" s="66"/>
      <c r="R705" s="66"/>
      <c r="S705" s="66"/>
      <c r="T705" s="66"/>
      <c r="U705" s="66"/>
      <c r="V705" s="66"/>
      <c r="W705" s="66"/>
      <c r="X705" s="66"/>
      <c r="Y705" s="66"/>
      <c r="Z705" s="66"/>
      <c r="AA705" s="66"/>
    </row>
    <row r="706" spans="1:27" ht="21" x14ac:dyDescent="0.65">
      <c r="A706" s="66"/>
      <c r="B706" s="66"/>
      <c r="C706" s="66"/>
      <c r="D706" s="66"/>
      <c r="E706" s="66"/>
      <c r="F706" s="66"/>
      <c r="G706" s="66"/>
      <c r="H706" s="66"/>
      <c r="I706" s="66"/>
      <c r="J706" s="66"/>
      <c r="K706" s="66"/>
      <c r="L706" s="66"/>
      <c r="M706" s="66"/>
      <c r="N706" s="66"/>
      <c r="O706" s="66"/>
      <c r="P706" s="66"/>
      <c r="Q706" s="66"/>
      <c r="R706" s="66"/>
      <c r="S706" s="66"/>
      <c r="T706" s="66"/>
      <c r="U706" s="66"/>
      <c r="V706" s="66"/>
      <c r="W706" s="66"/>
      <c r="X706" s="66"/>
      <c r="Y706" s="66"/>
      <c r="Z706" s="66"/>
      <c r="AA706" s="66"/>
    </row>
    <row r="707" spans="1:27" ht="21" x14ac:dyDescent="0.65">
      <c r="A707" s="66"/>
      <c r="B707" s="66"/>
      <c r="C707" s="66"/>
      <c r="D707" s="66"/>
      <c r="E707" s="66"/>
      <c r="F707" s="66"/>
      <c r="G707" s="66"/>
      <c r="H707" s="66"/>
      <c r="I707" s="66"/>
      <c r="J707" s="66"/>
      <c r="K707" s="66"/>
      <c r="L707" s="66"/>
      <c r="M707" s="66"/>
      <c r="N707" s="66"/>
      <c r="O707" s="66"/>
      <c r="P707" s="66"/>
      <c r="Q707" s="66"/>
      <c r="R707" s="66"/>
      <c r="S707" s="66"/>
      <c r="T707" s="66"/>
      <c r="U707" s="66"/>
      <c r="V707" s="66"/>
      <c r="W707" s="66"/>
      <c r="X707" s="66"/>
      <c r="Y707" s="66"/>
      <c r="Z707" s="66"/>
      <c r="AA707" s="66"/>
    </row>
    <row r="708" spans="1:27" ht="21" x14ac:dyDescent="0.65">
      <c r="A708" s="66"/>
      <c r="B708" s="66"/>
      <c r="C708" s="66"/>
      <c r="D708" s="66"/>
      <c r="E708" s="66"/>
      <c r="F708" s="66"/>
      <c r="G708" s="66"/>
      <c r="H708" s="66"/>
      <c r="I708" s="66"/>
      <c r="J708" s="66"/>
      <c r="K708" s="66"/>
      <c r="L708" s="66"/>
      <c r="M708" s="66"/>
      <c r="N708" s="66"/>
      <c r="O708" s="66"/>
      <c r="P708" s="66"/>
      <c r="Q708" s="66"/>
      <c r="R708" s="66"/>
      <c r="S708" s="66"/>
      <c r="T708" s="66"/>
      <c r="U708" s="66"/>
      <c r="V708" s="66"/>
      <c r="W708" s="66"/>
      <c r="X708" s="66"/>
      <c r="Y708" s="66"/>
      <c r="Z708" s="66"/>
      <c r="AA708" s="66"/>
    </row>
    <row r="709" spans="1:27" ht="21" x14ac:dyDescent="0.65">
      <c r="A709" s="66"/>
      <c r="B709" s="66"/>
      <c r="C709" s="66"/>
      <c r="D709" s="66"/>
      <c r="E709" s="66"/>
      <c r="F709" s="66"/>
      <c r="G709" s="66"/>
      <c r="H709" s="66"/>
      <c r="I709" s="66"/>
      <c r="J709" s="66"/>
      <c r="K709" s="66"/>
      <c r="L709" s="66"/>
      <c r="M709" s="66"/>
      <c r="N709" s="66"/>
      <c r="O709" s="66"/>
      <c r="P709" s="66"/>
      <c r="Q709" s="66"/>
      <c r="R709" s="66"/>
      <c r="S709" s="66"/>
      <c r="T709" s="66"/>
      <c r="U709" s="66"/>
      <c r="V709" s="66"/>
      <c r="W709" s="66"/>
      <c r="X709" s="66"/>
      <c r="Y709" s="66"/>
      <c r="Z709" s="66"/>
      <c r="AA709" s="66"/>
    </row>
    <row r="710" spans="1:27" ht="21" x14ac:dyDescent="0.65">
      <c r="A710" s="66"/>
      <c r="B710" s="66"/>
      <c r="C710" s="66"/>
      <c r="D710" s="66"/>
      <c r="E710" s="66"/>
      <c r="F710" s="66"/>
      <c r="G710" s="66"/>
      <c r="H710" s="66"/>
      <c r="I710" s="66"/>
      <c r="J710" s="66"/>
      <c r="K710" s="66"/>
      <c r="L710" s="66"/>
      <c r="M710" s="66"/>
      <c r="N710" s="66"/>
      <c r="O710" s="66"/>
      <c r="P710" s="66"/>
      <c r="Q710" s="66"/>
      <c r="R710" s="66"/>
      <c r="S710" s="66"/>
      <c r="T710" s="66"/>
      <c r="U710" s="66"/>
      <c r="V710" s="66"/>
      <c r="W710" s="66"/>
      <c r="X710" s="66"/>
      <c r="Y710" s="66"/>
      <c r="Z710" s="66"/>
      <c r="AA710" s="66"/>
    </row>
    <row r="711" spans="1:27" ht="21" x14ac:dyDescent="0.65">
      <c r="A711" s="66"/>
      <c r="B711" s="66"/>
      <c r="C711" s="66"/>
      <c r="D711" s="66"/>
      <c r="E711" s="66"/>
      <c r="F711" s="66"/>
      <c r="G711" s="66"/>
      <c r="H711" s="66"/>
      <c r="I711" s="66"/>
      <c r="J711" s="66"/>
      <c r="K711" s="66"/>
      <c r="L711" s="66"/>
      <c r="M711" s="66"/>
      <c r="N711" s="66"/>
      <c r="O711" s="66"/>
      <c r="P711" s="66"/>
      <c r="Q711" s="66"/>
      <c r="R711" s="66"/>
      <c r="S711" s="66"/>
      <c r="T711" s="66"/>
      <c r="U711" s="66"/>
      <c r="V711" s="66"/>
      <c r="W711" s="66"/>
      <c r="X711" s="66"/>
      <c r="Y711" s="66"/>
      <c r="Z711" s="66"/>
      <c r="AA711" s="66"/>
    </row>
    <row r="712" spans="1:27" ht="21" x14ac:dyDescent="0.65">
      <c r="A712" s="66"/>
      <c r="B712" s="66"/>
      <c r="C712" s="66"/>
      <c r="D712" s="66"/>
      <c r="E712" s="66"/>
      <c r="F712" s="66"/>
      <c r="G712" s="66"/>
      <c r="H712" s="66"/>
      <c r="I712" s="66"/>
      <c r="J712" s="66"/>
      <c r="K712" s="66"/>
      <c r="L712" s="66"/>
      <c r="M712" s="66"/>
      <c r="N712" s="66"/>
      <c r="O712" s="66"/>
      <c r="P712" s="66"/>
      <c r="Q712" s="66"/>
      <c r="R712" s="66"/>
      <c r="S712" s="66"/>
      <c r="T712" s="66"/>
      <c r="U712" s="66"/>
      <c r="V712" s="66"/>
      <c r="W712" s="66"/>
      <c r="X712" s="66"/>
      <c r="Y712" s="66"/>
      <c r="Z712" s="66"/>
      <c r="AA712" s="66"/>
    </row>
    <row r="713" spans="1:27" ht="21" x14ac:dyDescent="0.65">
      <c r="A713" s="66"/>
      <c r="B713" s="66"/>
      <c r="C713" s="66"/>
      <c r="D713" s="66"/>
      <c r="E713" s="66"/>
      <c r="F713" s="66"/>
      <c r="G713" s="66"/>
      <c r="H713" s="66"/>
      <c r="I713" s="66"/>
      <c r="J713" s="66"/>
      <c r="K713" s="66"/>
      <c r="L713" s="66"/>
      <c r="M713" s="66"/>
      <c r="N713" s="66"/>
      <c r="O713" s="66"/>
      <c r="P713" s="66"/>
      <c r="Q713" s="66"/>
      <c r="R713" s="66"/>
      <c r="S713" s="66"/>
      <c r="T713" s="66"/>
      <c r="U713" s="66"/>
      <c r="V713" s="66"/>
      <c r="W713" s="66"/>
      <c r="X713" s="66"/>
      <c r="Y713" s="66"/>
      <c r="Z713" s="66"/>
      <c r="AA713" s="66"/>
    </row>
    <row r="714" spans="1:27" ht="21" x14ac:dyDescent="0.65">
      <c r="A714" s="66"/>
      <c r="B714" s="66"/>
      <c r="C714" s="66"/>
      <c r="D714" s="66"/>
      <c r="E714" s="66"/>
      <c r="F714" s="66"/>
      <c r="G714" s="66"/>
      <c r="H714" s="66"/>
      <c r="I714" s="66"/>
      <c r="J714" s="66"/>
      <c r="K714" s="66"/>
      <c r="L714" s="66"/>
      <c r="M714" s="66"/>
      <c r="N714" s="66"/>
      <c r="O714" s="66"/>
      <c r="P714" s="66"/>
      <c r="Q714" s="66"/>
      <c r="R714" s="66"/>
      <c r="S714" s="66"/>
      <c r="T714" s="66"/>
      <c r="U714" s="66"/>
      <c r="V714" s="66"/>
      <c r="W714" s="66"/>
      <c r="X714" s="66"/>
      <c r="Y714" s="66"/>
      <c r="Z714" s="66"/>
      <c r="AA714" s="66"/>
    </row>
    <row r="715" spans="1:27" ht="21" x14ac:dyDescent="0.65">
      <c r="A715" s="66"/>
      <c r="B715" s="66"/>
      <c r="C715" s="66"/>
      <c r="D715" s="66"/>
      <c r="E715" s="66"/>
      <c r="F715" s="66"/>
      <c r="G715" s="66"/>
      <c r="H715" s="66"/>
      <c r="I715" s="66"/>
      <c r="J715" s="66"/>
      <c r="K715" s="66"/>
      <c r="L715" s="66"/>
      <c r="M715" s="66"/>
      <c r="N715" s="66"/>
      <c r="O715" s="66"/>
      <c r="P715" s="66"/>
      <c r="Q715" s="66"/>
      <c r="R715" s="66"/>
      <c r="S715" s="66"/>
      <c r="T715" s="66"/>
      <c r="U715" s="66"/>
      <c r="V715" s="66"/>
      <c r="W715" s="66"/>
      <c r="X715" s="66"/>
      <c r="Y715" s="66"/>
      <c r="Z715" s="66"/>
      <c r="AA715" s="66"/>
    </row>
    <row r="716" spans="1:27" ht="21" x14ac:dyDescent="0.65">
      <c r="A716" s="66"/>
      <c r="B716" s="66"/>
      <c r="C716" s="66"/>
      <c r="D716" s="66"/>
      <c r="E716" s="66"/>
      <c r="F716" s="66"/>
      <c r="G716" s="66"/>
      <c r="H716" s="66"/>
      <c r="I716" s="66"/>
      <c r="J716" s="66"/>
      <c r="K716" s="66"/>
      <c r="L716" s="66"/>
      <c r="M716" s="66"/>
      <c r="N716" s="66"/>
      <c r="O716" s="66"/>
      <c r="P716" s="66"/>
      <c r="Q716" s="66"/>
      <c r="R716" s="66"/>
      <c r="S716" s="66"/>
      <c r="T716" s="66"/>
      <c r="U716" s="66"/>
      <c r="V716" s="66"/>
      <c r="W716" s="66"/>
      <c r="X716" s="66"/>
      <c r="Y716" s="66"/>
      <c r="Z716" s="66"/>
      <c r="AA716" s="66"/>
    </row>
    <row r="717" spans="1:27" ht="21" x14ac:dyDescent="0.65">
      <c r="A717" s="66"/>
      <c r="B717" s="66"/>
      <c r="C717" s="66"/>
      <c r="D717" s="66"/>
      <c r="E717" s="66"/>
      <c r="F717" s="66"/>
      <c r="G717" s="66"/>
      <c r="H717" s="66"/>
      <c r="I717" s="66"/>
      <c r="J717" s="66"/>
      <c r="K717" s="66"/>
      <c r="L717" s="66"/>
      <c r="M717" s="66"/>
      <c r="N717" s="66"/>
      <c r="O717" s="66"/>
      <c r="P717" s="66"/>
      <c r="Q717" s="66"/>
      <c r="R717" s="66"/>
      <c r="S717" s="66"/>
      <c r="T717" s="66"/>
      <c r="U717" s="66"/>
      <c r="V717" s="66"/>
      <c r="W717" s="66"/>
      <c r="X717" s="66"/>
      <c r="Y717" s="66"/>
      <c r="Z717" s="66"/>
      <c r="AA717" s="66"/>
    </row>
    <row r="718" spans="1:27" ht="21" x14ac:dyDescent="0.65">
      <c r="A718" s="66"/>
      <c r="B718" s="66"/>
      <c r="C718" s="66"/>
      <c r="D718" s="66"/>
      <c r="E718" s="66"/>
      <c r="F718" s="66"/>
      <c r="G718" s="66"/>
      <c r="H718" s="66"/>
      <c r="I718" s="66"/>
      <c r="J718" s="66"/>
      <c r="K718" s="66"/>
      <c r="L718" s="66"/>
      <c r="M718" s="66"/>
      <c r="N718" s="66"/>
      <c r="O718" s="66"/>
      <c r="P718" s="66"/>
      <c r="Q718" s="66"/>
      <c r="R718" s="66"/>
      <c r="S718" s="66"/>
      <c r="T718" s="66"/>
      <c r="U718" s="66"/>
      <c r="V718" s="66"/>
      <c r="W718" s="66"/>
      <c r="X718" s="66"/>
      <c r="Y718" s="66"/>
      <c r="Z718" s="66"/>
      <c r="AA718" s="66"/>
    </row>
    <row r="719" spans="1:27" ht="21" x14ac:dyDescent="0.65">
      <c r="A719" s="66"/>
      <c r="B719" s="66"/>
      <c r="C719" s="66"/>
      <c r="D719" s="66"/>
      <c r="E719" s="66"/>
      <c r="F719" s="66"/>
      <c r="G719" s="66"/>
      <c r="H719" s="66"/>
      <c r="I719" s="66"/>
      <c r="J719" s="66"/>
      <c r="K719" s="66"/>
      <c r="L719" s="66"/>
      <c r="M719" s="66"/>
      <c r="N719" s="66"/>
      <c r="O719" s="66"/>
      <c r="P719" s="66"/>
      <c r="Q719" s="66"/>
      <c r="R719" s="66"/>
      <c r="S719" s="66"/>
      <c r="T719" s="66"/>
      <c r="U719" s="66"/>
      <c r="V719" s="66"/>
      <c r="W719" s="66"/>
      <c r="X719" s="66"/>
      <c r="Y719" s="66"/>
      <c r="Z719" s="66"/>
      <c r="AA719" s="66"/>
    </row>
    <row r="720" spans="1:27" ht="21" x14ac:dyDescent="0.65">
      <c r="A720" s="66"/>
      <c r="B720" s="66"/>
      <c r="C720" s="66"/>
      <c r="D720" s="66"/>
      <c r="E720" s="66"/>
      <c r="F720" s="66"/>
      <c r="G720" s="66"/>
      <c r="H720" s="66"/>
      <c r="I720" s="66"/>
      <c r="J720" s="66"/>
      <c r="K720" s="66"/>
      <c r="L720" s="66"/>
      <c r="M720" s="66"/>
      <c r="N720" s="66"/>
      <c r="O720" s="66"/>
      <c r="P720" s="66"/>
      <c r="Q720" s="66"/>
      <c r="R720" s="66"/>
      <c r="S720" s="66"/>
      <c r="T720" s="66"/>
      <c r="U720" s="66"/>
      <c r="V720" s="66"/>
      <c r="W720" s="66"/>
      <c r="X720" s="66"/>
      <c r="Y720" s="66"/>
      <c r="Z720" s="66"/>
      <c r="AA720" s="66"/>
    </row>
    <row r="721" spans="1:27" ht="21" x14ac:dyDescent="0.65">
      <c r="A721" s="66"/>
      <c r="B721" s="66"/>
      <c r="C721" s="66"/>
      <c r="D721" s="66"/>
      <c r="E721" s="66"/>
      <c r="F721" s="66"/>
      <c r="G721" s="66"/>
      <c r="H721" s="66"/>
      <c r="I721" s="66"/>
      <c r="J721" s="66"/>
      <c r="K721" s="66"/>
      <c r="L721" s="66"/>
      <c r="M721" s="66"/>
      <c r="N721" s="66"/>
      <c r="O721" s="66"/>
      <c r="P721" s="66"/>
      <c r="Q721" s="66"/>
      <c r="R721" s="66"/>
      <c r="S721" s="66"/>
      <c r="T721" s="66"/>
      <c r="U721" s="66"/>
      <c r="V721" s="66"/>
      <c r="W721" s="66"/>
      <c r="X721" s="66"/>
      <c r="Y721" s="66"/>
      <c r="Z721" s="66"/>
      <c r="AA721" s="66"/>
    </row>
    <row r="722" spans="1:27" ht="21" x14ac:dyDescent="0.65">
      <c r="A722" s="66"/>
      <c r="B722" s="66"/>
      <c r="C722" s="66"/>
      <c r="D722" s="66"/>
      <c r="E722" s="66"/>
      <c r="F722" s="66"/>
      <c r="G722" s="66"/>
      <c r="H722" s="66"/>
      <c r="I722" s="66"/>
      <c r="J722" s="66"/>
      <c r="K722" s="66"/>
      <c r="L722" s="66"/>
      <c r="M722" s="66"/>
      <c r="N722" s="66"/>
      <c r="O722" s="66"/>
      <c r="P722" s="66"/>
      <c r="Q722" s="66"/>
      <c r="R722" s="66"/>
      <c r="S722" s="66"/>
      <c r="T722" s="66"/>
      <c r="U722" s="66"/>
      <c r="V722" s="66"/>
      <c r="W722" s="66"/>
      <c r="X722" s="66"/>
      <c r="Y722" s="66"/>
      <c r="Z722" s="66"/>
      <c r="AA722" s="66"/>
    </row>
    <row r="723" spans="1:27" ht="21" x14ac:dyDescent="0.65">
      <c r="A723" s="66"/>
      <c r="B723" s="66"/>
      <c r="C723" s="66"/>
      <c r="D723" s="66"/>
      <c r="E723" s="66"/>
      <c r="F723" s="66"/>
      <c r="G723" s="66"/>
      <c r="H723" s="66"/>
      <c r="I723" s="66"/>
      <c r="J723" s="66"/>
      <c r="K723" s="66"/>
      <c r="L723" s="66"/>
      <c r="M723" s="66"/>
      <c r="N723" s="66"/>
      <c r="O723" s="66"/>
      <c r="P723" s="66"/>
      <c r="Q723" s="66"/>
      <c r="R723" s="66"/>
      <c r="S723" s="66"/>
      <c r="T723" s="66"/>
      <c r="U723" s="66"/>
      <c r="V723" s="66"/>
      <c r="W723" s="66"/>
      <c r="X723" s="66"/>
      <c r="Y723" s="66"/>
      <c r="Z723" s="66"/>
      <c r="AA723" s="66"/>
    </row>
    <row r="724" spans="1:27" ht="21" x14ac:dyDescent="0.65">
      <c r="A724" s="66"/>
      <c r="B724" s="66"/>
      <c r="C724" s="66"/>
      <c r="D724" s="66"/>
      <c r="E724" s="66"/>
      <c r="F724" s="66"/>
      <c r="G724" s="66"/>
      <c r="H724" s="66"/>
      <c r="I724" s="66"/>
      <c r="J724" s="66"/>
      <c r="K724" s="66"/>
      <c r="L724" s="66"/>
      <c r="M724" s="66"/>
      <c r="N724" s="66"/>
      <c r="O724" s="66"/>
      <c r="P724" s="66"/>
      <c r="Q724" s="66"/>
      <c r="R724" s="66"/>
      <c r="S724" s="66"/>
      <c r="T724" s="66"/>
      <c r="U724" s="66"/>
      <c r="V724" s="66"/>
      <c r="W724" s="66"/>
      <c r="X724" s="66"/>
      <c r="Y724" s="66"/>
      <c r="Z724" s="66"/>
      <c r="AA724" s="66"/>
    </row>
    <row r="725" spans="1:27" ht="21" x14ac:dyDescent="0.65">
      <c r="A725" s="66"/>
      <c r="B725" s="66"/>
      <c r="C725" s="66"/>
      <c r="D725" s="66"/>
      <c r="E725" s="66"/>
      <c r="F725" s="66"/>
      <c r="G725" s="66"/>
      <c r="H725" s="66"/>
      <c r="I725" s="66"/>
      <c r="J725" s="66"/>
      <c r="K725" s="66"/>
      <c r="L725" s="66"/>
      <c r="M725" s="66"/>
      <c r="N725" s="66"/>
      <c r="O725" s="66"/>
      <c r="P725" s="66"/>
      <c r="Q725" s="66"/>
      <c r="R725" s="66"/>
      <c r="S725" s="66"/>
      <c r="T725" s="66"/>
      <c r="U725" s="66"/>
      <c r="V725" s="66"/>
      <c r="W725" s="66"/>
      <c r="X725" s="66"/>
      <c r="Y725" s="66"/>
      <c r="Z725" s="66"/>
      <c r="AA725" s="66"/>
    </row>
    <row r="726" spans="1:27" ht="21" x14ac:dyDescent="0.65">
      <c r="A726" s="66"/>
      <c r="B726" s="66"/>
      <c r="C726" s="66"/>
      <c r="D726" s="66"/>
      <c r="E726" s="66"/>
      <c r="F726" s="66"/>
      <c r="G726" s="66"/>
      <c r="H726" s="66"/>
      <c r="I726" s="66"/>
      <c r="J726" s="66"/>
      <c r="K726" s="66"/>
      <c r="L726" s="66"/>
      <c r="M726" s="66"/>
      <c r="N726" s="66"/>
      <c r="O726" s="66"/>
      <c r="P726" s="66"/>
      <c r="Q726" s="66"/>
      <c r="R726" s="66"/>
      <c r="S726" s="66"/>
      <c r="T726" s="66"/>
      <c r="U726" s="66"/>
      <c r="V726" s="66"/>
      <c r="W726" s="66"/>
      <c r="X726" s="66"/>
      <c r="Y726" s="66"/>
      <c r="Z726" s="66"/>
      <c r="AA726" s="66"/>
    </row>
    <row r="727" spans="1:27" ht="21" x14ac:dyDescent="0.65">
      <c r="A727" s="66"/>
      <c r="B727" s="66"/>
      <c r="C727" s="66"/>
      <c r="D727" s="66"/>
      <c r="E727" s="66"/>
      <c r="F727" s="66"/>
      <c r="G727" s="66"/>
      <c r="H727" s="66"/>
      <c r="I727" s="66"/>
      <c r="J727" s="66"/>
      <c r="K727" s="66"/>
      <c r="L727" s="66"/>
      <c r="M727" s="66"/>
      <c r="N727" s="66"/>
      <c r="O727" s="66"/>
      <c r="P727" s="66"/>
      <c r="Q727" s="66"/>
      <c r="R727" s="66"/>
      <c r="S727" s="66"/>
      <c r="T727" s="66"/>
      <c r="U727" s="66"/>
      <c r="V727" s="66"/>
      <c r="W727" s="66"/>
      <c r="X727" s="66"/>
      <c r="Y727" s="66"/>
      <c r="Z727" s="66"/>
      <c r="AA727" s="66"/>
    </row>
    <row r="728" spans="1:27" ht="21" x14ac:dyDescent="0.65">
      <c r="A728" s="66"/>
      <c r="B728" s="66"/>
      <c r="C728" s="66"/>
      <c r="D728" s="66"/>
      <c r="E728" s="66"/>
      <c r="F728" s="66"/>
      <c r="G728" s="66"/>
      <c r="H728" s="66"/>
      <c r="I728" s="66"/>
      <c r="J728" s="66"/>
      <c r="K728" s="66"/>
      <c r="L728" s="66"/>
      <c r="M728" s="66"/>
      <c r="N728" s="66"/>
      <c r="O728" s="66"/>
      <c r="P728" s="66"/>
      <c r="Q728" s="66"/>
      <c r="R728" s="66"/>
      <c r="S728" s="66"/>
      <c r="T728" s="66"/>
      <c r="U728" s="66"/>
      <c r="V728" s="66"/>
      <c r="W728" s="66"/>
      <c r="X728" s="66"/>
      <c r="Y728" s="66"/>
      <c r="Z728" s="66"/>
      <c r="AA728" s="66"/>
    </row>
    <row r="729" spans="1:27" ht="21" x14ac:dyDescent="0.65">
      <c r="A729" s="66"/>
      <c r="B729" s="66"/>
      <c r="C729" s="66"/>
      <c r="D729" s="66"/>
      <c r="E729" s="66"/>
      <c r="F729" s="66"/>
      <c r="G729" s="66"/>
      <c r="H729" s="66"/>
      <c r="I729" s="66"/>
      <c r="J729" s="66"/>
      <c r="K729" s="66"/>
      <c r="L729" s="66"/>
      <c r="M729" s="66"/>
      <c r="N729" s="66"/>
      <c r="O729" s="66"/>
      <c r="P729" s="66"/>
      <c r="Q729" s="66"/>
      <c r="R729" s="66"/>
      <c r="S729" s="66"/>
      <c r="T729" s="66"/>
      <c r="U729" s="66"/>
      <c r="V729" s="66"/>
      <c r="W729" s="66"/>
      <c r="X729" s="66"/>
      <c r="Y729" s="66"/>
      <c r="Z729" s="66"/>
      <c r="AA729" s="66"/>
    </row>
    <row r="730" spans="1:27" ht="21" x14ac:dyDescent="0.65">
      <c r="A730" s="66"/>
      <c r="B730" s="66"/>
      <c r="C730" s="66"/>
      <c r="D730" s="66"/>
      <c r="E730" s="66"/>
      <c r="F730" s="66"/>
      <c r="G730" s="66"/>
      <c r="H730" s="66"/>
      <c r="I730" s="66"/>
      <c r="J730" s="66"/>
      <c r="K730" s="66"/>
      <c r="L730" s="66"/>
      <c r="M730" s="66"/>
      <c r="N730" s="66"/>
      <c r="O730" s="66"/>
      <c r="P730" s="66"/>
      <c r="Q730" s="66"/>
      <c r="R730" s="66"/>
      <c r="S730" s="66"/>
      <c r="T730" s="66"/>
      <c r="U730" s="66"/>
      <c r="V730" s="66"/>
      <c r="W730" s="66"/>
      <c r="X730" s="66"/>
      <c r="Y730" s="66"/>
      <c r="Z730" s="66"/>
      <c r="AA730" s="66"/>
    </row>
    <row r="731" spans="1:27" ht="21" x14ac:dyDescent="0.65">
      <c r="A731" s="66"/>
      <c r="B731" s="66"/>
      <c r="C731" s="66"/>
      <c r="D731" s="66"/>
      <c r="E731" s="66"/>
      <c r="F731" s="66"/>
      <c r="G731" s="66"/>
      <c r="H731" s="66"/>
      <c r="I731" s="66"/>
      <c r="J731" s="66"/>
      <c r="K731" s="66"/>
      <c r="L731" s="66"/>
      <c r="M731" s="66"/>
      <c r="N731" s="66"/>
      <c r="O731" s="66"/>
      <c r="P731" s="66"/>
      <c r="Q731" s="66"/>
      <c r="R731" s="66"/>
      <c r="S731" s="66"/>
      <c r="T731" s="66"/>
      <c r="U731" s="66"/>
      <c r="V731" s="66"/>
      <c r="W731" s="66"/>
      <c r="X731" s="66"/>
      <c r="Y731" s="66"/>
      <c r="Z731" s="66"/>
      <c r="AA731" s="66"/>
    </row>
    <row r="732" spans="1:27" ht="21" x14ac:dyDescent="0.65">
      <c r="A732" s="66"/>
      <c r="B732" s="66"/>
      <c r="C732" s="66"/>
      <c r="D732" s="66"/>
      <c r="E732" s="66"/>
      <c r="F732" s="66"/>
      <c r="G732" s="66"/>
      <c r="H732" s="66"/>
      <c r="I732" s="66"/>
      <c r="J732" s="66"/>
      <c r="K732" s="66"/>
      <c r="L732" s="66"/>
      <c r="M732" s="66"/>
      <c r="N732" s="66"/>
      <c r="O732" s="66"/>
      <c r="P732" s="66"/>
      <c r="Q732" s="66"/>
      <c r="R732" s="66"/>
      <c r="S732" s="66"/>
      <c r="T732" s="66"/>
      <c r="U732" s="66"/>
      <c r="V732" s="66"/>
      <c r="W732" s="66"/>
      <c r="X732" s="66"/>
      <c r="Y732" s="66"/>
      <c r="Z732" s="66"/>
      <c r="AA732" s="66"/>
    </row>
    <row r="733" spans="1:27" ht="21" x14ac:dyDescent="0.65">
      <c r="A733" s="66"/>
      <c r="B733" s="66"/>
      <c r="C733" s="66"/>
      <c r="D733" s="66"/>
      <c r="E733" s="66"/>
      <c r="F733" s="66"/>
      <c r="G733" s="66"/>
      <c r="H733" s="66"/>
      <c r="I733" s="66"/>
      <c r="J733" s="66"/>
      <c r="K733" s="66"/>
      <c r="L733" s="66"/>
      <c r="M733" s="66"/>
      <c r="N733" s="66"/>
      <c r="O733" s="66"/>
      <c r="P733" s="66"/>
      <c r="Q733" s="66"/>
      <c r="R733" s="66"/>
      <c r="S733" s="66"/>
      <c r="T733" s="66"/>
      <c r="U733" s="66"/>
      <c r="V733" s="66"/>
      <c r="W733" s="66"/>
      <c r="X733" s="66"/>
      <c r="Y733" s="66"/>
      <c r="Z733" s="66"/>
      <c r="AA733" s="66"/>
    </row>
    <row r="734" spans="1:27" ht="21" x14ac:dyDescent="0.65">
      <c r="A734" s="66"/>
      <c r="B734" s="66"/>
      <c r="C734" s="66"/>
      <c r="D734" s="66"/>
      <c r="E734" s="66"/>
      <c r="F734" s="66"/>
      <c r="G734" s="66"/>
      <c r="H734" s="66"/>
      <c r="I734" s="66"/>
      <c r="J734" s="66"/>
      <c r="K734" s="66"/>
      <c r="L734" s="66"/>
      <c r="M734" s="66"/>
      <c r="N734" s="66"/>
      <c r="O734" s="66"/>
      <c r="P734" s="66"/>
      <c r="Q734" s="66"/>
      <c r="R734" s="66"/>
      <c r="S734" s="66"/>
      <c r="T734" s="66"/>
      <c r="U734" s="66"/>
      <c r="V734" s="66"/>
      <c r="W734" s="66"/>
      <c r="X734" s="66"/>
      <c r="Y734" s="66"/>
      <c r="Z734" s="66"/>
      <c r="AA734" s="66"/>
    </row>
    <row r="735" spans="1:27" ht="21" x14ac:dyDescent="0.65">
      <c r="A735" s="66"/>
      <c r="B735" s="66"/>
      <c r="C735" s="66"/>
      <c r="D735" s="66"/>
      <c r="E735" s="66"/>
      <c r="F735" s="66"/>
      <c r="G735" s="66"/>
      <c r="H735" s="66"/>
      <c r="I735" s="66"/>
      <c r="J735" s="66"/>
      <c r="K735" s="66"/>
      <c r="L735" s="66"/>
      <c r="M735" s="66"/>
      <c r="N735" s="66"/>
      <c r="O735" s="66"/>
      <c r="P735" s="66"/>
      <c r="Q735" s="66"/>
      <c r="R735" s="66"/>
      <c r="S735" s="66"/>
      <c r="T735" s="66"/>
      <c r="U735" s="66"/>
      <c r="V735" s="66"/>
      <c r="W735" s="66"/>
      <c r="X735" s="66"/>
      <c r="Y735" s="66"/>
      <c r="Z735" s="66"/>
      <c r="AA735" s="66"/>
    </row>
    <row r="736" spans="1:27" ht="21" x14ac:dyDescent="0.65">
      <c r="A736" s="66"/>
      <c r="B736" s="66"/>
      <c r="C736" s="66"/>
      <c r="D736" s="66"/>
      <c r="E736" s="66"/>
      <c r="F736" s="66"/>
      <c r="G736" s="66"/>
      <c r="H736" s="66"/>
      <c r="I736" s="66"/>
      <c r="J736" s="66"/>
      <c r="K736" s="66"/>
      <c r="L736" s="66"/>
      <c r="M736" s="66"/>
      <c r="N736" s="66"/>
      <c r="O736" s="66"/>
      <c r="P736" s="66"/>
      <c r="Q736" s="66"/>
      <c r="R736" s="66"/>
      <c r="S736" s="66"/>
      <c r="T736" s="66"/>
      <c r="U736" s="66"/>
      <c r="V736" s="66"/>
      <c r="W736" s="66"/>
      <c r="X736" s="66"/>
      <c r="Y736" s="66"/>
      <c r="Z736" s="66"/>
      <c r="AA736" s="66"/>
    </row>
    <row r="737" spans="1:27" ht="21" x14ac:dyDescent="0.65">
      <c r="A737" s="66"/>
      <c r="B737" s="66"/>
      <c r="C737" s="66"/>
      <c r="D737" s="66"/>
      <c r="E737" s="66"/>
      <c r="F737" s="66"/>
      <c r="G737" s="66"/>
      <c r="H737" s="66"/>
      <c r="I737" s="66"/>
      <c r="J737" s="66"/>
      <c r="K737" s="66"/>
      <c r="L737" s="66"/>
      <c r="M737" s="66"/>
      <c r="N737" s="66"/>
      <c r="O737" s="66"/>
      <c r="P737" s="66"/>
      <c r="Q737" s="66"/>
      <c r="R737" s="66"/>
      <c r="S737" s="66"/>
      <c r="T737" s="66"/>
      <c r="U737" s="66"/>
      <c r="V737" s="66"/>
      <c r="W737" s="66"/>
      <c r="X737" s="66"/>
      <c r="Y737" s="66"/>
      <c r="Z737" s="66"/>
      <c r="AA737" s="66"/>
    </row>
    <row r="738" spans="1:27" ht="21" x14ac:dyDescent="0.65">
      <c r="A738" s="66"/>
      <c r="B738" s="66"/>
      <c r="C738" s="66"/>
      <c r="D738" s="66"/>
      <c r="E738" s="66"/>
      <c r="F738" s="66"/>
      <c r="G738" s="66"/>
      <c r="H738" s="66"/>
      <c r="I738" s="66"/>
      <c r="J738" s="66"/>
      <c r="K738" s="66"/>
      <c r="L738" s="66"/>
      <c r="M738" s="66"/>
      <c r="N738" s="66"/>
      <c r="O738" s="66"/>
      <c r="P738" s="66"/>
      <c r="Q738" s="66"/>
      <c r="R738" s="66"/>
      <c r="S738" s="66"/>
      <c r="T738" s="66"/>
      <c r="U738" s="66"/>
      <c r="V738" s="66"/>
      <c r="W738" s="66"/>
      <c r="X738" s="66"/>
      <c r="Y738" s="66"/>
      <c r="Z738" s="66"/>
      <c r="AA738" s="66"/>
    </row>
    <row r="739" spans="1:27" ht="21" x14ac:dyDescent="0.65">
      <c r="A739" s="66"/>
      <c r="B739" s="66"/>
      <c r="C739" s="66"/>
      <c r="D739" s="66"/>
      <c r="E739" s="66"/>
      <c r="F739" s="66"/>
      <c r="G739" s="66"/>
      <c r="H739" s="66"/>
      <c r="I739" s="66"/>
      <c r="J739" s="66"/>
      <c r="K739" s="66"/>
      <c r="L739" s="66"/>
      <c r="M739" s="66"/>
      <c r="N739" s="66"/>
      <c r="O739" s="66"/>
      <c r="P739" s="66"/>
      <c r="Q739" s="66"/>
      <c r="R739" s="66"/>
      <c r="S739" s="66"/>
      <c r="T739" s="66"/>
      <c r="U739" s="66"/>
      <c r="V739" s="66"/>
      <c r="W739" s="66"/>
      <c r="X739" s="66"/>
      <c r="Y739" s="66"/>
      <c r="Z739" s="66"/>
      <c r="AA739" s="66"/>
    </row>
    <row r="740" spans="1:27" ht="21" x14ac:dyDescent="0.65">
      <c r="A740" s="66"/>
      <c r="B740" s="66"/>
      <c r="C740" s="66"/>
      <c r="D740" s="66"/>
      <c r="E740" s="66"/>
      <c r="F740" s="66"/>
      <c r="G740" s="66"/>
      <c r="H740" s="66"/>
      <c r="I740" s="66"/>
      <c r="J740" s="66"/>
      <c r="K740" s="66"/>
      <c r="L740" s="66"/>
      <c r="M740" s="66"/>
      <c r="N740" s="66"/>
      <c r="O740" s="66"/>
      <c r="P740" s="66"/>
      <c r="Q740" s="66"/>
      <c r="R740" s="66"/>
      <c r="S740" s="66"/>
      <c r="T740" s="66"/>
      <c r="U740" s="66"/>
      <c r="V740" s="66"/>
      <c r="W740" s="66"/>
      <c r="X740" s="66"/>
      <c r="Y740" s="66"/>
      <c r="Z740" s="66"/>
      <c r="AA740" s="66"/>
    </row>
    <row r="741" spans="1:27" ht="21" x14ac:dyDescent="0.65">
      <c r="A741" s="66"/>
      <c r="B741" s="66"/>
      <c r="C741" s="66"/>
      <c r="D741" s="66"/>
      <c r="E741" s="66"/>
      <c r="F741" s="66"/>
      <c r="G741" s="66"/>
      <c r="H741" s="66"/>
      <c r="I741" s="66"/>
      <c r="J741" s="66"/>
      <c r="K741" s="66"/>
      <c r="L741" s="66"/>
      <c r="M741" s="66"/>
      <c r="N741" s="66"/>
      <c r="O741" s="66"/>
      <c r="P741" s="66"/>
      <c r="Q741" s="66"/>
      <c r="R741" s="66"/>
      <c r="S741" s="66"/>
      <c r="T741" s="66"/>
      <c r="U741" s="66"/>
      <c r="V741" s="66"/>
      <c r="W741" s="66"/>
      <c r="X741" s="66"/>
      <c r="Y741" s="66"/>
      <c r="Z741" s="66"/>
      <c r="AA741" s="66"/>
    </row>
    <row r="742" spans="1:27" ht="21" x14ac:dyDescent="0.65">
      <c r="A742" s="66"/>
      <c r="B742" s="66"/>
      <c r="C742" s="66"/>
      <c r="D742" s="66"/>
      <c r="E742" s="66"/>
      <c r="F742" s="66"/>
      <c r="G742" s="66"/>
      <c r="H742" s="66"/>
      <c r="I742" s="66"/>
      <c r="J742" s="66"/>
      <c r="K742" s="66"/>
      <c r="L742" s="66"/>
      <c r="M742" s="66"/>
      <c r="N742" s="66"/>
      <c r="O742" s="66"/>
      <c r="P742" s="66"/>
      <c r="Q742" s="66"/>
      <c r="R742" s="66"/>
      <c r="S742" s="66"/>
      <c r="T742" s="66"/>
      <c r="U742" s="66"/>
      <c r="V742" s="66"/>
      <c r="W742" s="66"/>
      <c r="X742" s="66"/>
      <c r="Y742" s="66"/>
      <c r="Z742" s="66"/>
      <c r="AA742" s="66"/>
    </row>
    <row r="743" spans="1:27" ht="21" x14ac:dyDescent="0.65">
      <c r="A743" s="66"/>
      <c r="B743" s="66"/>
      <c r="C743" s="66"/>
      <c r="D743" s="66"/>
      <c r="E743" s="66"/>
      <c r="F743" s="66"/>
      <c r="G743" s="66"/>
      <c r="H743" s="66"/>
      <c r="I743" s="66"/>
      <c r="J743" s="66"/>
      <c r="K743" s="66"/>
      <c r="L743" s="66"/>
      <c r="M743" s="66"/>
      <c r="N743" s="66"/>
      <c r="O743" s="66"/>
      <c r="P743" s="66"/>
      <c r="Q743" s="66"/>
      <c r="R743" s="66"/>
      <c r="S743" s="66"/>
      <c r="T743" s="66"/>
      <c r="U743" s="66"/>
      <c r="V743" s="66"/>
      <c r="W743" s="66"/>
      <c r="X743" s="66"/>
      <c r="Y743" s="66"/>
      <c r="Z743" s="66"/>
      <c r="AA743" s="66"/>
    </row>
    <row r="744" spans="1:27" ht="21" x14ac:dyDescent="0.65">
      <c r="A744" s="66"/>
      <c r="B744" s="66"/>
      <c r="C744" s="66"/>
      <c r="D744" s="66"/>
      <c r="E744" s="66"/>
      <c r="F744" s="66"/>
      <c r="G744" s="66"/>
      <c r="H744" s="66"/>
      <c r="I744" s="66"/>
      <c r="J744" s="66"/>
      <c r="K744" s="66"/>
      <c r="L744" s="66"/>
      <c r="M744" s="66"/>
      <c r="N744" s="66"/>
      <c r="O744" s="66"/>
      <c r="P744" s="66"/>
      <c r="Q744" s="66"/>
      <c r="R744" s="66"/>
      <c r="S744" s="66"/>
      <c r="T744" s="66"/>
      <c r="U744" s="66"/>
      <c r="V744" s="66"/>
      <c r="W744" s="66"/>
      <c r="X744" s="66"/>
      <c r="Y744" s="66"/>
      <c r="Z744" s="66"/>
      <c r="AA744" s="66"/>
    </row>
    <row r="745" spans="1:27" ht="21" x14ac:dyDescent="0.65">
      <c r="A745" s="66"/>
      <c r="B745" s="66"/>
      <c r="C745" s="66"/>
      <c r="D745" s="66"/>
      <c r="E745" s="66"/>
      <c r="F745" s="66"/>
      <c r="G745" s="66"/>
      <c r="H745" s="66"/>
      <c r="I745" s="66"/>
      <c r="J745" s="66"/>
      <c r="K745" s="66"/>
      <c r="L745" s="66"/>
      <c r="M745" s="66"/>
      <c r="N745" s="66"/>
      <c r="O745" s="66"/>
      <c r="P745" s="66"/>
      <c r="Q745" s="66"/>
      <c r="R745" s="66"/>
      <c r="S745" s="66"/>
      <c r="T745" s="66"/>
      <c r="U745" s="66"/>
      <c r="V745" s="66"/>
      <c r="W745" s="66"/>
      <c r="X745" s="66"/>
      <c r="Y745" s="66"/>
      <c r="Z745" s="66"/>
      <c r="AA745" s="66"/>
    </row>
    <row r="746" spans="1:27" ht="21" x14ac:dyDescent="0.65">
      <c r="A746" s="66"/>
      <c r="B746" s="66"/>
      <c r="C746" s="66"/>
      <c r="D746" s="66"/>
      <c r="E746" s="66"/>
      <c r="F746" s="66"/>
      <c r="G746" s="66"/>
      <c r="H746" s="66"/>
      <c r="I746" s="66"/>
      <c r="J746" s="66"/>
      <c r="K746" s="66"/>
      <c r="L746" s="66"/>
      <c r="M746" s="66"/>
      <c r="N746" s="66"/>
      <c r="O746" s="66"/>
      <c r="P746" s="66"/>
      <c r="Q746" s="66"/>
      <c r="R746" s="66"/>
      <c r="S746" s="66"/>
      <c r="T746" s="66"/>
      <c r="U746" s="66"/>
      <c r="V746" s="66"/>
      <c r="W746" s="66"/>
      <c r="X746" s="66"/>
      <c r="Y746" s="66"/>
      <c r="Z746" s="66"/>
      <c r="AA746" s="66"/>
    </row>
    <row r="747" spans="1:27" ht="21" x14ac:dyDescent="0.65">
      <c r="A747" s="66"/>
      <c r="B747" s="66"/>
      <c r="C747" s="66"/>
      <c r="D747" s="66"/>
      <c r="E747" s="66"/>
      <c r="F747" s="66"/>
      <c r="G747" s="66"/>
      <c r="H747" s="66"/>
      <c r="I747" s="66"/>
      <c r="J747" s="66"/>
      <c r="K747" s="66"/>
      <c r="L747" s="66"/>
      <c r="M747" s="66"/>
      <c r="N747" s="66"/>
      <c r="O747" s="66"/>
      <c r="P747" s="66"/>
      <c r="Q747" s="66"/>
      <c r="R747" s="66"/>
      <c r="S747" s="66"/>
      <c r="T747" s="66"/>
      <c r="U747" s="66"/>
      <c r="V747" s="66"/>
      <c r="W747" s="66"/>
      <c r="X747" s="66"/>
      <c r="Y747" s="66"/>
      <c r="Z747" s="66"/>
      <c r="AA747" s="66"/>
    </row>
    <row r="748" spans="1:27" ht="21" x14ac:dyDescent="0.65">
      <c r="A748" s="66"/>
      <c r="B748" s="66"/>
      <c r="C748" s="66"/>
      <c r="D748" s="66"/>
      <c r="E748" s="66"/>
      <c r="F748" s="66"/>
      <c r="G748" s="66"/>
      <c r="H748" s="66"/>
      <c r="I748" s="66"/>
      <c r="J748" s="66"/>
      <c r="K748" s="66"/>
      <c r="L748" s="66"/>
      <c r="M748" s="66"/>
      <c r="N748" s="66"/>
      <c r="O748" s="66"/>
      <c r="P748" s="66"/>
      <c r="Q748" s="66"/>
      <c r="R748" s="66"/>
      <c r="S748" s="66"/>
      <c r="T748" s="66"/>
      <c r="U748" s="66"/>
      <c r="V748" s="66"/>
      <c r="W748" s="66"/>
      <c r="X748" s="66"/>
      <c r="Y748" s="66"/>
      <c r="Z748" s="66"/>
      <c r="AA748" s="66"/>
    </row>
    <row r="749" spans="1:27" ht="21" x14ac:dyDescent="0.65">
      <c r="A749" s="66"/>
      <c r="B749" s="66"/>
      <c r="C749" s="66"/>
      <c r="D749" s="66"/>
      <c r="E749" s="66"/>
      <c r="F749" s="66"/>
      <c r="G749" s="66"/>
      <c r="H749" s="66"/>
      <c r="I749" s="66"/>
      <c r="J749" s="66"/>
      <c r="K749" s="66"/>
      <c r="L749" s="66"/>
      <c r="M749" s="66"/>
      <c r="N749" s="66"/>
      <c r="O749" s="66"/>
      <c r="P749" s="66"/>
      <c r="Q749" s="66"/>
      <c r="R749" s="66"/>
      <c r="S749" s="66"/>
      <c r="T749" s="66"/>
      <c r="U749" s="66"/>
      <c r="V749" s="66"/>
      <c r="W749" s="66"/>
      <c r="X749" s="66"/>
      <c r="Y749" s="66"/>
      <c r="Z749" s="66"/>
      <c r="AA749" s="66"/>
    </row>
    <row r="750" spans="1:27" ht="21" x14ac:dyDescent="0.65">
      <c r="A750" s="66"/>
      <c r="B750" s="66"/>
      <c r="C750" s="66"/>
      <c r="D750" s="66"/>
      <c r="E750" s="66"/>
      <c r="F750" s="66"/>
      <c r="G750" s="66"/>
      <c r="H750" s="66"/>
      <c r="I750" s="66"/>
      <c r="J750" s="66"/>
      <c r="K750" s="66"/>
      <c r="L750" s="66"/>
      <c r="M750" s="66"/>
      <c r="N750" s="66"/>
      <c r="O750" s="66"/>
      <c r="P750" s="66"/>
      <c r="Q750" s="66"/>
      <c r="R750" s="66"/>
      <c r="S750" s="66"/>
      <c r="T750" s="66"/>
      <c r="U750" s="66"/>
      <c r="V750" s="66"/>
      <c r="W750" s="66"/>
      <c r="X750" s="66"/>
      <c r="Y750" s="66"/>
      <c r="Z750" s="66"/>
      <c r="AA750" s="66"/>
    </row>
    <row r="751" spans="1:27" ht="21" x14ac:dyDescent="0.65">
      <c r="A751" s="66"/>
      <c r="B751" s="66"/>
      <c r="C751" s="66"/>
      <c r="D751" s="66"/>
      <c r="E751" s="66"/>
      <c r="F751" s="66"/>
      <c r="G751" s="66"/>
      <c r="H751" s="66"/>
      <c r="I751" s="66"/>
      <c r="J751" s="66"/>
      <c r="K751" s="66"/>
      <c r="L751" s="66"/>
      <c r="M751" s="66"/>
      <c r="N751" s="66"/>
      <c r="O751" s="66"/>
      <c r="P751" s="66"/>
      <c r="Q751" s="66"/>
      <c r="R751" s="66"/>
      <c r="S751" s="66"/>
      <c r="T751" s="66"/>
      <c r="U751" s="66"/>
      <c r="V751" s="66"/>
      <c r="W751" s="66"/>
      <c r="X751" s="66"/>
      <c r="Y751" s="66"/>
      <c r="Z751" s="66"/>
      <c r="AA751" s="66"/>
    </row>
    <row r="752" spans="1:27" ht="21" x14ac:dyDescent="0.65">
      <c r="A752" s="66"/>
      <c r="B752" s="66"/>
      <c r="C752" s="66"/>
      <c r="D752" s="66"/>
      <c r="E752" s="66"/>
      <c r="F752" s="66"/>
      <c r="G752" s="66"/>
      <c r="H752" s="66"/>
      <c r="I752" s="66"/>
      <c r="J752" s="66"/>
      <c r="K752" s="66"/>
      <c r="L752" s="66"/>
      <c r="M752" s="66"/>
      <c r="N752" s="66"/>
      <c r="O752" s="66"/>
      <c r="P752" s="66"/>
      <c r="Q752" s="66"/>
      <c r="R752" s="66"/>
      <c r="S752" s="66"/>
      <c r="T752" s="66"/>
      <c r="U752" s="66"/>
      <c r="V752" s="66"/>
      <c r="W752" s="66"/>
      <c r="X752" s="66"/>
      <c r="Y752" s="66"/>
      <c r="Z752" s="66"/>
      <c r="AA752" s="66"/>
    </row>
    <row r="753" spans="1:27" ht="21" x14ac:dyDescent="0.65">
      <c r="A753" s="66"/>
      <c r="B753" s="66"/>
      <c r="C753" s="66"/>
      <c r="D753" s="66"/>
      <c r="E753" s="66"/>
      <c r="F753" s="66"/>
      <c r="G753" s="66"/>
      <c r="H753" s="66"/>
      <c r="I753" s="66"/>
      <c r="J753" s="66"/>
      <c r="K753" s="66"/>
      <c r="L753" s="66"/>
      <c r="M753" s="66"/>
      <c r="N753" s="66"/>
      <c r="O753" s="66"/>
      <c r="P753" s="66"/>
      <c r="Q753" s="66"/>
      <c r="R753" s="66"/>
      <c r="S753" s="66"/>
      <c r="T753" s="66"/>
      <c r="U753" s="66"/>
      <c r="V753" s="66"/>
      <c r="W753" s="66"/>
      <c r="X753" s="66"/>
      <c r="Y753" s="66"/>
      <c r="Z753" s="66"/>
      <c r="AA753" s="66"/>
    </row>
    <row r="754" spans="1:27" ht="21" x14ac:dyDescent="0.65">
      <c r="A754" s="66"/>
      <c r="B754" s="66"/>
      <c r="C754" s="66"/>
      <c r="D754" s="66"/>
      <c r="E754" s="66"/>
      <c r="F754" s="66"/>
      <c r="G754" s="66"/>
      <c r="H754" s="66"/>
      <c r="I754" s="66"/>
      <c r="J754" s="66"/>
      <c r="K754" s="66"/>
      <c r="L754" s="66"/>
      <c r="M754" s="66"/>
      <c r="N754" s="66"/>
      <c r="O754" s="66"/>
      <c r="P754" s="66"/>
      <c r="Q754" s="66"/>
      <c r="R754" s="66"/>
      <c r="S754" s="66"/>
      <c r="T754" s="66"/>
      <c r="U754" s="66"/>
      <c r="V754" s="66"/>
      <c r="W754" s="66"/>
      <c r="X754" s="66"/>
      <c r="Y754" s="66"/>
      <c r="Z754" s="66"/>
      <c r="AA754" s="66"/>
    </row>
    <row r="755" spans="1:27" ht="21" x14ac:dyDescent="0.65">
      <c r="A755" s="66"/>
      <c r="B755" s="66"/>
      <c r="C755" s="66"/>
      <c r="D755" s="66"/>
      <c r="E755" s="66"/>
      <c r="F755" s="66"/>
      <c r="G755" s="66"/>
      <c r="H755" s="66"/>
      <c r="I755" s="66"/>
      <c r="J755" s="66"/>
      <c r="K755" s="66"/>
      <c r="L755" s="66"/>
      <c r="M755" s="66"/>
      <c r="N755" s="66"/>
      <c r="O755" s="66"/>
      <c r="P755" s="66"/>
      <c r="Q755" s="66"/>
      <c r="R755" s="66"/>
      <c r="S755" s="66"/>
      <c r="T755" s="66"/>
      <c r="U755" s="66"/>
      <c r="V755" s="66"/>
      <c r="W755" s="66"/>
      <c r="X755" s="66"/>
      <c r="Y755" s="66"/>
      <c r="Z755" s="66"/>
      <c r="AA755" s="66"/>
    </row>
    <row r="756" spans="1:27" ht="21" x14ac:dyDescent="0.65">
      <c r="A756" s="66"/>
      <c r="B756" s="66"/>
      <c r="C756" s="66"/>
      <c r="D756" s="66"/>
      <c r="E756" s="66"/>
      <c r="F756" s="66"/>
      <c r="G756" s="66"/>
      <c r="H756" s="66"/>
      <c r="I756" s="66"/>
      <c r="J756" s="66"/>
      <c r="K756" s="66"/>
      <c r="L756" s="66"/>
      <c r="M756" s="66"/>
      <c r="N756" s="66"/>
      <c r="O756" s="66"/>
      <c r="P756" s="66"/>
      <c r="Q756" s="66"/>
      <c r="R756" s="66"/>
      <c r="S756" s="66"/>
      <c r="T756" s="66"/>
      <c r="U756" s="66"/>
      <c r="V756" s="66"/>
      <c r="W756" s="66"/>
      <c r="X756" s="66"/>
      <c r="Y756" s="66"/>
      <c r="Z756" s="66"/>
      <c r="AA756" s="66"/>
    </row>
    <row r="757" spans="1:27" ht="21" x14ac:dyDescent="0.65">
      <c r="A757" s="66"/>
      <c r="B757" s="66"/>
      <c r="C757" s="66"/>
      <c r="D757" s="66"/>
      <c r="E757" s="66"/>
      <c r="F757" s="66"/>
      <c r="G757" s="66"/>
      <c r="H757" s="66"/>
      <c r="I757" s="66"/>
      <c r="J757" s="66"/>
      <c r="K757" s="66"/>
      <c r="L757" s="66"/>
      <c r="M757" s="66"/>
      <c r="N757" s="66"/>
      <c r="O757" s="66"/>
      <c r="P757" s="66"/>
      <c r="Q757" s="66"/>
      <c r="R757" s="66"/>
      <c r="S757" s="66"/>
      <c r="T757" s="66"/>
      <c r="U757" s="66"/>
      <c r="V757" s="66"/>
      <c r="W757" s="66"/>
      <c r="X757" s="66"/>
      <c r="Y757" s="66"/>
      <c r="Z757" s="66"/>
      <c r="AA757" s="66"/>
    </row>
    <row r="758" spans="1:27" ht="21" x14ac:dyDescent="0.65">
      <c r="A758" s="66"/>
      <c r="B758" s="66"/>
      <c r="C758" s="66"/>
      <c r="D758" s="66"/>
      <c r="E758" s="66"/>
      <c r="F758" s="66"/>
      <c r="G758" s="66"/>
      <c r="H758" s="66"/>
      <c r="I758" s="66"/>
      <c r="J758" s="66"/>
      <c r="K758" s="66"/>
      <c r="L758" s="66"/>
      <c r="M758" s="66"/>
      <c r="N758" s="66"/>
      <c r="O758" s="66"/>
      <c r="P758" s="66"/>
      <c r="Q758" s="66"/>
      <c r="R758" s="66"/>
      <c r="S758" s="66"/>
      <c r="T758" s="66"/>
      <c r="U758" s="66"/>
      <c r="V758" s="66"/>
      <c r="W758" s="66"/>
      <c r="X758" s="66"/>
      <c r="Y758" s="66"/>
      <c r="Z758" s="66"/>
      <c r="AA758" s="66"/>
    </row>
    <row r="759" spans="1:27" ht="21" x14ac:dyDescent="0.65">
      <c r="A759" s="66"/>
      <c r="B759" s="66"/>
      <c r="C759" s="66"/>
      <c r="D759" s="66"/>
      <c r="E759" s="66"/>
      <c r="F759" s="66"/>
      <c r="G759" s="66"/>
      <c r="H759" s="66"/>
      <c r="I759" s="66"/>
      <c r="J759" s="66"/>
      <c r="K759" s="66"/>
      <c r="L759" s="66"/>
      <c r="M759" s="66"/>
      <c r="N759" s="66"/>
      <c r="O759" s="66"/>
      <c r="P759" s="66"/>
      <c r="Q759" s="66"/>
      <c r="R759" s="66"/>
      <c r="S759" s="66"/>
      <c r="T759" s="66"/>
      <c r="U759" s="66"/>
      <c r="V759" s="66"/>
      <c r="W759" s="66"/>
      <c r="X759" s="66"/>
      <c r="Y759" s="66"/>
      <c r="Z759" s="66"/>
      <c r="AA759" s="66"/>
    </row>
    <row r="760" spans="1:27" ht="21" x14ac:dyDescent="0.65">
      <c r="A760" s="66"/>
      <c r="B760" s="66"/>
      <c r="C760" s="66"/>
      <c r="D760" s="66"/>
      <c r="E760" s="66"/>
      <c r="F760" s="66"/>
      <c r="G760" s="66"/>
      <c r="H760" s="66"/>
      <c r="I760" s="66"/>
      <c r="J760" s="66"/>
      <c r="K760" s="66"/>
      <c r="L760" s="66"/>
      <c r="M760" s="66"/>
      <c r="N760" s="66"/>
      <c r="O760" s="66"/>
      <c r="P760" s="66"/>
      <c r="Q760" s="66"/>
      <c r="R760" s="66"/>
      <c r="S760" s="66"/>
      <c r="T760" s="66"/>
      <c r="U760" s="66"/>
      <c r="V760" s="66"/>
      <c r="W760" s="66"/>
      <c r="X760" s="66"/>
      <c r="Y760" s="66"/>
      <c r="Z760" s="66"/>
      <c r="AA760" s="66"/>
    </row>
    <row r="761" spans="1:27" ht="21" x14ac:dyDescent="0.65">
      <c r="A761" s="66"/>
      <c r="B761" s="66"/>
      <c r="C761" s="66"/>
      <c r="D761" s="66"/>
      <c r="E761" s="66"/>
      <c r="F761" s="66"/>
      <c r="G761" s="66"/>
      <c r="H761" s="66"/>
      <c r="I761" s="66"/>
      <c r="J761" s="66"/>
      <c r="K761" s="66"/>
      <c r="L761" s="66"/>
      <c r="M761" s="66"/>
      <c r="N761" s="66"/>
      <c r="O761" s="66"/>
      <c r="P761" s="66"/>
      <c r="Q761" s="66"/>
      <c r="R761" s="66"/>
      <c r="S761" s="66"/>
      <c r="T761" s="66"/>
      <c r="U761" s="66"/>
      <c r="V761" s="66"/>
      <c r="W761" s="66"/>
      <c r="X761" s="66"/>
      <c r="Y761" s="66"/>
      <c r="Z761" s="66"/>
      <c r="AA761" s="66"/>
    </row>
    <row r="762" spans="1:27" ht="21" x14ac:dyDescent="0.65">
      <c r="A762" s="66"/>
      <c r="B762" s="66"/>
      <c r="C762" s="66"/>
      <c r="D762" s="66"/>
      <c r="E762" s="66"/>
      <c r="F762" s="66"/>
      <c r="G762" s="66"/>
      <c r="H762" s="66"/>
      <c r="I762" s="66"/>
      <c r="J762" s="66"/>
      <c r="K762" s="66"/>
      <c r="L762" s="66"/>
      <c r="M762" s="66"/>
      <c r="N762" s="66"/>
      <c r="O762" s="66"/>
      <c r="P762" s="66"/>
      <c r="Q762" s="66"/>
      <c r="R762" s="66"/>
      <c r="S762" s="66"/>
      <c r="T762" s="66"/>
      <c r="U762" s="66"/>
      <c r="V762" s="66"/>
      <c r="W762" s="66"/>
      <c r="X762" s="66"/>
      <c r="Y762" s="66"/>
      <c r="Z762" s="66"/>
      <c r="AA762" s="66"/>
    </row>
    <row r="763" spans="1:27" ht="21" x14ac:dyDescent="0.65">
      <c r="A763" s="66"/>
      <c r="B763" s="66"/>
      <c r="C763" s="66"/>
      <c r="D763" s="66"/>
      <c r="E763" s="66"/>
      <c r="F763" s="66"/>
      <c r="G763" s="66"/>
      <c r="H763" s="66"/>
      <c r="I763" s="66"/>
      <c r="J763" s="66"/>
      <c r="K763" s="66"/>
      <c r="L763" s="66"/>
      <c r="M763" s="66"/>
      <c r="N763" s="66"/>
      <c r="O763" s="66"/>
      <c r="P763" s="66"/>
      <c r="Q763" s="66"/>
      <c r="R763" s="66"/>
      <c r="S763" s="66"/>
      <c r="T763" s="66"/>
      <c r="U763" s="66"/>
      <c r="V763" s="66"/>
      <c r="W763" s="66"/>
      <c r="X763" s="66"/>
      <c r="Y763" s="66"/>
      <c r="Z763" s="66"/>
      <c r="AA763" s="66"/>
    </row>
    <row r="764" spans="1:27" ht="21" x14ac:dyDescent="0.65">
      <c r="A764" s="66"/>
      <c r="B764" s="66"/>
      <c r="C764" s="66"/>
      <c r="D764" s="66"/>
      <c r="E764" s="66"/>
      <c r="F764" s="66"/>
      <c r="G764" s="66"/>
      <c r="H764" s="66"/>
      <c r="I764" s="66"/>
      <c r="J764" s="66"/>
      <c r="K764" s="66"/>
      <c r="L764" s="66"/>
      <c r="M764" s="66"/>
      <c r="N764" s="66"/>
      <c r="O764" s="66"/>
      <c r="P764" s="66"/>
      <c r="Q764" s="66"/>
      <c r="R764" s="66"/>
      <c r="S764" s="66"/>
      <c r="T764" s="66"/>
      <c r="U764" s="66"/>
      <c r="V764" s="66"/>
      <c r="W764" s="66"/>
      <c r="X764" s="66"/>
      <c r="Y764" s="66"/>
      <c r="Z764" s="66"/>
      <c r="AA764" s="66"/>
    </row>
    <row r="765" spans="1:27" ht="21" x14ac:dyDescent="0.65">
      <c r="A765" s="66"/>
      <c r="B765" s="66"/>
      <c r="C765" s="66"/>
      <c r="D765" s="66"/>
      <c r="E765" s="66"/>
      <c r="F765" s="66"/>
      <c r="G765" s="66"/>
      <c r="H765" s="66"/>
      <c r="I765" s="66"/>
      <c r="J765" s="66"/>
      <c r="K765" s="66"/>
      <c r="L765" s="66"/>
      <c r="M765" s="66"/>
      <c r="N765" s="66"/>
      <c r="O765" s="66"/>
      <c r="P765" s="66"/>
      <c r="Q765" s="66"/>
      <c r="R765" s="66"/>
      <c r="S765" s="66"/>
      <c r="T765" s="66"/>
      <c r="U765" s="66"/>
      <c r="V765" s="66"/>
      <c r="W765" s="66"/>
      <c r="X765" s="66"/>
      <c r="Y765" s="66"/>
      <c r="Z765" s="66"/>
      <c r="AA765" s="66"/>
    </row>
    <row r="766" spans="1:27" ht="21" x14ac:dyDescent="0.65">
      <c r="A766" s="66"/>
      <c r="B766" s="66"/>
      <c r="C766" s="66"/>
      <c r="D766" s="66"/>
      <c r="E766" s="66"/>
      <c r="F766" s="66"/>
      <c r="G766" s="66"/>
      <c r="H766" s="66"/>
      <c r="I766" s="66"/>
      <c r="J766" s="66"/>
      <c r="K766" s="66"/>
      <c r="L766" s="66"/>
      <c r="M766" s="66"/>
      <c r="N766" s="66"/>
      <c r="O766" s="66"/>
      <c r="P766" s="66"/>
      <c r="Q766" s="66"/>
      <c r="R766" s="66"/>
      <c r="S766" s="66"/>
      <c r="T766" s="66"/>
      <c r="U766" s="66"/>
      <c r="V766" s="66"/>
      <c r="W766" s="66"/>
      <c r="X766" s="66"/>
      <c r="Y766" s="66"/>
      <c r="Z766" s="66"/>
      <c r="AA766" s="66"/>
    </row>
    <row r="767" spans="1:27" ht="21" x14ac:dyDescent="0.65">
      <c r="A767" s="66"/>
      <c r="B767" s="66"/>
      <c r="C767" s="66"/>
      <c r="D767" s="66"/>
      <c r="E767" s="66"/>
      <c r="F767" s="66"/>
      <c r="G767" s="66"/>
      <c r="H767" s="66"/>
      <c r="I767" s="66"/>
      <c r="J767" s="66"/>
      <c r="K767" s="66"/>
      <c r="L767" s="66"/>
      <c r="M767" s="66"/>
      <c r="N767" s="66"/>
      <c r="O767" s="66"/>
      <c r="P767" s="66"/>
      <c r="Q767" s="66"/>
      <c r="R767" s="66"/>
      <c r="S767" s="66"/>
      <c r="T767" s="66"/>
      <c r="U767" s="66"/>
      <c r="V767" s="66"/>
      <c r="W767" s="66"/>
      <c r="X767" s="66"/>
      <c r="Y767" s="66"/>
      <c r="Z767" s="66"/>
      <c r="AA767" s="66"/>
    </row>
    <row r="768" spans="1:27" ht="21" x14ac:dyDescent="0.65">
      <c r="A768" s="66"/>
      <c r="B768" s="66"/>
      <c r="C768" s="66"/>
      <c r="D768" s="66"/>
      <c r="E768" s="66"/>
      <c r="F768" s="66"/>
      <c r="G768" s="66"/>
      <c r="H768" s="66"/>
      <c r="I768" s="66"/>
      <c r="J768" s="66"/>
      <c r="K768" s="66"/>
      <c r="L768" s="66"/>
      <c r="M768" s="66"/>
      <c r="N768" s="66"/>
      <c r="O768" s="66"/>
      <c r="P768" s="66"/>
      <c r="Q768" s="66"/>
      <c r="R768" s="66"/>
      <c r="S768" s="66"/>
      <c r="T768" s="66"/>
      <c r="U768" s="66"/>
      <c r="V768" s="66"/>
      <c r="W768" s="66"/>
      <c r="X768" s="66"/>
      <c r="Y768" s="66"/>
      <c r="Z768" s="66"/>
      <c r="AA768" s="66"/>
    </row>
    <row r="769" spans="1:27" ht="21" x14ac:dyDescent="0.65">
      <c r="A769" s="66"/>
      <c r="B769" s="66"/>
      <c r="C769" s="66"/>
      <c r="D769" s="66"/>
      <c r="E769" s="66"/>
      <c r="F769" s="66"/>
      <c r="G769" s="66"/>
      <c r="H769" s="66"/>
      <c r="I769" s="66"/>
      <c r="J769" s="66"/>
      <c r="K769" s="66"/>
      <c r="L769" s="66"/>
      <c r="M769" s="66"/>
      <c r="N769" s="66"/>
      <c r="O769" s="66"/>
      <c r="P769" s="66"/>
      <c r="Q769" s="66"/>
      <c r="R769" s="66"/>
      <c r="S769" s="66"/>
      <c r="T769" s="66"/>
      <c r="U769" s="66"/>
      <c r="V769" s="66"/>
      <c r="W769" s="66"/>
      <c r="X769" s="66"/>
      <c r="Y769" s="66"/>
      <c r="Z769" s="66"/>
      <c r="AA769" s="66"/>
    </row>
    <row r="770" spans="1:27" ht="21" x14ac:dyDescent="0.65">
      <c r="A770" s="66"/>
      <c r="B770" s="66"/>
      <c r="C770" s="66"/>
      <c r="D770" s="66"/>
      <c r="E770" s="66"/>
      <c r="F770" s="66"/>
      <c r="G770" s="66"/>
      <c r="H770" s="66"/>
      <c r="I770" s="66"/>
      <c r="J770" s="66"/>
      <c r="K770" s="66"/>
      <c r="L770" s="66"/>
      <c r="M770" s="66"/>
      <c r="N770" s="66"/>
      <c r="O770" s="66"/>
      <c r="P770" s="66"/>
      <c r="Q770" s="66"/>
      <c r="R770" s="66"/>
      <c r="S770" s="66"/>
      <c r="T770" s="66"/>
      <c r="U770" s="66"/>
      <c r="V770" s="66"/>
      <c r="W770" s="66"/>
      <c r="X770" s="66"/>
      <c r="Y770" s="66"/>
      <c r="Z770" s="66"/>
      <c r="AA770" s="66"/>
    </row>
    <row r="771" spans="1:27" ht="21" x14ac:dyDescent="0.65">
      <c r="A771" s="66"/>
      <c r="B771" s="66"/>
      <c r="C771" s="66"/>
      <c r="D771" s="66"/>
      <c r="E771" s="66"/>
      <c r="F771" s="66"/>
      <c r="G771" s="66"/>
      <c r="H771" s="66"/>
      <c r="I771" s="66"/>
      <c r="J771" s="66"/>
      <c r="K771" s="66"/>
      <c r="L771" s="66"/>
      <c r="M771" s="66"/>
      <c r="N771" s="66"/>
      <c r="O771" s="66"/>
      <c r="P771" s="66"/>
      <c r="Q771" s="66"/>
      <c r="R771" s="66"/>
      <c r="S771" s="66"/>
      <c r="T771" s="66"/>
      <c r="U771" s="66"/>
      <c r="V771" s="66"/>
      <c r="W771" s="66"/>
      <c r="X771" s="66"/>
      <c r="Y771" s="66"/>
      <c r="Z771" s="66"/>
      <c r="AA771" s="66"/>
    </row>
    <row r="772" spans="1:27" ht="21" x14ac:dyDescent="0.65">
      <c r="A772" s="66"/>
      <c r="B772" s="66"/>
      <c r="C772" s="66"/>
      <c r="D772" s="66"/>
      <c r="E772" s="66"/>
      <c r="F772" s="66"/>
      <c r="G772" s="66"/>
      <c r="H772" s="66"/>
      <c r="I772" s="66"/>
      <c r="J772" s="66"/>
      <c r="K772" s="66"/>
      <c r="L772" s="66"/>
      <c r="M772" s="66"/>
      <c r="N772" s="66"/>
      <c r="O772" s="66"/>
      <c r="P772" s="66"/>
      <c r="Q772" s="66"/>
      <c r="R772" s="66"/>
      <c r="S772" s="66"/>
      <c r="T772" s="66"/>
      <c r="U772" s="66"/>
      <c r="V772" s="66"/>
      <c r="W772" s="66"/>
      <c r="X772" s="66"/>
      <c r="Y772" s="66"/>
      <c r="Z772" s="66"/>
      <c r="AA772" s="66"/>
    </row>
    <row r="773" spans="1:27" ht="21" x14ac:dyDescent="0.65">
      <c r="A773" s="66"/>
      <c r="B773" s="66"/>
      <c r="C773" s="66"/>
      <c r="D773" s="66"/>
      <c r="E773" s="66"/>
      <c r="F773" s="66"/>
      <c r="G773" s="66"/>
      <c r="H773" s="66"/>
      <c r="I773" s="66"/>
      <c r="J773" s="66"/>
      <c r="K773" s="66"/>
      <c r="L773" s="66"/>
      <c r="M773" s="66"/>
      <c r="N773" s="66"/>
      <c r="O773" s="66"/>
      <c r="P773" s="66"/>
      <c r="Q773" s="66"/>
      <c r="R773" s="66"/>
      <c r="S773" s="66"/>
      <c r="T773" s="66"/>
      <c r="U773" s="66"/>
      <c r="V773" s="66"/>
      <c r="W773" s="66"/>
      <c r="X773" s="66"/>
      <c r="Y773" s="66"/>
      <c r="Z773" s="66"/>
      <c r="AA773" s="66"/>
    </row>
    <row r="774" spans="1:27" ht="21" x14ac:dyDescent="0.65">
      <c r="A774" s="66"/>
      <c r="B774" s="66"/>
      <c r="C774" s="66"/>
      <c r="D774" s="66"/>
      <c r="E774" s="66"/>
      <c r="F774" s="66"/>
      <c r="G774" s="66"/>
      <c r="H774" s="66"/>
      <c r="I774" s="66"/>
      <c r="J774" s="66"/>
      <c r="K774" s="66"/>
      <c r="L774" s="66"/>
      <c r="M774" s="66"/>
      <c r="N774" s="66"/>
      <c r="O774" s="66"/>
      <c r="P774" s="66"/>
      <c r="Q774" s="66"/>
      <c r="R774" s="66"/>
      <c r="S774" s="66"/>
      <c r="T774" s="66"/>
      <c r="U774" s="66"/>
      <c r="V774" s="66"/>
      <c r="W774" s="66"/>
      <c r="X774" s="66"/>
      <c r="Y774" s="66"/>
      <c r="Z774" s="66"/>
      <c r="AA774" s="66"/>
    </row>
    <row r="775" spans="1:27" ht="21" x14ac:dyDescent="0.65">
      <c r="A775" s="66"/>
      <c r="B775" s="66"/>
      <c r="C775" s="66"/>
      <c r="D775" s="66"/>
      <c r="E775" s="66"/>
      <c r="F775" s="66"/>
      <c r="G775" s="66"/>
      <c r="H775" s="66"/>
      <c r="I775" s="66"/>
      <c r="J775" s="66"/>
      <c r="K775" s="66"/>
      <c r="L775" s="66"/>
      <c r="M775" s="66"/>
      <c r="N775" s="66"/>
      <c r="O775" s="66"/>
      <c r="P775" s="66"/>
      <c r="Q775" s="66"/>
      <c r="R775" s="66"/>
      <c r="S775" s="66"/>
      <c r="T775" s="66"/>
      <c r="U775" s="66"/>
      <c r="V775" s="66"/>
      <c r="W775" s="66"/>
      <c r="X775" s="66"/>
      <c r="Y775" s="66"/>
      <c r="Z775" s="66"/>
      <c r="AA775" s="66"/>
    </row>
    <row r="776" spans="1:27" ht="21" x14ac:dyDescent="0.65">
      <c r="A776" s="66"/>
      <c r="B776" s="66"/>
      <c r="C776" s="66"/>
      <c r="D776" s="66"/>
      <c r="E776" s="66"/>
      <c r="F776" s="66"/>
      <c r="G776" s="66"/>
      <c r="H776" s="66"/>
      <c r="I776" s="66"/>
      <c r="J776" s="66"/>
      <c r="K776" s="66"/>
      <c r="L776" s="66"/>
      <c r="M776" s="66"/>
      <c r="N776" s="66"/>
      <c r="O776" s="66"/>
      <c r="P776" s="66"/>
      <c r="Q776" s="66"/>
      <c r="R776" s="66"/>
      <c r="S776" s="66"/>
      <c r="T776" s="66"/>
      <c r="U776" s="66"/>
      <c r="V776" s="66"/>
      <c r="W776" s="66"/>
      <c r="X776" s="66"/>
      <c r="Y776" s="66"/>
      <c r="Z776" s="66"/>
      <c r="AA776" s="66"/>
    </row>
    <row r="777" spans="1:27" ht="21" x14ac:dyDescent="0.65">
      <c r="A777" s="66"/>
      <c r="B777" s="66"/>
      <c r="C777" s="66"/>
      <c r="D777" s="66"/>
      <c r="E777" s="66"/>
      <c r="F777" s="66"/>
      <c r="G777" s="66"/>
      <c r="H777" s="66"/>
      <c r="I777" s="66"/>
      <c r="J777" s="66"/>
      <c r="K777" s="66"/>
      <c r="L777" s="66"/>
      <c r="M777" s="66"/>
      <c r="N777" s="66"/>
      <c r="O777" s="66"/>
      <c r="P777" s="66"/>
      <c r="Q777" s="66"/>
      <c r="R777" s="66"/>
      <c r="S777" s="66"/>
      <c r="T777" s="66"/>
      <c r="U777" s="66"/>
      <c r="V777" s="66"/>
      <c r="W777" s="66"/>
      <c r="X777" s="66"/>
      <c r="Y777" s="66"/>
      <c r="Z777" s="66"/>
      <c r="AA777" s="66"/>
    </row>
    <row r="778" spans="1:27" ht="21" x14ac:dyDescent="0.65">
      <c r="A778" s="66"/>
      <c r="B778" s="66"/>
      <c r="C778" s="66"/>
      <c r="D778" s="66"/>
      <c r="E778" s="66"/>
      <c r="F778" s="66"/>
      <c r="G778" s="66"/>
      <c r="H778" s="66"/>
      <c r="I778" s="66"/>
      <c r="J778" s="66"/>
      <c r="K778" s="66"/>
      <c r="L778" s="66"/>
      <c r="M778" s="66"/>
      <c r="N778" s="66"/>
      <c r="O778" s="66"/>
      <c r="P778" s="66"/>
      <c r="Q778" s="66"/>
      <c r="R778" s="66"/>
      <c r="S778" s="66"/>
      <c r="T778" s="66"/>
      <c r="U778" s="66"/>
      <c r="V778" s="66"/>
      <c r="W778" s="66"/>
      <c r="X778" s="66"/>
      <c r="Y778" s="66"/>
      <c r="Z778" s="66"/>
      <c r="AA778" s="66"/>
    </row>
    <row r="779" spans="1:27" ht="21" x14ac:dyDescent="0.65">
      <c r="A779" s="66"/>
      <c r="B779" s="66"/>
      <c r="C779" s="66"/>
      <c r="D779" s="66"/>
      <c r="E779" s="66"/>
      <c r="F779" s="66"/>
      <c r="G779" s="66"/>
      <c r="H779" s="66"/>
      <c r="I779" s="66"/>
      <c r="J779" s="66"/>
      <c r="K779" s="66"/>
      <c r="L779" s="66"/>
      <c r="M779" s="66"/>
      <c r="N779" s="66"/>
      <c r="O779" s="66"/>
      <c r="P779" s="66"/>
      <c r="Q779" s="66"/>
      <c r="R779" s="66"/>
      <c r="S779" s="66"/>
      <c r="T779" s="66"/>
      <c r="U779" s="66"/>
      <c r="V779" s="66"/>
      <c r="W779" s="66"/>
      <c r="X779" s="66"/>
      <c r="Y779" s="66"/>
      <c r="Z779" s="66"/>
      <c r="AA779" s="66"/>
    </row>
    <row r="780" spans="1:27" ht="21" x14ac:dyDescent="0.65">
      <c r="A780" s="66"/>
      <c r="B780" s="66"/>
      <c r="C780" s="66"/>
      <c r="D780" s="66"/>
      <c r="E780" s="66"/>
      <c r="F780" s="66"/>
      <c r="G780" s="66"/>
      <c r="H780" s="66"/>
      <c r="I780" s="66"/>
      <c r="J780" s="66"/>
      <c r="K780" s="66"/>
      <c r="L780" s="66"/>
      <c r="M780" s="66"/>
      <c r="N780" s="66"/>
      <c r="O780" s="66"/>
      <c r="P780" s="66"/>
      <c r="Q780" s="66"/>
      <c r="R780" s="66"/>
      <c r="S780" s="66"/>
      <c r="T780" s="66"/>
      <c r="U780" s="66"/>
      <c r="V780" s="66"/>
      <c r="W780" s="66"/>
      <c r="X780" s="66"/>
      <c r="Y780" s="66"/>
      <c r="Z780" s="66"/>
      <c r="AA780" s="66"/>
    </row>
    <row r="781" spans="1:27" ht="21" x14ac:dyDescent="0.65">
      <c r="A781" s="66"/>
      <c r="B781" s="66"/>
      <c r="C781" s="66"/>
      <c r="D781" s="66"/>
      <c r="E781" s="66"/>
      <c r="F781" s="66"/>
      <c r="G781" s="66"/>
      <c r="H781" s="66"/>
      <c r="I781" s="66"/>
      <c r="J781" s="66"/>
      <c r="K781" s="66"/>
      <c r="L781" s="66"/>
      <c r="M781" s="66"/>
      <c r="N781" s="66"/>
      <c r="O781" s="66"/>
      <c r="P781" s="66"/>
      <c r="Q781" s="66"/>
      <c r="R781" s="66"/>
      <c r="S781" s="66"/>
      <c r="T781" s="66"/>
      <c r="U781" s="66"/>
      <c r="V781" s="66"/>
      <c r="W781" s="66"/>
      <c r="X781" s="66"/>
      <c r="Y781" s="66"/>
      <c r="Z781" s="66"/>
      <c r="AA781" s="66"/>
    </row>
    <row r="782" spans="1:27" ht="21" x14ac:dyDescent="0.65">
      <c r="A782" s="66"/>
      <c r="B782" s="66"/>
      <c r="C782" s="66"/>
      <c r="D782" s="66"/>
      <c r="E782" s="66"/>
      <c r="F782" s="66"/>
      <c r="G782" s="66"/>
      <c r="H782" s="66"/>
      <c r="I782" s="66"/>
      <c r="J782" s="66"/>
      <c r="K782" s="66"/>
      <c r="L782" s="66"/>
      <c r="M782" s="66"/>
      <c r="N782" s="66"/>
      <c r="O782" s="66"/>
      <c r="P782" s="66"/>
      <c r="Q782" s="66"/>
      <c r="R782" s="66"/>
      <c r="S782" s="66"/>
      <c r="T782" s="66"/>
      <c r="U782" s="66"/>
      <c r="V782" s="66"/>
      <c r="W782" s="66"/>
      <c r="X782" s="66"/>
      <c r="Y782" s="66"/>
      <c r="Z782" s="66"/>
      <c r="AA782" s="66"/>
    </row>
    <row r="783" spans="1:27" ht="21" x14ac:dyDescent="0.65">
      <c r="A783" s="66"/>
      <c r="B783" s="66"/>
      <c r="C783" s="66"/>
      <c r="D783" s="66"/>
      <c r="E783" s="66"/>
      <c r="F783" s="66"/>
      <c r="G783" s="66"/>
      <c r="H783" s="66"/>
      <c r="I783" s="66"/>
      <c r="J783" s="66"/>
      <c r="K783" s="66"/>
      <c r="L783" s="66"/>
      <c r="M783" s="66"/>
      <c r="N783" s="66"/>
      <c r="O783" s="66"/>
      <c r="P783" s="66"/>
      <c r="Q783" s="66"/>
      <c r="R783" s="66"/>
      <c r="S783" s="66"/>
      <c r="T783" s="66"/>
      <c r="U783" s="66"/>
      <c r="V783" s="66"/>
      <c r="W783" s="66"/>
      <c r="X783" s="66"/>
      <c r="Y783" s="66"/>
      <c r="Z783" s="66"/>
      <c r="AA783" s="66"/>
    </row>
    <row r="784" spans="1:27" ht="21" x14ac:dyDescent="0.65">
      <c r="A784" s="66"/>
      <c r="B784" s="66"/>
      <c r="C784" s="66"/>
      <c r="D784" s="66"/>
      <c r="E784" s="66"/>
      <c r="F784" s="66"/>
      <c r="G784" s="66"/>
      <c r="H784" s="66"/>
      <c r="I784" s="66"/>
      <c r="J784" s="66"/>
      <c r="K784" s="66"/>
      <c r="L784" s="66"/>
      <c r="M784" s="66"/>
      <c r="N784" s="66"/>
      <c r="O784" s="66"/>
      <c r="P784" s="66"/>
      <c r="Q784" s="66"/>
      <c r="R784" s="66"/>
      <c r="S784" s="66"/>
      <c r="T784" s="66"/>
      <c r="U784" s="66"/>
      <c r="V784" s="66"/>
      <c r="W784" s="66"/>
      <c r="X784" s="66"/>
      <c r="Y784" s="66"/>
      <c r="Z784" s="66"/>
      <c r="AA784" s="66"/>
    </row>
    <row r="785" spans="1:27" ht="21" x14ac:dyDescent="0.65">
      <c r="A785" s="66"/>
      <c r="B785" s="66"/>
      <c r="C785" s="66"/>
      <c r="D785" s="66"/>
      <c r="E785" s="66"/>
      <c r="F785" s="66"/>
      <c r="G785" s="66"/>
      <c r="H785" s="66"/>
      <c r="I785" s="66"/>
      <c r="J785" s="66"/>
      <c r="K785" s="66"/>
      <c r="L785" s="66"/>
      <c r="M785" s="66"/>
      <c r="N785" s="66"/>
      <c r="O785" s="66"/>
      <c r="P785" s="66"/>
      <c r="Q785" s="66"/>
      <c r="R785" s="66"/>
      <c r="S785" s="66"/>
      <c r="T785" s="66"/>
      <c r="U785" s="66"/>
      <c r="V785" s="66"/>
      <c r="W785" s="66"/>
      <c r="X785" s="66"/>
      <c r="Y785" s="66"/>
      <c r="Z785" s="66"/>
      <c r="AA785" s="66"/>
    </row>
    <row r="786" spans="1:27" ht="21" x14ac:dyDescent="0.65">
      <c r="A786" s="66"/>
      <c r="B786" s="66"/>
      <c r="C786" s="66"/>
      <c r="D786" s="66"/>
      <c r="E786" s="66"/>
      <c r="F786" s="66"/>
      <c r="G786" s="66"/>
      <c r="H786" s="66"/>
      <c r="I786" s="66"/>
      <c r="J786" s="66"/>
      <c r="K786" s="66"/>
      <c r="L786" s="66"/>
      <c r="M786" s="66"/>
      <c r="N786" s="66"/>
      <c r="O786" s="66"/>
      <c r="P786" s="66"/>
      <c r="Q786" s="66"/>
      <c r="R786" s="66"/>
      <c r="S786" s="66"/>
      <c r="T786" s="66"/>
      <c r="U786" s="66"/>
      <c r="V786" s="66"/>
      <c r="W786" s="66"/>
      <c r="X786" s="66"/>
      <c r="Y786" s="66"/>
      <c r="Z786" s="66"/>
      <c r="AA786" s="66"/>
    </row>
    <row r="787" spans="1:27" ht="21" x14ac:dyDescent="0.65">
      <c r="A787" s="66"/>
      <c r="B787" s="66"/>
      <c r="C787" s="66"/>
      <c r="D787" s="66"/>
      <c r="E787" s="66"/>
      <c r="F787" s="66"/>
      <c r="G787" s="66"/>
      <c r="H787" s="66"/>
      <c r="I787" s="66"/>
      <c r="J787" s="66"/>
      <c r="K787" s="66"/>
      <c r="L787" s="66"/>
      <c r="M787" s="66"/>
      <c r="N787" s="66"/>
      <c r="O787" s="66"/>
      <c r="P787" s="66"/>
      <c r="Q787" s="66"/>
      <c r="R787" s="66"/>
      <c r="S787" s="66"/>
      <c r="T787" s="66"/>
      <c r="U787" s="66"/>
      <c r="V787" s="66"/>
      <c r="W787" s="66"/>
      <c r="X787" s="66"/>
      <c r="Y787" s="66"/>
      <c r="Z787" s="66"/>
      <c r="AA787" s="66"/>
    </row>
    <row r="788" spans="1:27" ht="21" x14ac:dyDescent="0.65">
      <c r="A788" s="66"/>
      <c r="B788" s="66"/>
      <c r="C788" s="66"/>
      <c r="D788" s="66"/>
      <c r="E788" s="66"/>
      <c r="F788" s="66"/>
      <c r="G788" s="66"/>
      <c r="H788" s="66"/>
      <c r="I788" s="66"/>
      <c r="J788" s="66"/>
      <c r="K788" s="66"/>
      <c r="L788" s="66"/>
      <c r="M788" s="66"/>
      <c r="N788" s="66"/>
      <c r="O788" s="66"/>
      <c r="P788" s="66"/>
      <c r="Q788" s="66"/>
      <c r="R788" s="66"/>
      <c r="S788" s="66"/>
      <c r="T788" s="66"/>
      <c r="U788" s="66"/>
      <c r="V788" s="66"/>
      <c r="W788" s="66"/>
      <c r="X788" s="66"/>
      <c r="Y788" s="66"/>
      <c r="Z788" s="66"/>
      <c r="AA788" s="66"/>
    </row>
    <row r="789" spans="1:27" ht="21" x14ac:dyDescent="0.65">
      <c r="A789" s="66"/>
      <c r="B789" s="66"/>
      <c r="C789" s="66"/>
      <c r="D789" s="66"/>
      <c r="E789" s="66"/>
      <c r="F789" s="66"/>
      <c r="G789" s="66"/>
      <c r="H789" s="66"/>
      <c r="I789" s="66"/>
      <c r="J789" s="66"/>
      <c r="K789" s="66"/>
      <c r="L789" s="66"/>
      <c r="M789" s="66"/>
      <c r="N789" s="66"/>
      <c r="O789" s="66"/>
      <c r="P789" s="66"/>
      <c r="Q789" s="66"/>
      <c r="R789" s="66"/>
      <c r="S789" s="66"/>
      <c r="T789" s="66"/>
      <c r="U789" s="66"/>
      <c r="V789" s="66"/>
      <c r="W789" s="66"/>
      <c r="X789" s="66"/>
      <c r="Y789" s="66"/>
      <c r="Z789" s="66"/>
      <c r="AA789" s="66"/>
    </row>
    <row r="790" spans="1:27" ht="21" x14ac:dyDescent="0.65">
      <c r="A790" s="66"/>
      <c r="B790" s="66"/>
      <c r="C790" s="66"/>
      <c r="D790" s="66"/>
      <c r="E790" s="66"/>
      <c r="F790" s="66"/>
      <c r="G790" s="66"/>
      <c r="H790" s="66"/>
      <c r="I790" s="66"/>
      <c r="J790" s="66"/>
      <c r="K790" s="66"/>
      <c r="L790" s="66"/>
      <c r="M790" s="66"/>
      <c r="N790" s="66"/>
      <c r="O790" s="66"/>
      <c r="P790" s="66"/>
      <c r="Q790" s="66"/>
      <c r="R790" s="66"/>
      <c r="S790" s="66"/>
      <c r="T790" s="66"/>
      <c r="U790" s="66"/>
      <c r="V790" s="66"/>
      <c r="W790" s="66"/>
      <c r="X790" s="66"/>
      <c r="Y790" s="66"/>
      <c r="Z790" s="66"/>
      <c r="AA790" s="66"/>
    </row>
    <row r="791" spans="1:27" ht="21" x14ac:dyDescent="0.65">
      <c r="A791" s="66"/>
      <c r="B791" s="66"/>
      <c r="C791" s="66"/>
      <c r="D791" s="66"/>
      <c r="E791" s="66"/>
      <c r="F791" s="66"/>
      <c r="G791" s="66"/>
      <c r="H791" s="66"/>
      <c r="I791" s="66"/>
      <c r="J791" s="66"/>
      <c r="K791" s="66"/>
      <c r="L791" s="66"/>
      <c r="M791" s="66"/>
      <c r="N791" s="66"/>
      <c r="O791" s="66"/>
      <c r="P791" s="66"/>
      <c r="Q791" s="66"/>
      <c r="R791" s="66"/>
      <c r="S791" s="66"/>
      <c r="T791" s="66"/>
      <c r="U791" s="66"/>
      <c r="V791" s="66"/>
      <c r="W791" s="66"/>
      <c r="X791" s="66"/>
      <c r="Y791" s="66"/>
      <c r="Z791" s="66"/>
      <c r="AA791" s="66"/>
    </row>
    <row r="792" spans="1:27" ht="21" x14ac:dyDescent="0.65">
      <c r="A792" s="66"/>
      <c r="B792" s="66"/>
      <c r="C792" s="66"/>
      <c r="D792" s="66"/>
      <c r="E792" s="66"/>
      <c r="F792" s="66"/>
      <c r="G792" s="66"/>
      <c r="H792" s="66"/>
      <c r="I792" s="66"/>
      <c r="J792" s="66"/>
      <c r="K792" s="66"/>
      <c r="L792" s="66"/>
      <c r="M792" s="66"/>
      <c r="N792" s="66"/>
      <c r="O792" s="66"/>
      <c r="P792" s="66"/>
      <c r="Q792" s="66"/>
      <c r="R792" s="66"/>
      <c r="S792" s="66"/>
      <c r="T792" s="66"/>
      <c r="U792" s="66"/>
      <c r="V792" s="66"/>
      <c r="W792" s="66"/>
      <c r="X792" s="66"/>
      <c r="Y792" s="66"/>
      <c r="Z792" s="66"/>
      <c r="AA792" s="66"/>
    </row>
    <row r="793" spans="1:27" ht="21" x14ac:dyDescent="0.65">
      <c r="A793" s="66"/>
      <c r="B793" s="66"/>
      <c r="C793" s="66"/>
      <c r="D793" s="66"/>
      <c r="E793" s="66"/>
      <c r="F793" s="66"/>
      <c r="G793" s="66"/>
      <c r="H793" s="66"/>
      <c r="I793" s="66"/>
      <c r="J793" s="66"/>
      <c r="K793" s="66"/>
      <c r="L793" s="66"/>
      <c r="M793" s="66"/>
      <c r="N793" s="66"/>
      <c r="O793" s="66"/>
      <c r="P793" s="66"/>
      <c r="Q793" s="66"/>
      <c r="R793" s="66"/>
      <c r="S793" s="66"/>
      <c r="T793" s="66"/>
      <c r="U793" s="66"/>
      <c r="V793" s="66"/>
      <c r="W793" s="66"/>
      <c r="X793" s="66"/>
      <c r="Y793" s="66"/>
      <c r="Z793" s="66"/>
      <c r="AA793" s="66"/>
    </row>
    <row r="794" spans="1:27" ht="21" x14ac:dyDescent="0.65">
      <c r="A794" s="66"/>
      <c r="B794" s="66"/>
      <c r="C794" s="66"/>
      <c r="D794" s="66"/>
      <c r="E794" s="66"/>
      <c r="F794" s="66"/>
      <c r="G794" s="66"/>
      <c r="H794" s="66"/>
      <c r="I794" s="66"/>
      <c r="J794" s="66"/>
      <c r="K794" s="66"/>
      <c r="L794" s="66"/>
      <c r="M794" s="66"/>
      <c r="N794" s="66"/>
      <c r="O794" s="66"/>
      <c r="P794" s="66"/>
      <c r="Q794" s="66"/>
      <c r="R794" s="66"/>
      <c r="S794" s="66"/>
      <c r="T794" s="66"/>
      <c r="U794" s="66"/>
      <c r="V794" s="66"/>
      <c r="W794" s="66"/>
      <c r="X794" s="66"/>
      <c r="Y794" s="66"/>
      <c r="Z794" s="66"/>
      <c r="AA794" s="66"/>
    </row>
    <row r="795" spans="1:27" ht="21" x14ac:dyDescent="0.65">
      <c r="A795" s="66"/>
      <c r="B795" s="66"/>
      <c r="C795" s="66"/>
      <c r="D795" s="66"/>
      <c r="E795" s="66"/>
      <c r="F795" s="66"/>
      <c r="G795" s="66"/>
      <c r="H795" s="66"/>
      <c r="I795" s="66"/>
      <c r="J795" s="66"/>
      <c r="K795" s="66"/>
      <c r="L795" s="66"/>
      <c r="M795" s="66"/>
      <c r="N795" s="66"/>
      <c r="O795" s="66"/>
      <c r="P795" s="66"/>
      <c r="Q795" s="66"/>
      <c r="R795" s="66"/>
      <c r="S795" s="66"/>
      <c r="T795" s="66"/>
      <c r="U795" s="66"/>
      <c r="V795" s="66"/>
      <c r="W795" s="66"/>
      <c r="X795" s="66"/>
      <c r="Y795" s="66"/>
      <c r="Z795" s="66"/>
      <c r="AA795" s="66"/>
    </row>
    <row r="796" spans="1:27" ht="21" x14ac:dyDescent="0.65">
      <c r="A796" s="66"/>
      <c r="B796" s="66"/>
      <c r="C796" s="66"/>
      <c r="D796" s="66"/>
      <c r="E796" s="66"/>
      <c r="F796" s="66"/>
      <c r="G796" s="66"/>
      <c r="H796" s="66"/>
      <c r="I796" s="66"/>
      <c r="J796" s="66"/>
      <c r="K796" s="66"/>
      <c r="L796" s="66"/>
      <c r="M796" s="66"/>
      <c r="N796" s="66"/>
      <c r="O796" s="66"/>
      <c r="P796" s="66"/>
      <c r="Q796" s="66"/>
      <c r="R796" s="66"/>
      <c r="S796" s="66"/>
      <c r="T796" s="66"/>
      <c r="U796" s="66"/>
      <c r="V796" s="66"/>
      <c r="W796" s="66"/>
      <c r="X796" s="66"/>
      <c r="Y796" s="66"/>
      <c r="Z796" s="66"/>
      <c r="AA796" s="66"/>
    </row>
    <row r="797" spans="1:27" ht="21" x14ac:dyDescent="0.65">
      <c r="A797" s="66"/>
      <c r="B797" s="66"/>
      <c r="C797" s="66"/>
      <c r="D797" s="66"/>
      <c r="E797" s="66"/>
      <c r="F797" s="66"/>
      <c r="G797" s="66"/>
      <c r="H797" s="66"/>
      <c r="I797" s="66"/>
      <c r="J797" s="66"/>
      <c r="K797" s="66"/>
      <c r="L797" s="66"/>
      <c r="M797" s="66"/>
      <c r="N797" s="66"/>
      <c r="O797" s="66"/>
      <c r="P797" s="66"/>
      <c r="Q797" s="66"/>
      <c r="R797" s="66"/>
      <c r="S797" s="66"/>
      <c r="T797" s="66"/>
      <c r="U797" s="66"/>
      <c r="V797" s="66"/>
      <c r="W797" s="66"/>
      <c r="X797" s="66"/>
      <c r="Y797" s="66"/>
      <c r="Z797" s="66"/>
      <c r="AA797" s="66"/>
    </row>
    <row r="798" spans="1:27" ht="21" x14ac:dyDescent="0.65">
      <c r="A798" s="66"/>
      <c r="B798" s="66"/>
      <c r="C798" s="66"/>
      <c r="D798" s="66"/>
      <c r="E798" s="66"/>
      <c r="F798" s="66"/>
      <c r="G798" s="66"/>
      <c r="H798" s="66"/>
      <c r="I798" s="66"/>
      <c r="J798" s="66"/>
      <c r="K798" s="66"/>
      <c r="L798" s="66"/>
      <c r="M798" s="66"/>
      <c r="N798" s="66"/>
      <c r="O798" s="66"/>
      <c r="P798" s="66"/>
      <c r="Q798" s="66"/>
      <c r="R798" s="66"/>
      <c r="S798" s="66"/>
      <c r="T798" s="66"/>
      <c r="U798" s="66"/>
      <c r="V798" s="66"/>
      <c r="W798" s="66"/>
      <c r="X798" s="66"/>
      <c r="Y798" s="66"/>
      <c r="Z798" s="66"/>
      <c r="AA798" s="66"/>
    </row>
    <row r="799" spans="1:27" ht="21" x14ac:dyDescent="0.65">
      <c r="A799" s="66"/>
      <c r="B799" s="66"/>
      <c r="C799" s="66"/>
      <c r="D799" s="66"/>
      <c r="E799" s="66"/>
      <c r="F799" s="66"/>
      <c r="G799" s="66"/>
      <c r="H799" s="66"/>
      <c r="I799" s="66"/>
      <c r="J799" s="66"/>
      <c r="K799" s="66"/>
      <c r="L799" s="66"/>
      <c r="M799" s="66"/>
      <c r="N799" s="66"/>
      <c r="O799" s="66"/>
      <c r="P799" s="66"/>
      <c r="Q799" s="66"/>
      <c r="R799" s="66"/>
      <c r="S799" s="66"/>
      <c r="T799" s="66"/>
      <c r="U799" s="66"/>
      <c r="V799" s="66"/>
      <c r="W799" s="66"/>
      <c r="X799" s="66"/>
      <c r="Y799" s="66"/>
      <c r="Z799" s="66"/>
      <c r="AA799" s="66"/>
    </row>
    <row r="800" spans="1:27" ht="21" x14ac:dyDescent="0.65">
      <c r="A800" s="66"/>
      <c r="B800" s="66"/>
      <c r="C800" s="66"/>
      <c r="D800" s="66"/>
      <c r="E800" s="66"/>
      <c r="F800" s="66"/>
      <c r="G800" s="66"/>
      <c r="H800" s="66"/>
      <c r="I800" s="66"/>
      <c r="J800" s="66"/>
      <c r="K800" s="66"/>
      <c r="L800" s="66"/>
      <c r="M800" s="66"/>
      <c r="N800" s="66"/>
      <c r="O800" s="66"/>
      <c r="P800" s="66"/>
      <c r="Q800" s="66"/>
      <c r="R800" s="66"/>
      <c r="S800" s="66"/>
      <c r="T800" s="66"/>
      <c r="U800" s="66"/>
      <c r="V800" s="66"/>
      <c r="W800" s="66"/>
      <c r="X800" s="66"/>
      <c r="Y800" s="66"/>
      <c r="Z800" s="66"/>
      <c r="AA800" s="66"/>
    </row>
    <row r="801" spans="1:27" ht="21" x14ac:dyDescent="0.65">
      <c r="A801" s="66"/>
      <c r="B801" s="66"/>
      <c r="C801" s="66"/>
      <c r="D801" s="66"/>
      <c r="E801" s="66"/>
      <c r="F801" s="66"/>
      <c r="G801" s="66"/>
      <c r="H801" s="66"/>
      <c r="I801" s="66"/>
      <c r="J801" s="66"/>
      <c r="K801" s="66"/>
      <c r="L801" s="66"/>
      <c r="M801" s="66"/>
      <c r="N801" s="66"/>
      <c r="O801" s="66"/>
      <c r="P801" s="66"/>
      <c r="Q801" s="66"/>
      <c r="R801" s="66"/>
      <c r="S801" s="66"/>
      <c r="T801" s="66"/>
      <c r="U801" s="66"/>
      <c r="V801" s="66"/>
      <c r="W801" s="66"/>
      <c r="X801" s="66"/>
      <c r="Y801" s="66"/>
      <c r="Z801" s="66"/>
      <c r="AA801" s="66"/>
    </row>
    <row r="802" spans="1:27" ht="21" x14ac:dyDescent="0.65">
      <c r="A802" s="66"/>
      <c r="B802" s="66"/>
      <c r="C802" s="66"/>
      <c r="D802" s="66"/>
      <c r="E802" s="66"/>
      <c r="F802" s="66"/>
      <c r="G802" s="66"/>
      <c r="H802" s="66"/>
      <c r="I802" s="66"/>
      <c r="J802" s="66"/>
      <c r="K802" s="66"/>
      <c r="L802" s="66"/>
      <c r="M802" s="66"/>
      <c r="N802" s="66"/>
      <c r="O802" s="66"/>
      <c r="P802" s="66"/>
      <c r="Q802" s="66"/>
      <c r="R802" s="66"/>
      <c r="S802" s="66"/>
      <c r="T802" s="66"/>
      <c r="U802" s="66"/>
      <c r="V802" s="66"/>
      <c r="W802" s="66"/>
      <c r="X802" s="66"/>
      <c r="Y802" s="66"/>
      <c r="Z802" s="66"/>
      <c r="AA802" s="66"/>
    </row>
    <row r="803" spans="1:27" ht="21" x14ac:dyDescent="0.65">
      <c r="A803" s="66"/>
      <c r="B803" s="66"/>
      <c r="C803" s="66"/>
      <c r="D803" s="66"/>
      <c r="E803" s="66"/>
      <c r="F803" s="66"/>
      <c r="G803" s="66"/>
      <c r="H803" s="66"/>
      <c r="I803" s="66"/>
      <c r="J803" s="66"/>
      <c r="K803" s="66"/>
      <c r="L803" s="66"/>
      <c r="M803" s="66"/>
      <c r="N803" s="66"/>
      <c r="O803" s="66"/>
      <c r="P803" s="66"/>
      <c r="Q803" s="66"/>
      <c r="R803" s="66"/>
      <c r="S803" s="66"/>
      <c r="T803" s="66"/>
      <c r="U803" s="66"/>
      <c r="V803" s="66"/>
      <c r="W803" s="66"/>
      <c r="X803" s="66"/>
      <c r="Y803" s="66"/>
      <c r="Z803" s="66"/>
      <c r="AA803" s="66"/>
    </row>
    <row r="804" spans="1:27" ht="21" x14ac:dyDescent="0.65">
      <c r="A804" s="66"/>
      <c r="B804" s="66"/>
      <c r="C804" s="66"/>
      <c r="D804" s="66"/>
      <c r="E804" s="66"/>
      <c r="F804" s="66"/>
      <c r="G804" s="66"/>
      <c r="H804" s="66"/>
      <c r="I804" s="66"/>
      <c r="J804" s="66"/>
      <c r="K804" s="66"/>
      <c r="L804" s="66"/>
      <c r="M804" s="66"/>
      <c r="N804" s="66"/>
      <c r="O804" s="66"/>
      <c r="P804" s="66"/>
      <c r="Q804" s="66"/>
      <c r="R804" s="66"/>
      <c r="S804" s="66"/>
      <c r="T804" s="66"/>
      <c r="U804" s="66"/>
      <c r="V804" s="66"/>
      <c r="W804" s="66"/>
      <c r="X804" s="66"/>
      <c r="Y804" s="66"/>
      <c r="Z804" s="66"/>
      <c r="AA804" s="66"/>
    </row>
    <row r="805" spans="1:27" ht="21" x14ac:dyDescent="0.65">
      <c r="A805" s="66"/>
      <c r="B805" s="66"/>
      <c r="C805" s="66"/>
      <c r="D805" s="66"/>
      <c r="E805" s="66"/>
      <c r="F805" s="66"/>
      <c r="G805" s="66"/>
      <c r="H805" s="66"/>
      <c r="I805" s="66"/>
      <c r="J805" s="66"/>
      <c r="K805" s="66"/>
      <c r="L805" s="66"/>
      <c r="M805" s="66"/>
      <c r="N805" s="66"/>
      <c r="O805" s="66"/>
      <c r="P805" s="66"/>
      <c r="Q805" s="66"/>
      <c r="R805" s="66"/>
      <c r="S805" s="66"/>
      <c r="T805" s="66"/>
      <c r="U805" s="66"/>
      <c r="V805" s="66"/>
      <c r="W805" s="66"/>
      <c r="X805" s="66"/>
      <c r="Y805" s="66"/>
      <c r="Z805" s="66"/>
      <c r="AA805" s="66"/>
    </row>
    <row r="806" spans="1:27" ht="21" x14ac:dyDescent="0.65">
      <c r="A806" s="66"/>
      <c r="B806" s="66"/>
      <c r="C806" s="66"/>
      <c r="D806" s="66"/>
      <c r="E806" s="66"/>
      <c r="F806" s="66"/>
      <c r="G806" s="66"/>
      <c r="H806" s="66"/>
      <c r="I806" s="66"/>
      <c r="J806" s="66"/>
      <c r="K806" s="66"/>
      <c r="L806" s="66"/>
      <c r="M806" s="66"/>
      <c r="N806" s="66"/>
      <c r="O806" s="66"/>
      <c r="P806" s="66"/>
      <c r="Q806" s="66"/>
      <c r="R806" s="66"/>
      <c r="S806" s="66"/>
      <c r="T806" s="66"/>
      <c r="U806" s="66"/>
      <c r="V806" s="66"/>
      <c r="W806" s="66"/>
      <c r="X806" s="66"/>
      <c r="Y806" s="66"/>
      <c r="Z806" s="66"/>
      <c r="AA806" s="66"/>
    </row>
    <row r="807" spans="1:27" ht="21" x14ac:dyDescent="0.65">
      <c r="A807" s="66"/>
      <c r="B807" s="66"/>
      <c r="C807" s="66"/>
      <c r="D807" s="66"/>
      <c r="E807" s="66"/>
      <c r="F807" s="66"/>
      <c r="G807" s="66"/>
      <c r="H807" s="66"/>
      <c r="I807" s="66"/>
      <c r="J807" s="66"/>
      <c r="K807" s="66"/>
      <c r="L807" s="66"/>
      <c r="M807" s="66"/>
      <c r="N807" s="66"/>
      <c r="O807" s="66"/>
      <c r="P807" s="66"/>
      <c r="Q807" s="66"/>
      <c r="R807" s="66"/>
      <c r="S807" s="66"/>
      <c r="T807" s="66"/>
      <c r="U807" s="66"/>
      <c r="V807" s="66"/>
      <c r="W807" s="66"/>
      <c r="X807" s="66"/>
      <c r="Y807" s="66"/>
      <c r="Z807" s="66"/>
      <c r="AA807" s="66"/>
    </row>
    <row r="808" spans="1:27" ht="21" x14ac:dyDescent="0.65">
      <c r="A808" s="66"/>
      <c r="B808" s="66"/>
      <c r="C808" s="66"/>
      <c r="D808" s="66"/>
      <c r="E808" s="66"/>
      <c r="F808" s="66"/>
      <c r="G808" s="66"/>
      <c r="H808" s="66"/>
      <c r="I808" s="66"/>
      <c r="J808" s="66"/>
      <c r="K808" s="66"/>
      <c r="L808" s="66"/>
      <c r="M808" s="66"/>
      <c r="N808" s="66"/>
      <c r="O808" s="66"/>
      <c r="P808" s="66"/>
      <c r="Q808" s="66"/>
      <c r="R808" s="66"/>
      <c r="S808" s="66"/>
      <c r="T808" s="66"/>
      <c r="U808" s="66"/>
      <c r="V808" s="66"/>
      <c r="W808" s="66"/>
      <c r="X808" s="66"/>
      <c r="Y808" s="66"/>
      <c r="Z808" s="66"/>
      <c r="AA808" s="66"/>
    </row>
    <row r="809" spans="1:27" ht="21" x14ac:dyDescent="0.65">
      <c r="A809" s="66"/>
      <c r="B809" s="66"/>
      <c r="C809" s="66"/>
      <c r="D809" s="66"/>
      <c r="E809" s="66"/>
      <c r="F809" s="66"/>
      <c r="G809" s="66"/>
      <c r="H809" s="66"/>
      <c r="I809" s="66"/>
      <c r="J809" s="66"/>
      <c r="K809" s="66"/>
      <c r="L809" s="66"/>
      <c r="M809" s="66"/>
      <c r="N809" s="66"/>
      <c r="O809" s="66"/>
      <c r="P809" s="66"/>
      <c r="Q809" s="66"/>
      <c r="R809" s="66"/>
      <c r="S809" s="66"/>
      <c r="T809" s="66"/>
      <c r="U809" s="66"/>
      <c r="V809" s="66"/>
      <c r="W809" s="66"/>
      <c r="X809" s="66"/>
      <c r="Y809" s="66"/>
      <c r="Z809" s="66"/>
      <c r="AA809" s="66"/>
    </row>
    <row r="810" spans="1:27" ht="21" x14ac:dyDescent="0.65">
      <c r="A810" s="66"/>
      <c r="B810" s="66"/>
      <c r="C810" s="66"/>
      <c r="D810" s="66"/>
      <c r="E810" s="66"/>
      <c r="F810" s="66"/>
      <c r="G810" s="66"/>
      <c r="H810" s="66"/>
      <c r="I810" s="66"/>
      <c r="J810" s="66"/>
      <c r="K810" s="66"/>
      <c r="L810" s="66"/>
      <c r="M810" s="66"/>
      <c r="N810" s="66"/>
      <c r="O810" s="66"/>
      <c r="P810" s="66"/>
      <c r="Q810" s="66"/>
      <c r="R810" s="66"/>
      <c r="S810" s="66"/>
      <c r="T810" s="66"/>
      <c r="U810" s="66"/>
      <c r="V810" s="66"/>
      <c r="W810" s="66"/>
      <c r="X810" s="66"/>
      <c r="Y810" s="66"/>
      <c r="Z810" s="66"/>
      <c r="AA810" s="66"/>
    </row>
    <row r="811" spans="1:27" ht="21" x14ac:dyDescent="0.65">
      <c r="A811" s="66"/>
      <c r="B811" s="66"/>
      <c r="C811" s="66"/>
      <c r="D811" s="66"/>
      <c r="E811" s="66"/>
      <c r="F811" s="66"/>
      <c r="G811" s="66"/>
      <c r="H811" s="66"/>
      <c r="I811" s="66"/>
      <c r="J811" s="66"/>
      <c r="K811" s="66"/>
      <c r="L811" s="66"/>
      <c r="M811" s="66"/>
      <c r="N811" s="66"/>
      <c r="O811" s="66"/>
      <c r="P811" s="66"/>
      <c r="Q811" s="66"/>
      <c r="R811" s="66"/>
      <c r="S811" s="66"/>
      <c r="T811" s="66"/>
      <c r="U811" s="66"/>
      <c r="V811" s="66"/>
      <c r="W811" s="66"/>
      <c r="X811" s="66"/>
      <c r="Y811" s="66"/>
      <c r="Z811" s="66"/>
      <c r="AA811" s="66"/>
    </row>
    <row r="812" spans="1:27" ht="21" x14ac:dyDescent="0.65">
      <c r="A812" s="66"/>
      <c r="B812" s="66"/>
      <c r="C812" s="66"/>
      <c r="D812" s="66"/>
      <c r="E812" s="66"/>
      <c r="F812" s="66"/>
      <c r="G812" s="66"/>
      <c r="H812" s="66"/>
      <c r="I812" s="66"/>
      <c r="J812" s="66"/>
      <c r="K812" s="66"/>
      <c r="L812" s="66"/>
      <c r="M812" s="66"/>
      <c r="N812" s="66"/>
      <c r="O812" s="66"/>
      <c r="P812" s="66"/>
      <c r="Q812" s="66"/>
      <c r="R812" s="66"/>
      <c r="S812" s="66"/>
      <c r="T812" s="66"/>
      <c r="U812" s="66"/>
      <c r="V812" s="66"/>
      <c r="W812" s="66"/>
      <c r="X812" s="66"/>
      <c r="Y812" s="66"/>
      <c r="Z812" s="66"/>
      <c r="AA812" s="66"/>
    </row>
    <row r="813" spans="1:27" ht="21" x14ac:dyDescent="0.65">
      <c r="A813" s="66"/>
      <c r="B813" s="66"/>
      <c r="C813" s="66"/>
      <c r="D813" s="66"/>
      <c r="E813" s="66"/>
      <c r="F813" s="66"/>
      <c r="G813" s="66"/>
      <c r="H813" s="66"/>
      <c r="I813" s="66"/>
      <c r="J813" s="66"/>
      <c r="K813" s="66"/>
      <c r="L813" s="66"/>
      <c r="M813" s="66"/>
      <c r="N813" s="66"/>
      <c r="O813" s="66"/>
      <c r="P813" s="66"/>
      <c r="Q813" s="66"/>
      <c r="R813" s="66"/>
      <c r="S813" s="66"/>
      <c r="T813" s="66"/>
      <c r="U813" s="66"/>
      <c r="V813" s="66"/>
      <c r="W813" s="66"/>
      <c r="X813" s="66"/>
      <c r="Y813" s="66"/>
      <c r="Z813" s="66"/>
      <c r="AA813" s="66"/>
    </row>
    <row r="814" spans="1:27" ht="21" x14ac:dyDescent="0.65">
      <c r="A814" s="66"/>
      <c r="B814" s="66"/>
      <c r="C814" s="66"/>
      <c r="D814" s="66"/>
      <c r="E814" s="66"/>
      <c r="F814" s="66"/>
      <c r="G814" s="66"/>
      <c r="H814" s="66"/>
      <c r="I814" s="66"/>
      <c r="J814" s="66"/>
      <c r="K814" s="66"/>
      <c r="L814" s="66"/>
      <c r="M814" s="66"/>
      <c r="N814" s="66"/>
      <c r="O814" s="66"/>
      <c r="P814" s="66"/>
      <c r="Q814" s="66"/>
      <c r="R814" s="66"/>
      <c r="S814" s="66"/>
      <c r="T814" s="66"/>
      <c r="U814" s="66"/>
      <c r="V814" s="66"/>
      <c r="W814" s="66"/>
      <c r="X814" s="66"/>
      <c r="Y814" s="66"/>
      <c r="Z814" s="66"/>
      <c r="AA814" s="66"/>
    </row>
    <row r="815" spans="1:27" ht="21" x14ac:dyDescent="0.65">
      <c r="A815" s="66"/>
      <c r="B815" s="66"/>
      <c r="C815" s="66"/>
      <c r="D815" s="66"/>
      <c r="E815" s="66"/>
      <c r="F815" s="66"/>
      <c r="G815" s="66"/>
      <c r="H815" s="66"/>
      <c r="I815" s="66"/>
      <c r="J815" s="66"/>
      <c r="K815" s="66"/>
      <c r="L815" s="66"/>
      <c r="M815" s="66"/>
      <c r="N815" s="66"/>
      <c r="O815" s="66"/>
      <c r="P815" s="66"/>
      <c r="Q815" s="66"/>
      <c r="R815" s="66"/>
      <c r="S815" s="66"/>
      <c r="T815" s="66"/>
      <c r="U815" s="66"/>
      <c r="V815" s="66"/>
      <c r="W815" s="66"/>
      <c r="X815" s="66"/>
      <c r="Y815" s="66"/>
      <c r="Z815" s="66"/>
      <c r="AA815" s="66"/>
    </row>
    <row r="816" spans="1:27" ht="21" x14ac:dyDescent="0.65">
      <c r="A816" s="66"/>
      <c r="B816" s="66"/>
      <c r="C816" s="66"/>
      <c r="D816" s="66"/>
      <c r="E816" s="66"/>
      <c r="F816" s="66"/>
      <c r="G816" s="66"/>
      <c r="H816" s="66"/>
      <c r="I816" s="66"/>
      <c r="J816" s="66"/>
      <c r="K816" s="66"/>
      <c r="L816" s="66"/>
      <c r="M816" s="66"/>
      <c r="N816" s="66"/>
      <c r="O816" s="66"/>
      <c r="P816" s="66"/>
      <c r="Q816" s="66"/>
      <c r="R816" s="66"/>
      <c r="S816" s="66"/>
      <c r="T816" s="66"/>
      <c r="U816" s="66"/>
      <c r="V816" s="66"/>
      <c r="W816" s="66"/>
      <c r="X816" s="66"/>
      <c r="Y816" s="66"/>
      <c r="Z816" s="66"/>
      <c r="AA816" s="66"/>
    </row>
    <row r="817" spans="1:27" ht="21" x14ac:dyDescent="0.65">
      <c r="A817" s="66"/>
      <c r="B817" s="66"/>
      <c r="C817" s="66"/>
      <c r="D817" s="66"/>
      <c r="E817" s="66"/>
      <c r="F817" s="66"/>
      <c r="G817" s="66"/>
      <c r="H817" s="66"/>
      <c r="I817" s="66"/>
      <c r="J817" s="66"/>
      <c r="K817" s="66"/>
      <c r="L817" s="66"/>
      <c r="M817" s="66"/>
      <c r="N817" s="66"/>
      <c r="O817" s="66"/>
      <c r="P817" s="66"/>
      <c r="Q817" s="66"/>
      <c r="R817" s="66"/>
      <c r="S817" s="66"/>
      <c r="T817" s="66"/>
      <c r="U817" s="66"/>
      <c r="V817" s="66"/>
      <c r="W817" s="66"/>
      <c r="X817" s="66"/>
      <c r="Y817" s="66"/>
      <c r="Z817" s="66"/>
      <c r="AA817" s="66"/>
    </row>
    <row r="818" spans="1:27" ht="21" x14ac:dyDescent="0.65">
      <c r="A818" s="66"/>
      <c r="B818" s="66"/>
      <c r="C818" s="66"/>
      <c r="D818" s="66"/>
      <c r="E818" s="66"/>
      <c r="F818" s="66"/>
      <c r="G818" s="66"/>
      <c r="H818" s="66"/>
      <c r="I818" s="66"/>
      <c r="J818" s="66"/>
      <c r="K818" s="66"/>
      <c r="L818" s="66"/>
      <c r="M818" s="66"/>
      <c r="N818" s="66"/>
      <c r="O818" s="66"/>
      <c r="P818" s="66"/>
      <c r="Q818" s="66"/>
      <c r="R818" s="66"/>
      <c r="S818" s="66"/>
      <c r="T818" s="66"/>
      <c r="U818" s="66"/>
      <c r="V818" s="66"/>
      <c r="W818" s="66"/>
      <c r="X818" s="66"/>
      <c r="Y818" s="66"/>
      <c r="Z818" s="66"/>
      <c r="AA818" s="66"/>
    </row>
    <row r="819" spans="1:27" ht="21" x14ac:dyDescent="0.65">
      <c r="A819" s="66"/>
      <c r="B819" s="66"/>
      <c r="C819" s="66"/>
      <c r="D819" s="66"/>
      <c r="E819" s="66"/>
      <c r="F819" s="66"/>
      <c r="G819" s="66"/>
      <c r="H819" s="66"/>
      <c r="I819" s="66"/>
      <c r="J819" s="66"/>
      <c r="K819" s="66"/>
      <c r="L819" s="66"/>
      <c r="M819" s="66"/>
      <c r="N819" s="66"/>
      <c r="O819" s="66"/>
      <c r="P819" s="66"/>
      <c r="Q819" s="66"/>
      <c r="R819" s="66"/>
      <c r="S819" s="66"/>
      <c r="T819" s="66"/>
      <c r="U819" s="66"/>
      <c r="V819" s="66"/>
      <c r="W819" s="66"/>
      <c r="X819" s="66"/>
      <c r="Y819" s="66"/>
      <c r="Z819" s="66"/>
      <c r="AA819" s="66"/>
    </row>
    <row r="820" spans="1:27" ht="21" x14ac:dyDescent="0.65">
      <c r="A820" s="66"/>
      <c r="B820" s="66"/>
      <c r="C820" s="66"/>
      <c r="D820" s="66"/>
      <c r="E820" s="66"/>
      <c r="F820" s="66"/>
      <c r="G820" s="66"/>
      <c r="H820" s="66"/>
      <c r="I820" s="66"/>
      <c r="J820" s="66"/>
      <c r="K820" s="66"/>
      <c r="L820" s="66"/>
      <c r="M820" s="66"/>
      <c r="N820" s="66"/>
      <c r="O820" s="66"/>
      <c r="P820" s="66"/>
      <c r="Q820" s="66"/>
      <c r="R820" s="66"/>
      <c r="S820" s="66"/>
      <c r="T820" s="66"/>
      <c r="U820" s="66"/>
      <c r="V820" s="66"/>
      <c r="W820" s="66"/>
      <c r="X820" s="66"/>
      <c r="Y820" s="66"/>
      <c r="Z820" s="66"/>
      <c r="AA820" s="66"/>
    </row>
    <row r="821" spans="1:27" ht="21" x14ac:dyDescent="0.65">
      <c r="A821" s="66"/>
      <c r="B821" s="66"/>
      <c r="C821" s="66"/>
      <c r="D821" s="66"/>
      <c r="E821" s="66"/>
      <c r="F821" s="66"/>
      <c r="G821" s="66"/>
      <c r="H821" s="66"/>
      <c r="I821" s="66"/>
      <c r="J821" s="66"/>
      <c r="K821" s="66"/>
      <c r="L821" s="66"/>
      <c r="M821" s="66"/>
      <c r="N821" s="66"/>
      <c r="O821" s="66"/>
      <c r="P821" s="66"/>
      <c r="Q821" s="66"/>
      <c r="R821" s="66"/>
      <c r="S821" s="66"/>
      <c r="T821" s="66"/>
      <c r="U821" s="66"/>
      <c r="V821" s="66"/>
      <c r="W821" s="66"/>
      <c r="X821" s="66"/>
      <c r="Y821" s="66"/>
      <c r="Z821" s="66"/>
      <c r="AA821" s="66"/>
    </row>
    <row r="822" spans="1:27" ht="21" x14ac:dyDescent="0.65">
      <c r="A822" s="66"/>
      <c r="B822" s="66"/>
      <c r="C822" s="66"/>
      <c r="D822" s="66"/>
      <c r="E822" s="66"/>
      <c r="F822" s="66"/>
      <c r="G822" s="66"/>
      <c r="H822" s="66"/>
      <c r="I822" s="66"/>
      <c r="J822" s="66"/>
      <c r="K822" s="66"/>
      <c r="L822" s="66"/>
      <c r="M822" s="66"/>
      <c r="N822" s="66"/>
      <c r="O822" s="66"/>
      <c r="P822" s="66"/>
      <c r="Q822" s="66"/>
      <c r="R822" s="66"/>
      <c r="S822" s="66"/>
      <c r="T822" s="66"/>
      <c r="U822" s="66"/>
      <c r="V822" s="66"/>
      <c r="W822" s="66"/>
      <c r="X822" s="66"/>
      <c r="Y822" s="66"/>
      <c r="Z822" s="66"/>
      <c r="AA822" s="66"/>
    </row>
    <row r="823" spans="1:27" ht="21" x14ac:dyDescent="0.65">
      <c r="A823" s="66"/>
      <c r="B823" s="66"/>
      <c r="C823" s="66"/>
      <c r="D823" s="66"/>
      <c r="E823" s="66"/>
      <c r="F823" s="66"/>
      <c r="G823" s="66"/>
      <c r="H823" s="66"/>
      <c r="I823" s="66"/>
      <c r="J823" s="66"/>
      <c r="K823" s="66"/>
      <c r="L823" s="66"/>
      <c r="M823" s="66"/>
      <c r="N823" s="66"/>
      <c r="O823" s="66"/>
      <c r="P823" s="66"/>
      <c r="Q823" s="66"/>
      <c r="R823" s="66"/>
      <c r="S823" s="66"/>
      <c r="T823" s="66"/>
      <c r="U823" s="66"/>
      <c r="V823" s="66"/>
      <c r="W823" s="66"/>
      <c r="X823" s="66"/>
      <c r="Y823" s="66"/>
      <c r="Z823" s="66"/>
      <c r="AA823" s="66"/>
    </row>
    <row r="824" spans="1:27" ht="21" x14ac:dyDescent="0.65">
      <c r="A824" s="66"/>
      <c r="B824" s="66"/>
      <c r="C824" s="66"/>
      <c r="D824" s="66"/>
      <c r="E824" s="66"/>
      <c r="F824" s="66"/>
      <c r="G824" s="66"/>
      <c r="H824" s="66"/>
      <c r="I824" s="66"/>
      <c r="J824" s="66"/>
      <c r="K824" s="66"/>
      <c r="L824" s="66"/>
      <c r="M824" s="66"/>
      <c r="N824" s="66"/>
      <c r="O824" s="66"/>
      <c r="P824" s="66"/>
      <c r="Q824" s="66"/>
      <c r="R824" s="66"/>
      <c r="S824" s="66"/>
      <c r="T824" s="66"/>
      <c r="U824" s="66"/>
      <c r="V824" s="66"/>
      <c r="W824" s="66"/>
      <c r="X824" s="66"/>
      <c r="Y824" s="66"/>
      <c r="Z824" s="66"/>
      <c r="AA824" s="66"/>
    </row>
    <row r="825" spans="1:27" ht="21" x14ac:dyDescent="0.65">
      <c r="A825" s="66"/>
      <c r="B825" s="66"/>
      <c r="C825" s="66"/>
      <c r="D825" s="66"/>
      <c r="E825" s="66"/>
      <c r="F825" s="66"/>
      <c r="G825" s="66"/>
      <c r="H825" s="66"/>
      <c r="I825" s="66"/>
      <c r="J825" s="66"/>
      <c r="K825" s="66"/>
      <c r="L825" s="66"/>
      <c r="M825" s="66"/>
      <c r="N825" s="66"/>
      <c r="O825" s="66"/>
      <c r="P825" s="66"/>
      <c r="Q825" s="66"/>
      <c r="R825" s="66"/>
      <c r="S825" s="66"/>
      <c r="T825" s="66"/>
      <c r="U825" s="66"/>
      <c r="V825" s="66"/>
      <c r="W825" s="66"/>
      <c r="X825" s="66"/>
      <c r="Y825" s="66"/>
      <c r="Z825" s="66"/>
      <c r="AA825" s="66"/>
    </row>
    <row r="826" spans="1:27" ht="21" x14ac:dyDescent="0.65">
      <c r="A826" s="66"/>
      <c r="B826" s="66"/>
      <c r="C826" s="66"/>
      <c r="D826" s="66"/>
      <c r="E826" s="66"/>
      <c r="F826" s="66"/>
      <c r="G826" s="66"/>
      <c r="H826" s="66"/>
      <c r="I826" s="66"/>
      <c r="J826" s="66"/>
      <c r="K826" s="66"/>
      <c r="L826" s="66"/>
      <c r="M826" s="66"/>
      <c r="N826" s="66"/>
      <c r="O826" s="66"/>
      <c r="P826" s="66"/>
      <c r="Q826" s="66"/>
      <c r="R826" s="66"/>
      <c r="S826" s="66"/>
      <c r="T826" s="66"/>
      <c r="U826" s="66"/>
      <c r="V826" s="66"/>
      <c r="W826" s="66"/>
      <c r="X826" s="66"/>
      <c r="Y826" s="66"/>
      <c r="Z826" s="66"/>
      <c r="AA826" s="66"/>
    </row>
    <row r="827" spans="1:27" ht="21" x14ac:dyDescent="0.65">
      <c r="A827" s="66"/>
      <c r="B827" s="66"/>
      <c r="C827" s="66"/>
      <c r="D827" s="66"/>
      <c r="E827" s="66"/>
      <c r="F827" s="66"/>
      <c r="G827" s="66"/>
      <c r="H827" s="66"/>
      <c r="I827" s="66"/>
      <c r="J827" s="66"/>
      <c r="K827" s="66"/>
      <c r="L827" s="66"/>
      <c r="M827" s="66"/>
      <c r="N827" s="66"/>
      <c r="O827" s="66"/>
      <c r="P827" s="66"/>
      <c r="Q827" s="66"/>
      <c r="R827" s="66"/>
      <c r="S827" s="66"/>
      <c r="T827" s="66"/>
      <c r="U827" s="66"/>
      <c r="V827" s="66"/>
      <c r="W827" s="66"/>
      <c r="X827" s="66"/>
      <c r="Y827" s="66"/>
      <c r="Z827" s="66"/>
      <c r="AA827" s="66"/>
    </row>
    <row r="828" spans="1:27" ht="21" x14ac:dyDescent="0.65">
      <c r="A828" s="66"/>
      <c r="B828" s="66"/>
      <c r="C828" s="66"/>
      <c r="D828" s="66"/>
      <c r="E828" s="66"/>
      <c r="F828" s="66"/>
      <c r="G828" s="66"/>
      <c r="H828" s="66"/>
      <c r="I828" s="66"/>
      <c r="J828" s="66"/>
      <c r="K828" s="66"/>
      <c r="L828" s="66"/>
      <c r="M828" s="66"/>
      <c r="N828" s="66"/>
      <c r="O828" s="66"/>
      <c r="P828" s="66"/>
      <c r="Q828" s="66"/>
      <c r="R828" s="66"/>
      <c r="S828" s="66"/>
      <c r="T828" s="66"/>
      <c r="U828" s="66"/>
      <c r="V828" s="66"/>
      <c r="W828" s="66"/>
      <c r="X828" s="66"/>
      <c r="Y828" s="66"/>
      <c r="Z828" s="66"/>
      <c r="AA828" s="66"/>
    </row>
    <row r="829" spans="1:27" ht="21" x14ac:dyDescent="0.65">
      <c r="A829" s="66"/>
      <c r="B829" s="66"/>
      <c r="C829" s="66"/>
      <c r="D829" s="66"/>
      <c r="E829" s="66"/>
      <c r="F829" s="66"/>
      <c r="G829" s="66"/>
      <c r="H829" s="66"/>
      <c r="I829" s="66"/>
      <c r="J829" s="66"/>
      <c r="K829" s="66"/>
      <c r="L829" s="66"/>
      <c r="M829" s="66"/>
      <c r="N829" s="66"/>
      <c r="O829" s="66"/>
      <c r="P829" s="66"/>
      <c r="Q829" s="66"/>
      <c r="R829" s="66"/>
      <c r="S829" s="66"/>
      <c r="T829" s="66"/>
      <c r="U829" s="66"/>
      <c r="V829" s="66"/>
      <c r="W829" s="66"/>
      <c r="X829" s="66"/>
      <c r="Y829" s="66"/>
      <c r="Z829" s="66"/>
      <c r="AA829" s="66"/>
    </row>
    <row r="830" spans="1:27" ht="21" x14ac:dyDescent="0.65">
      <c r="A830" s="66"/>
      <c r="B830" s="66"/>
      <c r="C830" s="66"/>
      <c r="D830" s="66"/>
      <c r="E830" s="66"/>
      <c r="F830" s="66"/>
      <c r="G830" s="66"/>
      <c r="H830" s="66"/>
      <c r="I830" s="66"/>
      <c r="J830" s="66"/>
      <c r="K830" s="66"/>
      <c r="L830" s="66"/>
      <c r="M830" s="66"/>
      <c r="N830" s="66"/>
      <c r="O830" s="66"/>
      <c r="P830" s="66"/>
      <c r="Q830" s="66"/>
      <c r="R830" s="66"/>
      <c r="S830" s="66"/>
      <c r="T830" s="66"/>
      <c r="U830" s="66"/>
      <c r="V830" s="66"/>
      <c r="W830" s="66"/>
      <c r="X830" s="66"/>
      <c r="Y830" s="66"/>
      <c r="Z830" s="66"/>
      <c r="AA830" s="66"/>
    </row>
    <row r="831" spans="1:27" ht="21" x14ac:dyDescent="0.65">
      <c r="A831" s="66"/>
      <c r="B831" s="66"/>
      <c r="C831" s="66"/>
      <c r="D831" s="66"/>
      <c r="E831" s="66"/>
      <c r="F831" s="66"/>
      <c r="G831" s="66"/>
      <c r="H831" s="66"/>
      <c r="I831" s="66"/>
      <c r="J831" s="66"/>
      <c r="K831" s="66"/>
      <c r="L831" s="66"/>
      <c r="M831" s="66"/>
      <c r="N831" s="66"/>
      <c r="O831" s="66"/>
      <c r="P831" s="66"/>
      <c r="Q831" s="66"/>
      <c r="R831" s="66"/>
      <c r="S831" s="66"/>
      <c r="T831" s="66"/>
      <c r="U831" s="66"/>
      <c r="V831" s="66"/>
      <c r="W831" s="66"/>
      <c r="X831" s="66"/>
      <c r="Y831" s="66"/>
      <c r="Z831" s="66"/>
      <c r="AA831" s="66"/>
    </row>
    <row r="832" spans="1:27" ht="21" x14ac:dyDescent="0.65">
      <c r="A832" s="66"/>
      <c r="B832" s="66"/>
      <c r="C832" s="66"/>
      <c r="D832" s="66"/>
      <c r="E832" s="66"/>
      <c r="F832" s="66"/>
      <c r="G832" s="66"/>
      <c r="H832" s="66"/>
      <c r="I832" s="66"/>
      <c r="J832" s="66"/>
      <c r="K832" s="66"/>
      <c r="L832" s="66"/>
      <c r="M832" s="66"/>
      <c r="N832" s="66"/>
      <c r="O832" s="66"/>
      <c r="P832" s="66"/>
      <c r="Q832" s="66"/>
      <c r="R832" s="66"/>
      <c r="S832" s="66"/>
      <c r="T832" s="66"/>
      <c r="U832" s="66"/>
      <c r="V832" s="66"/>
      <c r="W832" s="66"/>
      <c r="X832" s="66"/>
      <c r="Y832" s="66"/>
      <c r="Z832" s="66"/>
      <c r="AA832" s="66"/>
    </row>
    <row r="833" spans="1:27" ht="21" x14ac:dyDescent="0.65">
      <c r="A833" s="66"/>
      <c r="B833" s="66"/>
      <c r="C833" s="66"/>
      <c r="D833" s="66"/>
      <c r="E833" s="66"/>
      <c r="F833" s="66"/>
      <c r="G833" s="66"/>
      <c r="H833" s="66"/>
      <c r="I833" s="66"/>
      <c r="J833" s="66"/>
      <c r="K833" s="66"/>
      <c r="L833" s="66"/>
      <c r="M833" s="66"/>
      <c r="N833" s="66"/>
      <c r="O833" s="66"/>
      <c r="P833" s="66"/>
      <c r="Q833" s="66"/>
      <c r="R833" s="66"/>
      <c r="S833" s="66"/>
      <c r="T833" s="66"/>
      <c r="U833" s="66"/>
      <c r="V833" s="66"/>
      <c r="W833" s="66"/>
      <c r="X833" s="66"/>
      <c r="Y833" s="66"/>
      <c r="Z833" s="66"/>
      <c r="AA833" s="66"/>
    </row>
    <row r="834" spans="1:27" ht="21" x14ac:dyDescent="0.65">
      <c r="A834" s="66"/>
      <c r="B834" s="66"/>
      <c r="C834" s="66"/>
      <c r="D834" s="66"/>
      <c r="E834" s="66"/>
      <c r="F834" s="66"/>
      <c r="G834" s="66"/>
      <c r="H834" s="66"/>
      <c r="I834" s="66"/>
      <c r="J834" s="66"/>
      <c r="K834" s="66"/>
      <c r="L834" s="66"/>
      <c r="M834" s="66"/>
      <c r="N834" s="66"/>
      <c r="O834" s="66"/>
      <c r="P834" s="66"/>
      <c r="Q834" s="66"/>
      <c r="R834" s="66"/>
      <c r="S834" s="66"/>
      <c r="T834" s="66"/>
      <c r="U834" s="66"/>
      <c r="V834" s="66"/>
      <c r="W834" s="66"/>
      <c r="X834" s="66"/>
      <c r="Y834" s="66"/>
      <c r="Z834" s="66"/>
      <c r="AA834" s="66"/>
    </row>
    <row r="835" spans="1:27" ht="21" x14ac:dyDescent="0.65">
      <c r="A835" s="66"/>
      <c r="B835" s="66"/>
      <c r="C835" s="66"/>
      <c r="D835" s="66"/>
      <c r="E835" s="66"/>
      <c r="F835" s="66"/>
      <c r="G835" s="66"/>
      <c r="H835" s="66"/>
      <c r="I835" s="66"/>
      <c r="J835" s="66"/>
      <c r="K835" s="66"/>
      <c r="L835" s="66"/>
      <c r="M835" s="66"/>
      <c r="N835" s="66"/>
      <c r="O835" s="66"/>
      <c r="P835" s="66"/>
      <c r="Q835" s="66"/>
      <c r="R835" s="66"/>
      <c r="S835" s="66"/>
      <c r="T835" s="66"/>
      <c r="U835" s="66"/>
      <c r="V835" s="66"/>
      <c r="W835" s="66"/>
      <c r="X835" s="66"/>
      <c r="Y835" s="66"/>
      <c r="Z835" s="66"/>
      <c r="AA835" s="66"/>
    </row>
    <row r="836" spans="1:27" ht="21" x14ac:dyDescent="0.65">
      <c r="A836" s="66"/>
      <c r="B836" s="66"/>
      <c r="C836" s="66"/>
      <c r="D836" s="66"/>
      <c r="E836" s="66"/>
      <c r="F836" s="66"/>
      <c r="G836" s="66"/>
      <c r="H836" s="66"/>
      <c r="I836" s="66"/>
      <c r="J836" s="66"/>
      <c r="K836" s="66"/>
      <c r="L836" s="66"/>
      <c r="M836" s="66"/>
      <c r="N836" s="66"/>
      <c r="O836" s="66"/>
      <c r="P836" s="66"/>
      <c r="Q836" s="66"/>
      <c r="R836" s="66"/>
      <c r="S836" s="66"/>
      <c r="T836" s="66"/>
      <c r="U836" s="66"/>
      <c r="V836" s="66"/>
      <c r="W836" s="66"/>
      <c r="X836" s="66"/>
      <c r="Y836" s="66"/>
      <c r="Z836" s="66"/>
      <c r="AA836" s="66"/>
    </row>
    <row r="837" spans="1:27" ht="21" x14ac:dyDescent="0.65">
      <c r="A837" s="66"/>
      <c r="B837" s="66"/>
      <c r="C837" s="66"/>
      <c r="D837" s="66"/>
      <c r="E837" s="66"/>
      <c r="F837" s="66"/>
      <c r="G837" s="66"/>
      <c r="H837" s="66"/>
      <c r="I837" s="66"/>
      <c r="J837" s="66"/>
      <c r="K837" s="66"/>
      <c r="L837" s="66"/>
      <c r="M837" s="66"/>
      <c r="N837" s="66"/>
      <c r="O837" s="66"/>
      <c r="P837" s="66"/>
      <c r="Q837" s="66"/>
      <c r="R837" s="66"/>
      <c r="S837" s="66"/>
      <c r="T837" s="66"/>
      <c r="U837" s="66"/>
      <c r="V837" s="66"/>
      <c r="W837" s="66"/>
      <c r="X837" s="66"/>
      <c r="Y837" s="66"/>
      <c r="Z837" s="66"/>
      <c r="AA837" s="66"/>
    </row>
    <row r="838" spans="1:27" ht="21" x14ac:dyDescent="0.65">
      <c r="A838" s="66"/>
      <c r="B838" s="66"/>
      <c r="C838" s="66"/>
      <c r="D838" s="66"/>
      <c r="E838" s="66"/>
      <c r="F838" s="66"/>
      <c r="G838" s="66"/>
      <c r="H838" s="66"/>
      <c r="I838" s="66"/>
      <c r="J838" s="66"/>
      <c r="K838" s="66"/>
      <c r="L838" s="66"/>
      <c r="M838" s="66"/>
      <c r="N838" s="66"/>
      <c r="O838" s="66"/>
      <c r="P838" s="66"/>
      <c r="Q838" s="66"/>
      <c r="R838" s="66"/>
      <c r="S838" s="66"/>
      <c r="T838" s="66"/>
      <c r="U838" s="66"/>
      <c r="V838" s="66"/>
      <c r="W838" s="66"/>
      <c r="X838" s="66"/>
      <c r="Y838" s="66"/>
      <c r="Z838" s="66"/>
      <c r="AA838" s="66"/>
    </row>
    <row r="839" spans="1:27" ht="21" x14ac:dyDescent="0.65">
      <c r="A839" s="66"/>
      <c r="B839" s="66"/>
      <c r="C839" s="66"/>
      <c r="D839" s="66"/>
      <c r="E839" s="66"/>
      <c r="F839" s="66"/>
      <c r="G839" s="66"/>
      <c r="H839" s="66"/>
      <c r="I839" s="66"/>
      <c r="J839" s="66"/>
      <c r="K839" s="66"/>
      <c r="L839" s="66"/>
      <c r="M839" s="66"/>
      <c r="N839" s="66"/>
      <c r="O839" s="66"/>
      <c r="P839" s="66"/>
      <c r="Q839" s="66"/>
      <c r="R839" s="66"/>
      <c r="S839" s="66"/>
      <c r="T839" s="66"/>
      <c r="U839" s="66"/>
      <c r="V839" s="66"/>
      <c r="W839" s="66"/>
      <c r="X839" s="66"/>
      <c r="Y839" s="66"/>
      <c r="Z839" s="66"/>
      <c r="AA839" s="66"/>
    </row>
    <row r="840" spans="1:27" ht="21" x14ac:dyDescent="0.65">
      <c r="A840" s="66"/>
      <c r="B840" s="66"/>
      <c r="C840" s="66"/>
      <c r="D840" s="66"/>
      <c r="E840" s="66"/>
      <c r="F840" s="66"/>
      <c r="G840" s="66"/>
      <c r="H840" s="66"/>
      <c r="I840" s="66"/>
      <c r="J840" s="66"/>
      <c r="K840" s="66"/>
      <c r="L840" s="66"/>
      <c r="M840" s="66"/>
      <c r="N840" s="66"/>
      <c r="O840" s="66"/>
      <c r="P840" s="66"/>
      <c r="Q840" s="66"/>
      <c r="R840" s="66"/>
      <c r="S840" s="66"/>
      <c r="T840" s="66"/>
      <c r="U840" s="66"/>
      <c r="V840" s="66"/>
      <c r="W840" s="66"/>
      <c r="X840" s="66"/>
      <c r="Y840" s="66"/>
      <c r="Z840" s="66"/>
      <c r="AA840" s="66"/>
    </row>
    <row r="841" spans="1:27" ht="21" x14ac:dyDescent="0.65">
      <c r="A841" s="66"/>
      <c r="B841" s="66"/>
      <c r="C841" s="66"/>
      <c r="D841" s="66"/>
      <c r="E841" s="66"/>
      <c r="F841" s="66"/>
      <c r="G841" s="66"/>
      <c r="H841" s="66"/>
      <c r="I841" s="66"/>
      <c r="J841" s="66"/>
      <c r="K841" s="66"/>
      <c r="L841" s="66"/>
      <c r="M841" s="66"/>
      <c r="N841" s="66"/>
      <c r="O841" s="66"/>
      <c r="P841" s="66"/>
      <c r="Q841" s="66"/>
      <c r="R841" s="66"/>
      <c r="S841" s="66"/>
      <c r="T841" s="66"/>
      <c r="U841" s="66"/>
      <c r="V841" s="66"/>
      <c r="W841" s="66"/>
      <c r="X841" s="66"/>
      <c r="Y841" s="66"/>
      <c r="Z841" s="66"/>
      <c r="AA841" s="66"/>
    </row>
    <row r="842" spans="1:27" ht="21" x14ac:dyDescent="0.65">
      <c r="A842" s="66"/>
      <c r="B842" s="66"/>
      <c r="C842" s="66"/>
      <c r="D842" s="66"/>
      <c r="E842" s="66"/>
      <c r="F842" s="66"/>
      <c r="G842" s="66"/>
      <c r="H842" s="66"/>
      <c r="I842" s="66"/>
      <c r="J842" s="66"/>
      <c r="K842" s="66"/>
      <c r="L842" s="66"/>
      <c r="M842" s="66"/>
      <c r="N842" s="66"/>
      <c r="O842" s="66"/>
      <c r="P842" s="66"/>
      <c r="Q842" s="66"/>
      <c r="R842" s="66"/>
      <c r="S842" s="66"/>
      <c r="T842" s="66"/>
      <c r="U842" s="66"/>
      <c r="V842" s="66"/>
      <c r="W842" s="66"/>
      <c r="X842" s="66"/>
      <c r="Y842" s="66"/>
      <c r="Z842" s="66"/>
      <c r="AA842" s="66"/>
    </row>
    <row r="843" spans="1:27" ht="21" x14ac:dyDescent="0.65">
      <c r="A843" s="66"/>
      <c r="B843" s="66"/>
      <c r="C843" s="66"/>
      <c r="D843" s="66"/>
      <c r="E843" s="66"/>
      <c r="F843" s="66"/>
      <c r="G843" s="66"/>
      <c r="H843" s="66"/>
      <c r="I843" s="66"/>
      <c r="J843" s="66"/>
      <c r="K843" s="66"/>
      <c r="L843" s="66"/>
      <c r="M843" s="66"/>
      <c r="N843" s="66"/>
      <c r="O843" s="66"/>
      <c r="P843" s="66"/>
      <c r="Q843" s="66"/>
      <c r="R843" s="66"/>
      <c r="S843" s="66"/>
      <c r="T843" s="66"/>
      <c r="U843" s="66"/>
      <c r="V843" s="66"/>
      <c r="W843" s="66"/>
      <c r="X843" s="66"/>
      <c r="Y843" s="66"/>
      <c r="Z843" s="66"/>
      <c r="AA843" s="66"/>
    </row>
    <row r="844" spans="1:27" ht="21" x14ac:dyDescent="0.65">
      <c r="A844" s="66"/>
      <c r="B844" s="66"/>
      <c r="C844" s="66"/>
      <c r="D844" s="66"/>
      <c r="E844" s="66"/>
      <c r="F844" s="66"/>
      <c r="G844" s="66"/>
      <c r="H844" s="66"/>
      <c r="I844" s="66"/>
      <c r="J844" s="66"/>
      <c r="K844" s="66"/>
      <c r="L844" s="66"/>
      <c r="M844" s="66"/>
      <c r="N844" s="66"/>
      <c r="O844" s="66"/>
      <c r="P844" s="66"/>
      <c r="Q844" s="66"/>
      <c r="R844" s="66"/>
      <c r="S844" s="66"/>
      <c r="T844" s="66"/>
      <c r="U844" s="66"/>
      <c r="V844" s="66"/>
      <c r="W844" s="66"/>
      <c r="X844" s="66"/>
      <c r="Y844" s="66"/>
      <c r="Z844" s="66"/>
      <c r="AA844" s="66"/>
    </row>
    <row r="845" spans="1:27" ht="21" x14ac:dyDescent="0.65">
      <c r="A845" s="66"/>
      <c r="B845" s="66"/>
      <c r="C845" s="66"/>
      <c r="D845" s="66"/>
      <c r="E845" s="66"/>
      <c r="F845" s="66"/>
      <c r="G845" s="66"/>
      <c r="H845" s="66"/>
      <c r="I845" s="66"/>
      <c r="J845" s="66"/>
      <c r="K845" s="66"/>
      <c r="L845" s="66"/>
      <c r="M845" s="66"/>
      <c r="N845" s="66"/>
      <c r="O845" s="66"/>
      <c r="P845" s="66"/>
      <c r="Q845" s="66"/>
      <c r="R845" s="66"/>
      <c r="S845" s="66"/>
      <c r="T845" s="66"/>
      <c r="U845" s="66"/>
      <c r="V845" s="66"/>
      <c r="W845" s="66"/>
      <c r="X845" s="66"/>
      <c r="Y845" s="66"/>
      <c r="Z845" s="66"/>
      <c r="AA845" s="66"/>
    </row>
    <row r="846" spans="1:27" ht="21" x14ac:dyDescent="0.65">
      <c r="A846" s="66"/>
      <c r="B846" s="66"/>
      <c r="C846" s="66"/>
      <c r="D846" s="66"/>
      <c r="E846" s="66"/>
      <c r="F846" s="66"/>
      <c r="G846" s="66"/>
      <c r="H846" s="66"/>
      <c r="I846" s="66"/>
      <c r="J846" s="66"/>
      <c r="K846" s="66"/>
      <c r="L846" s="66"/>
      <c r="M846" s="66"/>
      <c r="N846" s="66"/>
      <c r="O846" s="66"/>
      <c r="P846" s="66"/>
      <c r="Q846" s="66"/>
      <c r="R846" s="66"/>
      <c r="S846" s="66"/>
      <c r="T846" s="66"/>
      <c r="U846" s="66"/>
      <c r="V846" s="66"/>
      <c r="W846" s="66"/>
      <c r="X846" s="66"/>
      <c r="Y846" s="66"/>
      <c r="Z846" s="66"/>
      <c r="AA846" s="66"/>
    </row>
    <row r="847" spans="1:27" ht="21" x14ac:dyDescent="0.65">
      <c r="A847" s="66"/>
      <c r="B847" s="66"/>
      <c r="C847" s="66"/>
      <c r="D847" s="66"/>
      <c r="E847" s="66"/>
      <c r="F847" s="66"/>
      <c r="G847" s="66"/>
      <c r="H847" s="66"/>
      <c r="I847" s="66"/>
      <c r="J847" s="66"/>
      <c r="K847" s="66"/>
      <c r="L847" s="66"/>
      <c r="M847" s="66"/>
      <c r="N847" s="66"/>
      <c r="O847" s="66"/>
      <c r="P847" s="66"/>
      <c r="Q847" s="66"/>
      <c r="R847" s="66"/>
      <c r="S847" s="66"/>
      <c r="T847" s="66"/>
      <c r="U847" s="66"/>
      <c r="V847" s="66"/>
      <c r="W847" s="66"/>
      <c r="X847" s="66"/>
      <c r="Y847" s="66"/>
      <c r="Z847" s="66"/>
      <c r="AA847" s="66"/>
    </row>
    <row r="848" spans="1:27" ht="21" x14ac:dyDescent="0.65">
      <c r="A848" s="66"/>
      <c r="B848" s="66"/>
      <c r="C848" s="66"/>
      <c r="D848" s="66"/>
      <c r="E848" s="66"/>
      <c r="F848" s="66"/>
      <c r="G848" s="66"/>
      <c r="H848" s="66"/>
      <c r="I848" s="66"/>
      <c r="J848" s="66"/>
      <c r="K848" s="66"/>
      <c r="L848" s="66"/>
      <c r="M848" s="66"/>
      <c r="N848" s="66"/>
      <c r="O848" s="66"/>
      <c r="P848" s="66"/>
      <c r="Q848" s="66"/>
      <c r="R848" s="66"/>
      <c r="S848" s="66"/>
      <c r="T848" s="66"/>
      <c r="U848" s="66"/>
      <c r="V848" s="66"/>
      <c r="W848" s="66"/>
      <c r="X848" s="66"/>
      <c r="Y848" s="66"/>
      <c r="Z848" s="66"/>
      <c r="AA848" s="66"/>
    </row>
    <row r="849" spans="1:27" ht="21" x14ac:dyDescent="0.65">
      <c r="A849" s="66"/>
      <c r="B849" s="66"/>
      <c r="C849" s="66"/>
      <c r="D849" s="66"/>
      <c r="E849" s="66"/>
      <c r="F849" s="66"/>
      <c r="G849" s="66"/>
      <c r="H849" s="66"/>
      <c r="I849" s="66"/>
      <c r="J849" s="66"/>
      <c r="K849" s="66"/>
      <c r="L849" s="66"/>
      <c r="M849" s="66"/>
      <c r="N849" s="66"/>
      <c r="O849" s="66"/>
      <c r="P849" s="66"/>
      <c r="Q849" s="66"/>
      <c r="R849" s="66"/>
      <c r="S849" s="66"/>
      <c r="T849" s="66"/>
      <c r="U849" s="66"/>
      <c r="V849" s="66"/>
      <c r="W849" s="66"/>
      <c r="X849" s="66"/>
      <c r="Y849" s="66"/>
      <c r="Z849" s="66"/>
      <c r="AA849" s="66"/>
    </row>
    <row r="850" spans="1:27" ht="21" x14ac:dyDescent="0.65">
      <c r="A850" s="66"/>
      <c r="B850" s="66"/>
      <c r="C850" s="66"/>
      <c r="D850" s="66"/>
      <c r="E850" s="66"/>
      <c r="F850" s="66"/>
      <c r="G850" s="66"/>
      <c r="H850" s="66"/>
      <c r="I850" s="66"/>
      <c r="J850" s="66"/>
      <c r="K850" s="66"/>
      <c r="L850" s="66"/>
      <c r="M850" s="66"/>
      <c r="N850" s="66"/>
      <c r="O850" s="66"/>
      <c r="P850" s="66"/>
      <c r="Q850" s="66"/>
      <c r="R850" s="66"/>
      <c r="S850" s="66"/>
      <c r="T850" s="66"/>
      <c r="U850" s="66"/>
      <c r="V850" s="66"/>
      <c r="W850" s="66"/>
      <c r="X850" s="66"/>
      <c r="Y850" s="66"/>
      <c r="Z850" s="66"/>
      <c r="AA850" s="66"/>
    </row>
    <row r="851" spans="1:27" ht="21" x14ac:dyDescent="0.65">
      <c r="A851" s="66"/>
      <c r="B851" s="66"/>
      <c r="C851" s="66"/>
      <c r="D851" s="66"/>
      <c r="E851" s="66"/>
      <c r="F851" s="66"/>
      <c r="G851" s="66"/>
      <c r="H851" s="66"/>
      <c r="I851" s="66"/>
      <c r="J851" s="66"/>
      <c r="K851" s="66"/>
      <c r="L851" s="66"/>
      <c r="M851" s="66"/>
      <c r="N851" s="66"/>
      <c r="O851" s="66"/>
      <c r="P851" s="66"/>
      <c r="Q851" s="66"/>
      <c r="R851" s="66"/>
      <c r="S851" s="66"/>
      <c r="T851" s="66"/>
      <c r="U851" s="66"/>
      <c r="V851" s="66"/>
      <c r="W851" s="66"/>
      <c r="X851" s="66"/>
      <c r="Y851" s="66"/>
      <c r="Z851" s="66"/>
      <c r="AA851" s="66"/>
    </row>
    <row r="852" spans="1:27" ht="21" x14ac:dyDescent="0.65">
      <c r="A852" s="66"/>
      <c r="B852" s="66"/>
      <c r="C852" s="66"/>
      <c r="D852" s="66"/>
      <c r="E852" s="66"/>
      <c r="F852" s="66"/>
      <c r="G852" s="66"/>
      <c r="H852" s="66"/>
      <c r="I852" s="66"/>
      <c r="J852" s="66"/>
      <c r="K852" s="66"/>
      <c r="L852" s="66"/>
      <c r="M852" s="66"/>
      <c r="N852" s="66"/>
      <c r="O852" s="66"/>
      <c r="P852" s="66"/>
      <c r="Q852" s="66"/>
      <c r="R852" s="66"/>
      <c r="S852" s="66"/>
      <c r="T852" s="66"/>
      <c r="U852" s="66"/>
      <c r="V852" s="66"/>
      <c r="W852" s="66"/>
      <c r="X852" s="66"/>
      <c r="Y852" s="66"/>
      <c r="Z852" s="66"/>
      <c r="AA852" s="66"/>
    </row>
    <row r="853" spans="1:27" ht="21" x14ac:dyDescent="0.65">
      <c r="A853" s="66"/>
      <c r="B853" s="66"/>
      <c r="C853" s="66"/>
      <c r="D853" s="66"/>
      <c r="E853" s="66"/>
      <c r="F853" s="66"/>
      <c r="G853" s="66"/>
      <c r="H853" s="66"/>
      <c r="I853" s="66"/>
      <c r="J853" s="66"/>
      <c r="K853" s="66"/>
      <c r="L853" s="66"/>
      <c r="M853" s="66"/>
      <c r="N853" s="66"/>
      <c r="O853" s="66"/>
      <c r="P853" s="66"/>
      <c r="Q853" s="66"/>
      <c r="R853" s="66"/>
      <c r="S853" s="66"/>
      <c r="T853" s="66"/>
      <c r="U853" s="66"/>
      <c r="V853" s="66"/>
      <c r="W853" s="66"/>
      <c r="X853" s="66"/>
      <c r="Y853" s="66"/>
      <c r="Z853" s="66"/>
      <c r="AA853" s="66"/>
    </row>
    <row r="854" spans="1:27" ht="21" x14ac:dyDescent="0.65">
      <c r="A854" s="66"/>
      <c r="B854" s="66"/>
      <c r="C854" s="66"/>
      <c r="D854" s="66"/>
      <c r="E854" s="66"/>
      <c r="F854" s="66"/>
      <c r="G854" s="66"/>
      <c r="H854" s="66"/>
      <c r="I854" s="66"/>
      <c r="J854" s="66"/>
      <c r="K854" s="66"/>
      <c r="L854" s="66"/>
      <c r="M854" s="66"/>
      <c r="N854" s="66"/>
      <c r="O854" s="66"/>
      <c r="P854" s="66"/>
      <c r="Q854" s="66"/>
      <c r="R854" s="66"/>
      <c r="S854" s="66"/>
      <c r="T854" s="66"/>
      <c r="U854" s="66"/>
      <c r="V854" s="66"/>
      <c r="W854" s="66"/>
      <c r="X854" s="66"/>
      <c r="Y854" s="66"/>
      <c r="Z854" s="66"/>
      <c r="AA854" s="66"/>
    </row>
    <row r="855" spans="1:27" ht="21" x14ac:dyDescent="0.65">
      <c r="A855" s="66"/>
      <c r="B855" s="66"/>
      <c r="C855" s="66"/>
      <c r="D855" s="66"/>
      <c r="E855" s="66"/>
      <c r="F855" s="66"/>
      <c r="G855" s="66"/>
      <c r="H855" s="66"/>
      <c r="I855" s="66"/>
      <c r="J855" s="66"/>
      <c r="K855" s="66"/>
      <c r="L855" s="66"/>
      <c r="M855" s="66"/>
      <c r="N855" s="66"/>
      <c r="O855" s="66"/>
      <c r="P855" s="66"/>
      <c r="Q855" s="66"/>
      <c r="R855" s="66"/>
      <c r="S855" s="66"/>
      <c r="T855" s="66"/>
      <c r="U855" s="66"/>
      <c r="V855" s="66"/>
      <c r="W855" s="66"/>
      <c r="X855" s="66"/>
      <c r="Y855" s="66"/>
      <c r="Z855" s="66"/>
      <c r="AA855" s="66"/>
    </row>
    <row r="856" spans="1:27" ht="21" x14ac:dyDescent="0.65">
      <c r="A856" s="66"/>
      <c r="B856" s="66"/>
      <c r="C856" s="66"/>
      <c r="D856" s="66"/>
      <c r="E856" s="66"/>
      <c r="F856" s="66"/>
      <c r="G856" s="66"/>
      <c r="H856" s="66"/>
      <c r="I856" s="66"/>
      <c r="J856" s="66"/>
      <c r="K856" s="66"/>
      <c r="L856" s="66"/>
      <c r="M856" s="66"/>
      <c r="N856" s="66"/>
      <c r="O856" s="66"/>
      <c r="P856" s="66"/>
      <c r="Q856" s="66"/>
      <c r="R856" s="66"/>
      <c r="S856" s="66"/>
      <c r="T856" s="66"/>
      <c r="U856" s="66"/>
      <c r="V856" s="66"/>
      <c r="W856" s="66"/>
      <c r="X856" s="66"/>
      <c r="Y856" s="66"/>
      <c r="Z856" s="66"/>
      <c r="AA856" s="66"/>
    </row>
    <row r="857" spans="1:27" ht="21" x14ac:dyDescent="0.65">
      <c r="A857" s="66"/>
      <c r="B857" s="66"/>
      <c r="C857" s="66"/>
      <c r="D857" s="66"/>
      <c r="E857" s="66"/>
      <c r="F857" s="66"/>
      <c r="G857" s="66"/>
      <c r="H857" s="66"/>
      <c r="I857" s="66"/>
      <c r="J857" s="66"/>
      <c r="K857" s="66"/>
      <c r="L857" s="66"/>
      <c r="M857" s="66"/>
      <c r="N857" s="66"/>
      <c r="O857" s="66"/>
      <c r="P857" s="66"/>
      <c r="Q857" s="66"/>
      <c r="R857" s="66"/>
      <c r="S857" s="66"/>
      <c r="T857" s="66"/>
      <c r="U857" s="66"/>
      <c r="V857" s="66"/>
      <c r="W857" s="66"/>
      <c r="X857" s="66"/>
      <c r="Y857" s="66"/>
      <c r="Z857" s="66"/>
      <c r="AA857" s="66"/>
    </row>
    <row r="858" spans="1:27" ht="21" x14ac:dyDescent="0.65">
      <c r="A858" s="66"/>
      <c r="B858" s="66"/>
      <c r="C858" s="66"/>
      <c r="D858" s="66"/>
      <c r="E858" s="66"/>
      <c r="F858" s="66"/>
      <c r="G858" s="66"/>
      <c r="H858" s="66"/>
      <c r="I858" s="66"/>
      <c r="J858" s="66"/>
      <c r="K858" s="66"/>
      <c r="L858" s="66"/>
      <c r="M858" s="66"/>
      <c r="N858" s="66"/>
      <c r="O858" s="66"/>
      <c r="P858" s="66"/>
      <c r="Q858" s="66"/>
      <c r="R858" s="66"/>
      <c r="S858" s="66"/>
      <c r="T858" s="66"/>
      <c r="U858" s="66"/>
      <c r="V858" s="66"/>
      <c r="W858" s="66"/>
      <c r="X858" s="66"/>
      <c r="Y858" s="66"/>
      <c r="Z858" s="66"/>
      <c r="AA858" s="66"/>
    </row>
    <row r="859" spans="1:27" ht="21" x14ac:dyDescent="0.65">
      <c r="A859" s="66"/>
      <c r="B859" s="66"/>
      <c r="C859" s="66"/>
      <c r="D859" s="66"/>
      <c r="E859" s="66"/>
      <c r="F859" s="66"/>
      <c r="G859" s="66"/>
      <c r="H859" s="66"/>
      <c r="I859" s="66"/>
      <c r="J859" s="66"/>
      <c r="K859" s="66"/>
      <c r="L859" s="66"/>
      <c r="M859" s="66"/>
      <c r="N859" s="66"/>
      <c r="O859" s="66"/>
      <c r="P859" s="66"/>
      <c r="Q859" s="66"/>
      <c r="R859" s="66"/>
      <c r="S859" s="66"/>
      <c r="T859" s="66"/>
      <c r="U859" s="66"/>
      <c r="V859" s="66"/>
      <c r="W859" s="66"/>
      <c r="X859" s="66"/>
      <c r="Y859" s="66"/>
      <c r="Z859" s="66"/>
      <c r="AA859" s="66"/>
    </row>
    <row r="860" spans="1:27" ht="21" x14ac:dyDescent="0.65">
      <c r="A860" s="66"/>
      <c r="B860" s="66"/>
      <c r="C860" s="66"/>
      <c r="D860" s="66"/>
      <c r="E860" s="66"/>
      <c r="F860" s="66"/>
      <c r="G860" s="66"/>
      <c r="H860" s="66"/>
      <c r="I860" s="66"/>
      <c r="J860" s="66"/>
      <c r="K860" s="66"/>
      <c r="L860" s="66"/>
      <c r="M860" s="66"/>
      <c r="N860" s="66"/>
      <c r="O860" s="66"/>
      <c r="P860" s="66"/>
      <c r="Q860" s="66"/>
      <c r="R860" s="66"/>
      <c r="S860" s="66"/>
      <c r="T860" s="66"/>
      <c r="U860" s="66"/>
      <c r="V860" s="66"/>
      <c r="W860" s="66"/>
      <c r="X860" s="66"/>
      <c r="Y860" s="66"/>
      <c r="Z860" s="66"/>
      <c r="AA860" s="66"/>
    </row>
    <row r="861" spans="1:27" ht="21" x14ac:dyDescent="0.65">
      <c r="A861" s="66"/>
      <c r="B861" s="66"/>
      <c r="C861" s="66"/>
      <c r="D861" s="66"/>
      <c r="E861" s="66"/>
      <c r="F861" s="66"/>
      <c r="G861" s="66"/>
      <c r="H861" s="66"/>
      <c r="I861" s="66"/>
      <c r="J861" s="66"/>
      <c r="K861" s="66"/>
      <c r="L861" s="66"/>
      <c r="M861" s="66"/>
      <c r="N861" s="66"/>
      <c r="O861" s="66"/>
      <c r="P861" s="66"/>
      <c r="Q861" s="66"/>
      <c r="R861" s="66"/>
      <c r="S861" s="66"/>
      <c r="T861" s="66"/>
      <c r="U861" s="66"/>
      <c r="V861" s="66"/>
      <c r="W861" s="66"/>
      <c r="X861" s="66"/>
      <c r="Y861" s="66"/>
      <c r="Z861" s="66"/>
      <c r="AA861" s="66"/>
    </row>
    <row r="862" spans="1:27" ht="21" x14ac:dyDescent="0.65">
      <c r="A862" s="66"/>
      <c r="B862" s="66"/>
      <c r="C862" s="66"/>
      <c r="D862" s="66"/>
      <c r="E862" s="66"/>
      <c r="F862" s="66"/>
      <c r="G862" s="66"/>
      <c r="H862" s="66"/>
      <c r="I862" s="66"/>
      <c r="J862" s="66"/>
      <c r="K862" s="66"/>
      <c r="L862" s="66"/>
      <c r="M862" s="66"/>
      <c r="N862" s="66"/>
      <c r="O862" s="66"/>
      <c r="P862" s="66"/>
      <c r="Q862" s="66"/>
      <c r="R862" s="66"/>
      <c r="S862" s="66"/>
      <c r="T862" s="66"/>
      <c r="U862" s="66"/>
      <c r="V862" s="66"/>
      <c r="W862" s="66"/>
      <c r="X862" s="66"/>
      <c r="Y862" s="66"/>
      <c r="Z862" s="66"/>
      <c r="AA862" s="66"/>
    </row>
    <row r="863" spans="1:27" ht="21" x14ac:dyDescent="0.65">
      <c r="A863" s="66"/>
      <c r="B863" s="66"/>
      <c r="C863" s="66"/>
      <c r="D863" s="66"/>
      <c r="E863" s="66"/>
      <c r="F863" s="66"/>
      <c r="G863" s="66"/>
      <c r="H863" s="66"/>
      <c r="I863" s="66"/>
      <c r="J863" s="66"/>
      <c r="K863" s="66"/>
      <c r="L863" s="66"/>
      <c r="M863" s="66"/>
      <c r="N863" s="66"/>
      <c r="O863" s="66"/>
      <c r="P863" s="66"/>
      <c r="Q863" s="66"/>
      <c r="R863" s="66"/>
      <c r="S863" s="66"/>
      <c r="T863" s="66"/>
      <c r="U863" s="66"/>
      <c r="V863" s="66"/>
      <c r="W863" s="66"/>
      <c r="X863" s="66"/>
      <c r="Y863" s="66"/>
      <c r="Z863" s="66"/>
      <c r="AA863" s="66"/>
    </row>
    <row r="864" spans="1:27" ht="21" x14ac:dyDescent="0.65">
      <c r="A864" s="66"/>
      <c r="B864" s="66"/>
      <c r="C864" s="66"/>
      <c r="D864" s="66"/>
      <c r="E864" s="66"/>
      <c r="F864" s="66"/>
      <c r="G864" s="66"/>
      <c r="H864" s="66"/>
      <c r="I864" s="66"/>
      <c r="J864" s="66"/>
      <c r="K864" s="66"/>
      <c r="L864" s="66"/>
      <c r="M864" s="66"/>
      <c r="N864" s="66"/>
      <c r="O864" s="66"/>
      <c r="P864" s="66"/>
      <c r="Q864" s="66"/>
      <c r="R864" s="66"/>
      <c r="S864" s="66"/>
      <c r="T864" s="66"/>
      <c r="U864" s="66"/>
      <c r="V864" s="66"/>
      <c r="W864" s="66"/>
      <c r="X864" s="66"/>
      <c r="Y864" s="66"/>
      <c r="Z864" s="66"/>
      <c r="AA864" s="66"/>
    </row>
    <row r="865" spans="1:27" ht="21" x14ac:dyDescent="0.65">
      <c r="A865" s="66"/>
      <c r="B865" s="66"/>
      <c r="C865" s="66"/>
      <c r="D865" s="66"/>
      <c r="E865" s="66"/>
      <c r="F865" s="66"/>
      <c r="G865" s="66"/>
      <c r="H865" s="66"/>
      <c r="I865" s="66"/>
      <c r="J865" s="66"/>
      <c r="K865" s="66"/>
      <c r="L865" s="66"/>
      <c r="M865" s="66"/>
      <c r="N865" s="66"/>
      <c r="O865" s="66"/>
      <c r="P865" s="66"/>
      <c r="Q865" s="66"/>
      <c r="R865" s="66"/>
      <c r="S865" s="66"/>
      <c r="T865" s="66"/>
      <c r="U865" s="66"/>
      <c r="V865" s="66"/>
      <c r="W865" s="66"/>
      <c r="X865" s="66"/>
      <c r="Y865" s="66"/>
      <c r="Z865" s="66"/>
      <c r="AA865" s="66"/>
    </row>
    <row r="866" spans="1:27" ht="21" x14ac:dyDescent="0.65">
      <c r="A866" s="66"/>
      <c r="B866" s="66"/>
      <c r="C866" s="66"/>
      <c r="D866" s="66"/>
      <c r="E866" s="66"/>
      <c r="F866" s="66"/>
      <c r="G866" s="66"/>
      <c r="H866" s="66"/>
      <c r="I866" s="66"/>
      <c r="J866" s="66"/>
      <c r="K866" s="66"/>
      <c r="L866" s="66"/>
      <c r="M866" s="66"/>
      <c r="N866" s="66"/>
      <c r="O866" s="66"/>
      <c r="P866" s="66"/>
      <c r="Q866" s="66"/>
      <c r="R866" s="66"/>
      <c r="S866" s="66"/>
      <c r="T866" s="66"/>
      <c r="U866" s="66"/>
      <c r="V866" s="66"/>
      <c r="W866" s="66"/>
      <c r="X866" s="66"/>
      <c r="Y866" s="66"/>
      <c r="Z866" s="66"/>
      <c r="AA866" s="66"/>
    </row>
    <row r="867" spans="1:27" ht="21" x14ac:dyDescent="0.65">
      <c r="A867" s="66"/>
      <c r="B867" s="66"/>
      <c r="C867" s="66"/>
      <c r="D867" s="66"/>
      <c r="E867" s="66"/>
      <c r="F867" s="66"/>
      <c r="G867" s="66"/>
      <c r="H867" s="66"/>
      <c r="I867" s="66"/>
      <c r="J867" s="66"/>
      <c r="K867" s="66"/>
      <c r="L867" s="66"/>
      <c r="M867" s="66"/>
      <c r="N867" s="66"/>
      <c r="O867" s="66"/>
      <c r="P867" s="66"/>
      <c r="Q867" s="66"/>
      <c r="R867" s="66"/>
      <c r="S867" s="66"/>
      <c r="T867" s="66"/>
      <c r="U867" s="66"/>
      <c r="V867" s="66"/>
      <c r="W867" s="66"/>
      <c r="X867" s="66"/>
      <c r="Y867" s="66"/>
      <c r="Z867" s="66"/>
      <c r="AA867" s="66"/>
    </row>
    <row r="868" spans="1:27" ht="21" x14ac:dyDescent="0.65">
      <c r="A868" s="66"/>
      <c r="B868" s="66"/>
      <c r="C868" s="66"/>
      <c r="D868" s="66"/>
      <c r="E868" s="66"/>
      <c r="F868" s="66"/>
      <c r="G868" s="66"/>
      <c r="H868" s="66"/>
      <c r="I868" s="66"/>
      <c r="J868" s="66"/>
      <c r="K868" s="66"/>
      <c r="L868" s="66"/>
      <c r="M868" s="66"/>
      <c r="N868" s="66"/>
      <c r="O868" s="66"/>
      <c r="P868" s="66"/>
      <c r="Q868" s="66"/>
      <c r="R868" s="66"/>
      <c r="S868" s="66"/>
      <c r="T868" s="66"/>
      <c r="U868" s="66"/>
      <c r="V868" s="66"/>
      <c r="W868" s="66"/>
      <c r="X868" s="66"/>
      <c r="Y868" s="66"/>
      <c r="Z868" s="66"/>
      <c r="AA868" s="66"/>
    </row>
    <row r="869" spans="1:27" ht="21" x14ac:dyDescent="0.65">
      <c r="A869" s="66"/>
      <c r="B869" s="66"/>
      <c r="C869" s="66"/>
      <c r="D869" s="66"/>
      <c r="E869" s="66"/>
      <c r="F869" s="66"/>
      <c r="G869" s="66"/>
      <c r="H869" s="66"/>
      <c r="I869" s="66"/>
      <c r="J869" s="66"/>
      <c r="K869" s="66"/>
      <c r="L869" s="66"/>
      <c r="M869" s="66"/>
      <c r="N869" s="66"/>
      <c r="O869" s="66"/>
      <c r="P869" s="66"/>
      <c r="Q869" s="66"/>
      <c r="R869" s="66"/>
      <c r="S869" s="66"/>
      <c r="T869" s="66"/>
      <c r="U869" s="66"/>
      <c r="V869" s="66"/>
      <c r="W869" s="66"/>
      <c r="X869" s="66"/>
      <c r="Y869" s="66"/>
      <c r="Z869" s="66"/>
      <c r="AA869" s="66"/>
    </row>
    <row r="870" spans="1:27" ht="21" x14ac:dyDescent="0.65">
      <c r="A870" s="66"/>
      <c r="B870" s="66"/>
      <c r="C870" s="66"/>
      <c r="D870" s="66"/>
      <c r="E870" s="66"/>
      <c r="F870" s="66"/>
      <c r="G870" s="66"/>
      <c r="H870" s="66"/>
      <c r="I870" s="66"/>
      <c r="J870" s="66"/>
      <c r="K870" s="66"/>
      <c r="L870" s="66"/>
      <c r="M870" s="66"/>
      <c r="N870" s="66"/>
      <c r="O870" s="66"/>
      <c r="P870" s="66"/>
      <c r="Q870" s="66"/>
      <c r="R870" s="66"/>
      <c r="S870" s="66"/>
      <c r="T870" s="66"/>
      <c r="U870" s="66"/>
      <c r="V870" s="66"/>
      <c r="W870" s="66"/>
      <c r="X870" s="66"/>
      <c r="Y870" s="66"/>
      <c r="Z870" s="66"/>
      <c r="AA870" s="66"/>
    </row>
    <row r="871" spans="1:27" ht="21" x14ac:dyDescent="0.65">
      <c r="A871" s="66"/>
      <c r="B871" s="66"/>
      <c r="C871" s="66"/>
      <c r="D871" s="66"/>
      <c r="E871" s="66"/>
      <c r="F871" s="66"/>
      <c r="G871" s="66"/>
      <c r="H871" s="66"/>
      <c r="I871" s="66"/>
      <c r="J871" s="66"/>
      <c r="K871" s="66"/>
      <c r="L871" s="66"/>
      <c r="M871" s="66"/>
      <c r="N871" s="66"/>
      <c r="O871" s="66"/>
      <c r="P871" s="66"/>
      <c r="Q871" s="66"/>
      <c r="R871" s="66"/>
      <c r="S871" s="66"/>
      <c r="T871" s="66"/>
      <c r="U871" s="66"/>
      <c r="V871" s="66"/>
      <c r="W871" s="66"/>
      <c r="X871" s="66"/>
      <c r="Y871" s="66"/>
      <c r="Z871" s="66"/>
      <c r="AA871" s="66"/>
    </row>
    <row r="872" spans="1:27" ht="21" x14ac:dyDescent="0.65">
      <c r="A872" s="66"/>
      <c r="B872" s="66"/>
      <c r="C872" s="66"/>
      <c r="D872" s="66"/>
      <c r="E872" s="66"/>
      <c r="F872" s="66"/>
      <c r="G872" s="66"/>
      <c r="H872" s="66"/>
      <c r="I872" s="66"/>
      <c r="J872" s="66"/>
      <c r="K872" s="66"/>
      <c r="L872" s="66"/>
      <c r="M872" s="66"/>
      <c r="N872" s="66"/>
      <c r="O872" s="66"/>
      <c r="P872" s="66"/>
      <c r="Q872" s="66"/>
      <c r="R872" s="66"/>
      <c r="S872" s="66"/>
      <c r="T872" s="66"/>
      <c r="U872" s="66"/>
      <c r="V872" s="66"/>
      <c r="W872" s="66"/>
      <c r="X872" s="66"/>
      <c r="Y872" s="66"/>
      <c r="Z872" s="66"/>
      <c r="AA872" s="66"/>
    </row>
    <row r="873" spans="1:27" ht="21" x14ac:dyDescent="0.65">
      <c r="A873" s="66"/>
      <c r="B873" s="66"/>
      <c r="C873" s="66"/>
      <c r="D873" s="66"/>
      <c r="E873" s="66"/>
      <c r="F873" s="66"/>
      <c r="G873" s="66"/>
      <c r="H873" s="66"/>
      <c r="I873" s="66"/>
      <c r="J873" s="66"/>
      <c r="K873" s="66"/>
      <c r="L873" s="66"/>
      <c r="M873" s="66"/>
      <c r="N873" s="66"/>
      <c r="O873" s="66"/>
      <c r="P873" s="66"/>
      <c r="Q873" s="66"/>
      <c r="R873" s="66"/>
      <c r="S873" s="66"/>
      <c r="T873" s="66"/>
      <c r="U873" s="66"/>
      <c r="V873" s="66"/>
      <c r="W873" s="66"/>
      <c r="X873" s="66"/>
      <c r="Y873" s="66"/>
      <c r="Z873" s="66"/>
      <c r="AA873" s="66"/>
    </row>
    <row r="874" spans="1:27" ht="21" x14ac:dyDescent="0.65">
      <c r="A874" s="66"/>
      <c r="B874" s="66"/>
      <c r="C874" s="66"/>
      <c r="D874" s="66"/>
      <c r="E874" s="66"/>
      <c r="F874" s="66"/>
      <c r="G874" s="66"/>
      <c r="H874" s="66"/>
      <c r="I874" s="66"/>
      <c r="J874" s="66"/>
      <c r="K874" s="66"/>
      <c r="L874" s="66"/>
      <c r="M874" s="66"/>
      <c r="N874" s="66"/>
      <c r="O874" s="66"/>
      <c r="P874" s="66"/>
      <c r="Q874" s="66"/>
      <c r="R874" s="66"/>
      <c r="S874" s="66"/>
      <c r="T874" s="66"/>
      <c r="U874" s="66"/>
      <c r="V874" s="66"/>
      <c r="W874" s="66"/>
      <c r="X874" s="66"/>
      <c r="Y874" s="66"/>
      <c r="Z874" s="66"/>
      <c r="AA874" s="66"/>
    </row>
    <row r="875" spans="1:27" ht="21" x14ac:dyDescent="0.65">
      <c r="A875" s="66"/>
      <c r="B875" s="66"/>
      <c r="C875" s="66"/>
      <c r="D875" s="66"/>
      <c r="E875" s="66"/>
      <c r="F875" s="66"/>
      <c r="G875" s="66"/>
      <c r="H875" s="66"/>
      <c r="I875" s="66"/>
      <c r="J875" s="66"/>
      <c r="K875" s="66"/>
      <c r="L875" s="66"/>
      <c r="M875" s="66"/>
      <c r="N875" s="66"/>
      <c r="O875" s="66"/>
      <c r="P875" s="66"/>
      <c r="Q875" s="66"/>
      <c r="R875" s="66"/>
      <c r="S875" s="66"/>
      <c r="T875" s="66"/>
      <c r="U875" s="66"/>
      <c r="V875" s="66"/>
      <c r="W875" s="66"/>
      <c r="X875" s="66"/>
      <c r="Y875" s="66"/>
      <c r="Z875" s="66"/>
      <c r="AA875" s="66"/>
    </row>
    <row r="876" spans="1:27" ht="21" x14ac:dyDescent="0.65">
      <c r="A876" s="66"/>
      <c r="B876" s="66"/>
      <c r="C876" s="66"/>
      <c r="D876" s="66"/>
      <c r="E876" s="66"/>
      <c r="F876" s="66"/>
      <c r="G876" s="66"/>
      <c r="H876" s="66"/>
      <c r="I876" s="66"/>
      <c r="J876" s="66"/>
      <c r="K876" s="66"/>
      <c r="L876" s="66"/>
      <c r="M876" s="66"/>
      <c r="N876" s="66"/>
      <c r="O876" s="66"/>
      <c r="P876" s="66"/>
      <c r="Q876" s="66"/>
      <c r="R876" s="66"/>
      <c r="S876" s="66"/>
      <c r="T876" s="66"/>
      <c r="U876" s="66"/>
      <c r="V876" s="66"/>
      <c r="W876" s="66"/>
      <c r="X876" s="66"/>
      <c r="Y876" s="66"/>
      <c r="Z876" s="66"/>
      <c r="AA876" s="66"/>
    </row>
    <row r="877" spans="1:27" ht="21" x14ac:dyDescent="0.65">
      <c r="A877" s="66"/>
      <c r="B877" s="66"/>
      <c r="C877" s="66"/>
      <c r="D877" s="66"/>
      <c r="E877" s="66"/>
      <c r="F877" s="66"/>
      <c r="G877" s="66"/>
      <c r="H877" s="66"/>
      <c r="I877" s="66"/>
      <c r="J877" s="66"/>
      <c r="K877" s="66"/>
      <c r="L877" s="66"/>
      <c r="M877" s="66"/>
      <c r="N877" s="66"/>
      <c r="O877" s="66"/>
      <c r="P877" s="66"/>
      <c r="Q877" s="66"/>
      <c r="R877" s="66"/>
      <c r="S877" s="66"/>
      <c r="T877" s="66"/>
      <c r="U877" s="66"/>
      <c r="V877" s="66"/>
      <c r="W877" s="66"/>
      <c r="X877" s="66"/>
      <c r="Y877" s="66"/>
      <c r="Z877" s="66"/>
      <c r="AA877" s="66"/>
    </row>
    <row r="878" spans="1:27" ht="21" x14ac:dyDescent="0.65">
      <c r="A878" s="66"/>
      <c r="B878" s="66"/>
      <c r="C878" s="66"/>
      <c r="D878" s="66"/>
      <c r="E878" s="66"/>
      <c r="F878" s="66"/>
      <c r="G878" s="66"/>
      <c r="H878" s="66"/>
      <c r="I878" s="66"/>
      <c r="J878" s="66"/>
      <c r="K878" s="66"/>
      <c r="L878" s="66"/>
      <c r="M878" s="66"/>
      <c r="N878" s="66"/>
      <c r="O878" s="66"/>
      <c r="P878" s="66"/>
      <c r="Q878" s="66"/>
      <c r="R878" s="66"/>
      <c r="S878" s="66"/>
      <c r="T878" s="66"/>
      <c r="U878" s="66"/>
      <c r="V878" s="66"/>
      <c r="W878" s="66"/>
      <c r="X878" s="66"/>
      <c r="Y878" s="66"/>
      <c r="Z878" s="66"/>
      <c r="AA878" s="66"/>
    </row>
    <row r="879" spans="1:27" ht="21" x14ac:dyDescent="0.65">
      <c r="A879" s="66"/>
      <c r="B879" s="66"/>
      <c r="C879" s="66"/>
      <c r="D879" s="66"/>
      <c r="E879" s="66"/>
      <c r="F879" s="66"/>
      <c r="G879" s="66"/>
      <c r="H879" s="66"/>
      <c r="I879" s="66"/>
      <c r="J879" s="66"/>
      <c r="K879" s="66"/>
      <c r="L879" s="66"/>
      <c r="M879" s="66"/>
      <c r="N879" s="66"/>
      <c r="O879" s="66"/>
      <c r="P879" s="66"/>
      <c r="Q879" s="66"/>
      <c r="R879" s="66"/>
      <c r="S879" s="66"/>
      <c r="T879" s="66"/>
      <c r="U879" s="66"/>
      <c r="V879" s="66"/>
      <c r="W879" s="66"/>
      <c r="X879" s="66"/>
      <c r="Y879" s="66"/>
      <c r="Z879" s="66"/>
      <c r="AA879" s="66"/>
    </row>
    <row r="880" spans="1:27" ht="21" x14ac:dyDescent="0.65">
      <c r="A880" s="66"/>
      <c r="B880" s="66"/>
      <c r="C880" s="66"/>
      <c r="D880" s="66"/>
      <c r="E880" s="66"/>
      <c r="F880" s="66"/>
      <c r="G880" s="66"/>
      <c r="H880" s="66"/>
      <c r="I880" s="66"/>
      <c r="J880" s="66"/>
      <c r="K880" s="66"/>
      <c r="L880" s="66"/>
      <c r="M880" s="66"/>
      <c r="N880" s="66"/>
      <c r="O880" s="66"/>
      <c r="P880" s="66"/>
      <c r="Q880" s="66"/>
      <c r="R880" s="66"/>
      <c r="S880" s="66"/>
      <c r="T880" s="66"/>
      <c r="U880" s="66"/>
      <c r="V880" s="66"/>
      <c r="W880" s="66"/>
      <c r="X880" s="66"/>
      <c r="Y880" s="66"/>
      <c r="Z880" s="66"/>
      <c r="AA880" s="66"/>
    </row>
    <row r="881" spans="1:27" ht="21" x14ac:dyDescent="0.65">
      <c r="A881" s="66"/>
      <c r="B881" s="66"/>
      <c r="C881" s="66"/>
      <c r="D881" s="66"/>
      <c r="E881" s="66"/>
      <c r="F881" s="66"/>
      <c r="G881" s="66"/>
      <c r="H881" s="66"/>
      <c r="I881" s="66"/>
      <c r="J881" s="66"/>
      <c r="K881" s="66"/>
      <c r="L881" s="66"/>
      <c r="M881" s="66"/>
      <c r="N881" s="66"/>
      <c r="O881" s="66"/>
      <c r="P881" s="66"/>
      <c r="Q881" s="66"/>
      <c r="R881" s="66"/>
      <c r="S881" s="66"/>
      <c r="T881" s="66"/>
      <c r="U881" s="66"/>
      <c r="V881" s="66"/>
      <c r="W881" s="66"/>
      <c r="X881" s="66"/>
      <c r="Y881" s="66"/>
      <c r="Z881" s="66"/>
      <c r="AA881" s="66"/>
    </row>
    <row r="882" spans="1:27" ht="21" x14ac:dyDescent="0.65">
      <c r="A882" s="66"/>
      <c r="B882" s="66"/>
      <c r="C882" s="66"/>
      <c r="D882" s="66"/>
      <c r="E882" s="66"/>
      <c r="F882" s="66"/>
      <c r="G882" s="66"/>
      <c r="H882" s="66"/>
      <c r="I882" s="66"/>
      <c r="J882" s="66"/>
      <c r="K882" s="66"/>
      <c r="L882" s="66"/>
      <c r="M882" s="66"/>
      <c r="N882" s="66"/>
      <c r="O882" s="66"/>
      <c r="P882" s="66"/>
      <c r="Q882" s="66"/>
      <c r="R882" s="66"/>
      <c r="S882" s="66"/>
      <c r="T882" s="66"/>
      <c r="U882" s="66"/>
      <c r="V882" s="66"/>
      <c r="W882" s="66"/>
      <c r="X882" s="66"/>
      <c r="Y882" s="66"/>
      <c r="Z882" s="66"/>
      <c r="AA882" s="66"/>
    </row>
    <row r="883" spans="1:27" ht="21" x14ac:dyDescent="0.65">
      <c r="A883" s="66"/>
      <c r="B883" s="66"/>
      <c r="C883" s="66"/>
      <c r="D883" s="66"/>
      <c r="E883" s="66"/>
      <c r="F883" s="66"/>
      <c r="G883" s="66"/>
      <c r="H883" s="66"/>
      <c r="I883" s="66"/>
      <c r="J883" s="66"/>
      <c r="K883" s="66"/>
      <c r="L883" s="66"/>
      <c r="M883" s="66"/>
      <c r="N883" s="66"/>
      <c r="O883" s="66"/>
      <c r="P883" s="66"/>
      <c r="Q883" s="66"/>
      <c r="R883" s="66"/>
      <c r="S883" s="66"/>
      <c r="T883" s="66"/>
      <c r="U883" s="66"/>
      <c r="V883" s="66"/>
      <c r="W883" s="66"/>
      <c r="X883" s="66"/>
      <c r="Y883" s="66"/>
      <c r="Z883" s="66"/>
      <c r="AA883" s="66"/>
    </row>
    <row r="884" spans="1:27" ht="21" x14ac:dyDescent="0.65">
      <c r="A884" s="66"/>
      <c r="B884" s="66"/>
      <c r="C884" s="66"/>
      <c r="D884" s="66"/>
      <c r="E884" s="66"/>
      <c r="F884" s="66"/>
      <c r="G884" s="66"/>
      <c r="H884" s="66"/>
      <c r="I884" s="66"/>
      <c r="J884" s="66"/>
      <c r="K884" s="66"/>
      <c r="L884" s="66"/>
      <c r="M884" s="66"/>
      <c r="N884" s="66"/>
      <c r="O884" s="66"/>
      <c r="P884" s="66"/>
      <c r="Q884" s="66"/>
      <c r="R884" s="66"/>
      <c r="S884" s="66"/>
      <c r="T884" s="66"/>
      <c r="U884" s="66"/>
      <c r="V884" s="66"/>
      <c r="W884" s="66"/>
      <c r="X884" s="66"/>
      <c r="Y884" s="66"/>
      <c r="Z884" s="66"/>
      <c r="AA884" s="66"/>
    </row>
    <row r="885" spans="1:27" ht="21" x14ac:dyDescent="0.65">
      <c r="A885" s="66"/>
      <c r="B885" s="66"/>
      <c r="C885" s="66"/>
      <c r="D885" s="66"/>
      <c r="E885" s="66"/>
      <c r="F885" s="66"/>
      <c r="G885" s="66"/>
      <c r="H885" s="66"/>
      <c r="I885" s="66"/>
      <c r="J885" s="66"/>
      <c r="K885" s="66"/>
      <c r="L885" s="66"/>
      <c r="M885" s="66"/>
      <c r="N885" s="66"/>
      <c r="O885" s="66"/>
      <c r="P885" s="66"/>
      <c r="Q885" s="66"/>
      <c r="R885" s="66"/>
      <c r="S885" s="66"/>
      <c r="T885" s="66"/>
      <c r="U885" s="66"/>
      <c r="V885" s="66"/>
      <c r="W885" s="66"/>
      <c r="X885" s="66"/>
      <c r="Y885" s="66"/>
      <c r="Z885" s="66"/>
      <c r="AA885" s="66"/>
    </row>
    <row r="886" spans="1:27" ht="21" x14ac:dyDescent="0.65">
      <c r="A886" s="66"/>
      <c r="B886" s="66"/>
      <c r="C886" s="66"/>
      <c r="D886" s="66"/>
      <c r="E886" s="66"/>
      <c r="F886" s="66"/>
      <c r="G886" s="66"/>
      <c r="H886" s="66"/>
      <c r="I886" s="66"/>
      <c r="J886" s="66"/>
      <c r="K886" s="66"/>
      <c r="L886" s="66"/>
      <c r="M886" s="66"/>
      <c r="N886" s="66"/>
      <c r="O886" s="66"/>
      <c r="P886" s="66"/>
      <c r="Q886" s="66"/>
      <c r="R886" s="66"/>
      <c r="S886" s="66"/>
      <c r="T886" s="66"/>
      <c r="U886" s="66"/>
      <c r="V886" s="66"/>
      <c r="W886" s="66"/>
      <c r="X886" s="66"/>
      <c r="Y886" s="66"/>
      <c r="Z886" s="66"/>
      <c r="AA886" s="66"/>
    </row>
    <row r="887" spans="1:27" ht="21" x14ac:dyDescent="0.65">
      <c r="A887" s="66"/>
      <c r="B887" s="66"/>
      <c r="C887" s="66"/>
      <c r="D887" s="66"/>
      <c r="E887" s="66"/>
      <c r="F887" s="66"/>
      <c r="G887" s="66"/>
      <c r="H887" s="66"/>
      <c r="I887" s="66"/>
      <c r="J887" s="66"/>
      <c r="K887" s="66"/>
      <c r="L887" s="66"/>
      <c r="M887" s="66"/>
      <c r="N887" s="66"/>
      <c r="O887" s="66"/>
      <c r="P887" s="66"/>
      <c r="Q887" s="66"/>
      <c r="R887" s="66"/>
      <c r="S887" s="66"/>
      <c r="T887" s="66"/>
      <c r="U887" s="66"/>
      <c r="V887" s="66"/>
      <c r="W887" s="66"/>
      <c r="X887" s="66"/>
      <c r="Y887" s="66"/>
      <c r="Z887" s="66"/>
      <c r="AA887" s="66"/>
    </row>
    <row r="888" spans="1:27" ht="21" x14ac:dyDescent="0.65">
      <c r="A888" s="66"/>
      <c r="B888" s="66"/>
      <c r="C888" s="66"/>
      <c r="D888" s="66"/>
      <c r="E888" s="66"/>
      <c r="F888" s="66"/>
      <c r="G888" s="66"/>
      <c r="H888" s="66"/>
      <c r="I888" s="66"/>
      <c r="J888" s="66"/>
      <c r="K888" s="66"/>
      <c r="L888" s="66"/>
      <c r="M888" s="66"/>
      <c r="N888" s="66"/>
      <c r="O888" s="66"/>
      <c r="P888" s="66"/>
      <c r="Q888" s="66"/>
      <c r="R888" s="66"/>
      <c r="S888" s="66"/>
      <c r="T888" s="66"/>
      <c r="U888" s="66"/>
      <c r="V888" s="66"/>
      <c r="W888" s="66"/>
      <c r="X888" s="66"/>
      <c r="Y888" s="66"/>
      <c r="Z888" s="66"/>
      <c r="AA888" s="66"/>
    </row>
    <row r="889" spans="1:27" ht="21" x14ac:dyDescent="0.65">
      <c r="A889" s="66"/>
      <c r="B889" s="66"/>
      <c r="C889" s="66"/>
      <c r="D889" s="66"/>
      <c r="E889" s="66"/>
      <c r="F889" s="66"/>
      <c r="G889" s="66"/>
      <c r="H889" s="66"/>
      <c r="I889" s="66"/>
      <c r="J889" s="66"/>
      <c r="K889" s="66"/>
      <c r="L889" s="66"/>
      <c r="M889" s="66"/>
      <c r="N889" s="66"/>
      <c r="O889" s="66"/>
      <c r="P889" s="66"/>
      <c r="Q889" s="66"/>
      <c r="R889" s="66"/>
      <c r="S889" s="66"/>
      <c r="T889" s="66"/>
      <c r="U889" s="66"/>
      <c r="V889" s="66"/>
      <c r="W889" s="66"/>
      <c r="X889" s="66"/>
      <c r="Y889" s="66"/>
      <c r="Z889" s="66"/>
      <c r="AA889" s="66"/>
    </row>
    <row r="890" spans="1:27" ht="21" x14ac:dyDescent="0.65">
      <c r="A890" s="66"/>
      <c r="B890" s="66"/>
      <c r="C890" s="66"/>
      <c r="D890" s="66"/>
      <c r="E890" s="66"/>
      <c r="F890" s="66"/>
      <c r="G890" s="66"/>
      <c r="H890" s="66"/>
      <c r="I890" s="66"/>
      <c r="J890" s="66"/>
      <c r="K890" s="66"/>
      <c r="L890" s="66"/>
      <c r="M890" s="66"/>
      <c r="N890" s="66"/>
      <c r="O890" s="66"/>
      <c r="P890" s="66"/>
      <c r="Q890" s="66"/>
      <c r="R890" s="66"/>
      <c r="S890" s="66"/>
      <c r="T890" s="66"/>
      <c r="U890" s="66"/>
      <c r="V890" s="66"/>
      <c r="W890" s="66"/>
      <c r="X890" s="66"/>
      <c r="Y890" s="66"/>
      <c r="Z890" s="66"/>
      <c r="AA890" s="66"/>
    </row>
    <row r="891" spans="1:27" ht="21" x14ac:dyDescent="0.65">
      <c r="A891" s="66"/>
      <c r="B891" s="66"/>
      <c r="C891" s="66"/>
      <c r="D891" s="66"/>
      <c r="E891" s="66"/>
      <c r="F891" s="66"/>
      <c r="G891" s="66"/>
      <c r="H891" s="66"/>
      <c r="I891" s="66"/>
      <c r="J891" s="66"/>
      <c r="K891" s="66"/>
      <c r="L891" s="66"/>
      <c r="M891" s="66"/>
      <c r="N891" s="66"/>
      <c r="O891" s="66"/>
      <c r="P891" s="66"/>
      <c r="Q891" s="66"/>
      <c r="R891" s="66"/>
      <c r="S891" s="66"/>
      <c r="T891" s="66"/>
      <c r="U891" s="66"/>
      <c r="V891" s="66"/>
      <c r="W891" s="66"/>
      <c r="X891" s="66"/>
      <c r="Y891" s="66"/>
      <c r="Z891" s="66"/>
      <c r="AA891" s="66"/>
    </row>
    <row r="892" spans="1:27" ht="21" x14ac:dyDescent="0.65">
      <c r="A892" s="66"/>
      <c r="B892" s="66"/>
      <c r="C892" s="66"/>
      <c r="D892" s="66"/>
      <c r="E892" s="66"/>
      <c r="F892" s="66"/>
      <c r="G892" s="66"/>
      <c r="H892" s="66"/>
      <c r="I892" s="66"/>
      <c r="J892" s="66"/>
      <c r="K892" s="66"/>
      <c r="L892" s="66"/>
      <c r="M892" s="66"/>
      <c r="N892" s="66"/>
      <c r="O892" s="66"/>
      <c r="P892" s="66"/>
      <c r="Q892" s="66"/>
      <c r="R892" s="66"/>
      <c r="S892" s="66"/>
      <c r="T892" s="66"/>
      <c r="U892" s="66"/>
      <c r="V892" s="66"/>
      <c r="W892" s="66"/>
      <c r="X892" s="66"/>
      <c r="Y892" s="66"/>
      <c r="Z892" s="66"/>
      <c r="AA892" s="66"/>
    </row>
    <row r="893" spans="1:27" ht="21" x14ac:dyDescent="0.65">
      <c r="A893" s="66"/>
      <c r="B893" s="66"/>
      <c r="C893" s="66"/>
      <c r="D893" s="66"/>
      <c r="E893" s="66"/>
      <c r="F893" s="66"/>
      <c r="G893" s="66"/>
      <c r="H893" s="66"/>
      <c r="I893" s="66"/>
      <c r="J893" s="66"/>
      <c r="K893" s="66"/>
      <c r="L893" s="66"/>
      <c r="M893" s="66"/>
      <c r="N893" s="66"/>
      <c r="O893" s="66"/>
      <c r="P893" s="66"/>
      <c r="Q893" s="66"/>
      <c r="R893" s="66"/>
      <c r="S893" s="66"/>
      <c r="T893" s="66"/>
      <c r="U893" s="66"/>
      <c r="V893" s="66"/>
      <c r="W893" s="66"/>
      <c r="X893" s="66"/>
      <c r="Y893" s="66"/>
      <c r="Z893" s="66"/>
      <c r="AA893" s="66"/>
    </row>
    <row r="894" spans="1:27" ht="21" x14ac:dyDescent="0.65">
      <c r="A894" s="66"/>
      <c r="B894" s="66"/>
      <c r="C894" s="66"/>
      <c r="D894" s="66"/>
      <c r="E894" s="66"/>
      <c r="F894" s="66"/>
      <c r="G894" s="66"/>
      <c r="H894" s="66"/>
      <c r="I894" s="66"/>
      <c r="J894" s="66"/>
      <c r="K894" s="66"/>
      <c r="L894" s="66"/>
      <c r="M894" s="66"/>
      <c r="N894" s="66"/>
      <c r="O894" s="66"/>
      <c r="P894" s="66"/>
      <c r="Q894" s="66"/>
      <c r="R894" s="66"/>
      <c r="S894" s="66"/>
      <c r="T894" s="66"/>
      <c r="U894" s="66"/>
      <c r="V894" s="66"/>
      <c r="W894" s="66"/>
      <c r="X894" s="66"/>
      <c r="Y894" s="66"/>
      <c r="Z894" s="66"/>
      <c r="AA894" s="66"/>
    </row>
    <row r="895" spans="1:27" ht="21" x14ac:dyDescent="0.65">
      <c r="A895" s="66"/>
      <c r="B895" s="66"/>
      <c r="C895" s="66"/>
      <c r="D895" s="66"/>
      <c r="E895" s="66"/>
      <c r="F895" s="66"/>
      <c r="G895" s="66"/>
      <c r="H895" s="66"/>
      <c r="I895" s="66"/>
      <c r="J895" s="66"/>
      <c r="K895" s="66"/>
      <c r="L895" s="66"/>
      <c r="M895" s="66"/>
      <c r="N895" s="66"/>
      <c r="O895" s="66"/>
      <c r="P895" s="66"/>
      <c r="Q895" s="66"/>
      <c r="R895" s="66"/>
      <c r="S895" s="66"/>
      <c r="T895" s="66"/>
      <c r="U895" s="66"/>
      <c r="V895" s="66"/>
      <c r="W895" s="66"/>
      <c r="X895" s="66"/>
      <c r="Y895" s="66"/>
      <c r="Z895" s="66"/>
      <c r="AA895" s="66"/>
    </row>
    <row r="896" spans="1:27" ht="21" x14ac:dyDescent="0.65">
      <c r="A896" s="66"/>
      <c r="B896" s="66"/>
      <c r="C896" s="66"/>
      <c r="D896" s="66"/>
      <c r="E896" s="66"/>
      <c r="F896" s="66"/>
      <c r="G896" s="66"/>
      <c r="H896" s="66"/>
      <c r="I896" s="66"/>
      <c r="J896" s="66"/>
      <c r="K896" s="66"/>
      <c r="L896" s="66"/>
      <c r="M896" s="66"/>
      <c r="N896" s="66"/>
      <c r="O896" s="66"/>
      <c r="P896" s="66"/>
      <c r="Q896" s="66"/>
      <c r="R896" s="66"/>
      <c r="S896" s="66"/>
      <c r="T896" s="66"/>
      <c r="U896" s="66"/>
      <c r="V896" s="66"/>
      <c r="W896" s="66"/>
      <c r="X896" s="66"/>
      <c r="Y896" s="66"/>
      <c r="Z896" s="66"/>
      <c r="AA896" s="66"/>
    </row>
    <row r="897" spans="1:27" ht="21" x14ac:dyDescent="0.65">
      <c r="A897" s="66"/>
      <c r="B897" s="66"/>
      <c r="C897" s="66"/>
      <c r="D897" s="66"/>
      <c r="E897" s="66"/>
      <c r="F897" s="66"/>
      <c r="G897" s="66"/>
      <c r="H897" s="66"/>
      <c r="I897" s="66"/>
      <c r="J897" s="66"/>
      <c r="K897" s="66"/>
      <c r="L897" s="66"/>
      <c r="M897" s="66"/>
      <c r="N897" s="66"/>
      <c r="O897" s="66"/>
      <c r="P897" s="66"/>
      <c r="Q897" s="66"/>
      <c r="R897" s="66"/>
      <c r="S897" s="66"/>
      <c r="T897" s="66"/>
      <c r="U897" s="66"/>
      <c r="V897" s="66"/>
      <c r="W897" s="66"/>
      <c r="X897" s="66"/>
      <c r="Y897" s="66"/>
      <c r="Z897" s="66"/>
      <c r="AA897" s="66"/>
    </row>
    <row r="898" spans="1:27" ht="21" x14ac:dyDescent="0.65">
      <c r="A898" s="66"/>
      <c r="B898" s="66"/>
      <c r="C898" s="66"/>
      <c r="D898" s="66"/>
      <c r="E898" s="66"/>
      <c r="F898" s="66"/>
      <c r="G898" s="66"/>
      <c r="H898" s="66"/>
      <c r="I898" s="66"/>
      <c r="J898" s="66"/>
      <c r="K898" s="66"/>
      <c r="L898" s="66"/>
      <c r="M898" s="66"/>
      <c r="N898" s="66"/>
      <c r="O898" s="66"/>
      <c r="P898" s="66"/>
      <c r="Q898" s="66"/>
      <c r="R898" s="66"/>
      <c r="S898" s="66"/>
      <c r="T898" s="66"/>
      <c r="U898" s="66"/>
      <c r="V898" s="66"/>
      <c r="W898" s="66"/>
      <c r="X898" s="66"/>
      <c r="Y898" s="66"/>
      <c r="Z898" s="66"/>
      <c r="AA898" s="66"/>
    </row>
    <row r="899" spans="1:27" ht="21" x14ac:dyDescent="0.65">
      <c r="A899" s="66"/>
      <c r="B899" s="66"/>
      <c r="C899" s="66"/>
      <c r="D899" s="66"/>
      <c r="E899" s="66"/>
      <c r="F899" s="66"/>
      <c r="G899" s="66"/>
      <c r="H899" s="66"/>
      <c r="I899" s="66"/>
      <c r="J899" s="66"/>
      <c r="K899" s="66"/>
      <c r="L899" s="66"/>
      <c r="M899" s="66"/>
      <c r="N899" s="66"/>
      <c r="O899" s="66"/>
      <c r="P899" s="66"/>
      <c r="Q899" s="66"/>
      <c r="R899" s="66"/>
      <c r="S899" s="66"/>
      <c r="T899" s="66"/>
      <c r="U899" s="66"/>
      <c r="V899" s="66"/>
      <c r="W899" s="66"/>
      <c r="X899" s="66"/>
      <c r="Y899" s="66"/>
      <c r="Z899" s="66"/>
      <c r="AA899" s="66"/>
    </row>
    <row r="900" spans="1:27" ht="21" x14ac:dyDescent="0.65">
      <c r="A900" s="66"/>
      <c r="B900" s="66"/>
      <c r="C900" s="66"/>
      <c r="D900" s="66"/>
      <c r="E900" s="66"/>
      <c r="F900" s="66"/>
      <c r="G900" s="66"/>
      <c r="H900" s="66"/>
      <c r="I900" s="66"/>
      <c r="J900" s="66"/>
      <c r="K900" s="66"/>
      <c r="L900" s="66"/>
      <c r="M900" s="66"/>
      <c r="N900" s="66"/>
      <c r="O900" s="66"/>
      <c r="P900" s="66"/>
      <c r="Q900" s="66"/>
      <c r="R900" s="66"/>
      <c r="S900" s="66"/>
      <c r="T900" s="66"/>
      <c r="U900" s="66"/>
      <c r="V900" s="66"/>
      <c r="W900" s="66"/>
      <c r="X900" s="66"/>
      <c r="Y900" s="66"/>
      <c r="Z900" s="66"/>
      <c r="AA900" s="66"/>
    </row>
    <row r="901" spans="1:27" ht="21" x14ac:dyDescent="0.65">
      <c r="A901" s="66"/>
      <c r="B901" s="66"/>
      <c r="C901" s="66"/>
      <c r="D901" s="66"/>
      <c r="E901" s="66"/>
      <c r="F901" s="66"/>
      <c r="G901" s="66"/>
      <c r="H901" s="66"/>
      <c r="I901" s="66"/>
      <c r="J901" s="66"/>
      <c r="K901" s="66"/>
      <c r="L901" s="66"/>
      <c r="M901" s="66"/>
      <c r="N901" s="66"/>
      <c r="O901" s="66"/>
      <c r="P901" s="66"/>
      <c r="Q901" s="66"/>
      <c r="R901" s="66"/>
      <c r="S901" s="66"/>
      <c r="T901" s="66"/>
      <c r="U901" s="66"/>
      <c r="V901" s="66"/>
      <c r="W901" s="66"/>
      <c r="X901" s="66"/>
      <c r="Y901" s="66"/>
      <c r="Z901" s="66"/>
      <c r="AA901" s="66"/>
    </row>
    <row r="902" spans="1:27" ht="21" x14ac:dyDescent="0.65">
      <c r="A902" s="66"/>
      <c r="B902" s="66"/>
      <c r="C902" s="66"/>
      <c r="D902" s="66"/>
      <c r="E902" s="66"/>
      <c r="F902" s="66"/>
      <c r="G902" s="66"/>
      <c r="H902" s="66"/>
      <c r="I902" s="66"/>
      <c r="J902" s="66"/>
      <c r="K902" s="66"/>
      <c r="L902" s="66"/>
      <c r="M902" s="66"/>
      <c r="N902" s="66"/>
      <c r="O902" s="66"/>
      <c r="P902" s="66"/>
      <c r="Q902" s="66"/>
      <c r="R902" s="66"/>
      <c r="S902" s="66"/>
      <c r="T902" s="66"/>
      <c r="U902" s="66"/>
      <c r="V902" s="66"/>
      <c r="W902" s="66"/>
      <c r="X902" s="66"/>
      <c r="Y902" s="66"/>
      <c r="Z902" s="66"/>
      <c r="AA902" s="66"/>
    </row>
    <row r="903" spans="1:27" ht="21" x14ac:dyDescent="0.65">
      <c r="A903" s="66"/>
      <c r="B903" s="66"/>
      <c r="C903" s="66"/>
      <c r="D903" s="66"/>
      <c r="E903" s="66"/>
      <c r="F903" s="66"/>
      <c r="G903" s="66"/>
      <c r="H903" s="66"/>
      <c r="I903" s="66"/>
      <c r="J903" s="66"/>
      <c r="K903" s="66"/>
      <c r="L903" s="66"/>
      <c r="M903" s="66"/>
      <c r="N903" s="66"/>
      <c r="O903" s="66"/>
      <c r="P903" s="66"/>
      <c r="Q903" s="66"/>
      <c r="R903" s="66"/>
      <c r="S903" s="66"/>
      <c r="T903" s="66"/>
      <c r="U903" s="66"/>
      <c r="V903" s="66"/>
      <c r="W903" s="66"/>
      <c r="X903" s="66"/>
      <c r="Y903" s="66"/>
      <c r="Z903" s="66"/>
      <c r="AA903" s="66"/>
    </row>
    <row r="904" spans="1:27" ht="21" x14ac:dyDescent="0.65">
      <c r="A904" s="66"/>
      <c r="B904" s="66"/>
      <c r="C904" s="66"/>
      <c r="D904" s="66"/>
      <c r="E904" s="66"/>
      <c r="F904" s="66"/>
      <c r="G904" s="66"/>
      <c r="H904" s="66"/>
      <c r="I904" s="66"/>
      <c r="J904" s="66"/>
      <c r="K904" s="66"/>
      <c r="L904" s="66"/>
      <c r="M904" s="66"/>
      <c r="N904" s="66"/>
      <c r="O904" s="66"/>
      <c r="P904" s="66"/>
      <c r="Q904" s="66"/>
      <c r="R904" s="66"/>
      <c r="S904" s="66"/>
      <c r="T904" s="66"/>
      <c r="U904" s="66"/>
      <c r="V904" s="66"/>
      <c r="W904" s="66"/>
      <c r="X904" s="66"/>
      <c r="Y904" s="66"/>
      <c r="Z904" s="66"/>
      <c r="AA904" s="66"/>
    </row>
    <row r="905" spans="1:27" ht="21" x14ac:dyDescent="0.65">
      <c r="A905" s="66"/>
      <c r="B905" s="66"/>
      <c r="C905" s="66"/>
      <c r="D905" s="66"/>
      <c r="E905" s="66"/>
      <c r="F905" s="66"/>
      <c r="G905" s="66"/>
      <c r="H905" s="66"/>
      <c r="I905" s="66"/>
      <c r="J905" s="66"/>
      <c r="K905" s="66"/>
      <c r="L905" s="66"/>
      <c r="M905" s="66"/>
      <c r="N905" s="66"/>
      <c r="O905" s="66"/>
      <c r="P905" s="66"/>
      <c r="Q905" s="66"/>
      <c r="R905" s="66"/>
      <c r="S905" s="66"/>
      <c r="T905" s="66"/>
      <c r="U905" s="66"/>
      <c r="V905" s="66"/>
      <c r="W905" s="66"/>
      <c r="X905" s="66"/>
      <c r="Y905" s="66"/>
      <c r="Z905" s="66"/>
      <c r="AA905" s="66"/>
    </row>
    <row r="906" spans="1:27" ht="21" x14ac:dyDescent="0.65">
      <c r="A906" s="66"/>
      <c r="B906" s="66"/>
      <c r="C906" s="66"/>
      <c r="D906" s="66"/>
      <c r="E906" s="66"/>
      <c r="F906" s="66"/>
      <c r="G906" s="66"/>
      <c r="H906" s="66"/>
      <c r="I906" s="66"/>
      <c r="J906" s="66"/>
      <c r="K906" s="66"/>
      <c r="L906" s="66"/>
      <c r="M906" s="66"/>
      <c r="N906" s="66"/>
      <c r="O906" s="66"/>
      <c r="P906" s="66"/>
      <c r="Q906" s="66"/>
      <c r="R906" s="66"/>
      <c r="S906" s="66"/>
      <c r="T906" s="66"/>
      <c r="U906" s="66"/>
      <c r="V906" s="66"/>
      <c r="W906" s="66"/>
      <c r="X906" s="66"/>
      <c r="Y906" s="66"/>
      <c r="Z906" s="66"/>
      <c r="AA906" s="66"/>
    </row>
    <row r="907" spans="1:27" ht="21" x14ac:dyDescent="0.65">
      <c r="A907" s="66"/>
      <c r="B907" s="66"/>
      <c r="C907" s="66"/>
      <c r="D907" s="66"/>
      <c r="E907" s="66"/>
      <c r="F907" s="66"/>
      <c r="G907" s="66"/>
      <c r="H907" s="66"/>
      <c r="I907" s="66"/>
      <c r="J907" s="66"/>
      <c r="K907" s="66"/>
      <c r="L907" s="66"/>
      <c r="M907" s="66"/>
      <c r="N907" s="66"/>
      <c r="O907" s="66"/>
      <c r="P907" s="66"/>
      <c r="Q907" s="66"/>
      <c r="R907" s="66"/>
      <c r="S907" s="66"/>
      <c r="T907" s="66"/>
      <c r="U907" s="66"/>
      <c r="V907" s="66"/>
      <c r="W907" s="66"/>
      <c r="X907" s="66"/>
      <c r="Y907" s="66"/>
      <c r="Z907" s="66"/>
      <c r="AA907" s="66"/>
    </row>
    <row r="908" spans="1:27" ht="21" x14ac:dyDescent="0.65">
      <c r="A908" s="66"/>
      <c r="B908" s="66"/>
      <c r="C908" s="66"/>
      <c r="D908" s="66"/>
      <c r="E908" s="66"/>
      <c r="F908" s="66"/>
      <c r="G908" s="66"/>
      <c r="H908" s="66"/>
      <c r="I908" s="66"/>
      <c r="J908" s="66"/>
      <c r="K908" s="66"/>
      <c r="L908" s="66"/>
      <c r="M908" s="66"/>
      <c r="N908" s="66"/>
      <c r="O908" s="66"/>
      <c r="P908" s="66"/>
      <c r="Q908" s="66"/>
      <c r="R908" s="66"/>
      <c r="S908" s="66"/>
      <c r="T908" s="66"/>
      <c r="U908" s="66"/>
      <c r="V908" s="66"/>
      <c r="W908" s="66"/>
      <c r="X908" s="66"/>
      <c r="Y908" s="66"/>
      <c r="Z908" s="66"/>
      <c r="AA908" s="66"/>
    </row>
    <row r="909" spans="1:27" ht="21" x14ac:dyDescent="0.65">
      <c r="A909" s="66"/>
      <c r="B909" s="66"/>
      <c r="C909" s="66"/>
      <c r="D909" s="66"/>
      <c r="E909" s="66"/>
      <c r="F909" s="66"/>
      <c r="G909" s="66"/>
      <c r="H909" s="66"/>
      <c r="I909" s="66"/>
      <c r="J909" s="66"/>
      <c r="K909" s="66"/>
      <c r="L909" s="66"/>
      <c r="M909" s="66"/>
      <c r="N909" s="66"/>
      <c r="O909" s="66"/>
      <c r="P909" s="66"/>
      <c r="Q909" s="66"/>
      <c r="R909" s="66"/>
      <c r="S909" s="66"/>
      <c r="T909" s="66"/>
      <c r="U909" s="66"/>
      <c r="V909" s="66"/>
      <c r="W909" s="66"/>
      <c r="X909" s="66"/>
      <c r="Y909" s="66"/>
      <c r="Z909" s="66"/>
      <c r="AA909" s="66"/>
    </row>
    <row r="910" spans="1:27" ht="21" x14ac:dyDescent="0.65">
      <c r="A910" s="66"/>
      <c r="B910" s="66"/>
      <c r="C910" s="66"/>
      <c r="D910" s="66"/>
      <c r="E910" s="66"/>
      <c r="F910" s="66"/>
      <c r="G910" s="66"/>
      <c r="H910" s="66"/>
      <c r="I910" s="66"/>
      <c r="J910" s="66"/>
      <c r="K910" s="66"/>
      <c r="L910" s="66"/>
      <c r="M910" s="66"/>
      <c r="N910" s="66"/>
      <c r="O910" s="66"/>
      <c r="P910" s="66"/>
      <c r="Q910" s="66"/>
      <c r="R910" s="66"/>
      <c r="S910" s="66"/>
      <c r="T910" s="66"/>
      <c r="U910" s="66"/>
      <c r="V910" s="66"/>
      <c r="W910" s="66"/>
      <c r="X910" s="66"/>
      <c r="Y910" s="66"/>
      <c r="Z910" s="66"/>
      <c r="AA910" s="66"/>
    </row>
    <row r="911" spans="1:27" ht="21" x14ac:dyDescent="0.65">
      <c r="A911" s="66"/>
      <c r="B911" s="66"/>
      <c r="C911" s="66"/>
      <c r="D911" s="66"/>
      <c r="E911" s="66"/>
      <c r="F911" s="66"/>
      <c r="G911" s="66"/>
      <c r="H911" s="66"/>
      <c r="I911" s="66"/>
      <c r="J911" s="66"/>
      <c r="K911" s="66"/>
      <c r="L911" s="66"/>
      <c r="M911" s="66"/>
      <c r="N911" s="66"/>
      <c r="O911" s="66"/>
      <c r="P911" s="66"/>
      <c r="Q911" s="66"/>
      <c r="R911" s="66"/>
      <c r="S911" s="66"/>
      <c r="T911" s="66"/>
      <c r="U911" s="66"/>
      <c r="V911" s="66"/>
      <c r="W911" s="66"/>
      <c r="X911" s="66"/>
      <c r="Y911" s="66"/>
      <c r="Z911" s="66"/>
      <c r="AA911" s="66"/>
    </row>
    <row r="912" spans="1:27" ht="21" x14ac:dyDescent="0.65">
      <c r="A912" s="66"/>
      <c r="B912" s="66"/>
      <c r="C912" s="66"/>
      <c r="D912" s="66"/>
      <c r="E912" s="66"/>
      <c r="F912" s="66"/>
      <c r="G912" s="66"/>
      <c r="H912" s="66"/>
      <c r="I912" s="66"/>
      <c r="J912" s="66"/>
      <c r="K912" s="66"/>
      <c r="L912" s="66"/>
      <c r="M912" s="66"/>
      <c r="N912" s="66"/>
      <c r="O912" s="66"/>
      <c r="P912" s="66"/>
      <c r="Q912" s="66"/>
      <c r="R912" s="66"/>
      <c r="S912" s="66"/>
      <c r="T912" s="66"/>
      <c r="U912" s="66"/>
      <c r="V912" s="66"/>
      <c r="W912" s="66"/>
      <c r="X912" s="66"/>
      <c r="Y912" s="66"/>
      <c r="Z912" s="66"/>
      <c r="AA912" s="66"/>
    </row>
    <row r="913" spans="1:27" ht="21" x14ac:dyDescent="0.65">
      <c r="A913" s="66"/>
      <c r="B913" s="66"/>
      <c r="C913" s="66"/>
      <c r="D913" s="66"/>
      <c r="E913" s="66"/>
      <c r="F913" s="66"/>
      <c r="G913" s="66"/>
      <c r="H913" s="66"/>
      <c r="I913" s="66"/>
      <c r="J913" s="66"/>
      <c r="K913" s="66"/>
      <c r="L913" s="66"/>
      <c r="M913" s="66"/>
      <c r="N913" s="66"/>
      <c r="O913" s="66"/>
      <c r="P913" s="66"/>
      <c r="Q913" s="66"/>
      <c r="R913" s="66"/>
      <c r="S913" s="66"/>
      <c r="T913" s="66"/>
      <c r="U913" s="66"/>
      <c r="V913" s="66"/>
      <c r="W913" s="66"/>
      <c r="X913" s="66"/>
      <c r="Y913" s="66"/>
      <c r="Z913" s="66"/>
      <c r="AA913" s="66"/>
    </row>
    <row r="914" spans="1:27" ht="21" x14ac:dyDescent="0.65">
      <c r="A914" s="66"/>
      <c r="B914" s="66"/>
      <c r="C914" s="66"/>
      <c r="D914" s="66"/>
      <c r="E914" s="66"/>
      <c r="F914" s="66"/>
      <c r="G914" s="66"/>
      <c r="H914" s="66"/>
      <c r="I914" s="66"/>
      <c r="J914" s="66"/>
      <c r="K914" s="66"/>
      <c r="L914" s="66"/>
      <c r="M914" s="66"/>
      <c r="N914" s="66"/>
      <c r="O914" s="66"/>
      <c r="P914" s="66"/>
      <c r="Q914" s="66"/>
      <c r="R914" s="66"/>
      <c r="S914" s="66"/>
      <c r="T914" s="66"/>
      <c r="U914" s="66"/>
      <c r="V914" s="66"/>
      <c r="W914" s="66"/>
      <c r="X914" s="66"/>
      <c r="Y914" s="66"/>
      <c r="Z914" s="66"/>
      <c r="AA914" s="66"/>
    </row>
    <row r="915" spans="1:27" ht="21" x14ac:dyDescent="0.65">
      <c r="A915" s="66"/>
      <c r="B915" s="66"/>
      <c r="C915" s="66"/>
      <c r="D915" s="66"/>
      <c r="E915" s="66"/>
      <c r="F915" s="66"/>
      <c r="G915" s="66"/>
      <c r="H915" s="66"/>
      <c r="I915" s="66"/>
      <c r="J915" s="66"/>
      <c r="K915" s="66"/>
      <c r="L915" s="66"/>
      <c r="M915" s="66"/>
      <c r="N915" s="66"/>
      <c r="O915" s="66"/>
      <c r="P915" s="66"/>
      <c r="Q915" s="66"/>
      <c r="R915" s="66"/>
      <c r="S915" s="66"/>
      <c r="T915" s="66"/>
      <c r="U915" s="66"/>
      <c r="V915" s="66"/>
      <c r="W915" s="66"/>
      <c r="X915" s="66"/>
      <c r="Y915" s="66"/>
      <c r="Z915" s="66"/>
      <c r="AA915" s="66"/>
    </row>
    <row r="916" spans="1:27" ht="21" x14ac:dyDescent="0.65">
      <c r="A916" s="66"/>
      <c r="B916" s="66"/>
      <c r="C916" s="66"/>
      <c r="D916" s="66"/>
      <c r="E916" s="66"/>
      <c r="F916" s="66"/>
      <c r="G916" s="66"/>
      <c r="H916" s="66"/>
      <c r="I916" s="66"/>
      <c r="J916" s="66"/>
      <c r="K916" s="66"/>
      <c r="L916" s="66"/>
      <c r="M916" s="66"/>
      <c r="N916" s="66"/>
      <c r="O916" s="66"/>
      <c r="P916" s="66"/>
      <c r="Q916" s="66"/>
      <c r="R916" s="66"/>
      <c r="S916" s="66"/>
      <c r="T916" s="66"/>
      <c r="U916" s="66"/>
      <c r="V916" s="66"/>
      <c r="W916" s="66"/>
      <c r="X916" s="66"/>
      <c r="Y916" s="66"/>
      <c r="Z916" s="66"/>
      <c r="AA916" s="66"/>
    </row>
    <row r="917" spans="1:27" ht="21" x14ac:dyDescent="0.65">
      <c r="A917" s="66"/>
      <c r="B917" s="66"/>
      <c r="C917" s="66"/>
      <c r="D917" s="66"/>
      <c r="E917" s="66"/>
      <c r="F917" s="66"/>
      <c r="G917" s="66"/>
      <c r="H917" s="66"/>
      <c r="I917" s="66"/>
      <c r="J917" s="66"/>
      <c r="K917" s="66"/>
      <c r="L917" s="66"/>
      <c r="M917" s="66"/>
      <c r="N917" s="66"/>
      <c r="O917" s="66"/>
      <c r="P917" s="66"/>
      <c r="Q917" s="66"/>
      <c r="R917" s="66"/>
      <c r="S917" s="66"/>
      <c r="T917" s="66"/>
      <c r="U917" s="66"/>
      <c r="V917" s="66"/>
      <c r="W917" s="66"/>
      <c r="X917" s="66"/>
      <c r="Y917" s="66"/>
      <c r="Z917" s="66"/>
      <c r="AA917" s="66"/>
    </row>
    <row r="918" spans="1:27" ht="21" x14ac:dyDescent="0.65">
      <c r="A918" s="66"/>
      <c r="B918" s="66"/>
      <c r="C918" s="66"/>
      <c r="D918" s="66"/>
      <c r="E918" s="66"/>
      <c r="F918" s="66"/>
      <c r="G918" s="66"/>
      <c r="H918" s="66"/>
      <c r="I918" s="66"/>
      <c r="J918" s="66"/>
      <c r="K918" s="66"/>
      <c r="L918" s="66"/>
      <c r="M918" s="66"/>
      <c r="N918" s="66"/>
      <c r="O918" s="66"/>
      <c r="P918" s="66"/>
      <c r="Q918" s="66"/>
      <c r="R918" s="66"/>
      <c r="S918" s="66"/>
      <c r="T918" s="66"/>
      <c r="U918" s="66"/>
      <c r="V918" s="66"/>
      <c r="W918" s="66"/>
      <c r="X918" s="66"/>
      <c r="Y918" s="66"/>
      <c r="Z918" s="66"/>
      <c r="AA918" s="66"/>
    </row>
    <row r="919" spans="1:27" ht="21" x14ac:dyDescent="0.65">
      <c r="A919" s="66"/>
      <c r="B919" s="66"/>
      <c r="C919" s="66"/>
      <c r="D919" s="66"/>
      <c r="E919" s="66"/>
      <c r="F919" s="66"/>
      <c r="G919" s="66"/>
      <c r="H919" s="66"/>
      <c r="I919" s="66"/>
      <c r="J919" s="66"/>
      <c r="K919" s="66"/>
      <c r="L919" s="66"/>
      <c r="M919" s="66"/>
      <c r="N919" s="66"/>
      <c r="O919" s="66"/>
      <c r="P919" s="66"/>
      <c r="Q919" s="66"/>
      <c r="R919" s="66"/>
      <c r="S919" s="66"/>
      <c r="T919" s="66"/>
      <c r="U919" s="66"/>
      <c r="V919" s="66"/>
      <c r="W919" s="66"/>
      <c r="X919" s="66"/>
      <c r="Y919" s="66"/>
      <c r="Z919" s="66"/>
      <c r="AA919" s="66"/>
    </row>
    <row r="920" spans="1:27" ht="21" x14ac:dyDescent="0.65">
      <c r="A920" s="66"/>
      <c r="B920" s="66"/>
      <c r="C920" s="66"/>
      <c r="D920" s="66"/>
      <c r="E920" s="66"/>
      <c r="F920" s="66"/>
      <c r="G920" s="66"/>
      <c r="H920" s="66"/>
      <c r="I920" s="66"/>
      <c r="J920" s="66"/>
      <c r="K920" s="66"/>
      <c r="L920" s="66"/>
      <c r="M920" s="66"/>
      <c r="N920" s="66"/>
      <c r="O920" s="66"/>
      <c r="P920" s="66"/>
      <c r="Q920" s="66"/>
      <c r="R920" s="66"/>
      <c r="S920" s="66"/>
      <c r="T920" s="66"/>
      <c r="U920" s="66"/>
      <c r="V920" s="66"/>
      <c r="W920" s="66"/>
      <c r="X920" s="66"/>
      <c r="Y920" s="66"/>
      <c r="Z920" s="66"/>
      <c r="AA920" s="66"/>
    </row>
    <row r="921" spans="1:27" ht="21" x14ac:dyDescent="0.65">
      <c r="A921" s="66"/>
      <c r="B921" s="66"/>
      <c r="C921" s="66"/>
      <c r="D921" s="66"/>
      <c r="E921" s="66"/>
      <c r="F921" s="66"/>
      <c r="G921" s="66"/>
      <c r="H921" s="66"/>
      <c r="I921" s="66"/>
      <c r="J921" s="66"/>
      <c r="K921" s="66"/>
      <c r="L921" s="66"/>
      <c r="M921" s="66"/>
      <c r="N921" s="66"/>
      <c r="O921" s="66"/>
      <c r="P921" s="66"/>
      <c r="Q921" s="66"/>
      <c r="R921" s="66"/>
      <c r="S921" s="66"/>
      <c r="T921" s="66"/>
      <c r="U921" s="66"/>
      <c r="V921" s="66"/>
      <c r="W921" s="66"/>
      <c r="X921" s="66"/>
      <c r="Y921" s="66"/>
      <c r="Z921" s="66"/>
      <c r="AA921" s="66"/>
    </row>
    <row r="922" spans="1:27" ht="21" x14ac:dyDescent="0.65">
      <c r="A922" s="66"/>
      <c r="B922" s="66"/>
      <c r="C922" s="66"/>
      <c r="D922" s="66"/>
      <c r="E922" s="66"/>
      <c r="F922" s="66"/>
      <c r="G922" s="66"/>
      <c r="H922" s="66"/>
      <c r="I922" s="66"/>
      <c r="J922" s="66"/>
      <c r="K922" s="66"/>
      <c r="L922" s="66"/>
      <c r="M922" s="66"/>
      <c r="N922" s="66"/>
      <c r="O922" s="66"/>
      <c r="P922" s="66"/>
      <c r="Q922" s="66"/>
      <c r="R922" s="66"/>
      <c r="S922" s="66"/>
      <c r="T922" s="66"/>
      <c r="U922" s="66"/>
      <c r="V922" s="66"/>
      <c r="W922" s="66"/>
      <c r="X922" s="66"/>
      <c r="Y922" s="66"/>
      <c r="Z922" s="66"/>
      <c r="AA922" s="66"/>
    </row>
    <row r="923" spans="1:27" ht="21" x14ac:dyDescent="0.65">
      <c r="A923" s="66"/>
      <c r="B923" s="66"/>
      <c r="C923" s="66"/>
      <c r="D923" s="66"/>
      <c r="E923" s="66"/>
      <c r="F923" s="66"/>
      <c r="G923" s="66"/>
      <c r="H923" s="66"/>
      <c r="I923" s="66"/>
      <c r="J923" s="66"/>
      <c r="K923" s="66"/>
      <c r="L923" s="66"/>
      <c r="M923" s="66"/>
      <c r="N923" s="66"/>
      <c r="O923" s="66"/>
      <c r="P923" s="66"/>
      <c r="Q923" s="66"/>
      <c r="R923" s="66"/>
      <c r="S923" s="66"/>
      <c r="T923" s="66"/>
      <c r="U923" s="66"/>
      <c r="V923" s="66"/>
      <c r="W923" s="66"/>
      <c r="X923" s="66"/>
      <c r="Y923" s="66"/>
      <c r="Z923" s="66"/>
      <c r="AA923" s="66"/>
    </row>
    <row r="924" spans="1:27" ht="21" x14ac:dyDescent="0.65">
      <c r="A924" s="66"/>
      <c r="B924" s="66"/>
      <c r="C924" s="66"/>
      <c r="D924" s="66"/>
      <c r="E924" s="66"/>
      <c r="F924" s="66"/>
      <c r="G924" s="66"/>
      <c r="H924" s="66"/>
      <c r="I924" s="66"/>
      <c r="J924" s="66"/>
      <c r="K924" s="66"/>
      <c r="L924" s="66"/>
      <c r="M924" s="66"/>
      <c r="N924" s="66"/>
      <c r="O924" s="66"/>
      <c r="P924" s="66"/>
      <c r="Q924" s="66"/>
      <c r="R924" s="66"/>
      <c r="S924" s="66"/>
      <c r="T924" s="66"/>
      <c r="U924" s="66"/>
      <c r="V924" s="66"/>
      <c r="W924" s="66"/>
      <c r="X924" s="66"/>
      <c r="Y924" s="66"/>
      <c r="Z924" s="66"/>
      <c r="AA924" s="66"/>
    </row>
    <row r="925" spans="1:27" ht="21" x14ac:dyDescent="0.65">
      <c r="A925" s="66"/>
      <c r="B925" s="66"/>
      <c r="C925" s="66"/>
      <c r="D925" s="66"/>
      <c r="E925" s="66"/>
      <c r="F925" s="66"/>
      <c r="G925" s="66"/>
      <c r="H925" s="66"/>
      <c r="I925" s="66"/>
      <c r="J925" s="66"/>
      <c r="K925" s="66"/>
      <c r="L925" s="66"/>
      <c r="M925" s="66"/>
      <c r="N925" s="66"/>
      <c r="O925" s="66"/>
      <c r="P925" s="66"/>
      <c r="Q925" s="66"/>
      <c r="R925" s="66"/>
      <c r="S925" s="66"/>
      <c r="T925" s="66"/>
      <c r="U925" s="66"/>
      <c r="V925" s="66"/>
      <c r="W925" s="66"/>
      <c r="X925" s="66"/>
      <c r="Y925" s="66"/>
      <c r="Z925" s="66"/>
      <c r="AA925" s="66"/>
    </row>
    <row r="926" spans="1:27" ht="21" x14ac:dyDescent="0.65">
      <c r="A926" s="66"/>
      <c r="B926" s="66"/>
      <c r="C926" s="66"/>
      <c r="D926" s="66"/>
      <c r="E926" s="66"/>
      <c r="F926" s="66"/>
      <c r="G926" s="66"/>
      <c r="H926" s="66"/>
      <c r="I926" s="66"/>
      <c r="J926" s="66"/>
      <c r="K926" s="66"/>
      <c r="L926" s="66"/>
      <c r="M926" s="66"/>
      <c r="N926" s="66"/>
      <c r="O926" s="66"/>
      <c r="P926" s="66"/>
      <c r="Q926" s="66"/>
      <c r="R926" s="66"/>
      <c r="S926" s="66"/>
      <c r="T926" s="66"/>
      <c r="U926" s="66"/>
      <c r="V926" s="66"/>
      <c r="W926" s="66"/>
      <c r="X926" s="66"/>
      <c r="Y926" s="66"/>
      <c r="Z926" s="66"/>
      <c r="AA926" s="66"/>
    </row>
    <row r="927" spans="1:27" ht="21" x14ac:dyDescent="0.65">
      <c r="A927" s="66"/>
      <c r="B927" s="66"/>
      <c r="C927" s="66"/>
      <c r="D927" s="66"/>
      <c r="E927" s="66"/>
      <c r="F927" s="66"/>
      <c r="G927" s="66"/>
      <c r="H927" s="66"/>
      <c r="I927" s="66"/>
      <c r="J927" s="66"/>
      <c r="K927" s="66"/>
      <c r="L927" s="66"/>
      <c r="M927" s="66"/>
      <c r="N927" s="66"/>
      <c r="O927" s="66"/>
      <c r="P927" s="66"/>
      <c r="Q927" s="66"/>
      <c r="R927" s="66"/>
      <c r="S927" s="66"/>
      <c r="T927" s="66"/>
      <c r="U927" s="66"/>
      <c r="V927" s="66"/>
      <c r="W927" s="66"/>
      <c r="X927" s="66"/>
      <c r="Y927" s="66"/>
      <c r="Z927" s="66"/>
      <c r="AA927" s="66"/>
    </row>
    <row r="928" spans="1:27" ht="21" x14ac:dyDescent="0.65">
      <c r="A928" s="66"/>
      <c r="B928" s="66"/>
      <c r="C928" s="66"/>
      <c r="D928" s="66"/>
      <c r="E928" s="66"/>
      <c r="F928" s="66"/>
      <c r="G928" s="66"/>
      <c r="H928" s="66"/>
      <c r="I928" s="66"/>
      <c r="J928" s="66"/>
      <c r="K928" s="66"/>
      <c r="L928" s="66"/>
      <c r="M928" s="66"/>
      <c r="N928" s="66"/>
      <c r="O928" s="66"/>
      <c r="P928" s="66"/>
      <c r="Q928" s="66"/>
      <c r="R928" s="66"/>
      <c r="S928" s="66"/>
      <c r="T928" s="66"/>
      <c r="U928" s="66"/>
      <c r="V928" s="66"/>
      <c r="W928" s="66"/>
      <c r="X928" s="66"/>
      <c r="Y928" s="66"/>
      <c r="Z928" s="66"/>
      <c r="AA928" s="66"/>
    </row>
    <row r="929" spans="1:27" ht="21" x14ac:dyDescent="0.65">
      <c r="A929" s="66"/>
      <c r="B929" s="66"/>
      <c r="C929" s="66"/>
      <c r="D929" s="66"/>
      <c r="E929" s="66"/>
      <c r="F929" s="66"/>
      <c r="G929" s="66"/>
      <c r="H929" s="66"/>
      <c r="I929" s="66"/>
      <c r="J929" s="66"/>
      <c r="K929" s="66"/>
      <c r="L929" s="66"/>
      <c r="M929" s="66"/>
      <c r="N929" s="66"/>
      <c r="O929" s="66"/>
      <c r="P929" s="66"/>
      <c r="Q929" s="66"/>
      <c r="R929" s="66"/>
      <c r="S929" s="66"/>
      <c r="T929" s="66"/>
      <c r="U929" s="66"/>
      <c r="V929" s="66"/>
      <c r="W929" s="66"/>
      <c r="X929" s="66"/>
      <c r="Y929" s="66"/>
      <c r="Z929" s="66"/>
      <c r="AA929" s="66"/>
    </row>
    <row r="930" spans="1:27" ht="21" x14ac:dyDescent="0.65">
      <c r="A930" s="66"/>
      <c r="B930" s="66"/>
      <c r="C930" s="66"/>
      <c r="D930" s="66"/>
      <c r="E930" s="66"/>
      <c r="F930" s="66"/>
      <c r="G930" s="66"/>
      <c r="H930" s="66"/>
      <c r="I930" s="66"/>
      <c r="J930" s="66"/>
      <c r="K930" s="66"/>
      <c r="L930" s="66"/>
      <c r="M930" s="66"/>
      <c r="N930" s="66"/>
      <c r="O930" s="66"/>
      <c r="P930" s="66"/>
      <c r="Q930" s="66"/>
      <c r="R930" s="66"/>
      <c r="S930" s="66"/>
      <c r="T930" s="66"/>
      <c r="U930" s="66"/>
      <c r="V930" s="66"/>
      <c r="W930" s="66"/>
      <c r="X930" s="66"/>
      <c r="Y930" s="66"/>
      <c r="Z930" s="66"/>
      <c r="AA930" s="66"/>
    </row>
    <row r="931" spans="1:27" ht="21" x14ac:dyDescent="0.65">
      <c r="A931" s="66"/>
      <c r="B931" s="66"/>
      <c r="C931" s="66"/>
      <c r="D931" s="66"/>
      <c r="E931" s="66"/>
      <c r="F931" s="66"/>
      <c r="G931" s="66"/>
      <c r="H931" s="66"/>
      <c r="I931" s="66"/>
      <c r="J931" s="66"/>
      <c r="K931" s="66"/>
      <c r="L931" s="66"/>
      <c r="M931" s="66"/>
      <c r="N931" s="66"/>
      <c r="O931" s="66"/>
      <c r="P931" s="66"/>
      <c r="Q931" s="66"/>
      <c r="R931" s="66"/>
      <c r="S931" s="66"/>
      <c r="T931" s="66"/>
      <c r="U931" s="66"/>
      <c r="V931" s="66"/>
      <c r="W931" s="66"/>
      <c r="X931" s="66"/>
      <c r="Y931" s="66"/>
      <c r="Z931" s="66"/>
      <c r="AA931" s="66"/>
    </row>
    <row r="932" spans="1:27" ht="21" x14ac:dyDescent="0.65">
      <c r="A932" s="66"/>
      <c r="B932" s="66"/>
      <c r="C932" s="66"/>
      <c r="D932" s="66"/>
      <c r="E932" s="66"/>
      <c r="F932" s="66"/>
      <c r="G932" s="66"/>
      <c r="H932" s="66"/>
      <c r="I932" s="66"/>
      <c r="J932" s="66"/>
      <c r="K932" s="66"/>
      <c r="L932" s="66"/>
      <c r="M932" s="66"/>
      <c r="N932" s="66"/>
      <c r="O932" s="66"/>
      <c r="P932" s="66"/>
      <c r="Q932" s="66"/>
      <c r="R932" s="66"/>
      <c r="S932" s="66"/>
      <c r="T932" s="66"/>
      <c r="U932" s="66"/>
      <c r="V932" s="66"/>
      <c r="W932" s="66"/>
      <c r="X932" s="66"/>
      <c r="Y932" s="66"/>
      <c r="Z932" s="66"/>
      <c r="AA932" s="66"/>
    </row>
    <row r="933" spans="1:27" ht="21" x14ac:dyDescent="0.65">
      <c r="A933" s="66"/>
      <c r="B933" s="66"/>
      <c r="C933" s="66"/>
      <c r="D933" s="66"/>
      <c r="E933" s="66"/>
      <c r="F933" s="66"/>
      <c r="G933" s="66"/>
      <c r="H933" s="66"/>
      <c r="I933" s="66"/>
      <c r="J933" s="66"/>
      <c r="K933" s="66"/>
      <c r="L933" s="66"/>
      <c r="M933" s="66"/>
      <c r="N933" s="66"/>
      <c r="O933" s="66"/>
      <c r="P933" s="66"/>
      <c r="Q933" s="66"/>
      <c r="R933" s="66"/>
      <c r="S933" s="66"/>
      <c r="T933" s="66"/>
      <c r="U933" s="66"/>
      <c r="V933" s="66"/>
      <c r="W933" s="66"/>
      <c r="X933" s="66"/>
      <c r="Y933" s="66"/>
      <c r="Z933" s="66"/>
      <c r="AA933" s="66"/>
    </row>
    <row r="934" spans="1:27" ht="21" x14ac:dyDescent="0.65">
      <c r="A934" s="66"/>
      <c r="B934" s="66"/>
      <c r="C934" s="66"/>
      <c r="D934" s="66"/>
      <c r="E934" s="66"/>
      <c r="F934" s="66"/>
      <c r="G934" s="66"/>
      <c r="H934" s="66"/>
      <c r="I934" s="66"/>
      <c r="J934" s="66"/>
      <c r="K934" s="66"/>
      <c r="L934" s="66"/>
      <c r="M934" s="66"/>
      <c r="N934" s="66"/>
      <c r="O934" s="66"/>
      <c r="P934" s="66"/>
      <c r="Q934" s="66"/>
      <c r="R934" s="66"/>
      <c r="S934" s="66"/>
      <c r="T934" s="66"/>
      <c r="U934" s="66"/>
      <c r="V934" s="66"/>
      <c r="W934" s="66"/>
      <c r="X934" s="66"/>
      <c r="Y934" s="66"/>
      <c r="Z934" s="66"/>
      <c r="AA934" s="66"/>
    </row>
    <row r="935" spans="1:27" ht="21" x14ac:dyDescent="0.65">
      <c r="A935" s="66"/>
      <c r="B935" s="66"/>
      <c r="C935" s="66"/>
      <c r="D935" s="66"/>
      <c r="E935" s="66"/>
      <c r="F935" s="66"/>
      <c r="G935" s="66"/>
      <c r="H935" s="66"/>
      <c r="I935" s="66"/>
      <c r="J935" s="66"/>
      <c r="K935" s="66"/>
      <c r="L935" s="66"/>
      <c r="M935" s="66"/>
      <c r="N935" s="66"/>
      <c r="O935" s="66"/>
      <c r="P935" s="66"/>
      <c r="Q935" s="66"/>
      <c r="R935" s="66"/>
      <c r="S935" s="66"/>
      <c r="T935" s="66"/>
      <c r="U935" s="66"/>
      <c r="V935" s="66"/>
      <c r="W935" s="66"/>
      <c r="X935" s="66"/>
      <c r="Y935" s="66"/>
      <c r="Z935" s="66"/>
      <c r="AA935" s="66"/>
    </row>
    <row r="936" spans="1:27" ht="21" x14ac:dyDescent="0.65">
      <c r="A936" s="66"/>
      <c r="B936" s="66"/>
      <c r="C936" s="66"/>
      <c r="D936" s="66"/>
      <c r="E936" s="66"/>
      <c r="F936" s="66"/>
      <c r="G936" s="66"/>
      <c r="H936" s="66"/>
      <c r="I936" s="66"/>
      <c r="J936" s="66"/>
      <c r="K936" s="66"/>
      <c r="L936" s="66"/>
      <c r="M936" s="66"/>
      <c r="N936" s="66"/>
      <c r="O936" s="66"/>
      <c r="P936" s="66"/>
      <c r="Q936" s="66"/>
      <c r="R936" s="66"/>
      <c r="S936" s="66"/>
      <c r="T936" s="66"/>
      <c r="U936" s="66"/>
      <c r="V936" s="66"/>
      <c r="W936" s="66"/>
      <c r="X936" s="66"/>
      <c r="Y936" s="66"/>
      <c r="Z936" s="66"/>
      <c r="AA936" s="66"/>
    </row>
    <row r="937" spans="1:27" ht="21" x14ac:dyDescent="0.65">
      <c r="A937" s="66"/>
      <c r="B937" s="66"/>
      <c r="C937" s="66"/>
      <c r="D937" s="66"/>
      <c r="E937" s="66"/>
      <c r="F937" s="66"/>
      <c r="G937" s="66"/>
      <c r="H937" s="66"/>
      <c r="I937" s="66"/>
      <c r="J937" s="66"/>
      <c r="K937" s="66"/>
      <c r="L937" s="66"/>
      <c r="M937" s="66"/>
      <c r="N937" s="66"/>
      <c r="O937" s="66"/>
      <c r="P937" s="66"/>
      <c r="Q937" s="66"/>
      <c r="R937" s="66"/>
      <c r="S937" s="66"/>
      <c r="T937" s="66"/>
      <c r="U937" s="66"/>
      <c r="V937" s="66"/>
      <c r="W937" s="66"/>
      <c r="X937" s="66"/>
      <c r="Y937" s="66"/>
      <c r="Z937" s="66"/>
      <c r="AA937" s="66"/>
    </row>
    <row r="938" spans="1:27" ht="21" x14ac:dyDescent="0.65">
      <c r="A938" s="66"/>
      <c r="B938" s="66"/>
      <c r="C938" s="66"/>
      <c r="D938" s="66"/>
      <c r="E938" s="66"/>
      <c r="F938" s="66"/>
      <c r="G938" s="66"/>
      <c r="H938" s="66"/>
      <c r="I938" s="66"/>
      <c r="J938" s="66"/>
      <c r="K938" s="66"/>
      <c r="L938" s="66"/>
      <c r="M938" s="66"/>
      <c r="N938" s="66"/>
      <c r="O938" s="66"/>
      <c r="P938" s="66"/>
      <c r="Q938" s="66"/>
      <c r="R938" s="66"/>
      <c r="S938" s="66"/>
      <c r="T938" s="66"/>
      <c r="U938" s="66"/>
      <c r="V938" s="66"/>
      <c r="W938" s="66"/>
      <c r="X938" s="66"/>
      <c r="Y938" s="66"/>
      <c r="Z938" s="66"/>
      <c r="AA938" s="66"/>
    </row>
    <row r="939" spans="1:27" ht="21" x14ac:dyDescent="0.65">
      <c r="A939" s="66"/>
      <c r="B939" s="66"/>
      <c r="C939" s="66"/>
      <c r="D939" s="66"/>
      <c r="E939" s="66"/>
      <c r="F939" s="66"/>
      <c r="G939" s="66"/>
      <c r="H939" s="66"/>
      <c r="I939" s="66"/>
      <c r="J939" s="66"/>
      <c r="K939" s="66"/>
      <c r="L939" s="66"/>
      <c r="M939" s="66"/>
      <c r="N939" s="66"/>
      <c r="O939" s="66"/>
      <c r="P939" s="66"/>
      <c r="Q939" s="66"/>
      <c r="R939" s="66"/>
      <c r="S939" s="66"/>
      <c r="T939" s="66"/>
      <c r="U939" s="66"/>
      <c r="V939" s="66"/>
      <c r="W939" s="66"/>
      <c r="X939" s="66"/>
      <c r="Y939" s="66"/>
      <c r="Z939" s="66"/>
      <c r="AA939" s="66"/>
    </row>
    <row r="940" spans="1:27" ht="21" x14ac:dyDescent="0.65">
      <c r="A940" s="66"/>
      <c r="B940" s="66"/>
      <c r="C940" s="66"/>
      <c r="D940" s="66"/>
      <c r="E940" s="66"/>
      <c r="F940" s="66"/>
      <c r="G940" s="66"/>
      <c r="H940" s="66"/>
      <c r="I940" s="66"/>
      <c r="J940" s="66"/>
      <c r="K940" s="66"/>
      <c r="L940" s="66"/>
      <c r="M940" s="66"/>
      <c r="N940" s="66"/>
      <c r="O940" s="66"/>
      <c r="P940" s="66"/>
      <c r="Q940" s="66"/>
      <c r="R940" s="66"/>
      <c r="S940" s="66"/>
      <c r="T940" s="66"/>
      <c r="U940" s="66"/>
      <c r="V940" s="66"/>
      <c r="W940" s="66"/>
      <c r="X940" s="66"/>
      <c r="Y940" s="66"/>
      <c r="Z940" s="66"/>
      <c r="AA940" s="66"/>
    </row>
    <row r="941" spans="1:27" ht="21" x14ac:dyDescent="0.65">
      <c r="A941" s="66"/>
      <c r="B941" s="66"/>
      <c r="C941" s="66"/>
      <c r="D941" s="66"/>
      <c r="E941" s="66"/>
      <c r="F941" s="66"/>
      <c r="G941" s="66"/>
      <c r="H941" s="66"/>
      <c r="I941" s="66"/>
      <c r="J941" s="66"/>
      <c r="K941" s="66"/>
      <c r="L941" s="66"/>
      <c r="M941" s="66"/>
      <c r="N941" s="66"/>
      <c r="O941" s="66"/>
      <c r="P941" s="66"/>
      <c r="Q941" s="66"/>
      <c r="R941" s="66"/>
      <c r="S941" s="66"/>
      <c r="T941" s="66"/>
      <c r="U941" s="66"/>
      <c r="V941" s="66"/>
      <c r="W941" s="66"/>
      <c r="X941" s="66"/>
      <c r="Y941" s="66"/>
      <c r="Z941" s="66"/>
      <c r="AA941" s="66"/>
    </row>
    <row r="942" spans="1:27" ht="21" x14ac:dyDescent="0.65">
      <c r="A942" s="66"/>
      <c r="B942" s="66"/>
      <c r="C942" s="66"/>
      <c r="D942" s="66"/>
      <c r="E942" s="66"/>
      <c r="F942" s="66"/>
      <c r="G942" s="66"/>
      <c r="H942" s="66"/>
      <c r="I942" s="66"/>
      <c r="J942" s="66"/>
      <c r="K942" s="66"/>
      <c r="L942" s="66"/>
      <c r="M942" s="66"/>
      <c r="N942" s="66"/>
      <c r="O942" s="66"/>
      <c r="P942" s="66"/>
      <c r="Q942" s="66"/>
      <c r="R942" s="66"/>
      <c r="S942" s="66"/>
      <c r="T942" s="66"/>
      <c r="U942" s="66"/>
      <c r="V942" s="66"/>
      <c r="W942" s="66"/>
      <c r="X942" s="66"/>
      <c r="Y942" s="66"/>
      <c r="Z942" s="66"/>
      <c r="AA942" s="66"/>
    </row>
    <row r="943" spans="1:27" ht="21" x14ac:dyDescent="0.65">
      <c r="A943" s="66"/>
      <c r="B943" s="66"/>
      <c r="C943" s="66"/>
      <c r="D943" s="66"/>
      <c r="E943" s="66"/>
      <c r="F943" s="66"/>
      <c r="G943" s="66"/>
      <c r="H943" s="66"/>
      <c r="I943" s="66"/>
      <c r="J943" s="66"/>
      <c r="K943" s="66"/>
      <c r="L943" s="66"/>
      <c r="M943" s="66"/>
      <c r="N943" s="66"/>
      <c r="O943" s="66"/>
      <c r="P943" s="66"/>
      <c r="Q943" s="66"/>
      <c r="R943" s="66"/>
      <c r="S943" s="66"/>
      <c r="T943" s="66"/>
      <c r="U943" s="66"/>
      <c r="V943" s="66"/>
      <c r="W943" s="66"/>
      <c r="X943" s="66"/>
      <c r="Y943" s="66"/>
      <c r="Z943" s="66"/>
      <c r="AA943" s="66"/>
    </row>
    <row r="944" spans="1:27" ht="21" x14ac:dyDescent="0.65">
      <c r="A944" s="66"/>
      <c r="B944" s="66"/>
      <c r="C944" s="66"/>
      <c r="D944" s="66"/>
      <c r="E944" s="66"/>
      <c r="F944" s="66"/>
      <c r="G944" s="66"/>
      <c r="H944" s="66"/>
      <c r="I944" s="66"/>
      <c r="J944" s="66"/>
      <c r="K944" s="66"/>
      <c r="L944" s="66"/>
      <c r="M944" s="66"/>
      <c r="N944" s="66"/>
      <c r="O944" s="66"/>
      <c r="P944" s="66"/>
      <c r="Q944" s="66"/>
      <c r="R944" s="66"/>
      <c r="S944" s="66"/>
      <c r="T944" s="66"/>
      <c r="U944" s="66"/>
      <c r="V944" s="66"/>
      <c r="W944" s="66"/>
      <c r="X944" s="66"/>
      <c r="Y944" s="66"/>
      <c r="Z944" s="66"/>
      <c r="AA944" s="66"/>
    </row>
    <row r="945" spans="1:27" ht="21" x14ac:dyDescent="0.65">
      <c r="A945" s="66"/>
      <c r="B945" s="66"/>
      <c r="C945" s="66"/>
      <c r="D945" s="66"/>
      <c r="E945" s="66"/>
      <c r="F945" s="66"/>
      <c r="G945" s="66"/>
      <c r="H945" s="66"/>
      <c r="I945" s="66"/>
      <c r="J945" s="66"/>
      <c r="K945" s="66"/>
      <c r="L945" s="66"/>
      <c r="M945" s="66"/>
      <c r="N945" s="66"/>
      <c r="O945" s="66"/>
      <c r="P945" s="66"/>
      <c r="Q945" s="66"/>
      <c r="R945" s="66"/>
      <c r="S945" s="66"/>
      <c r="T945" s="66"/>
      <c r="U945" s="66"/>
      <c r="V945" s="66"/>
      <c r="W945" s="66"/>
      <c r="X945" s="66"/>
      <c r="Y945" s="66"/>
      <c r="Z945" s="66"/>
      <c r="AA945" s="66"/>
    </row>
    <row r="946" spans="1:27" ht="21" x14ac:dyDescent="0.65">
      <c r="A946" s="66"/>
      <c r="B946" s="66"/>
      <c r="C946" s="66"/>
      <c r="D946" s="66"/>
      <c r="E946" s="66"/>
      <c r="F946" s="66"/>
      <c r="G946" s="66"/>
      <c r="H946" s="66"/>
      <c r="I946" s="66"/>
      <c r="J946" s="66"/>
      <c r="K946" s="66"/>
      <c r="L946" s="66"/>
      <c r="M946" s="66"/>
      <c r="N946" s="66"/>
      <c r="O946" s="66"/>
      <c r="P946" s="66"/>
      <c r="Q946" s="66"/>
      <c r="R946" s="66"/>
      <c r="S946" s="66"/>
      <c r="T946" s="66"/>
      <c r="U946" s="66"/>
      <c r="V946" s="66"/>
      <c r="W946" s="66"/>
      <c r="X946" s="66"/>
      <c r="Y946" s="66"/>
      <c r="Z946" s="66"/>
      <c r="AA946" s="66"/>
    </row>
    <row r="947" spans="1:27" ht="21" x14ac:dyDescent="0.65">
      <c r="A947" s="66"/>
      <c r="B947" s="66"/>
      <c r="C947" s="66"/>
      <c r="D947" s="66"/>
      <c r="E947" s="66"/>
      <c r="F947" s="66"/>
      <c r="G947" s="66"/>
      <c r="H947" s="66"/>
      <c r="I947" s="66"/>
      <c r="J947" s="66"/>
      <c r="K947" s="66"/>
      <c r="L947" s="66"/>
      <c r="M947" s="66"/>
      <c r="N947" s="66"/>
      <c r="O947" s="66"/>
      <c r="P947" s="66"/>
      <c r="Q947" s="66"/>
      <c r="R947" s="66"/>
      <c r="S947" s="66"/>
      <c r="T947" s="66"/>
      <c r="U947" s="66"/>
      <c r="V947" s="66"/>
      <c r="W947" s="66"/>
      <c r="X947" s="66"/>
      <c r="Y947" s="66"/>
      <c r="Z947" s="66"/>
      <c r="AA947" s="66"/>
    </row>
    <row r="948" spans="1:27" ht="21" x14ac:dyDescent="0.65">
      <c r="A948" s="66"/>
      <c r="B948" s="66"/>
      <c r="C948" s="66"/>
      <c r="D948" s="66"/>
      <c r="E948" s="66"/>
      <c r="F948" s="66"/>
      <c r="G948" s="66"/>
      <c r="H948" s="66"/>
      <c r="I948" s="66"/>
      <c r="J948" s="66"/>
      <c r="K948" s="66"/>
      <c r="L948" s="66"/>
      <c r="M948" s="66"/>
      <c r="N948" s="66"/>
      <c r="O948" s="66"/>
      <c r="P948" s="66"/>
      <c r="Q948" s="66"/>
      <c r="R948" s="66"/>
      <c r="S948" s="66"/>
      <c r="T948" s="66"/>
      <c r="U948" s="66"/>
      <c r="V948" s="66"/>
      <c r="W948" s="66"/>
      <c r="X948" s="66"/>
      <c r="Y948" s="66"/>
      <c r="Z948" s="66"/>
      <c r="AA948" s="66"/>
    </row>
    <row r="949" spans="1:27" ht="21" x14ac:dyDescent="0.65">
      <c r="A949" s="66"/>
      <c r="B949" s="66"/>
      <c r="C949" s="66"/>
      <c r="D949" s="66"/>
      <c r="E949" s="66"/>
      <c r="F949" s="66"/>
      <c r="G949" s="66"/>
      <c r="H949" s="66"/>
      <c r="I949" s="66"/>
      <c r="J949" s="66"/>
      <c r="K949" s="66"/>
      <c r="L949" s="66"/>
      <c r="M949" s="66"/>
      <c r="N949" s="66"/>
      <c r="O949" s="66"/>
      <c r="P949" s="66"/>
      <c r="Q949" s="66"/>
      <c r="R949" s="66"/>
      <c r="S949" s="66"/>
      <c r="T949" s="66"/>
      <c r="U949" s="66"/>
      <c r="V949" s="66"/>
      <c r="W949" s="66"/>
      <c r="X949" s="66"/>
      <c r="Y949" s="66"/>
      <c r="Z949" s="66"/>
      <c r="AA949" s="66"/>
    </row>
    <row r="950" spans="1:27" ht="21" x14ac:dyDescent="0.65">
      <c r="A950" s="66"/>
      <c r="B950" s="66"/>
      <c r="C950" s="66"/>
      <c r="D950" s="66"/>
      <c r="E950" s="66"/>
      <c r="F950" s="66"/>
      <c r="G950" s="66"/>
      <c r="H950" s="66"/>
      <c r="I950" s="66"/>
      <c r="J950" s="66"/>
      <c r="K950" s="66"/>
      <c r="L950" s="66"/>
      <c r="M950" s="66"/>
      <c r="N950" s="66"/>
      <c r="O950" s="66"/>
      <c r="P950" s="66"/>
      <c r="Q950" s="66"/>
      <c r="R950" s="66"/>
      <c r="S950" s="66"/>
      <c r="T950" s="66"/>
      <c r="U950" s="66"/>
      <c r="V950" s="66"/>
      <c r="W950" s="66"/>
      <c r="X950" s="66"/>
      <c r="Y950" s="66"/>
      <c r="Z950" s="66"/>
      <c r="AA950" s="66"/>
    </row>
    <row r="951" spans="1:27" ht="21" x14ac:dyDescent="0.65">
      <c r="A951" s="66"/>
      <c r="B951" s="66"/>
      <c r="C951" s="66"/>
      <c r="D951" s="66"/>
      <c r="E951" s="66"/>
      <c r="F951" s="66"/>
      <c r="G951" s="66"/>
      <c r="H951" s="66"/>
      <c r="I951" s="66"/>
      <c r="J951" s="66"/>
      <c r="K951" s="66"/>
      <c r="L951" s="66"/>
      <c r="M951" s="66"/>
      <c r="N951" s="66"/>
      <c r="O951" s="66"/>
      <c r="P951" s="66"/>
      <c r="Q951" s="66"/>
      <c r="R951" s="66"/>
      <c r="S951" s="66"/>
      <c r="T951" s="66"/>
      <c r="U951" s="66"/>
      <c r="V951" s="66"/>
      <c r="W951" s="66"/>
      <c r="X951" s="66"/>
      <c r="Y951" s="66"/>
      <c r="Z951" s="66"/>
      <c r="AA951" s="66"/>
    </row>
    <row r="952" spans="1:27" ht="21" x14ac:dyDescent="0.65">
      <c r="A952" s="66"/>
      <c r="B952" s="66"/>
      <c r="C952" s="66"/>
      <c r="D952" s="66"/>
      <c r="E952" s="66"/>
      <c r="F952" s="66"/>
      <c r="G952" s="66"/>
      <c r="H952" s="66"/>
      <c r="I952" s="66"/>
      <c r="J952" s="66"/>
      <c r="K952" s="66"/>
      <c r="L952" s="66"/>
      <c r="M952" s="66"/>
      <c r="N952" s="66"/>
      <c r="O952" s="66"/>
      <c r="P952" s="66"/>
      <c r="Q952" s="66"/>
      <c r="R952" s="66"/>
      <c r="S952" s="66"/>
      <c r="T952" s="66"/>
      <c r="U952" s="66"/>
      <c r="V952" s="66"/>
      <c r="W952" s="66"/>
      <c r="X952" s="66"/>
      <c r="Y952" s="66"/>
      <c r="Z952" s="66"/>
      <c r="AA952" s="66"/>
    </row>
    <row r="953" spans="1:27" ht="21" x14ac:dyDescent="0.65">
      <c r="A953" s="66"/>
      <c r="B953" s="66"/>
      <c r="C953" s="66"/>
      <c r="D953" s="66"/>
      <c r="E953" s="66"/>
      <c r="F953" s="66"/>
      <c r="G953" s="66"/>
      <c r="H953" s="66"/>
      <c r="I953" s="66"/>
      <c r="J953" s="66"/>
      <c r="K953" s="66"/>
      <c r="L953" s="66"/>
      <c r="M953" s="66"/>
      <c r="N953" s="66"/>
      <c r="O953" s="66"/>
      <c r="P953" s="66"/>
      <c r="Q953" s="66"/>
      <c r="R953" s="66"/>
      <c r="S953" s="66"/>
      <c r="T953" s="66"/>
      <c r="U953" s="66"/>
      <c r="V953" s="66"/>
      <c r="W953" s="66"/>
      <c r="X953" s="66"/>
      <c r="Y953" s="66"/>
      <c r="Z953" s="66"/>
      <c r="AA953" s="66"/>
    </row>
    <row r="954" spans="1:27" ht="21" x14ac:dyDescent="0.65">
      <c r="A954" s="66"/>
      <c r="B954" s="66"/>
      <c r="C954" s="66"/>
      <c r="D954" s="66"/>
      <c r="E954" s="66"/>
      <c r="F954" s="66"/>
      <c r="G954" s="66"/>
      <c r="H954" s="66"/>
      <c r="I954" s="66"/>
      <c r="J954" s="66"/>
      <c r="K954" s="66"/>
      <c r="L954" s="66"/>
      <c r="M954" s="66"/>
      <c r="N954" s="66"/>
      <c r="O954" s="66"/>
      <c r="P954" s="66"/>
      <c r="Q954" s="66"/>
      <c r="R954" s="66"/>
      <c r="S954" s="66"/>
      <c r="T954" s="66"/>
      <c r="U954" s="66"/>
      <c r="V954" s="66"/>
      <c r="W954" s="66"/>
      <c r="X954" s="66"/>
      <c r="Y954" s="66"/>
      <c r="Z954" s="66"/>
      <c r="AA954" s="66"/>
    </row>
    <row r="955" spans="1:27" ht="21" x14ac:dyDescent="0.65">
      <c r="A955" s="66"/>
      <c r="B955" s="66"/>
      <c r="C955" s="66"/>
      <c r="D955" s="66"/>
      <c r="E955" s="66"/>
      <c r="F955" s="66"/>
      <c r="G955" s="66"/>
      <c r="H955" s="66"/>
      <c r="I955" s="66"/>
      <c r="J955" s="66"/>
      <c r="K955" s="66"/>
      <c r="L955" s="66"/>
      <c r="M955" s="66"/>
      <c r="N955" s="66"/>
      <c r="O955" s="66"/>
      <c r="P955" s="66"/>
      <c r="Q955" s="66"/>
      <c r="R955" s="66"/>
      <c r="S955" s="66"/>
      <c r="T955" s="66"/>
      <c r="U955" s="66"/>
      <c r="V955" s="66"/>
      <c r="W955" s="66"/>
      <c r="X955" s="66"/>
      <c r="Y955" s="66"/>
      <c r="Z955" s="66"/>
      <c r="AA955" s="66"/>
    </row>
    <row r="956" spans="1:27" ht="21" x14ac:dyDescent="0.65">
      <c r="A956" s="66"/>
      <c r="B956" s="66"/>
      <c r="C956" s="66"/>
      <c r="D956" s="66"/>
      <c r="E956" s="66"/>
      <c r="F956" s="66"/>
      <c r="G956" s="66"/>
      <c r="H956" s="66"/>
      <c r="I956" s="66"/>
      <c r="J956" s="66"/>
      <c r="K956" s="66"/>
      <c r="L956" s="66"/>
      <c r="M956" s="66"/>
      <c r="N956" s="66"/>
      <c r="O956" s="66"/>
      <c r="P956" s="66"/>
      <c r="Q956" s="66"/>
      <c r="R956" s="66"/>
      <c r="S956" s="66"/>
      <c r="T956" s="66"/>
      <c r="U956" s="66"/>
      <c r="V956" s="66"/>
      <c r="W956" s="66"/>
      <c r="X956" s="66"/>
      <c r="Y956" s="66"/>
      <c r="Z956" s="66"/>
      <c r="AA956" s="66"/>
    </row>
    <row r="957" spans="1:27" ht="21" x14ac:dyDescent="0.65">
      <c r="A957" s="66"/>
      <c r="B957" s="66"/>
      <c r="C957" s="66"/>
      <c r="D957" s="66"/>
      <c r="E957" s="66"/>
      <c r="F957" s="66"/>
      <c r="G957" s="66"/>
      <c r="H957" s="66"/>
      <c r="I957" s="66"/>
      <c r="J957" s="66"/>
      <c r="K957" s="66"/>
      <c r="L957" s="66"/>
      <c r="M957" s="66"/>
      <c r="N957" s="66"/>
      <c r="O957" s="66"/>
      <c r="P957" s="66"/>
      <c r="Q957" s="66"/>
      <c r="R957" s="66"/>
      <c r="S957" s="66"/>
      <c r="T957" s="66"/>
      <c r="U957" s="66"/>
      <c r="V957" s="66"/>
      <c r="W957" s="66"/>
      <c r="X957" s="66"/>
      <c r="Y957" s="66"/>
      <c r="Z957" s="66"/>
      <c r="AA957" s="66"/>
    </row>
    <row r="958" spans="1:27" ht="21" x14ac:dyDescent="0.65">
      <c r="A958" s="66"/>
      <c r="B958" s="66"/>
      <c r="C958" s="66"/>
      <c r="D958" s="66"/>
      <c r="E958" s="66"/>
      <c r="F958" s="66"/>
      <c r="G958" s="66"/>
      <c r="H958" s="66"/>
      <c r="I958" s="66"/>
      <c r="J958" s="66"/>
      <c r="K958" s="66"/>
      <c r="L958" s="66"/>
      <c r="M958" s="66"/>
      <c r="N958" s="66"/>
      <c r="O958" s="66"/>
      <c r="P958" s="66"/>
      <c r="Q958" s="66"/>
      <c r="R958" s="66"/>
      <c r="S958" s="66"/>
      <c r="T958" s="66"/>
      <c r="U958" s="66"/>
      <c r="V958" s="66"/>
      <c r="W958" s="66"/>
      <c r="X958" s="66"/>
      <c r="Y958" s="66"/>
      <c r="Z958" s="66"/>
      <c r="AA958" s="66"/>
    </row>
    <row r="959" spans="1:27" ht="21" x14ac:dyDescent="0.65">
      <c r="A959" s="66"/>
      <c r="B959" s="66"/>
      <c r="C959" s="66"/>
      <c r="D959" s="66"/>
      <c r="E959" s="66"/>
      <c r="F959" s="66"/>
      <c r="G959" s="66"/>
      <c r="H959" s="66"/>
      <c r="I959" s="66"/>
      <c r="J959" s="66"/>
      <c r="K959" s="66"/>
      <c r="L959" s="66"/>
      <c r="M959" s="66"/>
      <c r="N959" s="66"/>
      <c r="O959" s="66"/>
      <c r="P959" s="66"/>
      <c r="Q959" s="66"/>
      <c r="R959" s="66"/>
      <c r="S959" s="66"/>
      <c r="T959" s="66"/>
      <c r="U959" s="66"/>
      <c r="V959" s="66"/>
      <c r="W959" s="66"/>
      <c r="X959" s="66"/>
      <c r="Y959" s="66"/>
      <c r="Z959" s="66"/>
      <c r="AA959" s="66"/>
    </row>
    <row r="960" spans="1:27" ht="21" x14ac:dyDescent="0.65">
      <c r="A960" s="66"/>
      <c r="B960" s="66"/>
      <c r="C960" s="66"/>
      <c r="D960" s="66"/>
      <c r="E960" s="66"/>
      <c r="F960" s="66"/>
      <c r="G960" s="66"/>
      <c r="H960" s="66"/>
      <c r="I960" s="66"/>
      <c r="J960" s="66"/>
      <c r="K960" s="66"/>
      <c r="L960" s="66"/>
      <c r="M960" s="66"/>
      <c r="N960" s="66"/>
      <c r="O960" s="66"/>
      <c r="P960" s="66"/>
      <c r="Q960" s="66"/>
      <c r="R960" s="66"/>
      <c r="S960" s="66"/>
      <c r="T960" s="66"/>
      <c r="U960" s="66"/>
      <c r="V960" s="66"/>
      <c r="W960" s="66"/>
      <c r="X960" s="66"/>
      <c r="Y960" s="66"/>
      <c r="Z960" s="66"/>
      <c r="AA960" s="66"/>
    </row>
    <row r="961" spans="1:27" ht="21" x14ac:dyDescent="0.65">
      <c r="A961" s="66"/>
      <c r="B961" s="66"/>
      <c r="C961" s="66"/>
      <c r="D961" s="66"/>
      <c r="E961" s="66"/>
      <c r="F961" s="66"/>
      <c r="G961" s="66"/>
      <c r="H961" s="66"/>
      <c r="I961" s="66"/>
      <c r="J961" s="66"/>
      <c r="K961" s="66"/>
      <c r="L961" s="66"/>
      <c r="M961" s="66"/>
      <c r="N961" s="66"/>
      <c r="O961" s="66"/>
      <c r="P961" s="66"/>
      <c r="Q961" s="66"/>
      <c r="R961" s="66"/>
      <c r="S961" s="66"/>
      <c r="T961" s="66"/>
      <c r="U961" s="66"/>
      <c r="V961" s="66"/>
      <c r="W961" s="66"/>
      <c r="X961" s="66"/>
      <c r="Y961" s="66"/>
      <c r="Z961" s="66"/>
      <c r="AA961" s="66"/>
    </row>
    <row r="962" spans="1:27" ht="21" x14ac:dyDescent="0.65">
      <c r="A962" s="66"/>
      <c r="B962" s="66"/>
      <c r="C962" s="66"/>
      <c r="D962" s="66"/>
      <c r="E962" s="66"/>
      <c r="F962" s="66"/>
      <c r="G962" s="66"/>
      <c r="H962" s="66"/>
      <c r="I962" s="66"/>
      <c r="J962" s="66"/>
      <c r="K962" s="66"/>
      <c r="L962" s="66"/>
      <c r="M962" s="66"/>
      <c r="N962" s="66"/>
      <c r="O962" s="66"/>
      <c r="P962" s="66"/>
      <c r="Q962" s="66"/>
      <c r="R962" s="66"/>
      <c r="S962" s="66"/>
      <c r="T962" s="66"/>
      <c r="U962" s="66"/>
      <c r="V962" s="66"/>
      <c r="W962" s="66"/>
      <c r="X962" s="66"/>
      <c r="Y962" s="66"/>
      <c r="Z962" s="66"/>
      <c r="AA962" s="66"/>
    </row>
    <row r="963" spans="1:27" ht="21" x14ac:dyDescent="0.65">
      <c r="A963" s="66"/>
      <c r="B963" s="66"/>
      <c r="C963" s="66"/>
      <c r="D963" s="66"/>
      <c r="E963" s="66"/>
      <c r="F963" s="66"/>
      <c r="G963" s="66"/>
      <c r="H963" s="66"/>
      <c r="I963" s="66"/>
      <c r="J963" s="66"/>
      <c r="K963" s="66"/>
      <c r="L963" s="66"/>
      <c r="M963" s="66"/>
      <c r="N963" s="66"/>
      <c r="O963" s="66"/>
      <c r="P963" s="66"/>
      <c r="Q963" s="66"/>
      <c r="R963" s="66"/>
      <c r="S963" s="66"/>
      <c r="T963" s="66"/>
      <c r="U963" s="66"/>
      <c r="V963" s="66"/>
      <c r="W963" s="66"/>
      <c r="X963" s="66"/>
      <c r="Y963" s="66"/>
      <c r="Z963" s="66"/>
      <c r="AA963" s="66"/>
    </row>
    <row r="964" spans="1:27" ht="21" x14ac:dyDescent="0.65">
      <c r="A964" s="66"/>
      <c r="B964" s="66"/>
      <c r="C964" s="66"/>
      <c r="D964" s="66"/>
      <c r="E964" s="66"/>
      <c r="F964" s="66"/>
      <c r="G964" s="66"/>
      <c r="H964" s="66"/>
      <c r="I964" s="66"/>
      <c r="J964" s="66"/>
      <c r="K964" s="66"/>
      <c r="L964" s="66"/>
      <c r="M964" s="66"/>
      <c r="N964" s="66"/>
      <c r="O964" s="66"/>
      <c r="P964" s="66"/>
      <c r="Q964" s="66"/>
      <c r="R964" s="66"/>
      <c r="S964" s="66"/>
      <c r="T964" s="66"/>
      <c r="U964" s="66"/>
      <c r="V964" s="66"/>
      <c r="W964" s="66"/>
      <c r="X964" s="66"/>
      <c r="Y964" s="66"/>
      <c r="Z964" s="66"/>
      <c r="AA964" s="66"/>
    </row>
    <row r="965" spans="1:27" ht="21" x14ac:dyDescent="0.65">
      <c r="A965" s="66"/>
      <c r="B965" s="66"/>
      <c r="C965" s="66"/>
      <c r="D965" s="66"/>
      <c r="E965" s="66"/>
      <c r="F965" s="66"/>
      <c r="G965" s="66"/>
      <c r="H965" s="66"/>
      <c r="I965" s="66"/>
      <c r="J965" s="66"/>
      <c r="K965" s="66"/>
      <c r="L965" s="66"/>
      <c r="M965" s="66"/>
      <c r="N965" s="66"/>
      <c r="O965" s="66"/>
      <c r="P965" s="66"/>
      <c r="Q965" s="66"/>
      <c r="R965" s="66"/>
      <c r="S965" s="66"/>
      <c r="T965" s="66"/>
      <c r="U965" s="66"/>
      <c r="V965" s="66"/>
      <c r="W965" s="66"/>
      <c r="X965" s="66"/>
      <c r="Y965" s="66"/>
      <c r="Z965" s="66"/>
      <c r="AA965" s="66"/>
    </row>
    <row r="966" spans="1:27" ht="21" x14ac:dyDescent="0.65">
      <c r="A966" s="66"/>
      <c r="B966" s="66"/>
      <c r="C966" s="66"/>
      <c r="D966" s="66"/>
      <c r="E966" s="66"/>
      <c r="F966" s="66"/>
      <c r="G966" s="66"/>
      <c r="H966" s="66"/>
      <c r="I966" s="66"/>
      <c r="J966" s="66"/>
      <c r="K966" s="66"/>
      <c r="L966" s="66"/>
      <c r="M966" s="66"/>
      <c r="N966" s="66"/>
      <c r="O966" s="66"/>
      <c r="P966" s="66"/>
      <c r="Q966" s="66"/>
      <c r="R966" s="66"/>
      <c r="S966" s="66"/>
      <c r="T966" s="66"/>
      <c r="U966" s="66"/>
      <c r="V966" s="66"/>
      <c r="W966" s="66"/>
      <c r="X966" s="66"/>
      <c r="Y966" s="66"/>
      <c r="Z966" s="66"/>
      <c r="AA966" s="66"/>
    </row>
    <row r="967" spans="1:27" ht="21" x14ac:dyDescent="0.65">
      <c r="A967" s="66"/>
      <c r="B967" s="66"/>
      <c r="C967" s="66"/>
      <c r="D967" s="66"/>
      <c r="E967" s="66"/>
      <c r="F967" s="66"/>
      <c r="G967" s="66"/>
      <c r="H967" s="66"/>
      <c r="I967" s="66"/>
      <c r="J967" s="66"/>
      <c r="K967" s="66"/>
      <c r="L967" s="66"/>
      <c r="M967" s="66"/>
      <c r="N967" s="66"/>
      <c r="O967" s="66"/>
      <c r="P967" s="66"/>
      <c r="Q967" s="66"/>
      <c r="R967" s="66"/>
      <c r="S967" s="66"/>
      <c r="T967" s="66"/>
      <c r="U967" s="66"/>
      <c r="V967" s="66"/>
      <c r="W967" s="66"/>
      <c r="X967" s="66"/>
      <c r="Y967" s="66"/>
      <c r="Z967" s="66"/>
      <c r="AA967" s="66"/>
    </row>
    <row r="968" spans="1:27" ht="21" x14ac:dyDescent="0.65">
      <c r="A968" s="66"/>
      <c r="B968" s="66"/>
      <c r="C968" s="66"/>
      <c r="D968" s="66"/>
      <c r="E968" s="66"/>
      <c r="F968" s="66"/>
      <c r="G968" s="66"/>
      <c r="H968" s="66"/>
      <c r="I968" s="66"/>
      <c r="J968" s="66"/>
      <c r="K968" s="66"/>
      <c r="L968" s="66"/>
      <c r="M968" s="66"/>
      <c r="N968" s="66"/>
      <c r="O968" s="66"/>
      <c r="P968" s="66"/>
      <c r="Q968" s="66"/>
      <c r="R968" s="66"/>
      <c r="S968" s="66"/>
      <c r="T968" s="66"/>
      <c r="U968" s="66"/>
      <c r="V968" s="66"/>
      <c r="W968" s="66"/>
      <c r="X968" s="66"/>
      <c r="Y968" s="66"/>
      <c r="Z968" s="66"/>
      <c r="AA968" s="66"/>
    </row>
    <row r="969" spans="1:27" ht="21" x14ac:dyDescent="0.65">
      <c r="A969" s="66"/>
      <c r="B969" s="66"/>
      <c r="C969" s="66"/>
      <c r="D969" s="66"/>
      <c r="E969" s="66"/>
      <c r="F969" s="66"/>
      <c r="G969" s="66"/>
      <c r="H969" s="66"/>
      <c r="I969" s="66"/>
      <c r="J969" s="66"/>
      <c r="K969" s="66"/>
      <c r="L969" s="66"/>
      <c r="M969" s="66"/>
      <c r="N969" s="66"/>
      <c r="O969" s="66"/>
      <c r="P969" s="66"/>
      <c r="Q969" s="66"/>
      <c r="R969" s="66"/>
      <c r="S969" s="66"/>
      <c r="T969" s="66"/>
      <c r="U969" s="66"/>
      <c r="V969" s="66"/>
      <c r="W969" s="66"/>
      <c r="X969" s="66"/>
      <c r="Y969" s="66"/>
      <c r="Z969" s="66"/>
      <c r="AA969" s="66"/>
    </row>
    <row r="970" spans="1:27" ht="21" x14ac:dyDescent="0.65">
      <c r="A970" s="66"/>
      <c r="B970" s="66"/>
      <c r="C970" s="66"/>
      <c r="D970" s="66"/>
      <c r="E970" s="66"/>
      <c r="F970" s="66"/>
      <c r="G970" s="66"/>
      <c r="H970" s="66"/>
      <c r="I970" s="66"/>
      <c r="J970" s="66"/>
      <c r="K970" s="66"/>
      <c r="L970" s="66"/>
      <c r="M970" s="66"/>
      <c r="N970" s="66"/>
      <c r="O970" s="66"/>
      <c r="P970" s="66"/>
      <c r="Q970" s="66"/>
      <c r="R970" s="66"/>
      <c r="S970" s="66"/>
      <c r="T970" s="66"/>
      <c r="U970" s="66"/>
      <c r="V970" s="66"/>
      <c r="W970" s="66"/>
      <c r="X970" s="66"/>
      <c r="Y970" s="66"/>
      <c r="Z970" s="66"/>
      <c r="AA970" s="66"/>
    </row>
    <row r="971" spans="1:27" ht="21" x14ac:dyDescent="0.65">
      <c r="A971" s="66"/>
      <c r="B971" s="66"/>
      <c r="C971" s="66"/>
      <c r="D971" s="66"/>
      <c r="E971" s="66"/>
      <c r="F971" s="66"/>
      <c r="G971" s="66"/>
      <c r="H971" s="66"/>
      <c r="I971" s="66"/>
      <c r="J971" s="66"/>
      <c r="K971" s="66"/>
      <c r="L971" s="66"/>
      <c r="M971" s="66"/>
      <c r="N971" s="66"/>
      <c r="O971" s="66"/>
      <c r="P971" s="66"/>
      <c r="Q971" s="66"/>
      <c r="R971" s="66"/>
      <c r="S971" s="66"/>
      <c r="T971" s="66"/>
      <c r="U971" s="66"/>
      <c r="V971" s="66"/>
      <c r="W971" s="66"/>
      <c r="X971" s="66"/>
      <c r="Y971" s="66"/>
      <c r="Z971" s="66"/>
      <c r="AA971" s="66"/>
    </row>
    <row r="972" spans="1:27" ht="21" x14ac:dyDescent="0.65">
      <c r="A972" s="66"/>
      <c r="B972" s="66"/>
      <c r="C972" s="66"/>
      <c r="D972" s="66"/>
      <c r="E972" s="66"/>
      <c r="F972" s="66"/>
      <c r="G972" s="66"/>
      <c r="H972" s="66"/>
      <c r="I972" s="66"/>
      <c r="J972" s="66"/>
      <c r="K972" s="66"/>
      <c r="L972" s="66"/>
      <c r="M972" s="66"/>
      <c r="N972" s="66"/>
      <c r="O972" s="66"/>
      <c r="P972" s="66"/>
      <c r="Q972" s="66"/>
      <c r="R972" s="66"/>
      <c r="S972" s="66"/>
      <c r="T972" s="66"/>
      <c r="U972" s="66"/>
      <c r="V972" s="66"/>
      <c r="W972" s="66"/>
      <c r="X972" s="66"/>
      <c r="Y972" s="66"/>
      <c r="Z972" s="66"/>
      <c r="AA972" s="66"/>
    </row>
    <row r="973" spans="1:27" ht="21" x14ac:dyDescent="0.65">
      <c r="A973" s="66"/>
      <c r="B973" s="66"/>
      <c r="C973" s="66"/>
      <c r="D973" s="66"/>
      <c r="E973" s="66"/>
      <c r="F973" s="66"/>
      <c r="G973" s="66"/>
      <c r="H973" s="66"/>
      <c r="I973" s="66"/>
      <c r="J973" s="66"/>
      <c r="K973" s="66"/>
      <c r="L973" s="66"/>
      <c r="M973" s="66"/>
      <c r="N973" s="66"/>
      <c r="O973" s="66"/>
      <c r="P973" s="66"/>
      <c r="Q973" s="66"/>
      <c r="R973" s="66"/>
      <c r="S973" s="66"/>
      <c r="T973" s="66"/>
      <c r="U973" s="66"/>
      <c r="V973" s="66"/>
      <c r="W973" s="66"/>
      <c r="X973" s="66"/>
      <c r="Y973" s="66"/>
      <c r="Z973" s="66"/>
      <c r="AA973" s="66"/>
    </row>
    <row r="974" spans="1:27" ht="21" x14ac:dyDescent="0.65">
      <c r="A974" s="66"/>
      <c r="B974" s="66"/>
      <c r="C974" s="66"/>
      <c r="D974" s="66"/>
      <c r="E974" s="66"/>
      <c r="F974" s="66"/>
      <c r="G974" s="66"/>
      <c r="H974" s="66"/>
      <c r="I974" s="66"/>
      <c r="J974" s="66"/>
      <c r="K974" s="66"/>
      <c r="L974" s="66"/>
      <c r="M974" s="66"/>
      <c r="N974" s="66"/>
      <c r="O974" s="66"/>
      <c r="P974" s="66"/>
      <c r="Q974" s="66"/>
      <c r="R974" s="66"/>
      <c r="S974" s="66"/>
      <c r="T974" s="66"/>
      <c r="U974" s="66"/>
      <c r="V974" s="66"/>
      <c r="W974" s="66"/>
      <c r="X974" s="66"/>
      <c r="Y974" s="66"/>
      <c r="Z974" s="66"/>
      <c r="AA974" s="66"/>
    </row>
    <row r="975" spans="1:27" ht="21" x14ac:dyDescent="0.65">
      <c r="A975" s="66"/>
      <c r="B975" s="66"/>
      <c r="C975" s="66"/>
      <c r="D975" s="66"/>
      <c r="E975" s="66"/>
      <c r="F975" s="66"/>
      <c r="G975" s="66"/>
      <c r="H975" s="66"/>
      <c r="I975" s="66"/>
      <c r="J975" s="66"/>
      <c r="K975" s="66"/>
      <c r="L975" s="66"/>
      <c r="M975" s="66"/>
      <c r="N975" s="66"/>
      <c r="O975" s="66"/>
      <c r="P975" s="66"/>
      <c r="Q975" s="66"/>
      <c r="R975" s="66"/>
      <c r="S975" s="66"/>
      <c r="T975" s="66"/>
      <c r="U975" s="66"/>
      <c r="V975" s="66"/>
      <c r="W975" s="66"/>
      <c r="X975" s="66"/>
      <c r="Y975" s="66"/>
      <c r="Z975" s="66"/>
      <c r="AA975" s="66"/>
    </row>
    <row r="976" spans="1:27" ht="21" x14ac:dyDescent="0.65">
      <c r="A976" s="66"/>
      <c r="B976" s="66"/>
      <c r="C976" s="66"/>
      <c r="D976" s="66"/>
      <c r="E976" s="66"/>
      <c r="F976" s="66"/>
      <c r="G976" s="66"/>
      <c r="H976" s="66"/>
      <c r="I976" s="66"/>
      <c r="J976" s="66"/>
      <c r="K976" s="66"/>
      <c r="L976" s="66"/>
      <c r="M976" s="66"/>
      <c r="N976" s="66"/>
      <c r="O976" s="66"/>
      <c r="P976" s="66"/>
      <c r="Q976" s="66"/>
      <c r="R976" s="66"/>
      <c r="S976" s="66"/>
      <c r="T976" s="66"/>
      <c r="U976" s="66"/>
      <c r="V976" s="66"/>
      <c r="W976" s="66"/>
      <c r="X976" s="66"/>
      <c r="Y976" s="66"/>
      <c r="Z976" s="66"/>
      <c r="AA976" s="66"/>
    </row>
    <row r="977" spans="1:27" ht="21" x14ac:dyDescent="0.65">
      <c r="A977" s="66"/>
      <c r="B977" s="66"/>
      <c r="C977" s="66"/>
      <c r="D977" s="66"/>
      <c r="E977" s="66"/>
      <c r="F977" s="66"/>
      <c r="G977" s="66"/>
      <c r="H977" s="66"/>
      <c r="I977" s="66"/>
      <c r="J977" s="66"/>
      <c r="K977" s="66"/>
      <c r="L977" s="66"/>
      <c r="M977" s="66"/>
      <c r="N977" s="66"/>
      <c r="O977" s="66"/>
      <c r="P977" s="66"/>
      <c r="Q977" s="66"/>
      <c r="R977" s="66"/>
      <c r="S977" s="66"/>
      <c r="T977" s="66"/>
      <c r="U977" s="66"/>
      <c r="V977" s="66"/>
      <c r="W977" s="66"/>
      <c r="X977" s="66"/>
      <c r="Y977" s="66"/>
      <c r="Z977" s="66"/>
      <c r="AA977" s="66"/>
    </row>
    <row r="978" spans="1:27" ht="21" x14ac:dyDescent="0.65">
      <c r="A978" s="66"/>
      <c r="B978" s="66"/>
      <c r="C978" s="66"/>
      <c r="D978" s="66"/>
      <c r="E978" s="66"/>
      <c r="F978" s="66"/>
      <c r="G978" s="66"/>
      <c r="H978" s="66"/>
      <c r="I978" s="66"/>
      <c r="J978" s="66"/>
      <c r="K978" s="66"/>
      <c r="L978" s="66"/>
      <c r="M978" s="66"/>
      <c r="N978" s="66"/>
      <c r="O978" s="66"/>
      <c r="P978" s="66"/>
      <c r="Q978" s="66"/>
      <c r="R978" s="66"/>
      <c r="S978" s="66"/>
      <c r="T978" s="66"/>
      <c r="U978" s="66"/>
      <c r="V978" s="66"/>
      <c r="W978" s="66"/>
      <c r="X978" s="66"/>
      <c r="Y978" s="66"/>
      <c r="Z978" s="66"/>
      <c r="AA978" s="66"/>
    </row>
    <row r="979" spans="1:27" ht="21" x14ac:dyDescent="0.65">
      <c r="A979" s="66"/>
      <c r="B979" s="66"/>
      <c r="C979" s="66"/>
      <c r="D979" s="66"/>
      <c r="E979" s="66"/>
      <c r="F979" s="66"/>
      <c r="G979" s="66"/>
      <c r="H979" s="66"/>
      <c r="I979" s="66"/>
      <c r="J979" s="66"/>
      <c r="K979" s="66"/>
      <c r="L979" s="66"/>
      <c r="M979" s="66"/>
      <c r="N979" s="66"/>
      <c r="O979" s="66"/>
      <c r="P979" s="66"/>
      <c r="Q979" s="66"/>
      <c r="R979" s="66"/>
      <c r="S979" s="66"/>
      <c r="T979" s="66"/>
      <c r="U979" s="66"/>
      <c r="V979" s="66"/>
      <c r="W979" s="66"/>
      <c r="X979" s="66"/>
      <c r="Y979" s="66"/>
      <c r="Z979" s="66"/>
      <c r="AA979" s="66"/>
    </row>
    <row r="980" spans="1:27" ht="21" x14ac:dyDescent="0.65">
      <c r="A980" s="66"/>
      <c r="B980" s="66"/>
      <c r="C980" s="66"/>
      <c r="D980" s="66"/>
      <c r="E980" s="66"/>
      <c r="F980" s="66"/>
      <c r="G980" s="66"/>
      <c r="H980" s="66"/>
      <c r="I980" s="66"/>
      <c r="J980" s="66"/>
      <c r="K980" s="66"/>
      <c r="L980" s="66"/>
      <c r="M980" s="66"/>
      <c r="N980" s="66"/>
      <c r="O980" s="66"/>
      <c r="P980" s="66"/>
      <c r="Q980" s="66"/>
      <c r="R980" s="66"/>
      <c r="S980" s="66"/>
      <c r="T980" s="66"/>
      <c r="U980" s="66"/>
      <c r="V980" s="66"/>
      <c r="W980" s="66"/>
      <c r="X980" s="66"/>
      <c r="Y980" s="66"/>
      <c r="Z980" s="66"/>
      <c r="AA980" s="66"/>
    </row>
    <row r="981" spans="1:27" ht="21" x14ac:dyDescent="0.65">
      <c r="A981" s="66"/>
      <c r="B981" s="66"/>
      <c r="C981" s="66"/>
      <c r="D981" s="66"/>
      <c r="E981" s="66"/>
      <c r="F981" s="66"/>
      <c r="G981" s="66"/>
      <c r="H981" s="66"/>
      <c r="I981" s="66"/>
      <c r="J981" s="66"/>
      <c r="K981" s="66"/>
      <c r="L981" s="66"/>
      <c r="M981" s="66"/>
      <c r="N981" s="66"/>
      <c r="O981" s="66"/>
      <c r="P981" s="66"/>
      <c r="Q981" s="66"/>
      <c r="R981" s="66"/>
      <c r="S981" s="66"/>
      <c r="T981" s="66"/>
      <c r="U981" s="66"/>
      <c r="V981" s="66"/>
      <c r="W981" s="66"/>
      <c r="X981" s="66"/>
      <c r="Y981" s="66"/>
      <c r="Z981" s="66"/>
      <c r="AA981" s="66"/>
    </row>
    <row r="982" spans="1:27" ht="21" x14ac:dyDescent="0.65">
      <c r="A982" s="66"/>
      <c r="B982" s="66"/>
      <c r="C982" s="66"/>
      <c r="D982" s="66"/>
      <c r="E982" s="66"/>
      <c r="F982" s="66"/>
      <c r="G982" s="66"/>
      <c r="H982" s="66"/>
      <c r="I982" s="66"/>
      <c r="J982" s="66"/>
      <c r="K982" s="66"/>
      <c r="L982" s="66"/>
      <c r="M982" s="66"/>
      <c r="N982" s="66"/>
      <c r="O982" s="66"/>
      <c r="P982" s="66"/>
      <c r="Q982" s="66"/>
      <c r="R982" s="66"/>
      <c r="S982" s="66"/>
      <c r="T982" s="66"/>
      <c r="U982" s="66"/>
      <c r="V982" s="66"/>
      <c r="W982" s="66"/>
      <c r="X982" s="66"/>
      <c r="Y982" s="66"/>
      <c r="Z982" s="66"/>
      <c r="AA982" s="66"/>
    </row>
    <row r="983" spans="1:27" ht="21" x14ac:dyDescent="0.65">
      <c r="A983" s="66"/>
      <c r="B983" s="66"/>
      <c r="C983" s="66"/>
      <c r="D983" s="66"/>
      <c r="E983" s="66"/>
      <c r="F983" s="66"/>
      <c r="G983" s="66"/>
      <c r="H983" s="66"/>
      <c r="I983" s="66"/>
      <c r="J983" s="66"/>
      <c r="K983" s="66"/>
      <c r="L983" s="66"/>
      <c r="M983" s="66"/>
      <c r="N983" s="66"/>
      <c r="O983" s="66"/>
      <c r="P983" s="66"/>
      <c r="Q983" s="66"/>
      <c r="R983" s="66"/>
      <c r="S983" s="66"/>
      <c r="T983" s="66"/>
      <c r="U983" s="66"/>
      <c r="V983" s="66"/>
      <c r="W983" s="66"/>
      <c r="X983" s="66"/>
      <c r="Y983" s="66"/>
      <c r="Z983" s="66"/>
      <c r="AA983" s="66"/>
    </row>
    <row r="984" spans="1:27" ht="21" x14ac:dyDescent="0.65">
      <c r="A984" s="66"/>
      <c r="B984" s="66"/>
      <c r="C984" s="66"/>
      <c r="D984" s="66"/>
      <c r="E984" s="66"/>
      <c r="F984" s="66"/>
      <c r="G984" s="66"/>
      <c r="H984" s="66"/>
      <c r="I984" s="66"/>
      <c r="J984" s="66"/>
      <c r="K984" s="66"/>
      <c r="L984" s="66"/>
      <c r="M984" s="66"/>
      <c r="N984" s="66"/>
      <c r="O984" s="66"/>
      <c r="P984" s="66"/>
      <c r="Q984" s="66"/>
      <c r="R984" s="66"/>
      <c r="S984" s="66"/>
      <c r="T984" s="66"/>
      <c r="U984" s="66"/>
      <c r="V984" s="66"/>
      <c r="W984" s="66"/>
      <c r="X984" s="66"/>
      <c r="Y984" s="66"/>
      <c r="Z984" s="66"/>
      <c r="AA984" s="66"/>
    </row>
    <row r="985" spans="1:27" ht="21" x14ac:dyDescent="0.65">
      <c r="A985" s="66"/>
      <c r="B985" s="66"/>
      <c r="C985" s="66"/>
      <c r="D985" s="66"/>
      <c r="E985" s="66"/>
      <c r="F985" s="66"/>
      <c r="G985" s="66"/>
      <c r="H985" s="66"/>
      <c r="I985" s="66"/>
      <c r="J985" s="66"/>
      <c r="K985" s="66"/>
      <c r="L985" s="66"/>
      <c r="M985" s="66"/>
      <c r="N985" s="66"/>
      <c r="O985" s="66"/>
      <c r="P985" s="66"/>
      <c r="Q985" s="66"/>
      <c r="R985" s="66"/>
      <c r="S985" s="66"/>
      <c r="T985" s="66"/>
      <c r="U985" s="66"/>
      <c r="V985" s="66"/>
      <c r="W985" s="66"/>
      <c r="X985" s="66"/>
      <c r="Y985" s="66"/>
      <c r="Z985" s="66"/>
      <c r="AA985" s="66"/>
    </row>
    <row r="986" spans="1:27" ht="21" x14ac:dyDescent="0.65">
      <c r="A986" s="66"/>
      <c r="B986" s="66"/>
      <c r="C986" s="66"/>
      <c r="D986" s="66"/>
      <c r="E986" s="66"/>
      <c r="F986" s="66"/>
      <c r="G986" s="66"/>
      <c r="H986" s="66"/>
      <c r="I986" s="66"/>
      <c r="J986" s="66"/>
      <c r="K986" s="66"/>
      <c r="L986" s="66"/>
      <c r="M986" s="66"/>
      <c r="N986" s="66"/>
      <c r="O986" s="66"/>
      <c r="P986" s="66"/>
      <c r="Q986" s="66"/>
      <c r="R986" s="66"/>
      <c r="S986" s="66"/>
      <c r="T986" s="66"/>
      <c r="U986" s="66"/>
      <c r="V986" s="66"/>
      <c r="W986" s="66"/>
      <c r="X986" s="66"/>
      <c r="Y986" s="66"/>
      <c r="Z986" s="66"/>
      <c r="AA986" s="66"/>
    </row>
    <row r="987" spans="1:27" ht="21" x14ac:dyDescent="0.65">
      <c r="A987" s="66"/>
      <c r="B987" s="66"/>
      <c r="C987" s="66"/>
      <c r="D987" s="66"/>
      <c r="E987" s="66"/>
      <c r="F987" s="66"/>
      <c r="G987" s="66"/>
      <c r="H987" s="66"/>
      <c r="I987" s="66"/>
      <c r="J987" s="66"/>
      <c r="K987" s="66"/>
      <c r="L987" s="66"/>
      <c r="M987" s="66"/>
      <c r="N987" s="66"/>
      <c r="O987" s="66"/>
      <c r="P987" s="66"/>
      <c r="Q987" s="66"/>
      <c r="R987" s="66"/>
      <c r="S987" s="66"/>
      <c r="T987" s="66"/>
      <c r="U987" s="66"/>
      <c r="V987" s="66"/>
      <c r="W987" s="66"/>
      <c r="X987" s="66"/>
      <c r="Y987" s="66"/>
      <c r="Z987" s="66"/>
      <c r="AA987" s="66"/>
    </row>
    <row r="988" spans="1:27" ht="21" x14ac:dyDescent="0.65">
      <c r="A988" s="66"/>
      <c r="B988" s="66"/>
      <c r="C988" s="66"/>
      <c r="D988" s="66"/>
      <c r="E988" s="66"/>
      <c r="F988" s="66"/>
      <c r="G988" s="66"/>
      <c r="H988" s="66"/>
      <c r="I988" s="66"/>
      <c r="J988" s="66"/>
      <c r="K988" s="66"/>
      <c r="L988" s="66"/>
      <c r="M988" s="66"/>
      <c r="N988" s="66"/>
      <c r="O988" s="66"/>
      <c r="P988" s="66"/>
      <c r="Q988" s="66"/>
      <c r="R988" s="66"/>
      <c r="S988" s="66"/>
      <c r="T988" s="66"/>
      <c r="U988" s="66"/>
      <c r="V988" s="66"/>
      <c r="W988" s="66"/>
      <c r="X988" s="66"/>
      <c r="Y988" s="66"/>
      <c r="Z988" s="66"/>
      <c r="AA988" s="66"/>
    </row>
    <row r="989" spans="1:27" ht="21" x14ac:dyDescent="0.65">
      <c r="A989" s="66"/>
      <c r="B989" s="66"/>
      <c r="C989" s="66"/>
      <c r="D989" s="66"/>
      <c r="E989" s="66"/>
      <c r="F989" s="66"/>
      <c r="G989" s="66"/>
      <c r="H989" s="66"/>
      <c r="I989" s="66"/>
      <c r="J989" s="66"/>
      <c r="K989" s="66"/>
      <c r="L989" s="66"/>
      <c r="M989" s="66"/>
      <c r="N989" s="66"/>
      <c r="O989" s="66"/>
      <c r="P989" s="66"/>
      <c r="Q989" s="66"/>
      <c r="R989" s="66"/>
      <c r="S989" s="66"/>
      <c r="T989" s="66"/>
      <c r="U989" s="66"/>
      <c r="V989" s="66"/>
      <c r="W989" s="66"/>
      <c r="X989" s="66"/>
      <c r="Y989" s="66"/>
      <c r="Z989" s="66"/>
      <c r="AA989" s="66"/>
    </row>
    <row r="990" spans="1:27" ht="21" x14ac:dyDescent="0.65">
      <c r="A990" s="66"/>
      <c r="B990" s="66"/>
      <c r="C990" s="66"/>
      <c r="D990" s="66"/>
      <c r="E990" s="66"/>
      <c r="F990" s="66"/>
      <c r="G990" s="66"/>
      <c r="H990" s="66"/>
      <c r="I990" s="66"/>
      <c r="J990" s="66"/>
      <c r="K990" s="66"/>
      <c r="L990" s="66"/>
      <c r="M990" s="66"/>
      <c r="N990" s="66"/>
      <c r="O990" s="66"/>
      <c r="P990" s="66"/>
      <c r="Q990" s="66"/>
      <c r="R990" s="66"/>
      <c r="S990" s="66"/>
      <c r="T990" s="66"/>
      <c r="U990" s="66"/>
      <c r="V990" s="66"/>
      <c r="W990" s="66"/>
      <c r="X990" s="66"/>
      <c r="Y990" s="66"/>
      <c r="Z990" s="66"/>
      <c r="AA990" s="66"/>
    </row>
    <row r="991" spans="1:27" ht="21" x14ac:dyDescent="0.65">
      <c r="A991" s="66"/>
      <c r="B991" s="66"/>
      <c r="C991" s="66"/>
      <c r="D991" s="66"/>
      <c r="E991" s="66"/>
      <c r="F991" s="66"/>
      <c r="G991" s="66"/>
      <c r="H991" s="66"/>
      <c r="I991" s="66"/>
      <c r="J991" s="66"/>
      <c r="K991" s="66"/>
      <c r="L991" s="66"/>
      <c r="M991" s="66"/>
      <c r="N991" s="66"/>
      <c r="O991" s="66"/>
      <c r="P991" s="66"/>
      <c r="Q991" s="66"/>
      <c r="R991" s="66"/>
      <c r="S991" s="66"/>
      <c r="T991" s="66"/>
      <c r="U991" s="66"/>
      <c r="V991" s="66"/>
      <c r="W991" s="66"/>
      <c r="X991" s="66"/>
      <c r="Y991" s="66"/>
      <c r="Z991" s="66"/>
      <c r="AA991" s="66"/>
    </row>
    <row r="992" spans="1:27" ht="21" x14ac:dyDescent="0.65">
      <c r="A992" s="66"/>
      <c r="B992" s="66"/>
      <c r="C992" s="66"/>
      <c r="D992" s="66"/>
      <c r="E992" s="66"/>
      <c r="F992" s="66"/>
      <c r="G992" s="66"/>
      <c r="H992" s="66"/>
      <c r="I992" s="66"/>
      <c r="J992" s="66"/>
      <c r="K992" s="66"/>
      <c r="L992" s="66"/>
      <c r="M992" s="66"/>
      <c r="N992" s="66"/>
      <c r="O992" s="66"/>
      <c r="P992" s="66"/>
      <c r="Q992" s="66"/>
      <c r="R992" s="66"/>
      <c r="S992" s="66"/>
      <c r="T992" s="66"/>
      <c r="U992" s="66"/>
      <c r="V992" s="66"/>
      <c r="W992" s="66"/>
      <c r="X992" s="66"/>
      <c r="Y992" s="66"/>
      <c r="Z992" s="66"/>
      <c r="AA992" s="66"/>
    </row>
    <row r="993" spans="1:27" ht="21" x14ac:dyDescent="0.65">
      <c r="A993" s="66"/>
      <c r="B993" s="66"/>
      <c r="C993" s="66"/>
      <c r="D993" s="66"/>
      <c r="E993" s="66"/>
      <c r="F993" s="66"/>
      <c r="G993" s="66"/>
      <c r="H993" s="66"/>
      <c r="I993" s="66"/>
      <c r="J993" s="66"/>
      <c r="K993" s="66"/>
      <c r="L993" s="66"/>
      <c r="M993" s="66"/>
      <c r="N993" s="66"/>
      <c r="O993" s="66"/>
      <c r="P993" s="66"/>
      <c r="Q993" s="66"/>
      <c r="R993" s="66"/>
      <c r="S993" s="66"/>
      <c r="T993" s="66"/>
      <c r="U993" s="66"/>
      <c r="V993" s="66"/>
      <c r="W993" s="66"/>
      <c r="X993" s="66"/>
      <c r="Y993" s="66"/>
      <c r="Z993" s="66"/>
      <c r="AA993" s="66"/>
    </row>
    <row r="994" spans="1:27" ht="21" x14ac:dyDescent="0.65">
      <c r="A994" s="66"/>
      <c r="B994" s="66"/>
      <c r="C994" s="66"/>
      <c r="D994" s="66"/>
      <c r="E994" s="66"/>
      <c r="F994" s="66"/>
      <c r="G994" s="66"/>
      <c r="H994" s="66"/>
      <c r="I994" s="66"/>
      <c r="J994" s="66"/>
      <c r="K994" s="66"/>
      <c r="L994" s="66"/>
      <c r="M994" s="66"/>
      <c r="N994" s="66"/>
      <c r="O994" s="66"/>
      <c r="P994" s="66"/>
      <c r="Q994" s="66"/>
      <c r="R994" s="66"/>
      <c r="S994" s="66"/>
      <c r="T994" s="66"/>
      <c r="U994" s="66"/>
      <c r="V994" s="66"/>
      <c r="W994" s="66"/>
      <c r="X994" s="66"/>
      <c r="Y994" s="66"/>
      <c r="Z994" s="66"/>
      <c r="AA994" s="66"/>
    </row>
    <row r="995" spans="1:27" ht="21" x14ac:dyDescent="0.65">
      <c r="A995" s="66"/>
      <c r="B995" s="66"/>
      <c r="C995" s="66"/>
      <c r="D995" s="66"/>
      <c r="E995" s="66"/>
      <c r="F995" s="66"/>
      <c r="G995" s="66"/>
      <c r="H995" s="66"/>
      <c r="I995" s="66"/>
      <c r="J995" s="66"/>
      <c r="K995" s="66"/>
      <c r="L995" s="66"/>
      <c r="M995" s="66"/>
      <c r="N995" s="66"/>
      <c r="O995" s="66"/>
      <c r="P995" s="66"/>
      <c r="Q995" s="66"/>
      <c r="R995" s="66"/>
      <c r="S995" s="66"/>
      <c r="T995" s="66"/>
      <c r="U995" s="66"/>
      <c r="V995" s="66"/>
      <c r="W995" s="66"/>
      <c r="X995" s="66"/>
      <c r="Y995" s="66"/>
      <c r="Z995" s="66"/>
      <c r="AA995" s="66"/>
    </row>
    <row r="996" spans="1:27" ht="21" x14ac:dyDescent="0.65">
      <c r="A996" s="66"/>
      <c r="B996" s="66"/>
      <c r="C996" s="66"/>
      <c r="D996" s="66"/>
      <c r="E996" s="66"/>
      <c r="F996" s="66"/>
      <c r="G996" s="66"/>
      <c r="H996" s="66"/>
      <c r="I996" s="66"/>
      <c r="J996" s="66"/>
      <c r="K996" s="66"/>
      <c r="L996" s="66"/>
      <c r="M996" s="66"/>
      <c r="N996" s="66"/>
      <c r="O996" s="66"/>
      <c r="P996" s="66"/>
      <c r="Q996" s="66"/>
      <c r="R996" s="66"/>
      <c r="S996" s="66"/>
      <c r="T996" s="66"/>
      <c r="U996" s="66"/>
      <c r="V996" s="66"/>
      <c r="W996" s="66"/>
      <c r="X996" s="66"/>
      <c r="Y996" s="66"/>
      <c r="Z996" s="66"/>
      <c r="AA996" s="66"/>
    </row>
    <row r="997" spans="1:27" ht="21" x14ac:dyDescent="0.65">
      <c r="A997" s="66"/>
      <c r="B997" s="66"/>
      <c r="C997" s="66"/>
      <c r="D997" s="66"/>
      <c r="E997" s="66"/>
      <c r="F997" s="66"/>
      <c r="G997" s="66"/>
      <c r="H997" s="66"/>
      <c r="I997" s="66"/>
      <c r="J997" s="66"/>
      <c r="K997" s="66"/>
      <c r="L997" s="66"/>
      <c r="M997" s="66"/>
      <c r="N997" s="66"/>
      <c r="O997" s="66"/>
      <c r="P997" s="66"/>
      <c r="Q997" s="66"/>
      <c r="R997" s="66"/>
      <c r="S997" s="66"/>
      <c r="T997" s="66"/>
      <c r="U997" s="66"/>
      <c r="V997" s="66"/>
      <c r="W997" s="66"/>
      <c r="X997" s="66"/>
      <c r="Y997" s="66"/>
      <c r="Z997" s="66"/>
      <c r="AA997" s="66"/>
    </row>
    <row r="998" spans="1:27" ht="21" x14ac:dyDescent="0.65">
      <c r="A998" s="66"/>
      <c r="B998" s="66"/>
      <c r="C998" s="66"/>
      <c r="D998" s="66"/>
      <c r="E998" s="66"/>
      <c r="F998" s="66"/>
      <c r="G998" s="66"/>
      <c r="H998" s="66"/>
      <c r="I998" s="66"/>
      <c r="J998" s="66"/>
      <c r="K998" s="66"/>
      <c r="L998" s="66"/>
      <c r="M998" s="66"/>
      <c r="N998" s="66"/>
      <c r="O998" s="66"/>
      <c r="P998" s="66"/>
      <c r="Q998" s="66"/>
      <c r="R998" s="66"/>
      <c r="S998" s="66"/>
      <c r="T998" s="66"/>
      <c r="U998" s="66"/>
      <c r="V998" s="66"/>
      <c r="W998" s="66"/>
      <c r="X998" s="66"/>
      <c r="Y998" s="66"/>
      <c r="Z998" s="66"/>
      <c r="AA998" s="66"/>
    </row>
    <row r="999" spans="1:27" ht="21" x14ac:dyDescent="0.65">
      <c r="A999" s="66"/>
      <c r="B999" s="66"/>
      <c r="C999" s="66"/>
      <c r="D999" s="66"/>
      <c r="E999" s="66"/>
      <c r="F999" s="66"/>
      <c r="G999" s="66"/>
      <c r="H999" s="66"/>
      <c r="I999" s="66"/>
      <c r="J999" s="66"/>
      <c r="K999" s="66"/>
      <c r="L999" s="66"/>
      <c r="M999" s="66"/>
      <c r="N999" s="66"/>
      <c r="O999" s="66"/>
      <c r="P999" s="66"/>
      <c r="Q999" s="66"/>
      <c r="R999" s="66"/>
      <c r="S999" s="66"/>
      <c r="T999" s="66"/>
      <c r="U999" s="66"/>
      <c r="V999" s="66"/>
      <c r="W999" s="66"/>
      <c r="X999" s="66"/>
      <c r="Y999" s="66"/>
      <c r="Z999" s="66"/>
      <c r="AA999" s="66"/>
    </row>
    <row r="1000" spans="1:27" ht="21" x14ac:dyDescent="0.65">
      <c r="A1000" s="66"/>
      <c r="B1000" s="66"/>
      <c r="C1000" s="66"/>
      <c r="D1000" s="66"/>
      <c r="E1000" s="66"/>
      <c r="F1000" s="66"/>
      <c r="G1000" s="66"/>
      <c r="H1000" s="66"/>
      <c r="I1000" s="66"/>
      <c r="J1000" s="66"/>
      <c r="K1000" s="66"/>
      <c r="L1000" s="66"/>
      <c r="M1000" s="66"/>
      <c r="N1000" s="66"/>
      <c r="O1000" s="66"/>
      <c r="P1000" s="66"/>
      <c r="Q1000" s="66"/>
      <c r="R1000" s="66"/>
      <c r="S1000" s="66"/>
      <c r="T1000" s="66"/>
      <c r="U1000" s="66"/>
      <c r="V1000" s="66"/>
      <c r="W1000" s="66"/>
      <c r="X1000" s="66"/>
      <c r="Y1000" s="66"/>
      <c r="Z1000" s="66"/>
      <c r="AA1000" s="66"/>
    </row>
  </sheetData>
  <printOptions horizontalCentered="1" gridLines="1"/>
  <pageMargins left="0.25" right="0.25" top="0.75" bottom="0.75" header="0" footer="0"/>
  <pageSetup fitToHeight="0" pageOrder="overThenDown" orientation="portrait" cellComments="atEnd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  <pageSetUpPr fitToPage="1"/>
  </sheetPr>
  <dimension ref="A1:AA1003"/>
  <sheetViews>
    <sheetView workbookViewId="0"/>
  </sheetViews>
  <sheetFormatPr defaultColWidth="14.42578125" defaultRowHeight="15.75" customHeight="1" x14ac:dyDescent="0.4"/>
  <cols>
    <col min="1" max="1" width="2.42578125" customWidth="1"/>
    <col min="2" max="2" width="3.42578125" customWidth="1"/>
    <col min="3" max="3" width="6.140625" customWidth="1"/>
    <col min="4" max="4" width="4.140625" customWidth="1"/>
    <col min="5" max="5" width="6.140625" customWidth="1"/>
    <col min="6" max="6" width="3.42578125" customWidth="1"/>
    <col min="7" max="7" width="6.85546875" customWidth="1"/>
    <col min="8" max="8" width="7.28515625" customWidth="1"/>
    <col min="9" max="9" width="2.42578125" customWidth="1"/>
    <col min="10" max="10" width="3.42578125" customWidth="1"/>
    <col min="11" max="11" width="6.140625" customWidth="1"/>
    <col min="12" max="12" width="4.140625" customWidth="1"/>
    <col min="13" max="13" width="6.140625" customWidth="1"/>
    <col min="14" max="14" width="3.42578125" customWidth="1"/>
    <col min="15" max="15" width="6.85546875" customWidth="1"/>
    <col min="16" max="16" width="7.28515625" customWidth="1"/>
    <col min="17" max="17" width="2.42578125" customWidth="1"/>
    <col min="18" max="18" width="3.42578125" customWidth="1"/>
    <col min="19" max="19" width="6.140625" customWidth="1"/>
    <col min="20" max="20" width="4.140625" customWidth="1"/>
    <col min="21" max="21" width="6.140625" customWidth="1"/>
    <col min="22" max="22" width="3.42578125" customWidth="1"/>
    <col min="23" max="23" width="6.85546875" customWidth="1"/>
    <col min="25" max="25" width="6.140625" customWidth="1"/>
    <col min="27" max="27" width="6.7109375" customWidth="1"/>
  </cols>
  <sheetData>
    <row r="1" spans="1:27" ht="15.75" customHeight="1" x14ac:dyDescent="0.5">
      <c r="A1" s="268"/>
      <c r="B1" s="268" t="s">
        <v>1156</v>
      </c>
      <c r="C1" s="268" t="s">
        <v>1157</v>
      </c>
      <c r="D1" s="270"/>
      <c r="E1" s="282" t="s">
        <v>1158</v>
      </c>
      <c r="F1" s="268"/>
      <c r="G1" s="268" t="s">
        <v>1159</v>
      </c>
      <c r="H1" s="270"/>
      <c r="I1" s="268"/>
      <c r="J1" s="268" t="s">
        <v>1156</v>
      </c>
      <c r="K1" s="268" t="s">
        <v>1157</v>
      </c>
      <c r="L1" s="270"/>
      <c r="M1" s="282" t="s">
        <v>1158</v>
      </c>
      <c r="N1" s="268"/>
      <c r="O1" s="268" t="s">
        <v>1159</v>
      </c>
      <c r="P1" s="270"/>
      <c r="Q1" s="268"/>
      <c r="R1" s="268" t="s">
        <v>1156</v>
      </c>
      <c r="S1" s="268" t="s">
        <v>1157</v>
      </c>
      <c r="T1" s="270"/>
      <c r="U1" s="282" t="s">
        <v>1158</v>
      </c>
      <c r="V1" s="268"/>
      <c r="W1" s="268" t="s">
        <v>1159</v>
      </c>
      <c r="X1" s="270"/>
      <c r="Y1" s="282" t="str">
        <f t="shared" ref="Y1:AA1" si="0">E1</f>
        <v>REC</v>
      </c>
      <c r="Z1" s="268">
        <f t="shared" si="0"/>
        <v>0</v>
      </c>
      <c r="AA1" s="268" t="str">
        <f t="shared" si="0"/>
        <v>LINES</v>
      </c>
    </row>
    <row r="2" spans="1:27" ht="15.75" customHeight="1" x14ac:dyDescent="0.5">
      <c r="A2" s="268" t="s">
        <v>105</v>
      </c>
      <c r="B2" s="283"/>
      <c r="C2" s="270">
        <f t="shared" ref="C2:C3" si="1">ROUNDDOWN((B2+9/32)*25.4,0)</f>
        <v>7</v>
      </c>
      <c r="D2" s="270"/>
      <c r="E2" s="284">
        <v>0</v>
      </c>
      <c r="F2" s="270"/>
      <c r="G2" s="284">
        <f t="shared" ref="G2:G3" si="2">E9</f>
        <v>1073</v>
      </c>
      <c r="H2" s="270"/>
      <c r="I2" s="268" t="s">
        <v>105</v>
      </c>
      <c r="J2" s="285"/>
      <c r="K2" s="270">
        <f t="shared" ref="K2:K3" si="3">ROUNDDOWN((J2+9/32)*25.4,0)</f>
        <v>7</v>
      </c>
      <c r="L2" s="270"/>
      <c r="M2" s="284">
        <f>MAX(G2,G7)+13</f>
        <v>1086</v>
      </c>
      <c r="N2" s="270"/>
      <c r="O2" s="284" t="e">
        <f t="shared" ref="O2:O3" si="4">M9</f>
        <v>#VALUE!</v>
      </c>
      <c r="P2" s="270"/>
      <c r="Q2" s="268" t="s">
        <v>105</v>
      </c>
      <c r="R2" s="285"/>
      <c r="S2" s="270"/>
      <c r="T2" s="270"/>
      <c r="U2" s="284" t="str">
        <f>IF(R2="","",MAX(O2,O7)+13)</f>
        <v/>
      </c>
      <c r="V2" s="270"/>
      <c r="W2" s="284" t="e">
        <f t="shared" ref="W2:W3" si="5">U9</f>
        <v>#VALUE!</v>
      </c>
      <c r="X2" s="270"/>
      <c r="Y2" s="284">
        <f t="shared" ref="Y2:AA2" si="6">E2</f>
        <v>0</v>
      </c>
      <c r="Z2" s="270">
        <f t="shared" si="6"/>
        <v>0</v>
      </c>
      <c r="AA2" s="284">
        <f t="shared" si="6"/>
        <v>1073</v>
      </c>
    </row>
    <row r="3" spans="1:27" ht="15.75" customHeight="1" x14ac:dyDescent="0.5">
      <c r="A3" s="268" t="s">
        <v>1160</v>
      </c>
      <c r="B3" s="283"/>
      <c r="C3" s="270">
        <f t="shared" si="1"/>
        <v>7</v>
      </c>
      <c r="D3" s="270"/>
      <c r="E3" s="286">
        <f>E10</f>
        <v>1277</v>
      </c>
      <c r="F3" s="270"/>
      <c r="G3" s="286">
        <f t="shared" si="2"/>
        <v>1277</v>
      </c>
      <c r="H3" s="270"/>
      <c r="I3" s="268" t="s">
        <v>1160</v>
      </c>
      <c r="J3" s="285"/>
      <c r="K3" s="270">
        <f t="shared" si="3"/>
        <v>7</v>
      </c>
      <c r="L3" s="270"/>
      <c r="M3" s="286">
        <f>M10+13</f>
        <v>680</v>
      </c>
      <c r="N3" s="270"/>
      <c r="O3" s="286">
        <f t="shared" si="4"/>
        <v>667</v>
      </c>
      <c r="P3" s="270"/>
      <c r="Q3" s="268" t="s">
        <v>1160</v>
      </c>
      <c r="R3" s="285"/>
      <c r="S3" s="270"/>
      <c r="T3" s="270"/>
      <c r="U3" s="286" t="str">
        <f>IF(U2="","",U10+13)</f>
        <v/>
      </c>
      <c r="V3" s="270"/>
      <c r="W3" s="286">
        <f t="shared" si="5"/>
        <v>7</v>
      </c>
      <c r="X3" s="270"/>
      <c r="Y3" s="286">
        <f t="shared" ref="Y3:AA3" si="7">E3</f>
        <v>1277</v>
      </c>
      <c r="Z3" s="270">
        <f t="shared" si="7"/>
        <v>0</v>
      </c>
      <c r="AA3" s="286">
        <f t="shared" si="7"/>
        <v>1277</v>
      </c>
    </row>
    <row r="4" spans="1:27" ht="15.75" customHeight="1" x14ac:dyDescent="0.5">
      <c r="A4" s="268"/>
      <c r="B4" s="270"/>
      <c r="C4" s="270"/>
      <c r="D4" s="270"/>
      <c r="E4" s="284">
        <f>C2</f>
        <v>7</v>
      </c>
      <c r="F4" s="270"/>
      <c r="G4" s="284">
        <f>G2</f>
        <v>1073</v>
      </c>
      <c r="H4" s="270"/>
      <c r="I4" s="268"/>
      <c r="J4" s="270"/>
      <c r="K4" s="270"/>
      <c r="L4" s="270"/>
      <c r="M4" s="284">
        <f t="shared" ref="M4:M5" si="8">K2+M2</f>
        <v>1093</v>
      </c>
      <c r="N4" s="270"/>
      <c r="O4" s="284" t="e">
        <f>O2</f>
        <v>#VALUE!</v>
      </c>
      <c r="P4" s="270"/>
      <c r="Q4" s="268"/>
      <c r="R4" s="270"/>
      <c r="S4" s="270"/>
      <c r="T4" s="270"/>
      <c r="U4" s="284" t="str">
        <f>IF(U2="","",S2+U2)</f>
        <v/>
      </c>
      <c r="V4" s="270"/>
      <c r="W4" s="284" t="e">
        <f>W2</f>
        <v>#VALUE!</v>
      </c>
      <c r="X4" s="270"/>
      <c r="Y4" s="284">
        <f t="shared" ref="Y4:AA4" si="9">E4</f>
        <v>7</v>
      </c>
      <c r="Z4" s="270">
        <f t="shared" si="9"/>
        <v>0</v>
      </c>
      <c r="AA4" s="284">
        <f t="shared" si="9"/>
        <v>1073</v>
      </c>
    </row>
    <row r="5" spans="1:27" ht="15.75" customHeight="1" x14ac:dyDescent="0.5">
      <c r="A5" s="268"/>
      <c r="B5" s="270"/>
      <c r="C5" s="270"/>
      <c r="D5" s="270"/>
      <c r="E5" s="286">
        <f>C3+E3</f>
        <v>1284</v>
      </c>
      <c r="F5" s="270"/>
      <c r="G5" s="286">
        <v>1525</v>
      </c>
      <c r="H5" s="270"/>
      <c r="I5" s="268"/>
      <c r="J5" s="270"/>
      <c r="K5" s="270"/>
      <c r="L5" s="270"/>
      <c r="M5" s="286">
        <f t="shared" si="8"/>
        <v>687</v>
      </c>
      <c r="N5" s="270"/>
      <c r="O5" s="286">
        <v>1525</v>
      </c>
      <c r="P5" s="270"/>
      <c r="Q5" s="268"/>
      <c r="R5" s="270"/>
      <c r="S5" s="270"/>
      <c r="T5" s="270"/>
      <c r="U5" s="286" t="str">
        <f>IF(U2="","",S3+U3)</f>
        <v/>
      </c>
      <c r="V5" s="270"/>
      <c r="W5" s="286">
        <v>1525</v>
      </c>
      <c r="X5" s="270"/>
      <c r="Y5" s="286">
        <f t="shared" ref="Y5:AA5" si="10">E5</f>
        <v>1284</v>
      </c>
      <c r="Z5" s="270">
        <f t="shared" si="10"/>
        <v>0</v>
      </c>
      <c r="AA5" s="286">
        <f t="shared" si="10"/>
        <v>1525</v>
      </c>
    </row>
    <row r="6" spans="1:27" ht="15.75" customHeight="1" x14ac:dyDescent="0.5">
      <c r="A6" s="270"/>
      <c r="B6" s="270"/>
      <c r="C6" s="270"/>
      <c r="D6" s="268"/>
      <c r="E6" s="270"/>
      <c r="F6" s="270"/>
      <c r="G6" s="270"/>
      <c r="H6" s="270"/>
      <c r="I6" s="270"/>
      <c r="J6" s="270"/>
      <c r="K6" s="270"/>
      <c r="L6" s="268"/>
      <c r="M6" s="270"/>
      <c r="N6" s="270"/>
      <c r="O6" s="270"/>
      <c r="P6" s="270"/>
      <c r="Q6" s="270"/>
      <c r="R6" s="270"/>
      <c r="S6" s="270"/>
      <c r="T6" s="268"/>
      <c r="U6" s="270"/>
      <c r="V6" s="270"/>
      <c r="W6" s="270"/>
      <c r="X6" s="270"/>
      <c r="Y6" s="270">
        <f t="shared" ref="Y6:AA6" si="11">E6</f>
        <v>0</v>
      </c>
      <c r="Z6" s="270">
        <f t="shared" si="11"/>
        <v>0</v>
      </c>
      <c r="AA6" s="270">
        <f t="shared" si="11"/>
        <v>0</v>
      </c>
    </row>
    <row r="7" spans="1:27" ht="15.75" customHeight="1" x14ac:dyDescent="0.5">
      <c r="A7" s="268" t="s">
        <v>105</v>
      </c>
      <c r="B7" s="283">
        <v>42</v>
      </c>
      <c r="C7" s="270">
        <f t="shared" ref="C7:C8" si="12">ROUNDDOWN((B7+9/32)*25.4,0)</f>
        <v>1073</v>
      </c>
      <c r="D7" s="270"/>
      <c r="E7" s="284">
        <v>0</v>
      </c>
      <c r="F7" s="270"/>
      <c r="G7" s="284">
        <f t="shared" ref="G7:G8" si="13">E4</f>
        <v>7</v>
      </c>
      <c r="H7" s="270"/>
      <c r="I7" s="268" t="s">
        <v>105</v>
      </c>
      <c r="J7" s="283">
        <v>51</v>
      </c>
      <c r="K7" s="270">
        <f t="shared" ref="K7:K8" si="14">ROUNDDOWN((J7+9/32)*25.4,0)</f>
        <v>1302</v>
      </c>
      <c r="L7" s="270"/>
      <c r="M7" s="284" t="str">
        <f>IF(J2="","",MAX(G2,G7)+13)</f>
        <v/>
      </c>
      <c r="N7" s="270"/>
      <c r="O7" s="284">
        <f t="shared" ref="O7:O8" si="15">M4</f>
        <v>1093</v>
      </c>
      <c r="P7" s="270"/>
      <c r="Q7" s="268" t="s">
        <v>105</v>
      </c>
      <c r="R7" s="285"/>
      <c r="S7" s="270">
        <f t="shared" ref="S7:S8" si="16">ROUNDDOWN((R7+9/32)*25.4,0)</f>
        <v>7</v>
      </c>
      <c r="T7" s="270"/>
      <c r="U7" s="284" t="str">
        <f>IF(R7="","",MAX(O2,O7)+13)</f>
        <v/>
      </c>
      <c r="V7" s="270"/>
      <c r="W7" s="284" t="str">
        <f t="shared" ref="W7:W8" si="17">U4</f>
        <v/>
      </c>
      <c r="X7" s="270"/>
      <c r="Y7" s="284">
        <f t="shared" ref="Y7:AA7" si="18">E7</f>
        <v>0</v>
      </c>
      <c r="Z7" s="270">
        <f t="shared" si="18"/>
        <v>0</v>
      </c>
      <c r="AA7" s="284">
        <f t="shared" si="18"/>
        <v>7</v>
      </c>
    </row>
    <row r="8" spans="1:27" ht="15.75" customHeight="1" x14ac:dyDescent="0.5">
      <c r="A8" s="268" t="s">
        <v>1160</v>
      </c>
      <c r="B8" s="283">
        <v>50</v>
      </c>
      <c r="C8" s="270">
        <f t="shared" si="12"/>
        <v>1277</v>
      </c>
      <c r="D8" s="270"/>
      <c r="E8" s="286">
        <v>0</v>
      </c>
      <c r="F8" s="270"/>
      <c r="G8" s="286">
        <f t="shared" si="13"/>
        <v>1284</v>
      </c>
      <c r="H8" s="270"/>
      <c r="I8" s="268" t="s">
        <v>1160</v>
      </c>
      <c r="J8" s="283">
        <v>26</v>
      </c>
      <c r="K8" s="270">
        <f t="shared" si="14"/>
        <v>667</v>
      </c>
      <c r="L8" s="270"/>
      <c r="M8" s="286">
        <v>0</v>
      </c>
      <c r="N8" s="270"/>
      <c r="O8" s="286">
        <f t="shared" si="15"/>
        <v>687</v>
      </c>
      <c r="P8" s="270"/>
      <c r="Q8" s="268" t="s">
        <v>1160</v>
      </c>
      <c r="R8" s="285"/>
      <c r="S8" s="270">
        <f t="shared" si="16"/>
        <v>7</v>
      </c>
      <c r="T8" s="270"/>
      <c r="U8" s="286">
        <v>0</v>
      </c>
      <c r="V8" s="270"/>
      <c r="W8" s="286" t="str">
        <f t="shared" si="17"/>
        <v/>
      </c>
      <c r="X8" s="270"/>
      <c r="Y8" s="286">
        <f t="shared" ref="Y8:AA8" si="19">E8</f>
        <v>0</v>
      </c>
      <c r="Z8" s="270">
        <f t="shared" si="19"/>
        <v>0</v>
      </c>
      <c r="AA8" s="286">
        <f t="shared" si="19"/>
        <v>1284</v>
      </c>
    </row>
    <row r="9" spans="1:27" ht="15.75" customHeight="1" x14ac:dyDescent="0.5">
      <c r="A9" s="270"/>
      <c r="B9" s="270"/>
      <c r="C9" s="270"/>
      <c r="D9" s="270"/>
      <c r="E9" s="284">
        <f>C7+E7</f>
        <v>1073</v>
      </c>
      <c r="F9" s="270"/>
      <c r="G9" s="284">
        <f>G7</f>
        <v>7</v>
      </c>
      <c r="H9" s="270"/>
      <c r="I9" s="270"/>
      <c r="J9" s="270"/>
      <c r="K9" s="270"/>
      <c r="L9" s="270"/>
      <c r="M9" s="284" t="e">
        <f t="shared" ref="M9:M10" si="20">K7+M7</f>
        <v>#VALUE!</v>
      </c>
      <c r="N9" s="270"/>
      <c r="O9" s="284">
        <f>O7</f>
        <v>1093</v>
      </c>
      <c r="P9" s="270"/>
      <c r="Q9" s="270"/>
      <c r="R9" s="270"/>
      <c r="S9" s="270"/>
      <c r="T9" s="270"/>
      <c r="U9" s="284" t="e">
        <f t="shared" ref="U9:U10" si="21">S7+U7</f>
        <v>#VALUE!</v>
      </c>
      <c r="V9" s="270"/>
      <c r="W9" s="284" t="str">
        <f>W7</f>
        <v/>
      </c>
      <c r="X9" s="270"/>
      <c r="Y9" s="284">
        <f t="shared" ref="Y9:AA9" si="22">E9</f>
        <v>1073</v>
      </c>
      <c r="Z9" s="270">
        <f t="shared" si="22"/>
        <v>0</v>
      </c>
      <c r="AA9" s="284">
        <f t="shared" si="22"/>
        <v>7</v>
      </c>
    </row>
    <row r="10" spans="1:27" ht="15.75" customHeight="1" x14ac:dyDescent="0.5">
      <c r="A10" s="270"/>
      <c r="B10" s="270"/>
      <c r="C10" s="270"/>
      <c r="D10" s="270"/>
      <c r="E10" s="286">
        <f>C8</f>
        <v>1277</v>
      </c>
      <c r="F10" s="270"/>
      <c r="G10" s="286">
        <v>1525</v>
      </c>
      <c r="H10" s="270"/>
      <c r="I10" s="270"/>
      <c r="J10" s="270"/>
      <c r="K10" s="270"/>
      <c r="L10" s="270"/>
      <c r="M10" s="286">
        <f t="shared" si="20"/>
        <v>667</v>
      </c>
      <c r="N10" s="270"/>
      <c r="O10" s="286">
        <v>1525</v>
      </c>
      <c r="P10" s="270"/>
      <c r="Q10" s="270"/>
      <c r="R10" s="270"/>
      <c r="S10" s="270"/>
      <c r="T10" s="270"/>
      <c r="U10" s="286">
        <f t="shared" si="21"/>
        <v>7</v>
      </c>
      <c r="V10" s="270"/>
      <c r="W10" s="286" t="str">
        <f>IF(U2="","",1525)</f>
        <v/>
      </c>
      <c r="X10" s="270"/>
      <c r="Y10" s="286">
        <f t="shared" ref="Y10:AA10" si="23">E10</f>
        <v>1277</v>
      </c>
      <c r="Z10" s="270">
        <f t="shared" si="23"/>
        <v>0</v>
      </c>
      <c r="AA10" s="286">
        <f t="shared" si="23"/>
        <v>1525</v>
      </c>
    </row>
    <row r="11" spans="1:27" ht="15.75" customHeight="1" x14ac:dyDescent="0.5">
      <c r="A11" s="270"/>
      <c r="B11" s="270"/>
      <c r="C11" s="270"/>
      <c r="D11" s="268"/>
      <c r="E11" s="270"/>
      <c r="F11" s="268"/>
      <c r="G11" s="270"/>
      <c r="H11" s="268"/>
      <c r="I11" s="270"/>
      <c r="J11" s="268"/>
      <c r="K11" s="270"/>
      <c r="L11" s="268"/>
      <c r="M11" s="270"/>
      <c r="N11" s="268"/>
      <c r="O11" s="270"/>
      <c r="P11" s="268"/>
      <c r="Q11" s="270"/>
      <c r="R11" s="268"/>
      <c r="S11" s="270"/>
      <c r="T11" s="268"/>
      <c r="U11" s="270"/>
      <c r="V11" s="268"/>
      <c r="W11" s="270"/>
      <c r="X11" s="270"/>
      <c r="Y11" s="270"/>
      <c r="Z11" s="270"/>
      <c r="AA11" s="270"/>
    </row>
    <row r="12" spans="1:27" ht="15.75" customHeight="1" x14ac:dyDescent="0.5">
      <c r="A12" s="270"/>
      <c r="B12" s="270"/>
      <c r="C12" s="270"/>
      <c r="D12" s="268"/>
      <c r="E12" s="270"/>
      <c r="F12" s="268"/>
      <c r="G12" s="284">
        <f>E4</f>
        <v>7</v>
      </c>
      <c r="H12" s="268"/>
      <c r="I12" s="270"/>
      <c r="J12" s="268"/>
      <c r="K12" s="270"/>
      <c r="L12" s="268"/>
      <c r="M12" s="270"/>
      <c r="N12" s="268"/>
      <c r="O12" s="284">
        <f>M4</f>
        <v>1093</v>
      </c>
      <c r="P12" s="268"/>
      <c r="Q12" s="270"/>
      <c r="R12" s="268"/>
      <c r="S12" s="270"/>
      <c r="T12" s="268"/>
      <c r="U12" s="270"/>
      <c r="V12" s="268"/>
      <c r="W12" s="270"/>
      <c r="X12" s="270"/>
      <c r="Y12" s="284">
        <f t="shared" ref="Y12:AA12" si="24">M2</f>
        <v>1086</v>
      </c>
      <c r="Z12" s="270">
        <f t="shared" si="24"/>
        <v>0</v>
      </c>
      <c r="AA12" s="284" t="e">
        <f t="shared" si="24"/>
        <v>#VALUE!</v>
      </c>
    </row>
    <row r="13" spans="1:27" ht="15.75" customHeight="1" x14ac:dyDescent="0.5">
      <c r="A13" s="270"/>
      <c r="B13" s="270"/>
      <c r="C13" s="270"/>
      <c r="D13" s="268"/>
      <c r="E13" s="270"/>
      <c r="F13" s="268"/>
      <c r="G13" s="286">
        <f>E3</f>
        <v>1277</v>
      </c>
      <c r="H13" s="268"/>
      <c r="I13" s="270"/>
      <c r="J13" s="268"/>
      <c r="K13" s="270"/>
      <c r="L13" s="268"/>
      <c r="M13" s="270"/>
      <c r="N13" s="268"/>
      <c r="O13" s="286">
        <f>M3</f>
        <v>680</v>
      </c>
      <c r="P13" s="268"/>
      <c r="Q13" s="270"/>
      <c r="R13" s="268"/>
      <c r="S13" s="270"/>
      <c r="T13" s="268"/>
      <c r="U13" s="270"/>
      <c r="V13" s="268"/>
      <c r="W13" s="270"/>
      <c r="X13" s="270"/>
      <c r="Y13" s="286">
        <f t="shared" ref="Y13:AA13" si="25">M3</f>
        <v>680</v>
      </c>
      <c r="Z13" s="270">
        <f t="shared" si="25"/>
        <v>0</v>
      </c>
      <c r="AA13" s="286">
        <f t="shared" si="25"/>
        <v>667</v>
      </c>
    </row>
    <row r="14" spans="1:27" ht="15.75" customHeight="1" x14ac:dyDescent="0.5">
      <c r="A14" s="270"/>
      <c r="B14" s="270"/>
      <c r="C14" s="270"/>
      <c r="D14" s="268"/>
      <c r="E14" s="270"/>
      <c r="F14" s="268"/>
      <c r="G14" s="284">
        <f>G12</f>
        <v>7</v>
      </c>
      <c r="H14" s="268"/>
      <c r="I14" s="270"/>
      <c r="J14" s="268"/>
      <c r="K14" s="270"/>
      <c r="L14" s="268"/>
      <c r="M14" s="270"/>
      <c r="N14" s="268"/>
      <c r="O14" s="284">
        <f>O12</f>
        <v>1093</v>
      </c>
      <c r="P14" s="268"/>
      <c r="Q14" s="270"/>
      <c r="R14" s="268"/>
      <c r="S14" s="270"/>
      <c r="T14" s="268"/>
      <c r="U14" s="270"/>
      <c r="V14" s="268"/>
      <c r="W14" s="270"/>
      <c r="X14" s="270"/>
      <c r="Y14" s="284">
        <f t="shared" ref="Y14:AA14" si="26">M4</f>
        <v>1093</v>
      </c>
      <c r="Z14" s="270">
        <f t="shared" si="26"/>
        <v>0</v>
      </c>
      <c r="AA14" s="284" t="e">
        <f t="shared" si="26"/>
        <v>#VALUE!</v>
      </c>
    </row>
    <row r="15" spans="1:27" ht="15.75" customHeight="1" x14ac:dyDescent="0.5">
      <c r="A15" s="270"/>
      <c r="B15" s="270"/>
      <c r="C15" s="270"/>
      <c r="D15" s="268"/>
      <c r="E15" s="270"/>
      <c r="F15" s="268"/>
      <c r="G15" s="286">
        <f>E10</f>
        <v>1277</v>
      </c>
      <c r="H15" s="268"/>
      <c r="I15" s="270"/>
      <c r="J15" s="268"/>
      <c r="K15" s="270"/>
      <c r="L15" s="268"/>
      <c r="M15" s="270"/>
      <c r="N15" s="268"/>
      <c r="O15" s="286">
        <f>M10</f>
        <v>667</v>
      </c>
      <c r="P15" s="268"/>
      <c r="Q15" s="270"/>
      <c r="R15" s="268"/>
      <c r="S15" s="270"/>
      <c r="T15" s="268"/>
      <c r="U15" s="270"/>
      <c r="V15" s="268"/>
      <c r="W15" s="270"/>
      <c r="X15" s="270"/>
      <c r="Y15" s="286">
        <f t="shared" ref="Y15:AA15" si="27">M5</f>
        <v>687</v>
      </c>
      <c r="Z15" s="270">
        <f t="shared" si="27"/>
        <v>0</v>
      </c>
      <c r="AA15" s="286">
        <f t="shared" si="27"/>
        <v>1525</v>
      </c>
    </row>
    <row r="16" spans="1:27" ht="15.75" customHeight="1" x14ac:dyDescent="0.5">
      <c r="A16" s="270"/>
      <c r="B16" s="270"/>
      <c r="C16" s="270"/>
      <c r="D16" s="268"/>
      <c r="E16" s="270"/>
      <c r="F16" s="268"/>
      <c r="G16" s="270"/>
      <c r="H16" s="268"/>
      <c r="I16" s="270"/>
      <c r="J16" s="268"/>
      <c r="K16" s="270"/>
      <c r="L16" s="268"/>
      <c r="M16" s="270"/>
      <c r="N16" s="268"/>
      <c r="O16" s="270"/>
      <c r="P16" s="268"/>
      <c r="Q16" s="270"/>
      <c r="R16" s="268"/>
      <c r="S16" s="270"/>
      <c r="T16" s="268"/>
      <c r="U16" s="270"/>
      <c r="V16" s="268"/>
      <c r="W16" s="270"/>
      <c r="X16" s="270"/>
      <c r="Y16" s="270">
        <f t="shared" ref="Y16:AA16" si="28">M6</f>
        <v>0</v>
      </c>
      <c r="Z16" s="270">
        <f t="shared" si="28"/>
        <v>0</v>
      </c>
      <c r="AA16" s="270">
        <f t="shared" si="28"/>
        <v>0</v>
      </c>
    </row>
    <row r="17" spans="1:27" ht="15.75" customHeight="1" x14ac:dyDescent="0.5">
      <c r="A17" s="270"/>
      <c r="B17" s="270"/>
      <c r="C17" s="270"/>
      <c r="D17" s="268"/>
      <c r="E17" s="270"/>
      <c r="F17" s="268"/>
      <c r="G17" s="270"/>
      <c r="H17" s="268"/>
      <c r="I17" s="270"/>
      <c r="J17" s="268"/>
      <c r="K17" s="270"/>
      <c r="L17" s="268"/>
      <c r="M17" s="270"/>
      <c r="N17" s="268"/>
      <c r="O17" s="284">
        <f>M2</f>
        <v>1086</v>
      </c>
      <c r="P17" s="268"/>
      <c r="Q17" s="270"/>
      <c r="R17" s="268"/>
      <c r="S17" s="270"/>
      <c r="T17" s="268"/>
      <c r="U17" s="270"/>
      <c r="V17" s="268"/>
      <c r="W17" s="270"/>
      <c r="X17" s="270"/>
      <c r="Y17" s="284" t="str">
        <f t="shared" ref="Y17:AA17" si="29">M7</f>
        <v/>
      </c>
      <c r="Z17" s="270">
        <f t="shared" si="29"/>
        <v>0</v>
      </c>
      <c r="AA17" s="284">
        <f t="shared" si="29"/>
        <v>1093</v>
      </c>
    </row>
    <row r="18" spans="1:27" ht="15.75" customHeight="1" x14ac:dyDescent="0.5">
      <c r="A18" s="270"/>
      <c r="B18" s="270"/>
      <c r="C18" s="270"/>
      <c r="D18" s="268"/>
      <c r="E18" s="270"/>
      <c r="F18" s="268"/>
      <c r="G18" s="270"/>
      <c r="H18" s="268"/>
      <c r="I18" s="270"/>
      <c r="J18" s="268"/>
      <c r="K18" s="270"/>
      <c r="L18" s="268"/>
      <c r="M18" s="270"/>
      <c r="N18" s="268"/>
      <c r="O18" s="286">
        <f>M5</f>
        <v>687</v>
      </c>
      <c r="P18" s="268"/>
      <c r="Q18" s="270"/>
      <c r="R18" s="268"/>
      <c r="S18" s="270"/>
      <c r="T18" s="268"/>
      <c r="U18" s="270"/>
      <c r="V18" s="268"/>
      <c r="W18" s="270"/>
      <c r="X18" s="270"/>
      <c r="Y18" s="286">
        <f t="shared" ref="Y18:AA18" si="30">M8</f>
        <v>0</v>
      </c>
      <c r="Z18" s="270">
        <f t="shared" si="30"/>
        <v>0</v>
      </c>
      <c r="AA18" s="286">
        <f t="shared" si="30"/>
        <v>687</v>
      </c>
    </row>
    <row r="19" spans="1:27" ht="15.75" customHeight="1" x14ac:dyDescent="0.5">
      <c r="A19" s="270"/>
      <c r="B19" s="270"/>
      <c r="C19" s="270"/>
      <c r="D19" s="268"/>
      <c r="E19" s="270"/>
      <c r="F19" s="268"/>
      <c r="G19" s="270"/>
      <c r="H19" s="268"/>
      <c r="I19" s="270"/>
      <c r="J19" s="268"/>
      <c r="K19" s="270"/>
      <c r="L19" s="268"/>
      <c r="M19" s="270"/>
      <c r="N19" s="268"/>
      <c r="O19" s="284">
        <f>O17</f>
        <v>1086</v>
      </c>
      <c r="P19" s="268"/>
      <c r="Q19" s="270"/>
      <c r="R19" s="268"/>
      <c r="S19" s="270"/>
      <c r="T19" s="268"/>
      <c r="U19" s="270"/>
      <c r="V19" s="268"/>
      <c r="W19" s="270"/>
      <c r="X19" s="270"/>
      <c r="Y19" s="284" t="e">
        <f t="shared" ref="Y19:AA19" si="31">M9</f>
        <v>#VALUE!</v>
      </c>
      <c r="Z19" s="270">
        <f t="shared" si="31"/>
        <v>0</v>
      </c>
      <c r="AA19" s="284">
        <f t="shared" si="31"/>
        <v>1093</v>
      </c>
    </row>
    <row r="20" spans="1:27" ht="15.75" customHeight="1" x14ac:dyDescent="0.5">
      <c r="A20" s="270"/>
      <c r="B20" s="270"/>
      <c r="C20" s="270"/>
      <c r="D20" s="268"/>
      <c r="E20" s="270"/>
      <c r="F20" s="268"/>
      <c r="G20" s="270"/>
      <c r="H20" s="268"/>
      <c r="I20" s="270"/>
      <c r="J20" s="268"/>
      <c r="K20" s="270"/>
      <c r="L20" s="268"/>
      <c r="M20" s="270"/>
      <c r="N20" s="268"/>
      <c r="O20" s="286">
        <f>IF(O17="","",1525)</f>
        <v>1525</v>
      </c>
      <c r="P20" s="268"/>
      <c r="Q20" s="270"/>
      <c r="R20" s="268"/>
      <c r="S20" s="270"/>
      <c r="T20" s="268"/>
      <c r="U20" s="270"/>
      <c r="V20" s="268"/>
      <c r="W20" s="270"/>
      <c r="X20" s="270"/>
      <c r="Y20" s="286">
        <f t="shared" ref="Y20:AA20" si="32">M10</f>
        <v>667</v>
      </c>
      <c r="Z20" s="270">
        <f t="shared" si="32"/>
        <v>0</v>
      </c>
      <c r="AA20" s="286">
        <f t="shared" si="32"/>
        <v>1525</v>
      </c>
    </row>
    <row r="21" spans="1:27" ht="15.75" customHeight="1" x14ac:dyDescent="0.5">
      <c r="A21" s="270"/>
      <c r="B21" s="270"/>
      <c r="C21" s="270"/>
      <c r="D21" s="268"/>
      <c r="E21" s="270"/>
      <c r="F21" s="268"/>
      <c r="G21" s="270"/>
      <c r="H21" s="268"/>
      <c r="I21" s="270"/>
      <c r="J21" s="268"/>
      <c r="K21" s="270"/>
      <c r="L21" s="268"/>
      <c r="M21" s="270"/>
      <c r="N21" s="268"/>
      <c r="O21" s="270"/>
      <c r="P21" s="268"/>
      <c r="Q21" s="270"/>
      <c r="R21" s="268"/>
      <c r="S21" s="270"/>
      <c r="T21" s="268"/>
      <c r="U21" s="270"/>
      <c r="V21" s="268"/>
      <c r="W21" s="270"/>
      <c r="X21" s="270"/>
      <c r="Y21" s="282">
        <f t="shared" ref="Y21:AA21" si="33">M11</f>
        <v>0</v>
      </c>
      <c r="Z21" s="282">
        <f t="shared" si="33"/>
        <v>0</v>
      </c>
      <c r="AA21" s="282">
        <f t="shared" si="33"/>
        <v>0</v>
      </c>
    </row>
    <row r="22" spans="1:27" ht="15.75" customHeight="1" x14ac:dyDescent="0.5">
      <c r="A22" s="270"/>
      <c r="B22" s="270"/>
      <c r="C22" s="270"/>
      <c r="D22" s="268"/>
      <c r="E22" s="270"/>
      <c r="F22" s="268"/>
      <c r="G22" s="270"/>
      <c r="H22" s="268"/>
      <c r="I22" s="270"/>
      <c r="J22" s="268"/>
      <c r="K22" s="270"/>
      <c r="L22" s="268"/>
      <c r="M22" s="270"/>
      <c r="N22" s="268"/>
      <c r="O22" s="284" t="str">
        <f>M7</f>
        <v/>
      </c>
      <c r="P22" s="268"/>
      <c r="Q22" s="270"/>
      <c r="R22" s="268"/>
      <c r="S22" s="270"/>
      <c r="T22" s="268"/>
      <c r="U22" s="270"/>
      <c r="V22" s="268"/>
      <c r="W22" s="270"/>
      <c r="X22" s="270"/>
      <c r="Y22" s="284" t="str">
        <f t="shared" ref="Y22:AA22" si="34">U2</f>
        <v/>
      </c>
      <c r="Z22" s="270">
        <f t="shared" si="34"/>
        <v>0</v>
      </c>
      <c r="AA22" s="284" t="e">
        <f t="shared" si="34"/>
        <v>#VALUE!</v>
      </c>
    </row>
    <row r="23" spans="1:27" ht="15.75" customHeight="1" x14ac:dyDescent="0.5">
      <c r="A23" s="270"/>
      <c r="B23" s="270"/>
      <c r="C23" s="270"/>
      <c r="D23" s="268"/>
      <c r="E23" s="270"/>
      <c r="F23" s="268"/>
      <c r="G23" s="270"/>
      <c r="H23" s="268"/>
      <c r="I23" s="270"/>
      <c r="J23" s="268"/>
      <c r="K23" s="270"/>
      <c r="L23" s="268"/>
      <c r="M23" s="270"/>
      <c r="N23" s="268"/>
      <c r="O23" s="286">
        <f>M10</f>
        <v>667</v>
      </c>
      <c r="P23" s="268"/>
      <c r="Q23" s="270"/>
      <c r="R23" s="268"/>
      <c r="S23" s="270"/>
      <c r="T23" s="268"/>
      <c r="U23" s="270"/>
      <c r="V23" s="268"/>
      <c r="W23" s="270"/>
      <c r="X23" s="270"/>
      <c r="Y23" s="286" t="str">
        <f t="shared" ref="Y23:AA23" si="35">U3</f>
        <v/>
      </c>
      <c r="Z23" s="270">
        <f t="shared" si="35"/>
        <v>0</v>
      </c>
      <c r="AA23" s="286">
        <f t="shared" si="35"/>
        <v>7</v>
      </c>
    </row>
    <row r="24" spans="1:27" ht="15.75" customHeight="1" x14ac:dyDescent="0.5">
      <c r="A24" s="270"/>
      <c r="B24" s="270"/>
      <c r="C24" s="270"/>
      <c r="D24" s="268"/>
      <c r="E24" s="270"/>
      <c r="F24" s="268"/>
      <c r="G24" s="270"/>
      <c r="H24" s="268"/>
      <c r="I24" s="270"/>
      <c r="J24" s="268"/>
      <c r="K24" s="270"/>
      <c r="L24" s="268"/>
      <c r="M24" s="270"/>
      <c r="N24" s="268"/>
      <c r="O24" s="284">
        <f t="shared" ref="O24:O25" si="36">M2</f>
        <v>1086</v>
      </c>
      <c r="P24" s="268"/>
      <c r="Q24" s="270"/>
      <c r="R24" s="268"/>
      <c r="S24" s="270"/>
      <c r="T24" s="268"/>
      <c r="U24" s="270"/>
      <c r="V24" s="268"/>
      <c r="W24" s="270"/>
      <c r="X24" s="270"/>
      <c r="Y24" s="284" t="str">
        <f t="shared" ref="Y24:AA24" si="37">U4</f>
        <v/>
      </c>
      <c r="Z24" s="270">
        <f t="shared" si="37"/>
        <v>0</v>
      </c>
      <c r="AA24" s="284" t="e">
        <f t="shared" si="37"/>
        <v>#VALUE!</v>
      </c>
    </row>
    <row r="25" spans="1:27" ht="15.75" customHeight="1" x14ac:dyDescent="0.5">
      <c r="A25" s="270"/>
      <c r="B25" s="270"/>
      <c r="C25" s="270"/>
      <c r="D25" s="268"/>
      <c r="E25" s="270"/>
      <c r="F25" s="268"/>
      <c r="G25" s="270"/>
      <c r="H25" s="268"/>
      <c r="I25" s="270"/>
      <c r="J25" s="268"/>
      <c r="K25" s="270"/>
      <c r="L25" s="268"/>
      <c r="M25" s="270"/>
      <c r="N25" s="268"/>
      <c r="O25" s="286">
        <f t="shared" si="36"/>
        <v>680</v>
      </c>
      <c r="P25" s="268"/>
      <c r="Q25" s="270"/>
      <c r="R25" s="268"/>
      <c r="S25" s="270"/>
      <c r="T25" s="268"/>
      <c r="U25" s="270"/>
      <c r="V25" s="268"/>
      <c r="W25" s="270"/>
      <c r="X25" s="270"/>
      <c r="Y25" s="286" t="str">
        <f t="shared" ref="Y25:AA25" si="38">U5</f>
        <v/>
      </c>
      <c r="Z25" s="270">
        <f t="shared" si="38"/>
        <v>0</v>
      </c>
      <c r="AA25" s="286">
        <f t="shared" si="38"/>
        <v>1525</v>
      </c>
    </row>
    <row r="26" spans="1:27" ht="15.75" customHeight="1" x14ac:dyDescent="0.5">
      <c r="A26" s="270"/>
      <c r="B26" s="270"/>
      <c r="C26" s="270"/>
      <c r="D26" s="268"/>
      <c r="E26" s="270"/>
      <c r="F26" s="268"/>
      <c r="G26" s="270"/>
      <c r="H26" s="268"/>
      <c r="I26" s="270"/>
      <c r="J26" s="268"/>
      <c r="K26" s="270"/>
      <c r="L26" s="268"/>
      <c r="M26" s="270"/>
      <c r="N26" s="268"/>
      <c r="O26" s="270"/>
      <c r="P26" s="268"/>
      <c r="Q26" s="270"/>
      <c r="R26" s="268"/>
      <c r="S26" s="270"/>
      <c r="T26" s="268"/>
      <c r="U26" s="270"/>
      <c r="V26" s="268"/>
      <c r="W26" s="270"/>
      <c r="X26" s="270"/>
      <c r="Y26" s="270">
        <f t="shared" ref="Y26:AA26" si="39">U6</f>
        <v>0</v>
      </c>
      <c r="Z26" s="270">
        <f t="shared" si="39"/>
        <v>0</v>
      </c>
      <c r="AA26" s="270">
        <f t="shared" si="39"/>
        <v>0</v>
      </c>
    </row>
    <row r="27" spans="1:27" ht="15.75" customHeight="1" x14ac:dyDescent="0.5">
      <c r="A27" s="270"/>
      <c r="B27" s="270"/>
      <c r="C27" s="270"/>
      <c r="D27" s="268"/>
      <c r="E27" s="270"/>
      <c r="F27" s="268"/>
      <c r="G27" s="270"/>
      <c r="H27" s="268"/>
      <c r="I27" s="270"/>
      <c r="J27" s="268"/>
      <c r="K27" s="270"/>
      <c r="L27" s="268"/>
      <c r="M27" s="270"/>
      <c r="N27" s="268"/>
      <c r="O27" s="270"/>
      <c r="P27" s="268"/>
      <c r="Q27" s="270"/>
      <c r="R27" s="268"/>
      <c r="S27" s="270"/>
      <c r="T27" s="268"/>
      <c r="U27" s="270"/>
      <c r="V27" s="268"/>
      <c r="W27" s="270"/>
      <c r="X27" s="270"/>
      <c r="Y27" s="284" t="str">
        <f t="shared" ref="Y27:AA27" si="40">U7</f>
        <v/>
      </c>
      <c r="Z27" s="270">
        <f t="shared" si="40"/>
        <v>0</v>
      </c>
      <c r="AA27" s="284" t="str">
        <f t="shared" si="40"/>
        <v/>
      </c>
    </row>
    <row r="28" spans="1:27" ht="15.75" customHeight="1" x14ac:dyDescent="0.5">
      <c r="A28" s="270"/>
      <c r="B28" s="270"/>
      <c r="C28" s="270"/>
      <c r="D28" s="268"/>
      <c r="E28" s="270"/>
      <c r="F28" s="268"/>
      <c r="G28" s="270"/>
      <c r="H28" s="268"/>
      <c r="I28" s="270"/>
      <c r="J28" s="268"/>
      <c r="K28" s="270"/>
      <c r="L28" s="268"/>
      <c r="M28" s="270"/>
      <c r="N28" s="268"/>
      <c r="O28" s="270"/>
      <c r="P28" s="268"/>
      <c r="Q28" s="270"/>
      <c r="R28" s="268"/>
      <c r="S28" s="270"/>
      <c r="T28" s="268"/>
      <c r="U28" s="270"/>
      <c r="V28" s="268"/>
      <c r="W28" s="270"/>
      <c r="X28" s="270"/>
      <c r="Y28" s="286">
        <f t="shared" ref="Y28:AA28" si="41">U8</f>
        <v>0</v>
      </c>
      <c r="Z28" s="270">
        <f t="shared" si="41"/>
        <v>0</v>
      </c>
      <c r="AA28" s="286" t="str">
        <f t="shared" si="41"/>
        <v/>
      </c>
    </row>
    <row r="29" spans="1:27" ht="15.75" customHeight="1" x14ac:dyDescent="0.5">
      <c r="A29" s="270"/>
      <c r="B29" s="270"/>
      <c r="C29" s="270"/>
      <c r="D29" s="268"/>
      <c r="E29" s="270"/>
      <c r="F29" s="268"/>
      <c r="G29" s="270"/>
      <c r="H29" s="268"/>
      <c r="I29" s="270"/>
      <c r="J29" s="268"/>
      <c r="K29" s="270"/>
      <c r="L29" s="268"/>
      <c r="M29" s="270"/>
      <c r="N29" s="268"/>
      <c r="O29" s="270"/>
      <c r="P29" s="268"/>
      <c r="Q29" s="270"/>
      <c r="R29" s="268"/>
      <c r="S29" s="270"/>
      <c r="T29" s="268"/>
      <c r="U29" s="270"/>
      <c r="V29" s="268"/>
      <c r="W29" s="270"/>
      <c r="X29" s="270"/>
      <c r="Y29" s="284" t="e">
        <f t="shared" ref="Y29:AA29" si="42">U9</f>
        <v>#VALUE!</v>
      </c>
      <c r="Z29" s="270">
        <f t="shared" si="42"/>
        <v>0</v>
      </c>
      <c r="AA29" s="284" t="str">
        <f t="shared" si="42"/>
        <v/>
      </c>
    </row>
    <row r="30" spans="1:27" ht="16.899999999999999" x14ac:dyDescent="0.5">
      <c r="A30" s="270"/>
      <c r="B30" s="270"/>
      <c r="C30" s="270"/>
      <c r="D30" s="268"/>
      <c r="E30" s="270"/>
      <c r="F30" s="268"/>
      <c r="G30" s="270"/>
      <c r="H30" s="268"/>
      <c r="I30" s="270"/>
      <c r="J30" s="268"/>
      <c r="K30" s="270"/>
      <c r="L30" s="268"/>
      <c r="M30" s="270"/>
      <c r="N30" s="268"/>
      <c r="O30" s="270"/>
      <c r="P30" s="268"/>
      <c r="Q30" s="270"/>
      <c r="R30" s="268"/>
      <c r="S30" s="270"/>
      <c r="T30" s="268"/>
      <c r="U30" s="270"/>
      <c r="V30" s="268"/>
      <c r="W30" s="270"/>
      <c r="X30" s="270"/>
      <c r="Y30" s="286">
        <f t="shared" ref="Y30:AA30" si="43">U10</f>
        <v>7</v>
      </c>
      <c r="Z30" s="270">
        <f t="shared" si="43"/>
        <v>0</v>
      </c>
      <c r="AA30" s="286" t="str">
        <f t="shared" si="43"/>
        <v/>
      </c>
    </row>
    <row r="31" spans="1:27" ht="16.899999999999999" x14ac:dyDescent="0.5">
      <c r="A31" s="270"/>
      <c r="B31" s="270"/>
      <c r="C31" s="270"/>
      <c r="D31" s="268"/>
      <c r="E31" s="270"/>
      <c r="F31" s="268"/>
      <c r="G31" s="270"/>
      <c r="H31" s="268"/>
      <c r="I31" s="270"/>
      <c r="J31" s="268"/>
      <c r="K31" s="270"/>
      <c r="L31" s="268"/>
      <c r="M31" s="270"/>
      <c r="N31" s="268"/>
      <c r="O31" s="270"/>
      <c r="P31" s="268"/>
      <c r="Q31" s="270"/>
      <c r="R31" s="268"/>
      <c r="S31" s="270"/>
      <c r="T31" s="268"/>
      <c r="U31" s="270"/>
      <c r="V31" s="268"/>
      <c r="W31" s="270"/>
      <c r="X31" s="270"/>
      <c r="Y31" s="282">
        <f t="shared" ref="Y31:AA31" si="44">U11</f>
        <v>0</v>
      </c>
      <c r="Z31" s="282">
        <f t="shared" si="44"/>
        <v>0</v>
      </c>
      <c r="AA31" s="282">
        <f t="shared" si="44"/>
        <v>0</v>
      </c>
    </row>
    <row r="32" spans="1:27" ht="16.899999999999999" x14ac:dyDescent="0.5">
      <c r="A32" s="270"/>
      <c r="B32" s="270"/>
      <c r="C32" s="270"/>
      <c r="D32" s="268"/>
      <c r="E32" s="270"/>
      <c r="F32" s="268"/>
      <c r="G32" s="270"/>
      <c r="H32" s="268"/>
      <c r="I32" s="270"/>
      <c r="J32" s="268"/>
      <c r="K32" s="270"/>
      <c r="L32" s="268"/>
      <c r="M32" s="270"/>
      <c r="N32" s="268"/>
      <c r="O32" s="270"/>
      <c r="P32" s="268"/>
      <c r="Q32" s="270"/>
      <c r="R32" s="268"/>
      <c r="S32" s="270"/>
      <c r="T32" s="268"/>
      <c r="U32" s="270"/>
      <c r="V32" s="268"/>
      <c r="W32" s="270"/>
      <c r="X32" s="270"/>
      <c r="Y32" s="282">
        <f t="shared" ref="Y32:Z32" si="45">U12</f>
        <v>0</v>
      </c>
      <c r="Z32" s="282">
        <f t="shared" si="45"/>
        <v>0</v>
      </c>
      <c r="AA32" s="284">
        <f t="shared" ref="AA32:AA35" si="46">G12</f>
        <v>7</v>
      </c>
    </row>
    <row r="33" spans="1:27" ht="16.899999999999999" x14ac:dyDescent="0.5">
      <c r="A33" s="270"/>
      <c r="B33" s="270"/>
      <c r="C33" s="270"/>
      <c r="D33" s="268"/>
      <c r="E33" s="270"/>
      <c r="F33" s="268"/>
      <c r="G33" s="270"/>
      <c r="H33" s="268"/>
      <c r="I33" s="270"/>
      <c r="J33" s="268"/>
      <c r="K33" s="270"/>
      <c r="L33" s="268"/>
      <c r="M33" s="270"/>
      <c r="N33" s="268"/>
      <c r="O33" s="270"/>
      <c r="P33" s="268"/>
      <c r="Q33" s="270"/>
      <c r="R33" s="268"/>
      <c r="S33" s="270"/>
      <c r="T33" s="268"/>
      <c r="U33" s="270"/>
      <c r="V33" s="268"/>
      <c r="W33" s="270"/>
      <c r="X33" s="270"/>
      <c r="Y33" s="282">
        <f t="shared" ref="Y33:Z33" si="47">U13</f>
        <v>0</v>
      </c>
      <c r="Z33" s="282">
        <f t="shared" si="47"/>
        <v>0</v>
      </c>
      <c r="AA33" s="286">
        <f t="shared" si="46"/>
        <v>1277</v>
      </c>
    </row>
    <row r="34" spans="1:27" ht="16.899999999999999" x14ac:dyDescent="0.5">
      <c r="A34" s="270"/>
      <c r="B34" s="270"/>
      <c r="C34" s="270"/>
      <c r="D34" s="268"/>
      <c r="E34" s="270"/>
      <c r="F34" s="268"/>
      <c r="G34" s="270"/>
      <c r="H34" s="268"/>
      <c r="I34" s="270"/>
      <c r="J34" s="268"/>
      <c r="K34" s="270"/>
      <c r="L34" s="268"/>
      <c r="M34" s="270"/>
      <c r="N34" s="268"/>
      <c r="O34" s="270"/>
      <c r="P34" s="268"/>
      <c r="Q34" s="270"/>
      <c r="R34" s="268"/>
      <c r="S34" s="270"/>
      <c r="T34" s="268"/>
      <c r="U34" s="270"/>
      <c r="V34" s="268"/>
      <c r="W34" s="270"/>
      <c r="X34" s="270"/>
      <c r="Y34" s="282">
        <f t="shared" ref="Y34:Z34" si="48">U14</f>
        <v>0</v>
      </c>
      <c r="Z34" s="282">
        <f t="shared" si="48"/>
        <v>0</v>
      </c>
      <c r="AA34" s="284">
        <f t="shared" si="46"/>
        <v>7</v>
      </c>
    </row>
    <row r="35" spans="1:27" ht="16.899999999999999" x14ac:dyDescent="0.5">
      <c r="A35" s="270"/>
      <c r="B35" s="270"/>
      <c r="C35" s="270"/>
      <c r="D35" s="268"/>
      <c r="E35" s="270"/>
      <c r="F35" s="268"/>
      <c r="G35" s="270"/>
      <c r="H35" s="268"/>
      <c r="I35" s="270"/>
      <c r="J35" s="268"/>
      <c r="K35" s="270"/>
      <c r="L35" s="268"/>
      <c r="M35" s="270"/>
      <c r="N35" s="268"/>
      <c r="O35" s="270"/>
      <c r="P35" s="268"/>
      <c r="Q35" s="270"/>
      <c r="R35" s="268"/>
      <c r="S35" s="270"/>
      <c r="T35" s="268"/>
      <c r="U35" s="270"/>
      <c r="V35" s="268"/>
      <c r="W35" s="270"/>
      <c r="X35" s="270"/>
      <c r="Y35" s="282">
        <f t="shared" ref="Y35:Z35" si="49">U15</f>
        <v>0</v>
      </c>
      <c r="Z35" s="282">
        <f t="shared" si="49"/>
        <v>0</v>
      </c>
      <c r="AA35" s="286">
        <f t="shared" si="46"/>
        <v>1277</v>
      </c>
    </row>
    <row r="36" spans="1:27" ht="16.899999999999999" x14ac:dyDescent="0.5">
      <c r="A36" s="270"/>
      <c r="B36" s="270"/>
      <c r="C36" s="270"/>
      <c r="D36" s="268"/>
      <c r="E36" s="270"/>
      <c r="F36" s="268"/>
      <c r="G36" s="270"/>
      <c r="H36" s="268"/>
      <c r="I36" s="270"/>
      <c r="J36" s="268"/>
      <c r="K36" s="270"/>
      <c r="L36" s="268"/>
      <c r="M36" s="270"/>
      <c r="N36" s="268"/>
      <c r="O36" s="270"/>
      <c r="P36" s="268"/>
      <c r="Q36" s="270"/>
      <c r="R36" s="268"/>
      <c r="S36" s="270"/>
      <c r="T36" s="268"/>
      <c r="U36" s="270"/>
      <c r="V36" s="268"/>
      <c r="W36" s="270"/>
      <c r="X36" s="270"/>
      <c r="Y36" s="282">
        <f t="shared" ref="Y36:AA36" si="50">U16</f>
        <v>0</v>
      </c>
      <c r="Z36" s="282">
        <f t="shared" si="50"/>
        <v>0</v>
      </c>
      <c r="AA36" s="282">
        <f t="shared" si="50"/>
        <v>0</v>
      </c>
    </row>
    <row r="37" spans="1:27" ht="16.899999999999999" x14ac:dyDescent="0.5">
      <c r="A37" s="270"/>
      <c r="B37" s="270"/>
      <c r="C37" s="270"/>
      <c r="D37" s="268"/>
      <c r="E37" s="270"/>
      <c r="F37" s="268"/>
      <c r="G37" s="270"/>
      <c r="H37" s="268"/>
      <c r="I37" s="270"/>
      <c r="J37" s="268"/>
      <c r="K37" s="270"/>
      <c r="L37" s="268"/>
      <c r="M37" s="270"/>
      <c r="N37" s="268"/>
      <c r="O37" s="270"/>
      <c r="P37" s="268"/>
      <c r="Q37" s="270"/>
      <c r="R37" s="268"/>
      <c r="S37" s="270"/>
      <c r="T37" s="268"/>
      <c r="U37" s="270"/>
      <c r="V37" s="268"/>
      <c r="W37" s="270"/>
      <c r="X37" s="270"/>
      <c r="Y37" s="270"/>
      <c r="Z37" s="270"/>
      <c r="AA37" s="284" t="str">
        <f t="shared" ref="AA37:AA40" si="51">O22</f>
        <v/>
      </c>
    </row>
    <row r="38" spans="1:27" ht="16.899999999999999" x14ac:dyDescent="0.5">
      <c r="A38" s="270"/>
      <c r="B38" s="270"/>
      <c r="C38" s="270"/>
      <c r="D38" s="268"/>
      <c r="E38" s="270"/>
      <c r="F38" s="268"/>
      <c r="G38" s="270"/>
      <c r="H38" s="268"/>
      <c r="I38" s="270"/>
      <c r="J38" s="268"/>
      <c r="K38" s="270"/>
      <c r="L38" s="268"/>
      <c r="M38" s="270"/>
      <c r="N38" s="268"/>
      <c r="O38" s="270"/>
      <c r="P38" s="268"/>
      <c r="Q38" s="270"/>
      <c r="R38" s="268"/>
      <c r="S38" s="270"/>
      <c r="T38" s="268"/>
      <c r="U38" s="270"/>
      <c r="V38" s="268"/>
      <c r="W38" s="270"/>
      <c r="X38" s="270"/>
      <c r="Y38" s="270"/>
      <c r="Z38" s="270"/>
      <c r="AA38" s="286">
        <f t="shared" si="51"/>
        <v>667</v>
      </c>
    </row>
    <row r="39" spans="1:27" ht="16.899999999999999" x14ac:dyDescent="0.5">
      <c r="A39" s="270"/>
      <c r="B39" s="270"/>
      <c r="C39" s="270"/>
      <c r="D39" s="268"/>
      <c r="E39" s="270"/>
      <c r="F39" s="268"/>
      <c r="G39" s="270"/>
      <c r="H39" s="268"/>
      <c r="I39" s="270"/>
      <c r="J39" s="268"/>
      <c r="K39" s="270"/>
      <c r="L39" s="268"/>
      <c r="M39" s="270"/>
      <c r="N39" s="268"/>
      <c r="O39" s="270"/>
      <c r="P39" s="268"/>
      <c r="Q39" s="270"/>
      <c r="R39" s="268"/>
      <c r="S39" s="270"/>
      <c r="T39" s="268"/>
      <c r="U39" s="270"/>
      <c r="V39" s="268"/>
      <c r="W39" s="270"/>
      <c r="X39" s="270"/>
      <c r="Y39" s="270"/>
      <c r="Z39" s="270"/>
      <c r="AA39" s="284">
        <f t="shared" si="51"/>
        <v>1086</v>
      </c>
    </row>
    <row r="40" spans="1:27" ht="16.899999999999999" x14ac:dyDescent="0.5">
      <c r="A40" s="270"/>
      <c r="B40" s="270"/>
      <c r="C40" s="270"/>
      <c r="D40" s="268"/>
      <c r="E40" s="270"/>
      <c r="F40" s="268"/>
      <c r="G40" s="270"/>
      <c r="H40" s="268"/>
      <c r="I40" s="270"/>
      <c r="J40" s="268"/>
      <c r="K40" s="270"/>
      <c r="L40" s="268"/>
      <c r="M40" s="270"/>
      <c r="N40" s="268"/>
      <c r="O40" s="270"/>
      <c r="P40" s="268"/>
      <c r="Q40" s="270"/>
      <c r="R40" s="268"/>
      <c r="S40" s="270"/>
      <c r="T40" s="268"/>
      <c r="U40" s="270"/>
      <c r="V40" s="268"/>
      <c r="W40" s="270"/>
      <c r="X40" s="270"/>
      <c r="Y40" s="270"/>
      <c r="Z40" s="270"/>
      <c r="AA40" s="286">
        <f t="shared" si="51"/>
        <v>680</v>
      </c>
    </row>
    <row r="41" spans="1:27" ht="16.899999999999999" x14ac:dyDescent="0.5">
      <c r="A41" s="270"/>
      <c r="B41" s="270"/>
      <c r="C41" s="270"/>
      <c r="D41" s="268"/>
      <c r="E41" s="270"/>
      <c r="F41" s="268"/>
      <c r="G41" s="270"/>
      <c r="H41" s="268"/>
      <c r="I41" s="270"/>
      <c r="J41" s="268"/>
      <c r="K41" s="270"/>
      <c r="L41" s="268"/>
      <c r="M41" s="270"/>
      <c r="N41" s="268"/>
      <c r="O41" s="270"/>
      <c r="P41" s="268"/>
      <c r="Q41" s="270"/>
      <c r="R41" s="268"/>
      <c r="S41" s="270"/>
      <c r="T41" s="268"/>
      <c r="U41" s="270"/>
      <c r="V41" s="268"/>
      <c r="W41" s="270"/>
      <c r="X41" s="270"/>
      <c r="Y41" s="270"/>
      <c r="Z41" s="270"/>
      <c r="AA41" s="270"/>
    </row>
    <row r="42" spans="1:27" ht="16.899999999999999" x14ac:dyDescent="0.5">
      <c r="A42" s="270"/>
      <c r="B42" s="270"/>
      <c r="C42" s="270"/>
      <c r="D42" s="268"/>
      <c r="E42" s="270"/>
      <c r="F42" s="268"/>
      <c r="G42" s="270"/>
      <c r="H42" s="268"/>
      <c r="I42" s="270"/>
      <c r="J42" s="268"/>
      <c r="K42" s="270"/>
      <c r="L42" s="268"/>
      <c r="M42" s="270"/>
      <c r="N42" s="268"/>
      <c r="O42" s="270"/>
      <c r="P42" s="268"/>
      <c r="Q42" s="270"/>
      <c r="R42" s="268"/>
      <c r="S42" s="270"/>
      <c r="T42" s="268"/>
      <c r="U42" s="270"/>
      <c r="V42" s="268"/>
      <c r="W42" s="270"/>
      <c r="X42" s="270"/>
      <c r="Y42" s="270"/>
      <c r="Z42" s="270"/>
      <c r="AA42" s="270"/>
    </row>
    <row r="43" spans="1:27" ht="16.899999999999999" x14ac:dyDescent="0.5">
      <c r="A43" s="270"/>
      <c r="B43" s="270"/>
      <c r="C43" s="270"/>
      <c r="D43" s="268"/>
      <c r="E43" s="270"/>
      <c r="F43" s="268"/>
      <c r="G43" s="270"/>
      <c r="H43" s="268"/>
      <c r="I43" s="270"/>
      <c r="J43" s="268"/>
      <c r="K43" s="270"/>
      <c r="L43" s="268"/>
      <c r="M43" s="270"/>
      <c r="N43" s="268"/>
      <c r="O43" s="270"/>
      <c r="P43" s="268"/>
      <c r="Q43" s="270"/>
      <c r="R43" s="268"/>
      <c r="S43" s="270"/>
      <c r="T43" s="268"/>
      <c r="U43" s="270"/>
      <c r="V43" s="268"/>
      <c r="W43" s="270"/>
      <c r="X43" s="270"/>
      <c r="Y43" s="270"/>
      <c r="Z43" s="270"/>
      <c r="AA43" s="270"/>
    </row>
    <row r="44" spans="1:27" ht="16.899999999999999" x14ac:dyDescent="0.5">
      <c r="A44" s="270"/>
      <c r="B44" s="270"/>
      <c r="C44" s="270"/>
      <c r="D44" s="268"/>
      <c r="E44" s="270"/>
      <c r="F44" s="268"/>
      <c r="G44" s="270"/>
      <c r="H44" s="268"/>
      <c r="I44" s="270"/>
      <c r="J44" s="268"/>
      <c r="K44" s="270"/>
      <c r="L44" s="268"/>
      <c r="M44" s="270"/>
      <c r="N44" s="268"/>
      <c r="O44" s="270"/>
      <c r="P44" s="268"/>
      <c r="Q44" s="270"/>
      <c r="R44" s="268"/>
      <c r="S44" s="270"/>
      <c r="T44" s="268"/>
      <c r="U44" s="270"/>
      <c r="V44" s="268"/>
      <c r="W44" s="270"/>
      <c r="X44" s="270"/>
      <c r="Y44" s="270"/>
      <c r="Z44" s="270"/>
      <c r="AA44" s="270"/>
    </row>
    <row r="45" spans="1:27" ht="16.899999999999999" x14ac:dyDescent="0.5">
      <c r="A45" s="270"/>
      <c r="B45" s="270"/>
      <c r="C45" s="270"/>
      <c r="D45" s="268"/>
      <c r="E45" s="270"/>
      <c r="F45" s="268"/>
      <c r="G45" s="270"/>
      <c r="H45" s="268"/>
      <c r="I45" s="270"/>
      <c r="J45" s="268"/>
      <c r="K45" s="270"/>
      <c r="L45" s="268"/>
      <c r="M45" s="270"/>
      <c r="N45" s="268"/>
      <c r="O45" s="270"/>
      <c r="P45" s="268"/>
      <c r="Q45" s="270"/>
      <c r="R45" s="268"/>
      <c r="S45" s="270"/>
      <c r="T45" s="268"/>
      <c r="U45" s="270"/>
      <c r="V45" s="268"/>
      <c r="W45" s="270"/>
      <c r="X45" s="270"/>
      <c r="Y45" s="270"/>
      <c r="Z45" s="270"/>
      <c r="AA45" s="270"/>
    </row>
    <row r="46" spans="1:27" ht="16.899999999999999" x14ac:dyDescent="0.5">
      <c r="A46" s="270"/>
      <c r="B46" s="270"/>
      <c r="C46" s="270"/>
      <c r="D46" s="268"/>
      <c r="E46" s="270"/>
      <c r="F46" s="268"/>
      <c r="G46" s="270"/>
      <c r="H46" s="268"/>
      <c r="I46" s="270"/>
      <c r="J46" s="268"/>
      <c r="K46" s="270"/>
      <c r="L46" s="268"/>
      <c r="M46" s="270"/>
      <c r="N46" s="268"/>
      <c r="O46" s="270"/>
      <c r="P46" s="268"/>
      <c r="Q46" s="270"/>
      <c r="R46" s="268"/>
      <c r="S46" s="270"/>
      <c r="T46" s="268"/>
      <c r="U46" s="270"/>
      <c r="V46" s="268"/>
      <c r="W46" s="270"/>
      <c r="X46" s="270"/>
      <c r="Y46" s="270"/>
      <c r="Z46" s="270"/>
      <c r="AA46" s="270"/>
    </row>
    <row r="47" spans="1:27" ht="16.899999999999999" x14ac:dyDescent="0.5">
      <c r="A47" s="270"/>
      <c r="B47" s="270"/>
      <c r="C47" s="270"/>
      <c r="D47" s="268"/>
      <c r="E47" s="270"/>
      <c r="F47" s="268"/>
      <c r="G47" s="270"/>
      <c r="H47" s="268"/>
      <c r="I47" s="270"/>
      <c r="J47" s="268"/>
      <c r="K47" s="270"/>
      <c r="L47" s="268"/>
      <c r="M47" s="270"/>
      <c r="N47" s="268"/>
      <c r="O47" s="270"/>
      <c r="P47" s="268"/>
      <c r="Q47" s="270"/>
      <c r="R47" s="268"/>
      <c r="S47" s="270"/>
      <c r="T47" s="268"/>
      <c r="U47" s="270"/>
      <c r="V47" s="268"/>
      <c r="W47" s="270"/>
      <c r="X47" s="270"/>
      <c r="Y47" s="270"/>
      <c r="Z47" s="270"/>
      <c r="AA47" s="270"/>
    </row>
    <row r="48" spans="1:27" ht="16.899999999999999" x14ac:dyDescent="0.5">
      <c r="A48" s="270"/>
      <c r="B48" s="270"/>
      <c r="C48" s="270"/>
      <c r="D48" s="268"/>
      <c r="E48" s="270"/>
      <c r="F48" s="268"/>
      <c r="G48" s="270"/>
      <c r="H48" s="268"/>
      <c r="I48" s="270"/>
      <c r="J48" s="268"/>
      <c r="K48" s="270"/>
      <c r="L48" s="268"/>
      <c r="M48" s="270"/>
      <c r="N48" s="268"/>
      <c r="O48" s="270"/>
      <c r="P48" s="268"/>
      <c r="Q48" s="270"/>
      <c r="R48" s="268"/>
      <c r="S48" s="270"/>
      <c r="T48" s="268"/>
      <c r="U48" s="270"/>
      <c r="V48" s="268"/>
      <c r="W48" s="270"/>
      <c r="X48" s="270"/>
      <c r="Y48" s="270"/>
      <c r="Z48" s="270"/>
      <c r="AA48" s="270"/>
    </row>
    <row r="49" spans="1:27" ht="16.899999999999999" x14ac:dyDescent="0.5">
      <c r="A49" s="270"/>
      <c r="B49" s="270"/>
      <c r="C49" s="270"/>
      <c r="D49" s="268"/>
      <c r="E49" s="270"/>
      <c r="F49" s="268"/>
      <c r="G49" s="270"/>
      <c r="H49" s="268"/>
      <c r="I49" s="270"/>
      <c r="J49" s="268"/>
      <c r="K49" s="270"/>
      <c r="L49" s="268"/>
      <c r="M49" s="270"/>
      <c r="N49" s="268"/>
      <c r="O49" s="270"/>
      <c r="P49" s="268"/>
      <c r="Q49" s="270"/>
      <c r="R49" s="268"/>
      <c r="S49" s="270"/>
      <c r="T49" s="268"/>
      <c r="U49" s="270"/>
      <c r="V49" s="268"/>
      <c r="W49" s="270"/>
      <c r="X49" s="270"/>
      <c r="Y49" s="270"/>
      <c r="Z49" s="270"/>
      <c r="AA49" s="270"/>
    </row>
    <row r="50" spans="1:27" ht="16.899999999999999" x14ac:dyDescent="0.5">
      <c r="A50" s="270"/>
      <c r="B50" s="270"/>
      <c r="C50" s="270"/>
      <c r="D50" s="268"/>
      <c r="E50" s="270"/>
      <c r="F50" s="268"/>
      <c r="G50" s="270"/>
      <c r="H50" s="268"/>
      <c r="I50" s="270"/>
      <c r="J50" s="268"/>
      <c r="K50" s="270"/>
      <c r="L50" s="268"/>
      <c r="M50" s="270"/>
      <c r="N50" s="268"/>
      <c r="O50" s="270"/>
      <c r="P50" s="268"/>
      <c r="Q50" s="270"/>
      <c r="R50" s="268"/>
      <c r="S50" s="270"/>
      <c r="T50" s="268"/>
      <c r="U50" s="270"/>
      <c r="V50" s="268"/>
      <c r="W50" s="270"/>
      <c r="X50" s="270"/>
      <c r="Y50" s="270"/>
      <c r="Z50" s="270"/>
      <c r="AA50" s="270"/>
    </row>
    <row r="51" spans="1:27" ht="16.899999999999999" x14ac:dyDescent="0.5">
      <c r="A51" s="270"/>
      <c r="B51" s="270"/>
      <c r="C51" s="270"/>
      <c r="D51" s="268"/>
      <c r="E51" s="270"/>
      <c r="F51" s="268"/>
      <c r="G51" s="270"/>
      <c r="H51" s="268"/>
      <c r="I51" s="270"/>
      <c r="J51" s="268"/>
      <c r="K51" s="270"/>
      <c r="L51" s="268"/>
      <c r="M51" s="270"/>
      <c r="N51" s="268"/>
      <c r="O51" s="270"/>
      <c r="P51" s="268"/>
      <c r="Q51" s="270"/>
      <c r="R51" s="268"/>
      <c r="S51" s="270"/>
      <c r="T51" s="268"/>
      <c r="U51" s="270"/>
      <c r="V51" s="268"/>
      <c r="W51" s="270"/>
      <c r="X51" s="270"/>
      <c r="Y51" s="270"/>
      <c r="Z51" s="270"/>
      <c r="AA51" s="270"/>
    </row>
    <row r="52" spans="1:27" ht="16.899999999999999" x14ac:dyDescent="0.5">
      <c r="A52" s="270"/>
      <c r="B52" s="270"/>
      <c r="C52" s="270"/>
      <c r="D52" s="268"/>
      <c r="E52" s="270"/>
      <c r="F52" s="268"/>
      <c r="G52" s="270"/>
      <c r="H52" s="268"/>
      <c r="I52" s="270"/>
      <c r="J52" s="268"/>
      <c r="K52" s="270"/>
      <c r="L52" s="268"/>
      <c r="M52" s="270"/>
      <c r="N52" s="268"/>
      <c r="O52" s="270"/>
      <c r="P52" s="268"/>
      <c r="Q52" s="270"/>
      <c r="R52" s="268"/>
      <c r="S52" s="270"/>
      <c r="T52" s="268"/>
      <c r="U52" s="270"/>
      <c r="V52" s="268"/>
      <c r="W52" s="270"/>
      <c r="X52" s="270"/>
      <c r="Y52" s="270"/>
      <c r="Z52" s="270"/>
      <c r="AA52" s="270"/>
    </row>
    <row r="53" spans="1:27" ht="16.899999999999999" x14ac:dyDescent="0.5">
      <c r="A53" s="270"/>
      <c r="B53" s="270"/>
      <c r="C53" s="270"/>
      <c r="D53" s="268"/>
      <c r="E53" s="270"/>
      <c r="F53" s="268"/>
      <c r="G53" s="270"/>
      <c r="H53" s="268"/>
      <c r="I53" s="270"/>
      <c r="J53" s="268"/>
      <c r="K53" s="270"/>
      <c r="L53" s="268"/>
      <c r="M53" s="270"/>
      <c r="N53" s="268"/>
      <c r="O53" s="270"/>
      <c r="P53" s="268"/>
      <c r="Q53" s="270"/>
      <c r="R53" s="268"/>
      <c r="S53" s="270"/>
      <c r="T53" s="268"/>
      <c r="U53" s="270"/>
      <c r="V53" s="268"/>
      <c r="W53" s="270"/>
      <c r="X53" s="270"/>
      <c r="Y53" s="270"/>
      <c r="Z53" s="270"/>
      <c r="AA53" s="270"/>
    </row>
    <row r="54" spans="1:27" ht="16.899999999999999" x14ac:dyDescent="0.5">
      <c r="A54" s="270"/>
      <c r="B54" s="270"/>
      <c r="C54" s="270"/>
      <c r="D54" s="268"/>
      <c r="E54" s="270"/>
      <c r="F54" s="268"/>
      <c r="G54" s="270"/>
      <c r="H54" s="268"/>
      <c r="I54" s="270"/>
      <c r="J54" s="268"/>
      <c r="K54" s="270"/>
      <c r="L54" s="268"/>
      <c r="M54" s="270"/>
      <c r="N54" s="268"/>
      <c r="O54" s="270"/>
      <c r="P54" s="268"/>
      <c r="Q54" s="270"/>
      <c r="R54" s="268"/>
      <c r="S54" s="270"/>
      <c r="T54" s="268"/>
      <c r="U54" s="270"/>
      <c r="V54" s="268"/>
      <c r="W54" s="270"/>
      <c r="X54" s="270"/>
      <c r="Y54" s="270"/>
      <c r="Z54" s="270"/>
      <c r="AA54" s="270"/>
    </row>
    <row r="55" spans="1:27" ht="16.899999999999999" x14ac:dyDescent="0.5">
      <c r="A55" s="270"/>
      <c r="B55" s="270"/>
      <c r="C55" s="270"/>
      <c r="D55" s="268"/>
      <c r="E55" s="270"/>
      <c r="F55" s="268"/>
      <c r="G55" s="270"/>
      <c r="H55" s="268"/>
      <c r="I55" s="270"/>
      <c r="J55" s="268"/>
      <c r="K55" s="270"/>
      <c r="L55" s="268"/>
      <c r="M55" s="270"/>
      <c r="N55" s="268"/>
      <c r="O55" s="270"/>
      <c r="P55" s="268"/>
      <c r="Q55" s="270"/>
      <c r="R55" s="268"/>
      <c r="S55" s="270"/>
      <c r="T55" s="268"/>
      <c r="U55" s="270"/>
      <c r="V55" s="268"/>
      <c r="W55" s="270"/>
      <c r="X55" s="270"/>
      <c r="Y55" s="270"/>
      <c r="Z55" s="270"/>
      <c r="AA55" s="270"/>
    </row>
    <row r="56" spans="1:27" ht="16.899999999999999" x14ac:dyDescent="0.5">
      <c r="A56" s="270"/>
      <c r="B56" s="270"/>
      <c r="C56" s="270"/>
      <c r="D56" s="268"/>
      <c r="E56" s="270"/>
      <c r="F56" s="268"/>
      <c r="G56" s="270"/>
      <c r="H56" s="268"/>
      <c r="I56" s="270"/>
      <c r="J56" s="268"/>
      <c r="K56" s="270"/>
      <c r="L56" s="268"/>
      <c r="M56" s="270"/>
      <c r="N56" s="268"/>
      <c r="O56" s="270"/>
      <c r="P56" s="268"/>
      <c r="Q56" s="270"/>
      <c r="R56" s="268"/>
      <c r="S56" s="270"/>
      <c r="T56" s="268"/>
      <c r="U56" s="270"/>
      <c r="V56" s="268"/>
      <c r="W56" s="270"/>
      <c r="X56" s="270"/>
      <c r="Y56" s="270"/>
      <c r="Z56" s="270"/>
      <c r="AA56" s="270"/>
    </row>
    <row r="57" spans="1:27" ht="16.899999999999999" x14ac:dyDescent="0.5">
      <c r="A57" s="270"/>
      <c r="B57" s="270"/>
      <c r="C57" s="270"/>
      <c r="D57" s="268"/>
      <c r="E57" s="270"/>
      <c r="F57" s="268"/>
      <c r="G57" s="270"/>
      <c r="H57" s="268"/>
      <c r="I57" s="270"/>
      <c r="J57" s="268"/>
      <c r="K57" s="270"/>
      <c r="L57" s="268"/>
      <c r="M57" s="270"/>
      <c r="N57" s="268"/>
      <c r="O57" s="270"/>
      <c r="P57" s="268"/>
      <c r="Q57" s="270"/>
      <c r="R57" s="268"/>
      <c r="S57" s="270"/>
      <c r="T57" s="268"/>
      <c r="U57" s="270"/>
      <c r="V57" s="268"/>
      <c r="W57" s="270"/>
      <c r="X57" s="270"/>
      <c r="Y57" s="270"/>
      <c r="Z57" s="270"/>
      <c r="AA57" s="270"/>
    </row>
    <row r="58" spans="1:27" ht="16.899999999999999" x14ac:dyDescent="0.5">
      <c r="A58" s="270"/>
      <c r="B58" s="270"/>
      <c r="C58" s="270"/>
      <c r="D58" s="268"/>
      <c r="E58" s="270"/>
      <c r="F58" s="268"/>
      <c r="G58" s="270"/>
      <c r="H58" s="268"/>
      <c r="I58" s="270"/>
      <c r="J58" s="268"/>
      <c r="K58" s="270"/>
      <c r="L58" s="268"/>
      <c r="M58" s="270"/>
      <c r="N58" s="268"/>
      <c r="O58" s="270"/>
      <c r="P58" s="268"/>
      <c r="Q58" s="270"/>
      <c r="R58" s="268"/>
      <c r="S58" s="270"/>
      <c r="T58" s="268"/>
      <c r="U58" s="270"/>
      <c r="V58" s="268"/>
      <c r="W58" s="270"/>
      <c r="X58" s="270"/>
      <c r="Y58" s="270"/>
      <c r="Z58" s="270"/>
      <c r="AA58" s="270"/>
    </row>
    <row r="59" spans="1:27" ht="16.899999999999999" x14ac:dyDescent="0.5">
      <c r="A59" s="270"/>
      <c r="B59" s="270"/>
      <c r="C59" s="270"/>
      <c r="D59" s="268"/>
      <c r="E59" s="270"/>
      <c r="F59" s="268"/>
      <c r="G59" s="270"/>
      <c r="H59" s="268"/>
      <c r="I59" s="270"/>
      <c r="J59" s="268"/>
      <c r="K59" s="270"/>
      <c r="L59" s="268"/>
      <c r="M59" s="270"/>
      <c r="N59" s="268"/>
      <c r="O59" s="270"/>
      <c r="P59" s="268"/>
      <c r="Q59" s="270"/>
      <c r="R59" s="268"/>
      <c r="S59" s="270"/>
      <c r="T59" s="268"/>
      <c r="U59" s="270"/>
      <c r="V59" s="268"/>
      <c r="W59" s="270"/>
      <c r="X59" s="270"/>
      <c r="Y59" s="270"/>
      <c r="Z59" s="270"/>
      <c r="AA59" s="270"/>
    </row>
    <row r="60" spans="1:27" ht="16.899999999999999" x14ac:dyDescent="0.5">
      <c r="A60" s="270"/>
      <c r="B60" s="270"/>
      <c r="C60" s="270"/>
      <c r="D60" s="268"/>
      <c r="E60" s="270"/>
      <c r="F60" s="268"/>
      <c r="G60" s="270"/>
      <c r="H60" s="268"/>
      <c r="I60" s="270"/>
      <c r="J60" s="268"/>
      <c r="K60" s="270"/>
      <c r="L60" s="268"/>
      <c r="M60" s="270"/>
      <c r="N60" s="268"/>
      <c r="O60" s="270"/>
      <c r="P60" s="268"/>
      <c r="Q60" s="270"/>
      <c r="R60" s="268"/>
      <c r="S60" s="270"/>
      <c r="T60" s="268"/>
      <c r="U60" s="270"/>
      <c r="V60" s="268"/>
      <c r="W60" s="270"/>
      <c r="X60" s="270"/>
      <c r="Y60" s="270"/>
      <c r="Z60" s="270"/>
      <c r="AA60" s="270"/>
    </row>
    <row r="61" spans="1:27" ht="16.899999999999999" x14ac:dyDescent="0.5">
      <c r="A61" s="270"/>
      <c r="B61" s="270"/>
      <c r="C61" s="270"/>
      <c r="D61" s="268"/>
      <c r="E61" s="270"/>
      <c r="F61" s="268"/>
      <c r="G61" s="270"/>
      <c r="H61" s="268"/>
      <c r="I61" s="270"/>
      <c r="J61" s="268"/>
      <c r="K61" s="270"/>
      <c r="L61" s="268"/>
      <c r="M61" s="270"/>
      <c r="N61" s="268"/>
      <c r="O61" s="270"/>
      <c r="P61" s="268"/>
      <c r="Q61" s="270"/>
      <c r="R61" s="268"/>
      <c r="S61" s="270"/>
      <c r="T61" s="268"/>
      <c r="U61" s="270"/>
      <c r="V61" s="268"/>
      <c r="W61" s="270"/>
      <c r="X61" s="270"/>
      <c r="Y61" s="270"/>
      <c r="Z61" s="270"/>
      <c r="AA61" s="270"/>
    </row>
    <row r="62" spans="1:27" ht="16.899999999999999" x14ac:dyDescent="0.5">
      <c r="A62" s="270"/>
      <c r="B62" s="270"/>
      <c r="C62" s="270"/>
      <c r="D62" s="268"/>
      <c r="E62" s="270"/>
      <c r="F62" s="268"/>
      <c r="G62" s="270"/>
      <c r="H62" s="268"/>
      <c r="I62" s="270"/>
      <c r="J62" s="268"/>
      <c r="K62" s="270"/>
      <c r="L62" s="268"/>
      <c r="M62" s="270"/>
      <c r="N62" s="268"/>
      <c r="O62" s="270"/>
      <c r="P62" s="268"/>
      <c r="Q62" s="270"/>
      <c r="R62" s="268"/>
      <c r="S62" s="270"/>
      <c r="T62" s="268"/>
      <c r="U62" s="270"/>
      <c r="V62" s="268"/>
      <c r="W62" s="270"/>
      <c r="X62" s="270"/>
      <c r="Y62" s="270"/>
      <c r="Z62" s="270"/>
      <c r="AA62" s="270"/>
    </row>
    <row r="63" spans="1:27" ht="16.899999999999999" x14ac:dyDescent="0.5">
      <c r="A63" s="270"/>
      <c r="B63" s="270"/>
      <c r="C63" s="270"/>
      <c r="D63" s="268"/>
      <c r="E63" s="270"/>
      <c r="F63" s="268"/>
      <c r="G63" s="270"/>
      <c r="H63" s="268"/>
      <c r="I63" s="270"/>
      <c r="J63" s="268"/>
      <c r="K63" s="270"/>
      <c r="L63" s="268"/>
      <c r="M63" s="270"/>
      <c r="N63" s="268"/>
      <c r="O63" s="270"/>
      <c r="P63" s="268"/>
      <c r="Q63" s="270"/>
      <c r="R63" s="268"/>
      <c r="S63" s="270"/>
      <c r="T63" s="268"/>
      <c r="U63" s="270"/>
      <c r="V63" s="268"/>
      <c r="W63" s="270"/>
      <c r="X63" s="270"/>
      <c r="Y63" s="270"/>
      <c r="Z63" s="270"/>
      <c r="AA63" s="270"/>
    </row>
    <row r="64" spans="1:27" ht="16.899999999999999" x14ac:dyDescent="0.5">
      <c r="A64" s="270"/>
      <c r="B64" s="270"/>
      <c r="C64" s="270"/>
      <c r="D64" s="268"/>
      <c r="E64" s="270"/>
      <c r="F64" s="268"/>
      <c r="G64" s="270"/>
      <c r="H64" s="268"/>
      <c r="I64" s="270"/>
      <c r="J64" s="268"/>
      <c r="K64" s="270"/>
      <c r="L64" s="268"/>
      <c r="M64" s="270"/>
      <c r="N64" s="268"/>
      <c r="O64" s="270"/>
      <c r="P64" s="268"/>
      <c r="Q64" s="270"/>
      <c r="R64" s="268"/>
      <c r="S64" s="270"/>
      <c r="T64" s="268"/>
      <c r="U64" s="270"/>
      <c r="V64" s="268"/>
      <c r="W64" s="270"/>
      <c r="X64" s="270"/>
      <c r="Y64" s="270"/>
      <c r="Z64" s="270"/>
      <c r="AA64" s="270"/>
    </row>
    <row r="65" spans="1:27" ht="16.899999999999999" x14ac:dyDescent="0.5">
      <c r="A65" s="270"/>
      <c r="B65" s="270"/>
      <c r="C65" s="270"/>
      <c r="D65" s="268"/>
      <c r="E65" s="270"/>
      <c r="F65" s="268"/>
      <c r="G65" s="270"/>
      <c r="H65" s="268"/>
      <c r="I65" s="270"/>
      <c r="J65" s="268"/>
      <c r="K65" s="270"/>
      <c r="L65" s="268"/>
      <c r="M65" s="270"/>
      <c r="N65" s="268"/>
      <c r="O65" s="270"/>
      <c r="P65" s="268"/>
      <c r="Q65" s="270"/>
      <c r="R65" s="268"/>
      <c r="S65" s="270"/>
      <c r="T65" s="268"/>
      <c r="U65" s="270"/>
      <c r="V65" s="268"/>
      <c r="W65" s="270"/>
      <c r="X65" s="270"/>
      <c r="Y65" s="270"/>
      <c r="Z65" s="270"/>
      <c r="AA65" s="270"/>
    </row>
    <row r="66" spans="1:27" ht="16.899999999999999" x14ac:dyDescent="0.5">
      <c r="A66" s="270"/>
      <c r="B66" s="270"/>
      <c r="C66" s="270"/>
      <c r="D66" s="268"/>
      <c r="E66" s="270"/>
      <c r="F66" s="268"/>
      <c r="G66" s="270"/>
      <c r="H66" s="268"/>
      <c r="I66" s="270"/>
      <c r="J66" s="268"/>
      <c r="K66" s="270"/>
      <c r="L66" s="268"/>
      <c r="M66" s="270"/>
      <c r="N66" s="268"/>
      <c r="O66" s="270"/>
      <c r="P66" s="268"/>
      <c r="Q66" s="270"/>
      <c r="R66" s="268"/>
      <c r="S66" s="270"/>
      <c r="T66" s="268"/>
      <c r="U66" s="270"/>
      <c r="V66" s="268"/>
      <c r="W66" s="270"/>
      <c r="X66" s="270"/>
      <c r="Y66" s="270"/>
      <c r="Z66" s="270"/>
      <c r="AA66" s="270"/>
    </row>
    <row r="67" spans="1:27" ht="16.899999999999999" x14ac:dyDescent="0.5">
      <c r="A67" s="270"/>
      <c r="B67" s="270"/>
      <c r="C67" s="270"/>
      <c r="D67" s="268"/>
      <c r="E67" s="270"/>
      <c r="F67" s="268"/>
      <c r="G67" s="270"/>
      <c r="H67" s="268"/>
      <c r="I67" s="270"/>
      <c r="J67" s="268"/>
      <c r="K67" s="270"/>
      <c r="L67" s="268"/>
      <c r="M67" s="270"/>
      <c r="N67" s="268"/>
      <c r="O67" s="270"/>
      <c r="P67" s="268"/>
      <c r="Q67" s="270"/>
      <c r="R67" s="268"/>
      <c r="S67" s="270"/>
      <c r="T67" s="268"/>
      <c r="U67" s="270"/>
      <c r="V67" s="268"/>
      <c r="W67" s="270"/>
      <c r="X67" s="270"/>
      <c r="Y67" s="270"/>
      <c r="Z67" s="270"/>
      <c r="AA67" s="270"/>
    </row>
    <row r="68" spans="1:27" ht="16.899999999999999" x14ac:dyDescent="0.5">
      <c r="A68" s="270"/>
      <c r="B68" s="270"/>
      <c r="C68" s="270"/>
      <c r="D68" s="268"/>
      <c r="E68" s="270"/>
      <c r="F68" s="268"/>
      <c r="G68" s="270"/>
      <c r="H68" s="268"/>
      <c r="I68" s="270"/>
      <c r="J68" s="268"/>
      <c r="K68" s="270"/>
      <c r="L68" s="268"/>
      <c r="M68" s="270"/>
      <c r="N68" s="268"/>
      <c r="O68" s="270"/>
      <c r="P68" s="268"/>
      <c r="Q68" s="270"/>
      <c r="R68" s="268"/>
      <c r="S68" s="270"/>
      <c r="T68" s="268"/>
      <c r="U68" s="270"/>
      <c r="V68" s="268"/>
      <c r="W68" s="270"/>
      <c r="X68" s="270"/>
      <c r="Y68" s="270"/>
      <c r="Z68" s="270"/>
      <c r="AA68" s="270"/>
    </row>
    <row r="69" spans="1:27" ht="16.899999999999999" x14ac:dyDescent="0.5">
      <c r="A69" s="270"/>
      <c r="B69" s="270"/>
      <c r="C69" s="270"/>
      <c r="D69" s="268"/>
      <c r="E69" s="270"/>
      <c r="F69" s="268"/>
      <c r="G69" s="270"/>
      <c r="H69" s="268"/>
      <c r="I69" s="270"/>
      <c r="J69" s="268"/>
      <c r="K69" s="270"/>
      <c r="L69" s="268"/>
      <c r="M69" s="270"/>
      <c r="N69" s="268"/>
      <c r="O69" s="270"/>
      <c r="P69" s="268"/>
      <c r="Q69" s="270"/>
      <c r="R69" s="268"/>
      <c r="S69" s="270"/>
      <c r="T69" s="268"/>
      <c r="U69" s="270"/>
      <c r="V69" s="268"/>
      <c r="W69" s="270"/>
      <c r="X69" s="270"/>
      <c r="Y69" s="270"/>
      <c r="Z69" s="270"/>
      <c r="AA69" s="270"/>
    </row>
    <row r="70" spans="1:27" ht="16.899999999999999" x14ac:dyDescent="0.5">
      <c r="A70" s="270"/>
      <c r="B70" s="270"/>
      <c r="C70" s="270"/>
      <c r="D70" s="268"/>
      <c r="E70" s="270"/>
      <c r="F70" s="268"/>
      <c r="G70" s="270"/>
      <c r="H70" s="268"/>
      <c r="I70" s="270"/>
      <c r="J70" s="268"/>
      <c r="K70" s="270"/>
      <c r="L70" s="268"/>
      <c r="M70" s="270"/>
      <c r="N70" s="268"/>
      <c r="O70" s="270"/>
      <c r="P70" s="268"/>
      <c r="Q70" s="270"/>
      <c r="R70" s="268"/>
      <c r="S70" s="270"/>
      <c r="T70" s="268"/>
      <c r="U70" s="270"/>
      <c r="V70" s="268"/>
      <c r="W70" s="270"/>
      <c r="X70" s="270"/>
      <c r="Y70" s="270"/>
      <c r="Z70" s="270"/>
      <c r="AA70" s="270"/>
    </row>
    <row r="71" spans="1:27" ht="16.899999999999999" x14ac:dyDescent="0.5">
      <c r="A71" s="270"/>
      <c r="B71" s="270"/>
      <c r="C71" s="270"/>
      <c r="D71" s="268"/>
      <c r="E71" s="270"/>
      <c r="F71" s="268"/>
      <c r="G71" s="270"/>
      <c r="H71" s="268"/>
      <c r="I71" s="270"/>
      <c r="J71" s="268"/>
      <c r="K71" s="270"/>
      <c r="L71" s="268"/>
      <c r="M71" s="270"/>
      <c r="N71" s="268"/>
      <c r="O71" s="270"/>
      <c r="P71" s="268"/>
      <c r="Q71" s="270"/>
      <c r="R71" s="268"/>
      <c r="S71" s="270"/>
      <c r="T71" s="268"/>
      <c r="U71" s="270"/>
      <c r="V71" s="268"/>
      <c r="W71" s="270"/>
      <c r="X71" s="270"/>
      <c r="Y71" s="270"/>
      <c r="Z71" s="270"/>
      <c r="AA71" s="270"/>
    </row>
    <row r="72" spans="1:27" ht="16.899999999999999" x14ac:dyDescent="0.5">
      <c r="A72" s="270"/>
      <c r="B72" s="270"/>
      <c r="C72" s="270"/>
      <c r="D72" s="268"/>
      <c r="E72" s="270"/>
      <c r="F72" s="268"/>
      <c r="G72" s="270"/>
      <c r="H72" s="268"/>
      <c r="I72" s="270"/>
      <c r="J72" s="268"/>
      <c r="K72" s="270"/>
      <c r="L72" s="268"/>
      <c r="M72" s="270"/>
      <c r="N72" s="268"/>
      <c r="O72" s="270"/>
      <c r="P72" s="268"/>
      <c r="Q72" s="270"/>
      <c r="R72" s="268"/>
      <c r="S72" s="270"/>
      <c r="T72" s="268"/>
      <c r="U72" s="270"/>
      <c r="V72" s="268"/>
      <c r="W72" s="270"/>
      <c r="X72" s="270"/>
      <c r="Y72" s="270"/>
      <c r="Z72" s="270"/>
      <c r="AA72" s="270"/>
    </row>
    <row r="73" spans="1:27" ht="16.899999999999999" x14ac:dyDescent="0.5">
      <c r="A73" s="270"/>
      <c r="B73" s="270"/>
      <c r="C73" s="270"/>
      <c r="D73" s="268"/>
      <c r="E73" s="270"/>
      <c r="F73" s="268"/>
      <c r="G73" s="270"/>
      <c r="H73" s="268"/>
      <c r="I73" s="270"/>
      <c r="J73" s="268"/>
      <c r="K73" s="270"/>
      <c r="L73" s="268"/>
      <c r="M73" s="270"/>
      <c r="N73" s="268"/>
      <c r="O73" s="270"/>
      <c r="P73" s="268"/>
      <c r="Q73" s="270"/>
      <c r="R73" s="268"/>
      <c r="S73" s="270"/>
      <c r="T73" s="268"/>
      <c r="U73" s="270"/>
      <c r="V73" s="268"/>
      <c r="W73" s="270"/>
      <c r="X73" s="270"/>
      <c r="Y73" s="270"/>
      <c r="Z73" s="270"/>
      <c r="AA73" s="270"/>
    </row>
    <row r="74" spans="1:27" ht="16.899999999999999" x14ac:dyDescent="0.5">
      <c r="A74" s="270"/>
      <c r="B74" s="270"/>
      <c r="C74" s="270"/>
      <c r="D74" s="268"/>
      <c r="E74" s="270"/>
      <c r="F74" s="268"/>
      <c r="G74" s="270"/>
      <c r="H74" s="268"/>
      <c r="I74" s="270"/>
      <c r="J74" s="268"/>
      <c r="K74" s="270"/>
      <c r="L74" s="268"/>
      <c r="M74" s="270"/>
      <c r="N74" s="268"/>
      <c r="O74" s="270"/>
      <c r="P74" s="268"/>
      <c r="Q74" s="270"/>
      <c r="R74" s="268"/>
      <c r="S74" s="270"/>
      <c r="T74" s="268"/>
      <c r="U74" s="270"/>
      <c r="V74" s="268"/>
      <c r="W74" s="270"/>
      <c r="X74" s="270"/>
      <c r="Y74" s="270"/>
      <c r="Z74" s="270"/>
      <c r="AA74" s="270"/>
    </row>
    <row r="75" spans="1:27" ht="16.899999999999999" x14ac:dyDescent="0.5">
      <c r="A75" s="270"/>
      <c r="B75" s="270"/>
      <c r="C75" s="270"/>
      <c r="D75" s="268"/>
      <c r="E75" s="270"/>
      <c r="F75" s="268"/>
      <c r="G75" s="270"/>
      <c r="H75" s="268"/>
      <c r="I75" s="270"/>
      <c r="J75" s="268"/>
      <c r="K75" s="270"/>
      <c r="L75" s="268"/>
      <c r="M75" s="270"/>
      <c r="N75" s="268"/>
      <c r="O75" s="270"/>
      <c r="P75" s="268"/>
      <c r="Q75" s="270"/>
      <c r="R75" s="268"/>
      <c r="S75" s="270"/>
      <c r="T75" s="268"/>
      <c r="U75" s="270"/>
      <c r="V75" s="268"/>
      <c r="W75" s="270"/>
      <c r="X75" s="270"/>
      <c r="Y75" s="270"/>
      <c r="Z75" s="270"/>
      <c r="AA75" s="270"/>
    </row>
    <row r="76" spans="1:27" ht="16.899999999999999" x14ac:dyDescent="0.5">
      <c r="A76" s="270"/>
      <c r="B76" s="270"/>
      <c r="C76" s="270"/>
      <c r="D76" s="268"/>
      <c r="E76" s="270"/>
      <c r="F76" s="268"/>
      <c r="G76" s="270"/>
      <c r="H76" s="268"/>
      <c r="I76" s="270"/>
      <c r="J76" s="268"/>
      <c r="K76" s="270"/>
      <c r="L76" s="268"/>
      <c r="M76" s="270"/>
      <c r="N76" s="268"/>
      <c r="O76" s="270"/>
      <c r="P76" s="268"/>
      <c r="Q76" s="270"/>
      <c r="R76" s="268"/>
      <c r="S76" s="270"/>
      <c r="T76" s="268"/>
      <c r="U76" s="270"/>
      <c r="V76" s="268"/>
      <c r="W76" s="270"/>
      <c r="X76" s="270"/>
      <c r="Y76" s="270"/>
      <c r="Z76" s="270"/>
      <c r="AA76" s="270"/>
    </row>
    <row r="77" spans="1:27" ht="16.899999999999999" x14ac:dyDescent="0.5">
      <c r="A77" s="270"/>
      <c r="B77" s="270"/>
      <c r="C77" s="270"/>
      <c r="D77" s="268"/>
      <c r="E77" s="270"/>
      <c r="F77" s="268"/>
      <c r="G77" s="270"/>
      <c r="H77" s="268"/>
      <c r="I77" s="270"/>
      <c r="J77" s="268"/>
      <c r="K77" s="270"/>
      <c r="L77" s="268"/>
      <c r="M77" s="270"/>
      <c r="N77" s="268"/>
      <c r="O77" s="270"/>
      <c r="P77" s="268"/>
      <c r="Q77" s="270"/>
      <c r="R77" s="268"/>
      <c r="S77" s="270"/>
      <c r="T77" s="268"/>
      <c r="U77" s="270"/>
      <c r="V77" s="268"/>
      <c r="W77" s="270"/>
      <c r="X77" s="270"/>
      <c r="Y77" s="270"/>
      <c r="Z77" s="270"/>
      <c r="AA77" s="270"/>
    </row>
    <row r="78" spans="1:27" ht="16.899999999999999" x14ac:dyDescent="0.5">
      <c r="A78" s="270"/>
      <c r="B78" s="270"/>
      <c r="C78" s="270"/>
      <c r="D78" s="268"/>
      <c r="E78" s="270"/>
      <c r="F78" s="268"/>
      <c r="G78" s="270"/>
      <c r="H78" s="268"/>
      <c r="I78" s="270"/>
      <c r="J78" s="268"/>
      <c r="K78" s="270"/>
      <c r="L78" s="268"/>
      <c r="M78" s="270"/>
      <c r="N78" s="268"/>
      <c r="O78" s="270"/>
      <c r="P78" s="268"/>
      <c r="Q78" s="270"/>
      <c r="R78" s="268"/>
      <c r="S78" s="270"/>
      <c r="T78" s="268"/>
      <c r="U78" s="270"/>
      <c r="V78" s="268"/>
      <c r="W78" s="270"/>
      <c r="X78" s="270"/>
      <c r="Y78" s="270"/>
      <c r="Z78" s="270"/>
      <c r="AA78" s="270"/>
    </row>
    <row r="79" spans="1:27" ht="16.899999999999999" x14ac:dyDescent="0.5">
      <c r="A79" s="270"/>
      <c r="B79" s="270"/>
      <c r="C79" s="270"/>
      <c r="D79" s="268"/>
      <c r="E79" s="270"/>
      <c r="F79" s="268"/>
      <c r="G79" s="270"/>
      <c r="H79" s="268"/>
      <c r="I79" s="270"/>
      <c r="J79" s="268"/>
      <c r="K79" s="270"/>
      <c r="L79" s="268"/>
      <c r="M79" s="270"/>
      <c r="N79" s="268"/>
      <c r="O79" s="270"/>
      <c r="P79" s="268"/>
      <c r="Q79" s="270"/>
      <c r="R79" s="268"/>
      <c r="S79" s="270"/>
      <c r="T79" s="268"/>
      <c r="U79" s="270"/>
      <c r="V79" s="268"/>
      <c r="W79" s="270"/>
      <c r="X79" s="270"/>
      <c r="Y79" s="270"/>
      <c r="Z79" s="270"/>
      <c r="AA79" s="270"/>
    </row>
    <row r="80" spans="1:27" ht="16.899999999999999" x14ac:dyDescent="0.5">
      <c r="A80" s="270"/>
      <c r="B80" s="270"/>
      <c r="C80" s="270"/>
      <c r="D80" s="268"/>
      <c r="E80" s="270"/>
      <c r="F80" s="268"/>
      <c r="G80" s="270"/>
      <c r="H80" s="268"/>
      <c r="I80" s="270"/>
      <c r="J80" s="268"/>
      <c r="K80" s="270"/>
      <c r="L80" s="268"/>
      <c r="M80" s="270"/>
      <c r="N80" s="268"/>
      <c r="O80" s="270"/>
      <c r="P80" s="268"/>
      <c r="Q80" s="270"/>
      <c r="R80" s="268"/>
      <c r="S80" s="270"/>
      <c r="T80" s="268"/>
      <c r="U80" s="270"/>
      <c r="V80" s="268"/>
      <c r="W80" s="270"/>
      <c r="X80" s="270"/>
      <c r="Y80" s="270"/>
      <c r="Z80" s="270"/>
      <c r="AA80" s="270"/>
    </row>
    <row r="81" spans="1:27" ht="16.899999999999999" x14ac:dyDescent="0.5">
      <c r="A81" s="270"/>
      <c r="B81" s="270"/>
      <c r="C81" s="270"/>
      <c r="D81" s="268"/>
      <c r="E81" s="270"/>
      <c r="F81" s="268"/>
      <c r="G81" s="270"/>
      <c r="H81" s="268"/>
      <c r="I81" s="270"/>
      <c r="J81" s="268"/>
      <c r="K81" s="270"/>
      <c r="L81" s="268"/>
      <c r="M81" s="270"/>
      <c r="N81" s="268"/>
      <c r="O81" s="270"/>
      <c r="P81" s="268"/>
      <c r="Q81" s="270"/>
      <c r="R81" s="268"/>
      <c r="S81" s="270"/>
      <c r="T81" s="268"/>
      <c r="U81" s="270"/>
      <c r="V81" s="268"/>
      <c r="W81" s="270"/>
      <c r="X81" s="270"/>
      <c r="Y81" s="270"/>
      <c r="Z81" s="270"/>
      <c r="AA81" s="270"/>
    </row>
    <row r="82" spans="1:27" ht="16.899999999999999" x14ac:dyDescent="0.5">
      <c r="A82" s="270"/>
      <c r="B82" s="270"/>
      <c r="C82" s="270"/>
      <c r="D82" s="268"/>
      <c r="E82" s="270"/>
      <c r="F82" s="268"/>
      <c r="G82" s="270"/>
      <c r="H82" s="268"/>
      <c r="I82" s="270"/>
      <c r="J82" s="268"/>
      <c r="K82" s="270"/>
      <c r="L82" s="268"/>
      <c r="M82" s="270"/>
      <c r="N82" s="268"/>
      <c r="O82" s="270"/>
      <c r="P82" s="268"/>
      <c r="Q82" s="270"/>
      <c r="R82" s="268"/>
      <c r="S82" s="270"/>
      <c r="T82" s="268"/>
      <c r="U82" s="270"/>
      <c r="V82" s="268"/>
      <c r="W82" s="270"/>
      <c r="X82" s="270"/>
      <c r="Y82" s="270"/>
      <c r="Z82" s="270"/>
      <c r="AA82" s="270"/>
    </row>
    <row r="83" spans="1:27" ht="16.899999999999999" x14ac:dyDescent="0.5">
      <c r="A83" s="270"/>
      <c r="B83" s="270"/>
      <c r="C83" s="270"/>
      <c r="D83" s="268"/>
      <c r="E83" s="270"/>
      <c r="F83" s="268"/>
      <c r="G83" s="270"/>
      <c r="H83" s="268"/>
      <c r="I83" s="270"/>
      <c r="J83" s="268"/>
      <c r="K83" s="270"/>
      <c r="L83" s="268"/>
      <c r="M83" s="270"/>
      <c r="N83" s="268"/>
      <c r="O83" s="270"/>
      <c r="P83" s="268"/>
      <c r="Q83" s="270"/>
      <c r="R83" s="268"/>
      <c r="S83" s="270"/>
      <c r="T83" s="268"/>
      <c r="U83" s="270"/>
      <c r="V83" s="268"/>
      <c r="W83" s="270"/>
      <c r="X83" s="270"/>
      <c r="Y83" s="270"/>
      <c r="Z83" s="270"/>
      <c r="AA83" s="270"/>
    </row>
    <row r="84" spans="1:27" ht="16.899999999999999" x14ac:dyDescent="0.5">
      <c r="A84" s="270"/>
      <c r="B84" s="270"/>
      <c r="C84" s="270"/>
      <c r="D84" s="268"/>
      <c r="E84" s="270"/>
      <c r="F84" s="268"/>
      <c r="G84" s="270"/>
      <c r="H84" s="268"/>
      <c r="I84" s="270"/>
      <c r="J84" s="268"/>
      <c r="K84" s="270"/>
      <c r="L84" s="268"/>
      <c r="M84" s="270"/>
      <c r="N84" s="268"/>
      <c r="O84" s="270"/>
      <c r="P84" s="268"/>
      <c r="Q84" s="270"/>
      <c r="R84" s="268"/>
      <c r="S84" s="270"/>
      <c r="T84" s="268"/>
      <c r="U84" s="270"/>
      <c r="V84" s="268"/>
      <c r="W84" s="270"/>
      <c r="X84" s="270"/>
      <c r="Y84" s="270"/>
      <c r="Z84" s="270"/>
      <c r="AA84" s="270"/>
    </row>
    <row r="85" spans="1:27" ht="16.899999999999999" x14ac:dyDescent="0.5">
      <c r="A85" s="270"/>
      <c r="B85" s="270"/>
      <c r="C85" s="270"/>
      <c r="D85" s="268"/>
      <c r="E85" s="270"/>
      <c r="F85" s="268"/>
      <c r="G85" s="270"/>
      <c r="H85" s="268"/>
      <c r="I85" s="270"/>
      <c r="J85" s="268"/>
      <c r="K85" s="270"/>
      <c r="L85" s="268"/>
      <c r="M85" s="270"/>
      <c r="N85" s="268"/>
      <c r="O85" s="270"/>
      <c r="P85" s="268"/>
      <c r="Q85" s="270"/>
      <c r="R85" s="268"/>
      <c r="S85" s="270"/>
      <c r="T85" s="268"/>
      <c r="U85" s="270"/>
      <c r="V85" s="268"/>
      <c r="W85" s="270"/>
      <c r="X85" s="270"/>
      <c r="Y85" s="270"/>
      <c r="Z85" s="270"/>
      <c r="AA85" s="270"/>
    </row>
    <row r="86" spans="1:27" ht="16.899999999999999" x14ac:dyDescent="0.5">
      <c r="A86" s="270"/>
      <c r="B86" s="270"/>
      <c r="C86" s="270"/>
      <c r="D86" s="268"/>
      <c r="E86" s="270"/>
      <c r="F86" s="268"/>
      <c r="G86" s="270"/>
      <c r="H86" s="268"/>
      <c r="I86" s="270"/>
      <c r="J86" s="268"/>
      <c r="K86" s="270"/>
      <c r="L86" s="268"/>
      <c r="M86" s="270"/>
      <c r="N86" s="268"/>
      <c r="O86" s="270"/>
      <c r="P86" s="268"/>
      <c r="Q86" s="270"/>
      <c r="R86" s="268"/>
      <c r="S86" s="270"/>
      <c r="T86" s="268"/>
      <c r="U86" s="270"/>
      <c r="V86" s="268"/>
      <c r="W86" s="270"/>
      <c r="X86" s="270"/>
      <c r="Y86" s="270"/>
      <c r="Z86" s="270"/>
      <c r="AA86" s="270"/>
    </row>
    <row r="87" spans="1:27" ht="16.899999999999999" x14ac:dyDescent="0.5">
      <c r="A87" s="270"/>
      <c r="B87" s="270"/>
      <c r="C87" s="270"/>
      <c r="D87" s="268"/>
      <c r="E87" s="270"/>
      <c r="F87" s="268"/>
      <c r="G87" s="270"/>
      <c r="H87" s="268"/>
      <c r="I87" s="270"/>
      <c r="J87" s="268"/>
      <c r="K87" s="270"/>
      <c r="L87" s="268"/>
      <c r="M87" s="270"/>
      <c r="N87" s="268"/>
      <c r="O87" s="270"/>
      <c r="P87" s="268"/>
      <c r="Q87" s="270"/>
      <c r="R87" s="268"/>
      <c r="S87" s="270"/>
      <c r="T87" s="268"/>
      <c r="U87" s="270"/>
      <c r="V87" s="268"/>
      <c r="W87" s="270"/>
      <c r="X87" s="270"/>
      <c r="Y87" s="270"/>
      <c r="Z87" s="270"/>
      <c r="AA87" s="270"/>
    </row>
    <row r="88" spans="1:27" ht="16.899999999999999" x14ac:dyDescent="0.5">
      <c r="A88" s="270"/>
      <c r="B88" s="270"/>
      <c r="C88" s="270"/>
      <c r="D88" s="268"/>
      <c r="E88" s="270"/>
      <c r="F88" s="268"/>
      <c r="G88" s="270"/>
      <c r="H88" s="268"/>
      <c r="I88" s="270"/>
      <c r="J88" s="268"/>
      <c r="K88" s="270"/>
      <c r="L88" s="268"/>
      <c r="M88" s="270"/>
      <c r="N88" s="268"/>
      <c r="O88" s="270"/>
      <c r="P88" s="268"/>
      <c r="Q88" s="270"/>
      <c r="R88" s="268"/>
      <c r="S88" s="270"/>
      <c r="T88" s="268"/>
      <c r="U88" s="270"/>
      <c r="V88" s="268"/>
      <c r="W88" s="270"/>
      <c r="X88" s="270"/>
      <c r="Y88" s="270"/>
      <c r="Z88" s="270"/>
      <c r="AA88" s="270"/>
    </row>
    <row r="89" spans="1:27" ht="16.899999999999999" x14ac:dyDescent="0.5">
      <c r="A89" s="270"/>
      <c r="B89" s="270"/>
      <c r="C89" s="270"/>
      <c r="D89" s="268"/>
      <c r="E89" s="270"/>
      <c r="F89" s="268"/>
      <c r="G89" s="270"/>
      <c r="H89" s="268"/>
      <c r="I89" s="270"/>
      <c r="J89" s="268"/>
      <c r="K89" s="270"/>
      <c r="L89" s="268"/>
      <c r="M89" s="270"/>
      <c r="N89" s="268"/>
      <c r="O89" s="270"/>
      <c r="P89" s="268"/>
      <c r="Q89" s="270"/>
      <c r="R89" s="268"/>
      <c r="S89" s="270"/>
      <c r="T89" s="268"/>
      <c r="U89" s="270"/>
      <c r="V89" s="268"/>
      <c r="W89" s="270"/>
      <c r="X89" s="270"/>
      <c r="Y89" s="270"/>
      <c r="Z89" s="270"/>
      <c r="AA89" s="270"/>
    </row>
    <row r="90" spans="1:27" ht="16.899999999999999" x14ac:dyDescent="0.5">
      <c r="A90" s="270"/>
      <c r="B90" s="270"/>
      <c r="C90" s="270"/>
      <c r="D90" s="268"/>
      <c r="E90" s="270"/>
      <c r="F90" s="268"/>
      <c r="G90" s="270"/>
      <c r="H90" s="268"/>
      <c r="I90" s="270"/>
      <c r="J90" s="268"/>
      <c r="K90" s="270"/>
      <c r="L90" s="268"/>
      <c r="M90" s="270"/>
      <c r="N90" s="268"/>
      <c r="O90" s="270"/>
      <c r="P90" s="268"/>
      <c r="Q90" s="270"/>
      <c r="R90" s="268"/>
      <c r="S90" s="270"/>
      <c r="T90" s="268"/>
      <c r="U90" s="270"/>
      <c r="V90" s="268"/>
      <c r="W90" s="270"/>
      <c r="X90" s="270"/>
      <c r="Y90" s="270"/>
      <c r="Z90" s="270"/>
      <c r="AA90" s="270"/>
    </row>
    <row r="91" spans="1:27" ht="16.899999999999999" x14ac:dyDescent="0.5">
      <c r="A91" s="270"/>
      <c r="B91" s="270"/>
      <c r="C91" s="270"/>
      <c r="D91" s="268"/>
      <c r="E91" s="270"/>
      <c r="F91" s="268"/>
      <c r="G91" s="270"/>
      <c r="H91" s="268"/>
      <c r="I91" s="270"/>
      <c r="J91" s="268"/>
      <c r="K91" s="270"/>
      <c r="L91" s="268"/>
      <c r="M91" s="270"/>
      <c r="N91" s="268"/>
      <c r="O91" s="270"/>
      <c r="P91" s="268"/>
      <c r="Q91" s="270"/>
      <c r="R91" s="268"/>
      <c r="S91" s="270"/>
      <c r="T91" s="268"/>
      <c r="U91" s="270"/>
      <c r="V91" s="268"/>
      <c r="W91" s="270"/>
      <c r="X91" s="270"/>
      <c r="Y91" s="270"/>
      <c r="Z91" s="270"/>
      <c r="AA91" s="270"/>
    </row>
    <row r="92" spans="1:27" ht="16.899999999999999" x14ac:dyDescent="0.5">
      <c r="A92" s="270"/>
      <c r="B92" s="270"/>
      <c r="C92" s="270"/>
      <c r="D92" s="268"/>
      <c r="E92" s="270"/>
      <c r="F92" s="268"/>
      <c r="G92" s="270"/>
      <c r="H92" s="268"/>
      <c r="I92" s="270"/>
      <c r="J92" s="268"/>
      <c r="K92" s="270"/>
      <c r="L92" s="268"/>
      <c r="M92" s="270"/>
      <c r="N92" s="268"/>
      <c r="O92" s="270"/>
      <c r="P92" s="268"/>
      <c r="Q92" s="270"/>
      <c r="R92" s="268"/>
      <c r="S92" s="270"/>
      <c r="T92" s="268"/>
      <c r="U92" s="270"/>
      <c r="V92" s="268"/>
      <c r="W92" s="270"/>
      <c r="X92" s="270"/>
      <c r="Y92" s="270"/>
      <c r="Z92" s="270"/>
      <c r="AA92" s="270"/>
    </row>
    <row r="93" spans="1:27" ht="16.899999999999999" x14ac:dyDescent="0.5">
      <c r="A93" s="270"/>
      <c r="B93" s="270"/>
      <c r="C93" s="270"/>
      <c r="D93" s="268"/>
      <c r="E93" s="270"/>
      <c r="F93" s="268"/>
      <c r="G93" s="270"/>
      <c r="H93" s="268"/>
      <c r="I93" s="270"/>
      <c r="J93" s="268"/>
      <c r="K93" s="270"/>
      <c r="L93" s="268"/>
      <c r="M93" s="270"/>
      <c r="N93" s="268"/>
      <c r="O93" s="270"/>
      <c r="P93" s="268"/>
      <c r="Q93" s="270"/>
      <c r="R93" s="268"/>
      <c r="S93" s="270"/>
      <c r="T93" s="268"/>
      <c r="U93" s="270"/>
      <c r="V93" s="268"/>
      <c r="W93" s="270"/>
      <c r="X93" s="270"/>
      <c r="Y93" s="270"/>
      <c r="Z93" s="270"/>
      <c r="AA93" s="270"/>
    </row>
    <row r="94" spans="1:27" ht="16.899999999999999" x14ac:dyDescent="0.5">
      <c r="A94" s="270"/>
      <c r="B94" s="270"/>
      <c r="C94" s="270"/>
      <c r="D94" s="268"/>
      <c r="E94" s="270"/>
      <c r="F94" s="268"/>
      <c r="G94" s="270"/>
      <c r="H94" s="268"/>
      <c r="I94" s="270"/>
      <c r="J94" s="268"/>
      <c r="K94" s="270"/>
      <c r="L94" s="268"/>
      <c r="M94" s="270"/>
      <c r="N94" s="268"/>
      <c r="O94" s="270"/>
      <c r="P94" s="268"/>
      <c r="Q94" s="270"/>
      <c r="R94" s="268"/>
      <c r="S94" s="270"/>
      <c r="T94" s="268"/>
      <c r="U94" s="270"/>
      <c r="V94" s="268"/>
      <c r="W94" s="270"/>
      <c r="X94" s="270"/>
      <c r="Y94" s="270"/>
      <c r="Z94" s="270"/>
      <c r="AA94" s="270"/>
    </row>
    <row r="95" spans="1:27" ht="16.899999999999999" x14ac:dyDescent="0.5">
      <c r="A95" s="270"/>
      <c r="B95" s="270"/>
      <c r="C95" s="270"/>
      <c r="D95" s="268"/>
      <c r="E95" s="270"/>
      <c r="F95" s="268"/>
      <c r="G95" s="270"/>
      <c r="H95" s="268"/>
      <c r="I95" s="270"/>
      <c r="J95" s="268"/>
      <c r="K95" s="270"/>
      <c r="L95" s="268"/>
      <c r="M95" s="270"/>
      <c r="N95" s="268"/>
      <c r="O95" s="270"/>
      <c r="P95" s="268"/>
      <c r="Q95" s="270"/>
      <c r="R95" s="268"/>
      <c r="S95" s="270"/>
      <c r="T95" s="268"/>
      <c r="U95" s="270"/>
      <c r="V95" s="268"/>
      <c r="W95" s="270"/>
      <c r="X95" s="270"/>
      <c r="Y95" s="270"/>
      <c r="Z95" s="270"/>
      <c r="AA95" s="270"/>
    </row>
    <row r="96" spans="1:27" ht="16.899999999999999" x14ac:dyDescent="0.5">
      <c r="A96" s="270"/>
      <c r="B96" s="270"/>
      <c r="C96" s="270"/>
      <c r="D96" s="268"/>
      <c r="E96" s="270"/>
      <c r="F96" s="268"/>
      <c r="G96" s="270"/>
      <c r="H96" s="268"/>
      <c r="I96" s="270"/>
      <c r="J96" s="268"/>
      <c r="K96" s="270"/>
      <c r="L96" s="268"/>
      <c r="M96" s="270"/>
      <c r="N96" s="268"/>
      <c r="O96" s="270"/>
      <c r="P96" s="268"/>
      <c r="Q96" s="270"/>
      <c r="R96" s="268"/>
      <c r="S96" s="270"/>
      <c r="T96" s="268"/>
      <c r="U96" s="270"/>
      <c r="V96" s="268"/>
      <c r="W96" s="270"/>
      <c r="X96" s="270"/>
      <c r="Y96" s="270"/>
      <c r="Z96" s="270"/>
      <c r="AA96" s="270"/>
    </row>
    <row r="97" spans="1:27" ht="16.899999999999999" x14ac:dyDescent="0.5">
      <c r="A97" s="270"/>
      <c r="B97" s="270"/>
      <c r="C97" s="270"/>
      <c r="D97" s="268"/>
      <c r="E97" s="270"/>
      <c r="F97" s="268"/>
      <c r="G97" s="270"/>
      <c r="H97" s="268"/>
      <c r="I97" s="270"/>
      <c r="J97" s="268"/>
      <c r="K97" s="270"/>
      <c r="L97" s="268"/>
      <c r="M97" s="270"/>
      <c r="N97" s="268"/>
      <c r="O97" s="270"/>
      <c r="P97" s="268"/>
      <c r="Q97" s="270"/>
      <c r="R97" s="268"/>
      <c r="S97" s="270"/>
      <c r="T97" s="268"/>
      <c r="U97" s="270"/>
      <c r="V97" s="268"/>
      <c r="W97" s="270"/>
      <c r="X97" s="270"/>
      <c r="Y97" s="270"/>
      <c r="Z97" s="270"/>
      <c r="AA97" s="270"/>
    </row>
    <row r="98" spans="1:27" ht="16.899999999999999" x14ac:dyDescent="0.5">
      <c r="A98" s="270"/>
      <c r="B98" s="270"/>
      <c r="C98" s="270"/>
      <c r="D98" s="268"/>
      <c r="E98" s="270"/>
      <c r="F98" s="268"/>
      <c r="G98" s="270"/>
      <c r="H98" s="268"/>
      <c r="I98" s="270"/>
      <c r="J98" s="268"/>
      <c r="K98" s="270"/>
      <c r="L98" s="268"/>
      <c r="M98" s="270"/>
      <c r="N98" s="268"/>
      <c r="O98" s="270"/>
      <c r="P98" s="268"/>
      <c r="Q98" s="270"/>
      <c r="R98" s="268"/>
      <c r="S98" s="270"/>
      <c r="T98" s="268"/>
      <c r="U98" s="270"/>
      <c r="V98" s="268"/>
      <c r="W98" s="270"/>
      <c r="X98" s="270"/>
      <c r="Y98" s="270"/>
      <c r="Z98" s="270"/>
      <c r="AA98" s="270"/>
    </row>
    <row r="99" spans="1:27" ht="16.899999999999999" x14ac:dyDescent="0.5">
      <c r="A99" s="270"/>
      <c r="B99" s="270"/>
      <c r="C99" s="270"/>
      <c r="D99" s="268"/>
      <c r="E99" s="270"/>
      <c r="F99" s="268"/>
      <c r="G99" s="270"/>
      <c r="H99" s="268"/>
      <c r="I99" s="270"/>
      <c r="J99" s="268"/>
      <c r="K99" s="270"/>
      <c r="L99" s="268"/>
      <c r="M99" s="270"/>
      <c r="N99" s="268"/>
      <c r="O99" s="270"/>
      <c r="P99" s="268"/>
      <c r="Q99" s="270"/>
      <c r="R99" s="268"/>
      <c r="S99" s="270"/>
      <c r="T99" s="268"/>
      <c r="U99" s="270"/>
      <c r="V99" s="268"/>
      <c r="W99" s="270"/>
      <c r="X99" s="270"/>
      <c r="Y99" s="270"/>
      <c r="Z99" s="270"/>
      <c r="AA99" s="270"/>
    </row>
    <row r="100" spans="1:27" ht="16.899999999999999" x14ac:dyDescent="0.5">
      <c r="A100" s="270"/>
      <c r="B100" s="270"/>
      <c r="C100" s="270"/>
      <c r="D100" s="268"/>
      <c r="E100" s="270"/>
      <c r="F100" s="268"/>
      <c r="G100" s="270"/>
      <c r="H100" s="268"/>
      <c r="I100" s="270"/>
      <c r="J100" s="268"/>
      <c r="K100" s="270"/>
      <c r="L100" s="268"/>
      <c r="M100" s="270"/>
      <c r="N100" s="268"/>
      <c r="O100" s="270"/>
      <c r="P100" s="268"/>
      <c r="Q100" s="270"/>
      <c r="R100" s="268"/>
      <c r="S100" s="270"/>
      <c r="T100" s="268"/>
      <c r="U100" s="270"/>
      <c r="V100" s="268"/>
      <c r="W100" s="270"/>
      <c r="X100" s="270"/>
      <c r="Y100" s="270"/>
      <c r="Z100" s="270"/>
      <c r="AA100" s="270"/>
    </row>
    <row r="101" spans="1:27" ht="16.899999999999999" x14ac:dyDescent="0.5">
      <c r="A101" s="270"/>
      <c r="B101" s="270"/>
      <c r="C101" s="270"/>
      <c r="D101" s="268"/>
      <c r="E101" s="270"/>
      <c r="F101" s="268"/>
      <c r="G101" s="270"/>
      <c r="H101" s="268"/>
      <c r="I101" s="270"/>
      <c r="J101" s="268"/>
      <c r="K101" s="270"/>
      <c r="L101" s="268"/>
      <c r="M101" s="270"/>
      <c r="N101" s="268"/>
      <c r="O101" s="270"/>
      <c r="P101" s="268"/>
      <c r="Q101" s="270"/>
      <c r="R101" s="268"/>
      <c r="S101" s="270"/>
      <c r="T101" s="268"/>
      <c r="U101" s="270"/>
      <c r="V101" s="268"/>
      <c r="W101" s="270"/>
      <c r="X101" s="270"/>
      <c r="Y101" s="270"/>
      <c r="Z101" s="270"/>
      <c r="AA101" s="270"/>
    </row>
    <row r="102" spans="1:27" ht="16.899999999999999" x14ac:dyDescent="0.5">
      <c r="A102" s="270"/>
      <c r="B102" s="270"/>
      <c r="C102" s="270"/>
      <c r="D102" s="268"/>
      <c r="E102" s="270"/>
      <c r="F102" s="268"/>
      <c r="G102" s="270"/>
      <c r="H102" s="268"/>
      <c r="I102" s="270"/>
      <c r="J102" s="268"/>
      <c r="K102" s="270"/>
      <c r="L102" s="268"/>
      <c r="M102" s="270"/>
      <c r="N102" s="268"/>
      <c r="O102" s="270"/>
      <c r="P102" s="268"/>
      <c r="Q102" s="270"/>
      <c r="R102" s="268"/>
      <c r="S102" s="270"/>
      <c r="T102" s="268"/>
      <c r="U102" s="270"/>
      <c r="V102" s="268"/>
      <c r="W102" s="270"/>
      <c r="X102" s="270"/>
      <c r="Y102" s="270"/>
      <c r="Z102" s="270"/>
      <c r="AA102" s="270"/>
    </row>
    <row r="103" spans="1:27" ht="16.899999999999999" x14ac:dyDescent="0.5">
      <c r="A103" s="270"/>
      <c r="B103" s="270"/>
      <c r="C103" s="270"/>
      <c r="D103" s="268"/>
      <c r="E103" s="270"/>
      <c r="F103" s="268"/>
      <c r="G103" s="270"/>
      <c r="H103" s="268"/>
      <c r="I103" s="270"/>
      <c r="J103" s="268"/>
      <c r="K103" s="270"/>
      <c r="L103" s="268"/>
      <c r="M103" s="270"/>
      <c r="N103" s="268"/>
      <c r="O103" s="270"/>
      <c r="P103" s="268"/>
      <c r="Q103" s="270"/>
      <c r="R103" s="268"/>
      <c r="S103" s="270"/>
      <c r="T103" s="268"/>
      <c r="U103" s="270"/>
      <c r="V103" s="268"/>
      <c r="W103" s="270"/>
      <c r="X103" s="270"/>
      <c r="Y103" s="270"/>
      <c r="Z103" s="270"/>
      <c r="AA103" s="270"/>
    </row>
    <row r="104" spans="1:27" ht="16.899999999999999" x14ac:dyDescent="0.5">
      <c r="A104" s="270"/>
      <c r="B104" s="270"/>
      <c r="C104" s="270"/>
      <c r="D104" s="268"/>
      <c r="E104" s="270"/>
      <c r="F104" s="268"/>
      <c r="G104" s="270"/>
      <c r="H104" s="268"/>
      <c r="I104" s="270"/>
      <c r="J104" s="268"/>
      <c r="K104" s="270"/>
      <c r="L104" s="268"/>
      <c r="M104" s="270"/>
      <c r="N104" s="268"/>
      <c r="O104" s="270"/>
      <c r="P104" s="268"/>
      <c r="Q104" s="270"/>
      <c r="R104" s="268"/>
      <c r="S104" s="270"/>
      <c r="T104" s="268"/>
      <c r="U104" s="270"/>
      <c r="V104" s="268"/>
      <c r="W104" s="270"/>
      <c r="X104" s="270"/>
      <c r="Y104" s="270"/>
      <c r="Z104" s="270"/>
      <c r="AA104" s="270"/>
    </row>
    <row r="105" spans="1:27" ht="16.899999999999999" x14ac:dyDescent="0.5">
      <c r="A105" s="270"/>
      <c r="B105" s="270"/>
      <c r="C105" s="270"/>
      <c r="D105" s="268"/>
      <c r="E105" s="270"/>
      <c r="F105" s="268"/>
      <c r="G105" s="270"/>
      <c r="H105" s="268"/>
      <c r="I105" s="270"/>
      <c r="J105" s="268"/>
      <c r="K105" s="270"/>
      <c r="L105" s="268"/>
      <c r="M105" s="270"/>
      <c r="N105" s="268"/>
      <c r="O105" s="270"/>
      <c r="P105" s="268"/>
      <c r="Q105" s="270"/>
      <c r="R105" s="268"/>
      <c r="S105" s="270"/>
      <c r="T105" s="268"/>
      <c r="U105" s="270"/>
      <c r="V105" s="268"/>
      <c r="W105" s="270"/>
      <c r="X105" s="270"/>
      <c r="Y105" s="270"/>
      <c r="Z105" s="270"/>
      <c r="AA105" s="270"/>
    </row>
    <row r="106" spans="1:27" ht="16.899999999999999" x14ac:dyDescent="0.5">
      <c r="A106" s="270"/>
      <c r="B106" s="270"/>
      <c r="C106" s="270"/>
      <c r="D106" s="268"/>
      <c r="E106" s="270"/>
      <c r="F106" s="268"/>
      <c r="G106" s="270"/>
      <c r="H106" s="268"/>
      <c r="I106" s="270"/>
      <c r="J106" s="268"/>
      <c r="K106" s="270"/>
      <c r="L106" s="268"/>
      <c r="M106" s="270"/>
      <c r="N106" s="268"/>
      <c r="O106" s="270"/>
      <c r="P106" s="268"/>
      <c r="Q106" s="270"/>
      <c r="R106" s="268"/>
      <c r="S106" s="270"/>
      <c r="T106" s="268"/>
      <c r="U106" s="270"/>
      <c r="V106" s="268"/>
      <c r="W106" s="270"/>
      <c r="X106" s="270"/>
      <c r="Y106" s="270"/>
      <c r="Z106" s="270"/>
      <c r="AA106" s="270"/>
    </row>
    <row r="107" spans="1:27" ht="16.899999999999999" x14ac:dyDescent="0.5">
      <c r="A107" s="270"/>
      <c r="B107" s="270"/>
      <c r="C107" s="270"/>
      <c r="D107" s="268"/>
      <c r="E107" s="270"/>
      <c r="F107" s="268"/>
      <c r="G107" s="270"/>
      <c r="H107" s="268"/>
      <c r="I107" s="270"/>
      <c r="J107" s="268"/>
      <c r="K107" s="270"/>
      <c r="L107" s="268"/>
      <c r="M107" s="270"/>
      <c r="N107" s="268"/>
      <c r="O107" s="270"/>
      <c r="P107" s="268"/>
      <c r="Q107" s="270"/>
      <c r="R107" s="268"/>
      <c r="S107" s="270"/>
      <c r="T107" s="268"/>
      <c r="U107" s="270"/>
      <c r="V107" s="268"/>
      <c r="W107" s="270"/>
      <c r="X107" s="270"/>
      <c r="Y107" s="270"/>
      <c r="Z107" s="270"/>
      <c r="AA107" s="270"/>
    </row>
    <row r="108" spans="1:27" ht="16.899999999999999" x14ac:dyDescent="0.5">
      <c r="A108" s="270"/>
      <c r="B108" s="270"/>
      <c r="C108" s="270"/>
      <c r="D108" s="268"/>
      <c r="E108" s="270"/>
      <c r="F108" s="268"/>
      <c r="G108" s="270"/>
      <c r="H108" s="268"/>
      <c r="I108" s="270"/>
      <c r="J108" s="268"/>
      <c r="K108" s="270"/>
      <c r="L108" s="268"/>
      <c r="M108" s="270"/>
      <c r="N108" s="268"/>
      <c r="O108" s="270"/>
      <c r="P108" s="268"/>
      <c r="Q108" s="270"/>
      <c r="R108" s="268"/>
      <c r="S108" s="270"/>
      <c r="T108" s="268"/>
      <c r="U108" s="270"/>
      <c r="V108" s="268"/>
      <c r="W108" s="270"/>
      <c r="X108" s="270"/>
      <c r="Y108" s="270"/>
      <c r="Z108" s="270"/>
      <c r="AA108" s="270"/>
    </row>
    <row r="109" spans="1:27" ht="16.899999999999999" x14ac:dyDescent="0.5">
      <c r="A109" s="270"/>
      <c r="B109" s="270"/>
      <c r="C109" s="270"/>
      <c r="D109" s="268"/>
      <c r="E109" s="270"/>
      <c r="F109" s="268"/>
      <c r="G109" s="270"/>
      <c r="H109" s="268"/>
      <c r="I109" s="270"/>
      <c r="J109" s="268"/>
      <c r="K109" s="270"/>
      <c r="L109" s="268"/>
      <c r="M109" s="270"/>
      <c r="N109" s="268"/>
      <c r="O109" s="270"/>
      <c r="P109" s="268"/>
      <c r="Q109" s="270"/>
      <c r="R109" s="268"/>
      <c r="S109" s="270"/>
      <c r="T109" s="268"/>
      <c r="U109" s="270"/>
      <c r="V109" s="268"/>
      <c r="W109" s="270"/>
      <c r="X109" s="270"/>
      <c r="Y109" s="270"/>
      <c r="Z109" s="270"/>
      <c r="AA109" s="270"/>
    </row>
    <row r="110" spans="1:27" ht="16.899999999999999" x14ac:dyDescent="0.5">
      <c r="A110" s="270"/>
      <c r="B110" s="270"/>
      <c r="C110" s="270"/>
      <c r="D110" s="268"/>
      <c r="E110" s="270"/>
      <c r="F110" s="268"/>
      <c r="G110" s="270"/>
      <c r="H110" s="268"/>
      <c r="I110" s="270"/>
      <c r="J110" s="268"/>
      <c r="K110" s="270"/>
      <c r="L110" s="268"/>
      <c r="M110" s="270"/>
      <c r="N110" s="268"/>
      <c r="O110" s="270"/>
      <c r="P110" s="268"/>
      <c r="Q110" s="270"/>
      <c r="R110" s="268"/>
      <c r="S110" s="270"/>
      <c r="T110" s="268"/>
      <c r="U110" s="270"/>
      <c r="V110" s="268"/>
      <c r="W110" s="270"/>
      <c r="X110" s="270"/>
      <c r="Y110" s="270"/>
      <c r="Z110" s="270"/>
      <c r="AA110" s="270"/>
    </row>
    <row r="111" spans="1:27" ht="16.899999999999999" x14ac:dyDescent="0.5">
      <c r="A111" s="270"/>
      <c r="B111" s="270"/>
      <c r="C111" s="270"/>
      <c r="D111" s="268"/>
      <c r="E111" s="270"/>
      <c r="F111" s="268"/>
      <c r="G111" s="270"/>
      <c r="H111" s="268"/>
      <c r="I111" s="270"/>
      <c r="J111" s="268"/>
      <c r="K111" s="270"/>
      <c r="L111" s="268"/>
      <c r="M111" s="270"/>
      <c r="N111" s="268"/>
      <c r="O111" s="270"/>
      <c r="P111" s="268"/>
      <c r="Q111" s="270"/>
      <c r="R111" s="268"/>
      <c r="S111" s="270"/>
      <c r="T111" s="268"/>
      <c r="U111" s="270"/>
      <c r="V111" s="268"/>
      <c r="W111" s="270"/>
      <c r="X111" s="270"/>
      <c r="Y111" s="270"/>
      <c r="Z111" s="270"/>
      <c r="AA111" s="270"/>
    </row>
    <row r="112" spans="1:27" ht="16.899999999999999" x14ac:dyDescent="0.5">
      <c r="A112" s="270"/>
      <c r="B112" s="270"/>
      <c r="C112" s="270"/>
      <c r="D112" s="268"/>
      <c r="E112" s="270"/>
      <c r="F112" s="268"/>
      <c r="G112" s="270"/>
      <c r="H112" s="268"/>
      <c r="I112" s="270"/>
      <c r="J112" s="268"/>
      <c r="K112" s="270"/>
      <c r="L112" s="268"/>
      <c r="M112" s="270"/>
      <c r="N112" s="268"/>
      <c r="O112" s="270"/>
      <c r="P112" s="268"/>
      <c r="Q112" s="270"/>
      <c r="R112" s="268"/>
      <c r="S112" s="270"/>
      <c r="T112" s="268"/>
      <c r="U112" s="270"/>
      <c r="V112" s="268"/>
      <c r="W112" s="270"/>
      <c r="X112" s="270"/>
      <c r="Y112" s="270"/>
      <c r="Z112" s="270"/>
      <c r="AA112" s="270"/>
    </row>
    <row r="113" spans="1:27" ht="16.899999999999999" x14ac:dyDescent="0.5">
      <c r="A113" s="270"/>
      <c r="B113" s="270"/>
      <c r="C113" s="270"/>
      <c r="D113" s="268"/>
      <c r="E113" s="270"/>
      <c r="F113" s="268"/>
      <c r="G113" s="270"/>
      <c r="H113" s="268"/>
      <c r="I113" s="270"/>
      <c r="J113" s="268"/>
      <c r="K113" s="270"/>
      <c r="L113" s="268"/>
      <c r="M113" s="270"/>
      <c r="N113" s="268"/>
      <c r="O113" s="270"/>
      <c r="P113" s="268"/>
      <c r="Q113" s="270"/>
      <c r="R113" s="268"/>
      <c r="S113" s="270"/>
      <c r="T113" s="268"/>
      <c r="U113" s="270"/>
      <c r="V113" s="268"/>
      <c r="W113" s="270"/>
      <c r="X113" s="270"/>
      <c r="Y113" s="270"/>
      <c r="Z113" s="270"/>
      <c r="AA113" s="270"/>
    </row>
    <row r="114" spans="1:27" ht="16.899999999999999" x14ac:dyDescent="0.5">
      <c r="A114" s="270"/>
      <c r="B114" s="270"/>
      <c r="C114" s="270"/>
      <c r="D114" s="268"/>
      <c r="E114" s="270"/>
      <c r="F114" s="268"/>
      <c r="G114" s="270"/>
      <c r="H114" s="268"/>
      <c r="I114" s="270"/>
      <c r="J114" s="268"/>
      <c r="K114" s="270"/>
      <c r="L114" s="268"/>
      <c r="M114" s="270"/>
      <c r="N114" s="268"/>
      <c r="O114" s="270"/>
      <c r="P114" s="268"/>
      <c r="Q114" s="270"/>
      <c r="R114" s="268"/>
      <c r="S114" s="270"/>
      <c r="T114" s="268"/>
      <c r="U114" s="270"/>
      <c r="V114" s="268"/>
      <c r="W114" s="270"/>
      <c r="X114" s="270"/>
      <c r="Y114" s="270"/>
      <c r="Z114" s="270"/>
      <c r="AA114" s="270"/>
    </row>
    <row r="115" spans="1:27" ht="16.899999999999999" x14ac:dyDescent="0.5">
      <c r="A115" s="270"/>
      <c r="B115" s="270"/>
      <c r="C115" s="270"/>
      <c r="D115" s="268"/>
      <c r="E115" s="270"/>
      <c r="F115" s="268"/>
      <c r="G115" s="270"/>
      <c r="H115" s="268"/>
      <c r="I115" s="270"/>
      <c r="J115" s="268"/>
      <c r="K115" s="270"/>
      <c r="L115" s="268"/>
      <c r="M115" s="270"/>
      <c r="N115" s="268"/>
      <c r="O115" s="270"/>
      <c r="P115" s="268"/>
      <c r="Q115" s="270"/>
      <c r="R115" s="268"/>
      <c r="S115" s="270"/>
      <c r="T115" s="268"/>
      <c r="U115" s="270"/>
      <c r="V115" s="268"/>
      <c r="W115" s="270"/>
      <c r="X115" s="270"/>
      <c r="Y115" s="270"/>
      <c r="Z115" s="270"/>
      <c r="AA115" s="270"/>
    </row>
    <row r="116" spans="1:27" ht="16.899999999999999" x14ac:dyDescent="0.5">
      <c r="A116" s="270"/>
      <c r="B116" s="270"/>
      <c r="C116" s="270"/>
      <c r="D116" s="268"/>
      <c r="E116" s="270"/>
      <c r="F116" s="268"/>
      <c r="G116" s="270"/>
      <c r="H116" s="268"/>
      <c r="I116" s="270"/>
      <c r="J116" s="268"/>
      <c r="K116" s="270"/>
      <c r="L116" s="268"/>
      <c r="M116" s="270"/>
      <c r="N116" s="268"/>
      <c r="O116" s="270"/>
      <c r="P116" s="268"/>
      <c r="Q116" s="270"/>
      <c r="R116" s="268"/>
      <c r="S116" s="270"/>
      <c r="T116" s="268"/>
      <c r="U116" s="270"/>
      <c r="V116" s="268"/>
      <c r="W116" s="270"/>
      <c r="X116" s="270"/>
      <c r="Y116" s="270"/>
      <c r="Z116" s="270"/>
      <c r="AA116" s="270"/>
    </row>
    <row r="117" spans="1:27" ht="16.899999999999999" x14ac:dyDescent="0.5">
      <c r="A117" s="270"/>
      <c r="B117" s="270"/>
      <c r="C117" s="270"/>
      <c r="D117" s="268"/>
      <c r="E117" s="270"/>
      <c r="F117" s="268"/>
      <c r="G117" s="270"/>
      <c r="H117" s="268"/>
      <c r="I117" s="270"/>
      <c r="J117" s="268"/>
      <c r="K117" s="270"/>
      <c r="L117" s="268"/>
      <c r="M117" s="270"/>
      <c r="N117" s="268"/>
      <c r="O117" s="270"/>
      <c r="P117" s="268"/>
      <c r="Q117" s="270"/>
      <c r="R117" s="268"/>
      <c r="S117" s="270"/>
      <c r="T117" s="268"/>
      <c r="U117" s="270"/>
      <c r="V117" s="268"/>
      <c r="W117" s="270"/>
      <c r="X117" s="270"/>
      <c r="Y117" s="270"/>
      <c r="Z117" s="270"/>
      <c r="AA117" s="270"/>
    </row>
    <row r="118" spans="1:27" ht="16.899999999999999" x14ac:dyDescent="0.5">
      <c r="A118" s="270"/>
      <c r="B118" s="270"/>
      <c r="C118" s="270"/>
      <c r="D118" s="268"/>
      <c r="E118" s="270"/>
      <c r="F118" s="268"/>
      <c r="G118" s="270"/>
      <c r="H118" s="268"/>
      <c r="I118" s="270"/>
      <c r="J118" s="268"/>
      <c r="K118" s="270"/>
      <c r="L118" s="268"/>
      <c r="M118" s="270"/>
      <c r="N118" s="268"/>
      <c r="O118" s="270"/>
      <c r="P118" s="268"/>
      <c r="Q118" s="270"/>
      <c r="R118" s="268"/>
      <c r="S118" s="270"/>
      <c r="T118" s="268"/>
      <c r="U118" s="270"/>
      <c r="V118" s="268"/>
      <c r="W118" s="270"/>
      <c r="X118" s="270"/>
      <c r="Y118" s="270"/>
      <c r="Z118" s="270"/>
      <c r="AA118" s="270"/>
    </row>
    <row r="119" spans="1:27" ht="16.899999999999999" x14ac:dyDescent="0.5">
      <c r="A119" s="270"/>
      <c r="B119" s="270"/>
      <c r="C119" s="270"/>
      <c r="D119" s="268"/>
      <c r="E119" s="270"/>
      <c r="F119" s="268"/>
      <c r="G119" s="270"/>
      <c r="H119" s="268"/>
      <c r="I119" s="270"/>
      <c r="J119" s="268"/>
      <c r="K119" s="270"/>
      <c r="L119" s="268"/>
      <c r="M119" s="270"/>
      <c r="N119" s="268"/>
      <c r="O119" s="270"/>
      <c r="P119" s="268"/>
      <c r="Q119" s="270"/>
      <c r="R119" s="268"/>
      <c r="S119" s="270"/>
      <c r="T119" s="268"/>
      <c r="U119" s="270"/>
      <c r="V119" s="268"/>
      <c r="W119" s="270"/>
      <c r="X119" s="270"/>
      <c r="Y119" s="270"/>
      <c r="Z119" s="270"/>
      <c r="AA119" s="270"/>
    </row>
    <row r="120" spans="1:27" ht="16.899999999999999" x14ac:dyDescent="0.5">
      <c r="A120" s="270"/>
      <c r="B120" s="270"/>
      <c r="C120" s="270"/>
      <c r="D120" s="268"/>
      <c r="E120" s="270"/>
      <c r="F120" s="268"/>
      <c r="G120" s="270"/>
      <c r="H120" s="268"/>
      <c r="I120" s="270"/>
      <c r="J120" s="268"/>
      <c r="K120" s="270"/>
      <c r="L120" s="268"/>
      <c r="M120" s="270"/>
      <c r="N120" s="268"/>
      <c r="O120" s="270"/>
      <c r="P120" s="268"/>
      <c r="Q120" s="270"/>
      <c r="R120" s="268"/>
      <c r="S120" s="270"/>
      <c r="T120" s="268"/>
      <c r="U120" s="270"/>
      <c r="V120" s="268"/>
      <c r="W120" s="270"/>
      <c r="X120" s="270"/>
      <c r="Y120" s="270"/>
      <c r="Z120" s="270"/>
      <c r="AA120" s="270"/>
    </row>
    <row r="121" spans="1:27" ht="16.899999999999999" x14ac:dyDescent="0.5">
      <c r="A121" s="270"/>
      <c r="B121" s="270"/>
      <c r="C121" s="270"/>
      <c r="D121" s="268"/>
      <c r="E121" s="270"/>
      <c r="F121" s="268"/>
      <c r="G121" s="270"/>
      <c r="H121" s="268"/>
      <c r="I121" s="270"/>
      <c r="J121" s="268"/>
      <c r="K121" s="270"/>
      <c r="L121" s="268"/>
      <c r="M121" s="270"/>
      <c r="N121" s="268"/>
      <c r="O121" s="270"/>
      <c r="P121" s="268"/>
      <c r="Q121" s="270"/>
      <c r="R121" s="268"/>
      <c r="S121" s="270"/>
      <c r="T121" s="268"/>
      <c r="U121" s="270"/>
      <c r="V121" s="268"/>
      <c r="W121" s="270"/>
      <c r="X121" s="270"/>
      <c r="Y121" s="270"/>
      <c r="Z121" s="270"/>
      <c r="AA121" s="270"/>
    </row>
    <row r="122" spans="1:27" ht="16.899999999999999" x14ac:dyDescent="0.5">
      <c r="A122" s="270"/>
      <c r="B122" s="270"/>
      <c r="C122" s="270"/>
      <c r="D122" s="268"/>
      <c r="E122" s="270"/>
      <c r="F122" s="268"/>
      <c r="G122" s="270"/>
      <c r="H122" s="268"/>
      <c r="I122" s="270"/>
      <c r="J122" s="268"/>
      <c r="K122" s="270"/>
      <c r="L122" s="268"/>
      <c r="M122" s="270"/>
      <c r="N122" s="268"/>
      <c r="O122" s="270"/>
      <c r="P122" s="268"/>
      <c r="Q122" s="270"/>
      <c r="R122" s="268"/>
      <c r="S122" s="270"/>
      <c r="T122" s="268"/>
      <c r="U122" s="270"/>
      <c r="V122" s="268"/>
      <c r="W122" s="270"/>
      <c r="X122" s="270"/>
      <c r="Y122" s="270"/>
      <c r="Z122" s="270"/>
      <c r="AA122" s="270"/>
    </row>
    <row r="123" spans="1:27" ht="16.899999999999999" x14ac:dyDescent="0.5">
      <c r="A123" s="270"/>
      <c r="B123" s="270"/>
      <c r="C123" s="270"/>
      <c r="D123" s="268"/>
      <c r="E123" s="270"/>
      <c r="F123" s="268"/>
      <c r="G123" s="270"/>
      <c r="H123" s="268"/>
      <c r="I123" s="270"/>
      <c r="J123" s="268"/>
      <c r="K123" s="270"/>
      <c r="L123" s="268"/>
      <c r="M123" s="270"/>
      <c r="N123" s="268"/>
      <c r="O123" s="270"/>
      <c r="P123" s="268"/>
      <c r="Q123" s="270"/>
      <c r="R123" s="268"/>
      <c r="S123" s="270"/>
      <c r="T123" s="268"/>
      <c r="U123" s="270"/>
      <c r="V123" s="268"/>
      <c r="W123" s="270"/>
      <c r="X123" s="270"/>
      <c r="Y123" s="270"/>
      <c r="Z123" s="270"/>
      <c r="AA123" s="270"/>
    </row>
    <row r="124" spans="1:27" ht="16.899999999999999" x14ac:dyDescent="0.5">
      <c r="A124" s="270"/>
      <c r="B124" s="270"/>
      <c r="C124" s="270"/>
      <c r="D124" s="268"/>
      <c r="E124" s="270"/>
      <c r="F124" s="268"/>
      <c r="G124" s="270"/>
      <c r="H124" s="268"/>
      <c r="I124" s="270"/>
      <c r="J124" s="268"/>
      <c r="K124" s="270"/>
      <c r="L124" s="268"/>
      <c r="M124" s="270"/>
      <c r="N124" s="268"/>
      <c r="O124" s="270"/>
      <c r="P124" s="268"/>
      <c r="Q124" s="270"/>
      <c r="R124" s="268"/>
      <c r="S124" s="270"/>
      <c r="T124" s="268"/>
      <c r="U124" s="270"/>
      <c r="V124" s="268"/>
      <c r="W124" s="270"/>
      <c r="X124" s="270"/>
      <c r="Y124" s="270"/>
      <c r="Z124" s="270"/>
      <c r="AA124" s="270"/>
    </row>
    <row r="125" spans="1:27" ht="16.899999999999999" x14ac:dyDescent="0.5">
      <c r="A125" s="270"/>
      <c r="B125" s="270"/>
      <c r="C125" s="270"/>
      <c r="D125" s="268"/>
      <c r="E125" s="270"/>
      <c r="F125" s="268"/>
      <c r="G125" s="270"/>
      <c r="H125" s="268"/>
      <c r="I125" s="270"/>
      <c r="J125" s="268"/>
      <c r="K125" s="270"/>
      <c r="L125" s="268"/>
      <c r="M125" s="270"/>
      <c r="N125" s="268"/>
      <c r="O125" s="270"/>
      <c r="P125" s="268"/>
      <c r="Q125" s="270"/>
      <c r="R125" s="268"/>
      <c r="S125" s="270"/>
      <c r="T125" s="268"/>
      <c r="U125" s="270"/>
      <c r="V125" s="268"/>
      <c r="W125" s="270"/>
      <c r="X125" s="270"/>
      <c r="Y125" s="270"/>
      <c r="Z125" s="270"/>
      <c r="AA125" s="270"/>
    </row>
    <row r="126" spans="1:27" ht="16.899999999999999" x14ac:dyDescent="0.5">
      <c r="A126" s="270"/>
      <c r="B126" s="270"/>
      <c r="C126" s="270"/>
      <c r="D126" s="268"/>
      <c r="E126" s="270"/>
      <c r="F126" s="268"/>
      <c r="G126" s="270"/>
      <c r="H126" s="268"/>
      <c r="I126" s="270"/>
      <c r="J126" s="268"/>
      <c r="K126" s="270"/>
      <c r="L126" s="268"/>
      <c r="M126" s="270"/>
      <c r="N126" s="268"/>
      <c r="O126" s="270"/>
      <c r="P126" s="268"/>
      <c r="Q126" s="270"/>
      <c r="R126" s="268"/>
      <c r="S126" s="270"/>
      <c r="T126" s="268"/>
      <c r="U126" s="270"/>
      <c r="V126" s="268"/>
      <c r="W126" s="270"/>
      <c r="X126" s="270"/>
      <c r="Y126" s="270"/>
      <c r="Z126" s="270"/>
      <c r="AA126" s="270"/>
    </row>
    <row r="127" spans="1:27" ht="16.899999999999999" x14ac:dyDescent="0.5">
      <c r="A127" s="270"/>
      <c r="B127" s="270"/>
      <c r="C127" s="270"/>
      <c r="D127" s="268"/>
      <c r="E127" s="270"/>
      <c r="F127" s="268"/>
      <c r="G127" s="270"/>
      <c r="H127" s="268"/>
      <c r="I127" s="270"/>
      <c r="J127" s="268"/>
      <c r="K127" s="270"/>
      <c r="L127" s="268"/>
      <c r="M127" s="270"/>
      <c r="N127" s="268"/>
      <c r="O127" s="270"/>
      <c r="P127" s="268"/>
      <c r="Q127" s="270"/>
      <c r="R127" s="268"/>
      <c r="S127" s="270"/>
      <c r="T127" s="268"/>
      <c r="U127" s="270"/>
      <c r="V127" s="268"/>
      <c r="W127" s="270"/>
      <c r="X127" s="270"/>
      <c r="Y127" s="270"/>
      <c r="Z127" s="270"/>
      <c r="AA127" s="270"/>
    </row>
    <row r="128" spans="1:27" ht="16.899999999999999" x14ac:dyDescent="0.5">
      <c r="A128" s="270"/>
      <c r="B128" s="270"/>
      <c r="C128" s="270"/>
      <c r="D128" s="268"/>
      <c r="E128" s="270"/>
      <c r="F128" s="268"/>
      <c r="G128" s="270"/>
      <c r="H128" s="268"/>
      <c r="I128" s="270"/>
      <c r="J128" s="268"/>
      <c r="K128" s="270"/>
      <c r="L128" s="268"/>
      <c r="M128" s="270"/>
      <c r="N128" s="268"/>
      <c r="O128" s="270"/>
      <c r="P128" s="268"/>
      <c r="Q128" s="270"/>
      <c r="R128" s="268"/>
      <c r="S128" s="270"/>
      <c r="T128" s="268"/>
      <c r="U128" s="270"/>
      <c r="V128" s="268"/>
      <c r="W128" s="270"/>
      <c r="X128" s="270"/>
      <c r="Y128" s="270"/>
      <c r="Z128" s="270"/>
      <c r="AA128" s="270"/>
    </row>
    <row r="129" spans="1:27" ht="16.899999999999999" x14ac:dyDescent="0.5">
      <c r="A129" s="270"/>
      <c r="B129" s="270"/>
      <c r="C129" s="270"/>
      <c r="D129" s="268"/>
      <c r="E129" s="270"/>
      <c r="F129" s="268"/>
      <c r="G129" s="270"/>
      <c r="H129" s="268"/>
      <c r="I129" s="270"/>
      <c r="J129" s="268"/>
      <c r="K129" s="270"/>
      <c r="L129" s="268"/>
      <c r="M129" s="270"/>
      <c r="N129" s="268"/>
      <c r="O129" s="270"/>
      <c r="P129" s="268"/>
      <c r="Q129" s="270"/>
      <c r="R129" s="268"/>
      <c r="S129" s="270"/>
      <c r="T129" s="268"/>
      <c r="U129" s="270"/>
      <c r="V129" s="268"/>
      <c r="W129" s="270"/>
      <c r="X129" s="270"/>
      <c r="Y129" s="270"/>
      <c r="Z129" s="270"/>
      <c r="AA129" s="270"/>
    </row>
    <row r="130" spans="1:27" ht="16.899999999999999" x14ac:dyDescent="0.5">
      <c r="A130" s="270"/>
      <c r="B130" s="270"/>
      <c r="C130" s="270"/>
      <c r="D130" s="268"/>
      <c r="E130" s="270"/>
      <c r="F130" s="268"/>
      <c r="G130" s="270"/>
      <c r="H130" s="268"/>
      <c r="I130" s="270"/>
      <c r="J130" s="268"/>
      <c r="K130" s="270"/>
      <c r="L130" s="268"/>
      <c r="M130" s="270"/>
      <c r="N130" s="268"/>
      <c r="O130" s="270"/>
      <c r="P130" s="268"/>
      <c r="Q130" s="270"/>
      <c r="R130" s="268"/>
      <c r="S130" s="270"/>
      <c r="T130" s="268"/>
      <c r="U130" s="270"/>
      <c r="V130" s="268"/>
      <c r="W130" s="270"/>
      <c r="X130" s="270"/>
      <c r="Y130" s="270"/>
      <c r="Z130" s="270"/>
      <c r="AA130" s="270"/>
    </row>
    <row r="131" spans="1:27" ht="16.899999999999999" x14ac:dyDescent="0.5">
      <c r="A131" s="270"/>
      <c r="B131" s="270"/>
      <c r="C131" s="270"/>
      <c r="D131" s="268"/>
      <c r="E131" s="270"/>
      <c r="F131" s="268"/>
      <c r="G131" s="270"/>
      <c r="H131" s="268"/>
      <c r="I131" s="270"/>
      <c r="J131" s="268"/>
      <c r="K131" s="270"/>
      <c r="L131" s="268"/>
      <c r="M131" s="270"/>
      <c r="N131" s="268"/>
      <c r="O131" s="270"/>
      <c r="P131" s="268"/>
      <c r="Q131" s="270"/>
      <c r="R131" s="268"/>
      <c r="S131" s="270"/>
      <c r="T131" s="268"/>
      <c r="U131" s="270"/>
      <c r="V131" s="268"/>
      <c r="W131" s="270"/>
      <c r="X131" s="270"/>
      <c r="Y131" s="270"/>
      <c r="Z131" s="270"/>
      <c r="AA131" s="270"/>
    </row>
    <row r="132" spans="1:27" ht="16.899999999999999" x14ac:dyDescent="0.5">
      <c r="A132" s="270"/>
      <c r="B132" s="270"/>
      <c r="C132" s="270"/>
      <c r="D132" s="268"/>
      <c r="E132" s="270"/>
      <c r="F132" s="268"/>
      <c r="G132" s="270"/>
      <c r="H132" s="268"/>
      <c r="I132" s="270"/>
      <c r="J132" s="268"/>
      <c r="K132" s="270"/>
      <c r="L132" s="268"/>
      <c r="M132" s="270"/>
      <c r="N132" s="268"/>
      <c r="O132" s="270"/>
      <c r="P132" s="268"/>
      <c r="Q132" s="270"/>
      <c r="R132" s="268"/>
      <c r="S132" s="270"/>
      <c r="T132" s="268"/>
      <c r="U132" s="270"/>
      <c r="V132" s="268"/>
      <c r="W132" s="270"/>
      <c r="X132" s="270"/>
      <c r="Y132" s="270"/>
      <c r="Z132" s="270"/>
      <c r="AA132" s="270"/>
    </row>
    <row r="133" spans="1:27" ht="16.899999999999999" x14ac:dyDescent="0.5">
      <c r="A133" s="270"/>
      <c r="B133" s="270"/>
      <c r="C133" s="270"/>
      <c r="D133" s="268"/>
      <c r="E133" s="270"/>
      <c r="F133" s="268"/>
      <c r="G133" s="270"/>
      <c r="H133" s="268"/>
      <c r="I133" s="270"/>
      <c r="J133" s="268"/>
      <c r="K133" s="270"/>
      <c r="L133" s="268"/>
      <c r="M133" s="270"/>
      <c r="N133" s="268"/>
      <c r="O133" s="270"/>
      <c r="P133" s="268"/>
      <c r="Q133" s="270"/>
      <c r="R133" s="268"/>
      <c r="S133" s="270"/>
      <c r="T133" s="268"/>
      <c r="U133" s="270"/>
      <c r="V133" s="268"/>
      <c r="W133" s="270"/>
      <c r="X133" s="270"/>
      <c r="Y133" s="270"/>
      <c r="Z133" s="270"/>
      <c r="AA133" s="270"/>
    </row>
    <row r="134" spans="1:27" ht="16.899999999999999" x14ac:dyDescent="0.5">
      <c r="A134" s="270"/>
      <c r="B134" s="270"/>
      <c r="C134" s="270"/>
      <c r="D134" s="268"/>
      <c r="E134" s="270"/>
      <c r="F134" s="268"/>
      <c r="G134" s="270"/>
      <c r="H134" s="268"/>
      <c r="I134" s="270"/>
      <c r="J134" s="268"/>
      <c r="K134" s="270"/>
      <c r="L134" s="268"/>
      <c r="M134" s="270"/>
      <c r="N134" s="268"/>
      <c r="O134" s="270"/>
      <c r="P134" s="268"/>
      <c r="Q134" s="270"/>
      <c r="R134" s="268"/>
      <c r="S134" s="270"/>
      <c r="T134" s="268"/>
      <c r="U134" s="270"/>
      <c r="V134" s="268"/>
      <c r="W134" s="270"/>
      <c r="X134" s="270"/>
      <c r="Y134" s="270"/>
      <c r="Z134" s="270"/>
      <c r="AA134" s="270"/>
    </row>
    <row r="135" spans="1:27" ht="16.899999999999999" x14ac:dyDescent="0.5">
      <c r="A135" s="270"/>
      <c r="B135" s="270"/>
      <c r="C135" s="270"/>
      <c r="D135" s="268"/>
      <c r="E135" s="270"/>
      <c r="F135" s="268"/>
      <c r="G135" s="270"/>
      <c r="H135" s="268"/>
      <c r="I135" s="270"/>
      <c r="J135" s="268"/>
      <c r="K135" s="270"/>
      <c r="L135" s="268"/>
      <c r="M135" s="270"/>
      <c r="N135" s="268"/>
      <c r="O135" s="270"/>
      <c r="P135" s="268"/>
      <c r="Q135" s="270"/>
      <c r="R135" s="268"/>
      <c r="S135" s="270"/>
      <c r="T135" s="268"/>
      <c r="U135" s="270"/>
      <c r="V135" s="268"/>
      <c r="W135" s="270"/>
      <c r="X135" s="270"/>
      <c r="Y135" s="270"/>
      <c r="Z135" s="270"/>
      <c r="AA135" s="270"/>
    </row>
    <row r="136" spans="1:27" ht="16.899999999999999" x14ac:dyDescent="0.5">
      <c r="A136" s="270"/>
      <c r="B136" s="270"/>
      <c r="C136" s="270"/>
      <c r="D136" s="268"/>
      <c r="E136" s="270"/>
      <c r="F136" s="268"/>
      <c r="G136" s="270"/>
      <c r="H136" s="268"/>
      <c r="I136" s="270"/>
      <c r="J136" s="268"/>
      <c r="K136" s="270"/>
      <c r="L136" s="268"/>
      <c r="M136" s="270"/>
      <c r="N136" s="268"/>
      <c r="O136" s="270"/>
      <c r="P136" s="268"/>
      <c r="Q136" s="270"/>
      <c r="R136" s="268"/>
      <c r="S136" s="270"/>
      <c r="T136" s="268"/>
      <c r="U136" s="270"/>
      <c r="V136" s="268"/>
      <c r="W136" s="270"/>
      <c r="X136" s="270"/>
      <c r="Y136" s="270"/>
      <c r="Z136" s="270"/>
      <c r="AA136" s="270"/>
    </row>
    <row r="137" spans="1:27" ht="16.899999999999999" x14ac:dyDescent="0.5">
      <c r="A137" s="270"/>
      <c r="B137" s="270"/>
      <c r="C137" s="270"/>
      <c r="D137" s="268"/>
      <c r="E137" s="270"/>
      <c r="F137" s="268"/>
      <c r="G137" s="270"/>
      <c r="H137" s="268"/>
      <c r="I137" s="270"/>
      <c r="J137" s="268"/>
      <c r="K137" s="270"/>
      <c r="L137" s="268"/>
      <c r="M137" s="270"/>
      <c r="N137" s="268"/>
      <c r="O137" s="270"/>
      <c r="P137" s="268"/>
      <c r="Q137" s="270"/>
      <c r="R137" s="268"/>
      <c r="S137" s="270"/>
      <c r="T137" s="268"/>
      <c r="U137" s="270"/>
      <c r="V137" s="268"/>
      <c r="W137" s="270"/>
      <c r="X137" s="270"/>
      <c r="Y137" s="270"/>
      <c r="Z137" s="270"/>
      <c r="AA137" s="270"/>
    </row>
    <row r="138" spans="1:27" ht="16.899999999999999" x14ac:dyDescent="0.5">
      <c r="A138" s="270"/>
      <c r="B138" s="270"/>
      <c r="C138" s="270"/>
      <c r="D138" s="268"/>
      <c r="E138" s="270"/>
      <c r="F138" s="268"/>
      <c r="G138" s="270"/>
      <c r="H138" s="268"/>
      <c r="I138" s="270"/>
      <c r="J138" s="268"/>
      <c r="K138" s="270"/>
      <c r="L138" s="268"/>
      <c r="M138" s="270"/>
      <c r="N138" s="268"/>
      <c r="O138" s="270"/>
      <c r="P138" s="268"/>
      <c r="Q138" s="270"/>
      <c r="R138" s="268"/>
      <c r="S138" s="270"/>
      <c r="T138" s="268"/>
      <c r="U138" s="270"/>
      <c r="V138" s="268"/>
      <c r="W138" s="270"/>
      <c r="X138" s="270"/>
      <c r="Y138" s="270"/>
      <c r="Z138" s="270"/>
      <c r="AA138" s="270"/>
    </row>
    <row r="139" spans="1:27" ht="16.899999999999999" x14ac:dyDescent="0.5">
      <c r="A139" s="270"/>
      <c r="B139" s="270"/>
      <c r="C139" s="270"/>
      <c r="D139" s="268"/>
      <c r="E139" s="270"/>
      <c r="F139" s="268"/>
      <c r="G139" s="270"/>
      <c r="H139" s="268"/>
      <c r="I139" s="270"/>
      <c r="J139" s="268"/>
      <c r="K139" s="270"/>
      <c r="L139" s="268"/>
      <c r="M139" s="270"/>
      <c r="N139" s="268"/>
      <c r="O139" s="270"/>
      <c r="P139" s="268"/>
      <c r="Q139" s="270"/>
      <c r="R139" s="268"/>
      <c r="S139" s="270"/>
      <c r="T139" s="268"/>
      <c r="U139" s="270"/>
      <c r="V139" s="268"/>
      <c r="W139" s="270"/>
      <c r="X139" s="270"/>
      <c r="Y139" s="270"/>
      <c r="Z139" s="270"/>
      <c r="AA139" s="270"/>
    </row>
    <row r="140" spans="1:27" ht="16.899999999999999" x14ac:dyDescent="0.5">
      <c r="A140" s="270"/>
      <c r="B140" s="270"/>
      <c r="C140" s="270"/>
      <c r="D140" s="268"/>
      <c r="E140" s="270"/>
      <c r="F140" s="268"/>
      <c r="G140" s="270"/>
      <c r="H140" s="268"/>
      <c r="I140" s="270"/>
      <c r="J140" s="268"/>
      <c r="K140" s="270"/>
      <c r="L140" s="268"/>
      <c r="M140" s="270"/>
      <c r="N140" s="268"/>
      <c r="O140" s="270"/>
      <c r="P140" s="268"/>
      <c r="Q140" s="270"/>
      <c r="R140" s="268"/>
      <c r="S140" s="270"/>
      <c r="T140" s="268"/>
      <c r="U140" s="270"/>
      <c r="V140" s="268"/>
      <c r="W140" s="270"/>
      <c r="X140" s="270"/>
      <c r="Y140" s="270"/>
      <c r="Z140" s="270"/>
      <c r="AA140" s="270"/>
    </row>
    <row r="141" spans="1:27" ht="16.899999999999999" x14ac:dyDescent="0.5">
      <c r="A141" s="270"/>
      <c r="B141" s="270"/>
      <c r="C141" s="270"/>
      <c r="D141" s="268"/>
      <c r="E141" s="270"/>
      <c r="F141" s="268"/>
      <c r="G141" s="270"/>
      <c r="H141" s="268"/>
      <c r="I141" s="270"/>
      <c r="J141" s="268"/>
      <c r="K141" s="270"/>
      <c r="L141" s="268"/>
      <c r="M141" s="270"/>
      <c r="N141" s="268"/>
      <c r="O141" s="270"/>
      <c r="P141" s="268"/>
      <c r="Q141" s="270"/>
      <c r="R141" s="268"/>
      <c r="S141" s="270"/>
      <c r="T141" s="268"/>
      <c r="U141" s="270"/>
      <c r="V141" s="268"/>
      <c r="W141" s="270"/>
      <c r="X141" s="270"/>
      <c r="Y141" s="270"/>
      <c r="Z141" s="270"/>
      <c r="AA141" s="270"/>
    </row>
    <row r="142" spans="1:27" ht="16.899999999999999" x14ac:dyDescent="0.5">
      <c r="A142" s="270"/>
      <c r="B142" s="270"/>
      <c r="C142" s="270"/>
      <c r="D142" s="268"/>
      <c r="E142" s="270"/>
      <c r="F142" s="268"/>
      <c r="G142" s="270"/>
      <c r="H142" s="268"/>
      <c r="I142" s="270"/>
      <c r="J142" s="268"/>
      <c r="K142" s="270"/>
      <c r="L142" s="268"/>
      <c r="M142" s="270"/>
      <c r="N142" s="268"/>
      <c r="O142" s="270"/>
      <c r="P142" s="268"/>
      <c r="Q142" s="270"/>
      <c r="R142" s="268"/>
      <c r="S142" s="270"/>
      <c r="T142" s="268"/>
      <c r="U142" s="270"/>
      <c r="V142" s="268"/>
      <c r="W142" s="270"/>
      <c r="X142" s="270"/>
      <c r="Y142" s="270"/>
      <c r="Z142" s="270"/>
      <c r="AA142" s="270"/>
    </row>
    <row r="143" spans="1:27" ht="16.899999999999999" x14ac:dyDescent="0.5">
      <c r="A143" s="270"/>
      <c r="B143" s="270"/>
      <c r="C143" s="270"/>
      <c r="D143" s="268"/>
      <c r="E143" s="270"/>
      <c r="F143" s="268"/>
      <c r="G143" s="270"/>
      <c r="H143" s="268"/>
      <c r="I143" s="270"/>
      <c r="J143" s="268"/>
      <c r="K143" s="270"/>
      <c r="L143" s="268"/>
      <c r="M143" s="270"/>
      <c r="N143" s="268"/>
      <c r="O143" s="270"/>
      <c r="P143" s="268"/>
      <c r="Q143" s="270"/>
      <c r="R143" s="268"/>
      <c r="S143" s="270"/>
      <c r="T143" s="268"/>
      <c r="U143" s="270"/>
      <c r="V143" s="268"/>
      <c r="W143" s="270"/>
      <c r="X143" s="270"/>
      <c r="Y143" s="270"/>
      <c r="Z143" s="270"/>
      <c r="AA143" s="270"/>
    </row>
    <row r="144" spans="1:27" ht="16.899999999999999" x14ac:dyDescent="0.5">
      <c r="A144" s="270"/>
      <c r="B144" s="270"/>
      <c r="C144" s="270"/>
      <c r="D144" s="268"/>
      <c r="E144" s="270"/>
      <c r="F144" s="268"/>
      <c r="G144" s="270"/>
      <c r="H144" s="268"/>
      <c r="I144" s="270"/>
      <c r="J144" s="268"/>
      <c r="K144" s="270"/>
      <c r="L144" s="268"/>
      <c r="M144" s="270"/>
      <c r="N144" s="268"/>
      <c r="O144" s="270"/>
      <c r="P144" s="268"/>
      <c r="Q144" s="270"/>
      <c r="R144" s="268"/>
      <c r="S144" s="270"/>
      <c r="T144" s="268"/>
      <c r="U144" s="270"/>
      <c r="V144" s="268"/>
      <c r="W144" s="270"/>
      <c r="X144" s="270"/>
      <c r="Y144" s="270"/>
      <c r="Z144" s="270"/>
      <c r="AA144" s="270"/>
    </row>
    <row r="145" spans="1:27" ht="16.899999999999999" x14ac:dyDescent="0.5">
      <c r="A145" s="270"/>
      <c r="B145" s="270"/>
      <c r="C145" s="270"/>
      <c r="D145" s="268"/>
      <c r="E145" s="270"/>
      <c r="F145" s="268"/>
      <c r="G145" s="270"/>
      <c r="H145" s="268"/>
      <c r="I145" s="270"/>
      <c r="J145" s="268"/>
      <c r="K145" s="270"/>
      <c r="L145" s="268"/>
      <c r="M145" s="270"/>
      <c r="N145" s="268"/>
      <c r="O145" s="270"/>
      <c r="P145" s="268"/>
      <c r="Q145" s="270"/>
      <c r="R145" s="268"/>
      <c r="S145" s="270"/>
      <c r="T145" s="268"/>
      <c r="U145" s="270"/>
      <c r="V145" s="268"/>
      <c r="W145" s="270"/>
      <c r="X145" s="270"/>
      <c r="Y145" s="270"/>
      <c r="Z145" s="270"/>
      <c r="AA145" s="270"/>
    </row>
    <row r="146" spans="1:27" ht="16.899999999999999" x14ac:dyDescent="0.5">
      <c r="A146" s="270"/>
      <c r="B146" s="270"/>
      <c r="C146" s="270"/>
      <c r="D146" s="268"/>
      <c r="E146" s="270"/>
      <c r="F146" s="268"/>
      <c r="G146" s="270"/>
      <c r="H146" s="268"/>
      <c r="I146" s="270"/>
      <c r="J146" s="268"/>
      <c r="K146" s="270"/>
      <c r="L146" s="268"/>
      <c r="M146" s="270"/>
      <c r="N146" s="268"/>
      <c r="O146" s="270"/>
      <c r="P146" s="268"/>
      <c r="Q146" s="270"/>
      <c r="R146" s="268"/>
      <c r="S146" s="270"/>
      <c r="T146" s="268"/>
      <c r="U146" s="270"/>
      <c r="V146" s="268"/>
      <c r="W146" s="270"/>
      <c r="X146" s="270"/>
      <c r="Y146" s="270"/>
      <c r="Z146" s="270"/>
      <c r="AA146" s="270"/>
    </row>
    <row r="147" spans="1:27" ht="16.899999999999999" x14ac:dyDescent="0.5">
      <c r="A147" s="270"/>
      <c r="B147" s="270"/>
      <c r="C147" s="270"/>
      <c r="D147" s="268"/>
      <c r="E147" s="270"/>
      <c r="F147" s="268"/>
      <c r="G147" s="270"/>
      <c r="H147" s="268"/>
      <c r="I147" s="270"/>
      <c r="J147" s="268"/>
      <c r="K147" s="270"/>
      <c r="L147" s="268"/>
      <c r="M147" s="270"/>
      <c r="N147" s="268"/>
      <c r="O147" s="270"/>
      <c r="P147" s="268"/>
      <c r="Q147" s="270"/>
      <c r="R147" s="268"/>
      <c r="S147" s="270"/>
      <c r="T147" s="268"/>
      <c r="U147" s="270"/>
      <c r="V147" s="268"/>
      <c r="W147" s="270"/>
      <c r="X147" s="270"/>
      <c r="Y147" s="270"/>
      <c r="Z147" s="270"/>
      <c r="AA147" s="270"/>
    </row>
    <row r="148" spans="1:27" ht="16.899999999999999" x14ac:dyDescent="0.5">
      <c r="A148" s="270"/>
      <c r="B148" s="270"/>
      <c r="C148" s="270"/>
      <c r="D148" s="268"/>
      <c r="E148" s="270"/>
      <c r="F148" s="268"/>
      <c r="G148" s="270"/>
      <c r="H148" s="268"/>
      <c r="I148" s="270"/>
      <c r="J148" s="268"/>
      <c r="K148" s="270"/>
      <c r="L148" s="268"/>
      <c r="M148" s="270"/>
      <c r="N148" s="268"/>
      <c r="O148" s="270"/>
      <c r="P148" s="268"/>
      <c r="Q148" s="270"/>
      <c r="R148" s="268"/>
      <c r="S148" s="270"/>
      <c r="T148" s="268"/>
      <c r="U148" s="270"/>
      <c r="V148" s="268"/>
      <c r="W148" s="270"/>
      <c r="X148" s="270"/>
      <c r="Y148" s="270"/>
      <c r="Z148" s="270"/>
      <c r="AA148" s="270"/>
    </row>
    <row r="149" spans="1:27" ht="16.899999999999999" x14ac:dyDescent="0.5">
      <c r="A149" s="270"/>
      <c r="B149" s="270"/>
      <c r="C149" s="270"/>
      <c r="D149" s="268"/>
      <c r="E149" s="270"/>
      <c r="F149" s="268"/>
      <c r="G149" s="270"/>
      <c r="H149" s="268"/>
      <c r="I149" s="270"/>
      <c r="J149" s="268"/>
      <c r="K149" s="270"/>
      <c r="L149" s="268"/>
      <c r="M149" s="270"/>
      <c r="N149" s="268"/>
      <c r="O149" s="270"/>
      <c r="P149" s="268"/>
      <c r="Q149" s="270"/>
      <c r="R149" s="268"/>
      <c r="S149" s="270"/>
      <c r="T149" s="268"/>
      <c r="U149" s="270"/>
      <c r="V149" s="268"/>
      <c r="W149" s="270"/>
      <c r="X149" s="270"/>
      <c r="Y149" s="270"/>
      <c r="Z149" s="270"/>
      <c r="AA149" s="270"/>
    </row>
    <row r="150" spans="1:27" ht="16.899999999999999" x14ac:dyDescent="0.5">
      <c r="A150" s="270"/>
      <c r="B150" s="270"/>
      <c r="C150" s="270"/>
      <c r="D150" s="268"/>
      <c r="E150" s="270"/>
      <c r="F150" s="268"/>
      <c r="G150" s="270"/>
      <c r="H150" s="268"/>
      <c r="I150" s="270"/>
      <c r="J150" s="268"/>
      <c r="K150" s="270"/>
      <c r="L150" s="268"/>
      <c r="M150" s="270"/>
      <c r="N150" s="268"/>
      <c r="O150" s="270"/>
      <c r="P150" s="268"/>
      <c r="Q150" s="270"/>
      <c r="R150" s="268"/>
      <c r="S150" s="270"/>
      <c r="T150" s="268"/>
      <c r="U150" s="270"/>
      <c r="V150" s="268"/>
      <c r="W150" s="270"/>
      <c r="X150" s="270"/>
      <c r="Y150" s="270"/>
      <c r="Z150" s="270"/>
      <c r="AA150" s="270"/>
    </row>
    <row r="151" spans="1:27" ht="16.899999999999999" x14ac:dyDescent="0.5">
      <c r="A151" s="270"/>
      <c r="B151" s="270"/>
      <c r="C151" s="270"/>
      <c r="D151" s="268"/>
      <c r="E151" s="270"/>
      <c r="F151" s="268"/>
      <c r="G151" s="270"/>
      <c r="H151" s="268"/>
      <c r="I151" s="270"/>
      <c r="J151" s="268"/>
      <c r="K151" s="270"/>
      <c r="L151" s="268"/>
      <c r="M151" s="270"/>
      <c r="N151" s="268"/>
      <c r="O151" s="270"/>
      <c r="P151" s="268"/>
      <c r="Q151" s="270"/>
      <c r="R151" s="268"/>
      <c r="S151" s="270"/>
      <c r="T151" s="268"/>
      <c r="U151" s="270"/>
      <c r="V151" s="268"/>
      <c r="W151" s="270"/>
      <c r="X151" s="270"/>
      <c r="Y151" s="270"/>
      <c r="Z151" s="270"/>
      <c r="AA151" s="270"/>
    </row>
    <row r="152" spans="1:27" ht="16.899999999999999" x14ac:dyDescent="0.5">
      <c r="A152" s="270"/>
      <c r="B152" s="270"/>
      <c r="C152" s="270"/>
      <c r="D152" s="268"/>
      <c r="E152" s="270"/>
      <c r="F152" s="268"/>
      <c r="G152" s="270"/>
      <c r="H152" s="268"/>
      <c r="I152" s="270"/>
      <c r="J152" s="268"/>
      <c r="K152" s="270"/>
      <c r="L152" s="268"/>
      <c r="M152" s="270"/>
      <c r="N152" s="268"/>
      <c r="O152" s="270"/>
      <c r="P152" s="268"/>
      <c r="Q152" s="270"/>
      <c r="R152" s="268"/>
      <c r="S152" s="270"/>
      <c r="T152" s="268"/>
      <c r="U152" s="270"/>
      <c r="V152" s="268"/>
      <c r="W152" s="270"/>
      <c r="X152" s="270"/>
      <c r="Y152" s="270"/>
      <c r="Z152" s="270"/>
      <c r="AA152" s="270"/>
    </row>
    <row r="153" spans="1:27" ht="16.899999999999999" x14ac:dyDescent="0.5">
      <c r="A153" s="270"/>
      <c r="B153" s="270"/>
      <c r="C153" s="270"/>
      <c r="D153" s="268"/>
      <c r="E153" s="270"/>
      <c r="F153" s="268"/>
      <c r="G153" s="270"/>
      <c r="H153" s="268"/>
      <c r="I153" s="270"/>
      <c r="J153" s="268"/>
      <c r="K153" s="270"/>
      <c r="L153" s="268"/>
      <c r="M153" s="270"/>
      <c r="N153" s="268"/>
      <c r="O153" s="270"/>
      <c r="P153" s="268"/>
      <c r="Q153" s="270"/>
      <c r="R153" s="268"/>
      <c r="S153" s="270"/>
      <c r="T153" s="268"/>
      <c r="U153" s="270"/>
      <c r="V153" s="268"/>
      <c r="W153" s="270"/>
      <c r="X153" s="270"/>
      <c r="Y153" s="270"/>
      <c r="Z153" s="270"/>
      <c r="AA153" s="270"/>
    </row>
    <row r="154" spans="1:27" ht="16.899999999999999" x14ac:dyDescent="0.5">
      <c r="A154" s="270"/>
      <c r="B154" s="270"/>
      <c r="C154" s="270"/>
      <c r="D154" s="268"/>
      <c r="E154" s="270"/>
      <c r="F154" s="268"/>
      <c r="G154" s="270"/>
      <c r="H154" s="268"/>
      <c r="I154" s="270"/>
      <c r="J154" s="268"/>
      <c r="K154" s="270"/>
      <c r="L154" s="268"/>
      <c r="M154" s="270"/>
      <c r="N154" s="268"/>
      <c r="O154" s="270"/>
      <c r="P154" s="268"/>
      <c r="Q154" s="270"/>
      <c r="R154" s="268"/>
      <c r="S154" s="270"/>
      <c r="T154" s="268"/>
      <c r="U154" s="270"/>
      <c r="V154" s="268"/>
      <c r="W154" s="270"/>
      <c r="X154" s="270"/>
      <c r="Y154" s="270"/>
      <c r="Z154" s="270"/>
      <c r="AA154" s="270"/>
    </row>
    <row r="155" spans="1:27" ht="16.899999999999999" x14ac:dyDescent="0.5">
      <c r="A155" s="270"/>
      <c r="B155" s="270"/>
      <c r="C155" s="270"/>
      <c r="D155" s="268"/>
      <c r="E155" s="270"/>
      <c r="F155" s="268"/>
      <c r="G155" s="270"/>
      <c r="H155" s="268"/>
      <c r="I155" s="270"/>
      <c r="J155" s="268"/>
      <c r="K155" s="270"/>
      <c r="L155" s="268"/>
      <c r="M155" s="270"/>
      <c r="N155" s="268"/>
      <c r="O155" s="270"/>
      <c r="P155" s="268"/>
      <c r="Q155" s="270"/>
      <c r="R155" s="268"/>
      <c r="S155" s="270"/>
      <c r="T155" s="268"/>
      <c r="U155" s="270"/>
      <c r="V155" s="268"/>
      <c r="W155" s="270"/>
      <c r="X155" s="270"/>
      <c r="Y155" s="270"/>
      <c r="Z155" s="270"/>
      <c r="AA155" s="270"/>
    </row>
    <row r="156" spans="1:27" ht="16.899999999999999" x14ac:dyDescent="0.5">
      <c r="A156" s="270"/>
      <c r="B156" s="270"/>
      <c r="C156" s="270"/>
      <c r="D156" s="268"/>
      <c r="E156" s="270"/>
      <c r="F156" s="268"/>
      <c r="G156" s="270"/>
      <c r="H156" s="268"/>
      <c r="I156" s="270"/>
      <c r="J156" s="268"/>
      <c r="K156" s="270"/>
      <c r="L156" s="268"/>
      <c r="M156" s="270"/>
      <c r="N156" s="268"/>
      <c r="O156" s="270"/>
      <c r="P156" s="268"/>
      <c r="Q156" s="270"/>
      <c r="R156" s="268"/>
      <c r="S156" s="270"/>
      <c r="T156" s="268"/>
      <c r="U156" s="270"/>
      <c r="V156" s="268"/>
      <c r="W156" s="270"/>
      <c r="X156" s="270"/>
      <c r="Y156" s="270"/>
      <c r="Z156" s="270"/>
      <c r="AA156" s="270"/>
    </row>
    <row r="157" spans="1:27" ht="16.899999999999999" x14ac:dyDescent="0.5">
      <c r="A157" s="270"/>
      <c r="B157" s="270"/>
      <c r="C157" s="270"/>
      <c r="D157" s="268"/>
      <c r="E157" s="270"/>
      <c r="F157" s="268"/>
      <c r="G157" s="270"/>
      <c r="H157" s="268"/>
      <c r="I157" s="270"/>
      <c r="J157" s="268"/>
      <c r="K157" s="270"/>
      <c r="L157" s="268"/>
      <c r="M157" s="270"/>
      <c r="N157" s="268"/>
      <c r="O157" s="270"/>
      <c r="P157" s="268"/>
      <c r="Q157" s="270"/>
      <c r="R157" s="268"/>
      <c r="S157" s="270"/>
      <c r="T157" s="268"/>
      <c r="U157" s="270"/>
      <c r="V157" s="268"/>
      <c r="W157" s="270"/>
      <c r="X157" s="270"/>
      <c r="Y157" s="270"/>
      <c r="Z157" s="270"/>
      <c r="AA157" s="270"/>
    </row>
    <row r="158" spans="1:27" ht="16.899999999999999" x14ac:dyDescent="0.5">
      <c r="A158" s="270"/>
      <c r="B158" s="270"/>
      <c r="C158" s="270"/>
      <c r="D158" s="268"/>
      <c r="E158" s="270"/>
      <c r="F158" s="268"/>
      <c r="G158" s="270"/>
      <c r="H158" s="268"/>
      <c r="I158" s="270"/>
      <c r="J158" s="268"/>
      <c r="K158" s="270"/>
      <c r="L158" s="268"/>
      <c r="M158" s="270"/>
      <c r="N158" s="268"/>
      <c r="O158" s="270"/>
      <c r="P158" s="268"/>
      <c r="Q158" s="270"/>
      <c r="R158" s="268"/>
      <c r="S158" s="270"/>
      <c r="T158" s="268"/>
      <c r="U158" s="270"/>
      <c r="V158" s="268"/>
      <c r="W158" s="270"/>
      <c r="X158" s="270"/>
      <c r="Y158" s="270"/>
      <c r="Z158" s="270"/>
      <c r="AA158" s="270"/>
    </row>
    <row r="159" spans="1:27" ht="16.899999999999999" x14ac:dyDescent="0.5">
      <c r="A159" s="270"/>
      <c r="B159" s="270"/>
      <c r="C159" s="270"/>
      <c r="D159" s="268"/>
      <c r="E159" s="270"/>
      <c r="F159" s="268"/>
      <c r="G159" s="270"/>
      <c r="H159" s="268"/>
      <c r="I159" s="270"/>
      <c r="J159" s="268"/>
      <c r="K159" s="270"/>
      <c r="L159" s="268"/>
      <c r="M159" s="270"/>
      <c r="N159" s="268"/>
      <c r="O159" s="270"/>
      <c r="P159" s="268"/>
      <c r="Q159" s="270"/>
      <c r="R159" s="268"/>
      <c r="S159" s="270"/>
      <c r="T159" s="268"/>
      <c r="U159" s="270"/>
      <c r="V159" s="268"/>
      <c r="W159" s="270"/>
      <c r="X159" s="270"/>
      <c r="Y159" s="270"/>
      <c r="Z159" s="270"/>
      <c r="AA159" s="270"/>
    </row>
    <row r="160" spans="1:27" ht="16.899999999999999" x14ac:dyDescent="0.5">
      <c r="A160" s="270"/>
      <c r="B160" s="270"/>
      <c r="C160" s="270"/>
      <c r="D160" s="268"/>
      <c r="E160" s="270"/>
      <c r="F160" s="268"/>
      <c r="G160" s="270"/>
      <c r="H160" s="268"/>
      <c r="I160" s="270"/>
      <c r="J160" s="268"/>
      <c r="K160" s="270"/>
      <c r="L160" s="268"/>
      <c r="M160" s="270"/>
      <c r="N160" s="268"/>
      <c r="O160" s="270"/>
      <c r="P160" s="268"/>
      <c r="Q160" s="270"/>
      <c r="R160" s="268"/>
      <c r="S160" s="270"/>
      <c r="T160" s="268"/>
      <c r="U160" s="270"/>
      <c r="V160" s="268"/>
      <c r="W160" s="270"/>
      <c r="X160" s="270"/>
      <c r="Y160" s="270"/>
      <c r="Z160" s="270"/>
      <c r="AA160" s="270"/>
    </row>
    <row r="161" spans="1:27" ht="16.899999999999999" x14ac:dyDescent="0.5">
      <c r="A161" s="270"/>
      <c r="B161" s="270"/>
      <c r="C161" s="270"/>
      <c r="D161" s="268"/>
      <c r="E161" s="270"/>
      <c r="F161" s="268"/>
      <c r="G161" s="270"/>
      <c r="H161" s="268"/>
      <c r="I161" s="270"/>
      <c r="J161" s="268"/>
      <c r="K161" s="270"/>
      <c r="L161" s="268"/>
      <c r="M161" s="270"/>
      <c r="N161" s="268"/>
      <c r="O161" s="270"/>
      <c r="P161" s="268"/>
      <c r="Q161" s="270"/>
      <c r="R161" s="268"/>
      <c r="S161" s="270"/>
      <c r="T161" s="268"/>
      <c r="U161" s="270"/>
      <c r="V161" s="268"/>
      <c r="W161" s="270"/>
      <c r="X161" s="270"/>
      <c r="Y161" s="270"/>
      <c r="Z161" s="270"/>
      <c r="AA161" s="270"/>
    </row>
    <row r="162" spans="1:27" ht="16.899999999999999" x14ac:dyDescent="0.5">
      <c r="A162" s="270"/>
      <c r="B162" s="270"/>
      <c r="C162" s="270"/>
      <c r="D162" s="268"/>
      <c r="E162" s="270"/>
      <c r="F162" s="268"/>
      <c r="G162" s="270"/>
      <c r="H162" s="268"/>
      <c r="I162" s="270"/>
      <c r="J162" s="268"/>
      <c r="K162" s="270"/>
      <c r="L162" s="268"/>
      <c r="M162" s="270"/>
      <c r="N162" s="268"/>
      <c r="O162" s="270"/>
      <c r="P162" s="268"/>
      <c r="Q162" s="270"/>
      <c r="R162" s="268"/>
      <c r="S162" s="270"/>
      <c r="T162" s="268"/>
      <c r="U162" s="270"/>
      <c r="V162" s="268"/>
      <c r="W162" s="270"/>
      <c r="X162" s="270"/>
      <c r="Y162" s="270"/>
      <c r="Z162" s="270"/>
      <c r="AA162" s="270"/>
    </row>
    <row r="163" spans="1:27" ht="16.899999999999999" x14ac:dyDescent="0.5">
      <c r="A163" s="270"/>
      <c r="B163" s="270"/>
      <c r="C163" s="270"/>
      <c r="D163" s="268"/>
      <c r="E163" s="270"/>
      <c r="F163" s="268"/>
      <c r="G163" s="270"/>
      <c r="H163" s="268"/>
      <c r="I163" s="270"/>
      <c r="J163" s="268"/>
      <c r="K163" s="270"/>
      <c r="L163" s="268"/>
      <c r="M163" s="270"/>
      <c r="N163" s="268"/>
      <c r="O163" s="270"/>
      <c r="P163" s="268"/>
      <c r="Q163" s="270"/>
      <c r="R163" s="268"/>
      <c r="S163" s="270"/>
      <c r="T163" s="268"/>
      <c r="U163" s="270"/>
      <c r="V163" s="268"/>
      <c r="W163" s="270"/>
      <c r="X163" s="270"/>
      <c r="Y163" s="270"/>
      <c r="Z163" s="270"/>
      <c r="AA163" s="270"/>
    </row>
    <row r="164" spans="1:27" ht="16.899999999999999" x14ac:dyDescent="0.5">
      <c r="A164" s="270"/>
      <c r="B164" s="270"/>
      <c r="C164" s="270"/>
      <c r="D164" s="268"/>
      <c r="E164" s="270"/>
      <c r="F164" s="268"/>
      <c r="G164" s="270"/>
      <c r="H164" s="268"/>
      <c r="I164" s="270"/>
      <c r="J164" s="268"/>
      <c r="K164" s="270"/>
      <c r="L164" s="268"/>
      <c r="M164" s="270"/>
      <c r="N164" s="268"/>
      <c r="O164" s="270"/>
      <c r="P164" s="268"/>
      <c r="Q164" s="270"/>
      <c r="R164" s="268"/>
      <c r="S164" s="270"/>
      <c r="T164" s="268"/>
      <c r="U164" s="270"/>
      <c r="V164" s="268"/>
      <c r="W164" s="270"/>
      <c r="X164" s="270"/>
      <c r="Y164" s="270"/>
      <c r="Z164" s="270"/>
      <c r="AA164" s="270"/>
    </row>
    <row r="165" spans="1:27" ht="16.899999999999999" x14ac:dyDescent="0.5">
      <c r="A165" s="270"/>
      <c r="B165" s="270"/>
      <c r="C165" s="270"/>
      <c r="D165" s="268"/>
      <c r="E165" s="270"/>
      <c r="F165" s="268"/>
      <c r="G165" s="270"/>
      <c r="H165" s="268"/>
      <c r="I165" s="270"/>
      <c r="J165" s="268"/>
      <c r="K165" s="270"/>
      <c r="L165" s="268"/>
      <c r="M165" s="270"/>
      <c r="N165" s="268"/>
      <c r="O165" s="270"/>
      <c r="P165" s="268"/>
      <c r="Q165" s="270"/>
      <c r="R165" s="268"/>
      <c r="S165" s="270"/>
      <c r="T165" s="268"/>
      <c r="U165" s="270"/>
      <c r="V165" s="268"/>
      <c r="W165" s="270"/>
      <c r="X165" s="270"/>
      <c r="Y165" s="270"/>
      <c r="Z165" s="270"/>
      <c r="AA165" s="270"/>
    </row>
    <row r="166" spans="1:27" ht="16.899999999999999" x14ac:dyDescent="0.5">
      <c r="A166" s="270"/>
      <c r="B166" s="270"/>
      <c r="C166" s="270"/>
      <c r="D166" s="268"/>
      <c r="E166" s="270"/>
      <c r="F166" s="268"/>
      <c r="G166" s="270"/>
      <c r="H166" s="268"/>
      <c r="I166" s="270"/>
      <c r="J166" s="268"/>
      <c r="K166" s="270"/>
      <c r="L166" s="268"/>
      <c r="M166" s="270"/>
      <c r="N166" s="268"/>
      <c r="O166" s="270"/>
      <c r="P166" s="268"/>
      <c r="Q166" s="270"/>
      <c r="R166" s="268"/>
      <c r="S166" s="270"/>
      <c r="T166" s="268"/>
      <c r="U166" s="270"/>
      <c r="V166" s="268"/>
      <c r="W166" s="270"/>
      <c r="X166" s="270"/>
      <c r="Y166" s="270"/>
      <c r="Z166" s="270"/>
      <c r="AA166" s="270"/>
    </row>
    <row r="167" spans="1:27" ht="16.899999999999999" x14ac:dyDescent="0.5">
      <c r="A167" s="270"/>
      <c r="B167" s="270"/>
      <c r="C167" s="270"/>
      <c r="D167" s="268"/>
      <c r="E167" s="270"/>
      <c r="F167" s="268"/>
      <c r="G167" s="270"/>
      <c r="H167" s="268"/>
      <c r="I167" s="270"/>
      <c r="J167" s="268"/>
      <c r="K167" s="270"/>
      <c r="L167" s="268"/>
      <c r="M167" s="270"/>
      <c r="N167" s="268"/>
      <c r="O167" s="270"/>
      <c r="P167" s="268"/>
      <c r="Q167" s="270"/>
      <c r="R167" s="268"/>
      <c r="S167" s="270"/>
      <c r="T167" s="268"/>
      <c r="U167" s="270"/>
      <c r="V167" s="268"/>
      <c r="W167" s="270"/>
      <c r="X167" s="270"/>
      <c r="Y167" s="270"/>
      <c r="Z167" s="270"/>
      <c r="AA167" s="270"/>
    </row>
    <row r="168" spans="1:27" ht="16.899999999999999" x14ac:dyDescent="0.5">
      <c r="A168" s="270"/>
      <c r="B168" s="270"/>
      <c r="C168" s="270"/>
      <c r="D168" s="268"/>
      <c r="E168" s="270"/>
      <c r="F168" s="268"/>
      <c r="G168" s="270"/>
      <c r="H168" s="268"/>
      <c r="I168" s="270"/>
      <c r="J168" s="268"/>
      <c r="K168" s="270"/>
      <c r="L168" s="268"/>
      <c r="M168" s="270"/>
      <c r="N168" s="268"/>
      <c r="O168" s="270"/>
      <c r="P168" s="268"/>
      <c r="Q168" s="270"/>
      <c r="R168" s="268"/>
      <c r="S168" s="270"/>
      <c r="T168" s="268"/>
      <c r="U168" s="270"/>
      <c r="V168" s="268"/>
      <c r="W168" s="270"/>
      <c r="X168" s="270"/>
      <c r="Y168" s="270"/>
      <c r="Z168" s="270"/>
      <c r="AA168" s="270"/>
    </row>
    <row r="169" spans="1:27" ht="16.899999999999999" x14ac:dyDescent="0.5">
      <c r="A169" s="270"/>
      <c r="B169" s="270"/>
      <c r="C169" s="270"/>
      <c r="D169" s="268"/>
      <c r="E169" s="270"/>
      <c r="F169" s="268"/>
      <c r="G169" s="270"/>
      <c r="H169" s="268"/>
      <c r="I169" s="270"/>
      <c r="J169" s="268"/>
      <c r="K169" s="270"/>
      <c r="L169" s="268"/>
      <c r="M169" s="270"/>
      <c r="N169" s="268"/>
      <c r="O169" s="270"/>
      <c r="P169" s="268"/>
      <c r="Q169" s="270"/>
      <c r="R169" s="268"/>
      <c r="S169" s="270"/>
      <c r="T169" s="268"/>
      <c r="U169" s="270"/>
      <c r="V169" s="268"/>
      <c r="W169" s="270"/>
      <c r="X169" s="270"/>
      <c r="Y169" s="270"/>
      <c r="Z169" s="270"/>
      <c r="AA169" s="270"/>
    </row>
    <row r="170" spans="1:27" ht="16.899999999999999" x14ac:dyDescent="0.5">
      <c r="A170" s="270"/>
      <c r="B170" s="270"/>
      <c r="C170" s="270"/>
      <c r="D170" s="268"/>
      <c r="E170" s="270"/>
      <c r="F170" s="268"/>
      <c r="G170" s="270"/>
      <c r="H170" s="268"/>
      <c r="I170" s="270"/>
      <c r="J170" s="268"/>
      <c r="K170" s="270"/>
      <c r="L170" s="268"/>
      <c r="M170" s="270"/>
      <c r="N170" s="268"/>
      <c r="O170" s="270"/>
      <c r="P170" s="268"/>
      <c r="Q170" s="270"/>
      <c r="R170" s="268"/>
      <c r="S170" s="270"/>
      <c r="T170" s="268"/>
      <c r="U170" s="270"/>
      <c r="V170" s="268"/>
      <c r="W170" s="270"/>
      <c r="X170" s="270"/>
      <c r="Y170" s="270"/>
      <c r="Z170" s="270"/>
      <c r="AA170" s="270"/>
    </row>
    <row r="171" spans="1:27" ht="16.899999999999999" x14ac:dyDescent="0.5">
      <c r="A171" s="270"/>
      <c r="B171" s="270"/>
      <c r="C171" s="270"/>
      <c r="D171" s="268"/>
      <c r="E171" s="270"/>
      <c r="F171" s="268"/>
      <c r="G171" s="270"/>
      <c r="H171" s="268"/>
      <c r="I171" s="270"/>
      <c r="J171" s="268"/>
      <c r="K171" s="270"/>
      <c r="L171" s="268"/>
      <c r="M171" s="270"/>
      <c r="N171" s="268"/>
      <c r="O171" s="270"/>
      <c r="P171" s="268"/>
      <c r="Q171" s="270"/>
      <c r="R171" s="268"/>
      <c r="S171" s="270"/>
      <c r="T171" s="268"/>
      <c r="U171" s="270"/>
      <c r="V171" s="268"/>
      <c r="W171" s="270"/>
      <c r="X171" s="270"/>
      <c r="Y171" s="270"/>
      <c r="Z171" s="270"/>
      <c r="AA171" s="270"/>
    </row>
    <row r="172" spans="1:27" ht="16.899999999999999" x14ac:dyDescent="0.5">
      <c r="A172" s="270"/>
      <c r="B172" s="270"/>
      <c r="C172" s="270"/>
      <c r="D172" s="268"/>
      <c r="E172" s="270"/>
      <c r="F172" s="268"/>
      <c r="G172" s="270"/>
      <c r="H172" s="268"/>
      <c r="I172" s="270"/>
      <c r="J172" s="268"/>
      <c r="K172" s="270"/>
      <c r="L172" s="268"/>
      <c r="M172" s="270"/>
      <c r="N172" s="268"/>
      <c r="O172" s="270"/>
      <c r="P172" s="268"/>
      <c r="Q172" s="270"/>
      <c r="R172" s="268"/>
      <c r="S172" s="270"/>
      <c r="T172" s="268"/>
      <c r="U172" s="270"/>
      <c r="V172" s="268"/>
      <c r="W172" s="270"/>
      <c r="X172" s="270"/>
      <c r="Y172" s="270"/>
      <c r="Z172" s="270"/>
      <c r="AA172" s="270"/>
    </row>
    <row r="173" spans="1:27" ht="16.899999999999999" x14ac:dyDescent="0.5">
      <c r="A173" s="270"/>
      <c r="B173" s="270"/>
      <c r="C173" s="270"/>
      <c r="D173" s="268"/>
      <c r="E173" s="270"/>
      <c r="F173" s="268"/>
      <c r="G173" s="270"/>
      <c r="H173" s="268"/>
      <c r="I173" s="270"/>
      <c r="J173" s="268"/>
      <c r="K173" s="270"/>
      <c r="L173" s="268"/>
      <c r="M173" s="270"/>
      <c r="N173" s="268"/>
      <c r="O173" s="270"/>
      <c r="P173" s="268"/>
      <c r="Q173" s="270"/>
      <c r="R173" s="268"/>
      <c r="S173" s="270"/>
      <c r="T173" s="268"/>
      <c r="U173" s="270"/>
      <c r="V173" s="268"/>
      <c r="W173" s="270"/>
      <c r="X173" s="270"/>
      <c r="Y173" s="270"/>
      <c r="Z173" s="270"/>
      <c r="AA173" s="270"/>
    </row>
    <row r="174" spans="1:27" ht="16.899999999999999" x14ac:dyDescent="0.5">
      <c r="A174" s="270"/>
      <c r="B174" s="270"/>
      <c r="C174" s="270"/>
      <c r="D174" s="268"/>
      <c r="E174" s="270"/>
      <c r="F174" s="268"/>
      <c r="G174" s="270"/>
      <c r="H174" s="268"/>
      <c r="I174" s="270"/>
      <c r="J174" s="268"/>
      <c r="K174" s="270"/>
      <c r="L174" s="268"/>
      <c r="M174" s="270"/>
      <c r="N174" s="268"/>
      <c r="O174" s="270"/>
      <c r="P174" s="268"/>
      <c r="Q174" s="270"/>
      <c r="R174" s="268"/>
      <c r="S174" s="270"/>
      <c r="T174" s="268"/>
      <c r="U174" s="270"/>
      <c r="V174" s="268"/>
      <c r="W174" s="270"/>
      <c r="X174" s="270"/>
      <c r="Y174" s="270"/>
      <c r="Z174" s="270"/>
      <c r="AA174" s="270"/>
    </row>
    <row r="175" spans="1:27" ht="16.899999999999999" x14ac:dyDescent="0.5">
      <c r="A175" s="270"/>
      <c r="B175" s="270"/>
      <c r="C175" s="270"/>
      <c r="D175" s="268"/>
      <c r="E175" s="270"/>
      <c r="F175" s="268"/>
      <c r="G175" s="270"/>
      <c r="H175" s="268"/>
      <c r="I175" s="270"/>
      <c r="J175" s="268"/>
      <c r="K175" s="270"/>
      <c r="L175" s="268"/>
      <c r="M175" s="270"/>
      <c r="N175" s="268"/>
      <c r="O175" s="270"/>
      <c r="P175" s="268"/>
      <c r="Q175" s="270"/>
      <c r="R175" s="268"/>
      <c r="S175" s="270"/>
      <c r="T175" s="268"/>
      <c r="U175" s="270"/>
      <c r="V175" s="268"/>
      <c r="W175" s="270"/>
      <c r="X175" s="270"/>
      <c r="Y175" s="270"/>
      <c r="Z175" s="270"/>
      <c r="AA175" s="270"/>
    </row>
    <row r="176" spans="1:27" ht="16.899999999999999" x14ac:dyDescent="0.5">
      <c r="A176" s="270"/>
      <c r="B176" s="270"/>
      <c r="C176" s="270"/>
      <c r="D176" s="268"/>
      <c r="E176" s="270"/>
      <c r="F176" s="268"/>
      <c r="G176" s="270"/>
      <c r="H176" s="268"/>
      <c r="I176" s="270"/>
      <c r="J176" s="268"/>
      <c r="K176" s="270"/>
      <c r="L176" s="268"/>
      <c r="M176" s="270"/>
      <c r="N176" s="268"/>
      <c r="O176" s="270"/>
      <c r="P176" s="268"/>
      <c r="Q176" s="270"/>
      <c r="R176" s="268"/>
      <c r="S176" s="270"/>
      <c r="T176" s="268"/>
      <c r="U176" s="270"/>
      <c r="V176" s="268"/>
      <c r="W176" s="270"/>
      <c r="X176" s="270"/>
      <c r="Y176" s="270"/>
      <c r="Z176" s="270"/>
      <c r="AA176" s="270"/>
    </row>
    <row r="177" spans="1:27" ht="16.899999999999999" x14ac:dyDescent="0.5">
      <c r="A177" s="270"/>
      <c r="B177" s="270"/>
      <c r="C177" s="270"/>
      <c r="D177" s="268"/>
      <c r="E177" s="270"/>
      <c r="F177" s="268"/>
      <c r="G177" s="270"/>
      <c r="H177" s="268"/>
      <c r="I177" s="270"/>
      <c r="J177" s="268"/>
      <c r="K177" s="270"/>
      <c r="L177" s="268"/>
      <c r="M177" s="270"/>
      <c r="N177" s="268"/>
      <c r="O177" s="270"/>
      <c r="P177" s="268"/>
      <c r="Q177" s="270"/>
      <c r="R177" s="268"/>
      <c r="S177" s="270"/>
      <c r="T177" s="268"/>
      <c r="U177" s="270"/>
      <c r="V177" s="268"/>
      <c r="W177" s="270"/>
      <c r="X177" s="270"/>
      <c r="Y177" s="270"/>
      <c r="Z177" s="270"/>
      <c r="AA177" s="270"/>
    </row>
    <row r="178" spans="1:27" ht="16.899999999999999" x14ac:dyDescent="0.5">
      <c r="A178" s="270"/>
      <c r="B178" s="270"/>
      <c r="C178" s="270"/>
      <c r="D178" s="268"/>
      <c r="E178" s="270"/>
      <c r="F178" s="268"/>
      <c r="G178" s="270"/>
      <c r="H178" s="268"/>
      <c r="I178" s="270"/>
      <c r="J178" s="268"/>
      <c r="K178" s="270"/>
      <c r="L178" s="268"/>
      <c r="M178" s="270"/>
      <c r="N178" s="268"/>
      <c r="O178" s="270"/>
      <c r="P178" s="268"/>
      <c r="Q178" s="270"/>
      <c r="R178" s="268"/>
      <c r="S178" s="270"/>
      <c r="T178" s="268"/>
      <c r="U178" s="270"/>
      <c r="V178" s="268"/>
      <c r="W178" s="270"/>
      <c r="X178" s="270"/>
      <c r="Y178" s="270"/>
      <c r="Z178" s="270"/>
      <c r="AA178" s="270"/>
    </row>
    <row r="179" spans="1:27" ht="16.899999999999999" x14ac:dyDescent="0.5">
      <c r="A179" s="270"/>
      <c r="B179" s="270"/>
      <c r="C179" s="270"/>
      <c r="D179" s="268"/>
      <c r="E179" s="270"/>
      <c r="F179" s="268"/>
      <c r="G179" s="270"/>
      <c r="H179" s="268"/>
      <c r="I179" s="270"/>
      <c r="J179" s="268"/>
      <c r="K179" s="270"/>
      <c r="L179" s="268"/>
      <c r="M179" s="270"/>
      <c r="N179" s="268"/>
      <c r="O179" s="270"/>
      <c r="P179" s="268"/>
      <c r="Q179" s="270"/>
      <c r="R179" s="268"/>
      <c r="S179" s="270"/>
      <c r="T179" s="268"/>
      <c r="U179" s="270"/>
      <c r="V179" s="268"/>
      <c r="W179" s="270"/>
      <c r="X179" s="270"/>
      <c r="Y179" s="270"/>
      <c r="Z179" s="270"/>
      <c r="AA179" s="270"/>
    </row>
    <row r="180" spans="1:27" ht="16.899999999999999" x14ac:dyDescent="0.5">
      <c r="A180" s="270"/>
      <c r="B180" s="270"/>
      <c r="C180" s="270"/>
      <c r="D180" s="268"/>
      <c r="E180" s="270"/>
      <c r="F180" s="268"/>
      <c r="G180" s="270"/>
      <c r="H180" s="268"/>
      <c r="I180" s="270"/>
      <c r="J180" s="268"/>
      <c r="K180" s="270"/>
      <c r="L180" s="268"/>
      <c r="M180" s="270"/>
      <c r="N180" s="268"/>
      <c r="O180" s="270"/>
      <c r="P180" s="268"/>
      <c r="Q180" s="270"/>
      <c r="R180" s="268"/>
      <c r="S180" s="270"/>
      <c r="T180" s="268"/>
      <c r="U180" s="270"/>
      <c r="V180" s="268"/>
      <c r="W180" s="270"/>
      <c r="X180" s="270"/>
      <c r="Y180" s="270"/>
      <c r="Z180" s="270"/>
      <c r="AA180" s="270"/>
    </row>
    <row r="181" spans="1:27" ht="16.899999999999999" x14ac:dyDescent="0.5">
      <c r="A181" s="270"/>
      <c r="B181" s="270"/>
      <c r="C181" s="270"/>
      <c r="D181" s="268"/>
      <c r="E181" s="270"/>
      <c r="F181" s="268"/>
      <c r="G181" s="270"/>
      <c r="H181" s="268"/>
      <c r="I181" s="270"/>
      <c r="J181" s="268"/>
      <c r="K181" s="270"/>
      <c r="L181" s="268"/>
      <c r="M181" s="270"/>
      <c r="N181" s="268"/>
      <c r="O181" s="270"/>
      <c r="P181" s="268"/>
      <c r="Q181" s="270"/>
      <c r="R181" s="268"/>
      <c r="S181" s="270"/>
      <c r="T181" s="268"/>
      <c r="U181" s="270"/>
      <c r="V181" s="268"/>
      <c r="W181" s="270"/>
      <c r="X181" s="270"/>
      <c r="Y181" s="270"/>
      <c r="Z181" s="270"/>
      <c r="AA181" s="270"/>
    </row>
    <row r="182" spans="1:27" ht="16.899999999999999" x14ac:dyDescent="0.5">
      <c r="A182" s="270"/>
      <c r="B182" s="270"/>
      <c r="C182" s="270"/>
      <c r="D182" s="268"/>
      <c r="E182" s="270"/>
      <c r="F182" s="268"/>
      <c r="G182" s="270"/>
      <c r="H182" s="268"/>
      <c r="I182" s="270"/>
      <c r="J182" s="268"/>
      <c r="K182" s="270"/>
      <c r="L182" s="268"/>
      <c r="M182" s="270"/>
      <c r="N182" s="268"/>
      <c r="O182" s="270"/>
      <c r="P182" s="268"/>
      <c r="Q182" s="270"/>
      <c r="R182" s="268"/>
      <c r="S182" s="270"/>
      <c r="T182" s="268"/>
      <c r="U182" s="270"/>
      <c r="V182" s="268"/>
      <c r="W182" s="270"/>
      <c r="X182" s="270"/>
      <c r="Y182" s="270"/>
      <c r="Z182" s="270"/>
      <c r="AA182" s="270"/>
    </row>
    <row r="183" spans="1:27" ht="16.899999999999999" x14ac:dyDescent="0.5">
      <c r="A183" s="270"/>
      <c r="B183" s="270"/>
      <c r="C183" s="270"/>
      <c r="D183" s="268"/>
      <c r="E183" s="270"/>
      <c r="F183" s="268"/>
      <c r="G183" s="270"/>
      <c r="H183" s="268"/>
      <c r="I183" s="270"/>
      <c r="J183" s="268"/>
      <c r="K183" s="270"/>
      <c r="L183" s="268"/>
      <c r="M183" s="270"/>
      <c r="N183" s="268"/>
      <c r="O183" s="270"/>
      <c r="P183" s="268"/>
      <c r="Q183" s="270"/>
      <c r="R183" s="268"/>
      <c r="S183" s="270"/>
      <c r="T183" s="268"/>
      <c r="U183" s="270"/>
      <c r="V183" s="268"/>
      <c r="W183" s="270"/>
      <c r="X183" s="270"/>
      <c r="Y183" s="270"/>
      <c r="Z183" s="270"/>
      <c r="AA183" s="270"/>
    </row>
    <row r="184" spans="1:27" ht="16.899999999999999" x14ac:dyDescent="0.5">
      <c r="A184" s="270"/>
      <c r="B184" s="270"/>
      <c r="C184" s="270"/>
      <c r="D184" s="268"/>
      <c r="E184" s="270"/>
      <c r="F184" s="268"/>
      <c r="G184" s="270"/>
      <c r="H184" s="268"/>
      <c r="I184" s="270"/>
      <c r="J184" s="268"/>
      <c r="K184" s="270"/>
      <c r="L184" s="268"/>
      <c r="M184" s="270"/>
      <c r="N184" s="268"/>
      <c r="O184" s="270"/>
      <c r="P184" s="268"/>
      <c r="Q184" s="270"/>
      <c r="R184" s="268"/>
      <c r="S184" s="270"/>
      <c r="T184" s="268"/>
      <c r="U184" s="270"/>
      <c r="V184" s="268"/>
      <c r="W184" s="270"/>
      <c r="X184" s="270"/>
      <c r="Y184" s="270"/>
      <c r="Z184" s="270"/>
      <c r="AA184" s="270"/>
    </row>
    <row r="185" spans="1:27" ht="16.899999999999999" x14ac:dyDescent="0.5">
      <c r="A185" s="270"/>
      <c r="B185" s="270"/>
      <c r="C185" s="270"/>
      <c r="D185" s="268"/>
      <c r="E185" s="270"/>
      <c r="F185" s="268"/>
      <c r="G185" s="270"/>
      <c r="H185" s="268"/>
      <c r="I185" s="270"/>
      <c r="J185" s="268"/>
      <c r="K185" s="270"/>
      <c r="L185" s="268"/>
      <c r="M185" s="270"/>
      <c r="N185" s="268"/>
      <c r="O185" s="270"/>
      <c r="P185" s="268"/>
      <c r="Q185" s="270"/>
      <c r="R185" s="268"/>
      <c r="S185" s="270"/>
      <c r="T185" s="268"/>
      <c r="U185" s="270"/>
      <c r="V185" s="268"/>
      <c r="W185" s="270"/>
      <c r="X185" s="270"/>
      <c r="Y185" s="270"/>
      <c r="Z185" s="270"/>
      <c r="AA185" s="270"/>
    </row>
    <row r="186" spans="1:27" ht="16.899999999999999" x14ac:dyDescent="0.5">
      <c r="A186" s="270"/>
      <c r="B186" s="270"/>
      <c r="C186" s="270"/>
      <c r="D186" s="268"/>
      <c r="E186" s="270"/>
      <c r="F186" s="268"/>
      <c r="G186" s="270"/>
      <c r="H186" s="268"/>
      <c r="I186" s="270"/>
      <c r="J186" s="268"/>
      <c r="K186" s="270"/>
      <c r="L186" s="268"/>
      <c r="M186" s="270"/>
      <c r="N186" s="268"/>
      <c r="O186" s="270"/>
      <c r="P186" s="268"/>
      <c r="Q186" s="270"/>
      <c r="R186" s="268"/>
      <c r="S186" s="270"/>
      <c r="T186" s="268"/>
      <c r="U186" s="270"/>
      <c r="V186" s="268"/>
      <c r="W186" s="270"/>
      <c r="X186" s="270"/>
      <c r="Y186" s="270"/>
      <c r="Z186" s="270"/>
      <c r="AA186" s="270"/>
    </row>
    <row r="187" spans="1:27" ht="16.899999999999999" x14ac:dyDescent="0.5">
      <c r="A187" s="270"/>
      <c r="B187" s="270"/>
      <c r="C187" s="270"/>
      <c r="D187" s="268"/>
      <c r="E187" s="270"/>
      <c r="F187" s="268"/>
      <c r="G187" s="270"/>
      <c r="H187" s="268"/>
      <c r="I187" s="270"/>
      <c r="J187" s="268"/>
      <c r="K187" s="270"/>
      <c r="L187" s="268"/>
      <c r="M187" s="270"/>
      <c r="N187" s="268"/>
      <c r="O187" s="270"/>
      <c r="P187" s="268"/>
      <c r="Q187" s="270"/>
      <c r="R187" s="268"/>
      <c r="S187" s="270"/>
      <c r="T187" s="268"/>
      <c r="U187" s="270"/>
      <c r="V187" s="268"/>
      <c r="W187" s="270"/>
      <c r="X187" s="270"/>
      <c r="Y187" s="270"/>
      <c r="Z187" s="270"/>
      <c r="AA187" s="270"/>
    </row>
    <row r="188" spans="1:27" ht="16.899999999999999" x14ac:dyDescent="0.5">
      <c r="A188" s="270"/>
      <c r="B188" s="270"/>
      <c r="C188" s="270"/>
      <c r="D188" s="268"/>
      <c r="E188" s="270"/>
      <c r="F188" s="268"/>
      <c r="G188" s="270"/>
      <c r="H188" s="268"/>
      <c r="I188" s="270"/>
      <c r="J188" s="268"/>
      <c r="K188" s="270"/>
      <c r="L188" s="268"/>
      <c r="M188" s="270"/>
      <c r="N188" s="268"/>
      <c r="O188" s="270"/>
      <c r="P188" s="268"/>
      <c r="Q188" s="270"/>
      <c r="R188" s="268"/>
      <c r="S188" s="270"/>
      <c r="T188" s="268"/>
      <c r="U188" s="270"/>
      <c r="V188" s="268"/>
      <c r="W188" s="270"/>
      <c r="X188" s="270"/>
      <c r="Y188" s="270"/>
      <c r="Z188" s="270"/>
      <c r="AA188" s="270"/>
    </row>
    <row r="189" spans="1:27" ht="16.899999999999999" x14ac:dyDescent="0.5">
      <c r="A189" s="270"/>
      <c r="B189" s="270"/>
      <c r="C189" s="270"/>
      <c r="D189" s="268"/>
      <c r="E189" s="270"/>
      <c r="F189" s="268"/>
      <c r="G189" s="270"/>
      <c r="H189" s="268"/>
      <c r="I189" s="270"/>
      <c r="J189" s="268"/>
      <c r="K189" s="270"/>
      <c r="L189" s="268"/>
      <c r="M189" s="270"/>
      <c r="N189" s="268"/>
      <c r="O189" s="270"/>
      <c r="P189" s="268"/>
      <c r="Q189" s="270"/>
      <c r="R189" s="268"/>
      <c r="S189" s="270"/>
      <c r="T189" s="268"/>
      <c r="U189" s="270"/>
      <c r="V189" s="268"/>
      <c r="W189" s="270"/>
      <c r="X189" s="270"/>
      <c r="Y189" s="270"/>
      <c r="Z189" s="270"/>
      <c r="AA189" s="270"/>
    </row>
    <row r="190" spans="1:27" ht="16.899999999999999" x14ac:dyDescent="0.5">
      <c r="A190" s="270"/>
      <c r="B190" s="270"/>
      <c r="C190" s="270"/>
      <c r="D190" s="268"/>
      <c r="E190" s="270"/>
      <c r="F190" s="268"/>
      <c r="G190" s="270"/>
      <c r="H190" s="268"/>
      <c r="I190" s="270"/>
      <c r="J190" s="268"/>
      <c r="K190" s="270"/>
      <c r="L190" s="268"/>
      <c r="M190" s="270"/>
      <c r="N190" s="268"/>
      <c r="O190" s="270"/>
      <c r="P190" s="268"/>
      <c r="Q190" s="270"/>
      <c r="R190" s="268"/>
      <c r="S190" s="270"/>
      <c r="T190" s="268"/>
      <c r="U190" s="270"/>
      <c r="V190" s="268"/>
      <c r="W190" s="270"/>
      <c r="X190" s="270"/>
      <c r="Y190" s="270"/>
      <c r="Z190" s="270"/>
      <c r="AA190" s="270"/>
    </row>
    <row r="191" spans="1:27" ht="16.899999999999999" x14ac:dyDescent="0.5">
      <c r="A191" s="270"/>
      <c r="B191" s="270"/>
      <c r="C191" s="270"/>
      <c r="D191" s="268"/>
      <c r="E191" s="270"/>
      <c r="F191" s="268"/>
      <c r="G191" s="270"/>
      <c r="H191" s="268"/>
      <c r="I191" s="270"/>
      <c r="J191" s="268"/>
      <c r="K191" s="270"/>
      <c r="L191" s="268"/>
      <c r="M191" s="270"/>
      <c r="N191" s="268"/>
      <c r="O191" s="270"/>
      <c r="P191" s="268"/>
      <c r="Q191" s="270"/>
      <c r="R191" s="268"/>
      <c r="S191" s="270"/>
      <c r="T191" s="268"/>
      <c r="U191" s="270"/>
      <c r="V191" s="268"/>
      <c r="W191" s="270"/>
      <c r="X191" s="270"/>
      <c r="Y191" s="270"/>
      <c r="Z191" s="270"/>
      <c r="AA191" s="270"/>
    </row>
    <row r="192" spans="1:27" ht="16.899999999999999" x14ac:dyDescent="0.5">
      <c r="A192" s="270"/>
      <c r="B192" s="270"/>
      <c r="C192" s="270"/>
      <c r="D192" s="268"/>
      <c r="E192" s="270"/>
      <c r="F192" s="268"/>
      <c r="G192" s="270"/>
      <c r="H192" s="268"/>
      <c r="I192" s="270"/>
      <c r="J192" s="268"/>
      <c r="K192" s="270"/>
      <c r="L192" s="268"/>
      <c r="M192" s="270"/>
      <c r="N192" s="268"/>
      <c r="O192" s="270"/>
      <c r="P192" s="268"/>
      <c r="Q192" s="270"/>
      <c r="R192" s="268"/>
      <c r="S192" s="270"/>
      <c r="T192" s="268"/>
      <c r="U192" s="270"/>
      <c r="V192" s="268"/>
      <c r="W192" s="270"/>
      <c r="X192" s="270"/>
      <c r="Y192" s="270"/>
      <c r="Z192" s="270"/>
      <c r="AA192" s="270"/>
    </row>
    <row r="193" spans="1:27" ht="16.899999999999999" x14ac:dyDescent="0.5">
      <c r="A193" s="270"/>
      <c r="B193" s="270"/>
      <c r="C193" s="270"/>
      <c r="D193" s="268"/>
      <c r="E193" s="270"/>
      <c r="F193" s="268"/>
      <c r="G193" s="270"/>
      <c r="H193" s="268"/>
      <c r="I193" s="270"/>
      <c r="J193" s="268"/>
      <c r="K193" s="270"/>
      <c r="L193" s="268"/>
      <c r="M193" s="270"/>
      <c r="N193" s="268"/>
      <c r="O193" s="270"/>
      <c r="P193" s="268"/>
      <c r="Q193" s="270"/>
      <c r="R193" s="268"/>
      <c r="S193" s="270"/>
      <c r="T193" s="268"/>
      <c r="U193" s="270"/>
      <c r="V193" s="268"/>
      <c r="W193" s="270"/>
      <c r="X193" s="270"/>
      <c r="Y193" s="270"/>
      <c r="Z193" s="270"/>
      <c r="AA193" s="270"/>
    </row>
    <row r="194" spans="1:27" ht="16.899999999999999" x14ac:dyDescent="0.5">
      <c r="A194" s="270"/>
      <c r="B194" s="270"/>
      <c r="C194" s="270"/>
      <c r="D194" s="268"/>
      <c r="E194" s="270"/>
      <c r="F194" s="268"/>
      <c r="G194" s="270"/>
      <c r="H194" s="268"/>
      <c r="I194" s="270"/>
      <c r="J194" s="268"/>
      <c r="K194" s="270"/>
      <c r="L194" s="268"/>
      <c r="M194" s="270"/>
      <c r="N194" s="268"/>
      <c r="O194" s="270"/>
      <c r="P194" s="268"/>
      <c r="Q194" s="270"/>
      <c r="R194" s="268"/>
      <c r="S194" s="270"/>
      <c r="T194" s="268"/>
      <c r="U194" s="270"/>
      <c r="V194" s="268"/>
      <c r="W194" s="270"/>
      <c r="X194" s="270"/>
      <c r="Y194" s="270"/>
      <c r="Z194" s="270"/>
      <c r="AA194" s="270"/>
    </row>
    <row r="195" spans="1:27" ht="16.899999999999999" x14ac:dyDescent="0.5">
      <c r="A195" s="270"/>
      <c r="B195" s="270"/>
      <c r="C195" s="270"/>
      <c r="D195" s="268"/>
      <c r="E195" s="270"/>
      <c r="F195" s="268"/>
      <c r="G195" s="270"/>
      <c r="H195" s="268"/>
      <c r="I195" s="270"/>
      <c r="J195" s="268"/>
      <c r="K195" s="270"/>
      <c r="L195" s="268"/>
      <c r="M195" s="270"/>
      <c r="N195" s="268"/>
      <c r="O195" s="270"/>
      <c r="P195" s="268"/>
      <c r="Q195" s="270"/>
      <c r="R195" s="268"/>
      <c r="S195" s="270"/>
      <c r="T195" s="268"/>
      <c r="U195" s="270"/>
      <c r="V195" s="268"/>
      <c r="W195" s="270"/>
      <c r="X195" s="270"/>
      <c r="Y195" s="270"/>
      <c r="Z195" s="270"/>
      <c r="AA195" s="270"/>
    </row>
    <row r="196" spans="1:27" ht="16.899999999999999" x14ac:dyDescent="0.5">
      <c r="A196" s="270"/>
      <c r="B196" s="270"/>
      <c r="C196" s="270"/>
      <c r="D196" s="268"/>
      <c r="E196" s="270"/>
      <c r="F196" s="268"/>
      <c r="G196" s="270"/>
      <c r="H196" s="268"/>
      <c r="I196" s="270"/>
      <c r="J196" s="268"/>
      <c r="K196" s="270"/>
      <c r="L196" s="268"/>
      <c r="M196" s="270"/>
      <c r="N196" s="268"/>
      <c r="O196" s="270"/>
      <c r="P196" s="268"/>
      <c r="Q196" s="270"/>
      <c r="R196" s="268"/>
      <c r="S196" s="270"/>
      <c r="T196" s="268"/>
      <c r="U196" s="270"/>
      <c r="V196" s="268"/>
      <c r="W196" s="270"/>
      <c r="X196" s="270"/>
      <c r="Y196" s="270"/>
      <c r="Z196" s="270"/>
      <c r="AA196" s="270"/>
    </row>
    <row r="197" spans="1:27" ht="16.899999999999999" x14ac:dyDescent="0.5">
      <c r="A197" s="270"/>
      <c r="B197" s="270"/>
      <c r="C197" s="270"/>
      <c r="D197" s="268"/>
      <c r="E197" s="270"/>
      <c r="F197" s="268"/>
      <c r="G197" s="270"/>
      <c r="H197" s="268"/>
      <c r="I197" s="270"/>
      <c r="J197" s="268"/>
      <c r="K197" s="270"/>
      <c r="L197" s="268"/>
      <c r="M197" s="270"/>
      <c r="N197" s="268"/>
      <c r="O197" s="270"/>
      <c r="P197" s="268"/>
      <c r="Q197" s="270"/>
      <c r="R197" s="268"/>
      <c r="S197" s="270"/>
      <c r="T197" s="268"/>
      <c r="U197" s="270"/>
      <c r="V197" s="268"/>
      <c r="W197" s="270"/>
      <c r="X197" s="270"/>
      <c r="Y197" s="270"/>
      <c r="Z197" s="270"/>
      <c r="AA197" s="270"/>
    </row>
    <row r="198" spans="1:27" ht="16.899999999999999" x14ac:dyDescent="0.5">
      <c r="A198" s="270"/>
      <c r="B198" s="270"/>
      <c r="C198" s="270"/>
      <c r="D198" s="268"/>
      <c r="E198" s="270"/>
      <c r="F198" s="268"/>
      <c r="G198" s="270"/>
      <c r="H198" s="268"/>
      <c r="I198" s="270"/>
      <c r="J198" s="268"/>
      <c r="K198" s="270"/>
      <c r="L198" s="268"/>
      <c r="M198" s="270"/>
      <c r="N198" s="268"/>
      <c r="O198" s="270"/>
      <c r="P198" s="268"/>
      <c r="Q198" s="270"/>
      <c r="R198" s="268"/>
      <c r="S198" s="270"/>
      <c r="T198" s="268"/>
      <c r="U198" s="270"/>
      <c r="V198" s="268"/>
      <c r="W198" s="270"/>
      <c r="X198" s="270"/>
      <c r="Y198" s="270"/>
      <c r="Z198" s="270"/>
      <c r="AA198" s="270"/>
    </row>
    <row r="199" spans="1:27" ht="16.899999999999999" x14ac:dyDescent="0.5">
      <c r="A199" s="270"/>
      <c r="B199" s="270"/>
      <c r="C199" s="270"/>
      <c r="D199" s="268"/>
      <c r="E199" s="270"/>
      <c r="F199" s="268"/>
      <c r="G199" s="270"/>
      <c r="H199" s="268"/>
      <c r="I199" s="270"/>
      <c r="J199" s="268"/>
      <c r="K199" s="270"/>
      <c r="L199" s="268"/>
      <c r="M199" s="270"/>
      <c r="N199" s="268"/>
      <c r="O199" s="270"/>
      <c r="P199" s="268"/>
      <c r="Q199" s="270"/>
      <c r="R199" s="268"/>
      <c r="S199" s="270"/>
      <c r="T199" s="268"/>
      <c r="U199" s="270"/>
      <c r="V199" s="268"/>
      <c r="W199" s="270"/>
      <c r="X199" s="270"/>
      <c r="Y199" s="270"/>
      <c r="Z199" s="270"/>
      <c r="AA199" s="270"/>
    </row>
    <row r="200" spans="1:27" ht="16.899999999999999" x14ac:dyDescent="0.5">
      <c r="A200" s="270"/>
      <c r="B200" s="270"/>
      <c r="C200" s="270"/>
      <c r="D200" s="268"/>
      <c r="E200" s="270"/>
      <c r="F200" s="268"/>
      <c r="G200" s="270"/>
      <c r="H200" s="268"/>
      <c r="I200" s="270"/>
      <c r="J200" s="268"/>
      <c r="K200" s="270"/>
      <c r="L200" s="268"/>
      <c r="M200" s="270"/>
      <c r="N200" s="268"/>
      <c r="O200" s="270"/>
      <c r="P200" s="268"/>
      <c r="Q200" s="270"/>
      <c r="R200" s="268"/>
      <c r="S200" s="270"/>
      <c r="T200" s="268"/>
      <c r="U200" s="270"/>
      <c r="V200" s="268"/>
      <c r="W200" s="270"/>
      <c r="X200" s="270"/>
      <c r="Y200" s="270"/>
      <c r="Z200" s="270"/>
      <c r="AA200" s="270"/>
    </row>
    <row r="201" spans="1:27" ht="16.899999999999999" x14ac:dyDescent="0.5">
      <c r="A201" s="270"/>
      <c r="B201" s="270"/>
      <c r="C201" s="270"/>
      <c r="D201" s="268"/>
      <c r="E201" s="270"/>
      <c r="F201" s="268"/>
      <c r="G201" s="270"/>
      <c r="H201" s="268"/>
      <c r="I201" s="270"/>
      <c r="J201" s="268"/>
      <c r="K201" s="270"/>
      <c r="L201" s="268"/>
      <c r="M201" s="270"/>
      <c r="N201" s="268"/>
      <c r="O201" s="270"/>
      <c r="P201" s="268"/>
      <c r="Q201" s="270"/>
      <c r="R201" s="268"/>
      <c r="S201" s="270"/>
      <c r="T201" s="268"/>
      <c r="U201" s="270"/>
      <c r="V201" s="268"/>
      <c r="W201" s="270"/>
      <c r="X201" s="270"/>
      <c r="Y201" s="270"/>
      <c r="Z201" s="270"/>
      <c r="AA201" s="270"/>
    </row>
    <row r="202" spans="1:27" ht="16.899999999999999" x14ac:dyDescent="0.5">
      <c r="A202" s="270"/>
      <c r="B202" s="270"/>
      <c r="C202" s="270"/>
      <c r="D202" s="268"/>
      <c r="E202" s="270"/>
      <c r="F202" s="268"/>
      <c r="G202" s="270"/>
      <c r="H202" s="268"/>
      <c r="I202" s="270"/>
      <c r="J202" s="268"/>
      <c r="K202" s="270"/>
      <c r="L202" s="268"/>
      <c r="M202" s="270"/>
      <c r="N202" s="268"/>
      <c r="O202" s="270"/>
      <c r="P202" s="268"/>
      <c r="Q202" s="270"/>
      <c r="R202" s="268"/>
      <c r="S202" s="270"/>
      <c r="T202" s="268"/>
      <c r="U202" s="270"/>
      <c r="V202" s="268"/>
      <c r="W202" s="270"/>
      <c r="X202" s="270"/>
      <c r="Y202" s="270"/>
      <c r="Z202" s="270"/>
      <c r="AA202" s="270"/>
    </row>
    <row r="203" spans="1:27" ht="16.899999999999999" x14ac:dyDescent="0.5">
      <c r="A203" s="270"/>
      <c r="B203" s="270"/>
      <c r="C203" s="270"/>
      <c r="D203" s="268"/>
      <c r="E203" s="270"/>
      <c r="F203" s="268"/>
      <c r="G203" s="270"/>
      <c r="H203" s="268"/>
      <c r="I203" s="270"/>
      <c r="J203" s="268"/>
      <c r="K203" s="270"/>
      <c r="L203" s="268"/>
      <c r="M203" s="270"/>
      <c r="N203" s="268"/>
      <c r="O203" s="270"/>
      <c r="P203" s="268"/>
      <c r="Q203" s="270"/>
      <c r="R203" s="268"/>
      <c r="S203" s="270"/>
      <c r="T203" s="268"/>
      <c r="U203" s="270"/>
      <c r="V203" s="268"/>
      <c r="W203" s="270"/>
      <c r="X203" s="270"/>
      <c r="Y203" s="270"/>
      <c r="Z203" s="270"/>
      <c r="AA203" s="270"/>
    </row>
    <row r="204" spans="1:27" ht="16.899999999999999" x14ac:dyDescent="0.5">
      <c r="A204" s="270"/>
      <c r="B204" s="270"/>
      <c r="C204" s="270"/>
      <c r="D204" s="268"/>
      <c r="E204" s="270"/>
      <c r="F204" s="268"/>
      <c r="G204" s="270"/>
      <c r="H204" s="268"/>
      <c r="I204" s="270"/>
      <c r="J204" s="268"/>
      <c r="K204" s="270"/>
      <c r="L204" s="268"/>
      <c r="M204" s="270"/>
      <c r="N204" s="268"/>
      <c r="O204" s="270"/>
      <c r="P204" s="268"/>
      <c r="Q204" s="270"/>
      <c r="R204" s="268"/>
      <c r="S204" s="270"/>
      <c r="T204" s="268"/>
      <c r="U204" s="270"/>
      <c r="V204" s="268"/>
      <c r="W204" s="270"/>
      <c r="X204" s="270"/>
      <c r="Y204" s="270"/>
      <c r="Z204" s="270"/>
      <c r="AA204" s="270"/>
    </row>
    <row r="205" spans="1:27" ht="16.899999999999999" x14ac:dyDescent="0.5">
      <c r="A205" s="270"/>
      <c r="B205" s="270"/>
      <c r="C205" s="270"/>
      <c r="D205" s="268"/>
      <c r="E205" s="270"/>
      <c r="F205" s="268"/>
      <c r="G205" s="270"/>
      <c r="H205" s="268"/>
      <c r="I205" s="270"/>
      <c r="J205" s="268"/>
      <c r="K205" s="270"/>
      <c r="L205" s="268"/>
      <c r="M205" s="270"/>
      <c r="N205" s="268"/>
      <c r="O205" s="270"/>
      <c r="P205" s="268"/>
      <c r="Q205" s="270"/>
      <c r="R205" s="268"/>
      <c r="S205" s="270"/>
      <c r="T205" s="268"/>
      <c r="U205" s="270"/>
      <c r="V205" s="268"/>
      <c r="W205" s="270"/>
      <c r="X205" s="270"/>
      <c r="Y205" s="270"/>
      <c r="Z205" s="270"/>
      <c r="AA205" s="270"/>
    </row>
    <row r="206" spans="1:27" ht="16.899999999999999" x14ac:dyDescent="0.5">
      <c r="A206" s="270"/>
      <c r="B206" s="270"/>
      <c r="C206" s="270"/>
      <c r="D206" s="268"/>
      <c r="E206" s="270"/>
      <c r="F206" s="268"/>
      <c r="G206" s="270"/>
      <c r="H206" s="268"/>
      <c r="I206" s="270"/>
      <c r="J206" s="268"/>
      <c r="K206" s="270"/>
      <c r="L206" s="268"/>
      <c r="M206" s="270"/>
      <c r="N206" s="268"/>
      <c r="O206" s="270"/>
      <c r="P206" s="268"/>
      <c r="Q206" s="270"/>
      <c r="R206" s="268"/>
      <c r="S206" s="270"/>
      <c r="T206" s="268"/>
      <c r="U206" s="270"/>
      <c r="V206" s="268"/>
      <c r="W206" s="270"/>
      <c r="X206" s="270"/>
      <c r="Y206" s="270"/>
      <c r="Z206" s="270"/>
      <c r="AA206" s="270"/>
    </row>
    <row r="207" spans="1:27" ht="16.899999999999999" x14ac:dyDescent="0.5">
      <c r="A207" s="270"/>
      <c r="B207" s="270"/>
      <c r="C207" s="270"/>
      <c r="D207" s="268"/>
      <c r="E207" s="270"/>
      <c r="F207" s="268"/>
      <c r="G207" s="270"/>
      <c r="H207" s="268"/>
      <c r="I207" s="270"/>
      <c r="J207" s="268"/>
      <c r="K207" s="270"/>
      <c r="L207" s="268"/>
      <c r="M207" s="270"/>
      <c r="N207" s="268"/>
      <c r="O207" s="270"/>
      <c r="P207" s="268"/>
      <c r="Q207" s="270"/>
      <c r="R207" s="268"/>
      <c r="S207" s="270"/>
      <c r="T207" s="268"/>
      <c r="U207" s="270"/>
      <c r="V207" s="268"/>
      <c r="W207" s="270"/>
      <c r="X207" s="270"/>
      <c r="Y207" s="270"/>
      <c r="Z207" s="270"/>
      <c r="AA207" s="270"/>
    </row>
    <row r="208" spans="1:27" ht="16.899999999999999" x14ac:dyDescent="0.5">
      <c r="A208" s="270"/>
      <c r="B208" s="270"/>
      <c r="C208" s="270"/>
      <c r="D208" s="268"/>
      <c r="E208" s="270"/>
      <c r="F208" s="268"/>
      <c r="G208" s="270"/>
      <c r="H208" s="268"/>
      <c r="I208" s="270"/>
      <c r="J208" s="268"/>
      <c r="K208" s="270"/>
      <c r="L208" s="268"/>
      <c r="M208" s="270"/>
      <c r="N208" s="268"/>
      <c r="O208" s="270"/>
      <c r="P208" s="268"/>
      <c r="Q208" s="270"/>
      <c r="R208" s="268"/>
      <c r="S208" s="270"/>
      <c r="T208" s="268"/>
      <c r="U208" s="270"/>
      <c r="V208" s="268"/>
      <c r="W208" s="270"/>
      <c r="X208" s="270"/>
      <c r="Y208" s="270"/>
      <c r="Z208" s="270"/>
      <c r="AA208" s="270"/>
    </row>
    <row r="209" spans="1:27" ht="16.899999999999999" x14ac:dyDescent="0.5">
      <c r="A209" s="270"/>
      <c r="B209" s="270"/>
      <c r="C209" s="270"/>
      <c r="D209" s="268"/>
      <c r="E209" s="270"/>
      <c r="F209" s="268"/>
      <c r="G209" s="270"/>
      <c r="H209" s="268"/>
      <c r="I209" s="270"/>
      <c r="J209" s="268"/>
      <c r="K209" s="270"/>
      <c r="L209" s="268"/>
      <c r="M209" s="270"/>
      <c r="N209" s="268"/>
      <c r="O209" s="270"/>
      <c r="P209" s="268"/>
      <c r="Q209" s="270"/>
      <c r="R209" s="268"/>
      <c r="S209" s="270"/>
      <c r="T209" s="268"/>
      <c r="U209" s="270"/>
      <c r="V209" s="268"/>
      <c r="W209" s="270"/>
      <c r="X209" s="270"/>
      <c r="Y209" s="270"/>
      <c r="Z209" s="270"/>
      <c r="AA209" s="270"/>
    </row>
    <row r="210" spans="1:27" ht="16.899999999999999" x14ac:dyDescent="0.5">
      <c r="A210" s="270"/>
      <c r="B210" s="270"/>
      <c r="C210" s="270"/>
      <c r="D210" s="268"/>
      <c r="E210" s="270"/>
      <c r="F210" s="268"/>
      <c r="G210" s="270"/>
      <c r="H210" s="268"/>
      <c r="I210" s="270"/>
      <c r="J210" s="268"/>
      <c r="K210" s="270"/>
      <c r="L210" s="268"/>
      <c r="M210" s="270"/>
      <c r="N210" s="268"/>
      <c r="O210" s="270"/>
      <c r="P210" s="268"/>
      <c r="Q210" s="270"/>
      <c r="R210" s="268"/>
      <c r="S210" s="270"/>
      <c r="T210" s="268"/>
      <c r="U210" s="270"/>
      <c r="V210" s="268"/>
      <c r="W210" s="270"/>
      <c r="X210" s="270"/>
      <c r="Y210" s="270"/>
      <c r="Z210" s="270"/>
      <c r="AA210" s="270"/>
    </row>
    <row r="211" spans="1:27" ht="16.899999999999999" x14ac:dyDescent="0.5">
      <c r="A211" s="270"/>
      <c r="B211" s="270"/>
      <c r="C211" s="270"/>
      <c r="D211" s="268"/>
      <c r="E211" s="270"/>
      <c r="F211" s="268"/>
      <c r="G211" s="270"/>
      <c r="H211" s="268"/>
      <c r="I211" s="270"/>
      <c r="J211" s="268"/>
      <c r="K211" s="270"/>
      <c r="L211" s="268"/>
      <c r="M211" s="270"/>
      <c r="N211" s="268"/>
      <c r="O211" s="270"/>
      <c r="P211" s="268"/>
      <c r="Q211" s="270"/>
      <c r="R211" s="268"/>
      <c r="S211" s="270"/>
      <c r="T211" s="268"/>
      <c r="U211" s="270"/>
      <c r="V211" s="268"/>
      <c r="W211" s="270"/>
      <c r="X211" s="270"/>
      <c r="Y211" s="270"/>
      <c r="Z211" s="270"/>
      <c r="AA211" s="270"/>
    </row>
    <row r="212" spans="1:27" ht="16.899999999999999" x14ac:dyDescent="0.5">
      <c r="A212" s="270"/>
      <c r="B212" s="270"/>
      <c r="C212" s="270"/>
      <c r="D212" s="268"/>
      <c r="E212" s="270"/>
      <c r="F212" s="268"/>
      <c r="G212" s="270"/>
      <c r="H212" s="268"/>
      <c r="I212" s="270"/>
      <c r="J212" s="268"/>
      <c r="K212" s="270"/>
      <c r="L212" s="268"/>
      <c r="M212" s="270"/>
      <c r="N212" s="268"/>
      <c r="O212" s="270"/>
      <c r="P212" s="268"/>
      <c r="Q212" s="270"/>
      <c r="R212" s="268"/>
      <c r="S212" s="270"/>
      <c r="T212" s="268"/>
      <c r="U212" s="270"/>
      <c r="V212" s="268"/>
      <c r="W212" s="270"/>
      <c r="X212" s="270"/>
      <c r="Y212" s="270"/>
      <c r="Z212" s="270"/>
      <c r="AA212" s="270"/>
    </row>
    <row r="213" spans="1:27" ht="16.899999999999999" x14ac:dyDescent="0.5">
      <c r="A213" s="270"/>
      <c r="B213" s="270"/>
      <c r="C213" s="270"/>
      <c r="D213" s="268"/>
      <c r="E213" s="270"/>
      <c r="F213" s="268"/>
      <c r="G213" s="270"/>
      <c r="H213" s="268"/>
      <c r="I213" s="270"/>
      <c r="J213" s="268"/>
      <c r="K213" s="270"/>
      <c r="L213" s="268"/>
      <c r="M213" s="270"/>
      <c r="N213" s="268"/>
      <c r="O213" s="270"/>
      <c r="P213" s="268"/>
      <c r="Q213" s="270"/>
      <c r="R213" s="268"/>
      <c r="S213" s="270"/>
      <c r="T213" s="268"/>
      <c r="U213" s="270"/>
      <c r="V213" s="268"/>
      <c r="W213" s="270"/>
      <c r="X213" s="270"/>
      <c r="Y213" s="270"/>
      <c r="Z213" s="270"/>
      <c r="AA213" s="270"/>
    </row>
    <row r="214" spans="1:27" ht="16.899999999999999" x14ac:dyDescent="0.5">
      <c r="A214" s="270"/>
      <c r="B214" s="270"/>
      <c r="C214" s="270"/>
      <c r="D214" s="268"/>
      <c r="E214" s="270"/>
      <c r="F214" s="268"/>
      <c r="G214" s="270"/>
      <c r="H214" s="268"/>
      <c r="I214" s="270"/>
      <c r="J214" s="268"/>
      <c r="K214" s="270"/>
      <c r="L214" s="268"/>
      <c r="M214" s="270"/>
      <c r="N214" s="268"/>
      <c r="O214" s="270"/>
      <c r="P214" s="268"/>
      <c r="Q214" s="270"/>
      <c r="R214" s="268"/>
      <c r="S214" s="270"/>
      <c r="T214" s="268"/>
      <c r="U214" s="270"/>
      <c r="V214" s="268"/>
      <c r="W214" s="270"/>
      <c r="X214" s="270"/>
      <c r="Y214" s="270"/>
      <c r="Z214" s="270"/>
      <c r="AA214" s="270"/>
    </row>
    <row r="215" spans="1:27" ht="16.899999999999999" x14ac:dyDescent="0.5">
      <c r="A215" s="270"/>
      <c r="B215" s="270"/>
      <c r="C215" s="270"/>
      <c r="D215" s="268"/>
      <c r="E215" s="270"/>
      <c r="F215" s="268"/>
      <c r="G215" s="270"/>
      <c r="H215" s="268"/>
      <c r="I215" s="270"/>
      <c r="J215" s="268"/>
      <c r="K215" s="270"/>
      <c r="L215" s="268"/>
      <c r="M215" s="270"/>
      <c r="N215" s="268"/>
      <c r="O215" s="270"/>
      <c r="P215" s="268"/>
      <c r="Q215" s="270"/>
      <c r="R215" s="268"/>
      <c r="S215" s="270"/>
      <c r="T215" s="268"/>
      <c r="U215" s="270"/>
      <c r="V215" s="268"/>
      <c r="W215" s="270"/>
      <c r="X215" s="270"/>
      <c r="Y215" s="270"/>
      <c r="Z215" s="270"/>
      <c r="AA215" s="270"/>
    </row>
    <row r="216" spans="1:27" ht="16.899999999999999" x14ac:dyDescent="0.5">
      <c r="A216" s="270"/>
      <c r="B216" s="270"/>
      <c r="C216" s="270"/>
      <c r="D216" s="268"/>
      <c r="E216" s="270"/>
      <c r="F216" s="268"/>
      <c r="G216" s="270"/>
      <c r="H216" s="268"/>
      <c r="I216" s="270"/>
      <c r="J216" s="268"/>
      <c r="K216" s="270"/>
      <c r="L216" s="268"/>
      <c r="M216" s="270"/>
      <c r="N216" s="268"/>
      <c r="O216" s="270"/>
      <c r="P216" s="268"/>
      <c r="Q216" s="270"/>
      <c r="R216" s="268"/>
      <c r="S216" s="270"/>
      <c r="T216" s="268"/>
      <c r="U216" s="270"/>
      <c r="V216" s="268"/>
      <c r="W216" s="270"/>
      <c r="X216" s="270"/>
      <c r="Y216" s="270"/>
      <c r="Z216" s="270"/>
      <c r="AA216" s="270"/>
    </row>
    <row r="217" spans="1:27" ht="16.899999999999999" x14ac:dyDescent="0.5">
      <c r="A217" s="270"/>
      <c r="B217" s="270"/>
      <c r="C217" s="270"/>
      <c r="D217" s="268"/>
      <c r="E217" s="270"/>
      <c r="F217" s="268"/>
      <c r="G217" s="270"/>
      <c r="H217" s="268"/>
      <c r="I217" s="270"/>
      <c r="J217" s="268"/>
      <c r="K217" s="270"/>
      <c r="L217" s="268"/>
      <c r="M217" s="270"/>
      <c r="N217" s="268"/>
      <c r="O217" s="270"/>
      <c r="P217" s="268"/>
      <c r="Q217" s="270"/>
      <c r="R217" s="268"/>
      <c r="S217" s="270"/>
      <c r="T217" s="268"/>
      <c r="U217" s="270"/>
      <c r="V217" s="268"/>
      <c r="W217" s="270"/>
      <c r="X217" s="270"/>
      <c r="Y217" s="270"/>
      <c r="Z217" s="270"/>
      <c r="AA217" s="270"/>
    </row>
    <row r="218" spans="1:27" ht="16.899999999999999" x14ac:dyDescent="0.5">
      <c r="A218" s="270"/>
      <c r="B218" s="270"/>
      <c r="C218" s="270"/>
      <c r="D218" s="268"/>
      <c r="E218" s="270"/>
      <c r="F218" s="268"/>
      <c r="G218" s="270"/>
      <c r="H218" s="268"/>
      <c r="I218" s="270"/>
      <c r="J218" s="268"/>
      <c r="K218" s="270"/>
      <c r="L218" s="268"/>
      <c r="M218" s="270"/>
      <c r="N218" s="268"/>
      <c r="O218" s="270"/>
      <c r="P218" s="268"/>
      <c r="Q218" s="270"/>
      <c r="R218" s="268"/>
      <c r="S218" s="270"/>
      <c r="T218" s="268"/>
      <c r="U218" s="270"/>
      <c r="V218" s="268"/>
      <c r="W218" s="270"/>
      <c r="X218" s="270"/>
      <c r="Y218" s="270"/>
      <c r="Z218" s="270"/>
      <c r="AA218" s="270"/>
    </row>
    <row r="219" spans="1:27" ht="16.899999999999999" x14ac:dyDescent="0.5">
      <c r="A219" s="270"/>
      <c r="B219" s="270"/>
      <c r="C219" s="270"/>
      <c r="D219" s="268"/>
      <c r="E219" s="270"/>
      <c r="F219" s="268"/>
      <c r="G219" s="270"/>
      <c r="H219" s="268"/>
      <c r="I219" s="270"/>
      <c r="J219" s="268"/>
      <c r="K219" s="270"/>
      <c r="L219" s="268"/>
      <c r="M219" s="270"/>
      <c r="N219" s="268"/>
      <c r="O219" s="270"/>
      <c r="P219" s="268"/>
      <c r="Q219" s="270"/>
      <c r="R219" s="268"/>
      <c r="S219" s="270"/>
      <c r="T219" s="268"/>
      <c r="U219" s="270"/>
      <c r="V219" s="268"/>
      <c r="W219" s="270"/>
      <c r="X219" s="270"/>
      <c r="Y219" s="270"/>
      <c r="Z219" s="270"/>
      <c r="AA219" s="270"/>
    </row>
    <row r="220" spans="1:27" ht="16.899999999999999" x14ac:dyDescent="0.5">
      <c r="A220" s="270"/>
      <c r="B220" s="270"/>
      <c r="C220" s="270"/>
      <c r="D220" s="268"/>
      <c r="E220" s="270"/>
      <c r="F220" s="268"/>
      <c r="G220" s="270"/>
      <c r="H220" s="268"/>
      <c r="I220" s="270"/>
      <c r="J220" s="268"/>
      <c r="K220" s="270"/>
      <c r="L220" s="268"/>
      <c r="M220" s="270"/>
      <c r="N220" s="268"/>
      <c r="O220" s="270"/>
      <c r="P220" s="268"/>
      <c r="Q220" s="270"/>
      <c r="R220" s="268"/>
      <c r="S220" s="270"/>
      <c r="T220" s="268"/>
      <c r="U220" s="270"/>
      <c r="V220" s="268"/>
      <c r="W220" s="270"/>
      <c r="X220" s="270"/>
      <c r="Y220" s="270"/>
      <c r="Z220" s="270"/>
      <c r="AA220" s="270"/>
    </row>
    <row r="221" spans="1:27" ht="16.899999999999999" x14ac:dyDescent="0.5">
      <c r="A221" s="270"/>
      <c r="B221" s="270"/>
      <c r="C221" s="270"/>
      <c r="D221" s="268"/>
      <c r="E221" s="270"/>
      <c r="F221" s="268"/>
      <c r="G221" s="270"/>
      <c r="H221" s="268"/>
      <c r="I221" s="270"/>
      <c r="J221" s="268"/>
      <c r="K221" s="270"/>
      <c r="L221" s="268"/>
      <c r="M221" s="270"/>
      <c r="N221" s="268"/>
      <c r="O221" s="270"/>
      <c r="P221" s="268"/>
      <c r="Q221" s="270"/>
      <c r="R221" s="268"/>
      <c r="S221" s="270"/>
      <c r="T221" s="268"/>
      <c r="U221" s="270"/>
      <c r="V221" s="268"/>
      <c r="W221" s="270"/>
      <c r="X221" s="270"/>
      <c r="Y221" s="270"/>
      <c r="Z221" s="270"/>
      <c r="AA221" s="270"/>
    </row>
    <row r="222" spans="1:27" ht="16.899999999999999" x14ac:dyDescent="0.5">
      <c r="A222" s="270"/>
      <c r="B222" s="270"/>
      <c r="C222" s="270"/>
      <c r="D222" s="268"/>
      <c r="E222" s="270"/>
      <c r="F222" s="268"/>
      <c r="G222" s="270"/>
      <c r="H222" s="268"/>
      <c r="I222" s="270"/>
      <c r="J222" s="268"/>
      <c r="K222" s="270"/>
      <c r="L222" s="268"/>
      <c r="M222" s="270"/>
      <c r="N222" s="268"/>
      <c r="O222" s="270"/>
      <c r="P222" s="268"/>
      <c r="Q222" s="270"/>
      <c r="R222" s="268"/>
      <c r="S222" s="270"/>
      <c r="T222" s="268"/>
      <c r="U222" s="270"/>
      <c r="V222" s="268"/>
      <c r="W222" s="270"/>
      <c r="X222" s="270"/>
      <c r="Y222" s="270"/>
      <c r="Z222" s="270"/>
      <c r="AA222" s="270"/>
    </row>
    <row r="223" spans="1:27" ht="16.899999999999999" x14ac:dyDescent="0.5">
      <c r="A223" s="270"/>
      <c r="B223" s="270"/>
      <c r="C223" s="270"/>
      <c r="D223" s="268"/>
      <c r="E223" s="270"/>
      <c r="F223" s="268"/>
      <c r="G223" s="270"/>
      <c r="H223" s="268"/>
      <c r="I223" s="270"/>
      <c r="J223" s="268"/>
      <c r="K223" s="270"/>
      <c r="L223" s="268"/>
      <c r="M223" s="270"/>
      <c r="N223" s="268"/>
      <c r="O223" s="270"/>
      <c r="P223" s="268"/>
      <c r="Q223" s="270"/>
      <c r="R223" s="268"/>
      <c r="S223" s="270"/>
      <c r="T223" s="268"/>
      <c r="U223" s="270"/>
      <c r="V223" s="268"/>
      <c r="W223" s="270"/>
      <c r="X223" s="270"/>
      <c r="Y223" s="270"/>
      <c r="Z223" s="270"/>
      <c r="AA223" s="270"/>
    </row>
    <row r="224" spans="1:27" ht="16.899999999999999" x14ac:dyDescent="0.5">
      <c r="A224" s="270"/>
      <c r="B224" s="270"/>
      <c r="C224" s="270"/>
      <c r="D224" s="268"/>
      <c r="E224" s="270"/>
      <c r="F224" s="268"/>
      <c r="G224" s="270"/>
      <c r="H224" s="268"/>
      <c r="I224" s="270"/>
      <c r="J224" s="268"/>
      <c r="K224" s="270"/>
      <c r="L224" s="268"/>
      <c r="M224" s="270"/>
      <c r="N224" s="268"/>
      <c r="O224" s="270"/>
      <c r="P224" s="268"/>
      <c r="Q224" s="270"/>
      <c r="R224" s="268"/>
      <c r="S224" s="270"/>
      <c r="T224" s="268"/>
      <c r="U224" s="270"/>
      <c r="V224" s="268"/>
      <c r="W224" s="270"/>
      <c r="X224" s="270"/>
      <c r="Y224" s="270"/>
      <c r="Z224" s="270"/>
      <c r="AA224" s="270"/>
    </row>
    <row r="225" spans="1:27" ht="16.899999999999999" x14ac:dyDescent="0.5">
      <c r="A225" s="270"/>
      <c r="B225" s="270"/>
      <c r="C225" s="270"/>
      <c r="D225" s="268"/>
      <c r="E225" s="270"/>
      <c r="F225" s="268"/>
      <c r="G225" s="270"/>
      <c r="H225" s="268"/>
      <c r="I225" s="270"/>
      <c r="J225" s="268"/>
      <c r="K225" s="270"/>
      <c r="L225" s="268"/>
      <c r="M225" s="270"/>
      <c r="N225" s="268"/>
      <c r="O225" s="270"/>
      <c r="P225" s="268"/>
      <c r="Q225" s="270"/>
      <c r="R225" s="268"/>
      <c r="S225" s="270"/>
      <c r="T225" s="268"/>
      <c r="U225" s="270"/>
      <c r="V225" s="268"/>
      <c r="W225" s="270"/>
      <c r="X225" s="270"/>
      <c r="Y225" s="270"/>
      <c r="Z225" s="270"/>
      <c r="AA225" s="270"/>
    </row>
    <row r="226" spans="1:27" ht="16.899999999999999" x14ac:dyDescent="0.5">
      <c r="A226" s="270"/>
      <c r="B226" s="270"/>
      <c r="C226" s="270"/>
      <c r="D226" s="268"/>
      <c r="E226" s="270"/>
      <c r="F226" s="268"/>
      <c r="G226" s="270"/>
      <c r="H226" s="268"/>
      <c r="I226" s="270"/>
      <c r="J226" s="268"/>
      <c r="K226" s="270"/>
      <c r="L226" s="268"/>
      <c r="M226" s="270"/>
      <c r="N226" s="268"/>
      <c r="O226" s="270"/>
      <c r="P226" s="268"/>
      <c r="Q226" s="270"/>
      <c r="R226" s="268"/>
      <c r="S226" s="270"/>
      <c r="T226" s="268"/>
      <c r="U226" s="270"/>
      <c r="V226" s="268"/>
      <c r="W226" s="270"/>
      <c r="X226" s="270"/>
      <c r="Y226" s="270"/>
      <c r="Z226" s="270"/>
      <c r="AA226" s="270"/>
    </row>
    <row r="227" spans="1:27" ht="16.899999999999999" x14ac:dyDescent="0.5">
      <c r="A227" s="270"/>
      <c r="B227" s="270"/>
      <c r="C227" s="270"/>
      <c r="D227" s="268"/>
      <c r="E227" s="270"/>
      <c r="F227" s="268"/>
      <c r="G227" s="270"/>
      <c r="H227" s="268"/>
      <c r="I227" s="270"/>
      <c r="J227" s="268"/>
      <c r="K227" s="270"/>
      <c r="L227" s="268"/>
      <c r="M227" s="270"/>
      <c r="N227" s="268"/>
      <c r="O227" s="270"/>
      <c r="P227" s="268"/>
      <c r="Q227" s="270"/>
      <c r="R227" s="268"/>
      <c r="S227" s="270"/>
      <c r="T227" s="268"/>
      <c r="U227" s="270"/>
      <c r="V227" s="268"/>
      <c r="W227" s="270"/>
      <c r="X227" s="270"/>
      <c r="Y227" s="270"/>
      <c r="Z227" s="270"/>
      <c r="AA227" s="270"/>
    </row>
    <row r="228" spans="1:27" ht="16.899999999999999" x14ac:dyDescent="0.5">
      <c r="A228" s="270"/>
      <c r="B228" s="270"/>
      <c r="C228" s="270"/>
      <c r="D228" s="268"/>
      <c r="E228" s="270"/>
      <c r="F228" s="268"/>
      <c r="G228" s="270"/>
      <c r="H228" s="268"/>
      <c r="I228" s="270"/>
      <c r="J228" s="268"/>
      <c r="K228" s="270"/>
      <c r="L228" s="268"/>
      <c r="M228" s="270"/>
      <c r="N228" s="268"/>
      <c r="O228" s="270"/>
      <c r="P228" s="268"/>
      <c r="Q228" s="270"/>
      <c r="R228" s="268"/>
      <c r="S228" s="270"/>
      <c r="T228" s="268"/>
      <c r="U228" s="270"/>
      <c r="V228" s="268"/>
      <c r="W228" s="270"/>
      <c r="X228" s="270"/>
      <c r="Y228" s="270"/>
      <c r="Z228" s="270"/>
      <c r="AA228" s="270"/>
    </row>
    <row r="229" spans="1:27" ht="16.899999999999999" x14ac:dyDescent="0.5">
      <c r="A229" s="270"/>
      <c r="B229" s="270"/>
      <c r="C229" s="270"/>
      <c r="D229" s="268"/>
      <c r="E229" s="270"/>
      <c r="F229" s="268"/>
      <c r="G229" s="270"/>
      <c r="H229" s="268"/>
      <c r="I229" s="270"/>
      <c r="J229" s="268"/>
      <c r="K229" s="270"/>
      <c r="L229" s="268"/>
      <c r="M229" s="270"/>
      <c r="N229" s="268"/>
      <c r="O229" s="270"/>
      <c r="P229" s="268"/>
      <c r="Q229" s="270"/>
      <c r="R229" s="268"/>
      <c r="S229" s="270"/>
      <c r="T229" s="268"/>
      <c r="U229" s="270"/>
      <c r="V229" s="268"/>
      <c r="W229" s="270"/>
      <c r="X229" s="270"/>
      <c r="Y229" s="270"/>
      <c r="Z229" s="270"/>
      <c r="AA229" s="270"/>
    </row>
    <row r="230" spans="1:27" ht="16.899999999999999" x14ac:dyDescent="0.5">
      <c r="A230" s="270"/>
      <c r="B230" s="270"/>
      <c r="C230" s="270"/>
      <c r="D230" s="268"/>
      <c r="E230" s="270"/>
      <c r="F230" s="268"/>
      <c r="G230" s="270"/>
      <c r="H230" s="268"/>
      <c r="I230" s="270"/>
      <c r="J230" s="268"/>
      <c r="K230" s="270"/>
      <c r="L230" s="268"/>
      <c r="M230" s="270"/>
      <c r="N230" s="268"/>
      <c r="O230" s="270"/>
      <c r="P230" s="268"/>
      <c r="Q230" s="270"/>
      <c r="R230" s="268"/>
      <c r="S230" s="270"/>
      <c r="T230" s="268"/>
      <c r="U230" s="270"/>
      <c r="V230" s="268"/>
      <c r="W230" s="270"/>
      <c r="X230" s="270"/>
      <c r="Y230" s="270"/>
      <c r="Z230" s="270"/>
      <c r="AA230" s="270"/>
    </row>
    <row r="231" spans="1:27" ht="16.899999999999999" x14ac:dyDescent="0.5">
      <c r="A231" s="270"/>
      <c r="B231" s="270"/>
      <c r="C231" s="270"/>
      <c r="D231" s="268"/>
      <c r="E231" s="270"/>
      <c r="F231" s="268"/>
      <c r="G231" s="270"/>
      <c r="H231" s="268"/>
      <c r="I231" s="270"/>
      <c r="J231" s="268"/>
      <c r="K231" s="270"/>
      <c r="L231" s="268"/>
      <c r="M231" s="270"/>
      <c r="N231" s="268"/>
      <c r="O231" s="270"/>
      <c r="P231" s="268"/>
      <c r="Q231" s="270"/>
      <c r="R231" s="268"/>
      <c r="S231" s="270"/>
      <c r="T231" s="268"/>
      <c r="U231" s="270"/>
      <c r="V231" s="268"/>
      <c r="W231" s="270"/>
      <c r="X231" s="270"/>
      <c r="Y231" s="270"/>
      <c r="Z231" s="270"/>
      <c r="AA231" s="270"/>
    </row>
    <row r="232" spans="1:27" ht="16.899999999999999" x14ac:dyDescent="0.5">
      <c r="A232" s="270"/>
      <c r="B232" s="270"/>
      <c r="C232" s="270"/>
      <c r="D232" s="268"/>
      <c r="E232" s="270"/>
      <c r="F232" s="268"/>
      <c r="G232" s="270"/>
      <c r="H232" s="268"/>
      <c r="I232" s="270"/>
      <c r="J232" s="268"/>
      <c r="K232" s="270"/>
      <c r="L232" s="268"/>
      <c r="M232" s="270"/>
      <c r="N232" s="268"/>
      <c r="O232" s="270"/>
      <c r="P232" s="268"/>
      <c r="Q232" s="270"/>
      <c r="R232" s="268"/>
      <c r="S232" s="270"/>
      <c r="T232" s="268"/>
      <c r="U232" s="270"/>
      <c r="V232" s="268"/>
      <c r="W232" s="270"/>
      <c r="X232" s="270"/>
      <c r="Y232" s="270"/>
      <c r="Z232" s="270"/>
      <c r="AA232" s="270"/>
    </row>
    <row r="233" spans="1:27" ht="16.899999999999999" x14ac:dyDescent="0.5">
      <c r="A233" s="270"/>
      <c r="B233" s="270"/>
      <c r="C233" s="270"/>
      <c r="D233" s="268"/>
      <c r="E233" s="270"/>
      <c r="F233" s="268"/>
      <c r="G233" s="270"/>
      <c r="H233" s="268"/>
      <c r="I233" s="270"/>
      <c r="J233" s="268"/>
      <c r="K233" s="270"/>
      <c r="L233" s="268"/>
      <c r="M233" s="270"/>
      <c r="N233" s="268"/>
      <c r="O233" s="270"/>
      <c r="P233" s="268"/>
      <c r="Q233" s="270"/>
      <c r="R233" s="268"/>
      <c r="S233" s="270"/>
      <c r="T233" s="268"/>
      <c r="U233" s="270"/>
      <c r="V233" s="268"/>
      <c r="W233" s="270"/>
      <c r="X233" s="270"/>
      <c r="Y233" s="270"/>
      <c r="Z233" s="270"/>
      <c r="AA233" s="270"/>
    </row>
    <row r="234" spans="1:27" ht="16.899999999999999" x14ac:dyDescent="0.5">
      <c r="A234" s="270"/>
      <c r="B234" s="270"/>
      <c r="C234" s="270"/>
      <c r="D234" s="268"/>
      <c r="E234" s="270"/>
      <c r="F234" s="268"/>
      <c r="G234" s="270"/>
      <c r="H234" s="268"/>
      <c r="I234" s="270"/>
      <c r="J234" s="268"/>
      <c r="K234" s="270"/>
      <c r="L234" s="268"/>
      <c r="M234" s="270"/>
      <c r="N234" s="268"/>
      <c r="O234" s="270"/>
      <c r="P234" s="268"/>
      <c r="Q234" s="270"/>
      <c r="R234" s="268"/>
      <c r="S234" s="270"/>
      <c r="T234" s="268"/>
      <c r="U234" s="270"/>
      <c r="V234" s="268"/>
      <c r="W234" s="270"/>
      <c r="X234" s="270"/>
      <c r="Y234" s="270"/>
      <c r="Z234" s="270"/>
      <c r="AA234" s="270"/>
    </row>
    <row r="235" spans="1:27" ht="16.899999999999999" x14ac:dyDescent="0.5">
      <c r="A235" s="270"/>
      <c r="B235" s="270"/>
      <c r="C235" s="270"/>
      <c r="D235" s="268"/>
      <c r="E235" s="270"/>
      <c r="F235" s="268"/>
      <c r="G235" s="270"/>
      <c r="H235" s="268"/>
      <c r="I235" s="270"/>
      <c r="J235" s="268"/>
      <c r="K235" s="270"/>
      <c r="L235" s="268"/>
      <c r="M235" s="270"/>
      <c r="N235" s="268"/>
      <c r="O235" s="270"/>
      <c r="P235" s="268"/>
      <c r="Q235" s="270"/>
      <c r="R235" s="268"/>
      <c r="S235" s="270"/>
      <c r="T235" s="268"/>
      <c r="U235" s="270"/>
      <c r="V235" s="268"/>
      <c r="W235" s="270"/>
      <c r="X235" s="270"/>
      <c r="Y235" s="270"/>
      <c r="Z235" s="270"/>
      <c r="AA235" s="270"/>
    </row>
    <row r="236" spans="1:27" ht="16.899999999999999" x14ac:dyDescent="0.5">
      <c r="A236" s="270"/>
      <c r="B236" s="270"/>
      <c r="C236" s="270"/>
      <c r="D236" s="268"/>
      <c r="E236" s="270"/>
      <c r="F236" s="268"/>
      <c r="G236" s="270"/>
      <c r="H236" s="268"/>
      <c r="I236" s="270"/>
      <c r="J236" s="268"/>
      <c r="K236" s="270"/>
      <c r="L236" s="268"/>
      <c r="M236" s="270"/>
      <c r="N236" s="268"/>
      <c r="O236" s="270"/>
      <c r="P236" s="268"/>
      <c r="Q236" s="270"/>
      <c r="R236" s="268"/>
      <c r="S236" s="270"/>
      <c r="T236" s="268"/>
      <c r="U236" s="270"/>
      <c r="V236" s="268"/>
      <c r="W236" s="270"/>
      <c r="X236" s="270"/>
      <c r="Y236" s="270"/>
      <c r="Z236" s="270"/>
      <c r="AA236" s="270"/>
    </row>
    <row r="237" spans="1:27" ht="16.899999999999999" x14ac:dyDescent="0.5">
      <c r="A237" s="270"/>
      <c r="B237" s="270"/>
      <c r="C237" s="270"/>
      <c r="D237" s="268"/>
      <c r="E237" s="270"/>
      <c r="F237" s="268"/>
      <c r="G237" s="270"/>
      <c r="H237" s="268"/>
      <c r="I237" s="270"/>
      <c r="J237" s="268"/>
      <c r="K237" s="270"/>
      <c r="L237" s="268"/>
      <c r="M237" s="270"/>
      <c r="N237" s="268"/>
      <c r="O237" s="270"/>
      <c r="P237" s="268"/>
      <c r="Q237" s="270"/>
      <c r="R237" s="268"/>
      <c r="S237" s="270"/>
      <c r="T237" s="268"/>
      <c r="U237" s="270"/>
      <c r="V237" s="268"/>
      <c r="W237" s="270"/>
      <c r="X237" s="270"/>
      <c r="Y237" s="270"/>
      <c r="Z237" s="270"/>
      <c r="AA237" s="270"/>
    </row>
    <row r="238" spans="1:27" ht="16.899999999999999" x14ac:dyDescent="0.5">
      <c r="A238" s="270"/>
      <c r="B238" s="270"/>
      <c r="C238" s="270"/>
      <c r="D238" s="268"/>
      <c r="E238" s="270"/>
      <c r="F238" s="268"/>
      <c r="G238" s="270"/>
      <c r="H238" s="268"/>
      <c r="I238" s="270"/>
      <c r="J238" s="268"/>
      <c r="K238" s="270"/>
      <c r="L238" s="268"/>
      <c r="M238" s="270"/>
      <c r="N238" s="268"/>
      <c r="O238" s="270"/>
      <c r="P238" s="268"/>
      <c r="Q238" s="270"/>
      <c r="R238" s="268"/>
      <c r="S238" s="270"/>
      <c r="T238" s="268"/>
      <c r="U238" s="270"/>
      <c r="V238" s="268"/>
      <c r="W238" s="270"/>
      <c r="X238" s="270"/>
      <c r="Y238" s="270"/>
      <c r="Z238" s="270"/>
      <c r="AA238" s="270"/>
    </row>
    <row r="239" spans="1:27" ht="16.899999999999999" x14ac:dyDescent="0.5">
      <c r="A239" s="270"/>
      <c r="B239" s="270"/>
      <c r="C239" s="270"/>
      <c r="D239" s="268"/>
      <c r="E239" s="270"/>
      <c r="F239" s="268"/>
      <c r="G239" s="270"/>
      <c r="H239" s="268"/>
      <c r="I239" s="270"/>
      <c r="J239" s="268"/>
      <c r="K239" s="270"/>
      <c r="L239" s="268"/>
      <c r="M239" s="270"/>
      <c r="N239" s="268"/>
      <c r="O239" s="270"/>
      <c r="P239" s="268"/>
      <c r="Q239" s="270"/>
      <c r="R239" s="268"/>
      <c r="S239" s="270"/>
      <c r="T239" s="268"/>
      <c r="U239" s="270"/>
      <c r="V239" s="268"/>
      <c r="W239" s="270"/>
      <c r="X239" s="270"/>
      <c r="Y239" s="270"/>
      <c r="Z239" s="270"/>
      <c r="AA239" s="270"/>
    </row>
    <row r="240" spans="1:27" ht="16.899999999999999" x14ac:dyDescent="0.5">
      <c r="A240" s="270"/>
      <c r="B240" s="270"/>
      <c r="C240" s="270"/>
      <c r="D240" s="268"/>
      <c r="E240" s="270"/>
      <c r="F240" s="268"/>
      <c r="G240" s="270"/>
      <c r="H240" s="268"/>
      <c r="I240" s="270"/>
      <c r="J240" s="268"/>
      <c r="K240" s="270"/>
      <c r="L240" s="268"/>
      <c r="M240" s="270"/>
      <c r="N240" s="268"/>
      <c r="O240" s="270"/>
      <c r="P240" s="268"/>
      <c r="Q240" s="270"/>
      <c r="R240" s="268"/>
      <c r="S240" s="270"/>
      <c r="T240" s="268"/>
      <c r="U240" s="270"/>
      <c r="V240" s="268"/>
      <c r="W240" s="270"/>
      <c r="X240" s="270"/>
      <c r="Y240" s="270"/>
      <c r="Z240" s="270"/>
      <c r="AA240" s="270"/>
    </row>
    <row r="241" spans="1:27" ht="16.899999999999999" x14ac:dyDescent="0.5">
      <c r="A241" s="270"/>
      <c r="B241" s="270"/>
      <c r="C241" s="270"/>
      <c r="D241" s="268"/>
      <c r="E241" s="270"/>
      <c r="F241" s="268"/>
      <c r="G241" s="270"/>
      <c r="H241" s="268"/>
      <c r="I241" s="270"/>
      <c r="J241" s="268"/>
      <c r="K241" s="270"/>
      <c r="L241" s="268"/>
      <c r="M241" s="270"/>
      <c r="N241" s="268"/>
      <c r="O241" s="270"/>
      <c r="P241" s="268"/>
      <c r="Q241" s="270"/>
      <c r="R241" s="268"/>
      <c r="S241" s="270"/>
      <c r="T241" s="268"/>
      <c r="U241" s="270"/>
      <c r="V241" s="268"/>
      <c r="W241" s="270"/>
      <c r="X241" s="270"/>
      <c r="Y241" s="270"/>
      <c r="Z241" s="270"/>
      <c r="AA241" s="270"/>
    </row>
    <row r="242" spans="1:27" ht="16.899999999999999" x14ac:dyDescent="0.5">
      <c r="A242" s="270"/>
      <c r="B242" s="270"/>
      <c r="C242" s="270"/>
      <c r="D242" s="268"/>
      <c r="E242" s="270"/>
      <c r="F242" s="268"/>
      <c r="G242" s="270"/>
      <c r="H242" s="268"/>
      <c r="I242" s="270"/>
      <c r="J242" s="268"/>
      <c r="K242" s="270"/>
      <c r="L242" s="268"/>
      <c r="M242" s="270"/>
      <c r="N242" s="268"/>
      <c r="O242" s="270"/>
      <c r="P242" s="268"/>
      <c r="Q242" s="270"/>
      <c r="R242" s="268"/>
      <c r="S242" s="270"/>
      <c r="T242" s="268"/>
      <c r="U242" s="270"/>
      <c r="V242" s="268"/>
      <c r="W242" s="270"/>
      <c r="X242" s="270"/>
      <c r="Y242" s="270"/>
      <c r="Z242" s="270"/>
      <c r="AA242" s="270"/>
    </row>
    <row r="243" spans="1:27" ht="16.899999999999999" x14ac:dyDescent="0.5">
      <c r="A243" s="270"/>
      <c r="B243" s="270"/>
      <c r="C243" s="270"/>
      <c r="D243" s="268"/>
      <c r="E243" s="270"/>
      <c r="F243" s="268"/>
      <c r="G243" s="270"/>
      <c r="H243" s="268"/>
      <c r="I243" s="270"/>
      <c r="J243" s="268"/>
      <c r="K243" s="270"/>
      <c r="L243" s="268"/>
      <c r="M243" s="270"/>
      <c r="N243" s="268"/>
      <c r="O243" s="270"/>
      <c r="P243" s="268"/>
      <c r="Q243" s="270"/>
      <c r="R243" s="268"/>
      <c r="S243" s="270"/>
      <c r="T243" s="268"/>
      <c r="U243" s="270"/>
      <c r="V243" s="268"/>
      <c r="W243" s="270"/>
      <c r="X243" s="270"/>
      <c r="Y243" s="270"/>
      <c r="Z243" s="270"/>
      <c r="AA243" s="270"/>
    </row>
    <row r="244" spans="1:27" ht="16.899999999999999" x14ac:dyDescent="0.5">
      <c r="A244" s="270"/>
      <c r="B244" s="270"/>
      <c r="C244" s="270"/>
      <c r="D244" s="268"/>
      <c r="E244" s="270"/>
      <c r="F244" s="268"/>
      <c r="G244" s="270"/>
      <c r="H244" s="268"/>
      <c r="I244" s="270"/>
      <c r="J244" s="268"/>
      <c r="K244" s="270"/>
      <c r="L244" s="268"/>
      <c r="M244" s="270"/>
      <c r="N244" s="268"/>
      <c r="O244" s="270"/>
      <c r="P244" s="268"/>
      <c r="Q244" s="270"/>
      <c r="R244" s="268"/>
      <c r="S244" s="270"/>
      <c r="T244" s="268"/>
      <c r="U244" s="270"/>
      <c r="V244" s="268"/>
      <c r="W244" s="270"/>
      <c r="X244" s="270"/>
      <c r="Y244" s="270"/>
      <c r="Z244" s="270"/>
      <c r="AA244" s="270"/>
    </row>
    <row r="245" spans="1:27" ht="16.899999999999999" x14ac:dyDescent="0.5">
      <c r="A245" s="270"/>
      <c r="B245" s="270"/>
      <c r="C245" s="270"/>
      <c r="D245" s="268"/>
      <c r="E245" s="270"/>
      <c r="F245" s="268"/>
      <c r="G245" s="270"/>
      <c r="H245" s="268"/>
      <c r="I245" s="270"/>
      <c r="J245" s="268"/>
      <c r="K245" s="270"/>
      <c r="L245" s="268"/>
      <c r="M245" s="270"/>
      <c r="N245" s="268"/>
      <c r="O245" s="270"/>
      <c r="P245" s="268"/>
      <c r="Q245" s="270"/>
      <c r="R245" s="268"/>
      <c r="S245" s="270"/>
      <c r="T245" s="268"/>
      <c r="U245" s="270"/>
      <c r="V245" s="268"/>
      <c r="W245" s="270"/>
      <c r="X245" s="270"/>
      <c r="Y245" s="270"/>
      <c r="Z245" s="270"/>
      <c r="AA245" s="270"/>
    </row>
    <row r="246" spans="1:27" ht="16.899999999999999" x14ac:dyDescent="0.5">
      <c r="A246" s="270"/>
      <c r="B246" s="270"/>
      <c r="C246" s="270"/>
      <c r="D246" s="268"/>
      <c r="E246" s="270"/>
      <c r="F246" s="268"/>
      <c r="G246" s="270"/>
      <c r="H246" s="268"/>
      <c r="I246" s="270"/>
      <c r="J246" s="268"/>
      <c r="K246" s="270"/>
      <c r="L246" s="268"/>
      <c r="M246" s="270"/>
      <c r="N246" s="268"/>
      <c r="O246" s="270"/>
      <c r="P246" s="268"/>
      <c r="Q246" s="270"/>
      <c r="R246" s="268"/>
      <c r="S246" s="270"/>
      <c r="T246" s="268"/>
      <c r="U246" s="270"/>
      <c r="V246" s="268"/>
      <c r="W246" s="270"/>
      <c r="X246" s="270"/>
      <c r="Y246" s="270"/>
      <c r="Z246" s="270"/>
      <c r="AA246" s="270"/>
    </row>
    <row r="247" spans="1:27" ht="16.899999999999999" x14ac:dyDescent="0.5">
      <c r="A247" s="270"/>
      <c r="B247" s="270"/>
      <c r="C247" s="270"/>
      <c r="D247" s="268"/>
      <c r="E247" s="270"/>
      <c r="F247" s="268"/>
      <c r="G247" s="270"/>
      <c r="H247" s="268"/>
      <c r="I247" s="270"/>
      <c r="J247" s="268"/>
      <c r="K247" s="270"/>
      <c r="L247" s="268"/>
      <c r="M247" s="270"/>
      <c r="N247" s="268"/>
      <c r="O247" s="270"/>
      <c r="P247" s="268"/>
      <c r="Q247" s="270"/>
      <c r="R247" s="268"/>
      <c r="S247" s="270"/>
      <c r="T247" s="268"/>
      <c r="U247" s="270"/>
      <c r="V247" s="268"/>
      <c r="W247" s="270"/>
      <c r="X247" s="270"/>
      <c r="Y247" s="270"/>
      <c r="Z247" s="270"/>
      <c r="AA247" s="270"/>
    </row>
    <row r="248" spans="1:27" ht="16.899999999999999" x14ac:dyDescent="0.5">
      <c r="A248" s="270"/>
      <c r="B248" s="270"/>
      <c r="C248" s="270"/>
      <c r="D248" s="268"/>
      <c r="E248" s="270"/>
      <c r="F248" s="268"/>
      <c r="G248" s="270"/>
      <c r="H248" s="268"/>
      <c r="I248" s="270"/>
      <c r="J248" s="268"/>
      <c r="K248" s="270"/>
      <c r="L248" s="268"/>
      <c r="M248" s="270"/>
      <c r="N248" s="268"/>
      <c r="O248" s="270"/>
      <c r="P248" s="268"/>
      <c r="Q248" s="270"/>
      <c r="R248" s="268"/>
      <c r="S248" s="270"/>
      <c r="T248" s="268"/>
      <c r="U248" s="270"/>
      <c r="V248" s="268"/>
      <c r="W248" s="270"/>
      <c r="X248" s="270"/>
      <c r="Y248" s="270"/>
      <c r="Z248" s="270"/>
      <c r="AA248" s="270"/>
    </row>
    <row r="249" spans="1:27" ht="16.899999999999999" x14ac:dyDescent="0.5">
      <c r="A249" s="270"/>
      <c r="B249" s="270"/>
      <c r="C249" s="270"/>
      <c r="D249" s="268"/>
      <c r="E249" s="270"/>
      <c r="F249" s="268"/>
      <c r="G249" s="270"/>
      <c r="H249" s="268"/>
      <c r="I249" s="270"/>
      <c r="J249" s="268"/>
      <c r="K249" s="270"/>
      <c r="L249" s="268"/>
      <c r="M249" s="270"/>
      <c r="N249" s="268"/>
      <c r="O249" s="270"/>
      <c r="P249" s="268"/>
      <c r="Q249" s="270"/>
      <c r="R249" s="268"/>
      <c r="S249" s="270"/>
      <c r="T249" s="268"/>
      <c r="U249" s="270"/>
      <c r="V249" s="268"/>
      <c r="W249" s="270"/>
      <c r="X249" s="270"/>
      <c r="Y249" s="270"/>
      <c r="Z249" s="270"/>
      <c r="AA249" s="270"/>
    </row>
    <row r="250" spans="1:27" ht="16.899999999999999" x14ac:dyDescent="0.5">
      <c r="A250" s="270"/>
      <c r="B250" s="270"/>
      <c r="C250" s="270"/>
      <c r="D250" s="268"/>
      <c r="E250" s="270"/>
      <c r="F250" s="268"/>
      <c r="G250" s="270"/>
      <c r="H250" s="268"/>
      <c r="I250" s="270"/>
      <c r="J250" s="268"/>
      <c r="K250" s="270"/>
      <c r="L250" s="268"/>
      <c r="M250" s="270"/>
      <c r="N250" s="268"/>
      <c r="O250" s="270"/>
      <c r="P250" s="268"/>
      <c r="Q250" s="270"/>
      <c r="R250" s="268"/>
      <c r="S250" s="270"/>
      <c r="T250" s="268"/>
      <c r="U250" s="270"/>
      <c r="V250" s="268"/>
      <c r="W250" s="270"/>
      <c r="X250" s="270"/>
      <c r="Y250" s="270"/>
      <c r="Z250" s="270"/>
      <c r="AA250" s="270"/>
    </row>
    <row r="251" spans="1:27" ht="16.899999999999999" x14ac:dyDescent="0.5">
      <c r="A251" s="270"/>
      <c r="B251" s="270"/>
      <c r="C251" s="270"/>
      <c r="D251" s="268"/>
      <c r="E251" s="270"/>
      <c r="F251" s="268"/>
      <c r="G251" s="270"/>
      <c r="H251" s="268"/>
      <c r="I251" s="270"/>
      <c r="J251" s="268"/>
      <c r="K251" s="270"/>
      <c r="L251" s="268"/>
      <c r="M251" s="270"/>
      <c r="N251" s="268"/>
      <c r="O251" s="270"/>
      <c r="P251" s="268"/>
      <c r="Q251" s="270"/>
      <c r="R251" s="268"/>
      <c r="S251" s="270"/>
      <c r="T251" s="268"/>
      <c r="U251" s="270"/>
      <c r="V251" s="268"/>
      <c r="W251" s="270"/>
      <c r="X251" s="270"/>
      <c r="Y251" s="270"/>
      <c r="Z251" s="270"/>
      <c r="AA251" s="270"/>
    </row>
    <row r="252" spans="1:27" ht="16.899999999999999" x14ac:dyDescent="0.5">
      <c r="A252" s="270"/>
      <c r="B252" s="270"/>
      <c r="C252" s="270"/>
      <c r="D252" s="268"/>
      <c r="E252" s="270"/>
      <c r="F252" s="268"/>
      <c r="G252" s="270"/>
      <c r="H252" s="268"/>
      <c r="I252" s="270"/>
      <c r="J252" s="268"/>
      <c r="K252" s="270"/>
      <c r="L252" s="268"/>
      <c r="M252" s="270"/>
      <c r="N252" s="268"/>
      <c r="O252" s="270"/>
      <c r="P252" s="268"/>
      <c r="Q252" s="270"/>
      <c r="R252" s="268"/>
      <c r="S252" s="270"/>
      <c r="T252" s="268"/>
      <c r="U252" s="270"/>
      <c r="V252" s="268"/>
      <c r="W252" s="270"/>
      <c r="X252" s="270"/>
      <c r="Y252" s="270"/>
      <c r="Z252" s="270"/>
      <c r="AA252" s="270"/>
    </row>
    <row r="253" spans="1:27" ht="16.899999999999999" x14ac:dyDescent="0.5">
      <c r="A253" s="270"/>
      <c r="B253" s="270"/>
      <c r="C253" s="270"/>
      <c r="D253" s="268"/>
      <c r="E253" s="270"/>
      <c r="F253" s="268"/>
      <c r="G253" s="270"/>
      <c r="H253" s="268"/>
      <c r="I253" s="270"/>
      <c r="J253" s="268"/>
      <c r="K253" s="270"/>
      <c r="L253" s="268"/>
      <c r="M253" s="270"/>
      <c r="N253" s="268"/>
      <c r="O253" s="270"/>
      <c r="P253" s="268"/>
      <c r="Q253" s="270"/>
      <c r="R253" s="268"/>
      <c r="S253" s="270"/>
      <c r="T253" s="268"/>
      <c r="U253" s="270"/>
      <c r="V253" s="268"/>
      <c r="W253" s="270"/>
      <c r="X253" s="270"/>
      <c r="Y253" s="270"/>
      <c r="Z253" s="270"/>
      <c r="AA253" s="270"/>
    </row>
    <row r="254" spans="1:27" ht="16.899999999999999" x14ac:dyDescent="0.5">
      <c r="A254" s="270"/>
      <c r="B254" s="270"/>
      <c r="C254" s="270"/>
      <c r="D254" s="268"/>
      <c r="E254" s="270"/>
      <c r="F254" s="268"/>
      <c r="G254" s="270"/>
      <c r="H254" s="268"/>
      <c r="I254" s="270"/>
      <c r="J254" s="268"/>
      <c r="K254" s="270"/>
      <c r="L254" s="268"/>
      <c r="M254" s="270"/>
      <c r="N254" s="268"/>
      <c r="O254" s="270"/>
      <c r="P254" s="268"/>
      <c r="Q254" s="270"/>
      <c r="R254" s="268"/>
      <c r="S254" s="270"/>
      <c r="T254" s="268"/>
      <c r="U254" s="270"/>
      <c r="V254" s="268"/>
      <c r="W254" s="270"/>
      <c r="X254" s="270"/>
      <c r="Y254" s="270"/>
      <c r="Z254" s="270"/>
      <c r="AA254" s="270"/>
    </row>
    <row r="255" spans="1:27" ht="16.899999999999999" x14ac:dyDescent="0.5">
      <c r="A255" s="270"/>
      <c r="B255" s="270"/>
      <c r="C255" s="270"/>
      <c r="D255" s="268"/>
      <c r="E255" s="270"/>
      <c r="F255" s="268"/>
      <c r="G255" s="270"/>
      <c r="H255" s="268"/>
      <c r="I255" s="270"/>
      <c r="J255" s="268"/>
      <c r="K255" s="270"/>
      <c r="L255" s="268"/>
      <c r="M255" s="270"/>
      <c r="N255" s="268"/>
      <c r="O255" s="270"/>
      <c r="P255" s="268"/>
      <c r="Q255" s="270"/>
      <c r="R255" s="268"/>
      <c r="S255" s="270"/>
      <c r="T255" s="268"/>
      <c r="U255" s="270"/>
      <c r="V255" s="268"/>
      <c r="W255" s="270"/>
      <c r="X255" s="270"/>
      <c r="Y255" s="270"/>
      <c r="Z255" s="270"/>
      <c r="AA255" s="270"/>
    </row>
    <row r="256" spans="1:27" ht="16.899999999999999" x14ac:dyDescent="0.5">
      <c r="A256" s="270"/>
      <c r="B256" s="270"/>
      <c r="C256" s="270"/>
      <c r="D256" s="268"/>
      <c r="E256" s="270"/>
      <c r="F256" s="268"/>
      <c r="G256" s="270"/>
      <c r="H256" s="268"/>
      <c r="I256" s="270"/>
      <c r="J256" s="268"/>
      <c r="K256" s="270"/>
      <c r="L256" s="268"/>
      <c r="M256" s="270"/>
      <c r="N256" s="268"/>
      <c r="O256" s="270"/>
      <c r="P256" s="268"/>
      <c r="Q256" s="270"/>
      <c r="R256" s="268"/>
      <c r="S256" s="270"/>
      <c r="T256" s="268"/>
      <c r="U256" s="270"/>
      <c r="V256" s="268"/>
      <c r="W256" s="270"/>
      <c r="X256" s="270"/>
      <c r="Y256" s="270"/>
      <c r="Z256" s="270"/>
      <c r="AA256" s="270"/>
    </row>
    <row r="257" spans="1:27" ht="16.899999999999999" x14ac:dyDescent="0.5">
      <c r="A257" s="270"/>
      <c r="B257" s="270"/>
      <c r="C257" s="270"/>
      <c r="D257" s="268"/>
      <c r="E257" s="270"/>
      <c r="F257" s="268"/>
      <c r="G257" s="270"/>
      <c r="H257" s="268"/>
      <c r="I257" s="270"/>
      <c r="J257" s="268"/>
      <c r="K257" s="270"/>
      <c r="L257" s="268"/>
      <c r="M257" s="270"/>
      <c r="N257" s="268"/>
      <c r="O257" s="270"/>
      <c r="P257" s="268"/>
      <c r="Q257" s="270"/>
      <c r="R257" s="268"/>
      <c r="S257" s="270"/>
      <c r="T257" s="268"/>
      <c r="U257" s="270"/>
      <c r="V257" s="268"/>
      <c r="W257" s="270"/>
      <c r="X257" s="270"/>
      <c r="Y257" s="270"/>
      <c r="Z257" s="270"/>
      <c r="AA257" s="270"/>
    </row>
    <row r="258" spans="1:27" ht="16.899999999999999" x14ac:dyDescent="0.5">
      <c r="A258" s="270"/>
      <c r="B258" s="270"/>
      <c r="C258" s="270"/>
      <c r="D258" s="268"/>
      <c r="E258" s="270"/>
      <c r="F258" s="268"/>
      <c r="G258" s="270"/>
      <c r="H258" s="268"/>
      <c r="I258" s="270"/>
      <c r="J258" s="268"/>
      <c r="K258" s="270"/>
      <c r="L258" s="268"/>
      <c r="M258" s="270"/>
      <c r="N258" s="268"/>
      <c r="O258" s="270"/>
      <c r="P258" s="268"/>
      <c r="Q258" s="270"/>
      <c r="R258" s="268"/>
      <c r="S258" s="270"/>
      <c r="T258" s="268"/>
      <c r="U258" s="270"/>
      <c r="V258" s="268"/>
      <c r="W258" s="270"/>
      <c r="X258" s="270"/>
      <c r="Y258" s="270"/>
      <c r="Z258" s="270"/>
      <c r="AA258" s="270"/>
    </row>
    <row r="259" spans="1:27" ht="16.899999999999999" x14ac:dyDescent="0.5">
      <c r="A259" s="270"/>
      <c r="B259" s="270"/>
      <c r="C259" s="270"/>
      <c r="D259" s="268"/>
      <c r="E259" s="270"/>
      <c r="F259" s="268"/>
      <c r="G259" s="270"/>
      <c r="H259" s="268"/>
      <c r="I259" s="270"/>
      <c r="J259" s="268"/>
      <c r="K259" s="270"/>
      <c r="L259" s="268"/>
      <c r="M259" s="270"/>
      <c r="N259" s="268"/>
      <c r="O259" s="270"/>
      <c r="P259" s="268"/>
      <c r="Q259" s="270"/>
      <c r="R259" s="268"/>
      <c r="S259" s="270"/>
      <c r="T259" s="268"/>
      <c r="U259" s="270"/>
      <c r="V259" s="268"/>
      <c r="W259" s="270"/>
      <c r="X259" s="270"/>
      <c r="Y259" s="270"/>
      <c r="Z259" s="270"/>
      <c r="AA259" s="270"/>
    </row>
    <row r="260" spans="1:27" ht="16.899999999999999" x14ac:dyDescent="0.5">
      <c r="A260" s="270"/>
      <c r="B260" s="270"/>
      <c r="C260" s="270"/>
      <c r="D260" s="268"/>
      <c r="E260" s="270"/>
      <c r="F260" s="268"/>
      <c r="G260" s="270"/>
      <c r="H260" s="268"/>
      <c r="I260" s="270"/>
      <c r="J260" s="268"/>
      <c r="K260" s="270"/>
      <c r="L260" s="268"/>
      <c r="M260" s="270"/>
      <c r="N260" s="268"/>
      <c r="O260" s="270"/>
      <c r="P260" s="268"/>
      <c r="Q260" s="270"/>
      <c r="R260" s="268"/>
      <c r="S260" s="270"/>
      <c r="T260" s="268"/>
      <c r="U260" s="270"/>
      <c r="V260" s="268"/>
      <c r="W260" s="270"/>
      <c r="X260" s="270"/>
      <c r="Y260" s="270"/>
      <c r="Z260" s="270"/>
      <c r="AA260" s="270"/>
    </row>
    <row r="261" spans="1:27" ht="16.899999999999999" x14ac:dyDescent="0.5">
      <c r="A261" s="270"/>
      <c r="B261" s="270"/>
      <c r="C261" s="270"/>
      <c r="D261" s="268"/>
      <c r="E261" s="270"/>
      <c r="F261" s="268"/>
      <c r="G261" s="270"/>
      <c r="H261" s="268"/>
      <c r="I261" s="270"/>
      <c r="J261" s="268"/>
      <c r="K261" s="270"/>
      <c r="L261" s="268"/>
      <c r="M261" s="270"/>
      <c r="N261" s="268"/>
      <c r="O261" s="270"/>
      <c r="P261" s="268"/>
      <c r="Q261" s="270"/>
      <c r="R261" s="268"/>
      <c r="S261" s="270"/>
      <c r="T261" s="268"/>
      <c r="U261" s="270"/>
      <c r="V261" s="268"/>
      <c r="W261" s="270"/>
      <c r="X261" s="270"/>
      <c r="Y261" s="270"/>
      <c r="Z261" s="270"/>
      <c r="AA261" s="270"/>
    </row>
    <row r="262" spans="1:27" ht="16.899999999999999" x14ac:dyDescent="0.5">
      <c r="A262" s="270"/>
      <c r="B262" s="270"/>
      <c r="C262" s="270"/>
      <c r="D262" s="268"/>
      <c r="E262" s="270"/>
      <c r="F262" s="268"/>
      <c r="G262" s="270"/>
      <c r="H262" s="268"/>
      <c r="I262" s="270"/>
      <c r="J262" s="268"/>
      <c r="K262" s="270"/>
      <c r="L262" s="268"/>
      <c r="M262" s="270"/>
      <c r="N262" s="268"/>
      <c r="O262" s="270"/>
      <c r="P262" s="268"/>
      <c r="Q262" s="270"/>
      <c r="R262" s="268"/>
      <c r="S262" s="270"/>
      <c r="T262" s="268"/>
      <c r="U262" s="270"/>
      <c r="V262" s="268"/>
      <c r="W262" s="270"/>
      <c r="X262" s="270"/>
      <c r="Y262" s="270"/>
      <c r="Z262" s="270"/>
      <c r="AA262" s="270"/>
    </row>
    <row r="263" spans="1:27" ht="16.899999999999999" x14ac:dyDescent="0.5">
      <c r="A263" s="270"/>
      <c r="B263" s="270"/>
      <c r="C263" s="270"/>
      <c r="D263" s="268"/>
      <c r="E263" s="270"/>
      <c r="F263" s="268"/>
      <c r="G263" s="270"/>
      <c r="H263" s="268"/>
      <c r="I263" s="270"/>
      <c r="J263" s="268"/>
      <c r="K263" s="270"/>
      <c r="L263" s="268"/>
      <c r="M263" s="270"/>
      <c r="N263" s="268"/>
      <c r="O263" s="270"/>
      <c r="P263" s="268"/>
      <c r="Q263" s="270"/>
      <c r="R263" s="268"/>
      <c r="S263" s="270"/>
      <c r="T263" s="268"/>
      <c r="U263" s="270"/>
      <c r="V263" s="268"/>
      <c r="W263" s="270"/>
      <c r="X263" s="270"/>
      <c r="Y263" s="270"/>
      <c r="Z263" s="270"/>
      <c r="AA263" s="270"/>
    </row>
    <row r="264" spans="1:27" ht="16.899999999999999" x14ac:dyDescent="0.5">
      <c r="A264" s="270"/>
      <c r="B264" s="270"/>
      <c r="C264" s="270"/>
      <c r="D264" s="268"/>
      <c r="E264" s="270"/>
      <c r="F264" s="268"/>
      <c r="G264" s="270"/>
      <c r="H264" s="268"/>
      <c r="I264" s="270"/>
      <c r="J264" s="268"/>
      <c r="K264" s="270"/>
      <c r="L264" s="268"/>
      <c r="M264" s="270"/>
      <c r="N264" s="268"/>
      <c r="O264" s="270"/>
      <c r="P264" s="268"/>
      <c r="Q264" s="270"/>
      <c r="R264" s="268"/>
      <c r="S264" s="270"/>
      <c r="T264" s="268"/>
      <c r="U264" s="270"/>
      <c r="V264" s="268"/>
      <c r="W264" s="270"/>
      <c r="X264" s="270"/>
      <c r="Y264" s="270"/>
      <c r="Z264" s="270"/>
      <c r="AA264" s="270"/>
    </row>
    <row r="265" spans="1:27" ht="16.899999999999999" x14ac:dyDescent="0.5">
      <c r="A265" s="270"/>
      <c r="B265" s="270"/>
      <c r="C265" s="270"/>
      <c r="D265" s="268"/>
      <c r="E265" s="270"/>
      <c r="F265" s="268"/>
      <c r="G265" s="270"/>
      <c r="H265" s="268"/>
      <c r="I265" s="270"/>
      <c r="J265" s="268"/>
      <c r="K265" s="270"/>
      <c r="L265" s="268"/>
      <c r="M265" s="270"/>
      <c r="N265" s="268"/>
      <c r="O265" s="270"/>
      <c r="P265" s="268"/>
      <c r="Q265" s="270"/>
      <c r="R265" s="268"/>
      <c r="S265" s="270"/>
      <c r="T265" s="268"/>
      <c r="U265" s="270"/>
      <c r="V265" s="268"/>
      <c r="W265" s="270"/>
      <c r="X265" s="270"/>
      <c r="Y265" s="270"/>
      <c r="Z265" s="270"/>
      <c r="AA265" s="270"/>
    </row>
    <row r="266" spans="1:27" ht="16.899999999999999" x14ac:dyDescent="0.5">
      <c r="A266" s="270"/>
      <c r="B266" s="270"/>
      <c r="C266" s="270"/>
      <c r="D266" s="268"/>
      <c r="E266" s="270"/>
      <c r="F266" s="268"/>
      <c r="G266" s="270"/>
      <c r="H266" s="268"/>
      <c r="I266" s="270"/>
      <c r="J266" s="268"/>
      <c r="K266" s="270"/>
      <c r="L266" s="268"/>
      <c r="M266" s="270"/>
      <c r="N266" s="268"/>
      <c r="O266" s="270"/>
      <c r="P266" s="268"/>
      <c r="Q266" s="270"/>
      <c r="R266" s="268"/>
      <c r="S266" s="270"/>
      <c r="T266" s="268"/>
      <c r="U266" s="270"/>
      <c r="V266" s="268"/>
      <c r="W266" s="270"/>
      <c r="X266" s="270"/>
      <c r="Y266" s="270"/>
      <c r="Z266" s="270"/>
      <c r="AA266" s="270"/>
    </row>
    <row r="267" spans="1:27" ht="16.899999999999999" x14ac:dyDescent="0.5">
      <c r="A267" s="270"/>
      <c r="B267" s="270"/>
      <c r="C267" s="270"/>
      <c r="D267" s="268"/>
      <c r="E267" s="270"/>
      <c r="F267" s="268"/>
      <c r="G267" s="270"/>
      <c r="H267" s="268"/>
      <c r="I267" s="270"/>
      <c r="J267" s="268"/>
      <c r="K267" s="270"/>
      <c r="L267" s="268"/>
      <c r="M267" s="270"/>
      <c r="N267" s="268"/>
      <c r="O267" s="270"/>
      <c r="P267" s="268"/>
      <c r="Q267" s="270"/>
      <c r="R267" s="268"/>
      <c r="S267" s="270"/>
      <c r="T267" s="268"/>
      <c r="U267" s="270"/>
      <c r="V267" s="268"/>
      <c r="W267" s="270"/>
      <c r="X267" s="270"/>
      <c r="Y267" s="270"/>
      <c r="Z267" s="270"/>
      <c r="AA267" s="270"/>
    </row>
    <row r="268" spans="1:27" ht="16.899999999999999" x14ac:dyDescent="0.5">
      <c r="A268" s="270"/>
      <c r="B268" s="270"/>
      <c r="C268" s="270"/>
      <c r="D268" s="268"/>
      <c r="E268" s="270"/>
      <c r="F268" s="268"/>
      <c r="G268" s="270"/>
      <c r="H268" s="268"/>
      <c r="I268" s="270"/>
      <c r="J268" s="268"/>
      <c r="K268" s="270"/>
      <c r="L268" s="268"/>
      <c r="M268" s="270"/>
      <c r="N268" s="268"/>
      <c r="O268" s="270"/>
      <c r="P268" s="268"/>
      <c r="Q268" s="270"/>
      <c r="R268" s="268"/>
      <c r="S268" s="270"/>
      <c r="T268" s="268"/>
      <c r="U268" s="270"/>
      <c r="V268" s="268"/>
      <c r="W268" s="270"/>
      <c r="X268" s="270"/>
      <c r="Y268" s="270"/>
      <c r="Z268" s="270"/>
      <c r="AA268" s="270"/>
    </row>
    <row r="269" spans="1:27" ht="16.899999999999999" x14ac:dyDescent="0.5">
      <c r="A269" s="270"/>
      <c r="B269" s="270"/>
      <c r="C269" s="270"/>
      <c r="D269" s="268"/>
      <c r="E269" s="270"/>
      <c r="F269" s="268"/>
      <c r="G269" s="270"/>
      <c r="H269" s="268"/>
      <c r="I269" s="270"/>
      <c r="J269" s="268"/>
      <c r="K269" s="270"/>
      <c r="L269" s="268"/>
      <c r="M269" s="270"/>
      <c r="N269" s="268"/>
      <c r="O269" s="270"/>
      <c r="P269" s="268"/>
      <c r="Q269" s="270"/>
      <c r="R269" s="268"/>
      <c r="S269" s="270"/>
      <c r="T269" s="268"/>
      <c r="U269" s="270"/>
      <c r="V269" s="268"/>
      <c r="W269" s="270"/>
      <c r="X269" s="270"/>
      <c r="Y269" s="270"/>
      <c r="Z269" s="270"/>
      <c r="AA269" s="270"/>
    </row>
    <row r="270" spans="1:27" ht="16.899999999999999" x14ac:dyDescent="0.5">
      <c r="A270" s="270"/>
      <c r="B270" s="270"/>
      <c r="C270" s="270"/>
      <c r="D270" s="268"/>
      <c r="E270" s="270"/>
      <c r="F270" s="268"/>
      <c r="G270" s="270"/>
      <c r="H270" s="268"/>
      <c r="I270" s="270"/>
      <c r="J270" s="268"/>
      <c r="K270" s="270"/>
      <c r="L270" s="268"/>
      <c r="M270" s="270"/>
      <c r="N270" s="268"/>
      <c r="O270" s="270"/>
      <c r="P270" s="268"/>
      <c r="Q270" s="270"/>
      <c r="R270" s="268"/>
      <c r="S270" s="270"/>
      <c r="T270" s="268"/>
      <c r="U270" s="270"/>
      <c r="V270" s="268"/>
      <c r="W270" s="270"/>
      <c r="X270" s="270"/>
      <c r="Y270" s="270"/>
      <c r="Z270" s="270"/>
      <c r="AA270" s="270"/>
    </row>
    <row r="271" spans="1:27" ht="16.899999999999999" x14ac:dyDescent="0.5">
      <c r="A271" s="270"/>
      <c r="B271" s="270"/>
      <c r="C271" s="270"/>
      <c r="D271" s="268"/>
      <c r="E271" s="270"/>
      <c r="F271" s="268"/>
      <c r="G271" s="270"/>
      <c r="H271" s="268"/>
      <c r="I271" s="270"/>
      <c r="J271" s="268"/>
      <c r="K271" s="270"/>
      <c r="L271" s="268"/>
      <c r="M271" s="270"/>
      <c r="N271" s="268"/>
      <c r="O271" s="270"/>
      <c r="P271" s="268"/>
      <c r="Q271" s="270"/>
      <c r="R271" s="268"/>
      <c r="S271" s="270"/>
      <c r="T271" s="268"/>
      <c r="U271" s="270"/>
      <c r="V271" s="268"/>
      <c r="W271" s="270"/>
      <c r="X271" s="270"/>
      <c r="Y271" s="270"/>
      <c r="Z271" s="270"/>
      <c r="AA271" s="270"/>
    </row>
    <row r="272" spans="1:27" ht="16.899999999999999" x14ac:dyDescent="0.5">
      <c r="A272" s="270"/>
      <c r="B272" s="270"/>
      <c r="C272" s="270"/>
      <c r="D272" s="268"/>
      <c r="E272" s="270"/>
      <c r="F272" s="268"/>
      <c r="G272" s="270"/>
      <c r="H272" s="268"/>
      <c r="I272" s="270"/>
      <c r="J272" s="268"/>
      <c r="K272" s="270"/>
      <c r="L272" s="268"/>
      <c r="M272" s="270"/>
      <c r="N272" s="268"/>
      <c r="O272" s="270"/>
      <c r="P272" s="268"/>
      <c r="Q272" s="270"/>
      <c r="R272" s="268"/>
      <c r="S272" s="270"/>
      <c r="T272" s="268"/>
      <c r="U272" s="270"/>
      <c r="V272" s="268"/>
      <c r="W272" s="270"/>
      <c r="X272" s="270"/>
      <c r="Y272" s="270"/>
      <c r="Z272" s="270"/>
      <c r="AA272" s="270"/>
    </row>
    <row r="273" spans="1:27" ht="16.899999999999999" x14ac:dyDescent="0.5">
      <c r="A273" s="270"/>
      <c r="B273" s="270"/>
      <c r="C273" s="270"/>
      <c r="D273" s="268"/>
      <c r="E273" s="270"/>
      <c r="F273" s="268"/>
      <c r="G273" s="270"/>
      <c r="H273" s="268"/>
      <c r="I273" s="270"/>
      <c r="J273" s="268"/>
      <c r="K273" s="270"/>
      <c r="L273" s="268"/>
      <c r="M273" s="270"/>
      <c r="N273" s="268"/>
      <c r="O273" s="270"/>
      <c r="P273" s="268"/>
      <c r="Q273" s="270"/>
      <c r="R273" s="268"/>
      <c r="S273" s="270"/>
      <c r="T273" s="268"/>
      <c r="U273" s="270"/>
      <c r="V273" s="268"/>
      <c r="W273" s="270"/>
      <c r="X273" s="270"/>
      <c r="Y273" s="270"/>
      <c r="Z273" s="270"/>
      <c r="AA273" s="270"/>
    </row>
    <row r="274" spans="1:27" ht="16.899999999999999" x14ac:dyDescent="0.5">
      <c r="A274" s="270"/>
      <c r="B274" s="270"/>
      <c r="C274" s="270"/>
      <c r="D274" s="268"/>
      <c r="E274" s="270"/>
      <c r="F274" s="268"/>
      <c r="G274" s="270"/>
      <c r="H274" s="268"/>
      <c r="I274" s="270"/>
      <c r="J274" s="268"/>
      <c r="K274" s="270"/>
      <c r="L274" s="268"/>
      <c r="M274" s="270"/>
      <c r="N274" s="268"/>
      <c r="O274" s="270"/>
      <c r="P274" s="268"/>
      <c r="Q274" s="270"/>
      <c r="R274" s="268"/>
      <c r="S274" s="270"/>
      <c r="T274" s="268"/>
      <c r="U274" s="270"/>
      <c r="V274" s="268"/>
      <c r="W274" s="270"/>
      <c r="X274" s="270"/>
      <c r="Y274" s="270"/>
      <c r="Z274" s="270"/>
      <c r="AA274" s="270"/>
    </row>
    <row r="275" spans="1:27" ht="16.899999999999999" x14ac:dyDescent="0.5">
      <c r="A275" s="270"/>
      <c r="B275" s="270"/>
      <c r="C275" s="270"/>
      <c r="D275" s="268"/>
      <c r="E275" s="270"/>
      <c r="F275" s="268"/>
      <c r="G275" s="270"/>
      <c r="H275" s="268"/>
      <c r="I275" s="270"/>
      <c r="J275" s="268"/>
      <c r="K275" s="270"/>
      <c r="L275" s="268"/>
      <c r="M275" s="270"/>
      <c r="N275" s="268"/>
      <c r="O275" s="270"/>
      <c r="P275" s="268"/>
      <c r="Q275" s="270"/>
      <c r="R275" s="268"/>
      <c r="S275" s="270"/>
      <c r="T275" s="268"/>
      <c r="U275" s="270"/>
      <c r="V275" s="268"/>
      <c r="W275" s="270"/>
      <c r="X275" s="270"/>
      <c r="Y275" s="270"/>
      <c r="Z275" s="270"/>
      <c r="AA275" s="270"/>
    </row>
    <row r="276" spans="1:27" ht="16.899999999999999" x14ac:dyDescent="0.5">
      <c r="A276" s="270"/>
      <c r="B276" s="270"/>
      <c r="C276" s="270"/>
      <c r="D276" s="268"/>
      <c r="E276" s="270"/>
      <c r="F276" s="268"/>
      <c r="G276" s="270"/>
      <c r="H276" s="268"/>
      <c r="I276" s="270"/>
      <c r="J276" s="268"/>
      <c r="K276" s="270"/>
      <c r="L276" s="268"/>
      <c r="M276" s="270"/>
      <c r="N276" s="268"/>
      <c r="O276" s="270"/>
      <c r="P276" s="268"/>
      <c r="Q276" s="270"/>
      <c r="R276" s="268"/>
      <c r="S276" s="270"/>
      <c r="T276" s="268"/>
      <c r="U276" s="270"/>
      <c r="V276" s="268"/>
      <c r="W276" s="270"/>
      <c r="X276" s="270"/>
      <c r="Y276" s="270"/>
      <c r="Z276" s="270"/>
      <c r="AA276" s="270"/>
    </row>
    <row r="277" spans="1:27" ht="16.899999999999999" x14ac:dyDescent="0.5">
      <c r="A277" s="270"/>
      <c r="B277" s="270"/>
      <c r="C277" s="270"/>
      <c r="D277" s="268"/>
      <c r="E277" s="270"/>
      <c r="F277" s="268"/>
      <c r="G277" s="270"/>
      <c r="H277" s="268"/>
      <c r="I277" s="270"/>
      <c r="J277" s="268"/>
      <c r="K277" s="270"/>
      <c r="L277" s="268"/>
      <c r="M277" s="270"/>
      <c r="N277" s="268"/>
      <c r="O277" s="270"/>
      <c r="P277" s="268"/>
      <c r="Q277" s="270"/>
      <c r="R277" s="268"/>
      <c r="S277" s="270"/>
      <c r="T277" s="268"/>
      <c r="U277" s="270"/>
      <c r="V277" s="268"/>
      <c r="W277" s="270"/>
      <c r="X277" s="270"/>
      <c r="Y277" s="270"/>
      <c r="Z277" s="270"/>
      <c r="AA277" s="270"/>
    </row>
    <row r="278" spans="1:27" ht="16.899999999999999" x14ac:dyDescent="0.5">
      <c r="A278" s="270"/>
      <c r="B278" s="270"/>
      <c r="C278" s="270"/>
      <c r="D278" s="268"/>
      <c r="E278" s="270"/>
      <c r="F278" s="268"/>
      <c r="G278" s="270"/>
      <c r="H278" s="268"/>
      <c r="I278" s="270"/>
      <c r="J278" s="268"/>
      <c r="K278" s="270"/>
      <c r="L278" s="268"/>
      <c r="M278" s="270"/>
      <c r="N278" s="268"/>
      <c r="O278" s="270"/>
      <c r="P278" s="268"/>
      <c r="Q278" s="270"/>
      <c r="R278" s="268"/>
      <c r="S278" s="270"/>
      <c r="T278" s="268"/>
      <c r="U278" s="270"/>
      <c r="V278" s="268"/>
      <c r="W278" s="270"/>
      <c r="X278" s="270"/>
      <c r="Y278" s="270"/>
      <c r="Z278" s="270"/>
      <c r="AA278" s="270"/>
    </row>
    <row r="279" spans="1:27" ht="16.899999999999999" x14ac:dyDescent="0.5">
      <c r="A279" s="270"/>
      <c r="B279" s="270"/>
      <c r="C279" s="270"/>
      <c r="D279" s="268"/>
      <c r="E279" s="270"/>
      <c r="F279" s="268"/>
      <c r="G279" s="270"/>
      <c r="H279" s="268"/>
      <c r="I279" s="270"/>
      <c r="J279" s="268"/>
      <c r="K279" s="270"/>
      <c r="L279" s="268"/>
      <c r="M279" s="270"/>
      <c r="N279" s="268"/>
      <c r="O279" s="270"/>
      <c r="P279" s="268"/>
      <c r="Q279" s="270"/>
      <c r="R279" s="268"/>
      <c r="S279" s="270"/>
      <c r="T279" s="268"/>
      <c r="U279" s="270"/>
      <c r="V279" s="268"/>
      <c r="W279" s="270"/>
      <c r="X279" s="270"/>
      <c r="Y279" s="270"/>
      <c r="Z279" s="270"/>
      <c r="AA279" s="270"/>
    </row>
    <row r="280" spans="1:27" ht="16.899999999999999" x14ac:dyDescent="0.5">
      <c r="A280" s="270"/>
      <c r="B280" s="270"/>
      <c r="C280" s="270"/>
      <c r="D280" s="268"/>
      <c r="E280" s="270"/>
      <c r="F280" s="268"/>
      <c r="G280" s="270"/>
      <c r="H280" s="268"/>
      <c r="I280" s="270"/>
      <c r="J280" s="268"/>
      <c r="K280" s="270"/>
      <c r="L280" s="268"/>
      <c r="M280" s="270"/>
      <c r="N280" s="268"/>
      <c r="O280" s="270"/>
      <c r="P280" s="268"/>
      <c r="Q280" s="270"/>
      <c r="R280" s="268"/>
      <c r="S280" s="270"/>
      <c r="T280" s="268"/>
      <c r="U280" s="270"/>
      <c r="V280" s="268"/>
      <c r="W280" s="270"/>
      <c r="X280" s="270"/>
      <c r="Y280" s="270"/>
      <c r="Z280" s="270"/>
      <c r="AA280" s="270"/>
    </row>
    <row r="281" spans="1:27" ht="16.899999999999999" x14ac:dyDescent="0.5">
      <c r="A281" s="270"/>
      <c r="B281" s="270"/>
      <c r="C281" s="270"/>
      <c r="D281" s="268"/>
      <c r="E281" s="270"/>
      <c r="F281" s="268"/>
      <c r="G281" s="270"/>
      <c r="H281" s="268"/>
      <c r="I281" s="270"/>
      <c r="J281" s="268"/>
      <c r="K281" s="270"/>
      <c r="L281" s="268"/>
      <c r="M281" s="270"/>
      <c r="N281" s="268"/>
      <c r="O281" s="270"/>
      <c r="P281" s="268"/>
      <c r="Q281" s="270"/>
      <c r="R281" s="268"/>
      <c r="S281" s="270"/>
      <c r="T281" s="268"/>
      <c r="U281" s="270"/>
      <c r="V281" s="268"/>
      <c r="W281" s="270"/>
      <c r="X281" s="270"/>
      <c r="Y281" s="270"/>
      <c r="Z281" s="270"/>
      <c r="AA281" s="270"/>
    </row>
    <row r="282" spans="1:27" ht="16.899999999999999" x14ac:dyDescent="0.5">
      <c r="A282" s="270"/>
      <c r="B282" s="270"/>
      <c r="C282" s="270"/>
      <c r="D282" s="268"/>
      <c r="E282" s="270"/>
      <c r="F282" s="268"/>
      <c r="G282" s="270"/>
      <c r="H282" s="268"/>
      <c r="I282" s="270"/>
      <c r="J282" s="268"/>
      <c r="K282" s="270"/>
      <c r="L282" s="268"/>
      <c r="M282" s="270"/>
      <c r="N282" s="268"/>
      <c r="O282" s="270"/>
      <c r="P282" s="268"/>
      <c r="Q282" s="270"/>
      <c r="R282" s="268"/>
      <c r="S282" s="270"/>
      <c r="T282" s="268"/>
      <c r="U282" s="270"/>
      <c r="V282" s="268"/>
      <c r="W282" s="270"/>
      <c r="X282" s="270"/>
      <c r="Y282" s="270"/>
      <c r="Z282" s="270"/>
      <c r="AA282" s="270"/>
    </row>
    <row r="283" spans="1:27" ht="16.899999999999999" x14ac:dyDescent="0.5">
      <c r="A283" s="270"/>
      <c r="B283" s="270"/>
      <c r="C283" s="270"/>
      <c r="D283" s="268"/>
      <c r="E283" s="270"/>
      <c r="F283" s="268"/>
      <c r="G283" s="270"/>
      <c r="H283" s="268"/>
      <c r="I283" s="270"/>
      <c r="J283" s="268"/>
      <c r="K283" s="270"/>
      <c r="L283" s="268"/>
      <c r="M283" s="270"/>
      <c r="N283" s="268"/>
      <c r="O283" s="270"/>
      <c r="P283" s="268"/>
      <c r="Q283" s="270"/>
      <c r="R283" s="268"/>
      <c r="S283" s="270"/>
      <c r="T283" s="268"/>
      <c r="U283" s="270"/>
      <c r="V283" s="268"/>
      <c r="W283" s="270"/>
      <c r="X283" s="270"/>
      <c r="Y283" s="270"/>
      <c r="Z283" s="270"/>
      <c r="AA283" s="270"/>
    </row>
    <row r="284" spans="1:27" ht="16.899999999999999" x14ac:dyDescent="0.5">
      <c r="A284" s="270"/>
      <c r="B284" s="270"/>
      <c r="C284" s="270"/>
      <c r="D284" s="268"/>
      <c r="E284" s="270"/>
      <c r="F284" s="268"/>
      <c r="G284" s="270"/>
      <c r="H284" s="268"/>
      <c r="I284" s="270"/>
      <c r="J284" s="268"/>
      <c r="K284" s="270"/>
      <c r="L284" s="268"/>
      <c r="M284" s="270"/>
      <c r="N284" s="268"/>
      <c r="O284" s="270"/>
      <c r="P284" s="268"/>
      <c r="Q284" s="270"/>
      <c r="R284" s="268"/>
      <c r="S284" s="270"/>
      <c r="T284" s="268"/>
      <c r="U284" s="270"/>
      <c r="V284" s="268"/>
      <c r="W284" s="270"/>
      <c r="X284" s="270"/>
      <c r="Y284" s="270"/>
      <c r="Z284" s="270"/>
      <c r="AA284" s="270"/>
    </row>
    <row r="285" spans="1:27" ht="16.899999999999999" x14ac:dyDescent="0.5">
      <c r="A285" s="270"/>
      <c r="B285" s="270"/>
      <c r="C285" s="270"/>
      <c r="D285" s="268"/>
      <c r="E285" s="270"/>
      <c r="F285" s="268"/>
      <c r="G285" s="270"/>
      <c r="H285" s="268"/>
      <c r="I285" s="270"/>
      <c r="J285" s="268"/>
      <c r="K285" s="270"/>
      <c r="L285" s="268"/>
      <c r="M285" s="270"/>
      <c r="N285" s="268"/>
      <c r="O285" s="270"/>
      <c r="P285" s="268"/>
      <c r="Q285" s="270"/>
      <c r="R285" s="268"/>
      <c r="S285" s="270"/>
      <c r="T285" s="268"/>
      <c r="U285" s="270"/>
      <c r="V285" s="268"/>
      <c r="W285" s="270"/>
      <c r="X285" s="270"/>
      <c r="Y285" s="270"/>
      <c r="Z285" s="270"/>
      <c r="AA285" s="270"/>
    </row>
    <row r="286" spans="1:27" ht="16.899999999999999" x14ac:dyDescent="0.5">
      <c r="A286" s="270"/>
      <c r="B286" s="270"/>
      <c r="C286" s="270"/>
      <c r="D286" s="268"/>
      <c r="E286" s="270"/>
      <c r="F286" s="268"/>
      <c r="G286" s="270"/>
      <c r="H286" s="268"/>
      <c r="I286" s="270"/>
      <c r="J286" s="268"/>
      <c r="K286" s="270"/>
      <c r="L286" s="268"/>
      <c r="M286" s="270"/>
      <c r="N286" s="268"/>
      <c r="O286" s="270"/>
      <c r="P286" s="268"/>
      <c r="Q286" s="270"/>
      <c r="R286" s="268"/>
      <c r="S286" s="270"/>
      <c r="T286" s="268"/>
      <c r="U286" s="270"/>
      <c r="V286" s="268"/>
      <c r="W286" s="270"/>
      <c r="X286" s="270"/>
      <c r="Y286" s="270"/>
      <c r="Z286" s="270"/>
      <c r="AA286" s="270"/>
    </row>
    <row r="287" spans="1:27" ht="16.899999999999999" x14ac:dyDescent="0.5">
      <c r="A287" s="270"/>
      <c r="B287" s="270"/>
      <c r="C287" s="270"/>
      <c r="D287" s="268"/>
      <c r="E287" s="270"/>
      <c r="F287" s="268"/>
      <c r="G287" s="270"/>
      <c r="H287" s="268"/>
      <c r="I287" s="270"/>
      <c r="J287" s="268"/>
      <c r="K287" s="270"/>
      <c r="L287" s="268"/>
      <c r="M287" s="270"/>
      <c r="N287" s="268"/>
      <c r="O287" s="270"/>
      <c r="P287" s="268"/>
      <c r="Q287" s="270"/>
      <c r="R287" s="268"/>
      <c r="S287" s="270"/>
      <c r="T287" s="268"/>
      <c r="U287" s="270"/>
      <c r="V287" s="268"/>
      <c r="W287" s="270"/>
      <c r="X287" s="270"/>
      <c r="Y287" s="270"/>
      <c r="Z287" s="270"/>
      <c r="AA287" s="270"/>
    </row>
    <row r="288" spans="1:27" ht="16.899999999999999" x14ac:dyDescent="0.5">
      <c r="A288" s="270"/>
      <c r="B288" s="270"/>
      <c r="C288" s="270"/>
      <c r="D288" s="268"/>
      <c r="E288" s="270"/>
      <c r="F288" s="268"/>
      <c r="G288" s="270"/>
      <c r="H288" s="268"/>
      <c r="I288" s="270"/>
      <c r="J288" s="268"/>
      <c r="K288" s="270"/>
      <c r="L288" s="268"/>
      <c r="M288" s="270"/>
      <c r="N288" s="268"/>
      <c r="O288" s="270"/>
      <c r="P288" s="268"/>
      <c r="Q288" s="270"/>
      <c r="R288" s="268"/>
      <c r="S288" s="270"/>
      <c r="T288" s="268"/>
      <c r="U288" s="270"/>
      <c r="V288" s="268"/>
      <c r="W288" s="270"/>
      <c r="X288" s="270"/>
      <c r="Y288" s="270"/>
      <c r="Z288" s="270"/>
      <c r="AA288" s="270"/>
    </row>
    <row r="289" spans="1:27" ht="16.899999999999999" x14ac:dyDescent="0.5">
      <c r="A289" s="270"/>
      <c r="B289" s="270"/>
      <c r="C289" s="270"/>
      <c r="D289" s="268"/>
      <c r="E289" s="270"/>
      <c r="F289" s="268"/>
      <c r="G289" s="270"/>
      <c r="H289" s="268"/>
      <c r="I289" s="270"/>
      <c r="J289" s="268"/>
      <c r="K289" s="270"/>
      <c r="L289" s="268"/>
      <c r="M289" s="270"/>
      <c r="N289" s="268"/>
      <c r="O289" s="270"/>
      <c r="P289" s="268"/>
      <c r="Q289" s="270"/>
      <c r="R289" s="268"/>
      <c r="S289" s="270"/>
      <c r="T289" s="268"/>
      <c r="U289" s="270"/>
      <c r="V289" s="268"/>
      <c r="W289" s="270"/>
      <c r="X289" s="270"/>
      <c r="Y289" s="270"/>
      <c r="Z289" s="270"/>
      <c r="AA289" s="270"/>
    </row>
    <row r="290" spans="1:27" ht="16.899999999999999" x14ac:dyDescent="0.5">
      <c r="A290" s="270"/>
      <c r="B290" s="270"/>
      <c r="C290" s="270"/>
      <c r="D290" s="268"/>
      <c r="E290" s="270"/>
      <c r="F290" s="268"/>
      <c r="G290" s="270"/>
      <c r="H290" s="268"/>
      <c r="I290" s="270"/>
      <c r="J290" s="268"/>
      <c r="K290" s="270"/>
      <c r="L290" s="268"/>
      <c r="M290" s="270"/>
      <c r="N290" s="268"/>
      <c r="O290" s="270"/>
      <c r="P290" s="268"/>
      <c r="Q290" s="270"/>
      <c r="R290" s="268"/>
      <c r="S290" s="270"/>
      <c r="T290" s="268"/>
      <c r="U290" s="270"/>
      <c r="V290" s="268"/>
      <c r="W290" s="270"/>
      <c r="X290" s="270"/>
      <c r="Y290" s="270"/>
      <c r="Z290" s="270"/>
      <c r="AA290" s="270"/>
    </row>
    <row r="291" spans="1:27" ht="16.899999999999999" x14ac:dyDescent="0.5">
      <c r="A291" s="270"/>
      <c r="B291" s="270"/>
      <c r="C291" s="270"/>
      <c r="D291" s="268"/>
      <c r="E291" s="270"/>
      <c r="F291" s="268"/>
      <c r="G291" s="270"/>
      <c r="H291" s="268"/>
      <c r="I291" s="270"/>
      <c r="J291" s="268"/>
      <c r="K291" s="270"/>
      <c r="L291" s="268"/>
      <c r="M291" s="270"/>
      <c r="N291" s="268"/>
      <c r="O291" s="270"/>
      <c r="P291" s="268"/>
      <c r="Q291" s="270"/>
      <c r="R291" s="268"/>
      <c r="S291" s="270"/>
      <c r="T291" s="268"/>
      <c r="U291" s="270"/>
      <c r="V291" s="268"/>
      <c r="W291" s="270"/>
      <c r="X291" s="270"/>
      <c r="Y291" s="270"/>
      <c r="Z291" s="270"/>
      <c r="AA291" s="270"/>
    </row>
    <row r="292" spans="1:27" ht="16.899999999999999" x14ac:dyDescent="0.5">
      <c r="A292" s="270"/>
      <c r="B292" s="270"/>
      <c r="C292" s="270"/>
      <c r="D292" s="268"/>
      <c r="E292" s="270"/>
      <c r="F292" s="268"/>
      <c r="G292" s="270"/>
      <c r="H292" s="268"/>
      <c r="I292" s="270"/>
      <c r="J292" s="268"/>
      <c r="K292" s="270"/>
      <c r="L292" s="268"/>
      <c r="M292" s="270"/>
      <c r="N292" s="268"/>
      <c r="O292" s="270"/>
      <c r="P292" s="268"/>
      <c r="Q292" s="270"/>
      <c r="R292" s="268"/>
      <c r="S292" s="270"/>
      <c r="T292" s="268"/>
      <c r="U292" s="270"/>
      <c r="V292" s="268"/>
      <c r="W292" s="270"/>
      <c r="X292" s="270"/>
      <c r="Y292" s="270"/>
      <c r="Z292" s="270"/>
      <c r="AA292" s="270"/>
    </row>
    <row r="293" spans="1:27" ht="16.899999999999999" x14ac:dyDescent="0.5">
      <c r="A293" s="270"/>
      <c r="B293" s="270"/>
      <c r="C293" s="270"/>
      <c r="D293" s="268"/>
      <c r="E293" s="270"/>
      <c r="F293" s="268"/>
      <c r="G293" s="270"/>
      <c r="H293" s="268"/>
      <c r="I293" s="270"/>
      <c r="J293" s="268"/>
      <c r="K293" s="270"/>
      <c r="L293" s="268"/>
      <c r="M293" s="270"/>
      <c r="N293" s="268"/>
      <c r="O293" s="270"/>
      <c r="P293" s="268"/>
      <c r="Q293" s="270"/>
      <c r="R293" s="268"/>
      <c r="S293" s="270"/>
      <c r="T293" s="268"/>
      <c r="U293" s="270"/>
      <c r="V293" s="268"/>
      <c r="W293" s="270"/>
      <c r="X293" s="270"/>
      <c r="Y293" s="270"/>
      <c r="Z293" s="270"/>
      <c r="AA293" s="270"/>
    </row>
    <row r="294" spans="1:27" ht="16.899999999999999" x14ac:dyDescent="0.5">
      <c r="A294" s="270"/>
      <c r="B294" s="270"/>
      <c r="C294" s="270"/>
      <c r="D294" s="268"/>
      <c r="E294" s="270"/>
      <c r="F294" s="268"/>
      <c r="G294" s="270"/>
      <c r="H294" s="268"/>
      <c r="I294" s="270"/>
      <c r="J294" s="268"/>
      <c r="K294" s="270"/>
      <c r="L294" s="268"/>
      <c r="M294" s="270"/>
      <c r="N294" s="268"/>
      <c r="O294" s="270"/>
      <c r="P294" s="268"/>
      <c r="Q294" s="270"/>
      <c r="R294" s="268"/>
      <c r="S294" s="270"/>
      <c r="T294" s="268"/>
      <c r="U294" s="270"/>
      <c r="V294" s="268"/>
      <c r="W294" s="270"/>
      <c r="X294" s="270"/>
      <c r="Y294" s="270"/>
      <c r="Z294" s="270"/>
      <c r="AA294" s="270"/>
    </row>
    <row r="295" spans="1:27" ht="16.899999999999999" x14ac:dyDescent="0.5">
      <c r="A295" s="270"/>
      <c r="B295" s="270"/>
      <c r="C295" s="270"/>
      <c r="D295" s="268"/>
      <c r="E295" s="270"/>
      <c r="F295" s="268"/>
      <c r="G295" s="270"/>
      <c r="H295" s="268"/>
      <c r="I295" s="270"/>
      <c r="J295" s="268"/>
      <c r="K295" s="270"/>
      <c r="L295" s="268"/>
      <c r="M295" s="270"/>
      <c r="N295" s="268"/>
      <c r="O295" s="270"/>
      <c r="P295" s="268"/>
      <c r="Q295" s="270"/>
      <c r="R295" s="268"/>
      <c r="S295" s="270"/>
      <c r="T295" s="268"/>
      <c r="U295" s="270"/>
      <c r="V295" s="268"/>
      <c r="W295" s="270"/>
      <c r="X295" s="270"/>
      <c r="Y295" s="270"/>
      <c r="Z295" s="270"/>
      <c r="AA295" s="270"/>
    </row>
    <row r="296" spans="1:27" ht="16.899999999999999" x14ac:dyDescent="0.5">
      <c r="A296" s="270"/>
      <c r="B296" s="270"/>
      <c r="C296" s="270"/>
      <c r="D296" s="268"/>
      <c r="E296" s="270"/>
      <c r="F296" s="268"/>
      <c r="G296" s="270"/>
      <c r="H296" s="268"/>
      <c r="I296" s="270"/>
      <c r="J296" s="268"/>
      <c r="K296" s="270"/>
      <c r="L296" s="268"/>
      <c r="M296" s="270"/>
      <c r="N296" s="268"/>
      <c r="O296" s="270"/>
      <c r="P296" s="268"/>
      <c r="Q296" s="270"/>
      <c r="R296" s="268"/>
      <c r="S296" s="270"/>
      <c r="T296" s="268"/>
      <c r="U296" s="270"/>
      <c r="V296" s="268"/>
      <c r="W296" s="270"/>
      <c r="X296" s="270"/>
      <c r="Y296" s="270"/>
      <c r="Z296" s="270"/>
      <c r="AA296" s="270"/>
    </row>
    <row r="297" spans="1:27" ht="16.899999999999999" x14ac:dyDescent="0.5">
      <c r="A297" s="270"/>
      <c r="B297" s="270"/>
      <c r="C297" s="270"/>
      <c r="D297" s="268"/>
      <c r="E297" s="270"/>
      <c r="F297" s="268"/>
      <c r="G297" s="270"/>
      <c r="H297" s="268"/>
      <c r="I297" s="270"/>
      <c r="J297" s="268"/>
      <c r="K297" s="270"/>
      <c r="L297" s="268"/>
      <c r="M297" s="270"/>
      <c r="N297" s="268"/>
      <c r="O297" s="270"/>
      <c r="P297" s="268"/>
      <c r="Q297" s="270"/>
      <c r="R297" s="268"/>
      <c r="S297" s="270"/>
      <c r="T297" s="268"/>
      <c r="U297" s="270"/>
      <c r="V297" s="268"/>
      <c r="W297" s="270"/>
      <c r="X297" s="270"/>
      <c r="Y297" s="270"/>
      <c r="Z297" s="270"/>
      <c r="AA297" s="270"/>
    </row>
    <row r="298" spans="1:27" ht="16.899999999999999" x14ac:dyDescent="0.5">
      <c r="A298" s="270"/>
      <c r="B298" s="270"/>
      <c r="C298" s="270"/>
      <c r="D298" s="268"/>
      <c r="E298" s="270"/>
      <c r="F298" s="268"/>
      <c r="G298" s="270"/>
      <c r="H298" s="268"/>
      <c r="I298" s="270"/>
      <c r="J298" s="268"/>
      <c r="K298" s="270"/>
      <c r="L298" s="268"/>
      <c r="M298" s="270"/>
      <c r="N298" s="268"/>
      <c r="O298" s="270"/>
      <c r="P298" s="268"/>
      <c r="Q298" s="270"/>
      <c r="R298" s="268"/>
      <c r="S298" s="270"/>
      <c r="T298" s="268"/>
      <c r="U298" s="270"/>
      <c r="V298" s="268"/>
      <c r="W298" s="270"/>
      <c r="X298" s="270"/>
      <c r="Y298" s="270"/>
      <c r="Z298" s="270"/>
      <c r="AA298" s="270"/>
    </row>
    <row r="299" spans="1:27" ht="16.899999999999999" x14ac:dyDescent="0.5">
      <c r="A299" s="270"/>
      <c r="B299" s="270"/>
      <c r="C299" s="270"/>
      <c r="D299" s="268"/>
      <c r="E299" s="270"/>
      <c r="F299" s="268"/>
      <c r="G299" s="270"/>
      <c r="H299" s="268"/>
      <c r="I299" s="270"/>
      <c r="J299" s="268"/>
      <c r="K299" s="270"/>
      <c r="L299" s="268"/>
      <c r="M299" s="270"/>
      <c r="N299" s="268"/>
      <c r="O299" s="270"/>
      <c r="P299" s="268"/>
      <c r="Q299" s="270"/>
      <c r="R299" s="268"/>
      <c r="S299" s="270"/>
      <c r="T299" s="268"/>
      <c r="U299" s="270"/>
      <c r="V299" s="268"/>
      <c r="W299" s="270"/>
      <c r="X299" s="270"/>
      <c r="Y299" s="270"/>
      <c r="Z299" s="270"/>
      <c r="AA299" s="270"/>
    </row>
    <row r="300" spans="1:27" ht="16.899999999999999" x14ac:dyDescent="0.5">
      <c r="A300" s="270"/>
      <c r="B300" s="270"/>
      <c r="C300" s="270"/>
      <c r="D300" s="268"/>
      <c r="E300" s="270"/>
      <c r="F300" s="268"/>
      <c r="G300" s="270"/>
      <c r="H300" s="268"/>
      <c r="I300" s="270"/>
      <c r="J300" s="268"/>
      <c r="K300" s="270"/>
      <c r="L300" s="268"/>
      <c r="M300" s="270"/>
      <c r="N300" s="268"/>
      <c r="O300" s="270"/>
      <c r="P300" s="268"/>
      <c r="Q300" s="270"/>
      <c r="R300" s="268"/>
      <c r="S300" s="270"/>
      <c r="T300" s="268"/>
      <c r="U300" s="270"/>
      <c r="V300" s="268"/>
      <c r="W300" s="270"/>
      <c r="X300" s="270"/>
      <c r="Y300" s="270"/>
      <c r="Z300" s="270"/>
      <c r="AA300" s="270"/>
    </row>
    <row r="301" spans="1:27" ht="16.899999999999999" x14ac:dyDescent="0.5">
      <c r="A301" s="270"/>
      <c r="B301" s="270"/>
      <c r="C301" s="270"/>
      <c r="D301" s="268"/>
      <c r="E301" s="270"/>
      <c r="F301" s="268"/>
      <c r="G301" s="270"/>
      <c r="H301" s="268"/>
      <c r="I301" s="270"/>
      <c r="J301" s="268"/>
      <c r="K301" s="270"/>
      <c r="L301" s="268"/>
      <c r="M301" s="270"/>
      <c r="N301" s="268"/>
      <c r="O301" s="270"/>
      <c r="P301" s="268"/>
      <c r="Q301" s="270"/>
      <c r="R301" s="268"/>
      <c r="S301" s="270"/>
      <c r="T301" s="268"/>
      <c r="U301" s="270"/>
      <c r="V301" s="268"/>
      <c r="W301" s="270"/>
      <c r="X301" s="270"/>
      <c r="Y301" s="270"/>
      <c r="Z301" s="270"/>
      <c r="AA301" s="270"/>
    </row>
    <row r="302" spans="1:27" ht="16.899999999999999" x14ac:dyDescent="0.5">
      <c r="A302" s="270"/>
      <c r="B302" s="270"/>
      <c r="C302" s="270"/>
      <c r="D302" s="268"/>
      <c r="E302" s="270"/>
      <c r="F302" s="268"/>
      <c r="G302" s="270"/>
      <c r="H302" s="268"/>
      <c r="I302" s="270"/>
      <c r="J302" s="268"/>
      <c r="K302" s="270"/>
      <c r="L302" s="268"/>
      <c r="M302" s="270"/>
      <c r="N302" s="268"/>
      <c r="O302" s="270"/>
      <c r="P302" s="268"/>
      <c r="Q302" s="270"/>
      <c r="R302" s="268"/>
      <c r="S302" s="270"/>
      <c r="T302" s="268"/>
      <c r="U302" s="270"/>
      <c r="V302" s="268"/>
      <c r="W302" s="270"/>
      <c r="X302" s="270"/>
      <c r="Y302" s="270"/>
      <c r="Z302" s="270"/>
      <c r="AA302" s="270"/>
    </row>
    <row r="303" spans="1:27" ht="16.899999999999999" x14ac:dyDescent="0.5">
      <c r="A303" s="270"/>
      <c r="B303" s="270"/>
      <c r="C303" s="270"/>
      <c r="D303" s="268"/>
      <c r="E303" s="270"/>
      <c r="F303" s="268"/>
      <c r="G303" s="270"/>
      <c r="H303" s="268"/>
      <c r="I303" s="270"/>
      <c r="J303" s="268"/>
      <c r="K303" s="270"/>
      <c r="L303" s="268"/>
      <c r="M303" s="270"/>
      <c r="N303" s="268"/>
      <c r="O303" s="270"/>
      <c r="P303" s="268"/>
      <c r="Q303" s="270"/>
      <c r="R303" s="268"/>
      <c r="S303" s="270"/>
      <c r="T303" s="268"/>
      <c r="U303" s="270"/>
      <c r="V303" s="268"/>
      <c r="W303" s="270"/>
      <c r="X303" s="270"/>
      <c r="Y303" s="270"/>
      <c r="Z303" s="270"/>
      <c r="AA303" s="270"/>
    </row>
    <row r="304" spans="1:27" ht="16.899999999999999" x14ac:dyDescent="0.5">
      <c r="A304" s="270"/>
      <c r="B304" s="270"/>
      <c r="C304" s="270"/>
      <c r="D304" s="268"/>
      <c r="E304" s="270"/>
      <c r="F304" s="268"/>
      <c r="G304" s="270"/>
      <c r="H304" s="268"/>
      <c r="I304" s="270"/>
      <c r="J304" s="268"/>
      <c r="K304" s="270"/>
      <c r="L304" s="268"/>
      <c r="M304" s="270"/>
      <c r="N304" s="268"/>
      <c r="O304" s="270"/>
      <c r="P304" s="268"/>
      <c r="Q304" s="270"/>
      <c r="R304" s="268"/>
      <c r="S304" s="270"/>
      <c r="T304" s="268"/>
      <c r="U304" s="270"/>
      <c r="V304" s="268"/>
      <c r="W304" s="270"/>
      <c r="X304" s="270"/>
      <c r="Y304" s="270"/>
      <c r="Z304" s="270"/>
      <c r="AA304" s="270"/>
    </row>
    <row r="305" spans="1:27" ht="16.899999999999999" x14ac:dyDescent="0.5">
      <c r="A305" s="270"/>
      <c r="B305" s="270"/>
      <c r="C305" s="270"/>
      <c r="D305" s="268"/>
      <c r="E305" s="270"/>
      <c r="F305" s="268"/>
      <c r="G305" s="270"/>
      <c r="H305" s="268"/>
      <c r="I305" s="270"/>
      <c r="J305" s="268"/>
      <c r="K305" s="270"/>
      <c r="L305" s="268"/>
      <c r="M305" s="270"/>
      <c r="N305" s="268"/>
      <c r="O305" s="270"/>
      <c r="P305" s="268"/>
      <c r="Q305" s="270"/>
      <c r="R305" s="268"/>
      <c r="S305" s="270"/>
      <c r="T305" s="268"/>
      <c r="U305" s="270"/>
      <c r="V305" s="268"/>
      <c r="W305" s="270"/>
      <c r="X305" s="270"/>
      <c r="Y305" s="270"/>
      <c r="Z305" s="270"/>
      <c r="AA305" s="270"/>
    </row>
    <row r="306" spans="1:27" ht="16.899999999999999" x14ac:dyDescent="0.5">
      <c r="A306" s="270"/>
      <c r="B306" s="270"/>
      <c r="C306" s="270"/>
      <c r="D306" s="268"/>
      <c r="E306" s="270"/>
      <c r="F306" s="268"/>
      <c r="G306" s="270"/>
      <c r="H306" s="268"/>
      <c r="I306" s="270"/>
      <c r="J306" s="268"/>
      <c r="K306" s="270"/>
      <c r="L306" s="268"/>
      <c r="M306" s="270"/>
      <c r="N306" s="268"/>
      <c r="O306" s="270"/>
      <c r="P306" s="268"/>
      <c r="Q306" s="270"/>
      <c r="R306" s="268"/>
      <c r="S306" s="270"/>
      <c r="T306" s="268"/>
      <c r="U306" s="270"/>
      <c r="V306" s="268"/>
      <c r="W306" s="270"/>
      <c r="X306" s="270"/>
      <c r="Y306" s="270"/>
      <c r="Z306" s="270"/>
      <c r="AA306" s="270"/>
    </row>
    <row r="307" spans="1:27" ht="16.899999999999999" x14ac:dyDescent="0.5">
      <c r="A307" s="270"/>
      <c r="B307" s="270"/>
      <c r="C307" s="270"/>
      <c r="D307" s="268"/>
      <c r="E307" s="270"/>
      <c r="F307" s="268"/>
      <c r="G307" s="270"/>
      <c r="H307" s="268"/>
      <c r="I307" s="270"/>
      <c r="J307" s="268"/>
      <c r="K307" s="270"/>
      <c r="L307" s="268"/>
      <c r="M307" s="270"/>
      <c r="N307" s="268"/>
      <c r="O307" s="270"/>
      <c r="P307" s="268"/>
      <c r="Q307" s="270"/>
      <c r="R307" s="268"/>
      <c r="S307" s="270"/>
      <c r="T307" s="268"/>
      <c r="U307" s="270"/>
      <c r="V307" s="268"/>
      <c r="W307" s="270"/>
      <c r="X307" s="270"/>
      <c r="Y307" s="270"/>
      <c r="Z307" s="270"/>
      <c r="AA307" s="270"/>
    </row>
    <row r="308" spans="1:27" ht="16.899999999999999" x14ac:dyDescent="0.5">
      <c r="A308" s="270"/>
      <c r="B308" s="270"/>
      <c r="C308" s="270"/>
      <c r="D308" s="268"/>
      <c r="E308" s="270"/>
      <c r="F308" s="268"/>
      <c r="G308" s="270"/>
      <c r="H308" s="268"/>
      <c r="I308" s="270"/>
      <c r="J308" s="268"/>
      <c r="K308" s="270"/>
      <c r="L308" s="268"/>
      <c r="M308" s="270"/>
      <c r="N308" s="268"/>
      <c r="O308" s="270"/>
      <c r="P308" s="268"/>
      <c r="Q308" s="270"/>
      <c r="R308" s="268"/>
      <c r="S308" s="270"/>
      <c r="T308" s="268"/>
      <c r="U308" s="270"/>
      <c r="V308" s="268"/>
      <c r="W308" s="270"/>
      <c r="X308" s="270"/>
      <c r="Y308" s="270"/>
      <c r="Z308" s="270"/>
      <c r="AA308" s="270"/>
    </row>
    <row r="309" spans="1:27" ht="16.899999999999999" x14ac:dyDescent="0.5">
      <c r="A309" s="270"/>
      <c r="B309" s="270"/>
      <c r="C309" s="270"/>
      <c r="D309" s="268"/>
      <c r="E309" s="270"/>
      <c r="F309" s="268"/>
      <c r="G309" s="270"/>
      <c r="H309" s="268"/>
      <c r="I309" s="270"/>
      <c r="J309" s="268"/>
      <c r="K309" s="270"/>
      <c r="L309" s="268"/>
      <c r="M309" s="270"/>
      <c r="N309" s="268"/>
      <c r="O309" s="270"/>
      <c r="P309" s="268"/>
      <c r="Q309" s="270"/>
      <c r="R309" s="268"/>
      <c r="S309" s="270"/>
      <c r="T309" s="268"/>
      <c r="U309" s="270"/>
      <c r="V309" s="268"/>
      <c r="W309" s="270"/>
      <c r="X309" s="270"/>
      <c r="Y309" s="270"/>
      <c r="Z309" s="270"/>
      <c r="AA309" s="270"/>
    </row>
    <row r="310" spans="1:27" ht="16.899999999999999" x14ac:dyDescent="0.5">
      <c r="A310" s="270"/>
      <c r="B310" s="270"/>
      <c r="C310" s="270"/>
      <c r="D310" s="268"/>
      <c r="E310" s="270"/>
      <c r="F310" s="268"/>
      <c r="G310" s="270"/>
      <c r="H310" s="268"/>
      <c r="I310" s="270"/>
      <c r="J310" s="268"/>
      <c r="K310" s="270"/>
      <c r="L310" s="268"/>
      <c r="M310" s="270"/>
      <c r="N310" s="268"/>
      <c r="O310" s="270"/>
      <c r="P310" s="268"/>
      <c r="Q310" s="270"/>
      <c r="R310" s="268"/>
      <c r="S310" s="270"/>
      <c r="T310" s="268"/>
      <c r="U310" s="270"/>
      <c r="V310" s="268"/>
      <c r="W310" s="270"/>
      <c r="X310" s="270"/>
      <c r="Y310" s="270"/>
      <c r="Z310" s="270"/>
      <c r="AA310" s="270"/>
    </row>
    <row r="311" spans="1:27" ht="16.899999999999999" x14ac:dyDescent="0.5">
      <c r="A311" s="270"/>
      <c r="B311" s="270"/>
      <c r="C311" s="270"/>
      <c r="D311" s="268"/>
      <c r="E311" s="270"/>
      <c r="F311" s="268"/>
      <c r="G311" s="270"/>
      <c r="H311" s="268"/>
      <c r="I311" s="270"/>
      <c r="J311" s="268"/>
      <c r="K311" s="270"/>
      <c r="L311" s="268"/>
      <c r="M311" s="270"/>
      <c r="N311" s="268"/>
      <c r="O311" s="270"/>
      <c r="P311" s="268"/>
      <c r="Q311" s="270"/>
      <c r="R311" s="268"/>
      <c r="S311" s="270"/>
      <c r="T311" s="268"/>
      <c r="U311" s="270"/>
      <c r="V311" s="268"/>
      <c r="W311" s="270"/>
      <c r="X311" s="270"/>
      <c r="Y311" s="270"/>
      <c r="Z311" s="270"/>
      <c r="AA311" s="270"/>
    </row>
    <row r="312" spans="1:27" ht="16.899999999999999" x14ac:dyDescent="0.5">
      <c r="A312" s="270"/>
      <c r="B312" s="270"/>
      <c r="C312" s="270"/>
      <c r="D312" s="268"/>
      <c r="E312" s="270"/>
      <c r="F312" s="268"/>
      <c r="G312" s="270"/>
      <c r="H312" s="268"/>
      <c r="I312" s="270"/>
      <c r="J312" s="268"/>
      <c r="K312" s="270"/>
      <c r="L312" s="268"/>
      <c r="M312" s="270"/>
      <c r="N312" s="268"/>
      <c r="O312" s="270"/>
      <c r="P312" s="268"/>
      <c r="Q312" s="270"/>
      <c r="R312" s="268"/>
      <c r="S312" s="270"/>
      <c r="T312" s="268"/>
      <c r="U312" s="270"/>
      <c r="V312" s="268"/>
      <c r="W312" s="270"/>
      <c r="X312" s="270"/>
      <c r="Y312" s="270"/>
      <c r="Z312" s="270"/>
      <c r="AA312" s="270"/>
    </row>
    <row r="313" spans="1:27" ht="16.899999999999999" x14ac:dyDescent="0.5">
      <c r="A313" s="270"/>
      <c r="B313" s="270"/>
      <c r="C313" s="270"/>
      <c r="D313" s="268"/>
      <c r="E313" s="270"/>
      <c r="F313" s="268"/>
      <c r="G313" s="270"/>
      <c r="H313" s="268"/>
      <c r="I313" s="270"/>
      <c r="J313" s="268"/>
      <c r="K313" s="270"/>
      <c r="L313" s="268"/>
      <c r="M313" s="270"/>
      <c r="N313" s="268"/>
      <c r="O313" s="270"/>
      <c r="P313" s="268"/>
      <c r="Q313" s="270"/>
      <c r="R313" s="268"/>
      <c r="S313" s="270"/>
      <c r="T313" s="268"/>
      <c r="U313" s="270"/>
      <c r="V313" s="268"/>
      <c r="W313" s="270"/>
      <c r="X313" s="270"/>
      <c r="Y313" s="270"/>
      <c r="Z313" s="270"/>
      <c r="AA313" s="270"/>
    </row>
    <row r="314" spans="1:27" ht="16.899999999999999" x14ac:dyDescent="0.5">
      <c r="A314" s="270"/>
      <c r="B314" s="270"/>
      <c r="C314" s="270"/>
      <c r="D314" s="268"/>
      <c r="E314" s="270"/>
      <c r="F314" s="268"/>
      <c r="G314" s="270"/>
      <c r="H314" s="268"/>
      <c r="I314" s="270"/>
      <c r="J314" s="268"/>
      <c r="K314" s="270"/>
      <c r="L314" s="268"/>
      <c r="M314" s="270"/>
      <c r="N314" s="268"/>
      <c r="O314" s="270"/>
      <c r="P314" s="268"/>
      <c r="Q314" s="270"/>
      <c r="R314" s="268"/>
      <c r="S314" s="270"/>
      <c r="T314" s="268"/>
      <c r="U314" s="270"/>
      <c r="V314" s="268"/>
      <c r="W314" s="270"/>
      <c r="X314" s="270"/>
      <c r="Y314" s="270"/>
      <c r="Z314" s="270"/>
      <c r="AA314" s="270"/>
    </row>
    <row r="315" spans="1:27" ht="16.899999999999999" x14ac:dyDescent="0.5">
      <c r="A315" s="270"/>
      <c r="B315" s="270"/>
      <c r="C315" s="270"/>
      <c r="D315" s="268"/>
      <c r="E315" s="270"/>
      <c r="F315" s="268"/>
      <c r="G315" s="270"/>
      <c r="H315" s="268"/>
      <c r="I315" s="270"/>
      <c r="J315" s="268"/>
      <c r="K315" s="270"/>
      <c r="L315" s="268"/>
      <c r="M315" s="270"/>
      <c r="N315" s="268"/>
      <c r="O315" s="270"/>
      <c r="P315" s="268"/>
      <c r="Q315" s="270"/>
      <c r="R315" s="268"/>
      <c r="S315" s="270"/>
      <c r="T315" s="268"/>
      <c r="U315" s="270"/>
      <c r="V315" s="268"/>
      <c r="W315" s="270"/>
      <c r="X315" s="270"/>
      <c r="Y315" s="270"/>
      <c r="Z315" s="270"/>
      <c r="AA315" s="270"/>
    </row>
    <row r="316" spans="1:27" ht="16.899999999999999" x14ac:dyDescent="0.5">
      <c r="A316" s="270"/>
      <c r="B316" s="270"/>
      <c r="C316" s="270"/>
      <c r="D316" s="268"/>
      <c r="E316" s="270"/>
      <c r="F316" s="268"/>
      <c r="G316" s="270"/>
      <c r="H316" s="268"/>
      <c r="I316" s="270"/>
      <c r="J316" s="268"/>
      <c r="K316" s="270"/>
      <c r="L316" s="268"/>
      <c r="M316" s="270"/>
      <c r="N316" s="268"/>
      <c r="O316" s="270"/>
      <c r="P316" s="268"/>
      <c r="Q316" s="270"/>
      <c r="R316" s="268"/>
      <c r="S316" s="270"/>
      <c r="T316" s="268"/>
      <c r="U316" s="270"/>
      <c r="V316" s="268"/>
      <c r="W316" s="270"/>
      <c r="X316" s="270"/>
      <c r="Y316" s="270"/>
      <c r="Z316" s="270"/>
      <c r="AA316" s="270"/>
    </row>
    <row r="317" spans="1:27" ht="16.899999999999999" x14ac:dyDescent="0.5">
      <c r="A317" s="270"/>
      <c r="B317" s="270"/>
      <c r="C317" s="270"/>
      <c r="D317" s="268"/>
      <c r="E317" s="270"/>
      <c r="F317" s="268"/>
      <c r="G317" s="270"/>
      <c r="H317" s="268"/>
      <c r="I317" s="270"/>
      <c r="J317" s="268"/>
      <c r="K317" s="270"/>
      <c r="L317" s="268"/>
      <c r="M317" s="270"/>
      <c r="N317" s="268"/>
      <c r="O317" s="270"/>
      <c r="P317" s="268"/>
      <c r="Q317" s="270"/>
      <c r="R317" s="268"/>
      <c r="S317" s="270"/>
      <c r="T317" s="268"/>
      <c r="U317" s="270"/>
      <c r="V317" s="268"/>
      <c r="W317" s="270"/>
      <c r="X317" s="270"/>
      <c r="Y317" s="270"/>
      <c r="Z317" s="270"/>
      <c r="AA317" s="270"/>
    </row>
    <row r="318" spans="1:27" ht="16.899999999999999" x14ac:dyDescent="0.5">
      <c r="A318" s="270"/>
      <c r="B318" s="270"/>
      <c r="C318" s="270"/>
      <c r="D318" s="268"/>
      <c r="E318" s="270"/>
      <c r="F318" s="268"/>
      <c r="G318" s="270"/>
      <c r="H318" s="268"/>
      <c r="I318" s="270"/>
      <c r="J318" s="268"/>
      <c r="K318" s="270"/>
      <c r="L318" s="268"/>
      <c r="M318" s="270"/>
      <c r="N318" s="268"/>
      <c r="O318" s="270"/>
      <c r="P318" s="268"/>
      <c r="Q318" s="270"/>
      <c r="R318" s="268"/>
      <c r="S318" s="270"/>
      <c r="T318" s="268"/>
      <c r="U318" s="270"/>
      <c r="V318" s="268"/>
      <c r="W318" s="270"/>
      <c r="X318" s="270"/>
      <c r="Y318" s="270"/>
      <c r="Z318" s="270"/>
      <c r="AA318" s="270"/>
    </row>
    <row r="319" spans="1:27" ht="16.899999999999999" x14ac:dyDescent="0.5">
      <c r="A319" s="270"/>
      <c r="B319" s="270"/>
      <c r="C319" s="270"/>
      <c r="D319" s="268"/>
      <c r="E319" s="270"/>
      <c r="F319" s="268"/>
      <c r="G319" s="270"/>
      <c r="H319" s="268"/>
      <c r="I319" s="270"/>
      <c r="J319" s="268"/>
      <c r="K319" s="270"/>
      <c r="L319" s="268"/>
      <c r="M319" s="270"/>
      <c r="N319" s="268"/>
      <c r="O319" s="270"/>
      <c r="P319" s="268"/>
      <c r="Q319" s="270"/>
      <c r="R319" s="268"/>
      <c r="S319" s="270"/>
      <c r="T319" s="268"/>
      <c r="U319" s="270"/>
      <c r="V319" s="268"/>
      <c r="W319" s="270"/>
      <c r="X319" s="270"/>
      <c r="Y319" s="270"/>
      <c r="Z319" s="270"/>
      <c r="AA319" s="270"/>
    </row>
    <row r="320" spans="1:27" ht="16.899999999999999" x14ac:dyDescent="0.5">
      <c r="A320" s="270"/>
      <c r="B320" s="270"/>
      <c r="C320" s="270"/>
      <c r="D320" s="268"/>
      <c r="E320" s="270"/>
      <c r="F320" s="268"/>
      <c r="G320" s="270"/>
      <c r="H320" s="268"/>
      <c r="I320" s="270"/>
      <c r="J320" s="268"/>
      <c r="K320" s="270"/>
      <c r="L320" s="268"/>
      <c r="M320" s="270"/>
      <c r="N320" s="268"/>
      <c r="O320" s="270"/>
      <c r="P320" s="268"/>
      <c r="Q320" s="270"/>
      <c r="R320" s="268"/>
      <c r="S320" s="270"/>
      <c r="T320" s="268"/>
      <c r="U320" s="270"/>
      <c r="V320" s="268"/>
      <c r="W320" s="270"/>
      <c r="X320" s="270"/>
      <c r="Y320" s="270"/>
      <c r="Z320" s="270"/>
      <c r="AA320" s="270"/>
    </row>
    <row r="321" spans="1:27" ht="16.899999999999999" x14ac:dyDescent="0.5">
      <c r="A321" s="270"/>
      <c r="B321" s="270"/>
      <c r="C321" s="270"/>
      <c r="D321" s="268"/>
      <c r="E321" s="270"/>
      <c r="F321" s="268"/>
      <c r="G321" s="270"/>
      <c r="H321" s="268"/>
      <c r="I321" s="270"/>
      <c r="J321" s="268"/>
      <c r="K321" s="270"/>
      <c r="L321" s="268"/>
      <c r="M321" s="270"/>
      <c r="N321" s="268"/>
      <c r="O321" s="270"/>
      <c r="P321" s="268"/>
      <c r="Q321" s="270"/>
      <c r="R321" s="268"/>
      <c r="S321" s="270"/>
      <c r="T321" s="268"/>
      <c r="U321" s="270"/>
      <c r="V321" s="268"/>
      <c r="W321" s="270"/>
      <c r="X321" s="270"/>
      <c r="Y321" s="270"/>
      <c r="Z321" s="270"/>
      <c r="AA321" s="270"/>
    </row>
    <row r="322" spans="1:27" ht="16.899999999999999" x14ac:dyDescent="0.5">
      <c r="A322" s="270"/>
      <c r="B322" s="270"/>
      <c r="C322" s="270"/>
      <c r="D322" s="268"/>
      <c r="E322" s="270"/>
      <c r="F322" s="268"/>
      <c r="G322" s="270"/>
      <c r="H322" s="268"/>
      <c r="I322" s="270"/>
      <c r="J322" s="268"/>
      <c r="K322" s="270"/>
      <c r="L322" s="268"/>
      <c r="M322" s="270"/>
      <c r="N322" s="268"/>
      <c r="O322" s="270"/>
      <c r="P322" s="268"/>
      <c r="Q322" s="270"/>
      <c r="R322" s="268"/>
      <c r="S322" s="270"/>
      <c r="T322" s="268"/>
      <c r="U322" s="270"/>
      <c r="V322" s="268"/>
      <c r="W322" s="270"/>
      <c r="X322" s="270"/>
      <c r="Y322" s="270"/>
      <c r="Z322" s="270"/>
      <c r="AA322" s="270"/>
    </row>
    <row r="323" spans="1:27" ht="16.899999999999999" x14ac:dyDescent="0.5">
      <c r="A323" s="270"/>
      <c r="B323" s="270"/>
      <c r="C323" s="270"/>
      <c r="D323" s="268"/>
      <c r="E323" s="270"/>
      <c r="F323" s="268"/>
      <c r="G323" s="270"/>
      <c r="H323" s="268"/>
      <c r="I323" s="270"/>
      <c r="J323" s="268"/>
      <c r="K323" s="270"/>
      <c r="L323" s="268"/>
      <c r="M323" s="270"/>
      <c r="N323" s="268"/>
      <c r="O323" s="270"/>
      <c r="P323" s="268"/>
      <c r="Q323" s="270"/>
      <c r="R323" s="268"/>
      <c r="S323" s="270"/>
      <c r="T323" s="268"/>
      <c r="U323" s="270"/>
      <c r="V323" s="268"/>
      <c r="W323" s="270"/>
      <c r="X323" s="270"/>
      <c r="Y323" s="270"/>
      <c r="Z323" s="270"/>
      <c r="AA323" s="270"/>
    </row>
    <row r="324" spans="1:27" ht="16.899999999999999" x14ac:dyDescent="0.5">
      <c r="A324" s="270"/>
      <c r="B324" s="270"/>
      <c r="C324" s="270"/>
      <c r="D324" s="268"/>
      <c r="E324" s="270"/>
      <c r="F324" s="268"/>
      <c r="G324" s="270"/>
      <c r="H324" s="268"/>
      <c r="I324" s="270"/>
      <c r="J324" s="268"/>
      <c r="K324" s="270"/>
      <c r="L324" s="268"/>
      <c r="M324" s="270"/>
      <c r="N324" s="268"/>
      <c r="O324" s="270"/>
      <c r="P324" s="268"/>
      <c r="Q324" s="270"/>
      <c r="R324" s="268"/>
      <c r="S324" s="270"/>
      <c r="T324" s="268"/>
      <c r="U324" s="270"/>
      <c r="V324" s="268"/>
      <c r="W324" s="270"/>
      <c r="X324" s="270"/>
      <c r="Y324" s="270"/>
      <c r="Z324" s="270"/>
      <c r="AA324" s="270"/>
    </row>
    <row r="325" spans="1:27" ht="16.899999999999999" x14ac:dyDescent="0.5">
      <c r="A325" s="270"/>
      <c r="B325" s="270"/>
      <c r="C325" s="270"/>
      <c r="D325" s="268"/>
      <c r="E325" s="270"/>
      <c r="F325" s="268"/>
      <c r="G325" s="270"/>
      <c r="H325" s="268"/>
      <c r="I325" s="270"/>
      <c r="J325" s="268"/>
      <c r="K325" s="270"/>
      <c r="L325" s="268"/>
      <c r="M325" s="270"/>
      <c r="N325" s="268"/>
      <c r="O325" s="270"/>
      <c r="P325" s="268"/>
      <c r="Q325" s="270"/>
      <c r="R325" s="268"/>
      <c r="S325" s="270"/>
      <c r="T325" s="268"/>
      <c r="U325" s="270"/>
      <c r="V325" s="268"/>
      <c r="W325" s="270"/>
      <c r="X325" s="270"/>
      <c r="Y325" s="270"/>
      <c r="Z325" s="270"/>
      <c r="AA325" s="270"/>
    </row>
    <row r="326" spans="1:27" ht="16.899999999999999" x14ac:dyDescent="0.5">
      <c r="A326" s="270"/>
      <c r="B326" s="270"/>
      <c r="C326" s="270"/>
      <c r="D326" s="268"/>
      <c r="E326" s="270"/>
      <c r="F326" s="268"/>
      <c r="G326" s="270"/>
      <c r="H326" s="268"/>
      <c r="I326" s="270"/>
      <c r="J326" s="268"/>
      <c r="K326" s="270"/>
      <c r="L326" s="268"/>
      <c r="M326" s="270"/>
      <c r="N326" s="268"/>
      <c r="O326" s="270"/>
      <c r="P326" s="268"/>
      <c r="Q326" s="270"/>
      <c r="R326" s="268"/>
      <c r="S326" s="270"/>
      <c r="T326" s="268"/>
      <c r="U326" s="270"/>
      <c r="V326" s="268"/>
      <c r="W326" s="270"/>
      <c r="X326" s="270"/>
      <c r="Y326" s="270"/>
      <c r="Z326" s="270"/>
      <c r="AA326" s="270"/>
    </row>
    <row r="327" spans="1:27" ht="16.899999999999999" x14ac:dyDescent="0.5">
      <c r="A327" s="270"/>
      <c r="B327" s="270"/>
      <c r="C327" s="270"/>
      <c r="D327" s="268"/>
      <c r="E327" s="270"/>
      <c r="F327" s="268"/>
      <c r="G327" s="270"/>
      <c r="H327" s="268"/>
      <c r="I327" s="270"/>
      <c r="J327" s="268"/>
      <c r="K327" s="270"/>
      <c r="L327" s="268"/>
      <c r="M327" s="270"/>
      <c r="N327" s="268"/>
      <c r="O327" s="270"/>
      <c r="P327" s="268"/>
      <c r="Q327" s="270"/>
      <c r="R327" s="268"/>
      <c r="S327" s="270"/>
      <c r="T327" s="268"/>
      <c r="U327" s="270"/>
      <c r="V327" s="268"/>
      <c r="W327" s="270"/>
      <c r="X327" s="270"/>
      <c r="Y327" s="270"/>
      <c r="Z327" s="270"/>
      <c r="AA327" s="270"/>
    </row>
    <row r="328" spans="1:27" ht="16.899999999999999" x14ac:dyDescent="0.5">
      <c r="A328" s="270"/>
      <c r="B328" s="270"/>
      <c r="C328" s="270"/>
      <c r="D328" s="268"/>
      <c r="E328" s="270"/>
      <c r="F328" s="268"/>
      <c r="G328" s="270"/>
      <c r="H328" s="268"/>
      <c r="I328" s="270"/>
      <c r="J328" s="268"/>
      <c r="K328" s="270"/>
      <c r="L328" s="268"/>
      <c r="M328" s="270"/>
      <c r="N328" s="268"/>
      <c r="O328" s="270"/>
      <c r="P328" s="268"/>
      <c r="Q328" s="270"/>
      <c r="R328" s="268"/>
      <c r="S328" s="270"/>
      <c r="T328" s="268"/>
      <c r="U328" s="270"/>
      <c r="V328" s="268"/>
      <c r="W328" s="270"/>
      <c r="X328" s="270"/>
      <c r="Y328" s="270"/>
      <c r="Z328" s="270"/>
      <c r="AA328" s="270"/>
    </row>
    <row r="329" spans="1:27" ht="16.899999999999999" x14ac:dyDescent="0.5">
      <c r="A329" s="270"/>
      <c r="B329" s="270"/>
      <c r="C329" s="270"/>
      <c r="D329" s="268"/>
      <c r="E329" s="270"/>
      <c r="F329" s="268"/>
      <c r="G329" s="270"/>
      <c r="H329" s="268"/>
      <c r="I329" s="270"/>
      <c r="J329" s="268"/>
      <c r="K329" s="270"/>
      <c r="L329" s="268"/>
      <c r="M329" s="270"/>
      <c r="N329" s="268"/>
      <c r="O329" s="270"/>
      <c r="P329" s="268"/>
      <c r="Q329" s="270"/>
      <c r="R329" s="268"/>
      <c r="S329" s="270"/>
      <c r="T329" s="268"/>
      <c r="U329" s="270"/>
      <c r="V329" s="268"/>
      <c r="W329" s="270"/>
      <c r="X329" s="270"/>
      <c r="Y329" s="270"/>
      <c r="Z329" s="270"/>
      <c r="AA329" s="270"/>
    </row>
    <row r="330" spans="1:27" ht="16.899999999999999" x14ac:dyDescent="0.5">
      <c r="A330" s="270"/>
      <c r="B330" s="270"/>
      <c r="C330" s="270"/>
      <c r="D330" s="268"/>
      <c r="E330" s="270"/>
      <c r="F330" s="268"/>
      <c r="G330" s="270"/>
      <c r="H330" s="268"/>
      <c r="I330" s="270"/>
      <c r="J330" s="268"/>
      <c r="K330" s="270"/>
      <c r="L330" s="268"/>
      <c r="M330" s="270"/>
      <c r="N330" s="268"/>
      <c r="O330" s="270"/>
      <c r="P330" s="268"/>
      <c r="Q330" s="270"/>
      <c r="R330" s="268"/>
      <c r="S330" s="270"/>
      <c r="T330" s="268"/>
      <c r="U330" s="270"/>
      <c r="V330" s="268"/>
      <c r="W330" s="270"/>
      <c r="X330" s="270"/>
      <c r="Y330" s="270"/>
      <c r="Z330" s="270"/>
      <c r="AA330" s="270"/>
    </row>
    <row r="331" spans="1:27" ht="16.899999999999999" x14ac:dyDescent="0.5">
      <c r="A331" s="270"/>
      <c r="B331" s="270"/>
      <c r="C331" s="270"/>
      <c r="D331" s="268"/>
      <c r="E331" s="270"/>
      <c r="F331" s="268"/>
      <c r="G331" s="270"/>
      <c r="H331" s="268"/>
      <c r="I331" s="270"/>
      <c r="J331" s="268"/>
      <c r="K331" s="270"/>
      <c r="L331" s="268"/>
      <c r="M331" s="270"/>
      <c r="N331" s="268"/>
      <c r="O331" s="270"/>
      <c r="P331" s="268"/>
      <c r="Q331" s="270"/>
      <c r="R331" s="268"/>
      <c r="S331" s="270"/>
      <c r="T331" s="268"/>
      <c r="U331" s="270"/>
      <c r="V331" s="268"/>
      <c r="W331" s="270"/>
      <c r="X331" s="270"/>
      <c r="Y331" s="270"/>
      <c r="Z331" s="270"/>
      <c r="AA331" s="270"/>
    </row>
    <row r="332" spans="1:27" ht="16.899999999999999" x14ac:dyDescent="0.5">
      <c r="A332" s="270"/>
      <c r="B332" s="270"/>
      <c r="C332" s="270"/>
      <c r="D332" s="268"/>
      <c r="E332" s="270"/>
      <c r="F332" s="268"/>
      <c r="G332" s="270"/>
      <c r="H332" s="268"/>
      <c r="I332" s="270"/>
      <c r="J332" s="268"/>
      <c r="K332" s="270"/>
      <c r="L332" s="268"/>
      <c r="M332" s="270"/>
      <c r="N332" s="268"/>
      <c r="O332" s="270"/>
      <c r="P332" s="268"/>
      <c r="Q332" s="270"/>
      <c r="R332" s="268"/>
      <c r="S332" s="270"/>
      <c r="T332" s="268"/>
      <c r="U332" s="270"/>
      <c r="V332" s="268"/>
      <c r="W332" s="270"/>
      <c r="X332" s="270"/>
      <c r="Y332" s="270"/>
      <c r="Z332" s="270"/>
      <c r="AA332" s="270"/>
    </row>
    <row r="333" spans="1:27" ht="16.899999999999999" x14ac:dyDescent="0.5">
      <c r="A333" s="270"/>
      <c r="B333" s="270"/>
      <c r="C333" s="270"/>
      <c r="D333" s="268"/>
      <c r="E333" s="270"/>
      <c r="F333" s="268"/>
      <c r="G333" s="270"/>
      <c r="H333" s="268"/>
      <c r="I333" s="270"/>
      <c r="J333" s="268"/>
      <c r="K333" s="270"/>
      <c r="L333" s="268"/>
      <c r="M333" s="270"/>
      <c r="N333" s="268"/>
      <c r="O333" s="270"/>
      <c r="P333" s="268"/>
      <c r="Q333" s="270"/>
      <c r="R333" s="268"/>
      <c r="S333" s="270"/>
      <c r="T333" s="268"/>
      <c r="U333" s="270"/>
      <c r="V333" s="268"/>
      <c r="W333" s="270"/>
      <c r="X333" s="270"/>
      <c r="Y333" s="270"/>
      <c r="Z333" s="270"/>
      <c r="AA333" s="270"/>
    </row>
    <row r="334" spans="1:27" ht="16.899999999999999" x14ac:dyDescent="0.5">
      <c r="A334" s="270"/>
      <c r="B334" s="270"/>
      <c r="C334" s="270"/>
      <c r="D334" s="268"/>
      <c r="E334" s="270"/>
      <c r="F334" s="268"/>
      <c r="G334" s="270"/>
      <c r="H334" s="268"/>
      <c r="I334" s="270"/>
      <c r="J334" s="268"/>
      <c r="K334" s="270"/>
      <c r="L334" s="268"/>
      <c r="M334" s="270"/>
      <c r="N334" s="268"/>
      <c r="O334" s="270"/>
      <c r="P334" s="268"/>
      <c r="Q334" s="270"/>
      <c r="R334" s="268"/>
      <c r="S334" s="270"/>
      <c r="T334" s="268"/>
      <c r="U334" s="270"/>
      <c r="V334" s="268"/>
      <c r="W334" s="270"/>
      <c r="X334" s="270"/>
      <c r="Y334" s="270"/>
      <c r="Z334" s="270"/>
      <c r="AA334" s="270"/>
    </row>
    <row r="335" spans="1:27" ht="16.899999999999999" x14ac:dyDescent="0.5">
      <c r="A335" s="270"/>
      <c r="B335" s="270"/>
      <c r="C335" s="270"/>
      <c r="D335" s="268"/>
      <c r="E335" s="270"/>
      <c r="F335" s="268"/>
      <c r="G335" s="270"/>
      <c r="H335" s="268"/>
      <c r="I335" s="270"/>
      <c r="J335" s="268"/>
      <c r="K335" s="270"/>
      <c r="L335" s="268"/>
      <c r="M335" s="270"/>
      <c r="N335" s="268"/>
      <c r="O335" s="270"/>
      <c r="P335" s="268"/>
      <c r="Q335" s="270"/>
      <c r="R335" s="268"/>
      <c r="S335" s="270"/>
      <c r="T335" s="268"/>
      <c r="U335" s="270"/>
      <c r="V335" s="268"/>
      <c r="W335" s="270"/>
      <c r="X335" s="270"/>
      <c r="Y335" s="270"/>
      <c r="Z335" s="270"/>
      <c r="AA335" s="270"/>
    </row>
    <row r="336" spans="1:27" ht="16.899999999999999" x14ac:dyDescent="0.5">
      <c r="A336" s="270"/>
      <c r="B336" s="270"/>
      <c r="C336" s="270"/>
      <c r="D336" s="268"/>
      <c r="E336" s="270"/>
      <c r="F336" s="268"/>
      <c r="G336" s="270"/>
      <c r="H336" s="268"/>
      <c r="I336" s="270"/>
      <c r="J336" s="268"/>
      <c r="K336" s="270"/>
      <c r="L336" s="268"/>
      <c r="M336" s="270"/>
      <c r="N336" s="268"/>
      <c r="O336" s="270"/>
      <c r="P336" s="268"/>
      <c r="Q336" s="270"/>
      <c r="R336" s="268"/>
      <c r="S336" s="270"/>
      <c r="T336" s="268"/>
      <c r="U336" s="270"/>
      <c r="V336" s="268"/>
      <c r="W336" s="270"/>
      <c r="X336" s="270"/>
      <c r="Y336" s="270"/>
      <c r="Z336" s="270"/>
      <c r="AA336" s="270"/>
    </row>
    <row r="337" spans="1:27" ht="16.899999999999999" x14ac:dyDescent="0.5">
      <c r="A337" s="270"/>
      <c r="B337" s="270"/>
      <c r="C337" s="270"/>
      <c r="D337" s="268"/>
      <c r="E337" s="270"/>
      <c r="F337" s="268"/>
      <c r="G337" s="270"/>
      <c r="H337" s="268"/>
      <c r="I337" s="270"/>
      <c r="J337" s="268"/>
      <c r="K337" s="270"/>
      <c r="L337" s="268"/>
      <c r="M337" s="270"/>
      <c r="N337" s="268"/>
      <c r="O337" s="270"/>
      <c r="P337" s="268"/>
      <c r="Q337" s="270"/>
      <c r="R337" s="268"/>
      <c r="S337" s="270"/>
      <c r="T337" s="268"/>
      <c r="U337" s="270"/>
      <c r="V337" s="268"/>
      <c r="W337" s="270"/>
      <c r="X337" s="270"/>
      <c r="Y337" s="270"/>
      <c r="Z337" s="270"/>
      <c r="AA337" s="270"/>
    </row>
    <row r="338" spans="1:27" ht="16.899999999999999" x14ac:dyDescent="0.5">
      <c r="A338" s="270"/>
      <c r="B338" s="270"/>
      <c r="C338" s="270"/>
      <c r="D338" s="268"/>
      <c r="E338" s="270"/>
      <c r="F338" s="268"/>
      <c r="G338" s="270"/>
      <c r="H338" s="268"/>
      <c r="I338" s="270"/>
      <c r="J338" s="268"/>
      <c r="K338" s="270"/>
      <c r="L338" s="268"/>
      <c r="M338" s="270"/>
      <c r="N338" s="268"/>
      <c r="O338" s="270"/>
      <c r="P338" s="268"/>
      <c r="Q338" s="270"/>
      <c r="R338" s="268"/>
      <c r="S338" s="270"/>
      <c r="T338" s="268"/>
      <c r="U338" s="270"/>
      <c r="V338" s="268"/>
      <c r="W338" s="270"/>
      <c r="X338" s="270"/>
      <c r="Y338" s="270"/>
      <c r="Z338" s="270"/>
      <c r="AA338" s="270"/>
    </row>
    <row r="339" spans="1:27" ht="16.899999999999999" x14ac:dyDescent="0.5">
      <c r="A339" s="270"/>
      <c r="B339" s="270"/>
      <c r="C339" s="270"/>
      <c r="D339" s="268"/>
      <c r="E339" s="270"/>
      <c r="F339" s="268"/>
      <c r="G339" s="270"/>
      <c r="H339" s="268"/>
      <c r="I339" s="270"/>
      <c r="J339" s="268"/>
      <c r="K339" s="270"/>
      <c r="L339" s="268"/>
      <c r="M339" s="270"/>
      <c r="N339" s="268"/>
      <c r="O339" s="270"/>
      <c r="P339" s="268"/>
      <c r="Q339" s="270"/>
      <c r="R339" s="268"/>
      <c r="S339" s="270"/>
      <c r="T339" s="268"/>
      <c r="U339" s="270"/>
      <c r="V339" s="268"/>
      <c r="W339" s="270"/>
      <c r="X339" s="270"/>
      <c r="Y339" s="270"/>
      <c r="Z339" s="270"/>
      <c r="AA339" s="270"/>
    </row>
    <row r="340" spans="1:27" ht="16.899999999999999" x14ac:dyDescent="0.5">
      <c r="A340" s="270"/>
      <c r="B340" s="270"/>
      <c r="C340" s="270"/>
      <c r="D340" s="268"/>
      <c r="E340" s="270"/>
      <c r="F340" s="268"/>
      <c r="G340" s="270"/>
      <c r="H340" s="268"/>
      <c r="I340" s="270"/>
      <c r="J340" s="268"/>
      <c r="K340" s="270"/>
      <c r="L340" s="268"/>
      <c r="M340" s="270"/>
      <c r="N340" s="268"/>
      <c r="O340" s="270"/>
      <c r="P340" s="268"/>
      <c r="Q340" s="270"/>
      <c r="R340" s="268"/>
      <c r="S340" s="270"/>
      <c r="T340" s="268"/>
      <c r="U340" s="270"/>
      <c r="V340" s="268"/>
      <c r="W340" s="270"/>
      <c r="X340" s="270"/>
      <c r="Y340" s="270"/>
      <c r="Z340" s="270"/>
      <c r="AA340" s="270"/>
    </row>
    <row r="341" spans="1:27" ht="16.899999999999999" x14ac:dyDescent="0.5">
      <c r="A341" s="270"/>
      <c r="B341" s="270"/>
      <c r="C341" s="270"/>
      <c r="D341" s="268"/>
      <c r="E341" s="270"/>
      <c r="F341" s="268"/>
      <c r="G341" s="270"/>
      <c r="H341" s="268"/>
      <c r="I341" s="270"/>
      <c r="J341" s="268"/>
      <c r="K341" s="270"/>
      <c r="L341" s="268"/>
      <c r="M341" s="270"/>
      <c r="N341" s="268"/>
      <c r="O341" s="270"/>
      <c r="P341" s="268"/>
      <c r="Q341" s="270"/>
      <c r="R341" s="268"/>
      <c r="S341" s="270"/>
      <c r="T341" s="268"/>
      <c r="U341" s="270"/>
      <c r="V341" s="268"/>
      <c r="W341" s="270"/>
      <c r="X341" s="270"/>
      <c r="Y341" s="270"/>
      <c r="Z341" s="270"/>
      <c r="AA341" s="270"/>
    </row>
    <row r="342" spans="1:27" ht="16.899999999999999" x14ac:dyDescent="0.5">
      <c r="A342" s="270"/>
      <c r="B342" s="270"/>
      <c r="C342" s="270"/>
      <c r="D342" s="268"/>
      <c r="E342" s="270"/>
      <c r="F342" s="268"/>
      <c r="G342" s="270"/>
      <c r="H342" s="268"/>
      <c r="I342" s="270"/>
      <c r="J342" s="268"/>
      <c r="K342" s="270"/>
      <c r="L342" s="268"/>
      <c r="M342" s="270"/>
      <c r="N342" s="268"/>
      <c r="O342" s="270"/>
      <c r="P342" s="268"/>
      <c r="Q342" s="270"/>
      <c r="R342" s="268"/>
      <c r="S342" s="270"/>
      <c r="T342" s="268"/>
      <c r="U342" s="270"/>
      <c r="V342" s="268"/>
      <c r="W342" s="270"/>
      <c r="X342" s="270"/>
      <c r="Y342" s="270"/>
      <c r="Z342" s="270"/>
      <c r="AA342" s="270"/>
    </row>
    <row r="343" spans="1:27" ht="16.899999999999999" x14ac:dyDescent="0.5">
      <c r="A343" s="270"/>
      <c r="B343" s="270"/>
      <c r="C343" s="270"/>
      <c r="D343" s="268"/>
      <c r="E343" s="270"/>
      <c r="F343" s="268"/>
      <c r="G343" s="270"/>
      <c r="H343" s="268"/>
      <c r="I343" s="270"/>
      <c r="J343" s="268"/>
      <c r="K343" s="270"/>
      <c r="L343" s="268"/>
      <c r="M343" s="270"/>
      <c r="N343" s="268"/>
      <c r="O343" s="270"/>
      <c r="P343" s="268"/>
      <c r="Q343" s="270"/>
      <c r="R343" s="268"/>
      <c r="S343" s="270"/>
      <c r="T343" s="268"/>
      <c r="U343" s="270"/>
      <c r="V343" s="268"/>
      <c r="W343" s="270"/>
      <c r="X343" s="270"/>
      <c r="Y343" s="270"/>
      <c r="Z343" s="270"/>
      <c r="AA343" s="270"/>
    </row>
    <row r="344" spans="1:27" ht="16.899999999999999" x14ac:dyDescent="0.5">
      <c r="A344" s="270"/>
      <c r="B344" s="270"/>
      <c r="C344" s="270"/>
      <c r="D344" s="268"/>
      <c r="E344" s="270"/>
      <c r="F344" s="268"/>
      <c r="G344" s="270"/>
      <c r="H344" s="268"/>
      <c r="I344" s="270"/>
      <c r="J344" s="268"/>
      <c r="K344" s="270"/>
      <c r="L344" s="268"/>
      <c r="M344" s="270"/>
      <c r="N344" s="268"/>
      <c r="O344" s="270"/>
      <c r="P344" s="268"/>
      <c r="Q344" s="270"/>
      <c r="R344" s="268"/>
      <c r="S344" s="270"/>
      <c r="T344" s="268"/>
      <c r="U344" s="270"/>
      <c r="V344" s="268"/>
      <c r="W344" s="270"/>
      <c r="X344" s="270"/>
      <c r="Y344" s="270"/>
      <c r="Z344" s="270"/>
      <c r="AA344" s="270"/>
    </row>
    <row r="345" spans="1:27" ht="16.899999999999999" x14ac:dyDescent="0.5">
      <c r="A345" s="270"/>
      <c r="B345" s="270"/>
      <c r="C345" s="270"/>
      <c r="D345" s="268"/>
      <c r="E345" s="270"/>
      <c r="F345" s="268"/>
      <c r="G345" s="270"/>
      <c r="H345" s="268"/>
      <c r="I345" s="270"/>
      <c r="J345" s="268"/>
      <c r="K345" s="270"/>
      <c r="L345" s="268"/>
      <c r="M345" s="270"/>
      <c r="N345" s="268"/>
      <c r="O345" s="270"/>
      <c r="P345" s="268"/>
      <c r="Q345" s="270"/>
      <c r="R345" s="268"/>
      <c r="S345" s="270"/>
      <c r="T345" s="268"/>
      <c r="U345" s="270"/>
      <c r="V345" s="268"/>
      <c r="W345" s="270"/>
      <c r="X345" s="270"/>
      <c r="Y345" s="270"/>
      <c r="Z345" s="270"/>
      <c r="AA345" s="270"/>
    </row>
    <row r="346" spans="1:27" ht="16.899999999999999" x14ac:dyDescent="0.5">
      <c r="A346" s="270"/>
      <c r="B346" s="270"/>
      <c r="C346" s="270"/>
      <c r="D346" s="268"/>
      <c r="E346" s="270"/>
      <c r="F346" s="268"/>
      <c r="G346" s="270"/>
      <c r="H346" s="268"/>
      <c r="I346" s="270"/>
      <c r="J346" s="268"/>
      <c r="K346" s="270"/>
      <c r="L346" s="268"/>
      <c r="M346" s="270"/>
      <c r="N346" s="268"/>
      <c r="O346" s="270"/>
      <c r="P346" s="268"/>
      <c r="Q346" s="270"/>
      <c r="R346" s="268"/>
      <c r="S346" s="270"/>
      <c r="T346" s="268"/>
      <c r="U346" s="270"/>
      <c r="V346" s="268"/>
      <c r="W346" s="270"/>
      <c r="X346" s="270"/>
      <c r="Y346" s="270"/>
      <c r="Z346" s="270"/>
      <c r="AA346" s="270"/>
    </row>
    <row r="347" spans="1:27" ht="16.899999999999999" x14ac:dyDescent="0.5">
      <c r="A347" s="270"/>
      <c r="B347" s="270"/>
      <c r="C347" s="270"/>
      <c r="D347" s="268"/>
      <c r="E347" s="270"/>
      <c r="F347" s="268"/>
      <c r="G347" s="270"/>
      <c r="H347" s="268"/>
      <c r="I347" s="270"/>
      <c r="J347" s="268"/>
      <c r="K347" s="270"/>
      <c r="L347" s="268"/>
      <c r="M347" s="270"/>
      <c r="N347" s="268"/>
      <c r="O347" s="270"/>
      <c r="P347" s="268"/>
      <c r="Q347" s="270"/>
      <c r="R347" s="268"/>
      <c r="S347" s="270"/>
      <c r="T347" s="268"/>
      <c r="U347" s="270"/>
      <c r="V347" s="268"/>
      <c r="W347" s="270"/>
      <c r="X347" s="270"/>
      <c r="Y347" s="270"/>
      <c r="Z347" s="270"/>
      <c r="AA347" s="270"/>
    </row>
    <row r="348" spans="1:27" ht="16.899999999999999" x14ac:dyDescent="0.5">
      <c r="A348" s="270"/>
      <c r="B348" s="270"/>
      <c r="C348" s="270"/>
      <c r="D348" s="268"/>
      <c r="E348" s="270"/>
      <c r="F348" s="268"/>
      <c r="G348" s="270"/>
      <c r="H348" s="268"/>
      <c r="I348" s="270"/>
      <c r="J348" s="268"/>
      <c r="K348" s="270"/>
      <c r="L348" s="268"/>
      <c r="M348" s="270"/>
      <c r="N348" s="268"/>
      <c r="O348" s="270"/>
      <c r="P348" s="268"/>
      <c r="Q348" s="270"/>
      <c r="R348" s="268"/>
      <c r="S348" s="270"/>
      <c r="T348" s="268"/>
      <c r="U348" s="270"/>
      <c r="V348" s="268"/>
      <c r="W348" s="270"/>
      <c r="X348" s="270"/>
      <c r="Y348" s="270"/>
      <c r="Z348" s="270"/>
      <c r="AA348" s="270"/>
    </row>
    <row r="349" spans="1:27" ht="16.899999999999999" x14ac:dyDescent="0.5">
      <c r="A349" s="270"/>
      <c r="B349" s="270"/>
      <c r="C349" s="270"/>
      <c r="D349" s="268"/>
      <c r="E349" s="270"/>
      <c r="F349" s="268"/>
      <c r="G349" s="270"/>
      <c r="H349" s="268"/>
      <c r="I349" s="270"/>
      <c r="J349" s="268"/>
      <c r="K349" s="270"/>
      <c r="L349" s="268"/>
      <c r="M349" s="270"/>
      <c r="N349" s="268"/>
      <c r="O349" s="270"/>
      <c r="P349" s="268"/>
      <c r="Q349" s="270"/>
      <c r="R349" s="268"/>
      <c r="S349" s="270"/>
      <c r="T349" s="268"/>
      <c r="U349" s="270"/>
      <c r="V349" s="268"/>
      <c r="W349" s="270"/>
      <c r="X349" s="270"/>
      <c r="Y349" s="270"/>
      <c r="Z349" s="270"/>
      <c r="AA349" s="270"/>
    </row>
    <row r="350" spans="1:27" ht="16.899999999999999" x14ac:dyDescent="0.5">
      <c r="A350" s="270"/>
      <c r="B350" s="270"/>
      <c r="C350" s="270"/>
      <c r="D350" s="268"/>
      <c r="E350" s="270"/>
      <c r="F350" s="268"/>
      <c r="G350" s="270"/>
      <c r="H350" s="268"/>
      <c r="I350" s="270"/>
      <c r="J350" s="268"/>
      <c r="K350" s="270"/>
      <c r="L350" s="268"/>
      <c r="M350" s="270"/>
      <c r="N350" s="268"/>
      <c r="O350" s="270"/>
      <c r="P350" s="268"/>
      <c r="Q350" s="270"/>
      <c r="R350" s="268"/>
      <c r="S350" s="270"/>
      <c r="T350" s="268"/>
      <c r="U350" s="270"/>
      <c r="V350" s="268"/>
      <c r="W350" s="270"/>
      <c r="X350" s="270"/>
      <c r="Y350" s="270"/>
      <c r="Z350" s="270"/>
      <c r="AA350" s="270"/>
    </row>
    <row r="351" spans="1:27" ht="16.899999999999999" x14ac:dyDescent="0.5">
      <c r="A351" s="270"/>
      <c r="B351" s="270"/>
      <c r="C351" s="270"/>
      <c r="D351" s="268"/>
      <c r="E351" s="270"/>
      <c r="F351" s="268"/>
      <c r="G351" s="270"/>
      <c r="H351" s="268"/>
      <c r="I351" s="270"/>
      <c r="J351" s="268"/>
      <c r="K351" s="270"/>
      <c r="L351" s="268"/>
      <c r="M351" s="270"/>
      <c r="N351" s="268"/>
      <c r="O351" s="270"/>
      <c r="P351" s="268"/>
      <c r="Q351" s="270"/>
      <c r="R351" s="268"/>
      <c r="S351" s="270"/>
      <c r="T351" s="268"/>
      <c r="U351" s="270"/>
      <c r="V351" s="268"/>
      <c r="W351" s="270"/>
      <c r="X351" s="270"/>
      <c r="Y351" s="270"/>
      <c r="Z351" s="270"/>
      <c r="AA351" s="270"/>
    </row>
    <row r="352" spans="1:27" ht="16.899999999999999" x14ac:dyDescent="0.5">
      <c r="A352" s="270"/>
      <c r="B352" s="270"/>
      <c r="C352" s="270"/>
      <c r="D352" s="268"/>
      <c r="E352" s="270"/>
      <c r="F352" s="268"/>
      <c r="G352" s="270"/>
      <c r="H352" s="268"/>
      <c r="I352" s="270"/>
      <c r="J352" s="268"/>
      <c r="K352" s="270"/>
      <c r="L352" s="268"/>
      <c r="M352" s="270"/>
      <c r="N352" s="268"/>
      <c r="O352" s="270"/>
      <c r="P352" s="268"/>
      <c r="Q352" s="270"/>
      <c r="R352" s="268"/>
      <c r="S352" s="270"/>
      <c r="T352" s="268"/>
      <c r="U352" s="270"/>
      <c r="V352" s="268"/>
      <c r="W352" s="270"/>
      <c r="X352" s="270"/>
      <c r="Y352" s="270"/>
      <c r="Z352" s="270"/>
      <c r="AA352" s="270"/>
    </row>
    <row r="353" spans="1:27" ht="16.899999999999999" x14ac:dyDescent="0.5">
      <c r="A353" s="270"/>
      <c r="B353" s="270"/>
      <c r="C353" s="270"/>
      <c r="D353" s="268"/>
      <c r="E353" s="270"/>
      <c r="F353" s="268"/>
      <c r="G353" s="270"/>
      <c r="H353" s="268"/>
      <c r="I353" s="270"/>
      <c r="J353" s="268"/>
      <c r="K353" s="270"/>
      <c r="L353" s="268"/>
      <c r="M353" s="270"/>
      <c r="N353" s="268"/>
      <c r="O353" s="270"/>
      <c r="P353" s="268"/>
      <c r="Q353" s="270"/>
      <c r="R353" s="268"/>
      <c r="S353" s="270"/>
      <c r="T353" s="268"/>
      <c r="U353" s="270"/>
      <c r="V353" s="268"/>
      <c r="W353" s="270"/>
      <c r="X353" s="270"/>
      <c r="Y353" s="270"/>
      <c r="Z353" s="270"/>
      <c r="AA353" s="270"/>
    </row>
    <row r="354" spans="1:27" ht="16.899999999999999" x14ac:dyDescent="0.5">
      <c r="A354" s="270"/>
      <c r="B354" s="270"/>
      <c r="C354" s="270"/>
      <c r="D354" s="268"/>
      <c r="E354" s="270"/>
      <c r="F354" s="268"/>
      <c r="G354" s="270"/>
      <c r="H354" s="268"/>
      <c r="I354" s="270"/>
      <c r="J354" s="268"/>
      <c r="K354" s="270"/>
      <c r="L354" s="268"/>
      <c r="M354" s="270"/>
      <c r="N354" s="268"/>
      <c r="O354" s="270"/>
      <c r="P354" s="268"/>
      <c r="Q354" s="270"/>
      <c r="R354" s="268"/>
      <c r="S354" s="270"/>
      <c r="T354" s="268"/>
      <c r="U354" s="270"/>
      <c r="V354" s="268"/>
      <c r="W354" s="270"/>
      <c r="X354" s="270"/>
      <c r="Y354" s="270"/>
      <c r="Z354" s="270"/>
      <c r="AA354" s="270"/>
    </row>
    <row r="355" spans="1:27" ht="16.899999999999999" x14ac:dyDescent="0.5">
      <c r="A355" s="270"/>
      <c r="B355" s="270"/>
      <c r="C355" s="270"/>
      <c r="D355" s="268"/>
      <c r="E355" s="270"/>
      <c r="F355" s="268"/>
      <c r="G355" s="270"/>
      <c r="H355" s="268"/>
      <c r="I355" s="270"/>
      <c r="J355" s="268"/>
      <c r="K355" s="270"/>
      <c r="L355" s="268"/>
      <c r="M355" s="270"/>
      <c r="N355" s="268"/>
      <c r="O355" s="270"/>
      <c r="P355" s="268"/>
      <c r="Q355" s="270"/>
      <c r="R355" s="268"/>
      <c r="S355" s="270"/>
      <c r="T355" s="268"/>
      <c r="U355" s="270"/>
      <c r="V355" s="268"/>
      <c r="W355" s="270"/>
      <c r="X355" s="270"/>
      <c r="Y355" s="270"/>
      <c r="Z355" s="270"/>
      <c r="AA355" s="270"/>
    </row>
    <row r="356" spans="1:27" ht="16.899999999999999" x14ac:dyDescent="0.5">
      <c r="A356" s="270"/>
      <c r="B356" s="270"/>
      <c r="C356" s="270"/>
      <c r="D356" s="268"/>
      <c r="E356" s="270"/>
      <c r="F356" s="268"/>
      <c r="G356" s="270"/>
      <c r="H356" s="268"/>
      <c r="I356" s="270"/>
      <c r="J356" s="268"/>
      <c r="K356" s="270"/>
      <c r="L356" s="268"/>
      <c r="M356" s="270"/>
      <c r="N356" s="268"/>
      <c r="O356" s="270"/>
      <c r="P356" s="268"/>
      <c r="Q356" s="270"/>
      <c r="R356" s="268"/>
      <c r="S356" s="270"/>
      <c r="T356" s="268"/>
      <c r="U356" s="270"/>
      <c r="V356" s="268"/>
      <c r="W356" s="270"/>
      <c r="X356" s="270"/>
      <c r="Y356" s="270"/>
      <c r="Z356" s="270"/>
      <c r="AA356" s="270"/>
    </row>
    <row r="357" spans="1:27" ht="16.899999999999999" x14ac:dyDescent="0.5">
      <c r="A357" s="270"/>
      <c r="B357" s="270"/>
      <c r="C357" s="270"/>
      <c r="D357" s="268"/>
      <c r="E357" s="270"/>
      <c r="F357" s="268"/>
      <c r="G357" s="270"/>
      <c r="H357" s="268"/>
      <c r="I357" s="270"/>
      <c r="J357" s="268"/>
      <c r="K357" s="270"/>
      <c r="L357" s="268"/>
      <c r="M357" s="270"/>
      <c r="N357" s="268"/>
      <c r="O357" s="270"/>
      <c r="P357" s="268"/>
      <c r="Q357" s="270"/>
      <c r="R357" s="268"/>
      <c r="S357" s="270"/>
      <c r="T357" s="268"/>
      <c r="U357" s="270"/>
      <c r="V357" s="268"/>
      <c r="W357" s="270"/>
      <c r="X357" s="270"/>
      <c r="Y357" s="270"/>
      <c r="Z357" s="270"/>
      <c r="AA357" s="270"/>
    </row>
    <row r="358" spans="1:27" ht="16.899999999999999" x14ac:dyDescent="0.5">
      <c r="A358" s="270"/>
      <c r="B358" s="270"/>
      <c r="C358" s="270"/>
      <c r="D358" s="268"/>
      <c r="E358" s="270"/>
      <c r="F358" s="268"/>
      <c r="G358" s="270"/>
      <c r="H358" s="268"/>
      <c r="I358" s="270"/>
      <c r="J358" s="268"/>
      <c r="K358" s="270"/>
      <c r="L358" s="268"/>
      <c r="M358" s="270"/>
      <c r="N358" s="268"/>
      <c r="O358" s="270"/>
      <c r="P358" s="268"/>
      <c r="Q358" s="270"/>
      <c r="R358" s="268"/>
      <c r="S358" s="270"/>
      <c r="T358" s="268"/>
      <c r="U358" s="270"/>
      <c r="V358" s="268"/>
      <c r="W358" s="270"/>
      <c r="X358" s="270"/>
      <c r="Y358" s="270"/>
      <c r="Z358" s="270"/>
      <c r="AA358" s="270"/>
    </row>
    <row r="359" spans="1:27" ht="16.899999999999999" x14ac:dyDescent="0.5">
      <c r="A359" s="270"/>
      <c r="B359" s="270"/>
      <c r="C359" s="270"/>
      <c r="D359" s="268"/>
      <c r="E359" s="270"/>
      <c r="F359" s="268"/>
      <c r="G359" s="270"/>
      <c r="H359" s="268"/>
      <c r="I359" s="270"/>
      <c r="J359" s="268"/>
      <c r="K359" s="270"/>
      <c r="L359" s="268"/>
      <c r="M359" s="270"/>
      <c r="N359" s="268"/>
      <c r="O359" s="270"/>
      <c r="P359" s="268"/>
      <c r="Q359" s="270"/>
      <c r="R359" s="268"/>
      <c r="S359" s="270"/>
      <c r="T359" s="268"/>
      <c r="U359" s="270"/>
      <c r="V359" s="268"/>
      <c r="W359" s="270"/>
      <c r="X359" s="270"/>
      <c r="Y359" s="270"/>
      <c r="Z359" s="270"/>
      <c r="AA359" s="270"/>
    </row>
    <row r="360" spans="1:27" ht="16.899999999999999" x14ac:dyDescent="0.5">
      <c r="A360" s="270"/>
      <c r="B360" s="270"/>
      <c r="C360" s="270"/>
      <c r="D360" s="268"/>
      <c r="E360" s="270"/>
      <c r="F360" s="268"/>
      <c r="G360" s="270"/>
      <c r="H360" s="268"/>
      <c r="I360" s="270"/>
      <c r="J360" s="268"/>
      <c r="K360" s="270"/>
      <c r="L360" s="268"/>
      <c r="M360" s="270"/>
      <c r="N360" s="268"/>
      <c r="O360" s="270"/>
      <c r="P360" s="268"/>
      <c r="Q360" s="270"/>
      <c r="R360" s="268"/>
      <c r="S360" s="270"/>
      <c r="T360" s="268"/>
      <c r="U360" s="270"/>
      <c r="V360" s="268"/>
      <c r="W360" s="270"/>
      <c r="X360" s="270"/>
      <c r="Y360" s="270"/>
      <c r="Z360" s="270"/>
      <c r="AA360" s="270"/>
    </row>
    <row r="361" spans="1:27" ht="16.899999999999999" x14ac:dyDescent="0.5">
      <c r="A361" s="270"/>
      <c r="B361" s="270"/>
      <c r="C361" s="270"/>
      <c r="D361" s="268"/>
      <c r="E361" s="270"/>
      <c r="F361" s="268"/>
      <c r="G361" s="270"/>
      <c r="H361" s="268"/>
      <c r="I361" s="270"/>
      <c r="J361" s="268"/>
      <c r="K361" s="270"/>
      <c r="L361" s="268"/>
      <c r="M361" s="270"/>
      <c r="N361" s="268"/>
      <c r="O361" s="270"/>
      <c r="P361" s="268"/>
      <c r="Q361" s="270"/>
      <c r="R361" s="268"/>
      <c r="S361" s="270"/>
      <c r="T361" s="268"/>
      <c r="U361" s="270"/>
      <c r="V361" s="268"/>
      <c r="W361" s="270"/>
      <c r="X361" s="270"/>
      <c r="Y361" s="270"/>
      <c r="Z361" s="270"/>
      <c r="AA361" s="270"/>
    </row>
    <row r="362" spans="1:27" ht="16.899999999999999" x14ac:dyDescent="0.5">
      <c r="A362" s="270"/>
      <c r="B362" s="270"/>
      <c r="C362" s="270"/>
      <c r="D362" s="268"/>
      <c r="E362" s="270"/>
      <c r="F362" s="268"/>
      <c r="G362" s="270"/>
      <c r="H362" s="268"/>
      <c r="I362" s="270"/>
      <c r="J362" s="268"/>
      <c r="K362" s="270"/>
      <c r="L362" s="268"/>
      <c r="M362" s="270"/>
      <c r="N362" s="268"/>
      <c r="O362" s="270"/>
      <c r="P362" s="268"/>
      <c r="Q362" s="270"/>
      <c r="R362" s="268"/>
      <c r="S362" s="270"/>
      <c r="T362" s="268"/>
      <c r="U362" s="270"/>
      <c r="V362" s="268"/>
      <c r="W362" s="270"/>
      <c r="X362" s="270"/>
      <c r="Y362" s="270"/>
      <c r="Z362" s="270"/>
      <c r="AA362" s="270"/>
    </row>
    <row r="363" spans="1:27" ht="16.899999999999999" x14ac:dyDescent="0.5">
      <c r="A363" s="270"/>
      <c r="B363" s="270"/>
      <c r="C363" s="270"/>
      <c r="D363" s="268"/>
      <c r="E363" s="270"/>
      <c r="F363" s="268"/>
      <c r="G363" s="270"/>
      <c r="H363" s="268"/>
      <c r="I363" s="270"/>
      <c r="J363" s="268"/>
      <c r="K363" s="270"/>
      <c r="L363" s="268"/>
      <c r="M363" s="270"/>
      <c r="N363" s="268"/>
      <c r="O363" s="270"/>
      <c r="P363" s="268"/>
      <c r="Q363" s="270"/>
      <c r="R363" s="268"/>
      <c r="S363" s="270"/>
      <c r="T363" s="268"/>
      <c r="U363" s="270"/>
      <c r="V363" s="268"/>
      <c r="W363" s="270"/>
      <c r="X363" s="270"/>
      <c r="Y363" s="270"/>
      <c r="Z363" s="270"/>
      <c r="AA363" s="270"/>
    </row>
    <row r="364" spans="1:27" ht="16.899999999999999" x14ac:dyDescent="0.5">
      <c r="A364" s="270"/>
      <c r="B364" s="270"/>
      <c r="C364" s="270"/>
      <c r="D364" s="268"/>
      <c r="E364" s="270"/>
      <c r="F364" s="268"/>
      <c r="G364" s="270"/>
      <c r="H364" s="268"/>
      <c r="I364" s="270"/>
      <c r="J364" s="268"/>
      <c r="K364" s="270"/>
      <c r="L364" s="268"/>
      <c r="M364" s="270"/>
      <c r="N364" s="268"/>
      <c r="O364" s="270"/>
      <c r="P364" s="268"/>
      <c r="Q364" s="270"/>
      <c r="R364" s="268"/>
      <c r="S364" s="270"/>
      <c r="T364" s="268"/>
      <c r="U364" s="270"/>
      <c r="V364" s="268"/>
      <c r="W364" s="270"/>
      <c r="X364" s="270"/>
      <c r="Y364" s="270"/>
      <c r="Z364" s="270"/>
      <c r="AA364" s="270"/>
    </row>
    <row r="365" spans="1:27" ht="16.899999999999999" x14ac:dyDescent="0.5">
      <c r="A365" s="270"/>
      <c r="B365" s="270"/>
      <c r="C365" s="270"/>
      <c r="D365" s="268"/>
      <c r="E365" s="270"/>
      <c r="F365" s="268"/>
      <c r="G365" s="270"/>
      <c r="H365" s="268"/>
      <c r="I365" s="270"/>
      <c r="J365" s="268"/>
      <c r="K365" s="270"/>
      <c r="L365" s="268"/>
      <c r="M365" s="270"/>
      <c r="N365" s="268"/>
      <c r="O365" s="270"/>
      <c r="P365" s="268"/>
      <c r="Q365" s="270"/>
      <c r="R365" s="268"/>
      <c r="S365" s="270"/>
      <c r="T365" s="268"/>
      <c r="U365" s="270"/>
      <c r="V365" s="268"/>
      <c r="W365" s="270"/>
      <c r="X365" s="270"/>
      <c r="Y365" s="270"/>
      <c r="Z365" s="270"/>
      <c r="AA365" s="270"/>
    </row>
    <row r="366" spans="1:27" ht="16.899999999999999" x14ac:dyDescent="0.5">
      <c r="A366" s="270"/>
      <c r="B366" s="270"/>
      <c r="C366" s="270"/>
      <c r="D366" s="268"/>
      <c r="E366" s="270"/>
      <c r="F366" s="268"/>
      <c r="G366" s="270"/>
      <c r="H366" s="268"/>
      <c r="I366" s="270"/>
      <c r="J366" s="268"/>
      <c r="K366" s="270"/>
      <c r="L366" s="268"/>
      <c r="M366" s="270"/>
      <c r="N366" s="268"/>
      <c r="O366" s="270"/>
      <c r="P366" s="268"/>
      <c r="Q366" s="270"/>
      <c r="R366" s="268"/>
      <c r="S366" s="270"/>
      <c r="T366" s="268"/>
      <c r="U366" s="270"/>
      <c r="V366" s="268"/>
      <c r="W366" s="270"/>
      <c r="X366" s="270"/>
      <c r="Y366" s="270"/>
      <c r="Z366" s="270"/>
      <c r="AA366" s="270"/>
    </row>
    <row r="367" spans="1:27" ht="16.899999999999999" x14ac:dyDescent="0.5">
      <c r="A367" s="270"/>
      <c r="B367" s="270"/>
      <c r="C367" s="270"/>
      <c r="D367" s="268"/>
      <c r="E367" s="270"/>
      <c r="F367" s="268"/>
      <c r="G367" s="270"/>
      <c r="H367" s="268"/>
      <c r="I367" s="270"/>
      <c r="J367" s="268"/>
      <c r="K367" s="270"/>
      <c r="L367" s="268"/>
      <c r="M367" s="270"/>
      <c r="N367" s="268"/>
      <c r="O367" s="270"/>
      <c r="P367" s="268"/>
      <c r="Q367" s="270"/>
      <c r="R367" s="268"/>
      <c r="S367" s="270"/>
      <c r="T367" s="268"/>
      <c r="U367" s="270"/>
      <c r="V367" s="268"/>
      <c r="W367" s="270"/>
      <c r="X367" s="270"/>
      <c r="Y367" s="270"/>
      <c r="Z367" s="270"/>
      <c r="AA367" s="270"/>
    </row>
    <row r="368" spans="1:27" ht="16.899999999999999" x14ac:dyDescent="0.5">
      <c r="A368" s="270"/>
      <c r="B368" s="270"/>
      <c r="C368" s="270"/>
      <c r="D368" s="268"/>
      <c r="E368" s="270"/>
      <c r="F368" s="268"/>
      <c r="G368" s="270"/>
      <c r="H368" s="268"/>
      <c r="I368" s="270"/>
      <c r="J368" s="268"/>
      <c r="K368" s="270"/>
      <c r="L368" s="268"/>
      <c r="M368" s="270"/>
      <c r="N368" s="268"/>
      <c r="O368" s="270"/>
      <c r="P368" s="268"/>
      <c r="Q368" s="270"/>
      <c r="R368" s="268"/>
      <c r="S368" s="270"/>
      <c r="T368" s="268"/>
      <c r="U368" s="270"/>
      <c r="V368" s="268"/>
      <c r="W368" s="270"/>
      <c r="X368" s="270"/>
      <c r="Y368" s="270"/>
      <c r="Z368" s="270"/>
      <c r="AA368" s="270"/>
    </row>
    <row r="369" spans="1:27" ht="16.899999999999999" x14ac:dyDescent="0.5">
      <c r="A369" s="270"/>
      <c r="B369" s="270"/>
      <c r="C369" s="270"/>
      <c r="D369" s="268"/>
      <c r="E369" s="270"/>
      <c r="F369" s="268"/>
      <c r="G369" s="270"/>
      <c r="H369" s="268"/>
      <c r="I369" s="270"/>
      <c r="J369" s="268"/>
      <c r="K369" s="270"/>
      <c r="L369" s="268"/>
      <c r="M369" s="270"/>
      <c r="N369" s="268"/>
      <c r="O369" s="270"/>
      <c r="P369" s="268"/>
      <c r="Q369" s="270"/>
      <c r="R369" s="268"/>
      <c r="S369" s="270"/>
      <c r="T369" s="268"/>
      <c r="U369" s="270"/>
      <c r="V369" s="268"/>
      <c r="W369" s="270"/>
      <c r="X369" s="270"/>
      <c r="Y369" s="270"/>
      <c r="Z369" s="270"/>
      <c r="AA369" s="270"/>
    </row>
    <row r="370" spans="1:27" ht="16.899999999999999" x14ac:dyDescent="0.5">
      <c r="A370" s="270"/>
      <c r="B370" s="270"/>
      <c r="C370" s="270"/>
      <c r="D370" s="268"/>
      <c r="E370" s="270"/>
      <c r="F370" s="268"/>
      <c r="G370" s="270"/>
      <c r="H370" s="268"/>
      <c r="I370" s="270"/>
      <c r="J370" s="268"/>
      <c r="K370" s="270"/>
      <c r="L370" s="268"/>
      <c r="M370" s="270"/>
      <c r="N370" s="268"/>
      <c r="O370" s="270"/>
      <c r="P370" s="268"/>
      <c r="Q370" s="270"/>
      <c r="R370" s="268"/>
      <c r="S370" s="270"/>
      <c r="T370" s="268"/>
      <c r="U370" s="270"/>
      <c r="V370" s="268"/>
      <c r="W370" s="270"/>
      <c r="X370" s="270"/>
      <c r="Y370" s="270"/>
      <c r="Z370" s="270"/>
      <c r="AA370" s="270"/>
    </row>
    <row r="371" spans="1:27" ht="16.899999999999999" x14ac:dyDescent="0.5">
      <c r="A371" s="270"/>
      <c r="B371" s="270"/>
      <c r="C371" s="270"/>
      <c r="D371" s="268"/>
      <c r="E371" s="270"/>
      <c r="F371" s="268"/>
      <c r="G371" s="270"/>
      <c r="H371" s="268"/>
      <c r="I371" s="270"/>
      <c r="J371" s="268"/>
      <c r="K371" s="270"/>
      <c r="L371" s="268"/>
      <c r="M371" s="270"/>
      <c r="N371" s="268"/>
      <c r="O371" s="270"/>
      <c r="P371" s="268"/>
      <c r="Q371" s="270"/>
      <c r="R371" s="268"/>
      <c r="S371" s="270"/>
      <c r="T371" s="268"/>
      <c r="U371" s="270"/>
      <c r="V371" s="268"/>
      <c r="W371" s="270"/>
      <c r="X371" s="270"/>
      <c r="Y371" s="270"/>
      <c r="Z371" s="270"/>
      <c r="AA371" s="270"/>
    </row>
    <row r="372" spans="1:27" ht="16.899999999999999" x14ac:dyDescent="0.5">
      <c r="A372" s="270"/>
      <c r="B372" s="270"/>
      <c r="C372" s="270"/>
      <c r="D372" s="268"/>
      <c r="E372" s="270"/>
      <c r="F372" s="268"/>
      <c r="G372" s="270"/>
      <c r="H372" s="268"/>
      <c r="I372" s="270"/>
      <c r="J372" s="268"/>
      <c r="K372" s="270"/>
      <c r="L372" s="268"/>
      <c r="M372" s="270"/>
      <c r="N372" s="268"/>
      <c r="O372" s="270"/>
      <c r="P372" s="268"/>
      <c r="Q372" s="270"/>
      <c r="R372" s="268"/>
      <c r="S372" s="270"/>
      <c r="T372" s="268"/>
      <c r="U372" s="270"/>
      <c r="V372" s="268"/>
      <c r="W372" s="270"/>
      <c r="X372" s="270"/>
      <c r="Y372" s="270"/>
      <c r="Z372" s="270"/>
      <c r="AA372" s="270"/>
    </row>
    <row r="373" spans="1:27" ht="16.899999999999999" x14ac:dyDescent="0.5">
      <c r="A373" s="270"/>
      <c r="B373" s="270"/>
      <c r="C373" s="270"/>
      <c r="D373" s="268"/>
      <c r="E373" s="270"/>
      <c r="F373" s="268"/>
      <c r="G373" s="270"/>
      <c r="H373" s="268"/>
      <c r="I373" s="270"/>
      <c r="J373" s="268"/>
      <c r="K373" s="270"/>
      <c r="L373" s="268"/>
      <c r="M373" s="270"/>
      <c r="N373" s="268"/>
      <c r="O373" s="270"/>
      <c r="P373" s="268"/>
      <c r="Q373" s="270"/>
      <c r="R373" s="268"/>
      <c r="S373" s="270"/>
      <c r="T373" s="268"/>
      <c r="U373" s="270"/>
      <c r="V373" s="268"/>
      <c r="W373" s="270"/>
      <c r="X373" s="270"/>
      <c r="Y373" s="270"/>
      <c r="Z373" s="270"/>
      <c r="AA373" s="270"/>
    </row>
    <row r="374" spans="1:27" ht="16.899999999999999" x14ac:dyDescent="0.5">
      <c r="A374" s="270"/>
      <c r="B374" s="270"/>
      <c r="C374" s="270"/>
      <c r="D374" s="268"/>
      <c r="E374" s="270"/>
      <c r="F374" s="268"/>
      <c r="G374" s="270"/>
      <c r="H374" s="268"/>
      <c r="I374" s="270"/>
      <c r="J374" s="268"/>
      <c r="K374" s="270"/>
      <c r="L374" s="268"/>
      <c r="M374" s="270"/>
      <c r="N374" s="268"/>
      <c r="O374" s="270"/>
      <c r="P374" s="268"/>
      <c r="Q374" s="270"/>
      <c r="R374" s="268"/>
      <c r="S374" s="270"/>
      <c r="T374" s="268"/>
      <c r="U374" s="270"/>
      <c r="V374" s="268"/>
      <c r="W374" s="270"/>
      <c r="X374" s="270"/>
      <c r="Y374" s="270"/>
      <c r="Z374" s="270"/>
      <c r="AA374" s="270"/>
    </row>
    <row r="375" spans="1:27" ht="16.899999999999999" x14ac:dyDescent="0.5">
      <c r="A375" s="270"/>
      <c r="B375" s="270"/>
      <c r="C375" s="270"/>
      <c r="D375" s="268"/>
      <c r="E375" s="270"/>
      <c r="F375" s="268"/>
      <c r="G375" s="270"/>
      <c r="H375" s="268"/>
      <c r="I375" s="270"/>
      <c r="J375" s="268"/>
      <c r="K375" s="270"/>
      <c r="L375" s="268"/>
      <c r="M375" s="270"/>
      <c r="N375" s="268"/>
      <c r="O375" s="270"/>
      <c r="P375" s="268"/>
      <c r="Q375" s="270"/>
      <c r="R375" s="268"/>
      <c r="S375" s="270"/>
      <c r="T375" s="268"/>
      <c r="U375" s="270"/>
      <c r="V375" s="268"/>
      <c r="W375" s="270"/>
      <c r="X375" s="270"/>
      <c r="Y375" s="270"/>
      <c r="Z375" s="270"/>
      <c r="AA375" s="270"/>
    </row>
    <row r="376" spans="1:27" ht="16.899999999999999" x14ac:dyDescent="0.5">
      <c r="A376" s="270"/>
      <c r="B376" s="270"/>
      <c r="C376" s="270"/>
      <c r="D376" s="268"/>
      <c r="E376" s="270"/>
      <c r="F376" s="268"/>
      <c r="G376" s="270"/>
      <c r="H376" s="268"/>
      <c r="I376" s="270"/>
      <c r="J376" s="268"/>
      <c r="K376" s="270"/>
      <c r="L376" s="268"/>
      <c r="M376" s="270"/>
      <c r="N376" s="268"/>
      <c r="O376" s="270"/>
      <c r="P376" s="268"/>
      <c r="Q376" s="270"/>
      <c r="R376" s="268"/>
      <c r="S376" s="270"/>
      <c r="T376" s="268"/>
      <c r="U376" s="270"/>
      <c r="V376" s="268"/>
      <c r="W376" s="270"/>
      <c r="X376" s="270"/>
      <c r="Y376" s="270"/>
      <c r="Z376" s="270"/>
      <c r="AA376" s="270"/>
    </row>
    <row r="377" spans="1:27" ht="16.899999999999999" x14ac:dyDescent="0.5">
      <c r="A377" s="270"/>
      <c r="B377" s="270"/>
      <c r="C377" s="270"/>
      <c r="D377" s="268"/>
      <c r="E377" s="270"/>
      <c r="F377" s="268"/>
      <c r="G377" s="270"/>
      <c r="H377" s="268"/>
      <c r="I377" s="270"/>
      <c r="J377" s="268"/>
      <c r="K377" s="270"/>
      <c r="L377" s="268"/>
      <c r="M377" s="270"/>
      <c r="N377" s="268"/>
      <c r="O377" s="270"/>
      <c r="P377" s="268"/>
      <c r="Q377" s="270"/>
      <c r="R377" s="268"/>
      <c r="S377" s="270"/>
      <c r="T377" s="268"/>
      <c r="U377" s="270"/>
      <c r="V377" s="268"/>
      <c r="W377" s="270"/>
      <c r="X377" s="270"/>
      <c r="Y377" s="270"/>
      <c r="Z377" s="270"/>
      <c r="AA377" s="270"/>
    </row>
    <row r="378" spans="1:27" ht="16.899999999999999" x14ac:dyDescent="0.5">
      <c r="A378" s="270"/>
      <c r="B378" s="270"/>
      <c r="C378" s="270"/>
      <c r="D378" s="268"/>
      <c r="E378" s="270"/>
      <c r="F378" s="268"/>
      <c r="G378" s="270"/>
      <c r="H378" s="268"/>
      <c r="I378" s="270"/>
      <c r="J378" s="268"/>
      <c r="K378" s="270"/>
      <c r="L378" s="268"/>
      <c r="M378" s="270"/>
      <c r="N378" s="268"/>
      <c r="O378" s="270"/>
      <c r="P378" s="268"/>
      <c r="Q378" s="270"/>
      <c r="R378" s="268"/>
      <c r="S378" s="270"/>
      <c r="T378" s="268"/>
      <c r="U378" s="270"/>
      <c r="V378" s="268"/>
      <c r="W378" s="270"/>
      <c r="X378" s="270"/>
      <c r="Y378" s="270"/>
      <c r="Z378" s="270"/>
      <c r="AA378" s="270"/>
    </row>
    <row r="379" spans="1:27" ht="16.899999999999999" x14ac:dyDescent="0.5">
      <c r="A379" s="270"/>
      <c r="B379" s="270"/>
      <c r="C379" s="270"/>
      <c r="D379" s="268"/>
      <c r="E379" s="270"/>
      <c r="F379" s="268"/>
      <c r="G379" s="270"/>
      <c r="H379" s="268"/>
      <c r="I379" s="270"/>
      <c r="J379" s="268"/>
      <c r="K379" s="270"/>
      <c r="L379" s="268"/>
      <c r="M379" s="270"/>
      <c r="N379" s="268"/>
      <c r="O379" s="270"/>
      <c r="P379" s="268"/>
      <c r="Q379" s="270"/>
      <c r="R379" s="268"/>
      <c r="S379" s="270"/>
      <c r="T379" s="268"/>
      <c r="U379" s="270"/>
      <c r="V379" s="268"/>
      <c r="W379" s="270"/>
      <c r="X379" s="270"/>
      <c r="Y379" s="270"/>
      <c r="Z379" s="270"/>
      <c r="AA379" s="270"/>
    </row>
    <row r="380" spans="1:27" ht="16.899999999999999" x14ac:dyDescent="0.5">
      <c r="A380" s="270"/>
      <c r="B380" s="270"/>
      <c r="C380" s="270"/>
      <c r="D380" s="268"/>
      <c r="E380" s="270"/>
      <c r="F380" s="268"/>
      <c r="G380" s="270"/>
      <c r="H380" s="268"/>
      <c r="I380" s="270"/>
      <c r="J380" s="268"/>
      <c r="K380" s="270"/>
      <c r="L380" s="268"/>
      <c r="M380" s="270"/>
      <c r="N380" s="268"/>
      <c r="O380" s="270"/>
      <c r="P380" s="268"/>
      <c r="Q380" s="270"/>
      <c r="R380" s="268"/>
      <c r="S380" s="270"/>
      <c r="T380" s="268"/>
      <c r="U380" s="270"/>
      <c r="V380" s="268"/>
      <c r="W380" s="270"/>
      <c r="X380" s="270"/>
      <c r="Y380" s="270"/>
      <c r="Z380" s="270"/>
      <c r="AA380" s="270"/>
    </row>
    <row r="381" spans="1:27" ht="16.899999999999999" x14ac:dyDescent="0.5">
      <c r="A381" s="270"/>
      <c r="B381" s="270"/>
      <c r="C381" s="270"/>
      <c r="D381" s="268"/>
      <c r="E381" s="270"/>
      <c r="F381" s="268"/>
      <c r="G381" s="270"/>
      <c r="H381" s="268"/>
      <c r="I381" s="270"/>
      <c r="J381" s="268"/>
      <c r="K381" s="270"/>
      <c r="L381" s="268"/>
      <c r="M381" s="270"/>
      <c r="N381" s="268"/>
      <c r="O381" s="270"/>
      <c r="P381" s="268"/>
      <c r="Q381" s="270"/>
      <c r="R381" s="268"/>
      <c r="S381" s="270"/>
      <c r="T381" s="268"/>
      <c r="U381" s="270"/>
      <c r="V381" s="268"/>
      <c r="W381" s="270"/>
      <c r="X381" s="270"/>
      <c r="Y381" s="270"/>
      <c r="Z381" s="270"/>
      <c r="AA381" s="270"/>
    </row>
    <row r="382" spans="1:27" ht="16.899999999999999" x14ac:dyDescent="0.5">
      <c r="A382" s="270"/>
      <c r="B382" s="270"/>
      <c r="C382" s="270"/>
      <c r="D382" s="268"/>
      <c r="E382" s="270"/>
      <c r="F382" s="268"/>
      <c r="G382" s="270"/>
      <c r="H382" s="268"/>
      <c r="I382" s="270"/>
      <c r="J382" s="268"/>
      <c r="K382" s="270"/>
      <c r="L382" s="268"/>
      <c r="M382" s="270"/>
      <c r="N382" s="268"/>
      <c r="O382" s="270"/>
      <c r="P382" s="268"/>
      <c r="Q382" s="270"/>
      <c r="R382" s="268"/>
      <c r="S382" s="270"/>
      <c r="T382" s="268"/>
      <c r="U382" s="270"/>
      <c r="V382" s="268"/>
      <c r="W382" s="270"/>
      <c r="X382" s="270"/>
      <c r="Y382" s="270"/>
      <c r="Z382" s="270"/>
      <c r="AA382" s="270"/>
    </row>
    <row r="383" spans="1:27" ht="16.899999999999999" x14ac:dyDescent="0.5">
      <c r="A383" s="270"/>
      <c r="B383" s="270"/>
      <c r="C383" s="270"/>
      <c r="D383" s="268"/>
      <c r="E383" s="270"/>
      <c r="F383" s="268"/>
      <c r="G383" s="270"/>
      <c r="H383" s="268"/>
      <c r="I383" s="270"/>
      <c r="J383" s="268"/>
      <c r="K383" s="270"/>
      <c r="L383" s="268"/>
      <c r="M383" s="270"/>
      <c r="N383" s="268"/>
      <c r="O383" s="270"/>
      <c r="P383" s="268"/>
      <c r="Q383" s="270"/>
      <c r="R383" s="268"/>
      <c r="S383" s="270"/>
      <c r="T383" s="268"/>
      <c r="U383" s="270"/>
      <c r="V383" s="268"/>
      <c r="W383" s="270"/>
      <c r="X383" s="270"/>
      <c r="Y383" s="270"/>
      <c r="Z383" s="270"/>
      <c r="AA383" s="270"/>
    </row>
    <row r="384" spans="1:27" ht="16.899999999999999" x14ac:dyDescent="0.5">
      <c r="A384" s="270"/>
      <c r="B384" s="270"/>
      <c r="C384" s="270"/>
      <c r="D384" s="268"/>
      <c r="E384" s="270"/>
      <c r="F384" s="268"/>
      <c r="G384" s="270"/>
      <c r="H384" s="268"/>
      <c r="I384" s="270"/>
      <c r="J384" s="268"/>
      <c r="K384" s="270"/>
      <c r="L384" s="268"/>
      <c r="M384" s="270"/>
      <c r="N384" s="268"/>
      <c r="O384" s="270"/>
      <c r="P384" s="268"/>
      <c r="Q384" s="270"/>
      <c r="R384" s="268"/>
      <c r="S384" s="270"/>
      <c r="T384" s="268"/>
      <c r="U384" s="270"/>
      <c r="V384" s="268"/>
      <c r="W384" s="270"/>
      <c r="X384" s="270"/>
      <c r="Y384" s="270"/>
      <c r="Z384" s="270"/>
      <c r="AA384" s="270"/>
    </row>
    <row r="385" spans="1:27" ht="16.899999999999999" x14ac:dyDescent="0.5">
      <c r="A385" s="270"/>
      <c r="B385" s="270"/>
      <c r="C385" s="270"/>
      <c r="D385" s="268"/>
      <c r="E385" s="270"/>
      <c r="F385" s="268"/>
      <c r="G385" s="270"/>
      <c r="H385" s="268"/>
      <c r="I385" s="270"/>
      <c r="J385" s="268"/>
      <c r="K385" s="270"/>
      <c r="L385" s="268"/>
      <c r="M385" s="270"/>
      <c r="N385" s="268"/>
      <c r="O385" s="270"/>
      <c r="P385" s="268"/>
      <c r="Q385" s="270"/>
      <c r="R385" s="268"/>
      <c r="S385" s="270"/>
      <c r="T385" s="268"/>
      <c r="U385" s="270"/>
      <c r="V385" s="268"/>
      <c r="W385" s="270"/>
      <c r="X385" s="270"/>
      <c r="Y385" s="270"/>
      <c r="Z385" s="270"/>
      <c r="AA385" s="270"/>
    </row>
    <row r="386" spans="1:27" ht="16.899999999999999" x14ac:dyDescent="0.5">
      <c r="A386" s="270"/>
      <c r="B386" s="270"/>
      <c r="C386" s="270"/>
      <c r="D386" s="268"/>
      <c r="E386" s="270"/>
      <c r="F386" s="268"/>
      <c r="G386" s="270"/>
      <c r="H386" s="268"/>
      <c r="I386" s="270"/>
      <c r="J386" s="268"/>
      <c r="K386" s="270"/>
      <c r="L386" s="268"/>
      <c r="M386" s="270"/>
      <c r="N386" s="268"/>
      <c r="O386" s="270"/>
      <c r="P386" s="268"/>
      <c r="Q386" s="270"/>
      <c r="R386" s="268"/>
      <c r="S386" s="270"/>
      <c r="T386" s="268"/>
      <c r="U386" s="270"/>
      <c r="V386" s="268"/>
      <c r="W386" s="270"/>
      <c r="X386" s="270"/>
      <c r="Y386" s="270"/>
      <c r="Z386" s="270"/>
      <c r="AA386" s="270"/>
    </row>
    <row r="387" spans="1:27" ht="16.899999999999999" x14ac:dyDescent="0.5">
      <c r="A387" s="270"/>
      <c r="B387" s="270"/>
      <c r="C387" s="270"/>
      <c r="D387" s="268"/>
      <c r="E387" s="270"/>
      <c r="F387" s="268"/>
      <c r="G387" s="270"/>
      <c r="H387" s="268"/>
      <c r="I387" s="270"/>
      <c r="J387" s="268"/>
      <c r="K387" s="270"/>
      <c r="L387" s="268"/>
      <c r="M387" s="270"/>
      <c r="N387" s="268"/>
      <c r="O387" s="270"/>
      <c r="P387" s="268"/>
      <c r="Q387" s="270"/>
      <c r="R387" s="268"/>
      <c r="S387" s="270"/>
      <c r="T387" s="268"/>
      <c r="U387" s="270"/>
      <c r="V387" s="268"/>
      <c r="W387" s="270"/>
      <c r="X387" s="270"/>
      <c r="Y387" s="270"/>
      <c r="Z387" s="270"/>
      <c r="AA387" s="270"/>
    </row>
    <row r="388" spans="1:27" ht="16.899999999999999" x14ac:dyDescent="0.5">
      <c r="A388" s="270"/>
      <c r="B388" s="270"/>
      <c r="C388" s="270"/>
      <c r="D388" s="268"/>
      <c r="E388" s="270"/>
      <c r="F388" s="268"/>
      <c r="G388" s="270"/>
      <c r="H388" s="268"/>
      <c r="I388" s="270"/>
      <c r="J388" s="268"/>
      <c r="K388" s="270"/>
      <c r="L388" s="268"/>
      <c r="M388" s="270"/>
      <c r="N388" s="268"/>
      <c r="O388" s="270"/>
      <c r="P388" s="268"/>
      <c r="Q388" s="270"/>
      <c r="R388" s="268"/>
      <c r="S388" s="270"/>
      <c r="T388" s="268"/>
      <c r="U388" s="270"/>
      <c r="V388" s="268"/>
      <c r="W388" s="270"/>
      <c r="X388" s="270"/>
      <c r="Y388" s="270"/>
      <c r="Z388" s="270"/>
      <c r="AA388" s="270"/>
    </row>
    <row r="389" spans="1:27" ht="16.899999999999999" x14ac:dyDescent="0.5">
      <c r="A389" s="270"/>
      <c r="B389" s="270"/>
      <c r="C389" s="270"/>
      <c r="D389" s="268"/>
      <c r="E389" s="270"/>
      <c r="F389" s="268"/>
      <c r="G389" s="270"/>
      <c r="H389" s="268"/>
      <c r="I389" s="270"/>
      <c r="J389" s="268"/>
      <c r="K389" s="270"/>
      <c r="L389" s="268"/>
      <c r="M389" s="270"/>
      <c r="N389" s="268"/>
      <c r="O389" s="270"/>
      <c r="P389" s="268"/>
      <c r="Q389" s="270"/>
      <c r="R389" s="268"/>
      <c r="S389" s="270"/>
      <c r="T389" s="268"/>
      <c r="U389" s="270"/>
      <c r="V389" s="268"/>
      <c r="W389" s="270"/>
      <c r="X389" s="270"/>
      <c r="Y389" s="270"/>
      <c r="Z389" s="270"/>
      <c r="AA389" s="270"/>
    </row>
    <row r="390" spans="1:27" ht="16.899999999999999" x14ac:dyDescent="0.5">
      <c r="A390" s="270"/>
      <c r="B390" s="270"/>
      <c r="C390" s="270"/>
      <c r="D390" s="268"/>
      <c r="E390" s="270"/>
      <c r="F390" s="268"/>
      <c r="G390" s="270"/>
      <c r="H390" s="268"/>
      <c r="I390" s="270"/>
      <c r="J390" s="268"/>
      <c r="K390" s="270"/>
      <c r="L390" s="268"/>
      <c r="M390" s="270"/>
      <c r="N390" s="268"/>
      <c r="O390" s="270"/>
      <c r="P390" s="268"/>
      <c r="Q390" s="270"/>
      <c r="R390" s="268"/>
      <c r="S390" s="270"/>
      <c r="T390" s="268"/>
      <c r="U390" s="270"/>
      <c r="V390" s="268"/>
      <c r="W390" s="270"/>
      <c r="X390" s="270"/>
      <c r="Y390" s="270"/>
      <c r="Z390" s="270"/>
      <c r="AA390" s="270"/>
    </row>
    <row r="391" spans="1:27" ht="16.899999999999999" x14ac:dyDescent="0.5">
      <c r="A391" s="270"/>
      <c r="B391" s="270"/>
      <c r="C391" s="270"/>
      <c r="D391" s="268"/>
      <c r="E391" s="270"/>
      <c r="F391" s="268"/>
      <c r="G391" s="270"/>
      <c r="H391" s="268"/>
      <c r="I391" s="270"/>
      <c r="J391" s="268"/>
      <c r="K391" s="270"/>
      <c r="L391" s="268"/>
      <c r="M391" s="270"/>
      <c r="N391" s="268"/>
      <c r="O391" s="270"/>
      <c r="P391" s="268"/>
      <c r="Q391" s="270"/>
      <c r="R391" s="268"/>
      <c r="S391" s="270"/>
      <c r="T391" s="268"/>
      <c r="U391" s="270"/>
      <c r="V391" s="268"/>
      <c r="W391" s="270"/>
      <c r="X391" s="270"/>
      <c r="Y391" s="270"/>
      <c r="Z391" s="270"/>
      <c r="AA391" s="270"/>
    </row>
    <row r="392" spans="1:27" ht="16.899999999999999" x14ac:dyDescent="0.5">
      <c r="A392" s="270"/>
      <c r="B392" s="270"/>
      <c r="C392" s="270"/>
      <c r="D392" s="268"/>
      <c r="E392" s="270"/>
      <c r="F392" s="268"/>
      <c r="G392" s="270"/>
      <c r="H392" s="268"/>
      <c r="I392" s="270"/>
      <c r="J392" s="268"/>
      <c r="K392" s="270"/>
      <c r="L392" s="268"/>
      <c r="M392" s="270"/>
      <c r="N392" s="268"/>
      <c r="O392" s="270"/>
      <c r="P392" s="268"/>
      <c r="Q392" s="270"/>
      <c r="R392" s="268"/>
      <c r="S392" s="270"/>
      <c r="T392" s="268"/>
      <c r="U392" s="270"/>
      <c r="V392" s="268"/>
      <c r="W392" s="270"/>
      <c r="X392" s="270"/>
      <c r="Y392" s="270"/>
      <c r="Z392" s="270"/>
      <c r="AA392" s="270"/>
    </row>
    <row r="393" spans="1:27" ht="16.899999999999999" x14ac:dyDescent="0.5">
      <c r="A393" s="270"/>
      <c r="B393" s="270"/>
      <c r="C393" s="270"/>
      <c r="D393" s="268"/>
      <c r="E393" s="270"/>
      <c r="F393" s="268"/>
      <c r="G393" s="270"/>
      <c r="H393" s="268"/>
      <c r="I393" s="270"/>
      <c r="J393" s="268"/>
      <c r="K393" s="270"/>
      <c r="L393" s="268"/>
      <c r="M393" s="270"/>
      <c r="N393" s="268"/>
      <c r="O393" s="270"/>
      <c r="P393" s="268"/>
      <c r="Q393" s="270"/>
      <c r="R393" s="268"/>
      <c r="S393" s="270"/>
      <c r="T393" s="268"/>
      <c r="U393" s="270"/>
      <c r="V393" s="268"/>
      <c r="W393" s="270"/>
      <c r="X393" s="270"/>
      <c r="Y393" s="270"/>
      <c r="Z393" s="270"/>
      <c r="AA393" s="270"/>
    </row>
    <row r="394" spans="1:27" ht="16.899999999999999" x14ac:dyDescent="0.5">
      <c r="A394" s="270"/>
      <c r="B394" s="270"/>
      <c r="C394" s="270"/>
      <c r="D394" s="268"/>
      <c r="E394" s="270"/>
      <c r="F394" s="268"/>
      <c r="G394" s="270"/>
      <c r="H394" s="268"/>
      <c r="I394" s="270"/>
      <c r="J394" s="268"/>
      <c r="K394" s="270"/>
      <c r="L394" s="268"/>
      <c r="M394" s="270"/>
      <c r="N394" s="268"/>
      <c r="O394" s="270"/>
      <c r="P394" s="268"/>
      <c r="Q394" s="270"/>
      <c r="R394" s="268"/>
      <c r="S394" s="270"/>
      <c r="T394" s="268"/>
      <c r="U394" s="270"/>
      <c r="V394" s="268"/>
      <c r="W394" s="270"/>
      <c r="X394" s="270"/>
      <c r="Y394" s="270"/>
      <c r="Z394" s="270"/>
      <c r="AA394" s="270"/>
    </row>
    <row r="395" spans="1:27" ht="16.899999999999999" x14ac:dyDescent="0.5">
      <c r="A395" s="270"/>
      <c r="B395" s="270"/>
      <c r="C395" s="270"/>
      <c r="D395" s="268"/>
      <c r="E395" s="270"/>
      <c r="F395" s="268"/>
      <c r="G395" s="270"/>
      <c r="H395" s="268"/>
      <c r="I395" s="270"/>
      <c r="J395" s="268"/>
      <c r="K395" s="270"/>
      <c r="L395" s="268"/>
      <c r="M395" s="270"/>
      <c r="N395" s="268"/>
      <c r="O395" s="270"/>
      <c r="P395" s="268"/>
      <c r="Q395" s="270"/>
      <c r="R395" s="268"/>
      <c r="S395" s="270"/>
      <c r="T395" s="268"/>
      <c r="U395" s="270"/>
      <c r="V395" s="268"/>
      <c r="W395" s="270"/>
      <c r="X395" s="270"/>
      <c r="Y395" s="270"/>
      <c r="Z395" s="270"/>
      <c r="AA395" s="270"/>
    </row>
    <row r="396" spans="1:27" ht="16.899999999999999" x14ac:dyDescent="0.5">
      <c r="A396" s="270"/>
      <c r="B396" s="270"/>
      <c r="C396" s="270"/>
      <c r="D396" s="268"/>
      <c r="E396" s="270"/>
      <c r="F396" s="268"/>
      <c r="G396" s="270"/>
      <c r="H396" s="268"/>
      <c r="I396" s="270"/>
      <c r="J396" s="268"/>
      <c r="K396" s="270"/>
      <c r="L396" s="268"/>
      <c r="M396" s="270"/>
      <c r="N396" s="268"/>
      <c r="O396" s="270"/>
      <c r="P396" s="268"/>
      <c r="Q396" s="270"/>
      <c r="R396" s="268"/>
      <c r="S396" s="270"/>
      <c r="T396" s="268"/>
      <c r="U396" s="270"/>
      <c r="V396" s="268"/>
      <c r="W396" s="270"/>
      <c r="X396" s="270"/>
      <c r="Y396" s="270"/>
      <c r="Z396" s="270"/>
      <c r="AA396" s="270"/>
    </row>
    <row r="397" spans="1:27" ht="16.899999999999999" x14ac:dyDescent="0.5">
      <c r="A397" s="270"/>
      <c r="B397" s="270"/>
      <c r="C397" s="270"/>
      <c r="D397" s="268"/>
      <c r="E397" s="270"/>
      <c r="F397" s="268"/>
      <c r="G397" s="270"/>
      <c r="H397" s="268"/>
      <c r="I397" s="270"/>
      <c r="J397" s="268"/>
      <c r="K397" s="270"/>
      <c r="L397" s="268"/>
      <c r="M397" s="270"/>
      <c r="N397" s="268"/>
      <c r="O397" s="270"/>
      <c r="P397" s="268"/>
      <c r="Q397" s="270"/>
      <c r="R397" s="268"/>
      <c r="S397" s="270"/>
      <c r="T397" s="268"/>
      <c r="U397" s="270"/>
      <c r="V397" s="268"/>
      <c r="W397" s="270"/>
      <c r="X397" s="270"/>
      <c r="Y397" s="270"/>
      <c r="Z397" s="270"/>
      <c r="AA397" s="270"/>
    </row>
    <row r="398" spans="1:27" ht="16.899999999999999" x14ac:dyDescent="0.5">
      <c r="A398" s="270"/>
      <c r="B398" s="270"/>
      <c r="C398" s="270"/>
      <c r="D398" s="268"/>
      <c r="E398" s="270"/>
      <c r="F398" s="268"/>
      <c r="G398" s="270"/>
      <c r="H398" s="268"/>
      <c r="I398" s="270"/>
      <c r="J398" s="268"/>
      <c r="K398" s="270"/>
      <c r="L398" s="268"/>
      <c r="M398" s="270"/>
      <c r="N398" s="268"/>
      <c r="O398" s="270"/>
      <c r="P398" s="268"/>
      <c r="Q398" s="270"/>
      <c r="R398" s="268"/>
      <c r="S398" s="270"/>
      <c r="T398" s="268"/>
      <c r="U398" s="270"/>
      <c r="V398" s="268"/>
      <c r="W398" s="270"/>
      <c r="X398" s="270"/>
      <c r="Y398" s="270"/>
      <c r="Z398" s="270"/>
      <c r="AA398" s="270"/>
    </row>
    <row r="399" spans="1:27" ht="16.899999999999999" x14ac:dyDescent="0.5">
      <c r="A399" s="270"/>
      <c r="B399" s="270"/>
      <c r="C399" s="270"/>
      <c r="D399" s="268"/>
      <c r="E399" s="270"/>
      <c r="F399" s="268"/>
      <c r="G399" s="270"/>
      <c r="H399" s="268"/>
      <c r="I399" s="270"/>
      <c r="J399" s="268"/>
      <c r="K399" s="270"/>
      <c r="L399" s="268"/>
      <c r="M399" s="270"/>
      <c r="N399" s="268"/>
      <c r="O399" s="270"/>
      <c r="P399" s="268"/>
      <c r="Q399" s="270"/>
      <c r="R399" s="268"/>
      <c r="S399" s="270"/>
      <c r="T399" s="268"/>
      <c r="U399" s="270"/>
      <c r="V399" s="268"/>
      <c r="W399" s="270"/>
      <c r="X399" s="270"/>
      <c r="Y399" s="270"/>
      <c r="Z399" s="270"/>
      <c r="AA399" s="270"/>
    </row>
    <row r="400" spans="1:27" ht="16.899999999999999" x14ac:dyDescent="0.5">
      <c r="A400" s="270"/>
      <c r="B400" s="270"/>
      <c r="C400" s="270"/>
      <c r="D400" s="268"/>
      <c r="E400" s="270"/>
      <c r="F400" s="268"/>
      <c r="G400" s="270"/>
      <c r="H400" s="268"/>
      <c r="I400" s="270"/>
      <c r="J400" s="268"/>
      <c r="K400" s="270"/>
      <c r="L400" s="268"/>
      <c r="M400" s="270"/>
      <c r="N400" s="268"/>
      <c r="O400" s="270"/>
      <c r="P400" s="268"/>
      <c r="Q400" s="270"/>
      <c r="R400" s="268"/>
      <c r="S400" s="270"/>
      <c r="T400" s="268"/>
      <c r="U400" s="270"/>
      <c r="V400" s="268"/>
      <c r="W400" s="270"/>
      <c r="X400" s="270"/>
      <c r="Y400" s="270"/>
      <c r="Z400" s="270"/>
      <c r="AA400" s="270"/>
    </row>
    <row r="401" spans="1:27" ht="16.899999999999999" x14ac:dyDescent="0.5">
      <c r="A401" s="270"/>
      <c r="B401" s="270"/>
      <c r="C401" s="270"/>
      <c r="D401" s="268"/>
      <c r="E401" s="270"/>
      <c r="F401" s="268"/>
      <c r="G401" s="270"/>
      <c r="H401" s="268"/>
      <c r="I401" s="270"/>
      <c r="J401" s="268"/>
      <c r="K401" s="270"/>
      <c r="L401" s="268"/>
      <c r="M401" s="270"/>
      <c r="N401" s="268"/>
      <c r="O401" s="270"/>
      <c r="P401" s="268"/>
      <c r="Q401" s="270"/>
      <c r="R401" s="268"/>
      <c r="S401" s="270"/>
      <c r="T401" s="268"/>
      <c r="U401" s="270"/>
      <c r="V401" s="268"/>
      <c r="W401" s="270"/>
      <c r="X401" s="270"/>
      <c r="Y401" s="270"/>
      <c r="Z401" s="270"/>
      <c r="AA401" s="270"/>
    </row>
    <row r="402" spans="1:27" ht="16.899999999999999" x14ac:dyDescent="0.5">
      <c r="A402" s="270"/>
      <c r="B402" s="270"/>
      <c r="C402" s="270"/>
      <c r="D402" s="268"/>
      <c r="E402" s="270"/>
      <c r="F402" s="268"/>
      <c r="G402" s="270"/>
      <c r="H402" s="268"/>
      <c r="I402" s="270"/>
      <c r="J402" s="268"/>
      <c r="K402" s="270"/>
      <c r="L402" s="268"/>
      <c r="M402" s="270"/>
      <c r="N402" s="268"/>
      <c r="O402" s="270"/>
      <c r="P402" s="268"/>
      <c r="Q402" s="270"/>
      <c r="R402" s="268"/>
      <c r="S402" s="270"/>
      <c r="T402" s="268"/>
      <c r="U402" s="270"/>
      <c r="V402" s="268"/>
      <c r="W402" s="270"/>
      <c r="X402" s="270"/>
      <c r="Y402" s="270"/>
      <c r="Z402" s="270"/>
      <c r="AA402" s="270"/>
    </row>
    <row r="403" spans="1:27" ht="16.899999999999999" x14ac:dyDescent="0.5">
      <c r="A403" s="270"/>
      <c r="B403" s="270"/>
      <c r="C403" s="270"/>
      <c r="D403" s="268"/>
      <c r="E403" s="270"/>
      <c r="F403" s="268"/>
      <c r="G403" s="270"/>
      <c r="H403" s="268"/>
      <c r="I403" s="270"/>
      <c r="J403" s="268"/>
      <c r="K403" s="270"/>
      <c r="L403" s="268"/>
      <c r="M403" s="270"/>
      <c r="N403" s="268"/>
      <c r="O403" s="270"/>
      <c r="P403" s="268"/>
      <c r="Q403" s="270"/>
      <c r="R403" s="268"/>
      <c r="S403" s="270"/>
      <c r="T403" s="268"/>
      <c r="U403" s="270"/>
      <c r="V403" s="268"/>
      <c r="W403" s="270"/>
      <c r="X403" s="270"/>
      <c r="Y403" s="270"/>
      <c r="Z403" s="270"/>
      <c r="AA403" s="270"/>
    </row>
    <row r="404" spans="1:27" ht="16.899999999999999" x14ac:dyDescent="0.5">
      <c r="A404" s="270"/>
      <c r="B404" s="270"/>
      <c r="C404" s="270"/>
      <c r="D404" s="268"/>
      <c r="E404" s="270"/>
      <c r="F404" s="268"/>
      <c r="G404" s="270"/>
      <c r="H404" s="268"/>
      <c r="I404" s="270"/>
      <c r="J404" s="268"/>
      <c r="K404" s="270"/>
      <c r="L404" s="268"/>
      <c r="M404" s="270"/>
      <c r="N404" s="268"/>
      <c r="O404" s="270"/>
      <c r="P404" s="268"/>
      <c r="Q404" s="270"/>
      <c r="R404" s="268"/>
      <c r="S404" s="270"/>
      <c r="T404" s="268"/>
      <c r="U404" s="270"/>
      <c r="V404" s="268"/>
      <c r="W404" s="270"/>
      <c r="X404" s="270"/>
      <c r="Y404" s="270"/>
      <c r="Z404" s="270"/>
      <c r="AA404" s="270"/>
    </row>
    <row r="405" spans="1:27" ht="16.899999999999999" x14ac:dyDescent="0.5">
      <c r="A405" s="270"/>
      <c r="B405" s="270"/>
      <c r="C405" s="270"/>
      <c r="D405" s="268"/>
      <c r="E405" s="270"/>
      <c r="F405" s="268"/>
      <c r="G405" s="270"/>
      <c r="H405" s="268"/>
      <c r="I405" s="270"/>
      <c r="J405" s="268"/>
      <c r="K405" s="270"/>
      <c r="L405" s="268"/>
      <c r="M405" s="270"/>
      <c r="N405" s="268"/>
      <c r="O405" s="270"/>
      <c r="P405" s="268"/>
      <c r="Q405" s="270"/>
      <c r="R405" s="268"/>
      <c r="S405" s="270"/>
      <c r="T405" s="268"/>
      <c r="U405" s="270"/>
      <c r="V405" s="268"/>
      <c r="W405" s="270"/>
      <c r="X405" s="270"/>
      <c r="Y405" s="270"/>
      <c r="Z405" s="270"/>
      <c r="AA405" s="270"/>
    </row>
    <row r="406" spans="1:27" ht="16.899999999999999" x14ac:dyDescent="0.5">
      <c r="A406" s="270"/>
      <c r="B406" s="270"/>
      <c r="C406" s="270"/>
      <c r="D406" s="268"/>
      <c r="E406" s="270"/>
      <c r="F406" s="268"/>
      <c r="G406" s="270"/>
      <c r="H406" s="268"/>
      <c r="I406" s="270"/>
      <c r="J406" s="268"/>
      <c r="K406" s="270"/>
      <c r="L406" s="268"/>
      <c r="M406" s="270"/>
      <c r="N406" s="268"/>
      <c r="O406" s="270"/>
      <c r="P406" s="268"/>
      <c r="Q406" s="270"/>
      <c r="R406" s="268"/>
      <c r="S406" s="270"/>
      <c r="T406" s="268"/>
      <c r="U406" s="270"/>
      <c r="V406" s="268"/>
      <c r="W406" s="270"/>
      <c r="X406" s="270"/>
      <c r="Y406" s="270"/>
      <c r="Z406" s="270"/>
      <c r="AA406" s="270"/>
    </row>
    <row r="407" spans="1:27" ht="16.899999999999999" x14ac:dyDescent="0.5">
      <c r="A407" s="270"/>
      <c r="B407" s="270"/>
      <c r="C407" s="270"/>
      <c r="D407" s="268"/>
      <c r="E407" s="270"/>
      <c r="F407" s="268"/>
      <c r="G407" s="270"/>
      <c r="H407" s="268"/>
      <c r="I407" s="270"/>
      <c r="J407" s="268"/>
      <c r="K407" s="270"/>
      <c r="L407" s="268"/>
      <c r="M407" s="270"/>
      <c r="N407" s="268"/>
      <c r="O407" s="270"/>
      <c r="P407" s="268"/>
      <c r="Q407" s="270"/>
      <c r="R407" s="268"/>
      <c r="S407" s="270"/>
      <c r="T407" s="268"/>
      <c r="U407" s="270"/>
      <c r="V407" s="268"/>
      <c r="W407" s="270"/>
      <c r="X407" s="270"/>
      <c r="Y407" s="270"/>
      <c r="Z407" s="270"/>
      <c r="AA407" s="270"/>
    </row>
    <row r="408" spans="1:27" ht="16.899999999999999" x14ac:dyDescent="0.5">
      <c r="A408" s="270"/>
      <c r="B408" s="270"/>
      <c r="C408" s="270"/>
      <c r="D408" s="268"/>
      <c r="E408" s="270"/>
      <c r="F408" s="268"/>
      <c r="G408" s="270"/>
      <c r="H408" s="268"/>
      <c r="I408" s="270"/>
      <c r="J408" s="268"/>
      <c r="K408" s="270"/>
      <c r="L408" s="268"/>
      <c r="M408" s="270"/>
      <c r="N408" s="268"/>
      <c r="O408" s="270"/>
      <c r="P408" s="268"/>
      <c r="Q408" s="270"/>
      <c r="R408" s="268"/>
      <c r="S408" s="270"/>
      <c r="T408" s="268"/>
      <c r="U408" s="270"/>
      <c r="V408" s="268"/>
      <c r="W408" s="270"/>
      <c r="X408" s="270"/>
      <c r="Y408" s="270"/>
      <c r="Z408" s="270"/>
      <c r="AA408" s="270"/>
    </row>
    <row r="409" spans="1:27" ht="16.899999999999999" x14ac:dyDescent="0.5">
      <c r="A409" s="270"/>
      <c r="B409" s="270"/>
      <c r="C409" s="270"/>
      <c r="D409" s="268"/>
      <c r="E409" s="270"/>
      <c r="F409" s="268"/>
      <c r="G409" s="270"/>
      <c r="H409" s="268"/>
      <c r="I409" s="270"/>
      <c r="J409" s="268"/>
      <c r="K409" s="270"/>
      <c r="L409" s="268"/>
      <c r="M409" s="270"/>
      <c r="N409" s="268"/>
      <c r="O409" s="270"/>
      <c r="P409" s="268"/>
      <c r="Q409" s="270"/>
      <c r="R409" s="268"/>
      <c r="S409" s="270"/>
      <c r="T409" s="268"/>
      <c r="U409" s="270"/>
      <c r="V409" s="268"/>
      <c r="W409" s="270"/>
      <c r="X409" s="270"/>
      <c r="Y409" s="270"/>
      <c r="Z409" s="270"/>
      <c r="AA409" s="270"/>
    </row>
    <row r="410" spans="1:27" ht="16.899999999999999" x14ac:dyDescent="0.5">
      <c r="A410" s="270"/>
      <c r="B410" s="270"/>
      <c r="C410" s="270"/>
      <c r="D410" s="268"/>
      <c r="E410" s="270"/>
      <c r="F410" s="268"/>
      <c r="G410" s="270"/>
      <c r="H410" s="268"/>
      <c r="I410" s="270"/>
      <c r="J410" s="268"/>
      <c r="K410" s="270"/>
      <c r="L410" s="268"/>
      <c r="M410" s="270"/>
      <c r="N410" s="268"/>
      <c r="O410" s="270"/>
      <c r="P410" s="268"/>
      <c r="Q410" s="270"/>
      <c r="R410" s="268"/>
      <c r="S410" s="270"/>
      <c r="T410" s="268"/>
      <c r="U410" s="270"/>
      <c r="V410" s="268"/>
      <c r="W410" s="270"/>
      <c r="X410" s="270"/>
      <c r="Y410" s="270"/>
      <c r="Z410" s="270"/>
      <c r="AA410" s="270"/>
    </row>
    <row r="411" spans="1:27" ht="16.899999999999999" x14ac:dyDescent="0.5">
      <c r="A411" s="270"/>
      <c r="B411" s="270"/>
      <c r="C411" s="270"/>
      <c r="D411" s="268"/>
      <c r="E411" s="270"/>
      <c r="F411" s="268"/>
      <c r="G411" s="270"/>
      <c r="H411" s="268"/>
      <c r="I411" s="270"/>
      <c r="J411" s="268"/>
      <c r="K411" s="270"/>
      <c r="L411" s="268"/>
      <c r="M411" s="270"/>
      <c r="N411" s="268"/>
      <c r="O411" s="270"/>
      <c r="P411" s="268"/>
      <c r="Q411" s="270"/>
      <c r="R411" s="268"/>
      <c r="S411" s="270"/>
      <c r="T411" s="268"/>
      <c r="U411" s="270"/>
      <c r="V411" s="268"/>
      <c r="W411" s="270"/>
      <c r="X411" s="270"/>
      <c r="Y411" s="270"/>
      <c r="Z411" s="270"/>
      <c r="AA411" s="270"/>
    </row>
    <row r="412" spans="1:27" ht="16.899999999999999" x14ac:dyDescent="0.5">
      <c r="A412" s="270"/>
      <c r="B412" s="270"/>
      <c r="C412" s="270"/>
      <c r="D412" s="268"/>
      <c r="E412" s="270"/>
      <c r="F412" s="268"/>
      <c r="G412" s="270"/>
      <c r="H412" s="268"/>
      <c r="I412" s="270"/>
      <c r="J412" s="268"/>
      <c r="K412" s="270"/>
      <c r="L412" s="268"/>
      <c r="M412" s="270"/>
      <c r="N412" s="268"/>
      <c r="O412" s="270"/>
      <c r="P412" s="268"/>
      <c r="Q412" s="270"/>
      <c r="R412" s="268"/>
      <c r="S412" s="270"/>
      <c r="T412" s="268"/>
      <c r="U412" s="270"/>
      <c r="V412" s="268"/>
      <c r="W412" s="270"/>
      <c r="X412" s="270"/>
      <c r="Y412" s="270"/>
      <c r="Z412" s="270"/>
      <c r="AA412" s="270"/>
    </row>
    <row r="413" spans="1:27" ht="16.899999999999999" x14ac:dyDescent="0.5">
      <c r="A413" s="270"/>
      <c r="B413" s="270"/>
      <c r="C413" s="270"/>
      <c r="D413" s="268"/>
      <c r="E413" s="270"/>
      <c r="F413" s="268"/>
      <c r="G413" s="270"/>
      <c r="H413" s="268"/>
      <c r="I413" s="270"/>
      <c r="J413" s="268"/>
      <c r="K413" s="270"/>
      <c r="L413" s="268"/>
      <c r="M413" s="270"/>
      <c r="N413" s="268"/>
      <c r="O413" s="270"/>
      <c r="P413" s="268"/>
      <c r="Q413" s="270"/>
      <c r="R413" s="268"/>
      <c r="S413" s="270"/>
      <c r="T413" s="268"/>
      <c r="U413" s="270"/>
      <c r="V413" s="268"/>
      <c r="W413" s="270"/>
      <c r="X413" s="270"/>
      <c r="Y413" s="270"/>
      <c r="Z413" s="270"/>
      <c r="AA413" s="270"/>
    </row>
    <row r="414" spans="1:27" ht="16.899999999999999" x14ac:dyDescent="0.5">
      <c r="A414" s="270"/>
      <c r="B414" s="270"/>
      <c r="C414" s="270"/>
      <c r="D414" s="268"/>
      <c r="E414" s="270"/>
      <c r="F414" s="268"/>
      <c r="G414" s="270"/>
      <c r="H414" s="268"/>
      <c r="I414" s="270"/>
      <c r="J414" s="268"/>
      <c r="K414" s="270"/>
      <c r="L414" s="268"/>
      <c r="M414" s="270"/>
      <c r="N414" s="268"/>
      <c r="O414" s="270"/>
      <c r="P414" s="268"/>
      <c r="Q414" s="270"/>
      <c r="R414" s="268"/>
      <c r="S414" s="270"/>
      <c r="T414" s="268"/>
      <c r="U414" s="270"/>
      <c r="V414" s="268"/>
      <c r="W414" s="270"/>
      <c r="X414" s="270"/>
      <c r="Y414" s="270"/>
      <c r="Z414" s="270"/>
      <c r="AA414" s="270"/>
    </row>
    <row r="415" spans="1:27" ht="16.899999999999999" x14ac:dyDescent="0.5">
      <c r="A415" s="270"/>
      <c r="B415" s="270"/>
      <c r="C415" s="270"/>
      <c r="D415" s="268"/>
      <c r="E415" s="270"/>
      <c r="F415" s="268"/>
      <c r="G415" s="270"/>
      <c r="H415" s="268"/>
      <c r="I415" s="270"/>
      <c r="J415" s="268"/>
      <c r="K415" s="270"/>
      <c r="L415" s="268"/>
      <c r="M415" s="270"/>
      <c r="N415" s="268"/>
      <c r="O415" s="270"/>
      <c r="P415" s="268"/>
      <c r="Q415" s="270"/>
      <c r="R415" s="268"/>
      <c r="S415" s="270"/>
      <c r="T415" s="268"/>
      <c r="U415" s="270"/>
      <c r="V415" s="268"/>
      <c r="W415" s="270"/>
      <c r="X415" s="270"/>
      <c r="Y415" s="270"/>
      <c r="Z415" s="270"/>
      <c r="AA415" s="270"/>
    </row>
    <row r="416" spans="1:27" ht="16.899999999999999" x14ac:dyDescent="0.5">
      <c r="A416" s="270"/>
      <c r="B416" s="270"/>
      <c r="C416" s="270"/>
      <c r="D416" s="268"/>
      <c r="E416" s="270"/>
      <c r="F416" s="268"/>
      <c r="G416" s="270"/>
      <c r="H416" s="268"/>
      <c r="I416" s="270"/>
      <c r="J416" s="268"/>
      <c r="K416" s="270"/>
      <c r="L416" s="268"/>
      <c r="M416" s="270"/>
      <c r="N416" s="268"/>
      <c r="O416" s="270"/>
      <c r="P416" s="268"/>
      <c r="Q416" s="270"/>
      <c r="R416" s="268"/>
      <c r="S416" s="270"/>
      <c r="T416" s="268"/>
      <c r="U416" s="270"/>
      <c r="V416" s="268"/>
      <c r="W416" s="270"/>
      <c r="X416" s="270"/>
      <c r="Y416" s="270"/>
      <c r="Z416" s="270"/>
      <c r="AA416" s="270"/>
    </row>
    <row r="417" spans="1:27" ht="16.899999999999999" x14ac:dyDescent="0.5">
      <c r="A417" s="270"/>
      <c r="B417" s="270"/>
      <c r="C417" s="270"/>
      <c r="D417" s="268"/>
      <c r="E417" s="270"/>
      <c r="F417" s="268"/>
      <c r="G417" s="270"/>
      <c r="H417" s="268"/>
      <c r="I417" s="270"/>
      <c r="J417" s="268"/>
      <c r="K417" s="270"/>
      <c r="L417" s="268"/>
      <c r="M417" s="270"/>
      <c r="N417" s="268"/>
      <c r="O417" s="270"/>
      <c r="P417" s="268"/>
      <c r="Q417" s="270"/>
      <c r="R417" s="268"/>
      <c r="S417" s="270"/>
      <c r="T417" s="268"/>
      <c r="U417" s="270"/>
      <c r="V417" s="268"/>
      <c r="W417" s="270"/>
      <c r="X417" s="270"/>
      <c r="Y417" s="270"/>
      <c r="Z417" s="270"/>
      <c r="AA417" s="270"/>
    </row>
    <row r="418" spans="1:27" ht="16.899999999999999" x14ac:dyDescent="0.5">
      <c r="A418" s="270"/>
      <c r="B418" s="270"/>
      <c r="C418" s="270"/>
      <c r="D418" s="268"/>
      <c r="E418" s="270"/>
      <c r="F418" s="268"/>
      <c r="G418" s="270"/>
      <c r="H418" s="268"/>
      <c r="I418" s="270"/>
      <c r="J418" s="268"/>
      <c r="K418" s="270"/>
      <c r="L418" s="268"/>
      <c r="M418" s="270"/>
      <c r="N418" s="268"/>
      <c r="O418" s="270"/>
      <c r="P418" s="268"/>
      <c r="Q418" s="270"/>
      <c r="R418" s="268"/>
      <c r="S418" s="270"/>
      <c r="T418" s="268"/>
      <c r="U418" s="270"/>
      <c r="V418" s="268"/>
      <c r="W418" s="270"/>
      <c r="X418" s="270"/>
      <c r="Y418" s="270"/>
      <c r="Z418" s="270"/>
      <c r="AA418" s="270"/>
    </row>
    <row r="419" spans="1:27" ht="16.899999999999999" x14ac:dyDescent="0.5">
      <c r="A419" s="270"/>
      <c r="B419" s="270"/>
      <c r="C419" s="270"/>
      <c r="D419" s="268"/>
      <c r="E419" s="270"/>
      <c r="F419" s="268"/>
      <c r="G419" s="270"/>
      <c r="H419" s="268"/>
      <c r="I419" s="270"/>
      <c r="J419" s="268"/>
      <c r="K419" s="270"/>
      <c r="L419" s="268"/>
      <c r="M419" s="270"/>
      <c r="N419" s="268"/>
      <c r="O419" s="270"/>
      <c r="P419" s="268"/>
      <c r="Q419" s="270"/>
      <c r="R419" s="268"/>
      <c r="S419" s="270"/>
      <c r="T419" s="268"/>
      <c r="U419" s="270"/>
      <c r="V419" s="268"/>
      <c r="W419" s="270"/>
      <c r="X419" s="270"/>
      <c r="Y419" s="270"/>
      <c r="Z419" s="270"/>
      <c r="AA419" s="270"/>
    </row>
    <row r="420" spans="1:27" ht="16.899999999999999" x14ac:dyDescent="0.5">
      <c r="A420" s="270"/>
      <c r="B420" s="270"/>
      <c r="C420" s="270"/>
      <c r="D420" s="268"/>
      <c r="E420" s="270"/>
      <c r="F420" s="268"/>
      <c r="G420" s="270"/>
      <c r="H420" s="268"/>
      <c r="I420" s="270"/>
      <c r="J420" s="268"/>
      <c r="K420" s="270"/>
      <c r="L420" s="268"/>
      <c r="M420" s="270"/>
      <c r="N420" s="268"/>
      <c r="O420" s="270"/>
      <c r="P420" s="268"/>
      <c r="Q420" s="270"/>
      <c r="R420" s="268"/>
      <c r="S420" s="270"/>
      <c r="T420" s="268"/>
      <c r="U420" s="270"/>
      <c r="V420" s="268"/>
      <c r="W420" s="270"/>
      <c r="X420" s="270"/>
      <c r="Y420" s="270"/>
      <c r="Z420" s="270"/>
      <c r="AA420" s="270"/>
    </row>
    <row r="421" spans="1:27" ht="16.899999999999999" x14ac:dyDescent="0.5">
      <c r="A421" s="270"/>
      <c r="B421" s="270"/>
      <c r="C421" s="270"/>
      <c r="D421" s="268"/>
      <c r="E421" s="270"/>
      <c r="F421" s="268"/>
      <c r="G421" s="270"/>
      <c r="H421" s="268"/>
      <c r="I421" s="270"/>
      <c r="J421" s="268"/>
      <c r="K421" s="270"/>
      <c r="L421" s="268"/>
      <c r="M421" s="270"/>
      <c r="N421" s="268"/>
      <c r="O421" s="270"/>
      <c r="P421" s="268"/>
      <c r="Q421" s="270"/>
      <c r="R421" s="268"/>
      <c r="S421" s="270"/>
      <c r="T421" s="268"/>
      <c r="U421" s="270"/>
      <c r="V421" s="268"/>
      <c r="W421" s="270"/>
      <c r="X421" s="270"/>
      <c r="Y421" s="270"/>
      <c r="Z421" s="270"/>
      <c r="AA421" s="270"/>
    </row>
    <row r="422" spans="1:27" ht="16.899999999999999" x14ac:dyDescent="0.5">
      <c r="A422" s="270"/>
      <c r="B422" s="270"/>
      <c r="C422" s="270"/>
      <c r="D422" s="268"/>
      <c r="E422" s="270"/>
      <c r="F422" s="268"/>
      <c r="G422" s="270"/>
      <c r="H422" s="268"/>
      <c r="I422" s="270"/>
      <c r="J422" s="268"/>
      <c r="K422" s="270"/>
      <c r="L422" s="268"/>
      <c r="M422" s="270"/>
      <c r="N422" s="268"/>
      <c r="O422" s="270"/>
      <c r="P422" s="268"/>
      <c r="Q422" s="270"/>
      <c r="R422" s="268"/>
      <c r="S422" s="270"/>
      <c r="T422" s="268"/>
      <c r="U422" s="270"/>
      <c r="V422" s="268"/>
      <c r="W422" s="270"/>
      <c r="X422" s="270"/>
      <c r="Y422" s="270"/>
      <c r="Z422" s="270"/>
      <c r="AA422" s="270"/>
    </row>
    <row r="423" spans="1:27" ht="16.899999999999999" x14ac:dyDescent="0.5">
      <c r="A423" s="270"/>
      <c r="B423" s="270"/>
      <c r="C423" s="270"/>
      <c r="D423" s="268"/>
      <c r="E423" s="270"/>
      <c r="F423" s="268"/>
      <c r="G423" s="270"/>
      <c r="H423" s="268"/>
      <c r="I423" s="270"/>
      <c r="J423" s="268"/>
      <c r="K423" s="270"/>
      <c r="L423" s="268"/>
      <c r="M423" s="270"/>
      <c r="N423" s="268"/>
      <c r="O423" s="270"/>
      <c r="P423" s="268"/>
      <c r="Q423" s="270"/>
      <c r="R423" s="268"/>
      <c r="S423" s="270"/>
      <c r="T423" s="268"/>
      <c r="U423" s="270"/>
      <c r="V423" s="268"/>
      <c r="W423" s="270"/>
      <c r="X423" s="270"/>
      <c r="Y423" s="270"/>
      <c r="Z423" s="270"/>
      <c r="AA423" s="270"/>
    </row>
    <row r="424" spans="1:27" ht="16.899999999999999" x14ac:dyDescent="0.5">
      <c r="A424" s="270"/>
      <c r="B424" s="270"/>
      <c r="C424" s="270"/>
      <c r="D424" s="268"/>
      <c r="E424" s="270"/>
      <c r="F424" s="268"/>
      <c r="G424" s="270"/>
      <c r="H424" s="268"/>
      <c r="I424" s="270"/>
      <c r="J424" s="268"/>
      <c r="K424" s="270"/>
      <c r="L424" s="268"/>
      <c r="M424" s="270"/>
      <c r="N424" s="268"/>
      <c r="O424" s="270"/>
      <c r="P424" s="268"/>
      <c r="Q424" s="270"/>
      <c r="R424" s="268"/>
      <c r="S424" s="270"/>
      <c r="T424" s="268"/>
      <c r="U424" s="270"/>
      <c r="V424" s="268"/>
      <c r="W424" s="270"/>
      <c r="X424" s="270"/>
      <c r="Y424" s="270"/>
      <c r="Z424" s="270"/>
      <c r="AA424" s="270"/>
    </row>
    <row r="425" spans="1:27" ht="16.899999999999999" x14ac:dyDescent="0.5">
      <c r="A425" s="270"/>
      <c r="B425" s="270"/>
      <c r="C425" s="270"/>
      <c r="D425" s="268"/>
      <c r="E425" s="270"/>
      <c r="F425" s="268"/>
      <c r="G425" s="270"/>
      <c r="H425" s="268"/>
      <c r="I425" s="270"/>
      <c r="J425" s="268"/>
      <c r="K425" s="270"/>
      <c r="L425" s="268"/>
      <c r="M425" s="270"/>
      <c r="N425" s="268"/>
      <c r="O425" s="270"/>
      <c r="P425" s="268"/>
      <c r="Q425" s="270"/>
      <c r="R425" s="268"/>
      <c r="S425" s="270"/>
      <c r="T425" s="268"/>
      <c r="U425" s="270"/>
      <c r="V425" s="268"/>
      <c r="W425" s="270"/>
      <c r="X425" s="270"/>
      <c r="Y425" s="270"/>
      <c r="Z425" s="270"/>
      <c r="AA425" s="270"/>
    </row>
    <row r="426" spans="1:27" ht="16.899999999999999" x14ac:dyDescent="0.5">
      <c r="A426" s="270"/>
      <c r="B426" s="270"/>
      <c r="C426" s="270"/>
      <c r="D426" s="268"/>
      <c r="E426" s="270"/>
      <c r="F426" s="268"/>
      <c r="G426" s="270"/>
      <c r="H426" s="268"/>
      <c r="I426" s="270"/>
      <c r="J426" s="268"/>
      <c r="K426" s="270"/>
      <c r="L426" s="268"/>
      <c r="M426" s="270"/>
      <c r="N426" s="268"/>
      <c r="O426" s="270"/>
      <c r="P426" s="268"/>
      <c r="Q426" s="270"/>
      <c r="R426" s="268"/>
      <c r="S426" s="270"/>
      <c r="T426" s="268"/>
      <c r="U426" s="270"/>
      <c r="V426" s="268"/>
      <c r="W426" s="270"/>
      <c r="X426" s="270"/>
      <c r="Y426" s="270"/>
      <c r="Z426" s="270"/>
      <c r="AA426" s="270"/>
    </row>
    <row r="427" spans="1:27" ht="16.899999999999999" x14ac:dyDescent="0.5">
      <c r="A427" s="270"/>
      <c r="B427" s="270"/>
      <c r="C427" s="270"/>
      <c r="D427" s="268"/>
      <c r="E427" s="270"/>
      <c r="F427" s="268"/>
      <c r="G427" s="270"/>
      <c r="H427" s="268"/>
      <c r="I427" s="270"/>
      <c r="J427" s="268"/>
      <c r="K427" s="270"/>
      <c r="L427" s="268"/>
      <c r="M427" s="270"/>
      <c r="N427" s="268"/>
      <c r="O427" s="270"/>
      <c r="P427" s="268"/>
      <c r="Q427" s="270"/>
      <c r="R427" s="268"/>
      <c r="S427" s="270"/>
      <c r="T427" s="268"/>
      <c r="U427" s="270"/>
      <c r="V427" s="268"/>
      <c r="W427" s="270"/>
      <c r="X427" s="270"/>
      <c r="Y427" s="270"/>
      <c r="Z427" s="270"/>
      <c r="AA427" s="270"/>
    </row>
    <row r="428" spans="1:27" ht="16.899999999999999" x14ac:dyDescent="0.5">
      <c r="A428" s="270"/>
      <c r="B428" s="270"/>
      <c r="C428" s="270"/>
      <c r="D428" s="268"/>
      <c r="E428" s="270"/>
      <c r="F428" s="268"/>
      <c r="G428" s="270"/>
      <c r="H428" s="268"/>
      <c r="I428" s="270"/>
      <c r="J428" s="268"/>
      <c r="K428" s="270"/>
      <c r="L428" s="268"/>
      <c r="M428" s="270"/>
      <c r="N428" s="268"/>
      <c r="O428" s="270"/>
      <c r="P428" s="268"/>
      <c r="Q428" s="270"/>
      <c r="R428" s="268"/>
      <c r="S428" s="270"/>
      <c r="T428" s="268"/>
      <c r="U428" s="270"/>
      <c r="V428" s="268"/>
      <c r="W428" s="270"/>
      <c r="X428" s="270"/>
      <c r="Y428" s="270"/>
      <c r="Z428" s="270"/>
      <c r="AA428" s="270"/>
    </row>
    <row r="429" spans="1:27" ht="16.899999999999999" x14ac:dyDescent="0.5">
      <c r="A429" s="270"/>
      <c r="B429" s="270"/>
      <c r="C429" s="270"/>
      <c r="D429" s="268"/>
      <c r="E429" s="270"/>
      <c r="F429" s="268"/>
      <c r="G429" s="270"/>
      <c r="H429" s="268"/>
      <c r="I429" s="270"/>
      <c r="J429" s="268"/>
      <c r="K429" s="270"/>
      <c r="L429" s="268"/>
      <c r="M429" s="270"/>
      <c r="N429" s="268"/>
      <c r="O429" s="270"/>
      <c r="P429" s="268"/>
      <c r="Q429" s="270"/>
      <c r="R429" s="268"/>
      <c r="S429" s="270"/>
      <c r="T429" s="268"/>
      <c r="U429" s="270"/>
      <c r="V429" s="268"/>
      <c r="W429" s="270"/>
      <c r="X429" s="270"/>
      <c r="Y429" s="270"/>
      <c r="Z429" s="270"/>
      <c r="AA429" s="270"/>
    </row>
    <row r="430" spans="1:27" ht="16.899999999999999" x14ac:dyDescent="0.5">
      <c r="A430" s="270"/>
      <c r="B430" s="270"/>
      <c r="C430" s="270"/>
      <c r="D430" s="268"/>
      <c r="E430" s="270"/>
      <c r="F430" s="268"/>
      <c r="G430" s="270"/>
      <c r="H430" s="268"/>
      <c r="I430" s="270"/>
      <c r="J430" s="268"/>
      <c r="K430" s="270"/>
      <c r="L430" s="268"/>
      <c r="M430" s="270"/>
      <c r="N430" s="268"/>
      <c r="O430" s="270"/>
      <c r="P430" s="268"/>
      <c r="Q430" s="270"/>
      <c r="R430" s="268"/>
      <c r="S430" s="270"/>
      <c r="T430" s="268"/>
      <c r="U430" s="270"/>
      <c r="V430" s="268"/>
      <c r="W430" s="270"/>
      <c r="X430" s="270"/>
      <c r="Y430" s="270"/>
      <c r="Z430" s="270"/>
      <c r="AA430" s="270"/>
    </row>
    <row r="431" spans="1:27" ht="16.899999999999999" x14ac:dyDescent="0.5">
      <c r="A431" s="270"/>
      <c r="B431" s="270"/>
      <c r="C431" s="270"/>
      <c r="D431" s="268"/>
      <c r="E431" s="270"/>
      <c r="F431" s="268"/>
      <c r="G431" s="270"/>
      <c r="H431" s="268"/>
      <c r="I431" s="270"/>
      <c r="J431" s="268"/>
      <c r="K431" s="270"/>
      <c r="L431" s="268"/>
      <c r="M431" s="270"/>
      <c r="N431" s="268"/>
      <c r="O431" s="270"/>
      <c r="P431" s="268"/>
      <c r="Q431" s="270"/>
      <c r="R431" s="268"/>
      <c r="S431" s="270"/>
      <c r="T431" s="268"/>
      <c r="U431" s="270"/>
      <c r="V431" s="268"/>
      <c r="W431" s="270"/>
      <c r="X431" s="270"/>
      <c r="Y431" s="270"/>
      <c r="Z431" s="270"/>
      <c r="AA431" s="270"/>
    </row>
    <row r="432" spans="1:27" ht="16.899999999999999" x14ac:dyDescent="0.5">
      <c r="A432" s="270"/>
      <c r="B432" s="270"/>
      <c r="C432" s="270"/>
      <c r="D432" s="268"/>
      <c r="E432" s="270"/>
      <c r="F432" s="268"/>
      <c r="G432" s="270"/>
      <c r="H432" s="268"/>
      <c r="I432" s="270"/>
      <c r="J432" s="268"/>
      <c r="K432" s="270"/>
      <c r="L432" s="268"/>
      <c r="M432" s="270"/>
      <c r="N432" s="268"/>
      <c r="O432" s="270"/>
      <c r="P432" s="268"/>
      <c r="Q432" s="270"/>
      <c r="R432" s="268"/>
      <c r="S432" s="270"/>
      <c r="T432" s="268"/>
      <c r="U432" s="270"/>
      <c r="V432" s="268"/>
      <c r="W432" s="270"/>
      <c r="X432" s="270"/>
      <c r="Y432" s="270"/>
      <c r="Z432" s="270"/>
      <c r="AA432" s="270"/>
    </row>
    <row r="433" spans="1:27" ht="16.899999999999999" x14ac:dyDescent="0.5">
      <c r="A433" s="270"/>
      <c r="B433" s="270"/>
      <c r="C433" s="270"/>
      <c r="D433" s="268"/>
      <c r="E433" s="270"/>
      <c r="F433" s="268"/>
      <c r="G433" s="270"/>
      <c r="H433" s="268"/>
      <c r="I433" s="270"/>
      <c r="J433" s="268"/>
      <c r="K433" s="270"/>
      <c r="L433" s="268"/>
      <c r="M433" s="270"/>
      <c r="N433" s="268"/>
      <c r="O433" s="270"/>
      <c r="P433" s="268"/>
      <c r="Q433" s="270"/>
      <c r="R433" s="268"/>
      <c r="S433" s="270"/>
      <c r="T433" s="268"/>
      <c r="U433" s="270"/>
      <c r="V433" s="268"/>
      <c r="W433" s="270"/>
      <c r="X433" s="270"/>
      <c r="Y433" s="270"/>
      <c r="Z433" s="270"/>
      <c r="AA433" s="270"/>
    </row>
    <row r="434" spans="1:27" ht="16.899999999999999" x14ac:dyDescent="0.5">
      <c r="A434" s="270"/>
      <c r="B434" s="270"/>
      <c r="C434" s="270"/>
      <c r="D434" s="268"/>
      <c r="E434" s="270"/>
      <c r="F434" s="268"/>
      <c r="G434" s="270"/>
      <c r="H434" s="268"/>
      <c r="I434" s="270"/>
      <c r="J434" s="268"/>
      <c r="K434" s="270"/>
      <c r="L434" s="268"/>
      <c r="M434" s="270"/>
      <c r="N434" s="268"/>
      <c r="O434" s="270"/>
      <c r="P434" s="268"/>
      <c r="Q434" s="270"/>
      <c r="R434" s="268"/>
      <c r="S434" s="270"/>
      <c r="T434" s="268"/>
      <c r="U434" s="270"/>
      <c r="V434" s="268"/>
      <c r="W434" s="270"/>
      <c r="X434" s="270"/>
      <c r="Y434" s="270"/>
      <c r="Z434" s="270"/>
      <c r="AA434" s="270"/>
    </row>
    <row r="435" spans="1:27" ht="16.899999999999999" x14ac:dyDescent="0.5">
      <c r="A435" s="270"/>
      <c r="B435" s="270"/>
      <c r="C435" s="270"/>
      <c r="D435" s="268"/>
      <c r="E435" s="270"/>
      <c r="F435" s="268"/>
      <c r="G435" s="270"/>
      <c r="H435" s="268"/>
      <c r="I435" s="270"/>
      <c r="J435" s="268"/>
      <c r="K435" s="270"/>
      <c r="L435" s="268"/>
      <c r="M435" s="270"/>
      <c r="N435" s="268"/>
      <c r="O435" s="270"/>
      <c r="P435" s="268"/>
      <c r="Q435" s="270"/>
      <c r="R435" s="268"/>
      <c r="S435" s="270"/>
      <c r="T435" s="268"/>
      <c r="U435" s="270"/>
      <c r="V435" s="268"/>
      <c r="W435" s="270"/>
      <c r="X435" s="270"/>
      <c r="Y435" s="270"/>
      <c r="Z435" s="270"/>
      <c r="AA435" s="270"/>
    </row>
    <row r="436" spans="1:27" ht="16.899999999999999" x14ac:dyDescent="0.5">
      <c r="A436" s="270"/>
      <c r="B436" s="270"/>
      <c r="C436" s="270"/>
      <c r="D436" s="268"/>
      <c r="E436" s="270"/>
      <c r="F436" s="268"/>
      <c r="G436" s="270"/>
      <c r="H436" s="268"/>
      <c r="I436" s="270"/>
      <c r="J436" s="268"/>
      <c r="K436" s="270"/>
      <c r="L436" s="268"/>
      <c r="M436" s="270"/>
      <c r="N436" s="268"/>
      <c r="O436" s="270"/>
      <c r="P436" s="268"/>
      <c r="Q436" s="270"/>
      <c r="R436" s="268"/>
      <c r="S436" s="270"/>
      <c r="T436" s="268"/>
      <c r="U436" s="270"/>
      <c r="V436" s="268"/>
      <c r="W436" s="270"/>
      <c r="X436" s="270"/>
      <c r="Y436" s="270"/>
      <c r="Z436" s="270"/>
      <c r="AA436" s="270"/>
    </row>
    <row r="437" spans="1:27" ht="16.899999999999999" x14ac:dyDescent="0.5">
      <c r="A437" s="270"/>
      <c r="B437" s="270"/>
      <c r="C437" s="270"/>
      <c r="D437" s="268"/>
      <c r="E437" s="270"/>
      <c r="F437" s="268"/>
      <c r="G437" s="270"/>
      <c r="H437" s="268"/>
      <c r="I437" s="270"/>
      <c r="J437" s="268"/>
      <c r="K437" s="270"/>
      <c r="L437" s="268"/>
      <c r="M437" s="270"/>
      <c r="N437" s="268"/>
      <c r="O437" s="270"/>
      <c r="P437" s="268"/>
      <c r="Q437" s="270"/>
      <c r="R437" s="268"/>
      <c r="S437" s="270"/>
      <c r="T437" s="268"/>
      <c r="U437" s="270"/>
      <c r="V437" s="268"/>
      <c r="W437" s="270"/>
      <c r="X437" s="270"/>
      <c r="Y437" s="270"/>
      <c r="Z437" s="270"/>
      <c r="AA437" s="270"/>
    </row>
    <row r="438" spans="1:27" ht="16.899999999999999" x14ac:dyDescent="0.5">
      <c r="A438" s="270"/>
      <c r="B438" s="270"/>
      <c r="C438" s="270"/>
      <c r="D438" s="268"/>
      <c r="E438" s="270"/>
      <c r="F438" s="268"/>
      <c r="G438" s="270"/>
      <c r="H438" s="268"/>
      <c r="I438" s="270"/>
      <c r="J438" s="268"/>
      <c r="K438" s="270"/>
      <c r="L438" s="268"/>
      <c r="M438" s="270"/>
      <c r="N438" s="268"/>
      <c r="O438" s="270"/>
      <c r="P438" s="268"/>
      <c r="Q438" s="270"/>
      <c r="R438" s="268"/>
      <c r="S438" s="270"/>
      <c r="T438" s="268"/>
      <c r="U438" s="270"/>
      <c r="V438" s="268"/>
      <c r="W438" s="270"/>
      <c r="X438" s="270"/>
      <c r="Y438" s="270"/>
      <c r="Z438" s="270"/>
      <c r="AA438" s="270"/>
    </row>
    <row r="439" spans="1:27" ht="16.899999999999999" x14ac:dyDescent="0.5">
      <c r="A439" s="270"/>
      <c r="B439" s="270"/>
      <c r="C439" s="270"/>
      <c r="D439" s="268"/>
      <c r="E439" s="270"/>
      <c r="F439" s="268"/>
      <c r="G439" s="270"/>
      <c r="H439" s="268"/>
      <c r="I439" s="270"/>
      <c r="J439" s="268"/>
      <c r="K439" s="270"/>
      <c r="L439" s="268"/>
      <c r="M439" s="270"/>
      <c r="N439" s="268"/>
      <c r="O439" s="270"/>
      <c r="P439" s="268"/>
      <c r="Q439" s="270"/>
      <c r="R439" s="268"/>
      <c r="S439" s="270"/>
      <c r="T439" s="268"/>
      <c r="U439" s="270"/>
      <c r="V439" s="268"/>
      <c r="W439" s="270"/>
      <c r="X439" s="270"/>
      <c r="Y439" s="270"/>
      <c r="Z439" s="270"/>
      <c r="AA439" s="270"/>
    </row>
    <row r="440" spans="1:27" ht="16.899999999999999" x14ac:dyDescent="0.5">
      <c r="A440" s="270"/>
      <c r="B440" s="270"/>
      <c r="C440" s="270"/>
      <c r="D440" s="268"/>
      <c r="E440" s="270"/>
      <c r="F440" s="268"/>
      <c r="G440" s="270"/>
      <c r="H440" s="268"/>
      <c r="I440" s="270"/>
      <c r="J440" s="268"/>
      <c r="K440" s="270"/>
      <c r="L440" s="268"/>
      <c r="M440" s="270"/>
      <c r="N440" s="268"/>
      <c r="O440" s="270"/>
      <c r="P440" s="268"/>
      <c r="Q440" s="270"/>
      <c r="R440" s="268"/>
      <c r="S440" s="270"/>
      <c r="T440" s="268"/>
      <c r="U440" s="270"/>
      <c r="V440" s="268"/>
      <c r="W440" s="270"/>
      <c r="X440" s="270"/>
      <c r="Y440" s="270"/>
      <c r="Z440" s="270"/>
      <c r="AA440" s="270"/>
    </row>
    <row r="441" spans="1:27" ht="16.899999999999999" x14ac:dyDescent="0.5">
      <c r="A441" s="270"/>
      <c r="B441" s="270"/>
      <c r="C441" s="270"/>
      <c r="D441" s="268"/>
      <c r="E441" s="270"/>
      <c r="F441" s="268"/>
      <c r="G441" s="270"/>
      <c r="H441" s="268"/>
      <c r="I441" s="270"/>
      <c r="J441" s="268"/>
      <c r="K441" s="270"/>
      <c r="L441" s="268"/>
      <c r="M441" s="270"/>
      <c r="N441" s="268"/>
      <c r="O441" s="270"/>
      <c r="P441" s="268"/>
      <c r="Q441" s="270"/>
      <c r="R441" s="268"/>
      <c r="S441" s="270"/>
      <c r="T441" s="268"/>
      <c r="U441" s="270"/>
      <c r="V441" s="268"/>
      <c r="W441" s="270"/>
      <c r="X441" s="270"/>
      <c r="Y441" s="270"/>
      <c r="Z441" s="270"/>
      <c r="AA441" s="270"/>
    </row>
    <row r="442" spans="1:27" ht="16.899999999999999" x14ac:dyDescent="0.5">
      <c r="A442" s="270"/>
      <c r="B442" s="270"/>
      <c r="C442" s="270"/>
      <c r="D442" s="268"/>
      <c r="E442" s="270"/>
      <c r="F442" s="268"/>
      <c r="G442" s="270"/>
      <c r="H442" s="268"/>
      <c r="I442" s="270"/>
      <c r="J442" s="268"/>
      <c r="K442" s="270"/>
      <c r="L442" s="268"/>
      <c r="M442" s="270"/>
      <c r="N442" s="268"/>
      <c r="O442" s="270"/>
      <c r="P442" s="268"/>
      <c r="Q442" s="270"/>
      <c r="R442" s="268"/>
      <c r="S442" s="270"/>
      <c r="T442" s="268"/>
      <c r="U442" s="270"/>
      <c r="V442" s="268"/>
      <c r="W442" s="270"/>
      <c r="X442" s="270"/>
      <c r="Y442" s="270"/>
      <c r="Z442" s="270"/>
      <c r="AA442" s="270"/>
    </row>
    <row r="443" spans="1:27" ht="16.899999999999999" x14ac:dyDescent="0.5">
      <c r="A443" s="270"/>
      <c r="B443" s="270"/>
      <c r="C443" s="270"/>
      <c r="D443" s="268"/>
      <c r="E443" s="270"/>
      <c r="F443" s="268"/>
      <c r="G443" s="270"/>
      <c r="H443" s="268"/>
      <c r="I443" s="270"/>
      <c r="J443" s="268"/>
      <c r="K443" s="270"/>
      <c r="L443" s="268"/>
      <c r="M443" s="270"/>
      <c r="N443" s="268"/>
      <c r="O443" s="270"/>
      <c r="P443" s="268"/>
      <c r="Q443" s="270"/>
      <c r="R443" s="268"/>
      <c r="S443" s="270"/>
      <c r="T443" s="268"/>
      <c r="U443" s="270"/>
      <c r="V443" s="268"/>
      <c r="W443" s="270"/>
      <c r="X443" s="270"/>
      <c r="Y443" s="270"/>
      <c r="Z443" s="270"/>
      <c r="AA443" s="270"/>
    </row>
    <row r="444" spans="1:27" ht="16.899999999999999" x14ac:dyDescent="0.5">
      <c r="A444" s="270"/>
      <c r="B444" s="270"/>
      <c r="C444" s="270"/>
      <c r="D444" s="268"/>
      <c r="E444" s="270"/>
      <c r="F444" s="268"/>
      <c r="G444" s="270"/>
      <c r="H444" s="268"/>
      <c r="I444" s="270"/>
      <c r="J444" s="268"/>
      <c r="K444" s="270"/>
      <c r="L444" s="268"/>
      <c r="M444" s="270"/>
      <c r="N444" s="268"/>
      <c r="O444" s="270"/>
      <c r="P444" s="268"/>
      <c r="Q444" s="270"/>
      <c r="R444" s="268"/>
      <c r="S444" s="270"/>
      <c r="T444" s="268"/>
      <c r="U444" s="270"/>
      <c r="V444" s="268"/>
      <c r="W444" s="270"/>
      <c r="X444" s="270"/>
      <c r="Y444" s="270"/>
      <c r="Z444" s="270"/>
      <c r="AA444" s="270"/>
    </row>
    <row r="445" spans="1:27" ht="16.899999999999999" x14ac:dyDescent="0.5">
      <c r="A445" s="270"/>
      <c r="B445" s="270"/>
      <c r="C445" s="270"/>
      <c r="D445" s="268"/>
      <c r="E445" s="270"/>
      <c r="F445" s="268"/>
      <c r="G445" s="270"/>
      <c r="H445" s="268"/>
      <c r="I445" s="270"/>
      <c r="J445" s="268"/>
      <c r="K445" s="270"/>
      <c r="L445" s="268"/>
      <c r="M445" s="270"/>
      <c r="N445" s="268"/>
      <c r="O445" s="270"/>
      <c r="P445" s="268"/>
      <c r="Q445" s="270"/>
      <c r="R445" s="268"/>
      <c r="S445" s="270"/>
      <c r="T445" s="268"/>
      <c r="U445" s="270"/>
      <c r="V445" s="268"/>
      <c r="W445" s="270"/>
      <c r="X445" s="270"/>
      <c r="Y445" s="270"/>
      <c r="Z445" s="270"/>
      <c r="AA445" s="270"/>
    </row>
    <row r="446" spans="1:27" ht="16.899999999999999" x14ac:dyDescent="0.5">
      <c r="A446" s="270"/>
      <c r="B446" s="270"/>
      <c r="C446" s="270"/>
      <c r="D446" s="268"/>
      <c r="E446" s="270"/>
      <c r="F446" s="268"/>
      <c r="G446" s="270"/>
      <c r="H446" s="268"/>
      <c r="I446" s="270"/>
      <c r="J446" s="268"/>
      <c r="K446" s="270"/>
      <c r="L446" s="268"/>
      <c r="M446" s="270"/>
      <c r="N446" s="268"/>
      <c r="O446" s="270"/>
      <c r="P446" s="268"/>
      <c r="Q446" s="270"/>
      <c r="R446" s="268"/>
      <c r="S446" s="270"/>
      <c r="T446" s="268"/>
      <c r="U446" s="270"/>
      <c r="V446" s="268"/>
      <c r="W446" s="270"/>
      <c r="X446" s="270"/>
      <c r="Y446" s="270"/>
      <c r="Z446" s="270"/>
      <c r="AA446" s="270"/>
    </row>
    <row r="447" spans="1:27" ht="16.899999999999999" x14ac:dyDescent="0.5">
      <c r="A447" s="270"/>
      <c r="B447" s="270"/>
      <c r="C447" s="270"/>
      <c r="D447" s="268"/>
      <c r="E447" s="270"/>
      <c r="F447" s="268"/>
      <c r="G447" s="270"/>
      <c r="H447" s="268"/>
      <c r="I447" s="270"/>
      <c r="J447" s="268"/>
      <c r="K447" s="270"/>
      <c r="L447" s="268"/>
      <c r="M447" s="270"/>
      <c r="N447" s="268"/>
      <c r="O447" s="270"/>
      <c r="P447" s="268"/>
      <c r="Q447" s="270"/>
      <c r="R447" s="268"/>
      <c r="S447" s="270"/>
      <c r="T447" s="268"/>
      <c r="U447" s="270"/>
      <c r="V447" s="268"/>
      <c r="W447" s="270"/>
      <c r="X447" s="270"/>
      <c r="Y447" s="270"/>
      <c r="Z447" s="270"/>
      <c r="AA447" s="270"/>
    </row>
    <row r="448" spans="1:27" ht="16.899999999999999" x14ac:dyDescent="0.5">
      <c r="A448" s="270"/>
      <c r="B448" s="270"/>
      <c r="C448" s="270"/>
      <c r="D448" s="268"/>
      <c r="E448" s="270"/>
      <c r="F448" s="268"/>
      <c r="G448" s="270"/>
      <c r="H448" s="268"/>
      <c r="I448" s="270"/>
      <c r="J448" s="268"/>
      <c r="K448" s="270"/>
      <c r="L448" s="268"/>
      <c r="M448" s="270"/>
      <c r="N448" s="268"/>
      <c r="O448" s="270"/>
      <c r="P448" s="268"/>
      <c r="Q448" s="270"/>
      <c r="R448" s="268"/>
      <c r="S448" s="270"/>
      <c r="T448" s="268"/>
      <c r="U448" s="270"/>
      <c r="V448" s="268"/>
      <c r="W448" s="270"/>
      <c r="X448" s="270"/>
      <c r="Y448" s="270"/>
      <c r="Z448" s="270"/>
      <c r="AA448" s="270"/>
    </row>
    <row r="449" spans="1:27" ht="16.899999999999999" x14ac:dyDescent="0.5">
      <c r="A449" s="270"/>
      <c r="B449" s="270"/>
      <c r="C449" s="270"/>
      <c r="D449" s="268"/>
      <c r="E449" s="270"/>
      <c r="F449" s="268"/>
      <c r="G449" s="270"/>
      <c r="H449" s="268"/>
      <c r="I449" s="270"/>
      <c r="J449" s="268"/>
      <c r="K449" s="270"/>
      <c r="L449" s="268"/>
      <c r="M449" s="270"/>
      <c r="N449" s="268"/>
      <c r="O449" s="270"/>
      <c r="P449" s="268"/>
      <c r="Q449" s="270"/>
      <c r="R449" s="268"/>
      <c r="S449" s="270"/>
      <c r="T449" s="268"/>
      <c r="U449" s="270"/>
      <c r="V449" s="268"/>
      <c r="W449" s="270"/>
      <c r="X449" s="270"/>
      <c r="Y449" s="270"/>
      <c r="Z449" s="270"/>
      <c r="AA449" s="270"/>
    </row>
    <row r="450" spans="1:27" ht="16.899999999999999" x14ac:dyDescent="0.5">
      <c r="A450" s="270"/>
      <c r="B450" s="270"/>
      <c r="C450" s="270"/>
      <c r="D450" s="268"/>
      <c r="E450" s="270"/>
      <c r="F450" s="268"/>
      <c r="G450" s="270"/>
      <c r="H450" s="268"/>
      <c r="I450" s="270"/>
      <c r="J450" s="268"/>
      <c r="K450" s="270"/>
      <c r="L450" s="268"/>
      <c r="M450" s="270"/>
      <c r="N450" s="268"/>
      <c r="O450" s="270"/>
      <c r="P450" s="268"/>
      <c r="Q450" s="270"/>
      <c r="R450" s="268"/>
      <c r="S450" s="270"/>
      <c r="T450" s="268"/>
      <c r="U450" s="270"/>
      <c r="V450" s="268"/>
      <c r="W450" s="270"/>
      <c r="X450" s="270"/>
      <c r="Y450" s="270"/>
      <c r="Z450" s="270"/>
      <c r="AA450" s="270"/>
    </row>
    <row r="451" spans="1:27" ht="16.899999999999999" x14ac:dyDescent="0.5">
      <c r="A451" s="270"/>
      <c r="B451" s="270"/>
      <c r="C451" s="270"/>
      <c r="D451" s="268"/>
      <c r="E451" s="270"/>
      <c r="F451" s="268"/>
      <c r="G451" s="270"/>
      <c r="H451" s="268"/>
      <c r="I451" s="270"/>
      <c r="J451" s="268"/>
      <c r="K451" s="270"/>
      <c r="L451" s="268"/>
      <c r="M451" s="270"/>
      <c r="N451" s="268"/>
      <c r="O451" s="270"/>
      <c r="P451" s="268"/>
      <c r="Q451" s="270"/>
      <c r="R451" s="268"/>
      <c r="S451" s="270"/>
      <c r="T451" s="268"/>
      <c r="U451" s="270"/>
      <c r="V451" s="268"/>
      <c r="W451" s="270"/>
      <c r="X451" s="270"/>
      <c r="Y451" s="270"/>
      <c r="Z451" s="270"/>
      <c r="AA451" s="270"/>
    </row>
    <row r="452" spans="1:27" ht="16.899999999999999" x14ac:dyDescent="0.5">
      <c r="A452" s="270"/>
      <c r="B452" s="270"/>
      <c r="C452" s="270"/>
      <c r="D452" s="268"/>
      <c r="E452" s="270"/>
      <c r="F452" s="268"/>
      <c r="G452" s="270"/>
      <c r="H452" s="268"/>
      <c r="I452" s="270"/>
      <c r="J452" s="268"/>
      <c r="K452" s="270"/>
      <c r="L452" s="268"/>
      <c r="M452" s="270"/>
      <c r="N452" s="268"/>
      <c r="O452" s="270"/>
      <c r="P452" s="268"/>
      <c r="Q452" s="270"/>
      <c r="R452" s="268"/>
      <c r="S452" s="270"/>
      <c r="T452" s="268"/>
      <c r="U452" s="270"/>
      <c r="V452" s="268"/>
      <c r="W452" s="270"/>
      <c r="X452" s="270"/>
      <c r="Y452" s="270"/>
      <c r="Z452" s="270"/>
      <c r="AA452" s="270"/>
    </row>
    <row r="453" spans="1:27" ht="16.899999999999999" x14ac:dyDescent="0.5">
      <c r="A453" s="270"/>
      <c r="B453" s="270"/>
      <c r="C453" s="270"/>
      <c r="D453" s="268"/>
      <c r="E453" s="270"/>
      <c r="F453" s="268"/>
      <c r="G453" s="270"/>
      <c r="H453" s="268"/>
      <c r="I453" s="270"/>
      <c r="J453" s="268"/>
      <c r="K453" s="270"/>
      <c r="L453" s="268"/>
      <c r="M453" s="270"/>
      <c r="N453" s="268"/>
      <c r="O453" s="270"/>
      <c r="P453" s="268"/>
      <c r="Q453" s="270"/>
      <c r="R453" s="268"/>
      <c r="S453" s="270"/>
      <c r="T453" s="268"/>
      <c r="U453" s="270"/>
      <c r="V453" s="268"/>
      <c r="W453" s="270"/>
      <c r="X453" s="270"/>
      <c r="Y453" s="270"/>
      <c r="Z453" s="270"/>
      <c r="AA453" s="270"/>
    </row>
    <row r="454" spans="1:27" ht="16.899999999999999" x14ac:dyDescent="0.5">
      <c r="A454" s="270"/>
      <c r="B454" s="270"/>
      <c r="C454" s="270"/>
      <c r="D454" s="268"/>
      <c r="E454" s="270"/>
      <c r="F454" s="268"/>
      <c r="G454" s="270"/>
      <c r="H454" s="268"/>
      <c r="I454" s="270"/>
      <c r="J454" s="268"/>
      <c r="K454" s="270"/>
      <c r="L454" s="268"/>
      <c r="M454" s="270"/>
      <c r="N454" s="268"/>
      <c r="O454" s="270"/>
      <c r="P454" s="268"/>
      <c r="Q454" s="270"/>
      <c r="R454" s="268"/>
      <c r="S454" s="270"/>
      <c r="T454" s="268"/>
      <c r="U454" s="270"/>
      <c r="V454" s="268"/>
      <c r="W454" s="270"/>
      <c r="X454" s="270"/>
      <c r="Y454" s="270"/>
      <c r="Z454" s="270"/>
      <c r="AA454" s="270"/>
    </row>
    <row r="455" spans="1:27" ht="16.899999999999999" x14ac:dyDescent="0.5">
      <c r="A455" s="270"/>
      <c r="B455" s="270"/>
      <c r="C455" s="270"/>
      <c r="D455" s="268"/>
      <c r="E455" s="270"/>
      <c r="F455" s="268"/>
      <c r="G455" s="270"/>
      <c r="H455" s="268"/>
      <c r="I455" s="270"/>
      <c r="J455" s="268"/>
      <c r="K455" s="270"/>
      <c r="L455" s="268"/>
      <c r="M455" s="270"/>
      <c r="N455" s="268"/>
      <c r="O455" s="270"/>
      <c r="P455" s="268"/>
      <c r="Q455" s="270"/>
      <c r="R455" s="268"/>
      <c r="S455" s="270"/>
      <c r="T455" s="268"/>
      <c r="U455" s="270"/>
      <c r="V455" s="268"/>
      <c r="W455" s="270"/>
      <c r="X455" s="270"/>
      <c r="Y455" s="270"/>
      <c r="Z455" s="270"/>
      <c r="AA455" s="270"/>
    </row>
    <row r="456" spans="1:27" ht="16.899999999999999" x14ac:dyDescent="0.5">
      <c r="A456" s="270"/>
      <c r="B456" s="270"/>
      <c r="C456" s="270"/>
      <c r="D456" s="268"/>
      <c r="E456" s="270"/>
      <c r="F456" s="268"/>
      <c r="G456" s="270"/>
      <c r="H456" s="268"/>
      <c r="I456" s="270"/>
      <c r="J456" s="268"/>
      <c r="K456" s="270"/>
      <c r="L456" s="268"/>
      <c r="M456" s="270"/>
      <c r="N456" s="268"/>
      <c r="O456" s="270"/>
      <c r="P456" s="268"/>
      <c r="Q456" s="270"/>
      <c r="R456" s="268"/>
      <c r="S456" s="270"/>
      <c r="T456" s="268"/>
      <c r="U456" s="270"/>
      <c r="V456" s="268"/>
      <c r="W456" s="270"/>
      <c r="X456" s="270"/>
      <c r="Y456" s="270"/>
      <c r="Z456" s="270"/>
      <c r="AA456" s="270"/>
    </row>
    <row r="457" spans="1:27" ht="16.899999999999999" x14ac:dyDescent="0.5">
      <c r="A457" s="270"/>
      <c r="B457" s="270"/>
      <c r="C457" s="270"/>
      <c r="D457" s="268"/>
      <c r="E457" s="270"/>
      <c r="F457" s="268"/>
      <c r="G457" s="270"/>
      <c r="H457" s="268"/>
      <c r="I457" s="270"/>
      <c r="J457" s="268"/>
      <c r="K457" s="270"/>
      <c r="L457" s="268"/>
      <c r="M457" s="270"/>
      <c r="N457" s="268"/>
      <c r="O457" s="270"/>
      <c r="P457" s="268"/>
      <c r="Q457" s="270"/>
      <c r="R457" s="268"/>
      <c r="S457" s="270"/>
      <c r="T457" s="268"/>
      <c r="U457" s="270"/>
      <c r="V457" s="268"/>
      <c r="W457" s="270"/>
      <c r="X457" s="270"/>
      <c r="Y457" s="270"/>
      <c r="Z457" s="270"/>
      <c r="AA457" s="270"/>
    </row>
    <row r="458" spans="1:27" ht="16.899999999999999" x14ac:dyDescent="0.5">
      <c r="A458" s="270"/>
      <c r="B458" s="270"/>
      <c r="C458" s="270"/>
      <c r="D458" s="268"/>
      <c r="E458" s="270"/>
      <c r="F458" s="268"/>
      <c r="G458" s="270"/>
      <c r="H458" s="268"/>
      <c r="I458" s="270"/>
      <c r="J458" s="268"/>
      <c r="K458" s="270"/>
      <c r="L458" s="268"/>
      <c r="M458" s="270"/>
      <c r="N458" s="268"/>
      <c r="O458" s="270"/>
      <c r="P458" s="268"/>
      <c r="Q458" s="270"/>
      <c r="R458" s="268"/>
      <c r="S458" s="270"/>
      <c r="T458" s="268"/>
      <c r="U458" s="270"/>
      <c r="V458" s="268"/>
      <c r="W458" s="270"/>
      <c r="X458" s="270"/>
      <c r="Y458" s="270"/>
      <c r="Z458" s="270"/>
      <c r="AA458" s="270"/>
    </row>
    <row r="459" spans="1:27" ht="16.899999999999999" x14ac:dyDescent="0.5">
      <c r="A459" s="270"/>
      <c r="B459" s="270"/>
      <c r="C459" s="270"/>
      <c r="D459" s="268"/>
      <c r="E459" s="270"/>
      <c r="F459" s="268"/>
      <c r="G459" s="270"/>
      <c r="H459" s="268"/>
      <c r="I459" s="270"/>
      <c r="J459" s="268"/>
      <c r="K459" s="270"/>
      <c r="L459" s="268"/>
      <c r="M459" s="270"/>
      <c r="N459" s="268"/>
      <c r="O459" s="270"/>
      <c r="P459" s="268"/>
      <c r="Q459" s="270"/>
      <c r="R459" s="268"/>
      <c r="S459" s="270"/>
      <c r="T459" s="268"/>
      <c r="U459" s="270"/>
      <c r="V459" s="268"/>
      <c r="W459" s="270"/>
      <c r="X459" s="270"/>
      <c r="Y459" s="270"/>
      <c r="Z459" s="270"/>
      <c r="AA459" s="270"/>
    </row>
    <row r="460" spans="1:27" ht="16.899999999999999" x14ac:dyDescent="0.5">
      <c r="A460" s="270"/>
      <c r="B460" s="270"/>
      <c r="C460" s="270"/>
      <c r="D460" s="268"/>
      <c r="E460" s="270"/>
      <c r="F460" s="268"/>
      <c r="G460" s="270"/>
      <c r="H460" s="268"/>
      <c r="I460" s="270"/>
      <c r="J460" s="268"/>
      <c r="K460" s="270"/>
      <c r="L460" s="268"/>
      <c r="M460" s="270"/>
      <c r="N460" s="268"/>
      <c r="O460" s="270"/>
      <c r="P460" s="268"/>
      <c r="Q460" s="270"/>
      <c r="R460" s="268"/>
      <c r="S460" s="270"/>
      <c r="T460" s="268"/>
      <c r="U460" s="270"/>
      <c r="V460" s="268"/>
      <c r="W460" s="270"/>
      <c r="X460" s="270"/>
      <c r="Y460" s="270"/>
      <c r="Z460" s="270"/>
      <c r="AA460" s="270"/>
    </row>
    <row r="461" spans="1:27" ht="16.899999999999999" x14ac:dyDescent="0.5">
      <c r="A461" s="270"/>
      <c r="B461" s="270"/>
      <c r="C461" s="270"/>
      <c r="D461" s="268"/>
      <c r="E461" s="270"/>
      <c r="F461" s="268"/>
      <c r="G461" s="270"/>
      <c r="H461" s="268"/>
      <c r="I461" s="270"/>
      <c r="J461" s="268"/>
      <c r="K461" s="270"/>
      <c r="L461" s="268"/>
      <c r="M461" s="270"/>
      <c r="N461" s="268"/>
      <c r="O461" s="270"/>
      <c r="P461" s="268"/>
      <c r="Q461" s="270"/>
      <c r="R461" s="268"/>
      <c r="S461" s="270"/>
      <c r="T461" s="268"/>
      <c r="U461" s="270"/>
      <c r="V461" s="268"/>
      <c r="W461" s="270"/>
      <c r="X461" s="270"/>
      <c r="Y461" s="270"/>
      <c r="Z461" s="270"/>
      <c r="AA461" s="270"/>
    </row>
    <row r="462" spans="1:27" ht="16.899999999999999" x14ac:dyDescent="0.5">
      <c r="A462" s="270"/>
      <c r="B462" s="270"/>
      <c r="C462" s="270"/>
      <c r="D462" s="268"/>
      <c r="E462" s="270"/>
      <c r="F462" s="268"/>
      <c r="G462" s="270"/>
      <c r="H462" s="268"/>
      <c r="I462" s="270"/>
      <c r="J462" s="268"/>
      <c r="K462" s="270"/>
      <c r="L462" s="268"/>
      <c r="M462" s="270"/>
      <c r="N462" s="268"/>
      <c r="O462" s="270"/>
      <c r="P462" s="268"/>
      <c r="Q462" s="270"/>
      <c r="R462" s="268"/>
      <c r="S462" s="270"/>
      <c r="T462" s="268"/>
      <c r="U462" s="270"/>
      <c r="V462" s="268"/>
      <c r="W462" s="270"/>
      <c r="X462" s="270"/>
      <c r="Y462" s="270"/>
      <c r="Z462" s="270"/>
      <c r="AA462" s="270"/>
    </row>
    <row r="463" spans="1:27" ht="16.899999999999999" x14ac:dyDescent="0.5">
      <c r="A463" s="270"/>
      <c r="B463" s="270"/>
      <c r="C463" s="270"/>
      <c r="D463" s="268"/>
      <c r="E463" s="270"/>
      <c r="F463" s="268"/>
      <c r="G463" s="270"/>
      <c r="H463" s="268"/>
      <c r="I463" s="270"/>
      <c r="J463" s="268"/>
      <c r="K463" s="270"/>
      <c r="L463" s="268"/>
      <c r="M463" s="270"/>
      <c r="N463" s="268"/>
      <c r="O463" s="270"/>
      <c r="P463" s="268"/>
      <c r="Q463" s="270"/>
      <c r="R463" s="268"/>
      <c r="S463" s="270"/>
      <c r="T463" s="268"/>
      <c r="U463" s="270"/>
      <c r="V463" s="268"/>
      <c r="W463" s="270"/>
      <c r="X463" s="270"/>
      <c r="Y463" s="270"/>
      <c r="Z463" s="270"/>
      <c r="AA463" s="270"/>
    </row>
    <row r="464" spans="1:27" ht="16.899999999999999" x14ac:dyDescent="0.5">
      <c r="A464" s="270"/>
      <c r="B464" s="270"/>
      <c r="C464" s="270"/>
      <c r="D464" s="268"/>
      <c r="E464" s="270"/>
      <c r="F464" s="268"/>
      <c r="G464" s="270"/>
      <c r="H464" s="268"/>
      <c r="I464" s="270"/>
      <c r="J464" s="268"/>
      <c r="K464" s="270"/>
      <c r="L464" s="268"/>
      <c r="M464" s="270"/>
      <c r="N464" s="268"/>
      <c r="O464" s="270"/>
      <c r="P464" s="268"/>
      <c r="Q464" s="270"/>
      <c r="R464" s="268"/>
      <c r="S464" s="270"/>
      <c r="T464" s="268"/>
      <c r="U464" s="270"/>
      <c r="V464" s="268"/>
      <c r="W464" s="270"/>
      <c r="X464" s="270"/>
      <c r="Y464" s="270"/>
      <c r="Z464" s="270"/>
      <c r="AA464" s="270"/>
    </row>
    <row r="465" spans="1:27" ht="16.899999999999999" x14ac:dyDescent="0.5">
      <c r="A465" s="270"/>
      <c r="B465" s="270"/>
      <c r="C465" s="270"/>
      <c r="D465" s="268"/>
      <c r="E465" s="270"/>
      <c r="F465" s="268"/>
      <c r="G465" s="270"/>
      <c r="H465" s="268"/>
      <c r="I465" s="270"/>
      <c r="J465" s="268"/>
      <c r="K465" s="270"/>
      <c r="L465" s="268"/>
      <c r="M465" s="270"/>
      <c r="N465" s="268"/>
      <c r="O465" s="270"/>
      <c r="P465" s="268"/>
      <c r="Q465" s="270"/>
      <c r="R465" s="268"/>
      <c r="S465" s="270"/>
      <c r="T465" s="268"/>
      <c r="U465" s="270"/>
      <c r="V465" s="268"/>
      <c r="W465" s="270"/>
      <c r="X465" s="270"/>
      <c r="Y465" s="270"/>
      <c r="Z465" s="270"/>
      <c r="AA465" s="270"/>
    </row>
    <row r="466" spans="1:27" ht="16.899999999999999" x14ac:dyDescent="0.5">
      <c r="A466" s="270"/>
      <c r="B466" s="270"/>
      <c r="C466" s="270"/>
      <c r="D466" s="268"/>
      <c r="E466" s="270"/>
      <c r="F466" s="268"/>
      <c r="G466" s="270"/>
      <c r="H466" s="268"/>
      <c r="I466" s="270"/>
      <c r="J466" s="268"/>
      <c r="K466" s="270"/>
      <c r="L466" s="268"/>
      <c r="M466" s="270"/>
      <c r="N466" s="268"/>
      <c r="O466" s="270"/>
      <c r="P466" s="268"/>
      <c r="Q466" s="270"/>
      <c r="R466" s="268"/>
      <c r="S466" s="270"/>
      <c r="T466" s="268"/>
      <c r="U466" s="270"/>
      <c r="V466" s="268"/>
      <c r="W466" s="270"/>
      <c r="X466" s="270"/>
      <c r="Y466" s="270"/>
      <c r="Z466" s="270"/>
      <c r="AA466" s="270"/>
    </row>
    <row r="467" spans="1:27" ht="16.899999999999999" x14ac:dyDescent="0.5">
      <c r="A467" s="270"/>
      <c r="B467" s="270"/>
      <c r="C467" s="270"/>
      <c r="D467" s="268"/>
      <c r="E467" s="270"/>
      <c r="F467" s="268"/>
      <c r="G467" s="270"/>
      <c r="H467" s="268"/>
      <c r="I467" s="270"/>
      <c r="J467" s="268"/>
      <c r="K467" s="270"/>
      <c r="L467" s="268"/>
      <c r="M467" s="270"/>
      <c r="N467" s="268"/>
      <c r="O467" s="270"/>
      <c r="P467" s="268"/>
      <c r="Q467" s="270"/>
      <c r="R467" s="268"/>
      <c r="S467" s="270"/>
      <c r="T467" s="268"/>
      <c r="U467" s="270"/>
      <c r="V467" s="268"/>
      <c r="W467" s="270"/>
      <c r="X467" s="270"/>
      <c r="Y467" s="270"/>
      <c r="Z467" s="270"/>
      <c r="AA467" s="270"/>
    </row>
    <row r="468" spans="1:27" ht="16.899999999999999" x14ac:dyDescent="0.5">
      <c r="A468" s="270"/>
      <c r="B468" s="270"/>
      <c r="C468" s="270"/>
      <c r="D468" s="268"/>
      <c r="E468" s="270"/>
      <c r="F468" s="268"/>
      <c r="G468" s="270"/>
      <c r="H468" s="268"/>
      <c r="I468" s="270"/>
      <c r="J468" s="268"/>
      <c r="K468" s="270"/>
      <c r="L468" s="268"/>
      <c r="M468" s="270"/>
      <c r="N468" s="268"/>
      <c r="O468" s="270"/>
      <c r="P468" s="268"/>
      <c r="Q468" s="270"/>
      <c r="R468" s="268"/>
      <c r="S468" s="270"/>
      <c r="T468" s="268"/>
      <c r="U468" s="270"/>
      <c r="V468" s="268"/>
      <c r="W468" s="270"/>
      <c r="X468" s="270"/>
      <c r="Y468" s="270"/>
      <c r="Z468" s="270"/>
      <c r="AA468" s="270"/>
    </row>
    <row r="469" spans="1:27" ht="16.899999999999999" x14ac:dyDescent="0.5">
      <c r="A469" s="270"/>
      <c r="B469" s="270"/>
      <c r="C469" s="270"/>
      <c r="D469" s="268"/>
      <c r="E469" s="270"/>
      <c r="F469" s="268"/>
      <c r="G469" s="270"/>
      <c r="H469" s="268"/>
      <c r="I469" s="270"/>
      <c r="J469" s="268"/>
      <c r="K469" s="270"/>
      <c r="L469" s="268"/>
      <c r="M469" s="270"/>
      <c r="N469" s="268"/>
      <c r="O469" s="270"/>
      <c r="P469" s="268"/>
      <c r="Q469" s="270"/>
      <c r="R469" s="268"/>
      <c r="S469" s="270"/>
      <c r="T469" s="268"/>
      <c r="U469" s="270"/>
      <c r="V469" s="268"/>
      <c r="W469" s="270"/>
      <c r="X469" s="270"/>
      <c r="Y469" s="270"/>
      <c r="Z469" s="270"/>
      <c r="AA469" s="270"/>
    </row>
    <row r="470" spans="1:27" ht="16.899999999999999" x14ac:dyDescent="0.5">
      <c r="A470" s="270"/>
      <c r="B470" s="270"/>
      <c r="C470" s="270"/>
      <c r="D470" s="268"/>
      <c r="E470" s="270"/>
      <c r="F470" s="268"/>
      <c r="G470" s="270"/>
      <c r="H470" s="268"/>
      <c r="I470" s="270"/>
      <c r="J470" s="268"/>
      <c r="K470" s="270"/>
      <c r="L470" s="268"/>
      <c r="M470" s="270"/>
      <c r="N470" s="268"/>
      <c r="O470" s="270"/>
      <c r="P470" s="268"/>
      <c r="Q470" s="270"/>
      <c r="R470" s="268"/>
      <c r="S470" s="270"/>
      <c r="T470" s="268"/>
      <c r="U470" s="270"/>
      <c r="V470" s="268"/>
      <c r="W470" s="270"/>
      <c r="X470" s="270"/>
      <c r="Y470" s="270"/>
      <c r="Z470" s="270"/>
      <c r="AA470" s="270"/>
    </row>
    <row r="471" spans="1:27" ht="16.899999999999999" x14ac:dyDescent="0.5">
      <c r="A471" s="270"/>
      <c r="B471" s="270"/>
      <c r="C471" s="270"/>
      <c r="D471" s="268"/>
      <c r="E471" s="270"/>
      <c r="F471" s="268"/>
      <c r="G471" s="270"/>
      <c r="H471" s="268"/>
      <c r="I471" s="270"/>
      <c r="J471" s="268"/>
      <c r="K471" s="270"/>
      <c r="L471" s="268"/>
      <c r="M471" s="270"/>
      <c r="N471" s="268"/>
      <c r="O471" s="270"/>
      <c r="P471" s="268"/>
      <c r="Q471" s="270"/>
      <c r="R471" s="268"/>
      <c r="S471" s="270"/>
      <c r="T471" s="268"/>
      <c r="U471" s="270"/>
      <c r="V471" s="268"/>
      <c r="W471" s="270"/>
      <c r="X471" s="270"/>
      <c r="Y471" s="270"/>
      <c r="Z471" s="270"/>
      <c r="AA471" s="270"/>
    </row>
    <row r="472" spans="1:27" ht="16.899999999999999" x14ac:dyDescent="0.5">
      <c r="A472" s="270"/>
      <c r="B472" s="270"/>
      <c r="C472" s="270"/>
      <c r="D472" s="268"/>
      <c r="E472" s="270"/>
      <c r="F472" s="268"/>
      <c r="G472" s="270"/>
      <c r="H472" s="268"/>
      <c r="I472" s="270"/>
      <c r="J472" s="268"/>
      <c r="K472" s="270"/>
      <c r="L472" s="268"/>
      <c r="M472" s="270"/>
      <c r="N472" s="268"/>
      <c r="O472" s="270"/>
      <c r="P472" s="268"/>
      <c r="Q472" s="270"/>
      <c r="R472" s="268"/>
      <c r="S472" s="270"/>
      <c r="T472" s="268"/>
      <c r="U472" s="270"/>
      <c r="V472" s="268"/>
      <c r="W472" s="270"/>
      <c r="X472" s="270"/>
      <c r="Y472" s="270"/>
      <c r="Z472" s="270"/>
      <c r="AA472" s="270"/>
    </row>
    <row r="473" spans="1:27" ht="16.899999999999999" x14ac:dyDescent="0.5">
      <c r="A473" s="270"/>
      <c r="B473" s="270"/>
      <c r="C473" s="270"/>
      <c r="D473" s="268"/>
      <c r="E473" s="270"/>
      <c r="F473" s="268"/>
      <c r="G473" s="270"/>
      <c r="H473" s="268"/>
      <c r="I473" s="270"/>
      <c r="J473" s="268"/>
      <c r="K473" s="270"/>
      <c r="L473" s="268"/>
      <c r="M473" s="270"/>
      <c r="N473" s="268"/>
      <c r="O473" s="270"/>
      <c r="P473" s="268"/>
      <c r="Q473" s="270"/>
      <c r="R473" s="268"/>
      <c r="S473" s="270"/>
      <c r="T473" s="268"/>
      <c r="U473" s="270"/>
      <c r="V473" s="268"/>
      <c r="W473" s="270"/>
      <c r="X473" s="270"/>
      <c r="Y473" s="270"/>
      <c r="Z473" s="270"/>
      <c r="AA473" s="270"/>
    </row>
    <row r="474" spans="1:27" ht="16.899999999999999" x14ac:dyDescent="0.5">
      <c r="A474" s="270"/>
      <c r="B474" s="270"/>
      <c r="C474" s="270"/>
      <c r="D474" s="268"/>
      <c r="E474" s="270"/>
      <c r="F474" s="268"/>
      <c r="G474" s="270"/>
      <c r="H474" s="268"/>
      <c r="I474" s="270"/>
      <c r="J474" s="268"/>
      <c r="K474" s="270"/>
      <c r="L474" s="268"/>
      <c r="M474" s="270"/>
      <c r="N474" s="268"/>
      <c r="O474" s="270"/>
      <c r="P474" s="268"/>
      <c r="Q474" s="270"/>
      <c r="R474" s="268"/>
      <c r="S474" s="270"/>
      <c r="T474" s="268"/>
      <c r="U474" s="270"/>
      <c r="V474" s="268"/>
      <c r="W474" s="270"/>
      <c r="X474" s="270"/>
      <c r="Y474" s="270"/>
      <c r="Z474" s="270"/>
      <c r="AA474" s="270"/>
    </row>
    <row r="475" spans="1:27" ht="16.899999999999999" x14ac:dyDescent="0.5">
      <c r="A475" s="270"/>
      <c r="B475" s="270"/>
      <c r="C475" s="270"/>
      <c r="D475" s="268"/>
      <c r="E475" s="270"/>
      <c r="F475" s="268"/>
      <c r="G475" s="270"/>
      <c r="H475" s="268"/>
      <c r="I475" s="270"/>
      <c r="J475" s="268"/>
      <c r="K475" s="270"/>
      <c r="L475" s="268"/>
      <c r="M475" s="270"/>
      <c r="N475" s="268"/>
      <c r="O475" s="270"/>
      <c r="P475" s="268"/>
      <c r="Q475" s="270"/>
      <c r="R475" s="268"/>
      <c r="S475" s="270"/>
      <c r="T475" s="268"/>
      <c r="U475" s="270"/>
      <c r="V475" s="268"/>
      <c r="W475" s="270"/>
      <c r="X475" s="270"/>
      <c r="Y475" s="270"/>
      <c r="Z475" s="270"/>
      <c r="AA475" s="270"/>
    </row>
    <row r="476" spans="1:27" ht="16.899999999999999" x14ac:dyDescent="0.5">
      <c r="A476" s="270"/>
      <c r="B476" s="270"/>
      <c r="C476" s="270"/>
      <c r="D476" s="268"/>
      <c r="E476" s="270"/>
      <c r="F476" s="268"/>
      <c r="G476" s="270"/>
      <c r="H476" s="268"/>
      <c r="I476" s="270"/>
      <c r="J476" s="268"/>
      <c r="K476" s="270"/>
      <c r="L476" s="268"/>
      <c r="M476" s="270"/>
      <c r="N476" s="268"/>
      <c r="O476" s="270"/>
      <c r="P476" s="268"/>
      <c r="Q476" s="270"/>
      <c r="R476" s="268"/>
      <c r="S476" s="270"/>
      <c r="T476" s="268"/>
      <c r="U476" s="270"/>
      <c r="V476" s="268"/>
      <c r="W476" s="270"/>
      <c r="X476" s="270"/>
      <c r="Y476" s="270"/>
      <c r="Z476" s="270"/>
      <c r="AA476" s="270"/>
    </row>
    <row r="477" spans="1:27" ht="16.899999999999999" x14ac:dyDescent="0.5">
      <c r="A477" s="270"/>
      <c r="B477" s="270"/>
      <c r="C477" s="270"/>
      <c r="D477" s="268"/>
      <c r="E477" s="270"/>
      <c r="F477" s="268"/>
      <c r="G477" s="270"/>
      <c r="H477" s="268"/>
      <c r="I477" s="270"/>
      <c r="J477" s="268"/>
      <c r="K477" s="270"/>
      <c r="L477" s="268"/>
      <c r="M477" s="270"/>
      <c r="N477" s="268"/>
      <c r="O477" s="270"/>
      <c r="P477" s="268"/>
      <c r="Q477" s="270"/>
      <c r="R477" s="268"/>
      <c r="S477" s="270"/>
      <c r="T477" s="268"/>
      <c r="U477" s="270"/>
      <c r="V477" s="268"/>
      <c r="W477" s="270"/>
      <c r="X477" s="270"/>
      <c r="Y477" s="270"/>
      <c r="Z477" s="270"/>
      <c r="AA477" s="270"/>
    </row>
    <row r="478" spans="1:27" ht="16.899999999999999" x14ac:dyDescent="0.5">
      <c r="A478" s="270"/>
      <c r="B478" s="270"/>
      <c r="C478" s="270"/>
      <c r="D478" s="268"/>
      <c r="E478" s="270"/>
      <c r="F478" s="268"/>
      <c r="G478" s="270"/>
      <c r="H478" s="268"/>
      <c r="I478" s="270"/>
      <c r="J478" s="268"/>
      <c r="K478" s="270"/>
      <c r="L478" s="268"/>
      <c r="M478" s="270"/>
      <c r="N478" s="268"/>
      <c r="O478" s="270"/>
      <c r="P478" s="268"/>
      <c r="Q478" s="270"/>
      <c r="R478" s="268"/>
      <c r="S478" s="270"/>
      <c r="T478" s="268"/>
      <c r="U478" s="270"/>
      <c r="V478" s="268"/>
      <c r="W478" s="270"/>
      <c r="X478" s="270"/>
      <c r="Y478" s="270"/>
      <c r="Z478" s="270"/>
      <c r="AA478" s="270"/>
    </row>
    <row r="479" spans="1:27" ht="16.899999999999999" x14ac:dyDescent="0.5">
      <c r="A479" s="270"/>
      <c r="B479" s="270"/>
      <c r="C479" s="270"/>
      <c r="D479" s="268"/>
      <c r="E479" s="270"/>
      <c r="F479" s="268"/>
      <c r="G479" s="270"/>
      <c r="H479" s="268"/>
      <c r="I479" s="270"/>
      <c r="J479" s="268"/>
      <c r="K479" s="270"/>
      <c r="L479" s="268"/>
      <c r="M479" s="270"/>
      <c r="N479" s="268"/>
      <c r="O479" s="270"/>
      <c r="P479" s="268"/>
      <c r="Q479" s="270"/>
      <c r="R479" s="268"/>
      <c r="S479" s="270"/>
      <c r="T479" s="268"/>
      <c r="U479" s="270"/>
      <c r="V479" s="268"/>
      <c r="W479" s="270"/>
      <c r="X479" s="270"/>
      <c r="Y479" s="270"/>
      <c r="Z479" s="270"/>
      <c r="AA479" s="270"/>
    </row>
    <row r="480" spans="1:27" ht="16.899999999999999" x14ac:dyDescent="0.5">
      <c r="A480" s="270"/>
      <c r="B480" s="270"/>
      <c r="C480" s="270"/>
      <c r="D480" s="268"/>
      <c r="E480" s="270"/>
      <c r="F480" s="268"/>
      <c r="G480" s="270"/>
      <c r="H480" s="268"/>
      <c r="I480" s="270"/>
      <c r="J480" s="268"/>
      <c r="K480" s="270"/>
      <c r="L480" s="268"/>
      <c r="M480" s="270"/>
      <c r="N480" s="268"/>
      <c r="O480" s="270"/>
      <c r="P480" s="268"/>
      <c r="Q480" s="270"/>
      <c r="R480" s="268"/>
      <c r="S480" s="270"/>
      <c r="T480" s="268"/>
      <c r="U480" s="270"/>
      <c r="V480" s="268"/>
      <c r="W480" s="270"/>
      <c r="X480" s="270"/>
      <c r="Y480" s="270"/>
      <c r="Z480" s="270"/>
      <c r="AA480" s="270"/>
    </row>
    <row r="481" spans="1:27" ht="16.899999999999999" x14ac:dyDescent="0.5">
      <c r="A481" s="270"/>
      <c r="B481" s="270"/>
      <c r="C481" s="270"/>
      <c r="D481" s="268"/>
      <c r="E481" s="270"/>
      <c r="F481" s="268"/>
      <c r="G481" s="270"/>
      <c r="H481" s="268"/>
      <c r="I481" s="270"/>
      <c r="J481" s="268"/>
      <c r="K481" s="270"/>
      <c r="L481" s="268"/>
      <c r="M481" s="270"/>
      <c r="N481" s="268"/>
      <c r="O481" s="270"/>
      <c r="P481" s="268"/>
      <c r="Q481" s="270"/>
      <c r="R481" s="268"/>
      <c r="S481" s="270"/>
      <c r="T481" s="268"/>
      <c r="U481" s="270"/>
      <c r="V481" s="268"/>
      <c r="W481" s="270"/>
      <c r="X481" s="270"/>
      <c r="Y481" s="270"/>
      <c r="Z481" s="270"/>
      <c r="AA481" s="270"/>
    </row>
    <row r="482" spans="1:27" ht="16.899999999999999" x14ac:dyDescent="0.5">
      <c r="A482" s="270"/>
      <c r="B482" s="270"/>
      <c r="C482" s="270"/>
      <c r="D482" s="268"/>
      <c r="E482" s="270"/>
      <c r="F482" s="268"/>
      <c r="G482" s="270"/>
      <c r="H482" s="268"/>
      <c r="I482" s="270"/>
      <c r="J482" s="268"/>
      <c r="K482" s="270"/>
      <c r="L482" s="268"/>
      <c r="M482" s="270"/>
      <c r="N482" s="268"/>
      <c r="O482" s="270"/>
      <c r="P482" s="268"/>
      <c r="Q482" s="270"/>
      <c r="R482" s="268"/>
      <c r="S482" s="270"/>
      <c r="T482" s="268"/>
      <c r="U482" s="270"/>
      <c r="V482" s="268"/>
      <c r="W482" s="270"/>
      <c r="X482" s="270"/>
      <c r="Y482" s="270"/>
      <c r="Z482" s="270"/>
      <c r="AA482" s="270"/>
    </row>
    <row r="483" spans="1:27" ht="16.899999999999999" x14ac:dyDescent="0.5">
      <c r="A483" s="270"/>
      <c r="B483" s="270"/>
      <c r="C483" s="270"/>
      <c r="D483" s="268"/>
      <c r="E483" s="270"/>
      <c r="F483" s="268"/>
      <c r="G483" s="270"/>
      <c r="H483" s="268"/>
      <c r="I483" s="270"/>
      <c r="J483" s="268"/>
      <c r="K483" s="270"/>
      <c r="L483" s="268"/>
      <c r="M483" s="270"/>
      <c r="N483" s="268"/>
      <c r="O483" s="270"/>
      <c r="P483" s="268"/>
      <c r="Q483" s="270"/>
      <c r="R483" s="268"/>
      <c r="S483" s="270"/>
      <c r="T483" s="268"/>
      <c r="U483" s="270"/>
      <c r="V483" s="268"/>
      <c r="W483" s="270"/>
      <c r="X483" s="270"/>
      <c r="Y483" s="270"/>
      <c r="Z483" s="270"/>
      <c r="AA483" s="270"/>
    </row>
    <row r="484" spans="1:27" ht="16.899999999999999" x14ac:dyDescent="0.5">
      <c r="A484" s="270"/>
      <c r="B484" s="270"/>
      <c r="C484" s="270"/>
      <c r="D484" s="268"/>
      <c r="E484" s="270"/>
      <c r="F484" s="268"/>
      <c r="G484" s="270"/>
      <c r="H484" s="268"/>
      <c r="I484" s="270"/>
      <c r="J484" s="268"/>
      <c r="K484" s="270"/>
      <c r="L484" s="268"/>
      <c r="M484" s="270"/>
      <c r="N484" s="268"/>
      <c r="O484" s="270"/>
      <c r="P484" s="268"/>
      <c r="Q484" s="270"/>
      <c r="R484" s="268"/>
      <c r="S484" s="270"/>
      <c r="T484" s="268"/>
      <c r="U484" s="270"/>
      <c r="V484" s="268"/>
      <c r="W484" s="270"/>
      <c r="X484" s="270"/>
      <c r="Y484" s="270"/>
      <c r="Z484" s="270"/>
      <c r="AA484" s="270"/>
    </row>
    <row r="485" spans="1:27" ht="16.899999999999999" x14ac:dyDescent="0.5">
      <c r="A485" s="270"/>
      <c r="B485" s="270"/>
      <c r="C485" s="270"/>
      <c r="D485" s="268"/>
      <c r="E485" s="270"/>
      <c r="F485" s="268"/>
      <c r="G485" s="270"/>
      <c r="H485" s="268"/>
      <c r="I485" s="270"/>
      <c r="J485" s="268"/>
      <c r="K485" s="270"/>
      <c r="L485" s="268"/>
      <c r="M485" s="270"/>
      <c r="N485" s="268"/>
      <c r="O485" s="270"/>
      <c r="P485" s="268"/>
      <c r="Q485" s="270"/>
      <c r="R485" s="268"/>
      <c r="S485" s="270"/>
      <c r="T485" s="268"/>
      <c r="U485" s="270"/>
      <c r="V485" s="268"/>
      <c r="W485" s="270"/>
      <c r="X485" s="270"/>
      <c r="Y485" s="270"/>
      <c r="Z485" s="270"/>
      <c r="AA485" s="270"/>
    </row>
    <row r="486" spans="1:27" ht="16.899999999999999" x14ac:dyDescent="0.5">
      <c r="A486" s="270"/>
      <c r="B486" s="270"/>
      <c r="C486" s="270"/>
      <c r="D486" s="268"/>
      <c r="E486" s="270"/>
      <c r="F486" s="268"/>
      <c r="G486" s="270"/>
      <c r="H486" s="268"/>
      <c r="I486" s="270"/>
      <c r="J486" s="268"/>
      <c r="K486" s="270"/>
      <c r="L486" s="268"/>
      <c r="M486" s="270"/>
      <c r="N486" s="268"/>
      <c r="O486" s="270"/>
      <c r="P486" s="268"/>
      <c r="Q486" s="270"/>
      <c r="R486" s="268"/>
      <c r="S486" s="270"/>
      <c r="T486" s="268"/>
      <c r="U486" s="270"/>
      <c r="V486" s="268"/>
      <c r="W486" s="270"/>
      <c r="X486" s="270"/>
      <c r="Y486" s="270"/>
      <c r="Z486" s="270"/>
      <c r="AA486" s="270"/>
    </row>
    <row r="487" spans="1:27" ht="16.899999999999999" x14ac:dyDescent="0.5">
      <c r="A487" s="270"/>
      <c r="B487" s="270"/>
      <c r="C487" s="270"/>
      <c r="D487" s="268"/>
      <c r="E487" s="270"/>
      <c r="F487" s="268"/>
      <c r="G487" s="270"/>
      <c r="H487" s="268"/>
      <c r="I487" s="270"/>
      <c r="J487" s="268"/>
      <c r="K487" s="270"/>
      <c r="L487" s="268"/>
      <c r="M487" s="270"/>
      <c r="N487" s="268"/>
      <c r="O487" s="270"/>
      <c r="P487" s="268"/>
      <c r="Q487" s="270"/>
      <c r="R487" s="268"/>
      <c r="S487" s="270"/>
      <c r="T487" s="268"/>
      <c r="U487" s="270"/>
      <c r="V487" s="268"/>
      <c r="W487" s="270"/>
      <c r="X487" s="270"/>
      <c r="Y487" s="270"/>
      <c r="Z487" s="270"/>
      <c r="AA487" s="270"/>
    </row>
    <row r="488" spans="1:27" ht="16.899999999999999" x14ac:dyDescent="0.5">
      <c r="A488" s="270"/>
      <c r="B488" s="270"/>
      <c r="C488" s="270"/>
      <c r="D488" s="268"/>
      <c r="E488" s="270"/>
      <c r="F488" s="268"/>
      <c r="G488" s="270"/>
      <c r="H488" s="268"/>
      <c r="I488" s="270"/>
      <c r="J488" s="268"/>
      <c r="K488" s="270"/>
      <c r="L488" s="268"/>
      <c r="M488" s="270"/>
      <c r="N488" s="268"/>
      <c r="O488" s="270"/>
      <c r="P488" s="268"/>
      <c r="Q488" s="270"/>
      <c r="R488" s="268"/>
      <c r="S488" s="270"/>
      <c r="T488" s="268"/>
      <c r="U488" s="270"/>
      <c r="V488" s="268"/>
      <c r="W488" s="270"/>
      <c r="X488" s="270"/>
      <c r="Y488" s="270"/>
      <c r="Z488" s="270"/>
      <c r="AA488" s="270"/>
    </row>
    <row r="489" spans="1:27" ht="16.899999999999999" x14ac:dyDescent="0.5">
      <c r="A489" s="270"/>
      <c r="B489" s="270"/>
      <c r="C489" s="270"/>
      <c r="D489" s="268"/>
      <c r="E489" s="270"/>
      <c r="F489" s="268"/>
      <c r="G489" s="270"/>
      <c r="H489" s="268"/>
      <c r="I489" s="270"/>
      <c r="J489" s="268"/>
      <c r="K489" s="270"/>
      <c r="L489" s="268"/>
      <c r="M489" s="270"/>
      <c r="N489" s="268"/>
      <c r="O489" s="270"/>
      <c r="P489" s="268"/>
      <c r="Q489" s="270"/>
      <c r="R489" s="268"/>
      <c r="S489" s="270"/>
      <c r="T489" s="268"/>
      <c r="U489" s="270"/>
      <c r="V489" s="268"/>
      <c r="W489" s="270"/>
      <c r="X489" s="270"/>
      <c r="Y489" s="270"/>
      <c r="Z489" s="270"/>
      <c r="AA489" s="270"/>
    </row>
    <row r="490" spans="1:27" ht="16.899999999999999" x14ac:dyDescent="0.5">
      <c r="A490" s="270"/>
      <c r="B490" s="270"/>
      <c r="C490" s="270"/>
      <c r="D490" s="268"/>
      <c r="E490" s="270"/>
      <c r="F490" s="268"/>
      <c r="G490" s="270"/>
      <c r="H490" s="268"/>
      <c r="I490" s="270"/>
      <c r="J490" s="268"/>
      <c r="K490" s="270"/>
      <c r="L490" s="268"/>
      <c r="M490" s="270"/>
      <c r="N490" s="268"/>
      <c r="O490" s="270"/>
      <c r="P490" s="268"/>
      <c r="Q490" s="270"/>
      <c r="R490" s="268"/>
      <c r="S490" s="270"/>
      <c r="T490" s="268"/>
      <c r="U490" s="270"/>
      <c r="V490" s="268"/>
      <c r="W490" s="270"/>
      <c r="X490" s="270"/>
      <c r="Y490" s="270"/>
      <c r="Z490" s="270"/>
      <c r="AA490" s="270"/>
    </row>
    <row r="491" spans="1:27" ht="16.899999999999999" x14ac:dyDescent="0.5">
      <c r="A491" s="270"/>
      <c r="B491" s="270"/>
      <c r="C491" s="270"/>
      <c r="D491" s="268"/>
      <c r="E491" s="270"/>
      <c r="F491" s="268"/>
      <c r="G491" s="270"/>
      <c r="H491" s="268"/>
      <c r="I491" s="270"/>
      <c r="J491" s="268"/>
      <c r="K491" s="270"/>
      <c r="L491" s="268"/>
      <c r="M491" s="270"/>
      <c r="N491" s="268"/>
      <c r="O491" s="270"/>
      <c r="P491" s="268"/>
      <c r="Q491" s="270"/>
      <c r="R491" s="268"/>
      <c r="S491" s="270"/>
      <c r="T491" s="268"/>
      <c r="U491" s="270"/>
      <c r="V491" s="268"/>
      <c r="W491" s="270"/>
      <c r="X491" s="270"/>
      <c r="Y491" s="270"/>
      <c r="Z491" s="270"/>
      <c r="AA491" s="270"/>
    </row>
    <row r="492" spans="1:27" ht="16.899999999999999" x14ac:dyDescent="0.5">
      <c r="A492" s="270"/>
      <c r="B492" s="270"/>
      <c r="C492" s="270"/>
      <c r="D492" s="268"/>
      <c r="E492" s="270"/>
      <c r="F492" s="268"/>
      <c r="G492" s="270"/>
      <c r="H492" s="268"/>
      <c r="I492" s="270"/>
      <c r="J492" s="268"/>
      <c r="K492" s="270"/>
      <c r="L492" s="268"/>
      <c r="M492" s="270"/>
      <c r="N492" s="268"/>
      <c r="O492" s="270"/>
      <c r="P492" s="268"/>
      <c r="Q492" s="270"/>
      <c r="R492" s="268"/>
      <c r="S492" s="270"/>
      <c r="T492" s="268"/>
      <c r="U492" s="270"/>
      <c r="V492" s="268"/>
      <c r="W492" s="270"/>
      <c r="X492" s="270"/>
      <c r="Y492" s="270"/>
      <c r="Z492" s="270"/>
      <c r="AA492" s="270"/>
    </row>
    <row r="493" spans="1:27" ht="16.899999999999999" x14ac:dyDescent="0.5">
      <c r="A493" s="270"/>
      <c r="B493" s="270"/>
      <c r="C493" s="270"/>
      <c r="D493" s="268"/>
      <c r="E493" s="270"/>
      <c r="F493" s="268"/>
      <c r="G493" s="270"/>
      <c r="H493" s="268"/>
      <c r="I493" s="270"/>
      <c r="J493" s="268"/>
      <c r="K493" s="270"/>
      <c r="L493" s="268"/>
      <c r="M493" s="270"/>
      <c r="N493" s="268"/>
      <c r="O493" s="270"/>
      <c r="P493" s="268"/>
      <c r="Q493" s="270"/>
      <c r="R493" s="268"/>
      <c r="S493" s="270"/>
      <c r="T493" s="268"/>
      <c r="U493" s="270"/>
      <c r="V493" s="268"/>
      <c r="W493" s="270"/>
      <c r="X493" s="270"/>
      <c r="Y493" s="270"/>
      <c r="Z493" s="270"/>
      <c r="AA493" s="270"/>
    </row>
    <row r="494" spans="1:27" ht="16.899999999999999" x14ac:dyDescent="0.5">
      <c r="A494" s="270"/>
      <c r="B494" s="270"/>
      <c r="C494" s="270"/>
      <c r="D494" s="268"/>
      <c r="E494" s="270"/>
      <c r="F494" s="268"/>
      <c r="G494" s="270"/>
      <c r="H494" s="268"/>
      <c r="I494" s="270"/>
      <c r="J494" s="268"/>
      <c r="K494" s="270"/>
      <c r="L494" s="268"/>
      <c r="M494" s="270"/>
      <c r="N494" s="268"/>
      <c r="O494" s="270"/>
      <c r="P494" s="268"/>
      <c r="Q494" s="270"/>
      <c r="R494" s="268"/>
      <c r="S494" s="270"/>
      <c r="T494" s="268"/>
      <c r="U494" s="270"/>
      <c r="V494" s="268"/>
      <c r="W494" s="270"/>
      <c r="X494" s="270"/>
      <c r="Y494" s="270"/>
      <c r="Z494" s="270"/>
      <c r="AA494" s="270"/>
    </row>
    <row r="495" spans="1:27" ht="16.899999999999999" x14ac:dyDescent="0.5">
      <c r="A495" s="270"/>
      <c r="B495" s="270"/>
      <c r="C495" s="270"/>
      <c r="D495" s="268"/>
      <c r="E495" s="270"/>
      <c r="F495" s="268"/>
      <c r="G495" s="270"/>
      <c r="H495" s="268"/>
      <c r="I495" s="270"/>
      <c r="J495" s="268"/>
      <c r="K495" s="270"/>
      <c r="L495" s="268"/>
      <c r="M495" s="270"/>
      <c r="N495" s="268"/>
      <c r="O495" s="270"/>
      <c r="P495" s="268"/>
      <c r="Q495" s="270"/>
      <c r="R495" s="268"/>
      <c r="S495" s="270"/>
      <c r="T495" s="268"/>
      <c r="U495" s="270"/>
      <c r="V495" s="268"/>
      <c r="W495" s="270"/>
      <c r="X495" s="270"/>
      <c r="Y495" s="270"/>
      <c r="Z495" s="270"/>
      <c r="AA495" s="270"/>
    </row>
    <row r="496" spans="1:27" ht="16.899999999999999" x14ac:dyDescent="0.5">
      <c r="A496" s="270"/>
      <c r="B496" s="270"/>
      <c r="C496" s="270"/>
      <c r="D496" s="268"/>
      <c r="E496" s="270"/>
      <c r="F496" s="268"/>
      <c r="G496" s="270"/>
      <c r="H496" s="268"/>
      <c r="I496" s="270"/>
      <c r="J496" s="268"/>
      <c r="K496" s="270"/>
      <c r="L496" s="268"/>
      <c r="M496" s="270"/>
      <c r="N496" s="268"/>
      <c r="O496" s="270"/>
      <c r="P496" s="268"/>
      <c r="Q496" s="270"/>
      <c r="R496" s="268"/>
      <c r="S496" s="270"/>
      <c r="T496" s="268"/>
      <c r="U496" s="270"/>
      <c r="V496" s="268"/>
      <c r="W496" s="270"/>
      <c r="X496" s="270"/>
      <c r="Y496" s="270"/>
      <c r="Z496" s="270"/>
      <c r="AA496" s="270"/>
    </row>
    <row r="497" spans="1:27" ht="16.899999999999999" x14ac:dyDescent="0.5">
      <c r="A497" s="270"/>
      <c r="B497" s="270"/>
      <c r="C497" s="270"/>
      <c r="D497" s="268"/>
      <c r="E497" s="270"/>
      <c r="F497" s="268"/>
      <c r="G497" s="270"/>
      <c r="H497" s="268"/>
      <c r="I497" s="270"/>
      <c r="J497" s="268"/>
      <c r="K497" s="270"/>
      <c r="L497" s="268"/>
      <c r="M497" s="270"/>
      <c r="N497" s="268"/>
      <c r="O497" s="270"/>
      <c r="P497" s="268"/>
      <c r="Q497" s="270"/>
      <c r="R497" s="268"/>
      <c r="S497" s="270"/>
      <c r="T497" s="268"/>
      <c r="U497" s="270"/>
      <c r="V497" s="268"/>
      <c r="W497" s="270"/>
      <c r="X497" s="270"/>
      <c r="Y497" s="270"/>
      <c r="Z497" s="270"/>
      <c r="AA497" s="270"/>
    </row>
    <row r="498" spans="1:27" ht="16.899999999999999" x14ac:dyDescent="0.5">
      <c r="A498" s="270"/>
      <c r="B498" s="270"/>
      <c r="C498" s="270"/>
      <c r="D498" s="268"/>
      <c r="E498" s="270"/>
      <c r="F498" s="268"/>
      <c r="G498" s="270"/>
      <c r="H498" s="268"/>
      <c r="I498" s="270"/>
      <c r="J498" s="268"/>
      <c r="K498" s="270"/>
      <c r="L498" s="268"/>
      <c r="M498" s="270"/>
      <c r="N498" s="268"/>
      <c r="O498" s="270"/>
      <c r="P498" s="268"/>
      <c r="Q498" s="270"/>
      <c r="R498" s="268"/>
      <c r="S498" s="270"/>
      <c r="T498" s="268"/>
      <c r="U498" s="270"/>
      <c r="V498" s="268"/>
      <c r="W498" s="270"/>
      <c r="X498" s="270"/>
      <c r="Y498" s="270"/>
      <c r="Z498" s="270"/>
      <c r="AA498" s="270"/>
    </row>
    <row r="499" spans="1:27" ht="16.899999999999999" x14ac:dyDescent="0.5">
      <c r="A499" s="270"/>
      <c r="B499" s="270"/>
      <c r="C499" s="270"/>
      <c r="D499" s="268"/>
      <c r="E499" s="270"/>
      <c r="F499" s="268"/>
      <c r="G499" s="270"/>
      <c r="H499" s="268"/>
      <c r="I499" s="270"/>
      <c r="J499" s="268"/>
      <c r="K499" s="270"/>
      <c r="L499" s="268"/>
      <c r="M499" s="270"/>
      <c r="N499" s="268"/>
      <c r="O499" s="270"/>
      <c r="P499" s="268"/>
      <c r="Q499" s="270"/>
      <c r="R499" s="268"/>
      <c r="S499" s="270"/>
      <c r="T499" s="268"/>
      <c r="U499" s="270"/>
      <c r="V499" s="268"/>
      <c r="W499" s="270"/>
      <c r="X499" s="270"/>
      <c r="Y499" s="270"/>
      <c r="Z499" s="270"/>
      <c r="AA499" s="270"/>
    </row>
    <row r="500" spans="1:27" ht="16.899999999999999" x14ac:dyDescent="0.5">
      <c r="A500" s="270"/>
      <c r="B500" s="270"/>
      <c r="C500" s="270"/>
      <c r="D500" s="268"/>
      <c r="E500" s="270"/>
      <c r="F500" s="268"/>
      <c r="G500" s="270"/>
      <c r="H500" s="268"/>
      <c r="I500" s="270"/>
      <c r="J500" s="268"/>
      <c r="K500" s="270"/>
      <c r="L500" s="268"/>
      <c r="M500" s="270"/>
      <c r="N500" s="268"/>
      <c r="O500" s="270"/>
      <c r="P500" s="268"/>
      <c r="Q500" s="270"/>
      <c r="R500" s="268"/>
      <c r="S500" s="270"/>
      <c r="T500" s="268"/>
      <c r="U500" s="270"/>
      <c r="V500" s="268"/>
      <c r="W500" s="270"/>
      <c r="X500" s="270"/>
      <c r="Y500" s="270"/>
      <c r="Z500" s="270"/>
      <c r="AA500" s="270"/>
    </row>
    <row r="501" spans="1:27" ht="16.899999999999999" x14ac:dyDescent="0.5">
      <c r="A501" s="270"/>
      <c r="B501" s="270"/>
      <c r="C501" s="270"/>
      <c r="D501" s="268"/>
      <c r="E501" s="270"/>
      <c r="F501" s="268"/>
      <c r="G501" s="270"/>
      <c r="H501" s="268"/>
      <c r="I501" s="270"/>
      <c r="J501" s="268"/>
      <c r="K501" s="270"/>
      <c r="L501" s="268"/>
      <c r="M501" s="270"/>
      <c r="N501" s="268"/>
      <c r="O501" s="270"/>
      <c r="P501" s="268"/>
      <c r="Q501" s="270"/>
      <c r="R501" s="268"/>
      <c r="S501" s="270"/>
      <c r="T501" s="268"/>
      <c r="U501" s="270"/>
      <c r="V501" s="268"/>
      <c r="W501" s="270"/>
      <c r="X501" s="270"/>
      <c r="Y501" s="270"/>
      <c r="Z501" s="270"/>
      <c r="AA501" s="270"/>
    </row>
    <row r="502" spans="1:27" ht="16.899999999999999" x14ac:dyDescent="0.5">
      <c r="A502" s="270"/>
      <c r="B502" s="270"/>
      <c r="C502" s="270"/>
      <c r="D502" s="268"/>
      <c r="E502" s="270"/>
      <c r="F502" s="268"/>
      <c r="G502" s="270"/>
      <c r="H502" s="268"/>
      <c r="I502" s="270"/>
      <c r="J502" s="268"/>
      <c r="K502" s="270"/>
      <c r="L502" s="268"/>
      <c r="M502" s="270"/>
      <c r="N502" s="268"/>
      <c r="O502" s="270"/>
      <c r="P502" s="268"/>
      <c r="Q502" s="270"/>
      <c r="R502" s="268"/>
      <c r="S502" s="270"/>
      <c r="T502" s="268"/>
      <c r="U502" s="270"/>
      <c r="V502" s="268"/>
      <c r="W502" s="270"/>
      <c r="X502" s="270"/>
      <c r="Y502" s="270"/>
      <c r="Z502" s="270"/>
      <c r="AA502" s="270"/>
    </row>
    <row r="503" spans="1:27" ht="16.899999999999999" x14ac:dyDescent="0.5">
      <c r="A503" s="270"/>
      <c r="B503" s="270"/>
      <c r="C503" s="270"/>
      <c r="D503" s="268"/>
      <c r="E503" s="270"/>
      <c r="F503" s="268"/>
      <c r="G503" s="270"/>
      <c r="H503" s="268"/>
      <c r="I503" s="270"/>
      <c r="J503" s="268"/>
      <c r="K503" s="270"/>
      <c r="L503" s="268"/>
      <c r="M503" s="270"/>
      <c r="N503" s="268"/>
      <c r="O503" s="270"/>
      <c r="P503" s="268"/>
      <c r="Q503" s="270"/>
      <c r="R503" s="268"/>
      <c r="S503" s="270"/>
      <c r="T503" s="268"/>
      <c r="U503" s="270"/>
      <c r="V503" s="268"/>
      <c r="W503" s="270"/>
      <c r="X503" s="270"/>
      <c r="Y503" s="270"/>
      <c r="Z503" s="270"/>
      <c r="AA503" s="270"/>
    </row>
    <row r="504" spans="1:27" ht="16.899999999999999" x14ac:dyDescent="0.5">
      <c r="A504" s="270"/>
      <c r="B504" s="270"/>
      <c r="C504" s="270"/>
      <c r="D504" s="268"/>
      <c r="E504" s="270"/>
      <c r="F504" s="268"/>
      <c r="G504" s="270"/>
      <c r="H504" s="268"/>
      <c r="I504" s="270"/>
      <c r="J504" s="268"/>
      <c r="K504" s="270"/>
      <c r="L504" s="268"/>
      <c r="M504" s="270"/>
      <c r="N504" s="268"/>
      <c r="O504" s="270"/>
      <c r="P504" s="268"/>
      <c r="Q504" s="270"/>
      <c r="R504" s="268"/>
      <c r="S504" s="270"/>
      <c r="T504" s="268"/>
      <c r="U504" s="270"/>
      <c r="V504" s="268"/>
      <c r="W504" s="270"/>
      <c r="X504" s="270"/>
      <c r="Y504" s="270"/>
      <c r="Z504" s="270"/>
      <c r="AA504" s="270"/>
    </row>
    <row r="505" spans="1:27" ht="16.899999999999999" x14ac:dyDescent="0.5">
      <c r="A505" s="270"/>
      <c r="B505" s="270"/>
      <c r="C505" s="270"/>
      <c r="D505" s="268"/>
      <c r="E505" s="270"/>
      <c r="F505" s="268"/>
      <c r="G505" s="270"/>
      <c r="H505" s="268"/>
      <c r="I505" s="270"/>
      <c r="J505" s="268"/>
      <c r="K505" s="270"/>
      <c r="L505" s="268"/>
      <c r="M505" s="270"/>
      <c r="N505" s="268"/>
      <c r="O505" s="270"/>
      <c r="P505" s="268"/>
      <c r="Q505" s="270"/>
      <c r="R505" s="268"/>
      <c r="S505" s="270"/>
      <c r="T505" s="268"/>
      <c r="U505" s="270"/>
      <c r="V505" s="268"/>
      <c r="W505" s="270"/>
      <c r="X505" s="270"/>
      <c r="Y505" s="270"/>
      <c r="Z505" s="270"/>
      <c r="AA505" s="270"/>
    </row>
    <row r="506" spans="1:27" ht="16.899999999999999" x14ac:dyDescent="0.5">
      <c r="A506" s="270"/>
      <c r="B506" s="270"/>
      <c r="C506" s="270"/>
      <c r="D506" s="268"/>
      <c r="E506" s="270"/>
      <c r="F506" s="268"/>
      <c r="G506" s="270"/>
      <c r="H506" s="268"/>
      <c r="I506" s="270"/>
      <c r="J506" s="268"/>
      <c r="K506" s="270"/>
      <c r="L506" s="268"/>
      <c r="M506" s="270"/>
      <c r="N506" s="268"/>
      <c r="O506" s="270"/>
      <c r="P506" s="268"/>
      <c r="Q506" s="270"/>
      <c r="R506" s="268"/>
      <c r="S506" s="270"/>
      <c r="T506" s="268"/>
      <c r="U506" s="270"/>
      <c r="V506" s="268"/>
      <c r="W506" s="270"/>
      <c r="X506" s="270"/>
      <c r="Y506" s="270"/>
      <c r="Z506" s="270"/>
      <c r="AA506" s="270"/>
    </row>
    <row r="507" spans="1:27" ht="16.899999999999999" x14ac:dyDescent="0.5">
      <c r="A507" s="270"/>
      <c r="B507" s="270"/>
      <c r="C507" s="270"/>
      <c r="D507" s="268"/>
      <c r="E507" s="270"/>
      <c r="F507" s="268"/>
      <c r="G507" s="270"/>
      <c r="H507" s="268"/>
      <c r="I507" s="270"/>
      <c r="J507" s="268"/>
      <c r="K507" s="270"/>
      <c r="L507" s="268"/>
      <c r="M507" s="270"/>
      <c r="N507" s="268"/>
      <c r="O507" s="270"/>
      <c r="P507" s="268"/>
      <c r="Q507" s="270"/>
      <c r="R507" s="268"/>
      <c r="S507" s="270"/>
      <c r="T507" s="268"/>
      <c r="U507" s="270"/>
      <c r="V507" s="268"/>
      <c r="W507" s="270"/>
      <c r="X507" s="270"/>
      <c r="Y507" s="270"/>
      <c r="Z507" s="270"/>
      <c r="AA507" s="270"/>
    </row>
    <row r="508" spans="1:27" ht="16.899999999999999" x14ac:dyDescent="0.5">
      <c r="A508" s="270"/>
      <c r="B508" s="270"/>
      <c r="C508" s="270"/>
      <c r="D508" s="268"/>
      <c r="E508" s="270"/>
      <c r="F508" s="268"/>
      <c r="G508" s="270"/>
      <c r="H508" s="268"/>
      <c r="I508" s="270"/>
      <c r="J508" s="268"/>
      <c r="K508" s="270"/>
      <c r="L508" s="268"/>
      <c r="M508" s="270"/>
      <c r="N508" s="268"/>
      <c r="O508" s="270"/>
      <c r="P508" s="268"/>
      <c r="Q508" s="270"/>
      <c r="R508" s="268"/>
      <c r="S508" s="270"/>
      <c r="T508" s="268"/>
      <c r="U508" s="270"/>
      <c r="V508" s="268"/>
      <c r="W508" s="270"/>
      <c r="X508" s="270"/>
      <c r="Y508" s="270"/>
      <c r="Z508" s="270"/>
      <c r="AA508" s="270"/>
    </row>
    <row r="509" spans="1:27" ht="16.899999999999999" x14ac:dyDescent="0.5">
      <c r="A509" s="270"/>
      <c r="B509" s="270"/>
      <c r="C509" s="270"/>
      <c r="D509" s="268"/>
      <c r="E509" s="270"/>
      <c r="F509" s="268"/>
      <c r="G509" s="270"/>
      <c r="H509" s="268"/>
      <c r="I509" s="270"/>
      <c r="J509" s="268"/>
      <c r="K509" s="270"/>
      <c r="L509" s="268"/>
      <c r="M509" s="270"/>
      <c r="N509" s="268"/>
      <c r="O509" s="270"/>
      <c r="P509" s="268"/>
      <c r="Q509" s="270"/>
      <c r="R509" s="268"/>
      <c r="S509" s="270"/>
      <c r="T509" s="268"/>
      <c r="U509" s="270"/>
      <c r="V509" s="268"/>
      <c r="W509" s="270"/>
      <c r="X509" s="270"/>
      <c r="Y509" s="270"/>
      <c r="Z509" s="270"/>
      <c r="AA509" s="270"/>
    </row>
    <row r="510" spans="1:27" ht="16.899999999999999" x14ac:dyDescent="0.5">
      <c r="A510" s="270"/>
      <c r="B510" s="270"/>
      <c r="C510" s="270"/>
      <c r="D510" s="268"/>
      <c r="E510" s="270"/>
      <c r="F510" s="268"/>
      <c r="G510" s="270"/>
      <c r="H510" s="268"/>
      <c r="I510" s="270"/>
      <c r="J510" s="268"/>
      <c r="K510" s="270"/>
      <c r="L510" s="268"/>
      <c r="M510" s="270"/>
      <c r="N510" s="268"/>
      <c r="O510" s="270"/>
      <c r="P510" s="268"/>
      <c r="Q510" s="270"/>
      <c r="R510" s="268"/>
      <c r="S510" s="270"/>
      <c r="T510" s="268"/>
      <c r="U510" s="270"/>
      <c r="V510" s="268"/>
      <c r="W510" s="270"/>
      <c r="X510" s="270"/>
      <c r="Y510" s="270"/>
      <c r="Z510" s="270"/>
      <c r="AA510" s="270"/>
    </row>
    <row r="511" spans="1:27" ht="16.899999999999999" x14ac:dyDescent="0.5">
      <c r="A511" s="270"/>
      <c r="B511" s="270"/>
      <c r="C511" s="270"/>
      <c r="D511" s="268"/>
      <c r="E511" s="270"/>
      <c r="F511" s="268"/>
      <c r="G511" s="270"/>
      <c r="H511" s="268"/>
      <c r="I511" s="270"/>
      <c r="J511" s="268"/>
      <c r="K511" s="270"/>
      <c r="L511" s="268"/>
      <c r="M511" s="270"/>
      <c r="N511" s="268"/>
      <c r="O511" s="270"/>
      <c r="P511" s="268"/>
      <c r="Q511" s="270"/>
      <c r="R511" s="268"/>
      <c r="S511" s="270"/>
      <c r="T511" s="268"/>
      <c r="U511" s="270"/>
      <c r="V511" s="268"/>
      <c r="W511" s="270"/>
      <c r="X511" s="270"/>
      <c r="Y511" s="270"/>
      <c r="Z511" s="270"/>
      <c r="AA511" s="270"/>
    </row>
    <row r="512" spans="1:27" ht="16.899999999999999" x14ac:dyDescent="0.5">
      <c r="A512" s="270"/>
      <c r="B512" s="270"/>
      <c r="C512" s="270"/>
      <c r="D512" s="268"/>
      <c r="E512" s="270"/>
      <c r="F512" s="268"/>
      <c r="G512" s="270"/>
      <c r="H512" s="268"/>
      <c r="I512" s="270"/>
      <c r="J512" s="268"/>
      <c r="K512" s="270"/>
      <c r="L512" s="268"/>
      <c r="M512" s="270"/>
      <c r="N512" s="268"/>
      <c r="O512" s="270"/>
      <c r="P512" s="268"/>
      <c r="Q512" s="270"/>
      <c r="R512" s="268"/>
      <c r="S512" s="270"/>
      <c r="T512" s="268"/>
      <c r="U512" s="270"/>
      <c r="V512" s="268"/>
      <c r="W512" s="270"/>
      <c r="X512" s="270"/>
      <c r="Y512" s="270"/>
      <c r="Z512" s="270"/>
      <c r="AA512" s="270"/>
    </row>
    <row r="513" spans="1:27" ht="16.899999999999999" x14ac:dyDescent="0.5">
      <c r="A513" s="270"/>
      <c r="B513" s="270"/>
      <c r="C513" s="270"/>
      <c r="D513" s="268"/>
      <c r="E513" s="270"/>
      <c r="F513" s="268"/>
      <c r="G513" s="270"/>
      <c r="H513" s="268"/>
      <c r="I513" s="270"/>
      <c r="J513" s="268"/>
      <c r="K513" s="270"/>
      <c r="L513" s="268"/>
      <c r="M513" s="270"/>
      <c r="N513" s="268"/>
      <c r="O513" s="270"/>
      <c r="P513" s="268"/>
      <c r="Q513" s="270"/>
      <c r="R513" s="268"/>
      <c r="S513" s="270"/>
      <c r="T513" s="268"/>
      <c r="U513" s="270"/>
      <c r="V513" s="268"/>
      <c r="W513" s="270"/>
      <c r="X513" s="270"/>
      <c r="Y513" s="270"/>
      <c r="Z513" s="270"/>
      <c r="AA513" s="270"/>
    </row>
    <row r="514" spans="1:27" ht="16.899999999999999" x14ac:dyDescent="0.5">
      <c r="A514" s="270"/>
      <c r="B514" s="270"/>
      <c r="C514" s="270"/>
      <c r="D514" s="268"/>
      <c r="E514" s="270"/>
      <c r="F514" s="268"/>
      <c r="G514" s="270"/>
      <c r="H514" s="268"/>
      <c r="I514" s="270"/>
      <c r="J514" s="268"/>
      <c r="K514" s="270"/>
      <c r="L514" s="268"/>
      <c r="M514" s="270"/>
      <c r="N514" s="268"/>
      <c r="O514" s="270"/>
      <c r="P514" s="268"/>
      <c r="Q514" s="270"/>
      <c r="R514" s="268"/>
      <c r="S514" s="270"/>
      <c r="T514" s="268"/>
      <c r="U514" s="270"/>
      <c r="V514" s="268"/>
      <c r="W514" s="270"/>
      <c r="X514" s="270"/>
      <c r="Y514" s="270"/>
      <c r="Z514" s="270"/>
      <c r="AA514" s="270"/>
    </row>
    <row r="515" spans="1:27" ht="16.899999999999999" x14ac:dyDescent="0.5">
      <c r="A515" s="270"/>
      <c r="B515" s="270"/>
      <c r="C515" s="270"/>
      <c r="D515" s="268"/>
      <c r="E515" s="270"/>
      <c r="F515" s="268"/>
      <c r="G515" s="270"/>
      <c r="H515" s="268"/>
      <c r="I515" s="270"/>
      <c r="J515" s="268"/>
      <c r="K515" s="270"/>
      <c r="L515" s="268"/>
      <c r="M515" s="270"/>
      <c r="N515" s="268"/>
      <c r="O515" s="270"/>
      <c r="P515" s="268"/>
      <c r="Q515" s="270"/>
      <c r="R515" s="268"/>
      <c r="S515" s="270"/>
      <c r="T515" s="268"/>
      <c r="U515" s="270"/>
      <c r="V515" s="268"/>
      <c r="W515" s="270"/>
      <c r="X515" s="270"/>
      <c r="Y515" s="270"/>
      <c r="Z515" s="270"/>
      <c r="AA515" s="270"/>
    </row>
    <row r="516" spans="1:27" ht="16.899999999999999" x14ac:dyDescent="0.5">
      <c r="A516" s="270"/>
      <c r="B516" s="270"/>
      <c r="C516" s="270"/>
      <c r="D516" s="268"/>
      <c r="E516" s="270"/>
      <c r="F516" s="268"/>
      <c r="G516" s="270"/>
      <c r="H516" s="268"/>
      <c r="I516" s="270"/>
      <c r="J516" s="268"/>
      <c r="K516" s="270"/>
      <c r="L516" s="268"/>
      <c r="M516" s="270"/>
      <c r="N516" s="268"/>
      <c r="O516" s="270"/>
      <c r="P516" s="268"/>
      <c r="Q516" s="270"/>
      <c r="R516" s="268"/>
      <c r="S516" s="270"/>
      <c r="T516" s="268"/>
      <c r="U516" s="270"/>
      <c r="V516" s="268"/>
      <c r="W516" s="270"/>
      <c r="X516" s="270"/>
      <c r="Y516" s="270"/>
      <c r="Z516" s="270"/>
      <c r="AA516" s="270"/>
    </row>
    <row r="517" spans="1:27" ht="16.899999999999999" x14ac:dyDescent="0.5">
      <c r="A517" s="270"/>
      <c r="B517" s="270"/>
      <c r="C517" s="270"/>
      <c r="D517" s="268"/>
      <c r="E517" s="270"/>
      <c r="F517" s="268"/>
      <c r="G517" s="270"/>
      <c r="H517" s="268"/>
      <c r="I517" s="270"/>
      <c r="J517" s="268"/>
      <c r="K517" s="270"/>
      <c r="L517" s="268"/>
      <c r="M517" s="270"/>
      <c r="N517" s="268"/>
      <c r="O517" s="270"/>
      <c r="P517" s="268"/>
      <c r="Q517" s="270"/>
      <c r="R517" s="268"/>
      <c r="S517" s="270"/>
      <c r="T517" s="268"/>
      <c r="U517" s="270"/>
      <c r="V517" s="268"/>
      <c r="W517" s="270"/>
      <c r="X517" s="270"/>
      <c r="Y517" s="270"/>
      <c r="Z517" s="270"/>
      <c r="AA517" s="270"/>
    </row>
    <row r="518" spans="1:27" ht="16.899999999999999" x14ac:dyDescent="0.5">
      <c r="A518" s="270"/>
      <c r="B518" s="270"/>
      <c r="C518" s="270"/>
      <c r="D518" s="268"/>
      <c r="E518" s="270"/>
      <c r="F518" s="268"/>
      <c r="G518" s="270"/>
      <c r="H518" s="268"/>
      <c r="I518" s="270"/>
      <c r="J518" s="268"/>
      <c r="K518" s="270"/>
      <c r="L518" s="268"/>
      <c r="M518" s="270"/>
      <c r="N518" s="268"/>
      <c r="O518" s="270"/>
      <c r="P518" s="268"/>
      <c r="Q518" s="270"/>
      <c r="R518" s="268"/>
      <c r="S518" s="270"/>
      <c r="T518" s="268"/>
      <c r="U518" s="270"/>
      <c r="V518" s="268"/>
      <c r="W518" s="270"/>
      <c r="X518" s="270"/>
      <c r="Y518" s="270"/>
      <c r="Z518" s="270"/>
      <c r="AA518" s="270"/>
    </row>
    <row r="519" spans="1:27" ht="16.899999999999999" x14ac:dyDescent="0.5">
      <c r="A519" s="270"/>
      <c r="B519" s="270"/>
      <c r="C519" s="270"/>
      <c r="D519" s="268"/>
      <c r="E519" s="270"/>
      <c r="F519" s="268"/>
      <c r="G519" s="270"/>
      <c r="H519" s="268"/>
      <c r="I519" s="270"/>
      <c r="J519" s="268"/>
      <c r="K519" s="270"/>
      <c r="L519" s="268"/>
      <c r="M519" s="270"/>
      <c r="N519" s="268"/>
      <c r="O519" s="270"/>
      <c r="P519" s="268"/>
      <c r="Q519" s="270"/>
      <c r="R519" s="268"/>
      <c r="S519" s="270"/>
      <c r="T519" s="268"/>
      <c r="U519" s="270"/>
      <c r="V519" s="268"/>
      <c r="W519" s="270"/>
      <c r="X519" s="270"/>
      <c r="Y519" s="270"/>
      <c r="Z519" s="270"/>
      <c r="AA519" s="270"/>
    </row>
    <row r="520" spans="1:27" ht="16.899999999999999" x14ac:dyDescent="0.5">
      <c r="A520" s="270"/>
      <c r="B520" s="270"/>
      <c r="C520" s="270"/>
      <c r="D520" s="268"/>
      <c r="E520" s="270"/>
      <c r="F520" s="268"/>
      <c r="G520" s="270"/>
      <c r="H520" s="268"/>
      <c r="I520" s="270"/>
      <c r="J520" s="268"/>
      <c r="K520" s="270"/>
      <c r="L520" s="268"/>
      <c r="M520" s="270"/>
      <c r="N520" s="268"/>
      <c r="O520" s="270"/>
      <c r="P520" s="268"/>
      <c r="Q520" s="270"/>
      <c r="R520" s="268"/>
      <c r="S520" s="270"/>
      <c r="T520" s="268"/>
      <c r="U520" s="270"/>
      <c r="V520" s="268"/>
      <c r="W520" s="270"/>
      <c r="X520" s="270"/>
      <c r="Y520" s="270"/>
      <c r="Z520" s="270"/>
      <c r="AA520" s="270"/>
    </row>
    <row r="521" spans="1:27" ht="16.899999999999999" x14ac:dyDescent="0.5">
      <c r="A521" s="270"/>
      <c r="B521" s="270"/>
      <c r="C521" s="270"/>
      <c r="D521" s="268"/>
      <c r="E521" s="270"/>
      <c r="F521" s="268"/>
      <c r="G521" s="270"/>
      <c r="H521" s="268"/>
      <c r="I521" s="270"/>
      <c r="J521" s="268"/>
      <c r="K521" s="270"/>
      <c r="L521" s="268"/>
      <c r="M521" s="270"/>
      <c r="N521" s="268"/>
      <c r="O521" s="270"/>
      <c r="P521" s="268"/>
      <c r="Q521" s="270"/>
      <c r="R521" s="268"/>
      <c r="S521" s="270"/>
      <c r="T521" s="268"/>
      <c r="U521" s="270"/>
      <c r="V521" s="268"/>
      <c r="W521" s="270"/>
      <c r="X521" s="270"/>
      <c r="Y521" s="270"/>
      <c r="Z521" s="270"/>
      <c r="AA521" s="270"/>
    </row>
    <row r="522" spans="1:27" ht="16.899999999999999" x14ac:dyDescent="0.5">
      <c r="A522" s="270"/>
      <c r="B522" s="270"/>
      <c r="C522" s="270"/>
      <c r="D522" s="268"/>
      <c r="E522" s="270"/>
      <c r="F522" s="268"/>
      <c r="G522" s="270"/>
      <c r="H522" s="268"/>
      <c r="I522" s="270"/>
      <c r="J522" s="268"/>
      <c r="K522" s="270"/>
      <c r="L522" s="268"/>
      <c r="M522" s="270"/>
      <c r="N522" s="268"/>
      <c r="O522" s="270"/>
      <c r="P522" s="268"/>
      <c r="Q522" s="270"/>
      <c r="R522" s="268"/>
      <c r="S522" s="270"/>
      <c r="T522" s="268"/>
      <c r="U522" s="270"/>
      <c r="V522" s="268"/>
      <c r="W522" s="270"/>
      <c r="X522" s="270"/>
      <c r="Y522" s="270"/>
      <c r="Z522" s="270"/>
      <c r="AA522" s="270"/>
    </row>
    <row r="523" spans="1:27" ht="16.899999999999999" x14ac:dyDescent="0.5">
      <c r="A523" s="270"/>
      <c r="B523" s="270"/>
      <c r="C523" s="270"/>
      <c r="D523" s="268"/>
      <c r="E523" s="270"/>
      <c r="F523" s="268"/>
      <c r="G523" s="270"/>
      <c r="H523" s="268"/>
      <c r="I523" s="270"/>
      <c r="J523" s="268"/>
      <c r="K523" s="270"/>
      <c r="L523" s="268"/>
      <c r="M523" s="270"/>
      <c r="N523" s="268"/>
      <c r="O523" s="270"/>
      <c r="P523" s="268"/>
      <c r="Q523" s="270"/>
      <c r="R523" s="268"/>
      <c r="S523" s="270"/>
      <c r="T523" s="268"/>
      <c r="U523" s="270"/>
      <c r="V523" s="268"/>
      <c r="W523" s="270"/>
      <c r="X523" s="270"/>
      <c r="Y523" s="270"/>
      <c r="Z523" s="270"/>
      <c r="AA523" s="270"/>
    </row>
    <row r="524" spans="1:27" ht="16.899999999999999" x14ac:dyDescent="0.5">
      <c r="A524" s="270"/>
      <c r="B524" s="270"/>
      <c r="C524" s="270"/>
      <c r="D524" s="268"/>
      <c r="E524" s="270"/>
      <c r="F524" s="268"/>
      <c r="G524" s="270"/>
      <c r="H524" s="268"/>
      <c r="I524" s="270"/>
      <c r="J524" s="268"/>
      <c r="K524" s="270"/>
      <c r="L524" s="268"/>
      <c r="M524" s="270"/>
      <c r="N524" s="268"/>
      <c r="O524" s="270"/>
      <c r="P524" s="268"/>
      <c r="Q524" s="270"/>
      <c r="R524" s="268"/>
      <c r="S524" s="270"/>
      <c r="T524" s="268"/>
      <c r="U524" s="270"/>
      <c r="V524" s="268"/>
      <c r="W524" s="270"/>
      <c r="X524" s="270"/>
      <c r="Y524" s="270"/>
      <c r="Z524" s="270"/>
      <c r="AA524" s="270"/>
    </row>
    <row r="525" spans="1:27" ht="16.899999999999999" x14ac:dyDescent="0.5">
      <c r="A525" s="270"/>
      <c r="B525" s="270"/>
      <c r="C525" s="270"/>
      <c r="D525" s="268"/>
      <c r="E525" s="270"/>
      <c r="F525" s="268"/>
      <c r="G525" s="270"/>
      <c r="H525" s="268"/>
      <c r="I525" s="270"/>
      <c r="J525" s="268"/>
      <c r="K525" s="270"/>
      <c r="L525" s="268"/>
      <c r="M525" s="270"/>
      <c r="N525" s="268"/>
      <c r="O525" s="270"/>
      <c r="P525" s="268"/>
      <c r="Q525" s="270"/>
      <c r="R525" s="268"/>
      <c r="S525" s="270"/>
      <c r="T525" s="268"/>
      <c r="U525" s="270"/>
      <c r="V525" s="268"/>
      <c r="W525" s="270"/>
      <c r="X525" s="270"/>
      <c r="Y525" s="270"/>
      <c r="Z525" s="270"/>
      <c r="AA525" s="270"/>
    </row>
    <row r="526" spans="1:27" ht="16.899999999999999" x14ac:dyDescent="0.5">
      <c r="A526" s="270"/>
      <c r="B526" s="270"/>
      <c r="C526" s="270"/>
      <c r="D526" s="268"/>
      <c r="E526" s="270"/>
      <c r="F526" s="268"/>
      <c r="G526" s="270"/>
      <c r="H526" s="268"/>
      <c r="I526" s="270"/>
      <c r="J526" s="268"/>
      <c r="K526" s="270"/>
      <c r="L526" s="268"/>
      <c r="M526" s="270"/>
      <c r="N526" s="268"/>
      <c r="O526" s="270"/>
      <c r="P526" s="268"/>
      <c r="Q526" s="270"/>
      <c r="R526" s="268"/>
      <c r="S526" s="270"/>
      <c r="T526" s="268"/>
      <c r="U526" s="270"/>
      <c r="V526" s="268"/>
      <c r="W526" s="270"/>
      <c r="X526" s="270"/>
      <c r="Y526" s="270"/>
      <c r="Z526" s="270"/>
      <c r="AA526" s="270"/>
    </row>
    <row r="527" spans="1:27" ht="16.899999999999999" x14ac:dyDescent="0.5">
      <c r="A527" s="270"/>
      <c r="B527" s="270"/>
      <c r="C527" s="270"/>
      <c r="D527" s="268"/>
      <c r="E527" s="270"/>
      <c r="F527" s="268"/>
      <c r="G527" s="270"/>
      <c r="H527" s="268"/>
      <c r="I527" s="270"/>
      <c r="J527" s="268"/>
      <c r="K527" s="270"/>
      <c r="L527" s="268"/>
      <c r="M527" s="270"/>
      <c r="N527" s="268"/>
      <c r="O527" s="270"/>
      <c r="P527" s="268"/>
      <c r="Q527" s="270"/>
      <c r="R527" s="268"/>
      <c r="S527" s="270"/>
      <c r="T527" s="268"/>
      <c r="U527" s="270"/>
      <c r="V527" s="268"/>
      <c r="W527" s="270"/>
      <c r="X527" s="270"/>
      <c r="Y527" s="270"/>
      <c r="Z527" s="270"/>
      <c r="AA527" s="270"/>
    </row>
    <row r="528" spans="1:27" ht="16.899999999999999" x14ac:dyDescent="0.5">
      <c r="A528" s="270"/>
      <c r="B528" s="270"/>
      <c r="C528" s="270"/>
      <c r="D528" s="268"/>
      <c r="E528" s="270"/>
      <c r="F528" s="268"/>
      <c r="G528" s="270"/>
      <c r="H528" s="268"/>
      <c r="I528" s="270"/>
      <c r="J528" s="268"/>
      <c r="K528" s="270"/>
      <c r="L528" s="268"/>
      <c r="M528" s="270"/>
      <c r="N528" s="268"/>
      <c r="O528" s="270"/>
      <c r="P528" s="268"/>
      <c r="Q528" s="270"/>
      <c r="R528" s="268"/>
      <c r="S528" s="270"/>
      <c r="T528" s="268"/>
      <c r="U528" s="270"/>
      <c r="V528" s="268"/>
      <c r="W528" s="270"/>
      <c r="X528" s="270"/>
      <c r="Y528" s="270"/>
      <c r="Z528" s="270"/>
      <c r="AA528" s="270"/>
    </row>
    <row r="529" spans="1:27" ht="16.899999999999999" x14ac:dyDescent="0.5">
      <c r="A529" s="270"/>
      <c r="B529" s="270"/>
      <c r="C529" s="270"/>
      <c r="D529" s="268"/>
      <c r="E529" s="270"/>
      <c r="F529" s="268"/>
      <c r="G529" s="270"/>
      <c r="H529" s="268"/>
      <c r="I529" s="270"/>
      <c r="J529" s="268"/>
      <c r="K529" s="270"/>
      <c r="L529" s="268"/>
      <c r="M529" s="270"/>
      <c r="N529" s="268"/>
      <c r="O529" s="270"/>
      <c r="P529" s="268"/>
      <c r="Q529" s="270"/>
      <c r="R529" s="268"/>
      <c r="S529" s="270"/>
      <c r="T529" s="268"/>
      <c r="U529" s="270"/>
      <c r="V529" s="268"/>
      <c r="W529" s="270"/>
      <c r="X529" s="270"/>
      <c r="Y529" s="270"/>
      <c r="Z529" s="270"/>
      <c r="AA529" s="270"/>
    </row>
    <row r="530" spans="1:27" ht="16.899999999999999" x14ac:dyDescent="0.5">
      <c r="A530" s="270"/>
      <c r="B530" s="270"/>
      <c r="C530" s="270"/>
      <c r="D530" s="268"/>
      <c r="E530" s="270"/>
      <c r="F530" s="268"/>
      <c r="G530" s="270"/>
      <c r="H530" s="268"/>
      <c r="I530" s="270"/>
      <c r="J530" s="268"/>
      <c r="K530" s="270"/>
      <c r="L530" s="268"/>
      <c r="M530" s="270"/>
      <c r="N530" s="268"/>
      <c r="O530" s="270"/>
      <c r="P530" s="268"/>
      <c r="Q530" s="270"/>
      <c r="R530" s="268"/>
      <c r="S530" s="270"/>
      <c r="T530" s="268"/>
      <c r="U530" s="270"/>
      <c r="V530" s="268"/>
      <c r="W530" s="270"/>
      <c r="X530" s="270"/>
      <c r="Y530" s="270"/>
      <c r="Z530" s="270"/>
      <c r="AA530" s="270"/>
    </row>
    <row r="531" spans="1:27" ht="16.899999999999999" x14ac:dyDescent="0.5">
      <c r="A531" s="270"/>
      <c r="B531" s="270"/>
      <c r="C531" s="270"/>
      <c r="D531" s="268"/>
      <c r="E531" s="270"/>
      <c r="F531" s="268"/>
      <c r="G531" s="270"/>
      <c r="H531" s="268"/>
      <c r="I531" s="270"/>
      <c r="J531" s="268"/>
      <c r="K531" s="270"/>
      <c r="L531" s="268"/>
      <c r="M531" s="270"/>
      <c r="N531" s="268"/>
      <c r="O531" s="270"/>
      <c r="P531" s="268"/>
      <c r="Q531" s="270"/>
      <c r="R531" s="268"/>
      <c r="S531" s="270"/>
      <c r="T531" s="268"/>
      <c r="U531" s="270"/>
      <c r="V531" s="268"/>
      <c r="W531" s="270"/>
      <c r="X531" s="270"/>
      <c r="Y531" s="270"/>
      <c r="Z531" s="270"/>
      <c r="AA531" s="270"/>
    </row>
    <row r="532" spans="1:27" ht="16.899999999999999" x14ac:dyDescent="0.5">
      <c r="A532" s="270"/>
      <c r="B532" s="270"/>
      <c r="C532" s="270"/>
      <c r="D532" s="268"/>
      <c r="E532" s="270"/>
      <c r="F532" s="268"/>
      <c r="G532" s="270"/>
      <c r="H532" s="268"/>
      <c r="I532" s="270"/>
      <c r="J532" s="268"/>
      <c r="K532" s="270"/>
      <c r="L532" s="268"/>
      <c r="M532" s="270"/>
      <c r="N532" s="268"/>
      <c r="O532" s="270"/>
      <c r="P532" s="268"/>
      <c r="Q532" s="270"/>
      <c r="R532" s="268"/>
      <c r="S532" s="270"/>
      <c r="T532" s="268"/>
      <c r="U532" s="270"/>
      <c r="V532" s="268"/>
      <c r="W532" s="270"/>
      <c r="X532" s="270"/>
      <c r="Y532" s="270"/>
      <c r="Z532" s="270"/>
      <c r="AA532" s="270"/>
    </row>
    <row r="533" spans="1:27" ht="16.899999999999999" x14ac:dyDescent="0.5">
      <c r="A533" s="270"/>
      <c r="B533" s="270"/>
      <c r="C533" s="270"/>
      <c r="D533" s="268"/>
      <c r="E533" s="270"/>
      <c r="F533" s="268"/>
      <c r="G533" s="270"/>
      <c r="H533" s="268"/>
      <c r="I533" s="270"/>
      <c r="J533" s="268"/>
      <c r="K533" s="270"/>
      <c r="L533" s="268"/>
      <c r="M533" s="270"/>
      <c r="N533" s="268"/>
      <c r="O533" s="270"/>
      <c r="P533" s="268"/>
      <c r="Q533" s="270"/>
      <c r="R533" s="268"/>
      <c r="S533" s="270"/>
      <c r="T533" s="268"/>
      <c r="U533" s="270"/>
      <c r="V533" s="268"/>
      <c r="W533" s="270"/>
      <c r="X533" s="270"/>
      <c r="Y533" s="270"/>
      <c r="Z533" s="270"/>
      <c r="AA533" s="270"/>
    </row>
    <row r="534" spans="1:27" ht="16.899999999999999" x14ac:dyDescent="0.5">
      <c r="A534" s="270"/>
      <c r="B534" s="270"/>
      <c r="C534" s="270"/>
      <c r="D534" s="268"/>
      <c r="E534" s="270"/>
      <c r="F534" s="268"/>
      <c r="G534" s="270"/>
      <c r="H534" s="268"/>
      <c r="I534" s="270"/>
      <c r="J534" s="268"/>
      <c r="K534" s="270"/>
      <c r="L534" s="268"/>
      <c r="M534" s="270"/>
      <c r="N534" s="268"/>
      <c r="O534" s="270"/>
      <c r="P534" s="268"/>
      <c r="Q534" s="270"/>
      <c r="R534" s="268"/>
      <c r="S534" s="270"/>
      <c r="T534" s="268"/>
      <c r="U534" s="270"/>
      <c r="V534" s="268"/>
      <c r="W534" s="270"/>
      <c r="X534" s="270"/>
      <c r="Y534" s="270"/>
      <c r="Z534" s="270"/>
      <c r="AA534" s="270"/>
    </row>
    <row r="535" spans="1:27" ht="16.899999999999999" x14ac:dyDescent="0.5">
      <c r="A535" s="270"/>
      <c r="B535" s="270"/>
      <c r="C535" s="270"/>
      <c r="D535" s="268"/>
      <c r="E535" s="270"/>
      <c r="F535" s="268"/>
      <c r="G535" s="270"/>
      <c r="H535" s="268"/>
      <c r="I535" s="270"/>
      <c r="J535" s="268"/>
      <c r="K535" s="270"/>
      <c r="L535" s="268"/>
      <c r="M535" s="270"/>
      <c r="N535" s="268"/>
      <c r="O535" s="270"/>
      <c r="P535" s="268"/>
      <c r="Q535" s="270"/>
      <c r="R535" s="268"/>
      <c r="S535" s="270"/>
      <c r="T535" s="268"/>
      <c r="U535" s="270"/>
      <c r="V535" s="268"/>
      <c r="W535" s="270"/>
      <c r="X535" s="270"/>
      <c r="Y535" s="270"/>
      <c r="Z535" s="270"/>
      <c r="AA535" s="270"/>
    </row>
    <row r="536" spans="1:27" ht="16.899999999999999" x14ac:dyDescent="0.5">
      <c r="A536" s="270"/>
      <c r="B536" s="270"/>
      <c r="C536" s="270"/>
      <c r="D536" s="268"/>
      <c r="E536" s="270"/>
      <c r="F536" s="268"/>
      <c r="G536" s="270"/>
      <c r="H536" s="268"/>
      <c r="I536" s="270"/>
      <c r="J536" s="268"/>
      <c r="K536" s="270"/>
      <c r="L536" s="268"/>
      <c r="M536" s="270"/>
      <c r="N536" s="268"/>
      <c r="O536" s="270"/>
      <c r="P536" s="268"/>
      <c r="Q536" s="270"/>
      <c r="R536" s="268"/>
      <c r="S536" s="270"/>
      <c r="T536" s="268"/>
      <c r="U536" s="270"/>
      <c r="V536" s="268"/>
      <c r="W536" s="270"/>
      <c r="X536" s="270"/>
      <c r="Y536" s="270"/>
      <c r="Z536" s="270"/>
      <c r="AA536" s="270"/>
    </row>
    <row r="537" spans="1:27" ht="16.899999999999999" x14ac:dyDescent="0.5">
      <c r="A537" s="270"/>
      <c r="B537" s="270"/>
      <c r="C537" s="270"/>
      <c r="D537" s="268"/>
      <c r="E537" s="270"/>
      <c r="F537" s="268"/>
      <c r="G537" s="270"/>
      <c r="H537" s="268"/>
      <c r="I537" s="270"/>
      <c r="J537" s="268"/>
      <c r="K537" s="270"/>
      <c r="L537" s="268"/>
      <c r="M537" s="270"/>
      <c r="N537" s="268"/>
      <c r="O537" s="270"/>
      <c r="P537" s="268"/>
      <c r="Q537" s="270"/>
      <c r="R537" s="268"/>
      <c r="S537" s="270"/>
      <c r="T537" s="268"/>
      <c r="U537" s="270"/>
      <c r="V537" s="268"/>
      <c r="W537" s="270"/>
      <c r="X537" s="270"/>
      <c r="Y537" s="270"/>
      <c r="Z537" s="270"/>
      <c r="AA537" s="270"/>
    </row>
    <row r="538" spans="1:27" ht="16.899999999999999" x14ac:dyDescent="0.5">
      <c r="A538" s="270"/>
      <c r="B538" s="270"/>
      <c r="C538" s="270"/>
      <c r="D538" s="268"/>
      <c r="E538" s="270"/>
      <c r="F538" s="268"/>
      <c r="G538" s="270"/>
      <c r="H538" s="268"/>
      <c r="I538" s="270"/>
      <c r="J538" s="268"/>
      <c r="K538" s="270"/>
      <c r="L538" s="268"/>
      <c r="M538" s="270"/>
      <c r="N538" s="268"/>
      <c r="O538" s="270"/>
      <c r="P538" s="268"/>
      <c r="Q538" s="270"/>
      <c r="R538" s="268"/>
      <c r="S538" s="270"/>
      <c r="T538" s="268"/>
      <c r="U538" s="270"/>
      <c r="V538" s="268"/>
      <c r="W538" s="270"/>
      <c r="X538" s="270"/>
      <c r="Y538" s="270"/>
      <c r="Z538" s="270"/>
      <c r="AA538" s="270"/>
    </row>
    <row r="539" spans="1:27" ht="16.899999999999999" x14ac:dyDescent="0.5">
      <c r="A539" s="270"/>
      <c r="B539" s="270"/>
      <c r="C539" s="270"/>
      <c r="D539" s="268"/>
      <c r="E539" s="270"/>
      <c r="F539" s="268"/>
      <c r="G539" s="270"/>
      <c r="H539" s="268"/>
      <c r="I539" s="270"/>
      <c r="J539" s="268"/>
      <c r="K539" s="270"/>
      <c r="L539" s="268"/>
      <c r="M539" s="270"/>
      <c r="N539" s="268"/>
      <c r="O539" s="270"/>
      <c r="P539" s="268"/>
      <c r="Q539" s="270"/>
      <c r="R539" s="268"/>
      <c r="S539" s="270"/>
      <c r="T539" s="268"/>
      <c r="U539" s="270"/>
      <c r="V539" s="268"/>
      <c r="W539" s="270"/>
      <c r="X539" s="270"/>
      <c r="Y539" s="270"/>
      <c r="Z539" s="270"/>
      <c r="AA539" s="270"/>
    </row>
    <row r="540" spans="1:27" ht="16.899999999999999" x14ac:dyDescent="0.5">
      <c r="A540" s="270"/>
      <c r="B540" s="270"/>
      <c r="C540" s="270"/>
      <c r="D540" s="268"/>
      <c r="E540" s="270"/>
      <c r="F540" s="268"/>
      <c r="G540" s="270"/>
      <c r="H540" s="268"/>
      <c r="I540" s="270"/>
      <c r="J540" s="268"/>
      <c r="K540" s="270"/>
      <c r="L540" s="268"/>
      <c r="M540" s="270"/>
      <c r="N540" s="268"/>
      <c r="O540" s="270"/>
      <c r="P540" s="268"/>
      <c r="Q540" s="270"/>
      <c r="R540" s="268"/>
      <c r="S540" s="270"/>
      <c r="T540" s="268"/>
      <c r="U540" s="270"/>
      <c r="V540" s="268"/>
      <c r="W540" s="270"/>
      <c r="X540" s="270"/>
      <c r="Y540" s="270"/>
      <c r="Z540" s="270"/>
      <c r="AA540" s="270"/>
    </row>
    <row r="541" spans="1:27" ht="16.899999999999999" x14ac:dyDescent="0.5">
      <c r="A541" s="270"/>
      <c r="B541" s="270"/>
      <c r="C541" s="270"/>
      <c r="D541" s="268"/>
      <c r="E541" s="270"/>
      <c r="F541" s="268"/>
      <c r="G541" s="270"/>
      <c r="H541" s="268"/>
      <c r="I541" s="270"/>
      <c r="J541" s="268"/>
      <c r="K541" s="270"/>
      <c r="L541" s="268"/>
      <c r="M541" s="270"/>
      <c r="N541" s="268"/>
      <c r="O541" s="270"/>
      <c r="P541" s="268"/>
      <c r="Q541" s="270"/>
      <c r="R541" s="268"/>
      <c r="S541" s="270"/>
      <c r="T541" s="268"/>
      <c r="U541" s="270"/>
      <c r="V541" s="268"/>
      <c r="W541" s="270"/>
      <c r="X541" s="270"/>
      <c r="Y541" s="270"/>
      <c r="Z541" s="270"/>
      <c r="AA541" s="270"/>
    </row>
    <row r="542" spans="1:27" ht="16.899999999999999" x14ac:dyDescent="0.5">
      <c r="A542" s="270"/>
      <c r="B542" s="270"/>
      <c r="C542" s="270"/>
      <c r="D542" s="268"/>
      <c r="E542" s="270"/>
      <c r="F542" s="268"/>
      <c r="G542" s="270"/>
      <c r="H542" s="268"/>
      <c r="I542" s="270"/>
      <c r="J542" s="268"/>
      <c r="K542" s="270"/>
      <c r="L542" s="268"/>
      <c r="M542" s="270"/>
      <c r="N542" s="268"/>
      <c r="O542" s="270"/>
      <c r="P542" s="268"/>
      <c r="Q542" s="270"/>
      <c r="R542" s="268"/>
      <c r="S542" s="270"/>
      <c r="T542" s="268"/>
      <c r="U542" s="270"/>
      <c r="V542" s="268"/>
      <c r="W542" s="270"/>
      <c r="X542" s="270"/>
      <c r="Y542" s="270"/>
      <c r="Z542" s="270"/>
      <c r="AA542" s="270"/>
    </row>
    <row r="543" spans="1:27" ht="16.899999999999999" x14ac:dyDescent="0.5">
      <c r="A543" s="270"/>
      <c r="B543" s="270"/>
      <c r="C543" s="270"/>
      <c r="D543" s="268"/>
      <c r="E543" s="270"/>
      <c r="F543" s="268"/>
      <c r="G543" s="270"/>
      <c r="H543" s="268"/>
      <c r="I543" s="270"/>
      <c r="J543" s="268"/>
      <c r="K543" s="270"/>
      <c r="L543" s="268"/>
      <c r="M543" s="270"/>
      <c r="N543" s="268"/>
      <c r="O543" s="270"/>
      <c r="P543" s="268"/>
      <c r="Q543" s="270"/>
      <c r="R543" s="268"/>
      <c r="S543" s="270"/>
      <c r="T543" s="268"/>
      <c r="U543" s="270"/>
      <c r="V543" s="268"/>
      <c r="W543" s="270"/>
      <c r="X543" s="270"/>
      <c r="Y543" s="270"/>
      <c r="Z543" s="270"/>
      <c r="AA543" s="270"/>
    </row>
    <row r="544" spans="1:27" ht="16.899999999999999" x14ac:dyDescent="0.5">
      <c r="A544" s="270"/>
      <c r="B544" s="270"/>
      <c r="C544" s="270"/>
      <c r="D544" s="268"/>
      <c r="E544" s="270"/>
      <c r="F544" s="268"/>
      <c r="G544" s="270"/>
      <c r="H544" s="268"/>
      <c r="I544" s="270"/>
      <c r="J544" s="268"/>
      <c r="K544" s="270"/>
      <c r="L544" s="268"/>
      <c r="M544" s="270"/>
      <c r="N544" s="268"/>
      <c r="O544" s="270"/>
      <c r="P544" s="268"/>
      <c r="Q544" s="270"/>
      <c r="R544" s="268"/>
      <c r="S544" s="270"/>
      <c r="T544" s="268"/>
      <c r="U544" s="270"/>
      <c r="V544" s="268"/>
      <c r="W544" s="270"/>
      <c r="X544" s="270"/>
      <c r="Y544" s="270"/>
      <c r="Z544" s="270"/>
      <c r="AA544" s="270"/>
    </row>
    <row r="545" spans="1:27" ht="16.899999999999999" x14ac:dyDescent="0.5">
      <c r="A545" s="270"/>
      <c r="B545" s="270"/>
      <c r="C545" s="270"/>
      <c r="D545" s="268"/>
      <c r="E545" s="270"/>
      <c r="F545" s="268"/>
      <c r="G545" s="270"/>
      <c r="H545" s="268"/>
      <c r="I545" s="270"/>
      <c r="J545" s="268"/>
      <c r="K545" s="270"/>
      <c r="L545" s="268"/>
      <c r="M545" s="270"/>
      <c r="N545" s="268"/>
      <c r="O545" s="270"/>
      <c r="P545" s="268"/>
      <c r="Q545" s="270"/>
      <c r="R545" s="268"/>
      <c r="S545" s="270"/>
      <c r="T545" s="268"/>
      <c r="U545" s="270"/>
      <c r="V545" s="268"/>
      <c r="W545" s="270"/>
      <c r="X545" s="270"/>
      <c r="Y545" s="270"/>
      <c r="Z545" s="270"/>
      <c r="AA545" s="270"/>
    </row>
    <row r="546" spans="1:27" ht="16.899999999999999" x14ac:dyDescent="0.5">
      <c r="A546" s="270"/>
      <c r="B546" s="270"/>
      <c r="C546" s="270"/>
      <c r="D546" s="268"/>
      <c r="E546" s="270"/>
      <c r="F546" s="268"/>
      <c r="G546" s="270"/>
      <c r="H546" s="268"/>
      <c r="I546" s="270"/>
      <c r="J546" s="268"/>
      <c r="K546" s="270"/>
      <c r="L546" s="268"/>
      <c r="M546" s="270"/>
      <c r="N546" s="268"/>
      <c r="O546" s="270"/>
      <c r="P546" s="268"/>
      <c r="Q546" s="270"/>
      <c r="R546" s="268"/>
      <c r="S546" s="270"/>
      <c r="T546" s="268"/>
      <c r="U546" s="270"/>
      <c r="V546" s="268"/>
      <c r="W546" s="270"/>
      <c r="X546" s="270"/>
      <c r="Y546" s="270"/>
      <c r="Z546" s="270"/>
      <c r="AA546" s="270"/>
    </row>
    <row r="547" spans="1:27" ht="16.899999999999999" x14ac:dyDescent="0.5">
      <c r="A547" s="270"/>
      <c r="B547" s="270"/>
      <c r="C547" s="270"/>
      <c r="D547" s="268"/>
      <c r="E547" s="270"/>
      <c r="F547" s="268"/>
      <c r="G547" s="270"/>
      <c r="H547" s="268"/>
      <c r="I547" s="270"/>
      <c r="J547" s="268"/>
      <c r="K547" s="270"/>
      <c r="L547" s="268"/>
      <c r="M547" s="270"/>
      <c r="N547" s="268"/>
      <c r="O547" s="270"/>
      <c r="P547" s="268"/>
      <c r="Q547" s="270"/>
      <c r="R547" s="268"/>
      <c r="S547" s="270"/>
      <c r="T547" s="268"/>
      <c r="U547" s="270"/>
      <c r="V547" s="268"/>
      <c r="W547" s="270"/>
      <c r="X547" s="270"/>
      <c r="Y547" s="270"/>
      <c r="Z547" s="270"/>
      <c r="AA547" s="270"/>
    </row>
    <row r="548" spans="1:27" ht="16.899999999999999" x14ac:dyDescent="0.5">
      <c r="A548" s="270"/>
      <c r="B548" s="270"/>
      <c r="C548" s="270"/>
      <c r="D548" s="268"/>
      <c r="E548" s="270"/>
      <c r="F548" s="268"/>
      <c r="G548" s="270"/>
      <c r="H548" s="268"/>
      <c r="I548" s="270"/>
      <c r="J548" s="268"/>
      <c r="K548" s="270"/>
      <c r="L548" s="268"/>
      <c r="M548" s="270"/>
      <c r="N548" s="268"/>
      <c r="O548" s="270"/>
      <c r="P548" s="268"/>
      <c r="Q548" s="270"/>
      <c r="R548" s="268"/>
      <c r="S548" s="270"/>
      <c r="T548" s="268"/>
      <c r="U548" s="270"/>
      <c r="V548" s="268"/>
      <c r="W548" s="270"/>
      <c r="X548" s="270"/>
      <c r="Y548" s="270"/>
      <c r="Z548" s="270"/>
      <c r="AA548" s="270"/>
    </row>
    <row r="549" spans="1:27" ht="16.899999999999999" x14ac:dyDescent="0.5">
      <c r="A549" s="270"/>
      <c r="B549" s="270"/>
      <c r="C549" s="270"/>
      <c r="D549" s="268"/>
      <c r="E549" s="270"/>
      <c r="F549" s="268"/>
      <c r="G549" s="270"/>
      <c r="H549" s="268"/>
      <c r="I549" s="270"/>
      <c r="J549" s="268"/>
      <c r="K549" s="270"/>
      <c r="L549" s="268"/>
      <c r="M549" s="270"/>
      <c r="N549" s="268"/>
      <c r="O549" s="270"/>
      <c r="P549" s="268"/>
      <c r="Q549" s="270"/>
      <c r="R549" s="268"/>
      <c r="S549" s="270"/>
      <c r="T549" s="268"/>
      <c r="U549" s="270"/>
      <c r="V549" s="268"/>
      <c r="W549" s="270"/>
      <c r="X549" s="270"/>
      <c r="Y549" s="270"/>
      <c r="Z549" s="270"/>
      <c r="AA549" s="270"/>
    </row>
    <row r="550" spans="1:27" ht="16.899999999999999" x14ac:dyDescent="0.5">
      <c r="A550" s="270"/>
      <c r="B550" s="270"/>
      <c r="C550" s="270"/>
      <c r="D550" s="268"/>
      <c r="E550" s="270"/>
      <c r="F550" s="268"/>
      <c r="G550" s="270"/>
      <c r="H550" s="268"/>
      <c r="I550" s="270"/>
      <c r="J550" s="268"/>
      <c r="K550" s="270"/>
      <c r="L550" s="268"/>
      <c r="M550" s="270"/>
      <c r="N550" s="268"/>
      <c r="O550" s="270"/>
      <c r="P550" s="268"/>
      <c r="Q550" s="270"/>
      <c r="R550" s="268"/>
      <c r="S550" s="270"/>
      <c r="T550" s="268"/>
      <c r="U550" s="270"/>
      <c r="V550" s="268"/>
      <c r="W550" s="270"/>
      <c r="X550" s="270"/>
      <c r="Y550" s="270"/>
      <c r="Z550" s="270"/>
      <c r="AA550" s="270"/>
    </row>
    <row r="551" spans="1:27" ht="16.899999999999999" x14ac:dyDescent="0.5">
      <c r="A551" s="270"/>
      <c r="B551" s="270"/>
      <c r="C551" s="270"/>
      <c r="D551" s="268"/>
      <c r="E551" s="270"/>
      <c r="F551" s="268"/>
      <c r="G551" s="270"/>
      <c r="H551" s="268"/>
      <c r="I551" s="270"/>
      <c r="J551" s="268"/>
      <c r="K551" s="270"/>
      <c r="L551" s="268"/>
      <c r="M551" s="270"/>
      <c r="N551" s="268"/>
      <c r="O551" s="270"/>
      <c r="P551" s="268"/>
      <c r="Q551" s="270"/>
      <c r="R551" s="268"/>
      <c r="S551" s="270"/>
      <c r="T551" s="268"/>
      <c r="U551" s="270"/>
      <c r="V551" s="268"/>
      <c r="W551" s="270"/>
      <c r="X551" s="270"/>
      <c r="Y551" s="270"/>
      <c r="Z551" s="270"/>
      <c r="AA551" s="270"/>
    </row>
    <row r="552" spans="1:27" ht="16.899999999999999" x14ac:dyDescent="0.5">
      <c r="A552" s="270"/>
      <c r="B552" s="270"/>
      <c r="C552" s="270"/>
      <c r="D552" s="268"/>
      <c r="E552" s="270"/>
      <c r="F552" s="268"/>
      <c r="G552" s="270"/>
      <c r="H552" s="268"/>
      <c r="I552" s="270"/>
      <c r="J552" s="268"/>
      <c r="K552" s="270"/>
      <c r="L552" s="268"/>
      <c r="M552" s="270"/>
      <c r="N552" s="268"/>
      <c r="O552" s="270"/>
      <c r="P552" s="268"/>
      <c r="Q552" s="270"/>
      <c r="R552" s="268"/>
      <c r="S552" s="270"/>
      <c r="T552" s="268"/>
      <c r="U552" s="270"/>
      <c r="V552" s="268"/>
      <c r="W552" s="270"/>
      <c r="X552" s="270"/>
      <c r="Y552" s="270"/>
      <c r="Z552" s="270"/>
      <c r="AA552" s="270"/>
    </row>
    <row r="553" spans="1:27" ht="16.899999999999999" x14ac:dyDescent="0.5">
      <c r="A553" s="270"/>
      <c r="B553" s="270"/>
      <c r="C553" s="270"/>
      <c r="D553" s="268"/>
      <c r="E553" s="270"/>
      <c r="F553" s="268"/>
      <c r="G553" s="270"/>
      <c r="H553" s="268"/>
      <c r="I553" s="270"/>
      <c r="J553" s="268"/>
      <c r="K553" s="270"/>
      <c r="L553" s="268"/>
      <c r="M553" s="270"/>
      <c r="N553" s="268"/>
      <c r="O553" s="270"/>
      <c r="P553" s="268"/>
      <c r="Q553" s="270"/>
      <c r="R553" s="268"/>
      <c r="S553" s="270"/>
      <c r="T553" s="268"/>
      <c r="U553" s="270"/>
      <c r="V553" s="268"/>
      <c r="W553" s="270"/>
      <c r="X553" s="270"/>
      <c r="Y553" s="270"/>
      <c r="Z553" s="270"/>
      <c r="AA553" s="270"/>
    </row>
    <row r="554" spans="1:27" ht="16.899999999999999" x14ac:dyDescent="0.5">
      <c r="A554" s="270"/>
      <c r="B554" s="270"/>
      <c r="C554" s="270"/>
      <c r="D554" s="268"/>
      <c r="E554" s="270"/>
      <c r="F554" s="268"/>
      <c r="G554" s="270"/>
      <c r="H554" s="268"/>
      <c r="I554" s="270"/>
      <c r="J554" s="268"/>
      <c r="K554" s="270"/>
      <c r="L554" s="268"/>
      <c r="M554" s="270"/>
      <c r="N554" s="268"/>
      <c r="O554" s="270"/>
      <c r="P554" s="268"/>
      <c r="Q554" s="270"/>
      <c r="R554" s="268"/>
      <c r="S554" s="270"/>
      <c r="T554" s="268"/>
      <c r="U554" s="270"/>
      <c r="V554" s="268"/>
      <c r="W554" s="270"/>
      <c r="X554" s="270"/>
      <c r="Y554" s="270"/>
      <c r="Z554" s="270"/>
      <c r="AA554" s="270"/>
    </row>
    <row r="555" spans="1:27" ht="16.899999999999999" x14ac:dyDescent="0.5">
      <c r="A555" s="270"/>
      <c r="B555" s="270"/>
      <c r="C555" s="270"/>
      <c r="D555" s="268"/>
      <c r="E555" s="270"/>
      <c r="F555" s="268"/>
      <c r="G555" s="270"/>
      <c r="H555" s="268"/>
      <c r="I555" s="270"/>
      <c r="J555" s="268"/>
      <c r="K555" s="270"/>
      <c r="L555" s="268"/>
      <c r="M555" s="270"/>
      <c r="N555" s="268"/>
      <c r="O555" s="270"/>
      <c r="P555" s="268"/>
      <c r="Q555" s="270"/>
      <c r="R555" s="268"/>
      <c r="S555" s="270"/>
      <c r="T555" s="268"/>
      <c r="U555" s="270"/>
      <c r="V555" s="268"/>
      <c r="W555" s="270"/>
      <c r="X555" s="270"/>
      <c r="Y555" s="270"/>
      <c r="Z555" s="270"/>
      <c r="AA555" s="270"/>
    </row>
    <row r="556" spans="1:27" ht="16.899999999999999" x14ac:dyDescent="0.5">
      <c r="A556" s="270"/>
      <c r="B556" s="270"/>
      <c r="C556" s="270"/>
      <c r="D556" s="268"/>
      <c r="E556" s="270"/>
      <c r="F556" s="268"/>
      <c r="G556" s="270"/>
      <c r="H556" s="268"/>
      <c r="I556" s="270"/>
      <c r="J556" s="268"/>
      <c r="K556" s="270"/>
      <c r="L556" s="268"/>
      <c r="M556" s="270"/>
      <c r="N556" s="268"/>
      <c r="O556" s="270"/>
      <c r="P556" s="268"/>
      <c r="Q556" s="270"/>
      <c r="R556" s="268"/>
      <c r="S556" s="270"/>
      <c r="T556" s="268"/>
      <c r="U556" s="270"/>
      <c r="V556" s="268"/>
      <c r="W556" s="270"/>
      <c r="X556" s="270"/>
      <c r="Y556" s="270"/>
      <c r="Z556" s="270"/>
      <c r="AA556" s="270"/>
    </row>
    <row r="557" spans="1:27" ht="16.899999999999999" x14ac:dyDescent="0.5">
      <c r="A557" s="270"/>
      <c r="B557" s="270"/>
      <c r="C557" s="270"/>
      <c r="D557" s="268"/>
      <c r="E557" s="270"/>
      <c r="F557" s="268"/>
      <c r="G557" s="270"/>
      <c r="H557" s="268"/>
      <c r="I557" s="270"/>
      <c r="J557" s="268"/>
      <c r="K557" s="270"/>
      <c r="L557" s="268"/>
      <c r="M557" s="270"/>
      <c r="N557" s="268"/>
      <c r="O557" s="270"/>
      <c r="P557" s="268"/>
      <c r="Q557" s="270"/>
      <c r="R557" s="268"/>
      <c r="S557" s="270"/>
      <c r="T557" s="268"/>
      <c r="U557" s="270"/>
      <c r="V557" s="268"/>
      <c r="W557" s="270"/>
      <c r="X557" s="270"/>
      <c r="Y557" s="270"/>
      <c r="Z557" s="270"/>
      <c r="AA557" s="270"/>
    </row>
    <row r="558" spans="1:27" ht="16.899999999999999" x14ac:dyDescent="0.5">
      <c r="A558" s="270"/>
      <c r="B558" s="270"/>
      <c r="C558" s="270"/>
      <c r="D558" s="268"/>
      <c r="E558" s="270"/>
      <c r="F558" s="268"/>
      <c r="G558" s="270"/>
      <c r="H558" s="268"/>
      <c r="I558" s="270"/>
      <c r="J558" s="268"/>
      <c r="K558" s="270"/>
      <c r="L558" s="268"/>
      <c r="M558" s="270"/>
      <c r="N558" s="268"/>
      <c r="O558" s="270"/>
      <c r="P558" s="268"/>
      <c r="Q558" s="270"/>
      <c r="R558" s="268"/>
      <c r="S558" s="270"/>
      <c r="T558" s="268"/>
      <c r="U558" s="270"/>
      <c r="V558" s="268"/>
      <c r="W558" s="270"/>
      <c r="X558" s="270"/>
      <c r="Y558" s="270"/>
      <c r="Z558" s="270"/>
      <c r="AA558" s="270"/>
    </row>
    <row r="559" spans="1:27" ht="16.899999999999999" x14ac:dyDescent="0.5">
      <c r="A559" s="270"/>
      <c r="B559" s="270"/>
      <c r="C559" s="270"/>
      <c r="D559" s="268"/>
      <c r="E559" s="270"/>
      <c r="F559" s="268"/>
      <c r="G559" s="270"/>
      <c r="H559" s="268"/>
      <c r="I559" s="270"/>
      <c r="J559" s="268"/>
      <c r="K559" s="270"/>
      <c r="L559" s="268"/>
      <c r="M559" s="270"/>
      <c r="N559" s="268"/>
      <c r="O559" s="270"/>
      <c r="P559" s="268"/>
      <c r="Q559" s="270"/>
      <c r="R559" s="268"/>
      <c r="S559" s="270"/>
      <c r="T559" s="268"/>
      <c r="U559" s="270"/>
      <c r="V559" s="268"/>
      <c r="W559" s="270"/>
      <c r="X559" s="270"/>
      <c r="Y559" s="270"/>
      <c r="Z559" s="270"/>
      <c r="AA559" s="270"/>
    </row>
    <row r="560" spans="1:27" ht="16.899999999999999" x14ac:dyDescent="0.5">
      <c r="A560" s="270"/>
      <c r="B560" s="270"/>
      <c r="C560" s="270"/>
      <c r="D560" s="268"/>
      <c r="E560" s="270"/>
      <c r="F560" s="268"/>
      <c r="G560" s="270"/>
      <c r="H560" s="268"/>
      <c r="I560" s="270"/>
      <c r="J560" s="268"/>
      <c r="K560" s="270"/>
      <c r="L560" s="268"/>
      <c r="M560" s="270"/>
      <c r="N560" s="268"/>
      <c r="O560" s="270"/>
      <c r="P560" s="268"/>
      <c r="Q560" s="270"/>
      <c r="R560" s="268"/>
      <c r="S560" s="270"/>
      <c r="T560" s="268"/>
      <c r="U560" s="270"/>
      <c r="V560" s="268"/>
      <c r="W560" s="270"/>
      <c r="X560" s="270"/>
      <c r="Y560" s="270"/>
      <c r="Z560" s="270"/>
      <c r="AA560" s="270"/>
    </row>
    <row r="561" spans="1:27" ht="16.899999999999999" x14ac:dyDescent="0.5">
      <c r="A561" s="270"/>
      <c r="B561" s="270"/>
      <c r="C561" s="270"/>
      <c r="D561" s="268"/>
      <c r="E561" s="270"/>
      <c r="F561" s="268"/>
      <c r="G561" s="270"/>
      <c r="H561" s="268"/>
      <c r="I561" s="270"/>
      <c r="J561" s="268"/>
      <c r="K561" s="270"/>
      <c r="L561" s="268"/>
      <c r="M561" s="270"/>
      <c r="N561" s="268"/>
      <c r="O561" s="270"/>
      <c r="P561" s="268"/>
      <c r="Q561" s="270"/>
      <c r="R561" s="268"/>
      <c r="S561" s="270"/>
      <c r="T561" s="268"/>
      <c r="U561" s="270"/>
      <c r="V561" s="268"/>
      <c r="W561" s="270"/>
      <c r="X561" s="270"/>
      <c r="Y561" s="270"/>
      <c r="Z561" s="270"/>
      <c r="AA561" s="270"/>
    </row>
    <row r="562" spans="1:27" ht="16.899999999999999" x14ac:dyDescent="0.5">
      <c r="A562" s="270"/>
      <c r="B562" s="270"/>
      <c r="C562" s="270"/>
      <c r="D562" s="268"/>
      <c r="E562" s="270"/>
      <c r="F562" s="268"/>
      <c r="G562" s="270"/>
      <c r="H562" s="268"/>
      <c r="I562" s="270"/>
      <c r="J562" s="268"/>
      <c r="K562" s="270"/>
      <c r="L562" s="268"/>
      <c r="M562" s="270"/>
      <c r="N562" s="268"/>
      <c r="O562" s="270"/>
      <c r="P562" s="268"/>
      <c r="Q562" s="270"/>
      <c r="R562" s="268"/>
      <c r="S562" s="270"/>
      <c r="T562" s="268"/>
      <c r="U562" s="270"/>
      <c r="V562" s="268"/>
      <c r="W562" s="270"/>
      <c r="X562" s="270"/>
      <c r="Y562" s="270"/>
      <c r="Z562" s="270"/>
      <c r="AA562" s="270"/>
    </row>
    <row r="563" spans="1:27" ht="16.899999999999999" x14ac:dyDescent="0.5">
      <c r="A563" s="270"/>
      <c r="B563" s="270"/>
      <c r="C563" s="270"/>
      <c r="D563" s="268"/>
      <c r="E563" s="270"/>
      <c r="F563" s="268"/>
      <c r="G563" s="270"/>
      <c r="H563" s="268"/>
      <c r="I563" s="270"/>
      <c r="J563" s="268"/>
      <c r="K563" s="270"/>
      <c r="L563" s="268"/>
      <c r="M563" s="270"/>
      <c r="N563" s="268"/>
      <c r="O563" s="270"/>
      <c r="P563" s="268"/>
      <c r="Q563" s="270"/>
      <c r="R563" s="268"/>
      <c r="S563" s="270"/>
      <c r="T563" s="268"/>
      <c r="U563" s="270"/>
      <c r="V563" s="268"/>
      <c r="W563" s="270"/>
      <c r="X563" s="270"/>
      <c r="Y563" s="270"/>
      <c r="Z563" s="270"/>
      <c r="AA563" s="270"/>
    </row>
    <row r="564" spans="1:27" ht="16.899999999999999" x14ac:dyDescent="0.5">
      <c r="A564" s="270"/>
      <c r="B564" s="270"/>
      <c r="C564" s="270"/>
      <c r="D564" s="268"/>
      <c r="E564" s="270"/>
      <c r="F564" s="268"/>
      <c r="G564" s="270"/>
      <c r="H564" s="268"/>
      <c r="I564" s="270"/>
      <c r="J564" s="268"/>
      <c r="K564" s="270"/>
      <c r="L564" s="268"/>
      <c r="M564" s="270"/>
      <c r="N564" s="268"/>
      <c r="O564" s="270"/>
      <c r="P564" s="268"/>
      <c r="Q564" s="270"/>
      <c r="R564" s="268"/>
      <c r="S564" s="270"/>
      <c r="T564" s="268"/>
      <c r="U564" s="270"/>
      <c r="V564" s="268"/>
      <c r="W564" s="270"/>
      <c r="X564" s="270"/>
      <c r="Y564" s="270"/>
      <c r="Z564" s="270"/>
      <c r="AA564" s="270"/>
    </row>
    <row r="565" spans="1:27" ht="16.899999999999999" x14ac:dyDescent="0.5">
      <c r="A565" s="270"/>
      <c r="B565" s="270"/>
      <c r="C565" s="270"/>
      <c r="D565" s="268"/>
      <c r="E565" s="270"/>
      <c r="F565" s="268"/>
      <c r="G565" s="270"/>
      <c r="H565" s="268"/>
      <c r="I565" s="270"/>
      <c r="J565" s="268"/>
      <c r="K565" s="270"/>
      <c r="L565" s="268"/>
      <c r="M565" s="270"/>
      <c r="N565" s="268"/>
      <c r="O565" s="270"/>
      <c r="P565" s="268"/>
      <c r="Q565" s="270"/>
      <c r="R565" s="268"/>
      <c r="S565" s="270"/>
      <c r="T565" s="268"/>
      <c r="U565" s="270"/>
      <c r="V565" s="268"/>
      <c r="W565" s="270"/>
      <c r="X565" s="270"/>
      <c r="Y565" s="270"/>
      <c r="Z565" s="270"/>
      <c r="AA565" s="270"/>
    </row>
    <row r="566" spans="1:27" ht="16.899999999999999" x14ac:dyDescent="0.5">
      <c r="A566" s="270"/>
      <c r="B566" s="270"/>
      <c r="C566" s="270"/>
      <c r="D566" s="268"/>
      <c r="E566" s="270"/>
      <c r="F566" s="268"/>
      <c r="G566" s="270"/>
      <c r="H566" s="268"/>
      <c r="I566" s="270"/>
      <c r="J566" s="268"/>
      <c r="K566" s="270"/>
      <c r="L566" s="268"/>
      <c r="M566" s="270"/>
      <c r="N566" s="268"/>
      <c r="O566" s="270"/>
      <c r="P566" s="268"/>
      <c r="Q566" s="270"/>
      <c r="R566" s="268"/>
      <c r="S566" s="270"/>
      <c r="T566" s="268"/>
      <c r="U566" s="270"/>
      <c r="V566" s="268"/>
      <c r="W566" s="270"/>
      <c r="X566" s="270"/>
      <c r="Y566" s="270"/>
      <c r="Z566" s="270"/>
      <c r="AA566" s="270"/>
    </row>
    <row r="567" spans="1:27" ht="16.899999999999999" x14ac:dyDescent="0.5">
      <c r="A567" s="270"/>
      <c r="B567" s="270"/>
      <c r="C567" s="270"/>
      <c r="D567" s="268"/>
      <c r="E567" s="270"/>
      <c r="F567" s="268"/>
      <c r="G567" s="270"/>
      <c r="H567" s="268"/>
      <c r="I567" s="270"/>
      <c r="J567" s="268"/>
      <c r="K567" s="270"/>
      <c r="L567" s="268"/>
      <c r="M567" s="270"/>
      <c r="N567" s="268"/>
      <c r="O567" s="270"/>
      <c r="P567" s="268"/>
      <c r="Q567" s="270"/>
      <c r="R567" s="268"/>
      <c r="S567" s="270"/>
      <c r="T567" s="268"/>
      <c r="U567" s="270"/>
      <c r="V567" s="268"/>
      <c r="W567" s="270"/>
      <c r="X567" s="270"/>
      <c r="Y567" s="270"/>
      <c r="Z567" s="270"/>
      <c r="AA567" s="270"/>
    </row>
    <row r="568" spans="1:27" ht="16.899999999999999" x14ac:dyDescent="0.5">
      <c r="A568" s="270"/>
      <c r="B568" s="270"/>
      <c r="C568" s="270"/>
      <c r="D568" s="268"/>
      <c r="E568" s="270"/>
      <c r="F568" s="268"/>
      <c r="G568" s="270"/>
      <c r="H568" s="268"/>
      <c r="I568" s="270"/>
      <c r="J568" s="268"/>
      <c r="K568" s="270"/>
      <c r="L568" s="268"/>
      <c r="M568" s="270"/>
      <c r="N568" s="268"/>
      <c r="O568" s="270"/>
      <c r="P568" s="268"/>
      <c r="Q568" s="270"/>
      <c r="R568" s="268"/>
      <c r="S568" s="270"/>
      <c r="T568" s="268"/>
      <c r="U568" s="270"/>
      <c r="V568" s="268"/>
      <c r="W568" s="270"/>
      <c r="X568" s="270"/>
      <c r="Y568" s="270"/>
      <c r="Z568" s="270"/>
      <c r="AA568" s="270"/>
    </row>
    <row r="569" spans="1:27" ht="16.899999999999999" x14ac:dyDescent="0.5">
      <c r="A569" s="270"/>
      <c r="B569" s="270"/>
      <c r="C569" s="270"/>
      <c r="D569" s="268"/>
      <c r="E569" s="270"/>
      <c r="F569" s="268"/>
      <c r="G569" s="270"/>
      <c r="H569" s="268"/>
      <c r="I569" s="270"/>
      <c r="J569" s="268"/>
      <c r="K569" s="270"/>
      <c r="L569" s="268"/>
      <c r="M569" s="270"/>
      <c r="N569" s="268"/>
      <c r="O569" s="270"/>
      <c r="P569" s="268"/>
      <c r="Q569" s="270"/>
      <c r="R569" s="268"/>
      <c r="S569" s="270"/>
      <c r="T569" s="268"/>
      <c r="U569" s="270"/>
      <c r="V569" s="268"/>
      <c r="W569" s="270"/>
      <c r="X569" s="270"/>
      <c r="Y569" s="270"/>
      <c r="Z569" s="270"/>
      <c r="AA569" s="270"/>
    </row>
    <row r="570" spans="1:27" ht="16.899999999999999" x14ac:dyDescent="0.5">
      <c r="A570" s="270"/>
      <c r="B570" s="270"/>
      <c r="C570" s="270"/>
      <c r="D570" s="268"/>
      <c r="E570" s="270"/>
      <c r="F570" s="268"/>
      <c r="G570" s="270"/>
      <c r="H570" s="268"/>
      <c r="I570" s="270"/>
      <c r="J570" s="268"/>
      <c r="K570" s="270"/>
      <c r="L570" s="268"/>
      <c r="M570" s="270"/>
      <c r="N570" s="268"/>
      <c r="O570" s="270"/>
      <c r="P570" s="268"/>
      <c r="Q570" s="270"/>
      <c r="R570" s="268"/>
      <c r="S570" s="270"/>
      <c r="T570" s="268"/>
      <c r="U570" s="270"/>
      <c r="V570" s="268"/>
      <c r="W570" s="270"/>
      <c r="X570" s="270"/>
      <c r="Y570" s="270"/>
      <c r="Z570" s="270"/>
      <c r="AA570" s="270"/>
    </row>
    <row r="571" spans="1:27" ht="16.899999999999999" x14ac:dyDescent="0.5">
      <c r="A571" s="270"/>
      <c r="B571" s="270"/>
      <c r="C571" s="270"/>
      <c r="D571" s="268"/>
      <c r="E571" s="270"/>
      <c r="F571" s="268"/>
      <c r="G571" s="270"/>
      <c r="H571" s="268"/>
      <c r="I571" s="270"/>
      <c r="J571" s="268"/>
      <c r="K571" s="270"/>
      <c r="L571" s="268"/>
      <c r="M571" s="270"/>
      <c r="N571" s="268"/>
      <c r="O571" s="270"/>
      <c r="P571" s="268"/>
      <c r="Q571" s="270"/>
      <c r="R571" s="268"/>
      <c r="S571" s="270"/>
      <c r="T571" s="268"/>
      <c r="U571" s="270"/>
      <c r="V571" s="268"/>
      <c r="W571" s="270"/>
      <c r="X571" s="270"/>
      <c r="Y571" s="270"/>
      <c r="Z571" s="270"/>
      <c r="AA571" s="270"/>
    </row>
    <row r="572" spans="1:27" ht="16.899999999999999" x14ac:dyDescent="0.5">
      <c r="A572" s="270"/>
      <c r="B572" s="270"/>
      <c r="C572" s="270"/>
      <c r="D572" s="268"/>
      <c r="E572" s="270"/>
      <c r="F572" s="268"/>
      <c r="G572" s="270"/>
      <c r="H572" s="268"/>
      <c r="I572" s="270"/>
      <c r="J572" s="268"/>
      <c r="K572" s="270"/>
      <c r="L572" s="268"/>
      <c r="M572" s="270"/>
      <c r="N572" s="268"/>
      <c r="O572" s="270"/>
      <c r="P572" s="268"/>
      <c r="Q572" s="270"/>
      <c r="R572" s="268"/>
      <c r="S572" s="270"/>
      <c r="T572" s="268"/>
      <c r="U572" s="270"/>
      <c r="V572" s="268"/>
      <c r="W572" s="270"/>
      <c r="X572" s="270"/>
      <c r="Y572" s="270"/>
      <c r="Z572" s="270"/>
      <c r="AA572" s="270"/>
    </row>
    <row r="573" spans="1:27" ht="16.899999999999999" x14ac:dyDescent="0.5">
      <c r="A573" s="270"/>
      <c r="B573" s="270"/>
      <c r="C573" s="270"/>
      <c r="D573" s="268"/>
      <c r="E573" s="270"/>
      <c r="F573" s="268"/>
      <c r="G573" s="270"/>
      <c r="H573" s="268"/>
      <c r="I573" s="270"/>
      <c r="J573" s="268"/>
      <c r="K573" s="270"/>
      <c r="L573" s="268"/>
      <c r="M573" s="270"/>
      <c r="N573" s="268"/>
      <c r="O573" s="270"/>
      <c r="P573" s="268"/>
      <c r="Q573" s="270"/>
      <c r="R573" s="268"/>
      <c r="S573" s="270"/>
      <c r="T573" s="268"/>
      <c r="U573" s="270"/>
      <c r="V573" s="268"/>
      <c r="W573" s="270"/>
      <c r="X573" s="270"/>
      <c r="Y573" s="270"/>
      <c r="Z573" s="270"/>
      <c r="AA573" s="270"/>
    </row>
    <row r="574" spans="1:27" ht="16.899999999999999" x14ac:dyDescent="0.5">
      <c r="A574" s="270"/>
      <c r="B574" s="270"/>
      <c r="C574" s="270"/>
      <c r="D574" s="268"/>
      <c r="E574" s="270"/>
      <c r="F574" s="268"/>
      <c r="G574" s="270"/>
      <c r="H574" s="268"/>
      <c r="I574" s="270"/>
      <c r="J574" s="268"/>
      <c r="K574" s="270"/>
      <c r="L574" s="268"/>
      <c r="M574" s="270"/>
      <c r="N574" s="268"/>
      <c r="O574" s="270"/>
      <c r="P574" s="268"/>
      <c r="Q574" s="270"/>
      <c r="R574" s="268"/>
      <c r="S574" s="270"/>
      <c r="T574" s="268"/>
      <c r="U574" s="270"/>
      <c r="V574" s="268"/>
      <c r="W574" s="270"/>
      <c r="X574" s="270"/>
      <c r="Y574" s="270"/>
      <c r="Z574" s="270"/>
      <c r="AA574" s="270"/>
    </row>
    <row r="575" spans="1:27" ht="16.899999999999999" x14ac:dyDescent="0.5">
      <c r="A575" s="270"/>
      <c r="B575" s="270"/>
      <c r="C575" s="270"/>
      <c r="D575" s="268"/>
      <c r="E575" s="270"/>
      <c r="F575" s="268"/>
      <c r="G575" s="270"/>
      <c r="H575" s="268"/>
      <c r="I575" s="270"/>
      <c r="J575" s="268"/>
      <c r="K575" s="270"/>
      <c r="L575" s="268"/>
      <c r="M575" s="270"/>
      <c r="N575" s="268"/>
      <c r="O575" s="270"/>
      <c r="P575" s="268"/>
      <c r="Q575" s="270"/>
      <c r="R575" s="268"/>
      <c r="S575" s="270"/>
      <c r="T575" s="268"/>
      <c r="U575" s="270"/>
      <c r="V575" s="268"/>
      <c r="W575" s="270"/>
      <c r="X575" s="270"/>
      <c r="Y575" s="270"/>
      <c r="Z575" s="270"/>
      <c r="AA575" s="270"/>
    </row>
    <row r="576" spans="1:27" ht="16.899999999999999" x14ac:dyDescent="0.5">
      <c r="A576" s="270"/>
      <c r="B576" s="270"/>
      <c r="C576" s="270"/>
      <c r="D576" s="268"/>
      <c r="E576" s="270"/>
      <c r="F576" s="268"/>
      <c r="G576" s="270"/>
      <c r="H576" s="268"/>
      <c r="I576" s="270"/>
      <c r="J576" s="268"/>
      <c r="K576" s="270"/>
      <c r="L576" s="268"/>
      <c r="M576" s="270"/>
      <c r="N576" s="268"/>
      <c r="O576" s="270"/>
      <c r="P576" s="268"/>
      <c r="Q576" s="270"/>
      <c r="R576" s="268"/>
      <c r="S576" s="270"/>
      <c r="T576" s="268"/>
      <c r="U576" s="270"/>
      <c r="V576" s="268"/>
      <c r="W576" s="270"/>
      <c r="X576" s="270"/>
      <c r="Y576" s="270"/>
      <c r="Z576" s="270"/>
      <c r="AA576" s="270"/>
    </row>
    <row r="577" spans="1:27" ht="16.899999999999999" x14ac:dyDescent="0.5">
      <c r="A577" s="270"/>
      <c r="B577" s="270"/>
      <c r="C577" s="270"/>
      <c r="D577" s="268"/>
      <c r="E577" s="270"/>
      <c r="F577" s="268"/>
      <c r="G577" s="270"/>
      <c r="H577" s="268"/>
      <c r="I577" s="270"/>
      <c r="J577" s="268"/>
      <c r="K577" s="270"/>
      <c r="L577" s="268"/>
      <c r="M577" s="270"/>
      <c r="N577" s="268"/>
      <c r="O577" s="270"/>
      <c r="P577" s="268"/>
      <c r="Q577" s="270"/>
      <c r="R577" s="268"/>
      <c r="S577" s="270"/>
      <c r="T577" s="268"/>
      <c r="U577" s="270"/>
      <c r="V577" s="268"/>
      <c r="W577" s="270"/>
      <c r="X577" s="270"/>
      <c r="Y577" s="270"/>
      <c r="Z577" s="270"/>
      <c r="AA577" s="270"/>
    </row>
    <row r="578" spans="1:27" ht="16.899999999999999" x14ac:dyDescent="0.5">
      <c r="A578" s="270"/>
      <c r="B578" s="270"/>
      <c r="C578" s="270"/>
      <c r="D578" s="268"/>
      <c r="E578" s="270"/>
      <c r="F578" s="268"/>
      <c r="G578" s="270"/>
      <c r="H578" s="268"/>
      <c r="I578" s="270"/>
      <c r="J578" s="268"/>
      <c r="K578" s="270"/>
      <c r="L578" s="268"/>
      <c r="M578" s="270"/>
      <c r="N578" s="268"/>
      <c r="O578" s="270"/>
      <c r="P578" s="268"/>
      <c r="Q578" s="270"/>
      <c r="R578" s="268"/>
      <c r="S578" s="270"/>
      <c r="T578" s="268"/>
      <c r="U578" s="270"/>
      <c r="V578" s="268"/>
      <c r="W578" s="270"/>
      <c r="X578" s="270"/>
      <c r="Y578" s="270"/>
      <c r="Z578" s="270"/>
      <c r="AA578" s="270"/>
    </row>
    <row r="579" spans="1:27" ht="16.899999999999999" x14ac:dyDescent="0.5">
      <c r="A579" s="270"/>
      <c r="B579" s="270"/>
      <c r="C579" s="270"/>
      <c r="D579" s="268"/>
      <c r="E579" s="270"/>
      <c r="F579" s="268"/>
      <c r="G579" s="270"/>
      <c r="H579" s="268"/>
      <c r="I579" s="270"/>
      <c r="J579" s="268"/>
      <c r="K579" s="270"/>
      <c r="L579" s="268"/>
      <c r="M579" s="270"/>
      <c r="N579" s="268"/>
      <c r="O579" s="270"/>
      <c r="P579" s="268"/>
      <c r="Q579" s="270"/>
      <c r="R579" s="268"/>
      <c r="S579" s="270"/>
      <c r="T579" s="268"/>
      <c r="U579" s="270"/>
      <c r="V579" s="268"/>
      <c r="W579" s="270"/>
      <c r="X579" s="270"/>
      <c r="Y579" s="270"/>
      <c r="Z579" s="270"/>
      <c r="AA579" s="270"/>
    </row>
    <row r="580" spans="1:27" ht="16.899999999999999" x14ac:dyDescent="0.5">
      <c r="A580" s="270"/>
      <c r="B580" s="270"/>
      <c r="C580" s="270"/>
      <c r="D580" s="268"/>
      <c r="E580" s="270"/>
      <c r="F580" s="268"/>
      <c r="G580" s="270"/>
      <c r="H580" s="268"/>
      <c r="I580" s="270"/>
      <c r="J580" s="268"/>
      <c r="K580" s="270"/>
      <c r="L580" s="268"/>
      <c r="M580" s="270"/>
      <c r="N580" s="268"/>
      <c r="O580" s="270"/>
      <c r="P580" s="268"/>
      <c r="Q580" s="270"/>
      <c r="R580" s="268"/>
      <c r="S580" s="270"/>
      <c r="T580" s="268"/>
      <c r="U580" s="270"/>
      <c r="V580" s="268"/>
      <c r="W580" s="270"/>
      <c r="X580" s="270"/>
      <c r="Y580" s="270"/>
      <c r="Z580" s="270"/>
      <c r="AA580" s="270"/>
    </row>
    <row r="581" spans="1:27" ht="16.899999999999999" x14ac:dyDescent="0.5">
      <c r="A581" s="270"/>
      <c r="B581" s="270"/>
      <c r="C581" s="270"/>
      <c r="D581" s="268"/>
      <c r="E581" s="270"/>
      <c r="F581" s="268"/>
      <c r="G581" s="270"/>
      <c r="H581" s="268"/>
      <c r="I581" s="270"/>
      <c r="J581" s="268"/>
      <c r="K581" s="270"/>
      <c r="L581" s="268"/>
      <c r="M581" s="270"/>
      <c r="N581" s="268"/>
      <c r="O581" s="270"/>
      <c r="P581" s="268"/>
      <c r="Q581" s="270"/>
      <c r="R581" s="268"/>
      <c r="S581" s="270"/>
      <c r="T581" s="268"/>
      <c r="U581" s="270"/>
      <c r="V581" s="268"/>
      <c r="W581" s="270"/>
      <c r="X581" s="270"/>
      <c r="Y581" s="270"/>
      <c r="Z581" s="270"/>
      <c r="AA581" s="270"/>
    </row>
    <row r="582" spans="1:27" ht="16.899999999999999" x14ac:dyDescent="0.5">
      <c r="A582" s="270"/>
      <c r="B582" s="270"/>
      <c r="C582" s="270"/>
      <c r="D582" s="268"/>
      <c r="E582" s="270"/>
      <c r="F582" s="268"/>
      <c r="G582" s="270"/>
      <c r="H582" s="268"/>
      <c r="I582" s="270"/>
      <c r="J582" s="268"/>
      <c r="K582" s="270"/>
      <c r="L582" s="268"/>
      <c r="M582" s="270"/>
      <c r="N582" s="268"/>
      <c r="O582" s="270"/>
      <c r="P582" s="268"/>
      <c r="Q582" s="270"/>
      <c r="R582" s="268"/>
      <c r="S582" s="270"/>
      <c r="T582" s="268"/>
      <c r="U582" s="270"/>
      <c r="V582" s="268"/>
      <c r="W582" s="270"/>
      <c r="X582" s="270"/>
      <c r="Y582" s="270"/>
      <c r="Z582" s="270"/>
      <c r="AA582" s="270"/>
    </row>
    <row r="583" spans="1:27" ht="16.899999999999999" x14ac:dyDescent="0.5">
      <c r="A583" s="270"/>
      <c r="B583" s="270"/>
      <c r="C583" s="270"/>
      <c r="D583" s="268"/>
      <c r="E583" s="270"/>
      <c r="F583" s="268"/>
      <c r="G583" s="270"/>
      <c r="H583" s="268"/>
      <c r="I583" s="270"/>
      <c r="J583" s="268"/>
      <c r="K583" s="270"/>
      <c r="L583" s="268"/>
      <c r="M583" s="270"/>
      <c r="N583" s="268"/>
      <c r="O583" s="270"/>
      <c r="P583" s="268"/>
      <c r="Q583" s="270"/>
      <c r="R583" s="268"/>
      <c r="S583" s="270"/>
      <c r="T583" s="268"/>
      <c r="U583" s="270"/>
      <c r="V583" s="268"/>
      <c r="W583" s="270"/>
      <c r="X583" s="270"/>
      <c r="Y583" s="270"/>
      <c r="Z583" s="270"/>
      <c r="AA583" s="270"/>
    </row>
    <row r="584" spans="1:27" ht="16.899999999999999" x14ac:dyDescent="0.5">
      <c r="A584" s="270"/>
      <c r="B584" s="270"/>
      <c r="C584" s="270"/>
      <c r="D584" s="268"/>
      <c r="E584" s="270"/>
      <c r="F584" s="268"/>
      <c r="G584" s="270"/>
      <c r="H584" s="268"/>
      <c r="I584" s="270"/>
      <c r="J584" s="268"/>
      <c r="K584" s="270"/>
      <c r="L584" s="268"/>
      <c r="M584" s="270"/>
      <c r="N584" s="268"/>
      <c r="O584" s="270"/>
      <c r="P584" s="268"/>
      <c r="Q584" s="270"/>
      <c r="R584" s="268"/>
      <c r="S584" s="270"/>
      <c r="T584" s="268"/>
      <c r="U584" s="270"/>
      <c r="V584" s="268"/>
      <c r="W584" s="270"/>
      <c r="X584" s="270"/>
      <c r="Y584" s="270"/>
      <c r="Z584" s="270"/>
      <c r="AA584" s="270"/>
    </row>
    <row r="585" spans="1:27" ht="16.899999999999999" x14ac:dyDescent="0.5">
      <c r="A585" s="270"/>
      <c r="B585" s="270"/>
      <c r="C585" s="270"/>
      <c r="D585" s="268"/>
      <c r="E585" s="270"/>
      <c r="F585" s="268"/>
      <c r="G585" s="270"/>
      <c r="H585" s="268"/>
      <c r="I585" s="270"/>
      <c r="J585" s="268"/>
      <c r="K585" s="270"/>
      <c r="L585" s="268"/>
      <c r="M585" s="270"/>
      <c r="N585" s="268"/>
      <c r="O585" s="270"/>
      <c r="P585" s="268"/>
      <c r="Q585" s="270"/>
      <c r="R585" s="268"/>
      <c r="S585" s="270"/>
      <c r="T585" s="268"/>
      <c r="U585" s="270"/>
      <c r="V585" s="268"/>
      <c r="W585" s="270"/>
      <c r="X585" s="270"/>
      <c r="Y585" s="270"/>
      <c r="Z585" s="270"/>
      <c r="AA585" s="270"/>
    </row>
    <row r="586" spans="1:27" ht="16.899999999999999" x14ac:dyDescent="0.5">
      <c r="A586" s="270"/>
      <c r="B586" s="270"/>
      <c r="C586" s="270"/>
      <c r="D586" s="268"/>
      <c r="E586" s="270"/>
      <c r="F586" s="268"/>
      <c r="G586" s="270"/>
      <c r="H586" s="268"/>
      <c r="I586" s="270"/>
      <c r="J586" s="268"/>
      <c r="K586" s="270"/>
      <c r="L586" s="268"/>
      <c r="M586" s="270"/>
      <c r="N586" s="268"/>
      <c r="O586" s="270"/>
      <c r="P586" s="268"/>
      <c r="Q586" s="270"/>
      <c r="R586" s="268"/>
      <c r="S586" s="270"/>
      <c r="T586" s="268"/>
      <c r="U586" s="270"/>
      <c r="V586" s="268"/>
      <c r="W586" s="270"/>
      <c r="X586" s="270"/>
      <c r="Y586" s="270"/>
      <c r="Z586" s="270"/>
      <c r="AA586" s="270"/>
    </row>
    <row r="587" spans="1:27" ht="16.899999999999999" x14ac:dyDescent="0.5">
      <c r="A587" s="270"/>
      <c r="B587" s="270"/>
      <c r="C587" s="270"/>
      <c r="D587" s="268"/>
      <c r="E587" s="270"/>
      <c r="F587" s="268"/>
      <c r="G587" s="270"/>
      <c r="H587" s="268"/>
      <c r="I587" s="270"/>
      <c r="J587" s="268"/>
      <c r="K587" s="270"/>
      <c r="L587" s="268"/>
      <c r="M587" s="270"/>
      <c r="N587" s="268"/>
      <c r="O587" s="270"/>
      <c r="P587" s="268"/>
      <c r="Q587" s="270"/>
      <c r="R587" s="268"/>
      <c r="S587" s="270"/>
      <c r="T587" s="268"/>
      <c r="U587" s="270"/>
      <c r="V587" s="268"/>
      <c r="W587" s="270"/>
      <c r="X587" s="270"/>
      <c r="Y587" s="270"/>
      <c r="Z587" s="270"/>
      <c r="AA587" s="270"/>
    </row>
    <row r="588" spans="1:27" ht="16.899999999999999" x14ac:dyDescent="0.5">
      <c r="A588" s="270"/>
      <c r="B588" s="270"/>
      <c r="C588" s="270"/>
      <c r="D588" s="268"/>
      <c r="E588" s="270"/>
      <c r="F588" s="268"/>
      <c r="G588" s="270"/>
      <c r="H588" s="268"/>
      <c r="I588" s="270"/>
      <c r="J588" s="268"/>
      <c r="K588" s="270"/>
      <c r="L588" s="268"/>
      <c r="M588" s="270"/>
      <c r="N588" s="268"/>
      <c r="O588" s="270"/>
      <c r="P588" s="268"/>
      <c r="Q588" s="270"/>
      <c r="R588" s="268"/>
      <c r="S588" s="270"/>
      <c r="T588" s="268"/>
      <c r="U588" s="270"/>
      <c r="V588" s="268"/>
      <c r="W588" s="270"/>
      <c r="X588" s="270"/>
      <c r="Y588" s="270"/>
      <c r="Z588" s="270"/>
      <c r="AA588" s="270"/>
    </row>
    <row r="589" spans="1:27" ht="16.899999999999999" x14ac:dyDescent="0.5">
      <c r="A589" s="270"/>
      <c r="B589" s="270"/>
      <c r="C589" s="270"/>
      <c r="D589" s="268"/>
      <c r="E589" s="270"/>
      <c r="F589" s="268"/>
      <c r="G589" s="270"/>
      <c r="H589" s="268"/>
      <c r="I589" s="270"/>
      <c r="J589" s="268"/>
      <c r="K589" s="270"/>
      <c r="L589" s="268"/>
      <c r="M589" s="270"/>
      <c r="N589" s="268"/>
      <c r="O589" s="270"/>
      <c r="P589" s="268"/>
      <c r="Q589" s="270"/>
      <c r="R589" s="268"/>
      <c r="S589" s="270"/>
      <c r="T589" s="268"/>
      <c r="U589" s="270"/>
      <c r="V589" s="268"/>
      <c r="W589" s="270"/>
      <c r="X589" s="270"/>
      <c r="Y589" s="270"/>
      <c r="Z589" s="270"/>
      <c r="AA589" s="270"/>
    </row>
    <row r="590" spans="1:27" ht="16.899999999999999" x14ac:dyDescent="0.5">
      <c r="A590" s="270"/>
      <c r="B590" s="270"/>
      <c r="C590" s="270"/>
      <c r="D590" s="268"/>
      <c r="E590" s="270"/>
      <c r="F590" s="268"/>
      <c r="G590" s="270"/>
      <c r="H590" s="268"/>
      <c r="I590" s="270"/>
      <c r="J590" s="268"/>
      <c r="K590" s="270"/>
      <c r="L590" s="268"/>
      <c r="M590" s="270"/>
      <c r="N590" s="268"/>
      <c r="O590" s="270"/>
      <c r="P590" s="268"/>
      <c r="Q590" s="270"/>
      <c r="R590" s="268"/>
      <c r="S590" s="270"/>
      <c r="T590" s="268"/>
      <c r="U590" s="270"/>
      <c r="V590" s="268"/>
      <c r="W590" s="270"/>
      <c r="X590" s="270"/>
      <c r="Y590" s="270"/>
      <c r="Z590" s="270"/>
      <c r="AA590" s="270"/>
    </row>
    <row r="591" spans="1:27" ht="16.899999999999999" x14ac:dyDescent="0.5">
      <c r="A591" s="270"/>
      <c r="B591" s="270"/>
      <c r="C591" s="270"/>
      <c r="D591" s="268"/>
      <c r="E591" s="270"/>
      <c r="F591" s="268"/>
      <c r="G591" s="270"/>
      <c r="H591" s="268"/>
      <c r="I591" s="270"/>
      <c r="J591" s="268"/>
      <c r="K591" s="270"/>
      <c r="L591" s="268"/>
      <c r="M591" s="270"/>
      <c r="N591" s="268"/>
      <c r="O591" s="270"/>
      <c r="P591" s="268"/>
      <c r="Q591" s="270"/>
      <c r="R591" s="268"/>
      <c r="S591" s="270"/>
      <c r="T591" s="268"/>
      <c r="U591" s="270"/>
      <c r="V591" s="268"/>
      <c r="W591" s="270"/>
      <c r="X591" s="270"/>
      <c r="Y591" s="270"/>
      <c r="Z591" s="270"/>
      <c r="AA591" s="270"/>
    </row>
    <row r="592" spans="1:27" ht="16.899999999999999" x14ac:dyDescent="0.5">
      <c r="A592" s="270"/>
      <c r="B592" s="270"/>
      <c r="C592" s="270"/>
      <c r="D592" s="268"/>
      <c r="E592" s="270"/>
      <c r="F592" s="268"/>
      <c r="G592" s="270"/>
      <c r="H592" s="268"/>
      <c r="I592" s="270"/>
      <c r="J592" s="268"/>
      <c r="K592" s="270"/>
      <c r="L592" s="268"/>
      <c r="M592" s="270"/>
      <c r="N592" s="268"/>
      <c r="O592" s="270"/>
      <c r="P592" s="268"/>
      <c r="Q592" s="270"/>
      <c r="R592" s="268"/>
      <c r="S592" s="270"/>
      <c r="T592" s="268"/>
      <c r="U592" s="270"/>
      <c r="V592" s="268"/>
      <c r="W592" s="270"/>
      <c r="X592" s="270"/>
      <c r="Y592" s="270"/>
      <c r="Z592" s="270"/>
      <c r="AA592" s="270"/>
    </row>
    <row r="593" spans="1:27" ht="16.899999999999999" x14ac:dyDescent="0.5">
      <c r="A593" s="270"/>
      <c r="B593" s="270"/>
      <c r="C593" s="270"/>
      <c r="D593" s="268"/>
      <c r="E593" s="270"/>
      <c r="F593" s="268"/>
      <c r="G593" s="270"/>
      <c r="H593" s="268"/>
      <c r="I593" s="270"/>
      <c r="J593" s="268"/>
      <c r="K593" s="270"/>
      <c r="L593" s="268"/>
      <c r="M593" s="270"/>
      <c r="N593" s="268"/>
      <c r="O593" s="270"/>
      <c r="P593" s="268"/>
      <c r="Q593" s="270"/>
      <c r="R593" s="268"/>
      <c r="S593" s="270"/>
      <c r="T593" s="268"/>
      <c r="U593" s="270"/>
      <c r="V593" s="268"/>
      <c r="W593" s="270"/>
      <c r="X593" s="270"/>
      <c r="Y593" s="270"/>
      <c r="Z593" s="270"/>
      <c r="AA593" s="270"/>
    </row>
    <row r="594" spans="1:27" ht="16.899999999999999" x14ac:dyDescent="0.5">
      <c r="A594" s="270"/>
      <c r="B594" s="270"/>
      <c r="C594" s="270"/>
      <c r="D594" s="268"/>
      <c r="E594" s="270"/>
      <c r="F594" s="268"/>
      <c r="G594" s="270"/>
      <c r="H594" s="268"/>
      <c r="I594" s="270"/>
      <c r="J594" s="268"/>
      <c r="K594" s="270"/>
      <c r="L594" s="268"/>
      <c r="M594" s="270"/>
      <c r="N594" s="268"/>
      <c r="O594" s="270"/>
      <c r="P594" s="268"/>
      <c r="Q594" s="270"/>
      <c r="R594" s="268"/>
      <c r="S594" s="270"/>
      <c r="T594" s="268"/>
      <c r="U594" s="270"/>
      <c r="V594" s="268"/>
      <c r="W594" s="270"/>
      <c r="X594" s="270"/>
      <c r="Y594" s="270"/>
      <c r="Z594" s="270"/>
      <c r="AA594" s="270"/>
    </row>
    <row r="595" spans="1:27" ht="16.899999999999999" x14ac:dyDescent="0.5">
      <c r="A595" s="270"/>
      <c r="B595" s="270"/>
      <c r="C595" s="270"/>
      <c r="D595" s="268"/>
      <c r="E595" s="270"/>
      <c r="F595" s="268"/>
      <c r="G595" s="270"/>
      <c r="H595" s="268"/>
      <c r="I595" s="270"/>
      <c r="J595" s="268"/>
      <c r="K595" s="270"/>
      <c r="L595" s="268"/>
      <c r="M595" s="270"/>
      <c r="N595" s="268"/>
      <c r="O595" s="270"/>
      <c r="P595" s="268"/>
      <c r="Q595" s="270"/>
      <c r="R595" s="268"/>
      <c r="S595" s="270"/>
      <c r="T595" s="268"/>
      <c r="U595" s="270"/>
      <c r="V595" s="268"/>
      <c r="W595" s="270"/>
      <c r="X595" s="270"/>
      <c r="Y595" s="270"/>
      <c r="Z595" s="270"/>
      <c r="AA595" s="270"/>
    </row>
    <row r="596" spans="1:27" ht="16.899999999999999" x14ac:dyDescent="0.5">
      <c r="A596" s="270"/>
      <c r="B596" s="270"/>
      <c r="C596" s="270"/>
      <c r="D596" s="268"/>
      <c r="E596" s="270"/>
      <c r="F596" s="268"/>
      <c r="G596" s="270"/>
      <c r="H596" s="268"/>
      <c r="I596" s="270"/>
      <c r="J596" s="268"/>
      <c r="K596" s="270"/>
      <c r="L596" s="268"/>
      <c r="M596" s="270"/>
      <c r="N596" s="268"/>
      <c r="O596" s="270"/>
      <c r="P596" s="268"/>
      <c r="Q596" s="270"/>
      <c r="R596" s="268"/>
      <c r="S596" s="270"/>
      <c r="T596" s="268"/>
      <c r="U596" s="270"/>
      <c r="V596" s="268"/>
      <c r="W596" s="270"/>
      <c r="X596" s="270"/>
      <c r="Y596" s="270"/>
      <c r="Z596" s="270"/>
      <c r="AA596" s="270"/>
    </row>
    <row r="597" spans="1:27" ht="16.899999999999999" x14ac:dyDescent="0.5">
      <c r="A597" s="270"/>
      <c r="B597" s="270"/>
      <c r="C597" s="270"/>
      <c r="D597" s="268"/>
      <c r="E597" s="270"/>
      <c r="F597" s="268"/>
      <c r="G597" s="270"/>
      <c r="H597" s="268"/>
      <c r="I597" s="270"/>
      <c r="J597" s="268"/>
      <c r="K597" s="270"/>
      <c r="L597" s="268"/>
      <c r="M597" s="270"/>
      <c r="N597" s="268"/>
      <c r="O597" s="270"/>
      <c r="P597" s="268"/>
      <c r="Q597" s="270"/>
      <c r="R597" s="268"/>
      <c r="S597" s="270"/>
      <c r="T597" s="268"/>
      <c r="U597" s="270"/>
      <c r="V597" s="268"/>
      <c r="W597" s="270"/>
      <c r="X597" s="270"/>
      <c r="Y597" s="270"/>
      <c r="Z597" s="270"/>
      <c r="AA597" s="270"/>
    </row>
    <row r="598" spans="1:27" ht="16.899999999999999" x14ac:dyDescent="0.5">
      <c r="A598" s="270"/>
      <c r="B598" s="270"/>
      <c r="C598" s="270"/>
      <c r="D598" s="268"/>
      <c r="E598" s="270"/>
      <c r="F598" s="268"/>
      <c r="G598" s="270"/>
      <c r="H598" s="268"/>
      <c r="I598" s="270"/>
      <c r="J598" s="268"/>
      <c r="K598" s="270"/>
      <c r="L598" s="268"/>
      <c r="M598" s="270"/>
      <c r="N598" s="268"/>
      <c r="O598" s="270"/>
      <c r="P598" s="268"/>
      <c r="Q598" s="270"/>
      <c r="R598" s="268"/>
      <c r="S598" s="270"/>
      <c r="T598" s="268"/>
      <c r="U598" s="270"/>
      <c r="V598" s="268"/>
      <c r="W598" s="270"/>
      <c r="X598" s="270"/>
      <c r="Y598" s="270"/>
      <c r="Z598" s="270"/>
      <c r="AA598" s="270"/>
    </row>
    <row r="599" spans="1:27" ht="16.899999999999999" x14ac:dyDescent="0.5">
      <c r="A599" s="270"/>
      <c r="B599" s="270"/>
      <c r="C599" s="270"/>
      <c r="D599" s="268"/>
      <c r="E599" s="270"/>
      <c r="F599" s="268"/>
      <c r="G599" s="270"/>
      <c r="H599" s="268"/>
      <c r="I599" s="270"/>
      <c r="J599" s="268"/>
      <c r="K599" s="270"/>
      <c r="L599" s="268"/>
      <c r="M599" s="270"/>
      <c r="N599" s="268"/>
      <c r="O599" s="270"/>
      <c r="P599" s="268"/>
      <c r="Q599" s="270"/>
      <c r="R599" s="268"/>
      <c r="S599" s="270"/>
      <c r="T599" s="268"/>
      <c r="U599" s="270"/>
      <c r="V599" s="268"/>
      <c r="W599" s="270"/>
      <c r="X599" s="270"/>
      <c r="Y599" s="270"/>
      <c r="Z599" s="270"/>
      <c r="AA599" s="270"/>
    </row>
    <row r="600" spans="1:27" ht="16.899999999999999" x14ac:dyDescent="0.5">
      <c r="A600" s="270"/>
      <c r="B600" s="270"/>
      <c r="C600" s="270"/>
      <c r="D600" s="268"/>
      <c r="E600" s="270"/>
      <c r="F600" s="268"/>
      <c r="G600" s="270"/>
      <c r="H600" s="268"/>
      <c r="I600" s="270"/>
      <c r="J600" s="268"/>
      <c r="K600" s="270"/>
      <c r="L600" s="268"/>
      <c r="M600" s="270"/>
      <c r="N600" s="268"/>
      <c r="O600" s="270"/>
      <c r="P600" s="268"/>
      <c r="Q600" s="270"/>
      <c r="R600" s="268"/>
      <c r="S600" s="270"/>
      <c r="T600" s="268"/>
      <c r="U600" s="270"/>
      <c r="V600" s="268"/>
      <c r="W600" s="270"/>
      <c r="X600" s="270"/>
      <c r="Y600" s="270"/>
      <c r="Z600" s="270"/>
      <c r="AA600" s="270"/>
    </row>
    <row r="601" spans="1:27" ht="16.899999999999999" x14ac:dyDescent="0.5">
      <c r="A601" s="270"/>
      <c r="B601" s="270"/>
      <c r="C601" s="270"/>
      <c r="D601" s="268"/>
      <c r="E601" s="270"/>
      <c r="F601" s="268"/>
      <c r="G601" s="270"/>
      <c r="H601" s="268"/>
      <c r="I601" s="270"/>
      <c r="J601" s="268"/>
      <c r="K601" s="270"/>
      <c r="L601" s="268"/>
      <c r="M601" s="270"/>
      <c r="N601" s="268"/>
      <c r="O601" s="270"/>
      <c r="P601" s="268"/>
      <c r="Q601" s="270"/>
      <c r="R601" s="268"/>
      <c r="S601" s="270"/>
      <c r="T601" s="268"/>
      <c r="U601" s="270"/>
      <c r="V601" s="268"/>
      <c r="W601" s="270"/>
      <c r="X601" s="270"/>
      <c r="Y601" s="270"/>
      <c r="Z601" s="270"/>
      <c r="AA601" s="270"/>
    </row>
    <row r="602" spans="1:27" ht="16.899999999999999" x14ac:dyDescent="0.5">
      <c r="A602" s="270"/>
      <c r="B602" s="270"/>
      <c r="C602" s="270"/>
      <c r="D602" s="268"/>
      <c r="E602" s="270"/>
      <c r="F602" s="268"/>
      <c r="G602" s="270"/>
      <c r="H602" s="268"/>
      <c r="I602" s="270"/>
      <c r="J602" s="268"/>
      <c r="K602" s="270"/>
      <c r="L602" s="268"/>
      <c r="M602" s="270"/>
      <c r="N602" s="268"/>
      <c r="O602" s="270"/>
      <c r="P602" s="268"/>
      <c r="Q602" s="270"/>
      <c r="R602" s="268"/>
      <c r="S602" s="270"/>
      <c r="T602" s="268"/>
      <c r="U602" s="270"/>
      <c r="V602" s="268"/>
      <c r="W602" s="270"/>
      <c r="X602" s="270"/>
      <c r="Y602" s="270"/>
      <c r="Z602" s="270"/>
      <c r="AA602" s="270"/>
    </row>
    <row r="603" spans="1:27" ht="16.899999999999999" x14ac:dyDescent="0.5">
      <c r="A603" s="270"/>
      <c r="B603" s="270"/>
      <c r="C603" s="270"/>
      <c r="D603" s="268"/>
      <c r="E603" s="270"/>
      <c r="F603" s="268"/>
      <c r="G603" s="270"/>
      <c r="H603" s="268"/>
      <c r="I603" s="270"/>
      <c r="J603" s="268"/>
      <c r="K603" s="270"/>
      <c r="L603" s="268"/>
      <c r="M603" s="270"/>
      <c r="N603" s="268"/>
      <c r="O603" s="270"/>
      <c r="P603" s="268"/>
      <c r="Q603" s="270"/>
      <c r="R603" s="268"/>
      <c r="S603" s="270"/>
      <c r="T603" s="268"/>
      <c r="U603" s="270"/>
      <c r="V603" s="268"/>
      <c r="W603" s="270"/>
      <c r="X603" s="270"/>
      <c r="Y603" s="270"/>
      <c r="Z603" s="270"/>
      <c r="AA603" s="270"/>
    </row>
    <row r="604" spans="1:27" ht="16.899999999999999" x14ac:dyDescent="0.5">
      <c r="A604" s="270"/>
      <c r="B604" s="270"/>
      <c r="C604" s="270"/>
      <c r="D604" s="268"/>
      <c r="E604" s="270"/>
      <c r="F604" s="268"/>
      <c r="G604" s="270"/>
      <c r="H604" s="268"/>
      <c r="I604" s="270"/>
      <c r="J604" s="268"/>
      <c r="K604" s="270"/>
      <c r="L604" s="268"/>
      <c r="M604" s="270"/>
      <c r="N604" s="268"/>
      <c r="O604" s="270"/>
      <c r="P604" s="268"/>
      <c r="Q604" s="270"/>
      <c r="R604" s="268"/>
      <c r="S604" s="270"/>
      <c r="T604" s="268"/>
      <c r="U604" s="270"/>
      <c r="V604" s="268"/>
      <c r="W604" s="270"/>
      <c r="X604" s="270"/>
      <c r="Y604" s="270"/>
      <c r="Z604" s="270"/>
      <c r="AA604" s="270"/>
    </row>
    <row r="605" spans="1:27" ht="16.899999999999999" x14ac:dyDescent="0.5">
      <c r="A605" s="270"/>
      <c r="B605" s="270"/>
      <c r="C605" s="270"/>
      <c r="D605" s="268"/>
      <c r="E605" s="270"/>
      <c r="F605" s="268"/>
      <c r="G605" s="270"/>
      <c r="H605" s="268"/>
      <c r="I605" s="270"/>
      <c r="J605" s="268"/>
      <c r="K605" s="270"/>
      <c r="L605" s="268"/>
      <c r="M605" s="270"/>
      <c r="N605" s="268"/>
      <c r="O605" s="270"/>
      <c r="P605" s="268"/>
      <c r="Q605" s="270"/>
      <c r="R605" s="268"/>
      <c r="S605" s="270"/>
      <c r="T605" s="268"/>
      <c r="U605" s="270"/>
      <c r="V605" s="268"/>
      <c r="W605" s="270"/>
      <c r="X605" s="270"/>
      <c r="Y605" s="270"/>
      <c r="Z605" s="270"/>
      <c r="AA605" s="270"/>
    </row>
    <row r="606" spans="1:27" ht="16.899999999999999" x14ac:dyDescent="0.5">
      <c r="A606" s="270"/>
      <c r="B606" s="270"/>
      <c r="C606" s="270"/>
      <c r="D606" s="268"/>
      <c r="E606" s="270"/>
      <c r="F606" s="268"/>
      <c r="G606" s="270"/>
      <c r="H606" s="268"/>
      <c r="I606" s="270"/>
      <c r="J606" s="268"/>
      <c r="K606" s="270"/>
      <c r="L606" s="268"/>
      <c r="M606" s="270"/>
      <c r="N606" s="268"/>
      <c r="O606" s="270"/>
      <c r="P606" s="268"/>
      <c r="Q606" s="270"/>
      <c r="R606" s="268"/>
      <c r="S606" s="270"/>
      <c r="T606" s="268"/>
      <c r="U606" s="270"/>
      <c r="V606" s="268"/>
      <c r="W606" s="270"/>
      <c r="X606" s="270"/>
      <c r="Y606" s="270"/>
      <c r="Z606" s="270"/>
      <c r="AA606" s="270"/>
    </row>
    <row r="607" spans="1:27" ht="16.899999999999999" x14ac:dyDescent="0.5">
      <c r="A607" s="270"/>
      <c r="B607" s="270"/>
      <c r="C607" s="270"/>
      <c r="D607" s="268"/>
      <c r="E607" s="270"/>
      <c r="F607" s="268"/>
      <c r="G607" s="270"/>
      <c r="H607" s="268"/>
      <c r="I607" s="270"/>
      <c r="J607" s="268"/>
      <c r="K607" s="270"/>
      <c r="L607" s="268"/>
      <c r="M607" s="270"/>
      <c r="N607" s="268"/>
      <c r="O607" s="270"/>
      <c r="P607" s="268"/>
      <c r="Q607" s="270"/>
      <c r="R607" s="268"/>
      <c r="S607" s="270"/>
      <c r="T607" s="268"/>
      <c r="U607" s="270"/>
      <c r="V607" s="268"/>
      <c r="W607" s="270"/>
      <c r="X607" s="270"/>
      <c r="Y607" s="270"/>
      <c r="Z607" s="270"/>
      <c r="AA607" s="270"/>
    </row>
    <row r="608" spans="1:27" ht="16.899999999999999" x14ac:dyDescent="0.5">
      <c r="A608" s="270"/>
      <c r="B608" s="270"/>
      <c r="C608" s="270"/>
      <c r="D608" s="268"/>
      <c r="E608" s="270"/>
      <c r="F608" s="268"/>
      <c r="G608" s="270"/>
      <c r="H608" s="268"/>
      <c r="I608" s="270"/>
      <c r="J608" s="268"/>
      <c r="K608" s="270"/>
      <c r="L608" s="268"/>
      <c r="M608" s="270"/>
      <c r="N608" s="268"/>
      <c r="O608" s="270"/>
      <c r="P608" s="268"/>
      <c r="Q608" s="270"/>
      <c r="R608" s="268"/>
      <c r="S608" s="270"/>
      <c r="T608" s="268"/>
      <c r="U608" s="270"/>
      <c r="V608" s="268"/>
      <c r="W608" s="270"/>
      <c r="X608" s="270"/>
      <c r="Y608" s="270"/>
      <c r="Z608" s="270"/>
      <c r="AA608" s="270"/>
    </row>
    <row r="609" spans="1:27" ht="16.899999999999999" x14ac:dyDescent="0.5">
      <c r="A609" s="270"/>
      <c r="B609" s="270"/>
      <c r="C609" s="270"/>
      <c r="D609" s="268"/>
      <c r="E609" s="270"/>
      <c r="F609" s="268"/>
      <c r="G609" s="270"/>
      <c r="H609" s="268"/>
      <c r="I609" s="270"/>
      <c r="J609" s="268"/>
      <c r="K609" s="270"/>
      <c r="L609" s="268"/>
      <c r="M609" s="270"/>
      <c r="N609" s="268"/>
      <c r="O609" s="270"/>
      <c r="P609" s="268"/>
      <c r="Q609" s="270"/>
      <c r="R609" s="268"/>
      <c r="S609" s="270"/>
      <c r="T609" s="268"/>
      <c r="U609" s="270"/>
      <c r="V609" s="268"/>
      <c r="W609" s="270"/>
      <c r="X609" s="270"/>
      <c r="Y609" s="270"/>
      <c r="Z609" s="270"/>
      <c r="AA609" s="270"/>
    </row>
    <row r="610" spans="1:27" ht="16.899999999999999" x14ac:dyDescent="0.5">
      <c r="A610" s="270"/>
      <c r="B610" s="270"/>
      <c r="C610" s="270"/>
      <c r="D610" s="268"/>
      <c r="E610" s="270"/>
      <c r="F610" s="268"/>
      <c r="G610" s="270"/>
      <c r="H610" s="268"/>
      <c r="I610" s="270"/>
      <c r="J610" s="268"/>
      <c r="K610" s="270"/>
      <c r="L610" s="268"/>
      <c r="M610" s="270"/>
      <c r="N610" s="268"/>
      <c r="O610" s="270"/>
      <c r="P610" s="268"/>
      <c r="Q610" s="270"/>
      <c r="R610" s="268"/>
      <c r="S610" s="270"/>
      <c r="T610" s="268"/>
      <c r="U610" s="270"/>
      <c r="V610" s="268"/>
      <c r="W610" s="270"/>
      <c r="X610" s="270"/>
      <c r="Y610" s="270"/>
      <c r="Z610" s="270"/>
      <c r="AA610" s="270"/>
    </row>
    <row r="611" spans="1:27" ht="16.899999999999999" x14ac:dyDescent="0.5">
      <c r="A611" s="270"/>
      <c r="B611" s="270"/>
      <c r="C611" s="270"/>
      <c r="D611" s="268"/>
      <c r="E611" s="270"/>
      <c r="F611" s="268"/>
      <c r="G611" s="270"/>
      <c r="H611" s="268"/>
      <c r="I611" s="270"/>
      <c r="J611" s="268"/>
      <c r="K611" s="270"/>
      <c r="L611" s="268"/>
      <c r="M611" s="270"/>
      <c r="N611" s="268"/>
      <c r="O611" s="270"/>
      <c r="P611" s="268"/>
      <c r="Q611" s="270"/>
      <c r="R611" s="268"/>
      <c r="S611" s="270"/>
      <c r="T611" s="268"/>
      <c r="U611" s="270"/>
      <c r="V611" s="268"/>
      <c r="W611" s="270"/>
      <c r="X611" s="270"/>
      <c r="Y611" s="270"/>
      <c r="Z611" s="270"/>
      <c r="AA611" s="270"/>
    </row>
    <row r="612" spans="1:27" ht="16.899999999999999" x14ac:dyDescent="0.5">
      <c r="A612" s="270"/>
      <c r="B612" s="270"/>
      <c r="C612" s="270"/>
      <c r="D612" s="268"/>
      <c r="E612" s="270"/>
      <c r="F612" s="268"/>
      <c r="G612" s="270"/>
      <c r="H612" s="268"/>
      <c r="I612" s="270"/>
      <c r="J612" s="268"/>
      <c r="K612" s="270"/>
      <c r="L612" s="268"/>
      <c r="M612" s="270"/>
      <c r="N612" s="268"/>
      <c r="O612" s="270"/>
      <c r="P612" s="268"/>
      <c r="Q612" s="270"/>
      <c r="R612" s="268"/>
      <c r="S612" s="270"/>
      <c r="T612" s="268"/>
      <c r="U612" s="270"/>
      <c r="V612" s="268"/>
      <c r="W612" s="270"/>
      <c r="X612" s="270"/>
      <c r="Y612" s="270"/>
      <c r="Z612" s="270"/>
      <c r="AA612" s="270"/>
    </row>
    <row r="613" spans="1:27" ht="16.899999999999999" x14ac:dyDescent="0.5">
      <c r="A613" s="270"/>
      <c r="B613" s="270"/>
      <c r="C613" s="270"/>
      <c r="D613" s="268"/>
      <c r="E613" s="270"/>
      <c r="F613" s="268"/>
      <c r="G613" s="270"/>
      <c r="H613" s="268"/>
      <c r="I613" s="270"/>
      <c r="J613" s="268"/>
      <c r="K613" s="270"/>
      <c r="L613" s="268"/>
      <c r="M613" s="270"/>
      <c r="N613" s="268"/>
      <c r="O613" s="270"/>
      <c r="P613" s="268"/>
      <c r="Q613" s="270"/>
      <c r="R613" s="268"/>
      <c r="S613" s="270"/>
      <c r="T613" s="268"/>
      <c r="U613" s="270"/>
      <c r="V613" s="268"/>
      <c r="W613" s="270"/>
      <c r="X613" s="270"/>
      <c r="Y613" s="270"/>
      <c r="Z613" s="270"/>
      <c r="AA613" s="270"/>
    </row>
    <row r="614" spans="1:27" ht="16.899999999999999" x14ac:dyDescent="0.5">
      <c r="A614" s="270"/>
      <c r="B614" s="270"/>
      <c r="C614" s="270"/>
      <c r="D614" s="268"/>
      <c r="E614" s="270"/>
      <c r="F614" s="268"/>
      <c r="G614" s="270"/>
      <c r="H614" s="268"/>
      <c r="I614" s="270"/>
      <c r="J614" s="268"/>
      <c r="K614" s="270"/>
      <c r="L614" s="268"/>
      <c r="M614" s="270"/>
      <c r="N614" s="268"/>
      <c r="O614" s="270"/>
      <c r="P614" s="268"/>
      <c r="Q614" s="270"/>
      <c r="R614" s="268"/>
      <c r="S614" s="270"/>
      <c r="T614" s="268"/>
      <c r="U614" s="270"/>
      <c r="V614" s="268"/>
      <c r="W614" s="270"/>
      <c r="X614" s="270"/>
      <c r="Y614" s="270"/>
      <c r="Z614" s="270"/>
      <c r="AA614" s="270"/>
    </row>
    <row r="615" spans="1:27" ht="16.899999999999999" x14ac:dyDescent="0.5">
      <c r="A615" s="270"/>
      <c r="B615" s="270"/>
      <c r="C615" s="270"/>
      <c r="D615" s="268"/>
      <c r="E615" s="270"/>
      <c r="F615" s="268"/>
      <c r="G615" s="270"/>
      <c r="H615" s="268"/>
      <c r="I615" s="270"/>
      <c r="J615" s="268"/>
      <c r="K615" s="270"/>
      <c r="L615" s="268"/>
      <c r="M615" s="270"/>
      <c r="N615" s="268"/>
      <c r="O615" s="270"/>
      <c r="P615" s="268"/>
      <c r="Q615" s="270"/>
      <c r="R615" s="268"/>
      <c r="S615" s="270"/>
      <c r="T615" s="268"/>
      <c r="U615" s="270"/>
      <c r="V615" s="268"/>
      <c r="W615" s="270"/>
      <c r="X615" s="270"/>
      <c r="Y615" s="270"/>
      <c r="Z615" s="270"/>
      <c r="AA615" s="270"/>
    </row>
    <row r="616" spans="1:27" ht="16.899999999999999" x14ac:dyDescent="0.5">
      <c r="A616" s="270"/>
      <c r="B616" s="270"/>
      <c r="C616" s="270"/>
      <c r="D616" s="268"/>
      <c r="E616" s="270"/>
      <c r="F616" s="268"/>
      <c r="G616" s="270"/>
      <c r="H616" s="268"/>
      <c r="I616" s="270"/>
      <c r="J616" s="268"/>
      <c r="K616" s="270"/>
      <c r="L616" s="268"/>
      <c r="M616" s="270"/>
      <c r="N616" s="268"/>
      <c r="O616" s="270"/>
      <c r="P616" s="268"/>
      <c r="Q616" s="270"/>
      <c r="R616" s="268"/>
      <c r="S616" s="270"/>
      <c r="T616" s="268"/>
      <c r="U616" s="270"/>
      <c r="V616" s="268"/>
      <c r="W616" s="270"/>
      <c r="X616" s="270"/>
      <c r="Y616" s="270"/>
      <c r="Z616" s="270"/>
      <c r="AA616" s="270"/>
    </row>
    <row r="617" spans="1:27" ht="16.899999999999999" x14ac:dyDescent="0.5">
      <c r="A617" s="270"/>
      <c r="B617" s="270"/>
      <c r="C617" s="270"/>
      <c r="D617" s="268"/>
      <c r="E617" s="270"/>
      <c r="F617" s="268"/>
      <c r="G617" s="270"/>
      <c r="H617" s="268"/>
      <c r="I617" s="270"/>
      <c r="J617" s="268"/>
      <c r="K617" s="270"/>
      <c r="L617" s="268"/>
      <c r="M617" s="270"/>
      <c r="N617" s="268"/>
      <c r="O617" s="270"/>
      <c r="P617" s="268"/>
      <c r="Q617" s="270"/>
      <c r="R617" s="268"/>
      <c r="S617" s="270"/>
      <c r="T617" s="268"/>
      <c r="U617" s="270"/>
      <c r="V617" s="268"/>
      <c r="W617" s="270"/>
      <c r="X617" s="270"/>
      <c r="Y617" s="270"/>
      <c r="Z617" s="270"/>
      <c r="AA617" s="270"/>
    </row>
    <row r="618" spans="1:27" ht="16.899999999999999" x14ac:dyDescent="0.5">
      <c r="A618" s="270"/>
      <c r="B618" s="270"/>
      <c r="C618" s="270"/>
      <c r="D618" s="268"/>
      <c r="E618" s="270"/>
      <c r="F618" s="268"/>
      <c r="G618" s="270"/>
      <c r="H618" s="268"/>
      <c r="I618" s="270"/>
      <c r="J618" s="268"/>
      <c r="K618" s="270"/>
      <c r="L618" s="268"/>
      <c r="M618" s="270"/>
      <c r="N618" s="268"/>
      <c r="O618" s="270"/>
      <c r="P618" s="268"/>
      <c r="Q618" s="270"/>
      <c r="R618" s="268"/>
      <c r="S618" s="270"/>
      <c r="T618" s="268"/>
      <c r="U618" s="270"/>
      <c r="V618" s="268"/>
      <c r="W618" s="270"/>
      <c r="X618" s="270"/>
      <c r="Y618" s="270"/>
      <c r="Z618" s="270"/>
      <c r="AA618" s="270"/>
    </row>
    <row r="619" spans="1:27" ht="16.899999999999999" x14ac:dyDescent="0.5">
      <c r="A619" s="270"/>
      <c r="B619" s="270"/>
      <c r="C619" s="270"/>
      <c r="D619" s="268"/>
      <c r="E619" s="270"/>
      <c r="F619" s="268"/>
      <c r="G619" s="270"/>
      <c r="H619" s="268"/>
      <c r="I619" s="270"/>
      <c r="J619" s="268"/>
      <c r="K619" s="270"/>
      <c r="L619" s="268"/>
      <c r="M619" s="270"/>
      <c r="N619" s="268"/>
      <c r="O619" s="270"/>
      <c r="P619" s="268"/>
      <c r="Q619" s="270"/>
      <c r="R619" s="268"/>
      <c r="S619" s="270"/>
      <c r="T619" s="268"/>
      <c r="U619" s="270"/>
      <c r="V619" s="268"/>
      <c r="W619" s="270"/>
      <c r="X619" s="270"/>
      <c r="Y619" s="270"/>
      <c r="Z619" s="270"/>
      <c r="AA619" s="270"/>
    </row>
    <row r="620" spans="1:27" ht="16.899999999999999" x14ac:dyDescent="0.5">
      <c r="A620" s="270"/>
      <c r="B620" s="270"/>
      <c r="C620" s="270"/>
      <c r="D620" s="268"/>
      <c r="E620" s="270"/>
      <c r="F620" s="268"/>
      <c r="G620" s="270"/>
      <c r="H620" s="268"/>
      <c r="I620" s="270"/>
      <c r="J620" s="268"/>
      <c r="K620" s="270"/>
      <c r="L620" s="268"/>
      <c r="M620" s="270"/>
      <c r="N620" s="268"/>
      <c r="O620" s="270"/>
      <c r="P620" s="268"/>
      <c r="Q620" s="270"/>
      <c r="R620" s="268"/>
      <c r="S620" s="270"/>
      <c r="T620" s="268"/>
      <c r="U620" s="270"/>
      <c r="V620" s="268"/>
      <c r="W620" s="270"/>
      <c r="X620" s="270"/>
      <c r="Y620" s="270"/>
      <c r="Z620" s="270"/>
      <c r="AA620" s="270"/>
    </row>
    <row r="621" spans="1:27" ht="16.899999999999999" x14ac:dyDescent="0.5">
      <c r="A621" s="270"/>
      <c r="B621" s="270"/>
      <c r="C621" s="270"/>
      <c r="D621" s="268"/>
      <c r="E621" s="270"/>
      <c r="F621" s="268"/>
      <c r="G621" s="270"/>
      <c r="H621" s="268"/>
      <c r="I621" s="270"/>
      <c r="J621" s="268"/>
      <c r="K621" s="270"/>
      <c r="L621" s="268"/>
      <c r="M621" s="270"/>
      <c r="N621" s="268"/>
      <c r="O621" s="270"/>
      <c r="P621" s="268"/>
      <c r="Q621" s="270"/>
      <c r="R621" s="268"/>
      <c r="S621" s="270"/>
      <c r="T621" s="268"/>
      <c r="U621" s="270"/>
      <c r="V621" s="268"/>
      <c r="W621" s="270"/>
      <c r="X621" s="270"/>
      <c r="Y621" s="270"/>
      <c r="Z621" s="270"/>
      <c r="AA621" s="270"/>
    </row>
    <row r="622" spans="1:27" ht="16.899999999999999" x14ac:dyDescent="0.5">
      <c r="A622" s="270"/>
      <c r="B622" s="270"/>
      <c r="C622" s="270"/>
      <c r="D622" s="268"/>
      <c r="E622" s="270"/>
      <c r="F622" s="268"/>
      <c r="G622" s="270"/>
      <c r="H622" s="268"/>
      <c r="I622" s="270"/>
      <c r="J622" s="268"/>
      <c r="K622" s="270"/>
      <c r="L622" s="268"/>
      <c r="M622" s="270"/>
      <c r="N622" s="268"/>
      <c r="O622" s="270"/>
      <c r="P622" s="268"/>
      <c r="Q622" s="270"/>
      <c r="R622" s="268"/>
      <c r="S622" s="270"/>
      <c r="T622" s="268"/>
      <c r="U622" s="270"/>
      <c r="V622" s="268"/>
      <c r="W622" s="270"/>
      <c r="X622" s="270"/>
      <c r="Y622" s="270"/>
      <c r="Z622" s="270"/>
      <c r="AA622" s="270"/>
    </row>
    <row r="623" spans="1:27" ht="16.899999999999999" x14ac:dyDescent="0.5">
      <c r="A623" s="270"/>
      <c r="B623" s="270"/>
      <c r="C623" s="270"/>
      <c r="D623" s="268"/>
      <c r="E623" s="270"/>
      <c r="F623" s="268"/>
      <c r="G623" s="270"/>
      <c r="H623" s="268"/>
      <c r="I623" s="270"/>
      <c r="J623" s="268"/>
      <c r="K623" s="270"/>
      <c r="L623" s="268"/>
      <c r="M623" s="270"/>
      <c r="N623" s="268"/>
      <c r="O623" s="270"/>
      <c r="P623" s="268"/>
      <c r="Q623" s="270"/>
      <c r="R623" s="268"/>
      <c r="S623" s="270"/>
      <c r="T623" s="268"/>
      <c r="U623" s="270"/>
      <c r="V623" s="268"/>
      <c r="W623" s="270"/>
      <c r="X623" s="270"/>
      <c r="Y623" s="270"/>
      <c r="Z623" s="270"/>
      <c r="AA623" s="270"/>
    </row>
    <row r="624" spans="1:27" ht="16.899999999999999" x14ac:dyDescent="0.5">
      <c r="A624" s="270"/>
      <c r="B624" s="270"/>
      <c r="C624" s="270"/>
      <c r="D624" s="268"/>
      <c r="E624" s="270"/>
      <c r="F624" s="268"/>
      <c r="G624" s="270"/>
      <c r="H624" s="268"/>
      <c r="I624" s="270"/>
      <c r="J624" s="268"/>
      <c r="K624" s="270"/>
      <c r="L624" s="268"/>
      <c r="M624" s="270"/>
      <c r="N624" s="268"/>
      <c r="O624" s="270"/>
      <c r="P624" s="268"/>
      <c r="Q624" s="270"/>
      <c r="R624" s="268"/>
      <c r="S624" s="270"/>
      <c r="T624" s="268"/>
      <c r="U624" s="270"/>
      <c r="V624" s="268"/>
      <c r="W624" s="270"/>
      <c r="X624" s="270"/>
      <c r="Y624" s="270"/>
      <c r="Z624" s="270"/>
      <c r="AA624" s="270"/>
    </row>
    <row r="625" spans="1:27" ht="16.899999999999999" x14ac:dyDescent="0.5">
      <c r="A625" s="270"/>
      <c r="B625" s="270"/>
      <c r="C625" s="270"/>
      <c r="D625" s="268"/>
      <c r="E625" s="270"/>
      <c r="F625" s="268"/>
      <c r="G625" s="270"/>
      <c r="H625" s="268"/>
      <c r="I625" s="270"/>
      <c r="J625" s="268"/>
      <c r="K625" s="270"/>
      <c r="L625" s="268"/>
      <c r="M625" s="270"/>
      <c r="N625" s="268"/>
      <c r="O625" s="270"/>
      <c r="P625" s="268"/>
      <c r="Q625" s="270"/>
      <c r="R625" s="268"/>
      <c r="S625" s="270"/>
      <c r="T625" s="268"/>
      <c r="U625" s="270"/>
      <c r="V625" s="268"/>
      <c r="W625" s="270"/>
      <c r="X625" s="270"/>
      <c r="Y625" s="270"/>
      <c r="Z625" s="270"/>
      <c r="AA625" s="270"/>
    </row>
    <row r="626" spans="1:27" ht="16.899999999999999" x14ac:dyDescent="0.5">
      <c r="A626" s="270"/>
      <c r="B626" s="270"/>
      <c r="C626" s="270"/>
      <c r="D626" s="268"/>
      <c r="E626" s="270"/>
      <c r="F626" s="268"/>
      <c r="G626" s="270"/>
      <c r="H626" s="268"/>
      <c r="I626" s="270"/>
      <c r="J626" s="268"/>
      <c r="K626" s="270"/>
      <c r="L626" s="268"/>
      <c r="M626" s="270"/>
      <c r="N626" s="268"/>
      <c r="O626" s="270"/>
      <c r="P626" s="268"/>
      <c r="Q626" s="270"/>
      <c r="R626" s="268"/>
      <c r="S626" s="270"/>
      <c r="T626" s="268"/>
      <c r="U626" s="270"/>
      <c r="V626" s="268"/>
      <c r="W626" s="270"/>
      <c r="X626" s="270"/>
      <c r="Y626" s="270"/>
      <c r="Z626" s="270"/>
      <c r="AA626" s="270"/>
    </row>
    <row r="627" spans="1:27" ht="16.899999999999999" x14ac:dyDescent="0.5">
      <c r="A627" s="270"/>
      <c r="B627" s="270"/>
      <c r="C627" s="270"/>
      <c r="D627" s="268"/>
      <c r="E627" s="270"/>
      <c r="F627" s="268"/>
      <c r="G627" s="270"/>
      <c r="H627" s="268"/>
      <c r="I627" s="270"/>
      <c r="J627" s="268"/>
      <c r="K627" s="270"/>
      <c r="L627" s="268"/>
      <c r="M627" s="270"/>
      <c r="N627" s="268"/>
      <c r="O627" s="270"/>
      <c r="P627" s="268"/>
      <c r="Q627" s="270"/>
      <c r="R627" s="268"/>
      <c r="S627" s="270"/>
      <c r="T627" s="268"/>
      <c r="U627" s="270"/>
      <c r="V627" s="268"/>
      <c r="W627" s="270"/>
      <c r="X627" s="270"/>
      <c r="Y627" s="270"/>
      <c r="Z627" s="270"/>
      <c r="AA627" s="270"/>
    </row>
    <row r="628" spans="1:27" ht="16.899999999999999" x14ac:dyDescent="0.5">
      <c r="A628" s="270"/>
      <c r="B628" s="270"/>
      <c r="C628" s="270"/>
      <c r="D628" s="268"/>
      <c r="E628" s="270"/>
      <c r="F628" s="268"/>
      <c r="G628" s="270"/>
      <c r="H628" s="268"/>
      <c r="I628" s="270"/>
      <c r="J628" s="268"/>
      <c r="K628" s="270"/>
      <c r="L628" s="268"/>
      <c r="M628" s="270"/>
      <c r="N628" s="268"/>
      <c r="O628" s="270"/>
      <c r="P628" s="268"/>
      <c r="Q628" s="270"/>
      <c r="R628" s="268"/>
      <c r="S628" s="270"/>
      <c r="T628" s="268"/>
      <c r="U628" s="270"/>
      <c r="V628" s="268"/>
      <c r="W628" s="270"/>
      <c r="X628" s="270"/>
      <c r="Y628" s="270"/>
      <c r="Z628" s="270"/>
      <c r="AA628" s="270"/>
    </row>
    <row r="629" spans="1:27" ht="16.899999999999999" x14ac:dyDescent="0.5">
      <c r="A629" s="270"/>
      <c r="B629" s="270"/>
      <c r="C629" s="270"/>
      <c r="D629" s="268"/>
      <c r="E629" s="270"/>
      <c r="F629" s="268"/>
      <c r="G629" s="270"/>
      <c r="H629" s="268"/>
      <c r="I629" s="270"/>
      <c r="J629" s="268"/>
      <c r="K629" s="270"/>
      <c r="L629" s="268"/>
      <c r="M629" s="270"/>
      <c r="N629" s="268"/>
      <c r="O629" s="270"/>
      <c r="P629" s="268"/>
      <c r="Q629" s="270"/>
      <c r="R629" s="268"/>
      <c r="S629" s="270"/>
      <c r="T629" s="268"/>
      <c r="U629" s="270"/>
      <c r="V629" s="268"/>
      <c r="W629" s="270"/>
      <c r="X629" s="270"/>
      <c r="Y629" s="270"/>
      <c r="Z629" s="270"/>
      <c r="AA629" s="270"/>
    </row>
    <row r="630" spans="1:27" ht="16.899999999999999" x14ac:dyDescent="0.5">
      <c r="A630" s="270"/>
      <c r="B630" s="270"/>
      <c r="C630" s="270"/>
      <c r="D630" s="268"/>
      <c r="E630" s="270"/>
      <c r="F630" s="268"/>
      <c r="G630" s="270"/>
      <c r="H630" s="268"/>
      <c r="I630" s="270"/>
      <c r="J630" s="268"/>
      <c r="K630" s="270"/>
      <c r="L630" s="268"/>
      <c r="M630" s="270"/>
      <c r="N630" s="268"/>
      <c r="O630" s="270"/>
      <c r="P630" s="268"/>
      <c r="Q630" s="270"/>
      <c r="R630" s="268"/>
      <c r="S630" s="270"/>
      <c r="T630" s="268"/>
      <c r="U630" s="270"/>
      <c r="V630" s="268"/>
      <c r="W630" s="270"/>
      <c r="X630" s="270"/>
      <c r="Y630" s="270"/>
      <c r="Z630" s="270"/>
      <c r="AA630" s="270"/>
    </row>
    <row r="631" spans="1:27" ht="16.899999999999999" x14ac:dyDescent="0.5">
      <c r="A631" s="270"/>
      <c r="B631" s="270"/>
      <c r="C631" s="270"/>
      <c r="D631" s="268"/>
      <c r="E631" s="270"/>
      <c r="F631" s="268"/>
      <c r="G631" s="270"/>
      <c r="H631" s="268"/>
      <c r="I631" s="270"/>
      <c r="J631" s="268"/>
      <c r="K631" s="270"/>
      <c r="L631" s="268"/>
      <c r="M631" s="270"/>
      <c r="N631" s="268"/>
      <c r="O631" s="270"/>
      <c r="P631" s="268"/>
      <c r="Q631" s="270"/>
      <c r="R631" s="268"/>
      <c r="S631" s="270"/>
      <c r="T631" s="268"/>
      <c r="U631" s="270"/>
      <c r="V631" s="268"/>
      <c r="W631" s="270"/>
      <c r="X631" s="270"/>
      <c r="Y631" s="270"/>
      <c r="Z631" s="270"/>
      <c r="AA631" s="270"/>
    </row>
    <row r="632" spans="1:27" ht="16.899999999999999" x14ac:dyDescent="0.5">
      <c r="A632" s="270"/>
      <c r="B632" s="270"/>
      <c r="C632" s="270"/>
      <c r="D632" s="268"/>
      <c r="E632" s="270"/>
      <c r="F632" s="268"/>
      <c r="G632" s="270"/>
      <c r="H632" s="268"/>
      <c r="I632" s="270"/>
      <c r="J632" s="268"/>
      <c r="K632" s="270"/>
      <c r="L632" s="268"/>
      <c r="M632" s="270"/>
      <c r="N632" s="268"/>
      <c r="O632" s="270"/>
      <c r="P632" s="268"/>
      <c r="Q632" s="270"/>
      <c r="R632" s="268"/>
      <c r="S632" s="270"/>
      <c r="T632" s="268"/>
      <c r="U632" s="270"/>
      <c r="V632" s="268"/>
      <c r="W632" s="270"/>
      <c r="X632" s="270"/>
      <c r="Y632" s="270"/>
      <c r="Z632" s="270"/>
      <c r="AA632" s="270"/>
    </row>
    <row r="633" spans="1:27" ht="16.899999999999999" x14ac:dyDescent="0.5">
      <c r="A633" s="270"/>
      <c r="B633" s="270"/>
      <c r="C633" s="270"/>
      <c r="D633" s="268"/>
      <c r="E633" s="270"/>
      <c r="F633" s="268"/>
      <c r="G633" s="270"/>
      <c r="H633" s="268"/>
      <c r="I633" s="270"/>
      <c r="J633" s="268"/>
      <c r="K633" s="270"/>
      <c r="L633" s="268"/>
      <c r="M633" s="270"/>
      <c r="N633" s="268"/>
      <c r="O633" s="270"/>
      <c r="P633" s="268"/>
      <c r="Q633" s="270"/>
      <c r="R633" s="268"/>
      <c r="S633" s="270"/>
      <c r="T633" s="268"/>
      <c r="U633" s="270"/>
      <c r="V633" s="268"/>
      <c r="W633" s="270"/>
      <c r="X633" s="270"/>
      <c r="Y633" s="270"/>
      <c r="Z633" s="270"/>
      <c r="AA633" s="270"/>
    </row>
    <row r="634" spans="1:27" ht="16.899999999999999" x14ac:dyDescent="0.5">
      <c r="A634" s="270"/>
      <c r="B634" s="270"/>
      <c r="C634" s="270"/>
      <c r="D634" s="268"/>
      <c r="E634" s="270"/>
      <c r="F634" s="268"/>
      <c r="G634" s="270"/>
      <c r="H634" s="268"/>
      <c r="I634" s="270"/>
      <c r="J634" s="268"/>
      <c r="K634" s="270"/>
      <c r="L634" s="268"/>
      <c r="M634" s="270"/>
      <c r="N634" s="268"/>
      <c r="O634" s="270"/>
      <c r="P634" s="268"/>
      <c r="Q634" s="270"/>
      <c r="R634" s="268"/>
      <c r="S634" s="270"/>
      <c r="T634" s="268"/>
      <c r="U634" s="270"/>
      <c r="V634" s="268"/>
      <c r="W634" s="270"/>
      <c r="X634" s="270"/>
      <c r="Y634" s="270"/>
      <c r="Z634" s="270"/>
      <c r="AA634" s="270"/>
    </row>
    <row r="635" spans="1:27" ht="16.899999999999999" x14ac:dyDescent="0.5">
      <c r="A635" s="270"/>
      <c r="B635" s="270"/>
      <c r="C635" s="270"/>
      <c r="D635" s="268"/>
      <c r="E635" s="270"/>
      <c r="F635" s="268"/>
      <c r="G635" s="270"/>
      <c r="H635" s="268"/>
      <c r="I635" s="270"/>
      <c r="J635" s="268"/>
      <c r="K635" s="270"/>
      <c r="L635" s="268"/>
      <c r="M635" s="270"/>
      <c r="N635" s="268"/>
      <c r="O635" s="270"/>
      <c r="P635" s="268"/>
      <c r="Q635" s="270"/>
      <c r="R635" s="268"/>
      <c r="S635" s="270"/>
      <c r="T635" s="268"/>
      <c r="U635" s="270"/>
      <c r="V635" s="268"/>
      <c r="W635" s="270"/>
      <c r="X635" s="270"/>
      <c r="Y635" s="270"/>
      <c r="Z635" s="270"/>
      <c r="AA635" s="270"/>
    </row>
    <row r="636" spans="1:27" ht="16.899999999999999" x14ac:dyDescent="0.5">
      <c r="A636" s="270"/>
      <c r="B636" s="270"/>
      <c r="C636" s="270"/>
      <c r="D636" s="268"/>
      <c r="E636" s="270"/>
      <c r="F636" s="268"/>
      <c r="G636" s="270"/>
      <c r="H636" s="268"/>
      <c r="I636" s="270"/>
      <c r="J636" s="268"/>
      <c r="K636" s="270"/>
      <c r="L636" s="268"/>
      <c r="M636" s="270"/>
      <c r="N636" s="268"/>
      <c r="O636" s="270"/>
      <c r="P636" s="268"/>
      <c r="Q636" s="270"/>
      <c r="R636" s="268"/>
      <c r="S636" s="270"/>
      <c r="T636" s="268"/>
      <c r="U636" s="270"/>
      <c r="V636" s="268"/>
      <c r="W636" s="270"/>
      <c r="X636" s="270"/>
      <c r="Y636" s="270"/>
      <c r="Z636" s="270"/>
      <c r="AA636" s="270"/>
    </row>
    <row r="637" spans="1:27" ht="16.899999999999999" x14ac:dyDescent="0.5">
      <c r="A637" s="270"/>
      <c r="B637" s="270"/>
      <c r="C637" s="270"/>
      <c r="D637" s="268"/>
      <c r="E637" s="270"/>
      <c r="F637" s="268"/>
      <c r="G637" s="270"/>
      <c r="H637" s="268"/>
      <c r="I637" s="270"/>
      <c r="J637" s="268"/>
      <c r="K637" s="270"/>
      <c r="L637" s="268"/>
      <c r="M637" s="270"/>
      <c r="N637" s="268"/>
      <c r="O637" s="270"/>
      <c r="P637" s="268"/>
      <c r="Q637" s="270"/>
      <c r="R637" s="268"/>
      <c r="S637" s="270"/>
      <c r="T637" s="268"/>
      <c r="U637" s="270"/>
      <c r="V637" s="268"/>
      <c r="W637" s="270"/>
      <c r="X637" s="270"/>
      <c r="Y637" s="270"/>
      <c r="Z637" s="270"/>
      <c r="AA637" s="270"/>
    </row>
    <row r="638" spans="1:27" ht="16.899999999999999" x14ac:dyDescent="0.5">
      <c r="A638" s="270"/>
      <c r="B638" s="270"/>
      <c r="C638" s="270"/>
      <c r="D638" s="268"/>
      <c r="E638" s="270"/>
      <c r="F638" s="268"/>
      <c r="G638" s="270"/>
      <c r="H638" s="268"/>
      <c r="I638" s="270"/>
      <c r="J638" s="268"/>
      <c r="K638" s="270"/>
      <c r="L638" s="268"/>
      <c r="M638" s="270"/>
      <c r="N638" s="268"/>
      <c r="O638" s="270"/>
      <c r="P638" s="268"/>
      <c r="Q638" s="270"/>
      <c r="R638" s="268"/>
      <c r="S638" s="270"/>
      <c r="T638" s="268"/>
      <c r="U638" s="270"/>
      <c r="V638" s="268"/>
      <c r="W638" s="270"/>
      <c r="X638" s="270"/>
      <c r="Y638" s="270"/>
      <c r="Z638" s="270"/>
      <c r="AA638" s="270"/>
    </row>
    <row r="639" spans="1:27" ht="16.899999999999999" x14ac:dyDescent="0.5">
      <c r="A639" s="270"/>
      <c r="B639" s="270"/>
      <c r="C639" s="270"/>
      <c r="D639" s="268"/>
      <c r="E639" s="270"/>
      <c r="F639" s="268"/>
      <c r="G639" s="270"/>
      <c r="H639" s="268"/>
      <c r="I639" s="270"/>
      <c r="J639" s="268"/>
      <c r="K639" s="270"/>
      <c r="L639" s="268"/>
      <c r="M639" s="270"/>
      <c r="N639" s="268"/>
      <c r="O639" s="270"/>
      <c r="P639" s="268"/>
      <c r="Q639" s="270"/>
      <c r="R639" s="268"/>
      <c r="S639" s="270"/>
      <c r="T639" s="268"/>
      <c r="U639" s="270"/>
      <c r="V639" s="268"/>
      <c r="W639" s="270"/>
      <c r="X639" s="270"/>
      <c r="Y639" s="270"/>
      <c r="Z639" s="270"/>
      <c r="AA639" s="270"/>
    </row>
    <row r="640" spans="1:27" ht="16.899999999999999" x14ac:dyDescent="0.5">
      <c r="A640" s="270"/>
      <c r="B640" s="270"/>
      <c r="C640" s="270"/>
      <c r="D640" s="268"/>
      <c r="E640" s="270"/>
      <c r="F640" s="268"/>
      <c r="G640" s="270"/>
      <c r="H640" s="268"/>
      <c r="I640" s="270"/>
      <c r="J640" s="268"/>
      <c r="K640" s="270"/>
      <c r="L640" s="268"/>
      <c r="M640" s="270"/>
      <c r="N640" s="268"/>
      <c r="O640" s="270"/>
      <c r="P640" s="268"/>
      <c r="Q640" s="270"/>
      <c r="R640" s="268"/>
      <c r="S640" s="270"/>
      <c r="T640" s="268"/>
      <c r="U640" s="270"/>
      <c r="V640" s="268"/>
      <c r="W640" s="270"/>
      <c r="X640" s="270"/>
      <c r="Y640" s="270"/>
      <c r="Z640" s="270"/>
      <c r="AA640" s="270"/>
    </row>
    <row r="641" spans="1:27" ht="16.899999999999999" x14ac:dyDescent="0.5">
      <c r="A641" s="270"/>
      <c r="B641" s="270"/>
      <c r="C641" s="270"/>
      <c r="D641" s="268"/>
      <c r="E641" s="270"/>
      <c r="F641" s="268"/>
      <c r="G641" s="270"/>
      <c r="H641" s="268"/>
      <c r="I641" s="270"/>
      <c r="J641" s="268"/>
      <c r="K641" s="270"/>
      <c r="L641" s="268"/>
      <c r="M641" s="270"/>
      <c r="N641" s="268"/>
      <c r="O641" s="270"/>
      <c r="P641" s="268"/>
      <c r="Q641" s="270"/>
      <c r="R641" s="268"/>
      <c r="S641" s="270"/>
      <c r="T641" s="268"/>
      <c r="U641" s="270"/>
      <c r="V641" s="268"/>
      <c r="W641" s="270"/>
      <c r="X641" s="270"/>
      <c r="Y641" s="270"/>
      <c r="Z641" s="270"/>
      <c r="AA641" s="270"/>
    </row>
    <row r="642" spans="1:27" ht="16.899999999999999" x14ac:dyDescent="0.5">
      <c r="A642" s="270"/>
      <c r="B642" s="270"/>
      <c r="C642" s="270"/>
      <c r="D642" s="268"/>
      <c r="E642" s="270"/>
      <c r="F642" s="268"/>
      <c r="G642" s="270"/>
      <c r="H642" s="268"/>
      <c r="I642" s="270"/>
      <c r="J642" s="268"/>
      <c r="K642" s="270"/>
      <c r="L642" s="268"/>
      <c r="M642" s="270"/>
      <c r="N642" s="268"/>
      <c r="O642" s="270"/>
      <c r="P642" s="268"/>
      <c r="Q642" s="270"/>
      <c r="R642" s="268"/>
      <c r="S642" s="270"/>
      <c r="T642" s="268"/>
      <c r="U642" s="270"/>
      <c r="V642" s="268"/>
      <c r="W642" s="270"/>
      <c r="X642" s="270"/>
      <c r="Y642" s="270"/>
      <c r="Z642" s="270"/>
      <c r="AA642" s="270"/>
    </row>
    <row r="643" spans="1:27" ht="16.899999999999999" x14ac:dyDescent="0.5">
      <c r="A643" s="270"/>
      <c r="B643" s="270"/>
      <c r="C643" s="270"/>
      <c r="D643" s="268"/>
      <c r="E643" s="270"/>
      <c r="F643" s="268"/>
      <c r="G643" s="270"/>
      <c r="H643" s="268"/>
      <c r="I643" s="270"/>
      <c r="J643" s="268"/>
      <c r="K643" s="270"/>
      <c r="L643" s="268"/>
      <c r="M643" s="270"/>
      <c r="N643" s="268"/>
      <c r="O643" s="270"/>
      <c r="P643" s="268"/>
      <c r="Q643" s="270"/>
      <c r="R643" s="268"/>
      <c r="S643" s="270"/>
      <c r="T643" s="268"/>
      <c r="U643" s="270"/>
      <c r="V643" s="268"/>
      <c r="W643" s="270"/>
      <c r="X643" s="270"/>
      <c r="Y643" s="270"/>
      <c r="Z643" s="270"/>
      <c r="AA643" s="270"/>
    </row>
    <row r="644" spans="1:27" ht="16.899999999999999" x14ac:dyDescent="0.5">
      <c r="A644" s="270"/>
      <c r="B644" s="270"/>
      <c r="C644" s="270"/>
      <c r="D644" s="268"/>
      <c r="E644" s="270"/>
      <c r="F644" s="268"/>
      <c r="G644" s="270"/>
      <c r="H644" s="268"/>
      <c r="I644" s="270"/>
      <c r="J644" s="268"/>
      <c r="K644" s="270"/>
      <c r="L644" s="268"/>
      <c r="M644" s="270"/>
      <c r="N644" s="268"/>
      <c r="O644" s="270"/>
      <c r="P644" s="268"/>
      <c r="Q644" s="270"/>
      <c r="R644" s="268"/>
      <c r="S644" s="270"/>
      <c r="T644" s="268"/>
      <c r="U644" s="270"/>
      <c r="V644" s="268"/>
      <c r="W644" s="270"/>
      <c r="X644" s="270"/>
      <c r="Y644" s="270"/>
      <c r="Z644" s="270"/>
      <c r="AA644" s="270"/>
    </row>
    <row r="645" spans="1:27" ht="16.899999999999999" x14ac:dyDescent="0.5">
      <c r="A645" s="270"/>
      <c r="B645" s="270"/>
      <c r="C645" s="270"/>
      <c r="D645" s="268"/>
      <c r="E645" s="270"/>
      <c r="F645" s="268"/>
      <c r="G645" s="270"/>
      <c r="H645" s="268"/>
      <c r="I645" s="270"/>
      <c r="J645" s="268"/>
      <c r="K645" s="270"/>
      <c r="L645" s="268"/>
      <c r="M645" s="270"/>
      <c r="N645" s="268"/>
      <c r="O645" s="270"/>
      <c r="P645" s="268"/>
      <c r="Q645" s="270"/>
      <c r="R645" s="268"/>
      <c r="S645" s="270"/>
      <c r="T645" s="268"/>
      <c r="U645" s="270"/>
      <c r="V645" s="268"/>
      <c r="W645" s="270"/>
      <c r="X645" s="270"/>
      <c r="Y645" s="270"/>
      <c r="Z645" s="270"/>
      <c r="AA645" s="270"/>
    </row>
    <row r="646" spans="1:27" ht="16.899999999999999" x14ac:dyDescent="0.5">
      <c r="A646" s="270"/>
      <c r="B646" s="270"/>
      <c r="C646" s="270"/>
      <c r="D646" s="268"/>
      <c r="E646" s="270"/>
      <c r="F646" s="268"/>
      <c r="G646" s="270"/>
      <c r="H646" s="268"/>
      <c r="I646" s="270"/>
      <c r="J646" s="268"/>
      <c r="K646" s="270"/>
      <c r="L646" s="268"/>
      <c r="M646" s="270"/>
      <c r="N646" s="268"/>
      <c r="O646" s="270"/>
      <c r="P646" s="268"/>
      <c r="Q646" s="270"/>
      <c r="R646" s="268"/>
      <c r="S646" s="270"/>
      <c r="T646" s="268"/>
      <c r="U646" s="270"/>
      <c r="V646" s="268"/>
      <c r="W646" s="270"/>
      <c r="X646" s="270"/>
      <c r="Y646" s="270"/>
      <c r="Z646" s="270"/>
      <c r="AA646" s="270"/>
    </row>
    <row r="647" spans="1:27" ht="16.899999999999999" x14ac:dyDescent="0.5">
      <c r="A647" s="270"/>
      <c r="B647" s="270"/>
      <c r="C647" s="270"/>
      <c r="D647" s="268"/>
      <c r="E647" s="270"/>
      <c r="F647" s="268"/>
      <c r="G647" s="270"/>
      <c r="H647" s="268"/>
      <c r="I647" s="270"/>
      <c r="J647" s="268"/>
      <c r="K647" s="270"/>
      <c r="L647" s="268"/>
      <c r="M647" s="270"/>
      <c r="N647" s="268"/>
      <c r="O647" s="270"/>
      <c r="P647" s="268"/>
      <c r="Q647" s="270"/>
      <c r="R647" s="268"/>
      <c r="S647" s="270"/>
      <c r="T647" s="268"/>
      <c r="U647" s="270"/>
      <c r="V647" s="268"/>
      <c r="W647" s="270"/>
      <c r="X647" s="270"/>
      <c r="Y647" s="270"/>
      <c r="Z647" s="270"/>
      <c r="AA647" s="270"/>
    </row>
    <row r="648" spans="1:27" ht="16.899999999999999" x14ac:dyDescent="0.5">
      <c r="A648" s="270"/>
      <c r="B648" s="270"/>
      <c r="C648" s="270"/>
      <c r="D648" s="268"/>
      <c r="E648" s="270"/>
      <c r="F648" s="268"/>
      <c r="G648" s="270"/>
      <c r="H648" s="268"/>
      <c r="I648" s="270"/>
      <c r="J648" s="268"/>
      <c r="K648" s="270"/>
      <c r="L648" s="268"/>
      <c r="M648" s="270"/>
      <c r="N648" s="268"/>
      <c r="O648" s="270"/>
      <c r="P648" s="268"/>
      <c r="Q648" s="270"/>
      <c r="R648" s="268"/>
      <c r="S648" s="270"/>
      <c r="T648" s="268"/>
      <c r="U648" s="270"/>
      <c r="V648" s="268"/>
      <c r="W648" s="270"/>
      <c r="X648" s="270"/>
      <c r="Y648" s="270"/>
      <c r="Z648" s="270"/>
      <c r="AA648" s="270"/>
    </row>
    <row r="649" spans="1:27" ht="16.899999999999999" x14ac:dyDescent="0.5">
      <c r="A649" s="270"/>
      <c r="B649" s="270"/>
      <c r="C649" s="270"/>
      <c r="D649" s="268"/>
      <c r="E649" s="270"/>
      <c r="F649" s="268"/>
      <c r="G649" s="270"/>
      <c r="H649" s="268"/>
      <c r="I649" s="270"/>
      <c r="J649" s="268"/>
      <c r="K649" s="270"/>
      <c r="L649" s="268"/>
      <c r="M649" s="270"/>
      <c r="N649" s="268"/>
      <c r="O649" s="270"/>
      <c r="P649" s="268"/>
      <c r="Q649" s="270"/>
      <c r="R649" s="268"/>
      <c r="S649" s="270"/>
      <c r="T649" s="268"/>
      <c r="U649" s="270"/>
      <c r="V649" s="268"/>
      <c r="W649" s="270"/>
      <c r="X649" s="270"/>
      <c r="Y649" s="270"/>
      <c r="Z649" s="270"/>
      <c r="AA649" s="270"/>
    </row>
    <row r="650" spans="1:27" ht="16.899999999999999" x14ac:dyDescent="0.5">
      <c r="A650" s="270"/>
      <c r="B650" s="270"/>
      <c r="C650" s="270"/>
      <c r="D650" s="268"/>
      <c r="E650" s="270"/>
      <c r="F650" s="268"/>
      <c r="G650" s="270"/>
      <c r="H650" s="268"/>
      <c r="I650" s="270"/>
      <c r="J650" s="268"/>
      <c r="K650" s="270"/>
      <c r="L650" s="268"/>
      <c r="M650" s="270"/>
      <c r="N650" s="268"/>
      <c r="O650" s="270"/>
      <c r="P650" s="268"/>
      <c r="Q650" s="270"/>
      <c r="R650" s="268"/>
      <c r="S650" s="270"/>
      <c r="T650" s="268"/>
      <c r="U650" s="270"/>
      <c r="V650" s="268"/>
      <c r="W650" s="270"/>
      <c r="X650" s="270"/>
      <c r="Y650" s="270"/>
      <c r="Z650" s="270"/>
      <c r="AA650" s="270"/>
    </row>
    <row r="651" spans="1:27" ht="16.899999999999999" x14ac:dyDescent="0.5">
      <c r="A651" s="270"/>
      <c r="B651" s="270"/>
      <c r="C651" s="270"/>
      <c r="D651" s="268"/>
      <c r="E651" s="270"/>
      <c r="F651" s="268"/>
      <c r="G651" s="270"/>
      <c r="H651" s="268"/>
      <c r="I651" s="270"/>
      <c r="J651" s="268"/>
      <c r="K651" s="270"/>
      <c r="L651" s="268"/>
      <c r="M651" s="270"/>
      <c r="N651" s="268"/>
      <c r="O651" s="270"/>
      <c r="P651" s="268"/>
      <c r="Q651" s="270"/>
      <c r="R651" s="268"/>
      <c r="S651" s="270"/>
      <c r="T651" s="268"/>
      <c r="U651" s="270"/>
      <c r="V651" s="268"/>
      <c r="W651" s="270"/>
      <c r="X651" s="270"/>
      <c r="Y651" s="270"/>
      <c r="Z651" s="270"/>
      <c r="AA651" s="270"/>
    </row>
    <row r="652" spans="1:27" ht="16.899999999999999" x14ac:dyDescent="0.5">
      <c r="A652" s="270"/>
      <c r="B652" s="270"/>
      <c r="C652" s="270"/>
      <c r="D652" s="268"/>
      <c r="E652" s="270"/>
      <c r="F652" s="268"/>
      <c r="G652" s="270"/>
      <c r="H652" s="268"/>
      <c r="I652" s="270"/>
      <c r="J652" s="268"/>
      <c r="K652" s="270"/>
      <c r="L652" s="268"/>
      <c r="M652" s="270"/>
      <c r="N652" s="268"/>
      <c r="O652" s="270"/>
      <c r="P652" s="268"/>
      <c r="Q652" s="270"/>
      <c r="R652" s="268"/>
      <c r="S652" s="270"/>
      <c r="T652" s="268"/>
      <c r="U652" s="270"/>
      <c r="V652" s="268"/>
      <c r="W652" s="270"/>
      <c r="X652" s="270"/>
      <c r="Y652" s="270"/>
      <c r="Z652" s="270"/>
      <c r="AA652" s="270"/>
    </row>
    <row r="653" spans="1:27" ht="16.899999999999999" x14ac:dyDescent="0.5">
      <c r="A653" s="270"/>
      <c r="B653" s="270"/>
      <c r="C653" s="270"/>
      <c r="D653" s="268"/>
      <c r="E653" s="270"/>
      <c r="F653" s="268"/>
      <c r="G653" s="270"/>
      <c r="H653" s="268"/>
      <c r="I653" s="270"/>
      <c r="J653" s="268"/>
      <c r="K653" s="270"/>
      <c r="L653" s="268"/>
      <c r="M653" s="270"/>
      <c r="N653" s="268"/>
      <c r="O653" s="270"/>
      <c r="P653" s="268"/>
      <c r="Q653" s="270"/>
      <c r="R653" s="268"/>
      <c r="S653" s="270"/>
      <c r="T653" s="268"/>
      <c r="U653" s="270"/>
      <c r="V653" s="268"/>
      <c r="W653" s="270"/>
      <c r="X653" s="270"/>
      <c r="Y653" s="270"/>
      <c r="Z653" s="270"/>
      <c r="AA653" s="270"/>
    </row>
    <row r="654" spans="1:27" ht="16.899999999999999" x14ac:dyDescent="0.5">
      <c r="A654" s="270"/>
      <c r="B654" s="270"/>
      <c r="C654" s="270"/>
      <c r="D654" s="268"/>
      <c r="E654" s="270"/>
      <c r="F654" s="268"/>
      <c r="G654" s="270"/>
      <c r="H654" s="268"/>
      <c r="I654" s="270"/>
      <c r="J654" s="268"/>
      <c r="K654" s="270"/>
      <c r="L654" s="268"/>
      <c r="M654" s="270"/>
      <c r="N654" s="268"/>
      <c r="O654" s="270"/>
      <c r="P654" s="268"/>
      <c r="Q654" s="270"/>
      <c r="R654" s="268"/>
      <c r="S654" s="270"/>
      <c r="T654" s="268"/>
      <c r="U654" s="270"/>
      <c r="V654" s="268"/>
      <c r="W654" s="270"/>
      <c r="X654" s="270"/>
      <c r="Y654" s="270"/>
      <c r="Z654" s="270"/>
      <c r="AA654" s="270"/>
    </row>
    <row r="655" spans="1:27" ht="16.899999999999999" x14ac:dyDescent="0.5">
      <c r="A655" s="270"/>
      <c r="B655" s="270"/>
      <c r="C655" s="270"/>
      <c r="D655" s="268"/>
      <c r="E655" s="270"/>
      <c r="F655" s="268"/>
      <c r="G655" s="270"/>
      <c r="H655" s="268"/>
      <c r="I655" s="270"/>
      <c r="J655" s="268"/>
      <c r="K655" s="270"/>
      <c r="L655" s="268"/>
      <c r="M655" s="270"/>
      <c r="N655" s="268"/>
      <c r="O655" s="270"/>
      <c r="P655" s="268"/>
      <c r="Q655" s="270"/>
      <c r="R655" s="268"/>
      <c r="S655" s="270"/>
      <c r="T655" s="268"/>
      <c r="U655" s="270"/>
      <c r="V655" s="268"/>
      <c r="W655" s="270"/>
      <c r="X655" s="270"/>
      <c r="Y655" s="270"/>
      <c r="Z655" s="270"/>
      <c r="AA655" s="270"/>
    </row>
    <row r="656" spans="1:27" ht="16.899999999999999" x14ac:dyDescent="0.5">
      <c r="A656" s="270"/>
      <c r="B656" s="270"/>
      <c r="C656" s="270"/>
      <c r="D656" s="268"/>
      <c r="E656" s="270"/>
      <c r="F656" s="268"/>
      <c r="G656" s="270"/>
      <c r="H656" s="268"/>
      <c r="I656" s="270"/>
      <c r="J656" s="268"/>
      <c r="K656" s="270"/>
      <c r="L656" s="268"/>
      <c r="M656" s="270"/>
      <c r="N656" s="268"/>
      <c r="O656" s="270"/>
      <c r="P656" s="268"/>
      <c r="Q656" s="270"/>
      <c r="R656" s="268"/>
      <c r="S656" s="270"/>
      <c r="T656" s="268"/>
      <c r="U656" s="270"/>
      <c r="V656" s="268"/>
      <c r="W656" s="270"/>
      <c r="X656" s="270"/>
      <c r="Y656" s="270"/>
      <c r="Z656" s="270"/>
      <c r="AA656" s="270"/>
    </row>
    <row r="657" spans="1:27" ht="16.899999999999999" x14ac:dyDescent="0.5">
      <c r="A657" s="270"/>
      <c r="B657" s="270"/>
      <c r="C657" s="270"/>
      <c r="D657" s="268"/>
      <c r="E657" s="270"/>
      <c r="F657" s="268"/>
      <c r="G657" s="270"/>
      <c r="H657" s="268"/>
      <c r="I657" s="270"/>
      <c r="J657" s="268"/>
      <c r="K657" s="270"/>
      <c r="L657" s="268"/>
      <c r="M657" s="270"/>
      <c r="N657" s="268"/>
      <c r="O657" s="270"/>
      <c r="P657" s="268"/>
      <c r="Q657" s="270"/>
      <c r="R657" s="268"/>
      <c r="S657" s="270"/>
      <c r="T657" s="268"/>
      <c r="U657" s="270"/>
      <c r="V657" s="268"/>
      <c r="W657" s="270"/>
      <c r="X657" s="270"/>
      <c r="Y657" s="270"/>
      <c r="Z657" s="270"/>
      <c r="AA657" s="270"/>
    </row>
    <row r="658" spans="1:27" ht="16.899999999999999" x14ac:dyDescent="0.5">
      <c r="A658" s="270"/>
      <c r="B658" s="270"/>
      <c r="C658" s="270"/>
      <c r="D658" s="268"/>
      <c r="E658" s="270"/>
      <c r="F658" s="268"/>
      <c r="G658" s="270"/>
      <c r="H658" s="268"/>
      <c r="I658" s="270"/>
      <c r="J658" s="268"/>
      <c r="K658" s="270"/>
      <c r="L658" s="268"/>
      <c r="M658" s="270"/>
      <c r="N658" s="268"/>
      <c r="O658" s="270"/>
      <c r="P658" s="268"/>
      <c r="Q658" s="270"/>
      <c r="R658" s="268"/>
      <c r="S658" s="270"/>
      <c r="T658" s="268"/>
      <c r="U658" s="270"/>
      <c r="V658" s="268"/>
      <c r="W658" s="270"/>
      <c r="X658" s="270"/>
      <c r="Y658" s="270"/>
      <c r="Z658" s="270"/>
      <c r="AA658" s="270"/>
    </row>
    <row r="659" spans="1:27" ht="16.899999999999999" x14ac:dyDescent="0.5">
      <c r="A659" s="270"/>
      <c r="B659" s="270"/>
      <c r="C659" s="270"/>
      <c r="D659" s="268"/>
      <c r="E659" s="270"/>
      <c r="F659" s="268"/>
      <c r="G659" s="270"/>
      <c r="H659" s="268"/>
      <c r="I659" s="270"/>
      <c r="J659" s="268"/>
      <c r="K659" s="270"/>
      <c r="L659" s="268"/>
      <c r="M659" s="270"/>
      <c r="N659" s="268"/>
      <c r="O659" s="270"/>
      <c r="P659" s="268"/>
      <c r="Q659" s="270"/>
      <c r="R659" s="268"/>
      <c r="S659" s="270"/>
      <c r="T659" s="268"/>
      <c r="U659" s="270"/>
      <c r="V659" s="268"/>
      <c r="W659" s="270"/>
      <c r="X659" s="270"/>
      <c r="Y659" s="270"/>
      <c r="Z659" s="270"/>
      <c r="AA659" s="270"/>
    </row>
    <row r="660" spans="1:27" ht="16.899999999999999" x14ac:dyDescent="0.5">
      <c r="A660" s="270"/>
      <c r="B660" s="270"/>
      <c r="C660" s="270"/>
      <c r="D660" s="268"/>
      <c r="E660" s="270"/>
      <c r="F660" s="268"/>
      <c r="G660" s="270"/>
      <c r="H660" s="268"/>
      <c r="I660" s="270"/>
      <c r="J660" s="268"/>
      <c r="K660" s="270"/>
      <c r="L660" s="268"/>
      <c r="M660" s="270"/>
      <c r="N660" s="268"/>
      <c r="O660" s="270"/>
      <c r="P660" s="268"/>
      <c r="Q660" s="270"/>
      <c r="R660" s="268"/>
      <c r="S660" s="270"/>
      <c r="T660" s="268"/>
      <c r="U660" s="270"/>
      <c r="V660" s="268"/>
      <c r="W660" s="270"/>
      <c r="X660" s="270"/>
      <c r="Y660" s="270"/>
      <c r="Z660" s="270"/>
      <c r="AA660" s="270"/>
    </row>
    <row r="661" spans="1:27" ht="16.899999999999999" x14ac:dyDescent="0.5">
      <c r="A661" s="270"/>
      <c r="B661" s="270"/>
      <c r="C661" s="270"/>
      <c r="D661" s="268"/>
      <c r="E661" s="270"/>
      <c r="F661" s="268"/>
      <c r="G661" s="270"/>
      <c r="H661" s="268"/>
      <c r="I661" s="270"/>
      <c r="J661" s="268"/>
      <c r="K661" s="270"/>
      <c r="L661" s="268"/>
      <c r="M661" s="270"/>
      <c r="N661" s="268"/>
      <c r="O661" s="270"/>
      <c r="P661" s="268"/>
      <c r="Q661" s="270"/>
      <c r="R661" s="268"/>
      <c r="S661" s="270"/>
      <c r="T661" s="268"/>
      <c r="U661" s="270"/>
      <c r="V661" s="268"/>
      <c r="W661" s="270"/>
      <c r="X661" s="270"/>
      <c r="Y661" s="270"/>
      <c r="Z661" s="270"/>
      <c r="AA661" s="270"/>
    </row>
    <row r="662" spans="1:27" ht="16.899999999999999" x14ac:dyDescent="0.5">
      <c r="A662" s="270"/>
      <c r="B662" s="270"/>
      <c r="C662" s="270"/>
      <c r="D662" s="268"/>
      <c r="E662" s="270"/>
      <c r="F662" s="268"/>
      <c r="G662" s="270"/>
      <c r="H662" s="268"/>
      <c r="I662" s="270"/>
      <c r="J662" s="268"/>
      <c r="K662" s="270"/>
      <c r="L662" s="268"/>
      <c r="M662" s="270"/>
      <c r="N662" s="268"/>
      <c r="O662" s="270"/>
      <c r="P662" s="268"/>
      <c r="Q662" s="270"/>
      <c r="R662" s="268"/>
      <c r="S662" s="270"/>
      <c r="T662" s="268"/>
      <c r="U662" s="270"/>
      <c r="V662" s="268"/>
      <c r="W662" s="270"/>
      <c r="X662" s="270"/>
      <c r="Y662" s="270"/>
      <c r="Z662" s="270"/>
      <c r="AA662" s="270"/>
    </row>
    <row r="663" spans="1:27" ht="16.899999999999999" x14ac:dyDescent="0.5">
      <c r="A663" s="270"/>
      <c r="B663" s="270"/>
      <c r="C663" s="270"/>
      <c r="D663" s="268"/>
      <c r="E663" s="270"/>
      <c r="F663" s="268"/>
      <c r="G663" s="270"/>
      <c r="H663" s="268"/>
      <c r="I663" s="270"/>
      <c r="J663" s="268"/>
      <c r="K663" s="270"/>
      <c r="L663" s="268"/>
      <c r="M663" s="270"/>
      <c r="N663" s="268"/>
      <c r="O663" s="270"/>
      <c r="P663" s="268"/>
      <c r="Q663" s="270"/>
      <c r="R663" s="268"/>
      <c r="S663" s="270"/>
      <c r="T663" s="268"/>
      <c r="U663" s="270"/>
      <c r="V663" s="268"/>
      <c r="W663" s="270"/>
      <c r="X663" s="270"/>
      <c r="Y663" s="270"/>
      <c r="Z663" s="270"/>
      <c r="AA663" s="270"/>
    </row>
    <row r="664" spans="1:27" ht="16.899999999999999" x14ac:dyDescent="0.5">
      <c r="A664" s="270"/>
      <c r="B664" s="270"/>
      <c r="C664" s="270"/>
      <c r="D664" s="268"/>
      <c r="E664" s="270"/>
      <c r="F664" s="268"/>
      <c r="G664" s="270"/>
      <c r="H664" s="268"/>
      <c r="I664" s="270"/>
      <c r="J664" s="268"/>
      <c r="K664" s="270"/>
      <c r="L664" s="268"/>
      <c r="M664" s="270"/>
      <c r="N664" s="268"/>
      <c r="O664" s="270"/>
      <c r="P664" s="268"/>
      <c r="Q664" s="270"/>
      <c r="R664" s="268"/>
      <c r="S664" s="270"/>
      <c r="T664" s="268"/>
      <c r="U664" s="270"/>
      <c r="V664" s="268"/>
      <c r="W664" s="270"/>
      <c r="X664" s="270"/>
      <c r="Y664" s="270"/>
      <c r="Z664" s="270"/>
      <c r="AA664" s="270"/>
    </row>
    <row r="665" spans="1:27" ht="16.899999999999999" x14ac:dyDescent="0.5">
      <c r="A665" s="270"/>
      <c r="B665" s="270"/>
      <c r="C665" s="270"/>
      <c r="D665" s="268"/>
      <c r="E665" s="270"/>
      <c r="F665" s="268"/>
      <c r="G665" s="270"/>
      <c r="H665" s="268"/>
      <c r="I665" s="270"/>
      <c r="J665" s="268"/>
      <c r="K665" s="270"/>
      <c r="L665" s="268"/>
      <c r="M665" s="270"/>
      <c r="N665" s="268"/>
      <c r="O665" s="270"/>
      <c r="P665" s="268"/>
      <c r="Q665" s="270"/>
      <c r="R665" s="268"/>
      <c r="S665" s="270"/>
      <c r="T665" s="268"/>
      <c r="U665" s="270"/>
      <c r="V665" s="268"/>
      <c r="W665" s="270"/>
      <c r="X665" s="270"/>
      <c r="Y665" s="270"/>
      <c r="Z665" s="270"/>
      <c r="AA665" s="270"/>
    </row>
    <row r="666" spans="1:27" ht="16.899999999999999" x14ac:dyDescent="0.5">
      <c r="A666" s="270"/>
      <c r="B666" s="270"/>
      <c r="C666" s="270"/>
      <c r="D666" s="268"/>
      <c r="E666" s="270"/>
      <c r="F666" s="268"/>
      <c r="G666" s="270"/>
      <c r="H666" s="268"/>
      <c r="I666" s="270"/>
      <c r="J666" s="268"/>
      <c r="K666" s="270"/>
      <c r="L666" s="268"/>
      <c r="M666" s="270"/>
      <c r="N666" s="268"/>
      <c r="O666" s="270"/>
      <c r="P666" s="268"/>
      <c r="Q666" s="270"/>
      <c r="R666" s="268"/>
      <c r="S666" s="270"/>
      <c r="T666" s="268"/>
      <c r="U666" s="270"/>
      <c r="V666" s="268"/>
      <c r="W666" s="270"/>
      <c r="X666" s="270"/>
      <c r="Y666" s="270"/>
      <c r="Z666" s="270"/>
      <c r="AA666" s="270"/>
    </row>
    <row r="667" spans="1:27" ht="16.899999999999999" x14ac:dyDescent="0.5">
      <c r="A667" s="270"/>
      <c r="B667" s="270"/>
      <c r="C667" s="270"/>
      <c r="D667" s="268"/>
      <c r="E667" s="270"/>
      <c r="F667" s="268"/>
      <c r="G667" s="270"/>
      <c r="H667" s="268"/>
      <c r="I667" s="270"/>
      <c r="J667" s="268"/>
      <c r="K667" s="270"/>
      <c r="L667" s="268"/>
      <c r="M667" s="270"/>
      <c r="N667" s="268"/>
      <c r="O667" s="270"/>
      <c r="P667" s="268"/>
      <c r="Q667" s="270"/>
      <c r="R667" s="268"/>
      <c r="S667" s="270"/>
      <c r="T667" s="268"/>
      <c r="U667" s="270"/>
      <c r="V667" s="268"/>
      <c r="W667" s="270"/>
      <c r="X667" s="270"/>
      <c r="Y667" s="270"/>
      <c r="Z667" s="270"/>
      <c r="AA667" s="270"/>
    </row>
    <row r="668" spans="1:27" ht="16.899999999999999" x14ac:dyDescent="0.5">
      <c r="A668" s="270"/>
      <c r="B668" s="270"/>
      <c r="C668" s="270"/>
      <c r="D668" s="268"/>
      <c r="E668" s="270"/>
      <c r="F668" s="268"/>
      <c r="G668" s="270"/>
      <c r="H668" s="268"/>
      <c r="I668" s="270"/>
      <c r="J668" s="268"/>
      <c r="K668" s="270"/>
      <c r="L668" s="268"/>
      <c r="M668" s="270"/>
      <c r="N668" s="268"/>
      <c r="O668" s="270"/>
      <c r="P668" s="268"/>
      <c r="Q668" s="270"/>
      <c r="R668" s="268"/>
      <c r="S668" s="270"/>
      <c r="T668" s="268"/>
      <c r="U668" s="270"/>
      <c r="V668" s="268"/>
      <c r="W668" s="270"/>
      <c r="X668" s="270"/>
      <c r="Y668" s="270"/>
      <c r="Z668" s="270"/>
      <c r="AA668" s="270"/>
    </row>
    <row r="669" spans="1:27" ht="16.899999999999999" x14ac:dyDescent="0.5">
      <c r="A669" s="270"/>
      <c r="B669" s="270"/>
      <c r="C669" s="270"/>
      <c r="D669" s="268"/>
      <c r="E669" s="270"/>
      <c r="F669" s="268"/>
      <c r="G669" s="270"/>
      <c r="H669" s="268"/>
      <c r="I669" s="270"/>
      <c r="J669" s="268"/>
      <c r="K669" s="270"/>
      <c r="L669" s="268"/>
      <c r="M669" s="270"/>
      <c r="N669" s="268"/>
      <c r="O669" s="270"/>
      <c r="P669" s="268"/>
      <c r="Q669" s="270"/>
      <c r="R669" s="268"/>
      <c r="S669" s="270"/>
      <c r="T669" s="268"/>
      <c r="U669" s="270"/>
      <c r="V669" s="268"/>
      <c r="W669" s="270"/>
      <c r="X669" s="270"/>
      <c r="Y669" s="270"/>
      <c r="Z669" s="270"/>
      <c r="AA669" s="270"/>
    </row>
    <row r="670" spans="1:27" ht="16.899999999999999" x14ac:dyDescent="0.5">
      <c r="A670" s="270"/>
      <c r="B670" s="270"/>
      <c r="C670" s="270"/>
      <c r="D670" s="268"/>
      <c r="E670" s="270"/>
      <c r="F670" s="268"/>
      <c r="G670" s="270"/>
      <c r="H670" s="268"/>
      <c r="I670" s="270"/>
      <c r="J670" s="268"/>
      <c r="K670" s="270"/>
      <c r="L670" s="268"/>
      <c r="M670" s="270"/>
      <c r="N670" s="268"/>
      <c r="O670" s="270"/>
      <c r="P670" s="268"/>
      <c r="Q670" s="270"/>
      <c r="R670" s="268"/>
      <c r="S670" s="270"/>
      <c r="T670" s="268"/>
      <c r="U670" s="270"/>
      <c r="V670" s="268"/>
      <c r="W670" s="270"/>
      <c r="X670" s="270"/>
      <c r="Y670" s="270"/>
      <c r="Z670" s="270"/>
      <c r="AA670" s="270"/>
    </row>
    <row r="671" spans="1:27" ht="16.899999999999999" x14ac:dyDescent="0.5">
      <c r="A671" s="270"/>
      <c r="B671" s="270"/>
      <c r="C671" s="270"/>
      <c r="D671" s="268"/>
      <c r="E671" s="270"/>
      <c r="F671" s="268"/>
      <c r="G671" s="270"/>
      <c r="H671" s="268"/>
      <c r="I671" s="270"/>
      <c r="J671" s="268"/>
      <c r="K671" s="270"/>
      <c r="L671" s="268"/>
      <c r="M671" s="270"/>
      <c r="N671" s="268"/>
      <c r="O671" s="270"/>
      <c r="P671" s="268"/>
      <c r="Q671" s="270"/>
      <c r="R671" s="268"/>
      <c r="S671" s="270"/>
      <c r="T671" s="268"/>
      <c r="U671" s="270"/>
      <c r="V671" s="268"/>
      <c r="W671" s="270"/>
      <c r="X671" s="270"/>
      <c r="Y671" s="270"/>
      <c r="Z671" s="270"/>
      <c r="AA671" s="270"/>
    </row>
    <row r="672" spans="1:27" ht="16.899999999999999" x14ac:dyDescent="0.5">
      <c r="A672" s="270"/>
      <c r="B672" s="270"/>
      <c r="C672" s="270"/>
      <c r="D672" s="268"/>
      <c r="E672" s="270"/>
      <c r="F672" s="268"/>
      <c r="G672" s="270"/>
      <c r="H672" s="268"/>
      <c r="I672" s="270"/>
      <c r="J672" s="268"/>
      <c r="K672" s="270"/>
      <c r="L672" s="268"/>
      <c r="M672" s="270"/>
      <c r="N672" s="268"/>
      <c r="O672" s="270"/>
      <c r="P672" s="268"/>
      <c r="Q672" s="270"/>
      <c r="R672" s="268"/>
      <c r="S672" s="270"/>
      <c r="T672" s="268"/>
      <c r="U672" s="270"/>
      <c r="V672" s="268"/>
      <c r="W672" s="270"/>
      <c r="X672" s="270"/>
      <c r="Y672" s="270"/>
      <c r="Z672" s="270"/>
      <c r="AA672" s="270"/>
    </row>
    <row r="673" spans="1:27" ht="16.899999999999999" x14ac:dyDescent="0.5">
      <c r="A673" s="270"/>
      <c r="B673" s="270"/>
      <c r="C673" s="270"/>
      <c r="D673" s="268"/>
      <c r="E673" s="270"/>
      <c r="F673" s="268"/>
      <c r="G673" s="270"/>
      <c r="H673" s="268"/>
      <c r="I673" s="270"/>
      <c r="J673" s="268"/>
      <c r="K673" s="270"/>
      <c r="L673" s="268"/>
      <c r="M673" s="270"/>
      <c r="N673" s="268"/>
      <c r="O673" s="270"/>
      <c r="P673" s="268"/>
      <c r="Q673" s="270"/>
      <c r="R673" s="268"/>
      <c r="S673" s="270"/>
      <c r="T673" s="268"/>
      <c r="U673" s="270"/>
      <c r="V673" s="268"/>
      <c r="W673" s="270"/>
      <c r="X673" s="270"/>
      <c r="Y673" s="270"/>
      <c r="Z673" s="270"/>
      <c r="AA673" s="270"/>
    </row>
    <row r="674" spans="1:27" ht="16.899999999999999" x14ac:dyDescent="0.5">
      <c r="A674" s="270"/>
      <c r="B674" s="270"/>
      <c r="C674" s="270"/>
      <c r="D674" s="268"/>
      <c r="E674" s="270"/>
      <c r="F674" s="268"/>
      <c r="G674" s="270"/>
      <c r="H674" s="268"/>
      <c r="I674" s="270"/>
      <c r="J674" s="268"/>
      <c r="K674" s="270"/>
      <c r="L674" s="268"/>
      <c r="M674" s="270"/>
      <c r="N674" s="268"/>
      <c r="O674" s="270"/>
      <c r="P674" s="268"/>
      <c r="Q674" s="270"/>
      <c r="R674" s="268"/>
      <c r="S674" s="270"/>
      <c r="T674" s="268"/>
      <c r="U674" s="270"/>
      <c r="V674" s="268"/>
      <c r="W674" s="270"/>
      <c r="X674" s="270"/>
      <c r="Y674" s="270"/>
      <c r="Z674" s="270"/>
      <c r="AA674" s="270"/>
    </row>
    <row r="675" spans="1:27" ht="16.899999999999999" x14ac:dyDescent="0.5">
      <c r="A675" s="270"/>
      <c r="B675" s="270"/>
      <c r="C675" s="270"/>
      <c r="D675" s="268"/>
      <c r="E675" s="270"/>
      <c r="F675" s="268"/>
      <c r="G675" s="270"/>
      <c r="H675" s="268"/>
      <c r="I675" s="270"/>
      <c r="J675" s="268"/>
      <c r="K675" s="270"/>
      <c r="L675" s="268"/>
      <c r="M675" s="270"/>
      <c r="N675" s="268"/>
      <c r="O675" s="270"/>
      <c r="P675" s="268"/>
      <c r="Q675" s="270"/>
      <c r="R675" s="268"/>
      <c r="S675" s="270"/>
      <c r="T675" s="268"/>
      <c r="U675" s="270"/>
      <c r="V675" s="268"/>
      <c r="W675" s="270"/>
      <c r="X675" s="270"/>
      <c r="Y675" s="270"/>
      <c r="Z675" s="270"/>
      <c r="AA675" s="270"/>
    </row>
    <row r="676" spans="1:27" ht="16.899999999999999" x14ac:dyDescent="0.5">
      <c r="A676" s="270"/>
      <c r="B676" s="270"/>
      <c r="C676" s="270"/>
      <c r="D676" s="268"/>
      <c r="E676" s="270"/>
      <c r="F676" s="268"/>
      <c r="G676" s="270"/>
      <c r="H676" s="268"/>
      <c r="I676" s="270"/>
      <c r="J676" s="268"/>
      <c r="K676" s="270"/>
      <c r="L676" s="268"/>
      <c r="M676" s="270"/>
      <c r="N676" s="268"/>
      <c r="O676" s="270"/>
      <c r="P676" s="268"/>
      <c r="Q676" s="270"/>
      <c r="R676" s="268"/>
      <c r="S676" s="270"/>
      <c r="T676" s="268"/>
      <c r="U676" s="270"/>
      <c r="V676" s="268"/>
      <c r="W676" s="270"/>
      <c r="X676" s="270"/>
      <c r="Y676" s="270"/>
      <c r="Z676" s="270"/>
      <c r="AA676" s="270"/>
    </row>
    <row r="677" spans="1:27" ht="16.899999999999999" x14ac:dyDescent="0.5">
      <c r="A677" s="270"/>
      <c r="B677" s="270"/>
      <c r="C677" s="270"/>
      <c r="D677" s="268"/>
      <c r="E677" s="270"/>
      <c r="F677" s="268"/>
      <c r="G677" s="270"/>
      <c r="H677" s="268"/>
      <c r="I677" s="270"/>
      <c r="J677" s="268"/>
      <c r="K677" s="270"/>
      <c r="L677" s="268"/>
      <c r="M677" s="270"/>
      <c r="N677" s="268"/>
      <c r="O677" s="270"/>
      <c r="P677" s="268"/>
      <c r="Q677" s="270"/>
      <c r="R677" s="268"/>
      <c r="S677" s="270"/>
      <c r="T677" s="268"/>
      <c r="U677" s="270"/>
      <c r="V677" s="268"/>
      <c r="W677" s="270"/>
      <c r="X677" s="270"/>
      <c r="Y677" s="270"/>
      <c r="Z677" s="270"/>
      <c r="AA677" s="270"/>
    </row>
    <row r="678" spans="1:27" ht="16.899999999999999" x14ac:dyDescent="0.5">
      <c r="A678" s="270"/>
      <c r="B678" s="270"/>
      <c r="C678" s="270"/>
      <c r="D678" s="268"/>
      <c r="E678" s="270"/>
      <c r="F678" s="268"/>
      <c r="G678" s="270"/>
      <c r="H678" s="268"/>
      <c r="I678" s="270"/>
      <c r="J678" s="268"/>
      <c r="K678" s="270"/>
      <c r="L678" s="268"/>
      <c r="M678" s="270"/>
      <c r="N678" s="268"/>
      <c r="O678" s="270"/>
      <c r="P678" s="268"/>
      <c r="Q678" s="270"/>
      <c r="R678" s="268"/>
      <c r="S678" s="270"/>
      <c r="T678" s="268"/>
      <c r="U678" s="270"/>
      <c r="V678" s="268"/>
      <c r="W678" s="270"/>
      <c r="X678" s="270"/>
      <c r="Y678" s="270"/>
      <c r="Z678" s="270"/>
      <c r="AA678" s="270"/>
    </row>
    <row r="679" spans="1:27" ht="16.899999999999999" x14ac:dyDescent="0.5">
      <c r="A679" s="270"/>
      <c r="B679" s="270"/>
      <c r="C679" s="270"/>
      <c r="D679" s="268"/>
      <c r="E679" s="270"/>
      <c r="F679" s="268"/>
      <c r="G679" s="270"/>
      <c r="H679" s="268"/>
      <c r="I679" s="270"/>
      <c r="J679" s="268"/>
      <c r="K679" s="270"/>
      <c r="L679" s="268"/>
      <c r="M679" s="270"/>
      <c r="N679" s="268"/>
      <c r="O679" s="270"/>
      <c r="P679" s="268"/>
      <c r="Q679" s="270"/>
      <c r="R679" s="268"/>
      <c r="S679" s="270"/>
      <c r="T679" s="268"/>
      <c r="U679" s="270"/>
      <c r="V679" s="268"/>
      <c r="W679" s="270"/>
      <c r="X679" s="270"/>
      <c r="Y679" s="270"/>
      <c r="Z679" s="270"/>
      <c r="AA679" s="270"/>
    </row>
    <row r="680" spans="1:27" ht="16.899999999999999" x14ac:dyDescent="0.5">
      <c r="A680" s="270"/>
      <c r="B680" s="270"/>
      <c r="C680" s="270"/>
      <c r="D680" s="268"/>
      <c r="E680" s="270"/>
      <c r="F680" s="268"/>
      <c r="G680" s="270"/>
      <c r="H680" s="268"/>
      <c r="I680" s="270"/>
      <c r="J680" s="268"/>
      <c r="K680" s="270"/>
      <c r="L680" s="268"/>
      <c r="M680" s="270"/>
      <c r="N680" s="268"/>
      <c r="O680" s="270"/>
      <c r="P680" s="268"/>
      <c r="Q680" s="270"/>
      <c r="R680" s="268"/>
      <c r="S680" s="270"/>
      <c r="T680" s="268"/>
      <c r="U680" s="270"/>
      <c r="V680" s="268"/>
      <c r="W680" s="270"/>
      <c r="X680" s="270"/>
      <c r="Y680" s="270"/>
      <c r="Z680" s="270"/>
      <c r="AA680" s="270"/>
    </row>
    <row r="681" spans="1:27" ht="16.899999999999999" x14ac:dyDescent="0.5">
      <c r="A681" s="270"/>
      <c r="B681" s="270"/>
      <c r="C681" s="270"/>
      <c r="D681" s="268"/>
      <c r="E681" s="270"/>
      <c r="F681" s="268"/>
      <c r="G681" s="270"/>
      <c r="H681" s="268"/>
      <c r="I681" s="270"/>
      <c r="J681" s="268"/>
      <c r="K681" s="270"/>
      <c r="L681" s="268"/>
      <c r="M681" s="270"/>
      <c r="N681" s="268"/>
      <c r="O681" s="270"/>
      <c r="P681" s="268"/>
      <c r="Q681" s="270"/>
      <c r="R681" s="268"/>
      <c r="S681" s="270"/>
      <c r="T681" s="268"/>
      <c r="U681" s="270"/>
      <c r="V681" s="268"/>
      <c r="W681" s="270"/>
      <c r="X681" s="270"/>
      <c r="Y681" s="270"/>
      <c r="Z681" s="270"/>
      <c r="AA681" s="270"/>
    </row>
    <row r="682" spans="1:27" ht="16.899999999999999" x14ac:dyDescent="0.5">
      <c r="A682" s="270"/>
      <c r="B682" s="270"/>
      <c r="C682" s="270"/>
      <c r="D682" s="268"/>
      <c r="E682" s="270"/>
      <c r="F682" s="268"/>
      <c r="G682" s="270"/>
      <c r="H682" s="268"/>
      <c r="I682" s="270"/>
      <c r="J682" s="268"/>
      <c r="K682" s="270"/>
      <c r="L682" s="268"/>
      <c r="M682" s="270"/>
      <c r="N682" s="268"/>
      <c r="O682" s="270"/>
      <c r="P682" s="268"/>
      <c r="Q682" s="270"/>
      <c r="R682" s="268"/>
      <c r="S682" s="270"/>
      <c r="T682" s="268"/>
      <c r="U682" s="270"/>
      <c r="V682" s="268"/>
      <c r="W682" s="270"/>
      <c r="X682" s="270"/>
      <c r="Y682" s="270"/>
      <c r="Z682" s="270"/>
      <c r="AA682" s="270"/>
    </row>
    <row r="683" spans="1:27" ht="16.899999999999999" x14ac:dyDescent="0.5">
      <c r="A683" s="270"/>
      <c r="B683" s="270"/>
      <c r="C683" s="270"/>
      <c r="D683" s="268"/>
      <c r="E683" s="270"/>
      <c r="F683" s="268"/>
      <c r="G683" s="270"/>
      <c r="H683" s="268"/>
      <c r="I683" s="270"/>
      <c r="J683" s="268"/>
      <c r="K683" s="270"/>
      <c r="L683" s="268"/>
      <c r="M683" s="270"/>
      <c r="N683" s="268"/>
      <c r="O683" s="270"/>
      <c r="P683" s="268"/>
      <c r="Q683" s="270"/>
      <c r="R683" s="268"/>
      <c r="S683" s="270"/>
      <c r="T683" s="268"/>
      <c r="U683" s="270"/>
      <c r="V683" s="268"/>
      <c r="W683" s="270"/>
      <c r="X683" s="270"/>
      <c r="Y683" s="270"/>
      <c r="Z683" s="270"/>
      <c r="AA683" s="270"/>
    </row>
    <row r="684" spans="1:27" ht="16.899999999999999" x14ac:dyDescent="0.5">
      <c r="A684" s="270"/>
      <c r="B684" s="270"/>
      <c r="C684" s="270"/>
      <c r="D684" s="268"/>
      <c r="E684" s="270"/>
      <c r="F684" s="268"/>
      <c r="G684" s="270"/>
      <c r="H684" s="268"/>
      <c r="I684" s="270"/>
      <c r="J684" s="268"/>
      <c r="K684" s="270"/>
      <c r="L684" s="268"/>
      <c r="M684" s="270"/>
      <c r="N684" s="268"/>
      <c r="O684" s="270"/>
      <c r="P684" s="268"/>
      <c r="Q684" s="270"/>
      <c r="R684" s="268"/>
      <c r="S684" s="270"/>
      <c r="T684" s="268"/>
      <c r="U684" s="270"/>
      <c r="V684" s="268"/>
      <c r="W684" s="270"/>
      <c r="X684" s="270"/>
      <c r="Y684" s="270"/>
      <c r="Z684" s="270"/>
      <c r="AA684" s="270"/>
    </row>
    <row r="685" spans="1:27" ht="16.899999999999999" x14ac:dyDescent="0.5">
      <c r="A685" s="270"/>
      <c r="B685" s="270"/>
      <c r="C685" s="270"/>
      <c r="D685" s="268"/>
      <c r="E685" s="270"/>
      <c r="F685" s="268"/>
      <c r="G685" s="270"/>
      <c r="H685" s="268"/>
      <c r="I685" s="270"/>
      <c r="J685" s="268"/>
      <c r="K685" s="270"/>
      <c r="L685" s="268"/>
      <c r="M685" s="270"/>
      <c r="N685" s="268"/>
      <c r="O685" s="270"/>
      <c r="P685" s="268"/>
      <c r="Q685" s="270"/>
      <c r="R685" s="268"/>
      <c r="S685" s="270"/>
      <c r="T685" s="268"/>
      <c r="U685" s="270"/>
      <c r="V685" s="268"/>
      <c r="W685" s="270"/>
      <c r="X685" s="270"/>
      <c r="Y685" s="270"/>
      <c r="Z685" s="270"/>
      <c r="AA685" s="270"/>
    </row>
    <row r="686" spans="1:27" ht="16.899999999999999" x14ac:dyDescent="0.5">
      <c r="A686" s="270"/>
      <c r="B686" s="270"/>
      <c r="C686" s="270"/>
      <c r="D686" s="268"/>
      <c r="E686" s="270"/>
      <c r="F686" s="268"/>
      <c r="G686" s="270"/>
      <c r="H686" s="268"/>
      <c r="I686" s="270"/>
      <c r="J686" s="268"/>
      <c r="K686" s="270"/>
      <c r="L686" s="268"/>
      <c r="M686" s="270"/>
      <c r="N686" s="268"/>
      <c r="O686" s="270"/>
      <c r="P686" s="268"/>
      <c r="Q686" s="270"/>
      <c r="R686" s="268"/>
      <c r="S686" s="270"/>
      <c r="T686" s="268"/>
      <c r="U686" s="270"/>
      <c r="V686" s="268"/>
      <c r="W686" s="270"/>
      <c r="X686" s="270"/>
      <c r="Y686" s="270"/>
      <c r="Z686" s="270"/>
      <c r="AA686" s="270"/>
    </row>
    <row r="687" spans="1:27" ht="16.899999999999999" x14ac:dyDescent="0.5">
      <c r="A687" s="270"/>
      <c r="B687" s="270"/>
      <c r="C687" s="270"/>
      <c r="D687" s="268"/>
      <c r="E687" s="270"/>
      <c r="F687" s="268"/>
      <c r="G687" s="270"/>
      <c r="H687" s="268"/>
      <c r="I687" s="270"/>
      <c r="J687" s="268"/>
      <c r="K687" s="270"/>
      <c r="L687" s="268"/>
      <c r="M687" s="270"/>
      <c r="N687" s="268"/>
      <c r="O687" s="270"/>
      <c r="P687" s="268"/>
      <c r="Q687" s="270"/>
      <c r="R687" s="268"/>
      <c r="S687" s="270"/>
      <c r="T687" s="268"/>
      <c r="U687" s="270"/>
      <c r="V687" s="268"/>
      <c r="W687" s="270"/>
      <c r="X687" s="270"/>
      <c r="Y687" s="270"/>
      <c r="Z687" s="270"/>
      <c r="AA687" s="270"/>
    </row>
    <row r="688" spans="1:27" ht="16.899999999999999" x14ac:dyDescent="0.5">
      <c r="A688" s="270"/>
      <c r="B688" s="270"/>
      <c r="C688" s="270"/>
      <c r="D688" s="268"/>
      <c r="E688" s="270"/>
      <c r="F688" s="268"/>
      <c r="G688" s="270"/>
      <c r="H688" s="268"/>
      <c r="I688" s="270"/>
      <c r="J688" s="268"/>
      <c r="K688" s="270"/>
      <c r="L688" s="268"/>
      <c r="M688" s="270"/>
      <c r="N688" s="268"/>
      <c r="O688" s="270"/>
      <c r="P688" s="268"/>
      <c r="Q688" s="270"/>
      <c r="R688" s="268"/>
      <c r="S688" s="270"/>
      <c r="T688" s="268"/>
      <c r="U688" s="270"/>
      <c r="V688" s="268"/>
      <c r="W688" s="270"/>
      <c r="X688" s="270"/>
      <c r="Y688" s="270"/>
      <c r="Z688" s="270"/>
      <c r="AA688" s="270"/>
    </row>
    <row r="689" spans="1:27" ht="16.899999999999999" x14ac:dyDescent="0.5">
      <c r="A689" s="270"/>
      <c r="B689" s="270"/>
      <c r="C689" s="270"/>
      <c r="D689" s="268"/>
      <c r="E689" s="270"/>
      <c r="F689" s="268"/>
      <c r="G689" s="270"/>
      <c r="H689" s="268"/>
      <c r="I689" s="270"/>
      <c r="J689" s="268"/>
      <c r="K689" s="270"/>
      <c r="L689" s="268"/>
      <c r="M689" s="270"/>
      <c r="N689" s="268"/>
      <c r="O689" s="270"/>
      <c r="P689" s="268"/>
      <c r="Q689" s="270"/>
      <c r="R689" s="268"/>
      <c r="S689" s="270"/>
      <c r="T689" s="268"/>
      <c r="U689" s="270"/>
      <c r="V689" s="268"/>
      <c r="W689" s="270"/>
      <c r="X689" s="270"/>
      <c r="Y689" s="270"/>
      <c r="Z689" s="270"/>
      <c r="AA689" s="270"/>
    </row>
    <row r="690" spans="1:27" ht="16.899999999999999" x14ac:dyDescent="0.5">
      <c r="A690" s="270"/>
      <c r="B690" s="270"/>
      <c r="C690" s="270"/>
      <c r="D690" s="268"/>
      <c r="E690" s="270"/>
      <c r="F690" s="268"/>
      <c r="G690" s="270"/>
      <c r="H690" s="268"/>
      <c r="I690" s="270"/>
      <c r="J690" s="268"/>
      <c r="K690" s="270"/>
      <c r="L690" s="268"/>
      <c r="M690" s="270"/>
      <c r="N690" s="268"/>
      <c r="O690" s="270"/>
      <c r="P690" s="268"/>
      <c r="Q690" s="270"/>
      <c r="R690" s="268"/>
      <c r="S690" s="270"/>
      <c r="T690" s="268"/>
      <c r="U690" s="270"/>
      <c r="V690" s="268"/>
      <c r="W690" s="270"/>
      <c r="X690" s="270"/>
      <c r="Y690" s="270"/>
      <c r="Z690" s="270"/>
      <c r="AA690" s="270"/>
    </row>
    <row r="691" spans="1:27" ht="16.899999999999999" x14ac:dyDescent="0.5">
      <c r="A691" s="270"/>
      <c r="B691" s="270"/>
      <c r="C691" s="270"/>
      <c r="D691" s="268"/>
      <c r="E691" s="270"/>
      <c r="F691" s="268"/>
      <c r="G691" s="270"/>
      <c r="H691" s="268"/>
      <c r="I691" s="270"/>
      <c r="J691" s="268"/>
      <c r="K691" s="270"/>
      <c r="L691" s="268"/>
      <c r="M691" s="270"/>
      <c r="N691" s="268"/>
      <c r="O691" s="270"/>
      <c r="P691" s="268"/>
      <c r="Q691" s="270"/>
      <c r="R691" s="268"/>
      <c r="S691" s="270"/>
      <c r="T691" s="268"/>
      <c r="U691" s="270"/>
      <c r="V691" s="268"/>
      <c r="W691" s="270"/>
      <c r="X691" s="270"/>
      <c r="Y691" s="270"/>
      <c r="Z691" s="270"/>
      <c r="AA691" s="270"/>
    </row>
    <row r="692" spans="1:27" ht="16.899999999999999" x14ac:dyDescent="0.5">
      <c r="A692" s="270"/>
      <c r="B692" s="270"/>
      <c r="C692" s="270"/>
      <c r="D692" s="268"/>
      <c r="E692" s="270"/>
      <c r="F692" s="268"/>
      <c r="G692" s="270"/>
      <c r="H692" s="268"/>
      <c r="I692" s="270"/>
      <c r="J692" s="268"/>
      <c r="K692" s="270"/>
      <c r="L692" s="268"/>
      <c r="M692" s="270"/>
      <c r="N692" s="268"/>
      <c r="O692" s="270"/>
      <c r="P692" s="268"/>
      <c r="Q692" s="270"/>
      <c r="R692" s="268"/>
      <c r="S692" s="270"/>
      <c r="T692" s="268"/>
      <c r="U692" s="270"/>
      <c r="V692" s="268"/>
      <c r="W692" s="270"/>
      <c r="X692" s="270"/>
      <c r="Y692" s="270"/>
      <c r="Z692" s="270"/>
      <c r="AA692" s="270"/>
    </row>
    <row r="693" spans="1:27" ht="16.899999999999999" x14ac:dyDescent="0.5">
      <c r="A693" s="270"/>
      <c r="B693" s="270"/>
      <c r="C693" s="270"/>
      <c r="D693" s="268"/>
      <c r="E693" s="270"/>
      <c r="F693" s="268"/>
      <c r="G693" s="270"/>
      <c r="H693" s="268"/>
      <c r="I693" s="270"/>
      <c r="J693" s="268"/>
      <c r="K693" s="270"/>
      <c r="L693" s="268"/>
      <c r="M693" s="270"/>
      <c r="N693" s="268"/>
      <c r="O693" s="270"/>
      <c r="P693" s="268"/>
      <c r="Q693" s="270"/>
      <c r="R693" s="268"/>
      <c r="S693" s="270"/>
      <c r="T693" s="268"/>
      <c r="U693" s="270"/>
      <c r="V693" s="268"/>
      <c r="W693" s="270"/>
      <c r="X693" s="270"/>
      <c r="Y693" s="270"/>
      <c r="Z693" s="270"/>
      <c r="AA693" s="270"/>
    </row>
    <row r="694" spans="1:27" ht="16.899999999999999" x14ac:dyDescent="0.5">
      <c r="A694" s="270"/>
      <c r="B694" s="270"/>
      <c r="C694" s="270"/>
      <c r="D694" s="268"/>
      <c r="E694" s="270"/>
      <c r="F694" s="268"/>
      <c r="G694" s="270"/>
      <c r="H694" s="268"/>
      <c r="I694" s="270"/>
      <c r="J694" s="268"/>
      <c r="K694" s="270"/>
      <c r="L694" s="268"/>
      <c r="M694" s="270"/>
      <c r="N694" s="268"/>
      <c r="O694" s="270"/>
      <c r="P694" s="268"/>
      <c r="Q694" s="270"/>
      <c r="R694" s="268"/>
      <c r="S694" s="270"/>
      <c r="T694" s="268"/>
      <c r="U694" s="270"/>
      <c r="V694" s="268"/>
      <c r="W694" s="270"/>
      <c r="X694" s="270"/>
      <c r="Y694" s="270"/>
      <c r="Z694" s="270"/>
      <c r="AA694" s="270"/>
    </row>
    <row r="695" spans="1:27" ht="16.899999999999999" x14ac:dyDescent="0.5">
      <c r="A695" s="270"/>
      <c r="B695" s="270"/>
      <c r="C695" s="270"/>
      <c r="D695" s="268"/>
      <c r="E695" s="270"/>
      <c r="F695" s="268"/>
      <c r="G695" s="270"/>
      <c r="H695" s="268"/>
      <c r="I695" s="270"/>
      <c r="J695" s="268"/>
      <c r="K695" s="270"/>
      <c r="L695" s="268"/>
      <c r="M695" s="270"/>
      <c r="N695" s="268"/>
      <c r="O695" s="270"/>
      <c r="P695" s="268"/>
      <c r="Q695" s="270"/>
      <c r="R695" s="268"/>
      <c r="S695" s="270"/>
      <c r="T695" s="268"/>
      <c r="U695" s="270"/>
      <c r="V695" s="268"/>
      <c r="W695" s="270"/>
      <c r="X695" s="270"/>
      <c r="Y695" s="270"/>
      <c r="Z695" s="270"/>
      <c r="AA695" s="270"/>
    </row>
    <row r="696" spans="1:27" ht="16.899999999999999" x14ac:dyDescent="0.5">
      <c r="A696" s="270"/>
      <c r="B696" s="270"/>
      <c r="C696" s="270"/>
      <c r="D696" s="268"/>
      <c r="E696" s="270"/>
      <c r="F696" s="268"/>
      <c r="G696" s="270"/>
      <c r="H696" s="268"/>
      <c r="I696" s="270"/>
      <c r="J696" s="268"/>
      <c r="K696" s="270"/>
      <c r="L696" s="268"/>
      <c r="M696" s="270"/>
      <c r="N696" s="268"/>
      <c r="O696" s="270"/>
      <c r="P696" s="268"/>
      <c r="Q696" s="270"/>
      <c r="R696" s="268"/>
      <c r="S696" s="270"/>
      <c r="T696" s="268"/>
      <c r="U696" s="270"/>
      <c r="V696" s="268"/>
      <c r="W696" s="270"/>
      <c r="X696" s="270"/>
      <c r="Y696" s="270"/>
      <c r="Z696" s="270"/>
      <c r="AA696" s="270"/>
    </row>
    <row r="697" spans="1:27" ht="16.899999999999999" x14ac:dyDescent="0.5">
      <c r="A697" s="270"/>
      <c r="B697" s="270"/>
      <c r="C697" s="270"/>
      <c r="D697" s="268"/>
      <c r="E697" s="270"/>
      <c r="F697" s="268"/>
      <c r="G697" s="270"/>
      <c r="H697" s="268"/>
      <c r="I697" s="270"/>
      <c r="J697" s="268"/>
      <c r="K697" s="270"/>
      <c r="L697" s="268"/>
      <c r="M697" s="270"/>
      <c r="N697" s="268"/>
      <c r="O697" s="270"/>
      <c r="P697" s="268"/>
      <c r="Q697" s="270"/>
      <c r="R697" s="268"/>
      <c r="S697" s="270"/>
      <c r="T697" s="268"/>
      <c r="U697" s="270"/>
      <c r="V697" s="268"/>
      <c r="W697" s="270"/>
      <c r="X697" s="270"/>
      <c r="Y697" s="270"/>
      <c r="Z697" s="270"/>
      <c r="AA697" s="270"/>
    </row>
    <row r="698" spans="1:27" ht="16.899999999999999" x14ac:dyDescent="0.5">
      <c r="A698" s="270"/>
      <c r="B698" s="270"/>
      <c r="C698" s="270"/>
      <c r="D698" s="268"/>
      <c r="E698" s="270"/>
      <c r="F698" s="268"/>
      <c r="G698" s="270"/>
      <c r="H698" s="268"/>
      <c r="I698" s="270"/>
      <c r="J698" s="268"/>
      <c r="K698" s="270"/>
      <c r="L698" s="268"/>
      <c r="M698" s="270"/>
      <c r="N698" s="268"/>
      <c r="O698" s="270"/>
      <c r="P698" s="268"/>
      <c r="Q698" s="270"/>
      <c r="R698" s="268"/>
      <c r="S698" s="270"/>
      <c r="T698" s="268"/>
      <c r="U698" s="270"/>
      <c r="V698" s="268"/>
      <c r="W698" s="270"/>
      <c r="X698" s="270"/>
      <c r="Y698" s="270"/>
      <c r="Z698" s="270"/>
      <c r="AA698" s="270"/>
    </row>
    <row r="699" spans="1:27" ht="16.899999999999999" x14ac:dyDescent="0.5">
      <c r="A699" s="270"/>
      <c r="B699" s="270"/>
      <c r="C699" s="270"/>
      <c r="D699" s="268"/>
      <c r="E699" s="270"/>
      <c r="F699" s="268"/>
      <c r="G699" s="270"/>
      <c r="H699" s="268"/>
      <c r="I699" s="270"/>
      <c r="J699" s="268"/>
      <c r="K699" s="270"/>
      <c r="L699" s="268"/>
      <c r="M699" s="270"/>
      <c r="N699" s="268"/>
      <c r="O699" s="270"/>
      <c r="P699" s="268"/>
      <c r="Q699" s="270"/>
      <c r="R699" s="268"/>
      <c r="S699" s="270"/>
      <c r="T699" s="268"/>
      <c r="U699" s="270"/>
      <c r="V699" s="268"/>
      <c r="W699" s="270"/>
      <c r="X699" s="270"/>
      <c r="Y699" s="270"/>
      <c r="Z699" s="270"/>
      <c r="AA699" s="270"/>
    </row>
    <row r="700" spans="1:27" ht="16.899999999999999" x14ac:dyDescent="0.5">
      <c r="A700" s="270"/>
      <c r="B700" s="270"/>
      <c r="C700" s="270"/>
      <c r="D700" s="268"/>
      <c r="E700" s="270"/>
      <c r="F700" s="268"/>
      <c r="G700" s="270"/>
      <c r="H700" s="268"/>
      <c r="I700" s="270"/>
      <c r="J700" s="268"/>
      <c r="K700" s="270"/>
      <c r="L700" s="268"/>
      <c r="M700" s="270"/>
      <c r="N700" s="268"/>
      <c r="O700" s="270"/>
      <c r="P700" s="268"/>
      <c r="Q700" s="270"/>
      <c r="R700" s="268"/>
      <c r="S700" s="270"/>
      <c r="T700" s="268"/>
      <c r="U700" s="270"/>
      <c r="V700" s="268"/>
      <c r="W700" s="270"/>
      <c r="X700" s="270"/>
      <c r="Y700" s="270"/>
      <c r="Z700" s="270"/>
      <c r="AA700" s="270"/>
    </row>
    <row r="701" spans="1:27" ht="16.899999999999999" x14ac:dyDescent="0.5">
      <c r="A701" s="270"/>
      <c r="B701" s="270"/>
      <c r="C701" s="270"/>
      <c r="D701" s="268"/>
      <c r="E701" s="270"/>
      <c r="F701" s="268"/>
      <c r="G701" s="270"/>
      <c r="H701" s="268"/>
      <c r="I701" s="270"/>
      <c r="J701" s="268"/>
      <c r="K701" s="270"/>
      <c r="L701" s="268"/>
      <c r="M701" s="270"/>
      <c r="N701" s="268"/>
      <c r="O701" s="270"/>
      <c r="P701" s="268"/>
      <c r="Q701" s="270"/>
      <c r="R701" s="268"/>
      <c r="S701" s="270"/>
      <c r="T701" s="268"/>
      <c r="U701" s="270"/>
      <c r="V701" s="268"/>
      <c r="W701" s="270"/>
      <c r="X701" s="270"/>
      <c r="Y701" s="270"/>
      <c r="Z701" s="270"/>
      <c r="AA701" s="270"/>
    </row>
    <row r="702" spans="1:27" ht="16.899999999999999" x14ac:dyDescent="0.5">
      <c r="A702" s="270"/>
      <c r="B702" s="270"/>
      <c r="C702" s="270"/>
      <c r="D702" s="268"/>
      <c r="E702" s="270"/>
      <c r="F702" s="268"/>
      <c r="G702" s="270"/>
      <c r="H702" s="268"/>
      <c r="I702" s="270"/>
      <c r="J702" s="268"/>
      <c r="K702" s="270"/>
      <c r="L702" s="268"/>
      <c r="M702" s="270"/>
      <c r="N702" s="268"/>
      <c r="O702" s="270"/>
      <c r="P702" s="268"/>
      <c r="Q702" s="270"/>
      <c r="R702" s="268"/>
      <c r="S702" s="270"/>
      <c r="T702" s="268"/>
      <c r="U702" s="270"/>
      <c r="V702" s="268"/>
      <c r="W702" s="270"/>
      <c r="X702" s="270"/>
      <c r="Y702" s="270"/>
      <c r="Z702" s="270"/>
      <c r="AA702" s="270"/>
    </row>
    <row r="703" spans="1:27" ht="16.899999999999999" x14ac:dyDescent="0.5">
      <c r="A703" s="270"/>
      <c r="B703" s="270"/>
      <c r="C703" s="270"/>
      <c r="D703" s="268"/>
      <c r="E703" s="270"/>
      <c r="F703" s="268"/>
      <c r="G703" s="270"/>
      <c r="H703" s="268"/>
      <c r="I703" s="270"/>
      <c r="J703" s="268"/>
      <c r="K703" s="270"/>
      <c r="L703" s="268"/>
      <c r="M703" s="270"/>
      <c r="N703" s="268"/>
      <c r="O703" s="270"/>
      <c r="P703" s="268"/>
      <c r="Q703" s="270"/>
      <c r="R703" s="268"/>
      <c r="S703" s="270"/>
      <c r="T703" s="268"/>
      <c r="U703" s="270"/>
      <c r="V703" s="268"/>
      <c r="W703" s="270"/>
      <c r="X703" s="270"/>
      <c r="Y703" s="270"/>
      <c r="Z703" s="270"/>
      <c r="AA703" s="270"/>
    </row>
    <row r="704" spans="1:27" ht="16.899999999999999" x14ac:dyDescent="0.5">
      <c r="A704" s="270"/>
      <c r="B704" s="270"/>
      <c r="C704" s="270"/>
      <c r="D704" s="268"/>
      <c r="E704" s="270"/>
      <c r="F704" s="268"/>
      <c r="G704" s="270"/>
      <c r="H704" s="268"/>
      <c r="I704" s="270"/>
      <c r="J704" s="268"/>
      <c r="K704" s="270"/>
      <c r="L704" s="268"/>
      <c r="M704" s="270"/>
      <c r="N704" s="268"/>
      <c r="O704" s="270"/>
      <c r="P704" s="268"/>
      <c r="Q704" s="270"/>
      <c r="R704" s="268"/>
      <c r="S704" s="270"/>
      <c r="T704" s="268"/>
      <c r="U704" s="270"/>
      <c r="V704" s="268"/>
      <c r="W704" s="270"/>
      <c r="X704" s="270"/>
      <c r="Y704" s="270"/>
      <c r="Z704" s="270"/>
      <c r="AA704" s="270"/>
    </row>
    <row r="705" spans="1:27" ht="16.899999999999999" x14ac:dyDescent="0.5">
      <c r="A705" s="270"/>
      <c r="B705" s="270"/>
      <c r="C705" s="270"/>
      <c r="D705" s="268"/>
      <c r="E705" s="270"/>
      <c r="F705" s="268"/>
      <c r="G705" s="270"/>
      <c r="H705" s="268"/>
      <c r="I705" s="270"/>
      <c r="J705" s="268"/>
      <c r="K705" s="270"/>
      <c r="L705" s="268"/>
      <c r="M705" s="270"/>
      <c r="N705" s="268"/>
      <c r="O705" s="270"/>
      <c r="P705" s="268"/>
      <c r="Q705" s="270"/>
      <c r="R705" s="268"/>
      <c r="S705" s="270"/>
      <c r="T705" s="268"/>
      <c r="U705" s="270"/>
      <c r="V705" s="268"/>
      <c r="W705" s="270"/>
      <c r="X705" s="270"/>
      <c r="Y705" s="270"/>
      <c r="Z705" s="270"/>
      <c r="AA705" s="270"/>
    </row>
    <row r="706" spans="1:27" ht="16.899999999999999" x14ac:dyDescent="0.5">
      <c r="A706" s="270"/>
      <c r="B706" s="270"/>
      <c r="C706" s="270"/>
      <c r="D706" s="268"/>
      <c r="E706" s="270"/>
      <c r="F706" s="268"/>
      <c r="G706" s="270"/>
      <c r="H706" s="268"/>
      <c r="I706" s="270"/>
      <c r="J706" s="268"/>
      <c r="K706" s="270"/>
      <c r="L706" s="268"/>
      <c r="M706" s="270"/>
      <c r="N706" s="268"/>
      <c r="O706" s="270"/>
      <c r="P706" s="268"/>
      <c r="Q706" s="270"/>
      <c r="R706" s="268"/>
      <c r="S706" s="270"/>
      <c r="T706" s="268"/>
      <c r="U706" s="270"/>
      <c r="V706" s="268"/>
      <c r="W706" s="270"/>
      <c r="X706" s="270"/>
      <c r="Y706" s="270"/>
      <c r="Z706" s="270"/>
      <c r="AA706" s="270"/>
    </row>
    <row r="707" spans="1:27" ht="16.899999999999999" x14ac:dyDescent="0.5">
      <c r="A707" s="270"/>
      <c r="B707" s="270"/>
      <c r="C707" s="270"/>
      <c r="D707" s="268"/>
      <c r="E707" s="270"/>
      <c r="F707" s="268"/>
      <c r="G707" s="270"/>
      <c r="H707" s="268"/>
      <c r="I707" s="270"/>
      <c r="J707" s="268"/>
      <c r="K707" s="270"/>
      <c r="L707" s="268"/>
      <c r="M707" s="270"/>
      <c r="N707" s="268"/>
      <c r="O707" s="270"/>
      <c r="P707" s="268"/>
      <c r="Q707" s="270"/>
      <c r="R707" s="268"/>
      <c r="S707" s="270"/>
      <c r="T707" s="268"/>
      <c r="U707" s="270"/>
      <c r="V707" s="268"/>
      <c r="W707" s="270"/>
      <c r="X707" s="270"/>
      <c r="Y707" s="270"/>
      <c r="Z707" s="270"/>
      <c r="AA707" s="270"/>
    </row>
    <row r="708" spans="1:27" ht="16.899999999999999" x14ac:dyDescent="0.5">
      <c r="A708" s="270"/>
      <c r="B708" s="270"/>
      <c r="C708" s="270"/>
      <c r="D708" s="268"/>
      <c r="E708" s="270"/>
      <c r="F708" s="268"/>
      <c r="G708" s="270"/>
      <c r="H708" s="268"/>
      <c r="I708" s="270"/>
      <c r="J708" s="268"/>
      <c r="K708" s="270"/>
      <c r="L708" s="268"/>
      <c r="M708" s="270"/>
      <c r="N708" s="268"/>
      <c r="O708" s="270"/>
      <c r="P708" s="268"/>
      <c r="Q708" s="270"/>
      <c r="R708" s="268"/>
      <c r="S708" s="270"/>
      <c r="T708" s="268"/>
      <c r="U708" s="270"/>
      <c r="V708" s="268"/>
      <c r="W708" s="270"/>
      <c r="X708" s="270"/>
      <c r="Y708" s="270"/>
      <c r="Z708" s="270"/>
      <c r="AA708" s="270"/>
    </row>
    <row r="709" spans="1:27" ht="16.899999999999999" x14ac:dyDescent="0.5">
      <c r="A709" s="270"/>
      <c r="B709" s="270"/>
      <c r="C709" s="270"/>
      <c r="D709" s="268"/>
      <c r="E709" s="270"/>
      <c r="F709" s="268"/>
      <c r="G709" s="270"/>
      <c r="H709" s="268"/>
      <c r="I709" s="270"/>
      <c r="J709" s="268"/>
      <c r="K709" s="270"/>
      <c r="L709" s="268"/>
      <c r="M709" s="270"/>
      <c r="N709" s="268"/>
      <c r="O709" s="270"/>
      <c r="P709" s="268"/>
      <c r="Q709" s="270"/>
      <c r="R709" s="268"/>
      <c r="S709" s="270"/>
      <c r="T709" s="268"/>
      <c r="U709" s="270"/>
      <c r="V709" s="268"/>
      <c r="W709" s="270"/>
      <c r="X709" s="270"/>
      <c r="Y709" s="270"/>
      <c r="Z709" s="270"/>
      <c r="AA709" s="270"/>
    </row>
    <row r="710" spans="1:27" ht="16.899999999999999" x14ac:dyDescent="0.5">
      <c r="A710" s="270"/>
      <c r="B710" s="270"/>
      <c r="C710" s="270"/>
      <c r="D710" s="268"/>
      <c r="E710" s="270"/>
      <c r="F710" s="268"/>
      <c r="G710" s="270"/>
      <c r="H710" s="268"/>
      <c r="I710" s="270"/>
      <c r="J710" s="268"/>
      <c r="K710" s="270"/>
      <c r="L710" s="268"/>
      <c r="M710" s="270"/>
      <c r="N710" s="268"/>
      <c r="O710" s="270"/>
      <c r="P710" s="268"/>
      <c r="Q710" s="270"/>
      <c r="R710" s="268"/>
      <c r="S710" s="270"/>
      <c r="T710" s="268"/>
      <c r="U710" s="270"/>
      <c r="V710" s="268"/>
      <c r="W710" s="270"/>
      <c r="X710" s="270"/>
      <c r="Y710" s="270"/>
      <c r="Z710" s="270"/>
      <c r="AA710" s="270"/>
    </row>
    <row r="711" spans="1:27" ht="16.899999999999999" x14ac:dyDescent="0.5">
      <c r="A711" s="270"/>
      <c r="B711" s="270"/>
      <c r="C711" s="270"/>
      <c r="D711" s="268"/>
      <c r="E711" s="270"/>
      <c r="F711" s="268"/>
      <c r="G711" s="270"/>
      <c r="H711" s="268"/>
      <c r="I711" s="270"/>
      <c r="J711" s="268"/>
      <c r="K711" s="270"/>
      <c r="L711" s="268"/>
      <c r="M711" s="270"/>
      <c r="N711" s="268"/>
      <c r="O711" s="270"/>
      <c r="P711" s="268"/>
      <c r="Q711" s="270"/>
      <c r="R711" s="268"/>
      <c r="S711" s="270"/>
      <c r="T711" s="268"/>
      <c r="U711" s="270"/>
      <c r="V711" s="268"/>
      <c r="W711" s="270"/>
      <c r="X711" s="270"/>
      <c r="Y711" s="270"/>
      <c r="Z711" s="270"/>
      <c r="AA711" s="270"/>
    </row>
    <row r="712" spans="1:27" ht="16.899999999999999" x14ac:dyDescent="0.5">
      <c r="A712" s="270"/>
      <c r="B712" s="270"/>
      <c r="C712" s="270"/>
      <c r="D712" s="268"/>
      <c r="E712" s="270"/>
      <c r="F712" s="268"/>
      <c r="G712" s="270"/>
      <c r="H712" s="268"/>
      <c r="I712" s="270"/>
      <c r="J712" s="268"/>
      <c r="K712" s="270"/>
      <c r="L712" s="268"/>
      <c r="M712" s="270"/>
      <c r="N712" s="268"/>
      <c r="O712" s="270"/>
      <c r="P712" s="268"/>
      <c r="Q712" s="270"/>
      <c r="R712" s="268"/>
      <c r="S712" s="270"/>
      <c r="T712" s="268"/>
      <c r="U712" s="270"/>
      <c r="V712" s="268"/>
      <c r="W712" s="270"/>
      <c r="X712" s="270"/>
      <c r="Y712" s="270"/>
      <c r="Z712" s="270"/>
      <c r="AA712" s="270"/>
    </row>
    <row r="713" spans="1:27" ht="16.899999999999999" x14ac:dyDescent="0.5">
      <c r="A713" s="270"/>
      <c r="B713" s="270"/>
      <c r="C713" s="270"/>
      <c r="D713" s="268"/>
      <c r="E713" s="270"/>
      <c r="F713" s="268"/>
      <c r="G713" s="270"/>
      <c r="H713" s="268"/>
      <c r="I713" s="270"/>
      <c r="J713" s="268"/>
      <c r="K713" s="270"/>
      <c r="L713" s="268"/>
      <c r="M713" s="270"/>
      <c r="N713" s="268"/>
      <c r="O713" s="270"/>
      <c r="P713" s="268"/>
      <c r="Q713" s="270"/>
      <c r="R713" s="268"/>
      <c r="S713" s="270"/>
      <c r="T713" s="268"/>
      <c r="U713" s="270"/>
      <c r="V713" s="268"/>
      <c r="W713" s="270"/>
      <c r="X713" s="270"/>
      <c r="Y713" s="270"/>
      <c r="Z713" s="270"/>
      <c r="AA713" s="270"/>
    </row>
    <row r="714" spans="1:27" ht="16.899999999999999" x14ac:dyDescent="0.5">
      <c r="A714" s="270"/>
      <c r="B714" s="270"/>
      <c r="C714" s="270"/>
      <c r="D714" s="268"/>
      <c r="E714" s="270"/>
      <c r="F714" s="268"/>
      <c r="G714" s="270"/>
      <c r="H714" s="268"/>
      <c r="I714" s="270"/>
      <c r="J714" s="268"/>
      <c r="K714" s="270"/>
      <c r="L714" s="268"/>
      <c r="M714" s="270"/>
      <c r="N714" s="268"/>
      <c r="O714" s="270"/>
      <c r="P714" s="268"/>
      <c r="Q714" s="270"/>
      <c r="R714" s="268"/>
      <c r="S714" s="270"/>
      <c r="T714" s="268"/>
      <c r="U714" s="270"/>
      <c r="V714" s="268"/>
      <c r="W714" s="270"/>
      <c r="X714" s="270"/>
      <c r="Y714" s="270"/>
      <c r="Z714" s="270"/>
      <c r="AA714" s="270"/>
    </row>
    <row r="715" spans="1:27" ht="16.899999999999999" x14ac:dyDescent="0.5">
      <c r="A715" s="270"/>
      <c r="B715" s="270"/>
      <c r="C715" s="270"/>
      <c r="D715" s="268"/>
      <c r="E715" s="270"/>
      <c r="F715" s="268"/>
      <c r="G715" s="270"/>
      <c r="H715" s="268"/>
      <c r="I715" s="270"/>
      <c r="J715" s="268"/>
      <c r="K715" s="270"/>
      <c r="L715" s="268"/>
      <c r="M715" s="270"/>
      <c r="N715" s="268"/>
      <c r="O715" s="270"/>
      <c r="P715" s="268"/>
      <c r="Q715" s="270"/>
      <c r="R715" s="268"/>
      <c r="S715" s="270"/>
      <c r="T715" s="268"/>
      <c r="U715" s="270"/>
      <c r="V715" s="268"/>
      <c r="W715" s="270"/>
      <c r="X715" s="270"/>
      <c r="Y715" s="270"/>
      <c r="Z715" s="270"/>
      <c r="AA715" s="270"/>
    </row>
    <row r="716" spans="1:27" ht="16.899999999999999" x14ac:dyDescent="0.5">
      <c r="A716" s="270"/>
      <c r="B716" s="270"/>
      <c r="C716" s="270"/>
      <c r="D716" s="268"/>
      <c r="E716" s="270"/>
      <c r="F716" s="268"/>
      <c r="G716" s="270"/>
      <c r="H716" s="268"/>
      <c r="I716" s="270"/>
      <c r="J716" s="268"/>
      <c r="K716" s="270"/>
      <c r="L716" s="268"/>
      <c r="M716" s="270"/>
      <c r="N716" s="268"/>
      <c r="O716" s="270"/>
      <c r="P716" s="268"/>
      <c r="Q716" s="270"/>
      <c r="R716" s="268"/>
      <c r="S716" s="270"/>
      <c r="T716" s="268"/>
      <c r="U716" s="270"/>
      <c r="V716" s="268"/>
      <c r="W716" s="270"/>
      <c r="X716" s="270"/>
      <c r="Y716" s="270"/>
      <c r="Z716" s="270"/>
      <c r="AA716" s="270"/>
    </row>
    <row r="717" spans="1:27" ht="16.899999999999999" x14ac:dyDescent="0.5">
      <c r="A717" s="270"/>
      <c r="B717" s="270"/>
      <c r="C717" s="270"/>
      <c r="D717" s="268"/>
      <c r="E717" s="270"/>
      <c r="F717" s="268"/>
      <c r="G717" s="270"/>
      <c r="H717" s="268"/>
      <c r="I717" s="270"/>
      <c r="J717" s="268"/>
      <c r="K717" s="270"/>
      <c r="L717" s="268"/>
      <c r="M717" s="270"/>
      <c r="N717" s="268"/>
      <c r="O717" s="270"/>
      <c r="P717" s="268"/>
      <c r="Q717" s="270"/>
      <c r="R717" s="268"/>
      <c r="S717" s="270"/>
      <c r="T717" s="268"/>
      <c r="U717" s="270"/>
      <c r="V717" s="268"/>
      <c r="W717" s="270"/>
      <c r="X717" s="270"/>
      <c r="Y717" s="270"/>
      <c r="Z717" s="270"/>
      <c r="AA717" s="270"/>
    </row>
    <row r="718" spans="1:27" ht="16.899999999999999" x14ac:dyDescent="0.5">
      <c r="A718" s="270"/>
      <c r="B718" s="270"/>
      <c r="C718" s="270"/>
      <c r="D718" s="268"/>
      <c r="E718" s="270"/>
      <c r="F718" s="268"/>
      <c r="G718" s="270"/>
      <c r="H718" s="268"/>
      <c r="I718" s="270"/>
      <c r="J718" s="268"/>
      <c r="K718" s="270"/>
      <c r="L718" s="268"/>
      <c r="M718" s="270"/>
      <c r="N718" s="268"/>
      <c r="O718" s="270"/>
      <c r="P718" s="268"/>
      <c r="Q718" s="270"/>
      <c r="R718" s="268"/>
      <c r="S718" s="270"/>
      <c r="T718" s="268"/>
      <c r="U718" s="270"/>
      <c r="V718" s="268"/>
      <c r="W718" s="270"/>
      <c r="X718" s="270"/>
      <c r="Y718" s="270"/>
      <c r="Z718" s="270"/>
      <c r="AA718" s="270"/>
    </row>
    <row r="719" spans="1:27" ht="16.899999999999999" x14ac:dyDescent="0.5">
      <c r="A719" s="270"/>
      <c r="B719" s="270"/>
      <c r="C719" s="270"/>
      <c r="D719" s="268"/>
      <c r="E719" s="270"/>
      <c r="F719" s="268"/>
      <c r="G719" s="270"/>
      <c r="H719" s="268"/>
      <c r="I719" s="270"/>
      <c r="J719" s="268"/>
      <c r="K719" s="270"/>
      <c r="L719" s="268"/>
      <c r="M719" s="270"/>
      <c r="N719" s="268"/>
      <c r="O719" s="270"/>
      <c r="P719" s="268"/>
      <c r="Q719" s="270"/>
      <c r="R719" s="268"/>
      <c r="S719" s="270"/>
      <c r="T719" s="268"/>
      <c r="U719" s="270"/>
      <c r="V719" s="268"/>
      <c r="W719" s="270"/>
      <c r="X719" s="270"/>
      <c r="Y719" s="270"/>
      <c r="Z719" s="270"/>
      <c r="AA719" s="270"/>
    </row>
    <row r="720" spans="1:27" ht="16.899999999999999" x14ac:dyDescent="0.5">
      <c r="A720" s="270"/>
      <c r="B720" s="270"/>
      <c r="C720" s="270"/>
      <c r="D720" s="268"/>
      <c r="E720" s="270"/>
      <c r="F720" s="268"/>
      <c r="G720" s="270"/>
      <c r="H720" s="268"/>
      <c r="I720" s="270"/>
      <c r="J720" s="268"/>
      <c r="K720" s="270"/>
      <c r="L720" s="268"/>
      <c r="M720" s="270"/>
      <c r="N720" s="268"/>
      <c r="O720" s="270"/>
      <c r="P720" s="268"/>
      <c r="Q720" s="270"/>
      <c r="R720" s="268"/>
      <c r="S720" s="270"/>
      <c r="T720" s="268"/>
      <c r="U720" s="270"/>
      <c r="V720" s="268"/>
      <c r="W720" s="270"/>
      <c r="X720" s="270"/>
      <c r="Y720" s="270"/>
      <c r="Z720" s="270"/>
      <c r="AA720" s="270"/>
    </row>
    <row r="721" spans="1:27" ht="16.899999999999999" x14ac:dyDescent="0.5">
      <c r="A721" s="270"/>
      <c r="B721" s="270"/>
      <c r="C721" s="270"/>
      <c r="D721" s="268"/>
      <c r="E721" s="270"/>
      <c r="F721" s="268"/>
      <c r="G721" s="270"/>
      <c r="H721" s="268"/>
      <c r="I721" s="270"/>
      <c r="J721" s="268"/>
      <c r="K721" s="270"/>
      <c r="L721" s="268"/>
      <c r="M721" s="270"/>
      <c r="N721" s="268"/>
      <c r="O721" s="270"/>
      <c r="P721" s="268"/>
      <c r="Q721" s="270"/>
      <c r="R721" s="268"/>
      <c r="S721" s="270"/>
      <c r="T721" s="268"/>
      <c r="U721" s="270"/>
      <c r="V721" s="268"/>
      <c r="W721" s="270"/>
      <c r="X721" s="270"/>
      <c r="Y721" s="270"/>
      <c r="Z721" s="270"/>
      <c r="AA721" s="270"/>
    </row>
    <row r="722" spans="1:27" ht="16.899999999999999" x14ac:dyDescent="0.5">
      <c r="A722" s="270"/>
      <c r="B722" s="270"/>
      <c r="C722" s="270"/>
      <c r="D722" s="268"/>
      <c r="E722" s="270"/>
      <c r="F722" s="268"/>
      <c r="G722" s="270"/>
      <c r="H722" s="268"/>
      <c r="I722" s="270"/>
      <c r="J722" s="268"/>
      <c r="K722" s="270"/>
      <c r="L722" s="268"/>
      <c r="M722" s="270"/>
      <c r="N722" s="268"/>
      <c r="O722" s="270"/>
      <c r="P722" s="268"/>
      <c r="Q722" s="270"/>
      <c r="R722" s="268"/>
      <c r="S722" s="270"/>
      <c r="T722" s="268"/>
      <c r="U722" s="270"/>
      <c r="V722" s="268"/>
      <c r="W722" s="270"/>
      <c r="X722" s="270"/>
      <c r="Y722" s="270"/>
      <c r="Z722" s="270"/>
      <c r="AA722" s="270"/>
    </row>
    <row r="723" spans="1:27" ht="16.899999999999999" x14ac:dyDescent="0.5">
      <c r="A723" s="270"/>
      <c r="B723" s="270"/>
      <c r="C723" s="270"/>
      <c r="D723" s="268"/>
      <c r="E723" s="270"/>
      <c r="F723" s="268"/>
      <c r="G723" s="270"/>
      <c r="H723" s="268"/>
      <c r="I723" s="270"/>
      <c r="J723" s="268"/>
      <c r="K723" s="270"/>
      <c r="L723" s="268"/>
      <c r="M723" s="270"/>
      <c r="N723" s="268"/>
      <c r="O723" s="270"/>
      <c r="P723" s="268"/>
      <c r="Q723" s="270"/>
      <c r="R723" s="268"/>
      <c r="S723" s="270"/>
      <c r="T723" s="268"/>
      <c r="U723" s="270"/>
      <c r="V723" s="268"/>
      <c r="W723" s="270"/>
      <c r="X723" s="270"/>
      <c r="Y723" s="270"/>
      <c r="Z723" s="270"/>
      <c r="AA723" s="270"/>
    </row>
    <row r="724" spans="1:27" ht="16.899999999999999" x14ac:dyDescent="0.5">
      <c r="A724" s="270"/>
      <c r="B724" s="270"/>
      <c r="C724" s="270"/>
      <c r="D724" s="268"/>
      <c r="E724" s="270"/>
      <c r="F724" s="268"/>
      <c r="G724" s="270"/>
      <c r="H724" s="268"/>
      <c r="I724" s="270"/>
      <c r="J724" s="268"/>
      <c r="K724" s="270"/>
      <c r="L724" s="268"/>
      <c r="M724" s="270"/>
      <c r="N724" s="268"/>
      <c r="O724" s="270"/>
      <c r="P724" s="268"/>
      <c r="Q724" s="270"/>
      <c r="R724" s="268"/>
      <c r="S724" s="270"/>
      <c r="T724" s="268"/>
      <c r="U724" s="270"/>
      <c r="V724" s="268"/>
      <c r="W724" s="270"/>
      <c r="X724" s="270"/>
      <c r="Y724" s="270"/>
      <c r="Z724" s="270"/>
      <c r="AA724" s="270"/>
    </row>
    <row r="725" spans="1:27" ht="16.899999999999999" x14ac:dyDescent="0.5">
      <c r="A725" s="270"/>
      <c r="B725" s="270"/>
      <c r="C725" s="270"/>
      <c r="D725" s="268"/>
      <c r="E725" s="270"/>
      <c r="F725" s="268"/>
      <c r="G725" s="270"/>
      <c r="H725" s="268"/>
      <c r="I725" s="270"/>
      <c r="J725" s="268"/>
      <c r="K725" s="270"/>
      <c r="L725" s="268"/>
      <c r="M725" s="270"/>
      <c r="N725" s="268"/>
      <c r="O725" s="270"/>
      <c r="P725" s="268"/>
      <c r="Q725" s="270"/>
      <c r="R725" s="268"/>
      <c r="S725" s="270"/>
      <c r="T725" s="268"/>
      <c r="U725" s="270"/>
      <c r="V725" s="268"/>
      <c r="W725" s="270"/>
      <c r="X725" s="270"/>
      <c r="Y725" s="270"/>
      <c r="Z725" s="270"/>
      <c r="AA725" s="270"/>
    </row>
    <row r="726" spans="1:27" ht="16.899999999999999" x14ac:dyDescent="0.5">
      <c r="A726" s="270"/>
      <c r="B726" s="270"/>
      <c r="C726" s="270"/>
      <c r="D726" s="268"/>
      <c r="E726" s="270"/>
      <c r="F726" s="268"/>
      <c r="G726" s="270"/>
      <c r="H726" s="268"/>
      <c r="I726" s="270"/>
      <c r="J726" s="268"/>
      <c r="K726" s="270"/>
      <c r="L726" s="268"/>
      <c r="M726" s="270"/>
      <c r="N726" s="268"/>
      <c r="O726" s="270"/>
      <c r="P726" s="268"/>
      <c r="Q726" s="270"/>
      <c r="R726" s="268"/>
      <c r="S726" s="270"/>
      <c r="T726" s="268"/>
      <c r="U726" s="270"/>
      <c r="V726" s="268"/>
      <c r="W726" s="270"/>
      <c r="X726" s="270"/>
      <c r="Y726" s="270"/>
      <c r="Z726" s="270"/>
      <c r="AA726" s="270"/>
    </row>
    <row r="727" spans="1:27" ht="16.899999999999999" x14ac:dyDescent="0.5">
      <c r="A727" s="270"/>
      <c r="B727" s="270"/>
      <c r="C727" s="270"/>
      <c r="D727" s="268"/>
      <c r="E727" s="270"/>
      <c r="F727" s="268"/>
      <c r="G727" s="270"/>
      <c r="H727" s="268"/>
      <c r="I727" s="270"/>
      <c r="J727" s="268"/>
      <c r="K727" s="270"/>
      <c r="L727" s="268"/>
      <c r="M727" s="270"/>
      <c r="N727" s="268"/>
      <c r="O727" s="270"/>
      <c r="P727" s="268"/>
      <c r="Q727" s="270"/>
      <c r="R727" s="268"/>
      <c r="S727" s="270"/>
      <c r="T727" s="268"/>
      <c r="U727" s="270"/>
      <c r="V727" s="268"/>
      <c r="W727" s="270"/>
      <c r="X727" s="270"/>
      <c r="Y727" s="270"/>
      <c r="Z727" s="270"/>
      <c r="AA727" s="270"/>
    </row>
    <row r="728" spans="1:27" ht="16.899999999999999" x14ac:dyDescent="0.5">
      <c r="A728" s="270"/>
      <c r="B728" s="270"/>
      <c r="C728" s="270"/>
      <c r="D728" s="268"/>
      <c r="E728" s="270"/>
      <c r="F728" s="268"/>
      <c r="G728" s="270"/>
      <c r="H728" s="268"/>
      <c r="I728" s="270"/>
      <c r="J728" s="268"/>
      <c r="K728" s="270"/>
      <c r="L728" s="268"/>
      <c r="M728" s="270"/>
      <c r="N728" s="268"/>
      <c r="O728" s="270"/>
      <c r="P728" s="268"/>
      <c r="Q728" s="270"/>
      <c r="R728" s="268"/>
      <c r="S728" s="270"/>
      <c r="T728" s="268"/>
      <c r="U728" s="270"/>
      <c r="V728" s="268"/>
      <c r="W728" s="270"/>
      <c r="X728" s="270"/>
      <c r="Y728" s="270"/>
      <c r="Z728" s="270"/>
      <c r="AA728" s="270"/>
    </row>
    <row r="729" spans="1:27" ht="16.899999999999999" x14ac:dyDescent="0.5">
      <c r="A729" s="270"/>
      <c r="B729" s="270"/>
      <c r="C729" s="270"/>
      <c r="D729" s="268"/>
      <c r="E729" s="270"/>
      <c r="F729" s="268"/>
      <c r="G729" s="270"/>
      <c r="H729" s="268"/>
      <c r="I729" s="270"/>
      <c r="J729" s="268"/>
      <c r="K729" s="270"/>
      <c r="L729" s="268"/>
      <c r="M729" s="270"/>
      <c r="N729" s="268"/>
      <c r="O729" s="270"/>
      <c r="P729" s="268"/>
      <c r="Q729" s="270"/>
      <c r="R729" s="268"/>
      <c r="S729" s="270"/>
      <c r="T729" s="268"/>
      <c r="U729" s="270"/>
      <c r="V729" s="268"/>
      <c r="W729" s="270"/>
      <c r="X729" s="270"/>
      <c r="Y729" s="270"/>
      <c r="Z729" s="270"/>
      <c r="AA729" s="270"/>
    </row>
    <row r="730" spans="1:27" ht="16.899999999999999" x14ac:dyDescent="0.5">
      <c r="A730" s="270"/>
      <c r="B730" s="270"/>
      <c r="C730" s="270"/>
      <c r="D730" s="268"/>
      <c r="E730" s="270"/>
      <c r="F730" s="268"/>
      <c r="G730" s="270"/>
      <c r="H730" s="268"/>
      <c r="I730" s="270"/>
      <c r="J730" s="268"/>
      <c r="K730" s="270"/>
      <c r="L730" s="268"/>
      <c r="M730" s="270"/>
      <c r="N730" s="268"/>
      <c r="O730" s="270"/>
      <c r="P730" s="268"/>
      <c r="Q730" s="270"/>
      <c r="R730" s="268"/>
      <c r="S730" s="270"/>
      <c r="T730" s="268"/>
      <c r="U730" s="270"/>
      <c r="V730" s="268"/>
      <c r="W730" s="270"/>
      <c r="X730" s="270"/>
      <c r="Y730" s="270"/>
      <c r="Z730" s="270"/>
      <c r="AA730" s="270"/>
    </row>
    <row r="731" spans="1:27" ht="16.899999999999999" x14ac:dyDescent="0.5">
      <c r="A731" s="270"/>
      <c r="B731" s="270"/>
      <c r="C731" s="270"/>
      <c r="D731" s="268"/>
      <c r="E731" s="270"/>
      <c r="F731" s="268"/>
      <c r="G731" s="270"/>
      <c r="H731" s="268"/>
      <c r="I731" s="270"/>
      <c r="J731" s="268"/>
      <c r="K731" s="270"/>
      <c r="L731" s="268"/>
      <c r="M731" s="270"/>
      <c r="N731" s="268"/>
      <c r="O731" s="270"/>
      <c r="P731" s="268"/>
      <c r="Q731" s="270"/>
      <c r="R731" s="268"/>
      <c r="S731" s="270"/>
      <c r="T731" s="268"/>
      <c r="U731" s="270"/>
      <c r="V731" s="268"/>
      <c r="W731" s="270"/>
      <c r="X731" s="270"/>
      <c r="Y731" s="270"/>
      <c r="Z731" s="270"/>
      <c r="AA731" s="270"/>
    </row>
    <row r="732" spans="1:27" ht="16.899999999999999" x14ac:dyDescent="0.5">
      <c r="A732" s="270"/>
      <c r="B732" s="270"/>
      <c r="C732" s="270"/>
      <c r="D732" s="268"/>
      <c r="E732" s="270"/>
      <c r="F732" s="268"/>
      <c r="G732" s="270"/>
      <c r="H732" s="268"/>
      <c r="I732" s="270"/>
      <c r="J732" s="268"/>
      <c r="K732" s="270"/>
      <c r="L732" s="268"/>
      <c r="M732" s="270"/>
      <c r="N732" s="268"/>
      <c r="O732" s="270"/>
      <c r="P732" s="268"/>
      <c r="Q732" s="270"/>
      <c r="R732" s="268"/>
      <c r="S732" s="270"/>
      <c r="T732" s="268"/>
      <c r="U732" s="270"/>
      <c r="V732" s="268"/>
      <c r="W732" s="270"/>
      <c r="X732" s="270"/>
      <c r="Y732" s="270"/>
      <c r="Z732" s="270"/>
      <c r="AA732" s="270"/>
    </row>
    <row r="733" spans="1:27" ht="16.899999999999999" x14ac:dyDescent="0.5">
      <c r="A733" s="270"/>
      <c r="B733" s="270"/>
      <c r="C733" s="270"/>
      <c r="D733" s="268"/>
      <c r="E733" s="270"/>
      <c r="F733" s="268"/>
      <c r="G733" s="270"/>
      <c r="H733" s="268"/>
      <c r="I733" s="270"/>
      <c r="J733" s="268"/>
      <c r="K733" s="270"/>
      <c r="L733" s="268"/>
      <c r="M733" s="270"/>
      <c r="N733" s="268"/>
      <c r="O733" s="270"/>
      <c r="P733" s="268"/>
      <c r="Q733" s="270"/>
      <c r="R733" s="268"/>
      <c r="S733" s="270"/>
      <c r="T733" s="268"/>
      <c r="U733" s="270"/>
      <c r="V733" s="268"/>
      <c r="W733" s="270"/>
      <c r="X733" s="270"/>
      <c r="Y733" s="270"/>
      <c r="Z733" s="270"/>
      <c r="AA733" s="270"/>
    </row>
    <row r="734" spans="1:27" ht="16.899999999999999" x14ac:dyDescent="0.5">
      <c r="A734" s="270"/>
      <c r="B734" s="270"/>
      <c r="C734" s="270"/>
      <c r="D734" s="268"/>
      <c r="E734" s="270"/>
      <c r="F734" s="268"/>
      <c r="G734" s="270"/>
      <c r="H734" s="268"/>
      <c r="I734" s="270"/>
      <c r="J734" s="268"/>
      <c r="K734" s="270"/>
      <c r="L734" s="268"/>
      <c r="M734" s="270"/>
      <c r="N734" s="268"/>
      <c r="O734" s="270"/>
      <c r="P734" s="268"/>
      <c r="Q734" s="270"/>
      <c r="R734" s="268"/>
      <c r="S734" s="270"/>
      <c r="T734" s="268"/>
      <c r="U734" s="270"/>
      <c r="V734" s="268"/>
      <c r="W734" s="270"/>
      <c r="X734" s="270"/>
      <c r="Y734" s="270"/>
      <c r="Z734" s="270"/>
      <c r="AA734" s="270"/>
    </row>
    <row r="735" spans="1:27" ht="16.899999999999999" x14ac:dyDescent="0.5">
      <c r="A735" s="270"/>
      <c r="B735" s="270"/>
      <c r="C735" s="270"/>
      <c r="D735" s="268"/>
      <c r="E735" s="270"/>
      <c r="F735" s="268"/>
      <c r="G735" s="270"/>
      <c r="H735" s="268"/>
      <c r="I735" s="270"/>
      <c r="J735" s="268"/>
      <c r="K735" s="270"/>
      <c r="L735" s="268"/>
      <c r="M735" s="270"/>
      <c r="N735" s="268"/>
      <c r="O735" s="270"/>
      <c r="P735" s="268"/>
      <c r="Q735" s="270"/>
      <c r="R735" s="268"/>
      <c r="S735" s="270"/>
      <c r="T735" s="268"/>
      <c r="U735" s="270"/>
      <c r="V735" s="268"/>
      <c r="W735" s="270"/>
      <c r="X735" s="270"/>
      <c r="Y735" s="270"/>
      <c r="Z735" s="270"/>
      <c r="AA735" s="270"/>
    </row>
    <row r="736" spans="1:27" ht="16.899999999999999" x14ac:dyDescent="0.5">
      <c r="A736" s="270"/>
      <c r="B736" s="270"/>
      <c r="C736" s="270"/>
      <c r="D736" s="268"/>
      <c r="E736" s="270"/>
      <c r="F736" s="268"/>
      <c r="G736" s="270"/>
      <c r="H736" s="268"/>
      <c r="I736" s="270"/>
      <c r="J736" s="268"/>
      <c r="K736" s="270"/>
      <c r="L736" s="268"/>
      <c r="M736" s="270"/>
      <c r="N736" s="268"/>
      <c r="O736" s="270"/>
      <c r="P736" s="268"/>
      <c r="Q736" s="270"/>
      <c r="R736" s="268"/>
      <c r="S736" s="270"/>
      <c r="T736" s="268"/>
      <c r="U736" s="270"/>
      <c r="V736" s="268"/>
      <c r="W736" s="270"/>
      <c r="X736" s="270"/>
      <c r="Y736" s="270"/>
      <c r="Z736" s="270"/>
      <c r="AA736" s="270"/>
    </row>
    <row r="737" spans="1:27" ht="16.899999999999999" x14ac:dyDescent="0.5">
      <c r="A737" s="270"/>
      <c r="B737" s="270"/>
      <c r="C737" s="270"/>
      <c r="D737" s="268"/>
      <c r="E737" s="270"/>
      <c r="F737" s="268"/>
      <c r="G737" s="270"/>
      <c r="H737" s="268"/>
      <c r="I737" s="270"/>
      <c r="J737" s="268"/>
      <c r="K737" s="270"/>
      <c r="L737" s="268"/>
      <c r="M737" s="270"/>
      <c r="N737" s="268"/>
      <c r="O737" s="270"/>
      <c r="P737" s="268"/>
      <c r="Q737" s="270"/>
      <c r="R737" s="268"/>
      <c r="S737" s="270"/>
      <c r="T737" s="268"/>
      <c r="U737" s="270"/>
      <c r="V737" s="268"/>
      <c r="W737" s="270"/>
      <c r="X737" s="270"/>
      <c r="Y737" s="270"/>
      <c r="Z737" s="270"/>
      <c r="AA737" s="270"/>
    </row>
    <row r="738" spans="1:27" ht="16.899999999999999" x14ac:dyDescent="0.5">
      <c r="A738" s="270"/>
      <c r="B738" s="270"/>
      <c r="C738" s="270"/>
      <c r="D738" s="268"/>
      <c r="E738" s="270"/>
      <c r="F738" s="268"/>
      <c r="G738" s="270"/>
      <c r="H738" s="268"/>
      <c r="I738" s="270"/>
      <c r="J738" s="268"/>
      <c r="K738" s="270"/>
      <c r="L738" s="268"/>
      <c r="M738" s="270"/>
      <c r="N738" s="268"/>
      <c r="O738" s="270"/>
      <c r="P738" s="268"/>
      <c r="Q738" s="270"/>
      <c r="R738" s="268"/>
      <c r="S738" s="270"/>
      <c r="T738" s="268"/>
      <c r="U738" s="270"/>
      <c r="V738" s="268"/>
      <c r="W738" s="270"/>
      <c r="X738" s="270"/>
      <c r="Y738" s="270"/>
      <c r="Z738" s="270"/>
      <c r="AA738" s="270"/>
    </row>
    <row r="739" spans="1:27" ht="16.899999999999999" x14ac:dyDescent="0.5">
      <c r="A739" s="270"/>
      <c r="B739" s="270"/>
      <c r="C739" s="270"/>
      <c r="D739" s="268"/>
      <c r="E739" s="270"/>
      <c r="F739" s="268"/>
      <c r="G739" s="270"/>
      <c r="H739" s="268"/>
      <c r="I739" s="270"/>
      <c r="J739" s="268"/>
      <c r="K739" s="270"/>
      <c r="L739" s="268"/>
      <c r="M739" s="270"/>
      <c r="N739" s="268"/>
      <c r="O739" s="270"/>
      <c r="P739" s="268"/>
      <c r="Q739" s="270"/>
      <c r="R739" s="268"/>
      <c r="S739" s="270"/>
      <c r="T739" s="268"/>
      <c r="U739" s="270"/>
      <c r="V739" s="268"/>
      <c r="W739" s="270"/>
      <c r="X739" s="270"/>
      <c r="Y739" s="270"/>
      <c r="Z739" s="270"/>
      <c r="AA739" s="270"/>
    </row>
    <row r="740" spans="1:27" ht="16.899999999999999" x14ac:dyDescent="0.5">
      <c r="A740" s="270"/>
      <c r="B740" s="270"/>
      <c r="C740" s="270"/>
      <c r="D740" s="268"/>
      <c r="E740" s="270"/>
      <c r="F740" s="268"/>
      <c r="G740" s="270"/>
      <c r="H740" s="268"/>
      <c r="I740" s="270"/>
      <c r="J740" s="268"/>
      <c r="K740" s="270"/>
      <c r="L740" s="268"/>
      <c r="M740" s="270"/>
      <c r="N740" s="268"/>
      <c r="O740" s="270"/>
      <c r="P740" s="268"/>
      <c r="Q740" s="270"/>
      <c r="R740" s="268"/>
      <c r="S740" s="270"/>
      <c r="T740" s="268"/>
      <c r="U740" s="270"/>
      <c r="V740" s="268"/>
      <c r="W740" s="270"/>
      <c r="X740" s="270"/>
      <c r="Y740" s="270"/>
      <c r="Z740" s="270"/>
      <c r="AA740" s="270"/>
    </row>
    <row r="741" spans="1:27" ht="16.899999999999999" x14ac:dyDescent="0.5">
      <c r="A741" s="270"/>
      <c r="B741" s="270"/>
      <c r="C741" s="270"/>
      <c r="D741" s="268"/>
      <c r="E741" s="270"/>
      <c r="F741" s="268"/>
      <c r="G741" s="270"/>
      <c r="H741" s="268"/>
      <c r="I741" s="270"/>
      <c r="J741" s="268"/>
      <c r="K741" s="270"/>
      <c r="L741" s="268"/>
      <c r="M741" s="270"/>
      <c r="N741" s="268"/>
      <c r="O741" s="270"/>
      <c r="P741" s="268"/>
      <c r="Q741" s="270"/>
      <c r="R741" s="268"/>
      <c r="S741" s="270"/>
      <c r="T741" s="268"/>
      <c r="U741" s="270"/>
      <c r="V741" s="268"/>
      <c r="W741" s="270"/>
      <c r="X741" s="270"/>
      <c r="Y741" s="270"/>
      <c r="Z741" s="270"/>
      <c r="AA741" s="270"/>
    </row>
    <row r="742" spans="1:27" ht="16.899999999999999" x14ac:dyDescent="0.5">
      <c r="A742" s="270"/>
      <c r="B742" s="270"/>
      <c r="C742" s="270"/>
      <c r="D742" s="268"/>
      <c r="E742" s="270"/>
      <c r="F742" s="268"/>
      <c r="G742" s="270"/>
      <c r="H742" s="268"/>
      <c r="I742" s="270"/>
      <c r="J742" s="268"/>
      <c r="K742" s="270"/>
      <c r="L742" s="268"/>
      <c r="M742" s="270"/>
      <c r="N742" s="268"/>
      <c r="O742" s="270"/>
      <c r="P742" s="268"/>
      <c r="Q742" s="270"/>
      <c r="R742" s="268"/>
      <c r="S742" s="270"/>
      <c r="T742" s="268"/>
      <c r="U742" s="270"/>
      <c r="V742" s="268"/>
      <c r="W742" s="270"/>
      <c r="X742" s="270"/>
      <c r="Y742" s="270"/>
      <c r="Z742" s="270"/>
      <c r="AA742" s="270"/>
    </row>
    <row r="743" spans="1:27" ht="16.899999999999999" x14ac:dyDescent="0.5">
      <c r="A743" s="270"/>
      <c r="B743" s="270"/>
      <c r="C743" s="270"/>
      <c r="D743" s="268"/>
      <c r="E743" s="270"/>
      <c r="F743" s="268"/>
      <c r="G743" s="270"/>
      <c r="H743" s="268"/>
      <c r="I743" s="270"/>
      <c r="J743" s="268"/>
      <c r="K743" s="270"/>
      <c r="L743" s="268"/>
      <c r="M743" s="270"/>
      <c r="N743" s="268"/>
      <c r="O743" s="270"/>
      <c r="P743" s="268"/>
      <c r="Q743" s="270"/>
      <c r="R743" s="268"/>
      <c r="S743" s="270"/>
      <c r="T743" s="268"/>
      <c r="U743" s="270"/>
      <c r="V743" s="268"/>
      <c r="W743" s="270"/>
      <c r="X743" s="270"/>
      <c r="Y743" s="270"/>
      <c r="Z743" s="270"/>
      <c r="AA743" s="270"/>
    </row>
    <row r="744" spans="1:27" ht="16.899999999999999" x14ac:dyDescent="0.5">
      <c r="A744" s="270"/>
      <c r="B744" s="270"/>
      <c r="C744" s="270"/>
      <c r="D744" s="268"/>
      <c r="E744" s="270"/>
      <c r="F744" s="268"/>
      <c r="G744" s="270"/>
      <c r="H744" s="268"/>
      <c r="I744" s="270"/>
      <c r="J744" s="268"/>
      <c r="K744" s="270"/>
      <c r="L744" s="268"/>
      <c r="M744" s="270"/>
      <c r="N744" s="268"/>
      <c r="O744" s="270"/>
      <c r="P744" s="268"/>
      <c r="Q744" s="270"/>
      <c r="R744" s="268"/>
      <c r="S744" s="270"/>
      <c r="T744" s="268"/>
      <c r="U744" s="270"/>
      <c r="V744" s="268"/>
      <c r="W744" s="270"/>
      <c r="X744" s="270"/>
      <c r="Y744" s="270"/>
      <c r="Z744" s="270"/>
      <c r="AA744" s="270"/>
    </row>
    <row r="745" spans="1:27" ht="16.899999999999999" x14ac:dyDescent="0.5">
      <c r="A745" s="270"/>
      <c r="B745" s="270"/>
      <c r="C745" s="270"/>
      <c r="D745" s="268"/>
      <c r="E745" s="270"/>
      <c r="F745" s="268"/>
      <c r="G745" s="270"/>
      <c r="H745" s="268"/>
      <c r="I745" s="270"/>
      <c r="J745" s="268"/>
      <c r="K745" s="270"/>
      <c r="L745" s="268"/>
      <c r="M745" s="270"/>
      <c r="N745" s="268"/>
      <c r="O745" s="270"/>
      <c r="P745" s="268"/>
      <c r="Q745" s="270"/>
      <c r="R745" s="268"/>
      <c r="S745" s="270"/>
      <c r="T745" s="268"/>
      <c r="U745" s="270"/>
      <c r="V745" s="268"/>
      <c r="W745" s="270"/>
      <c r="X745" s="270"/>
      <c r="Y745" s="270"/>
      <c r="Z745" s="270"/>
      <c r="AA745" s="270"/>
    </row>
    <row r="746" spans="1:27" ht="16.899999999999999" x14ac:dyDescent="0.5">
      <c r="A746" s="270"/>
      <c r="B746" s="270"/>
      <c r="C746" s="270"/>
      <c r="D746" s="268"/>
      <c r="E746" s="270"/>
      <c r="F746" s="268"/>
      <c r="G746" s="270"/>
      <c r="H746" s="268"/>
      <c r="I746" s="270"/>
      <c r="J746" s="268"/>
      <c r="K746" s="270"/>
      <c r="L746" s="268"/>
      <c r="M746" s="270"/>
      <c r="N746" s="268"/>
      <c r="O746" s="270"/>
      <c r="P746" s="268"/>
      <c r="Q746" s="270"/>
      <c r="R746" s="268"/>
      <c r="S746" s="270"/>
      <c r="T746" s="268"/>
      <c r="U746" s="270"/>
      <c r="V746" s="268"/>
      <c r="W746" s="270"/>
      <c r="X746" s="270"/>
      <c r="Y746" s="270"/>
      <c r="Z746" s="270"/>
      <c r="AA746" s="270"/>
    </row>
    <row r="747" spans="1:27" ht="16.899999999999999" x14ac:dyDescent="0.5">
      <c r="A747" s="270"/>
      <c r="B747" s="270"/>
      <c r="C747" s="270"/>
      <c r="D747" s="268"/>
      <c r="E747" s="270"/>
      <c r="F747" s="268"/>
      <c r="G747" s="270"/>
      <c r="H747" s="268"/>
      <c r="I747" s="270"/>
      <c r="J747" s="268"/>
      <c r="K747" s="270"/>
      <c r="L747" s="268"/>
      <c r="M747" s="270"/>
      <c r="N747" s="268"/>
      <c r="O747" s="270"/>
      <c r="P747" s="268"/>
      <c r="Q747" s="270"/>
      <c r="R747" s="268"/>
      <c r="S747" s="270"/>
      <c r="T747" s="268"/>
      <c r="U747" s="270"/>
      <c r="V747" s="268"/>
      <c r="W747" s="270"/>
      <c r="X747" s="270"/>
      <c r="Y747" s="270"/>
      <c r="Z747" s="270"/>
      <c r="AA747" s="270"/>
    </row>
    <row r="748" spans="1:27" ht="16.899999999999999" x14ac:dyDescent="0.5">
      <c r="A748" s="270"/>
      <c r="B748" s="270"/>
      <c r="C748" s="270"/>
      <c r="D748" s="268"/>
      <c r="E748" s="270"/>
      <c r="F748" s="268"/>
      <c r="G748" s="270"/>
      <c r="H748" s="268"/>
      <c r="I748" s="270"/>
      <c r="J748" s="268"/>
      <c r="K748" s="270"/>
      <c r="L748" s="268"/>
      <c r="M748" s="270"/>
      <c r="N748" s="268"/>
      <c r="O748" s="270"/>
      <c r="P748" s="268"/>
      <c r="Q748" s="270"/>
      <c r="R748" s="268"/>
      <c r="S748" s="270"/>
      <c r="T748" s="268"/>
      <c r="U748" s="270"/>
      <c r="V748" s="268"/>
      <c r="W748" s="270"/>
      <c r="X748" s="270"/>
      <c r="Y748" s="270"/>
      <c r="Z748" s="270"/>
      <c r="AA748" s="270"/>
    </row>
    <row r="749" spans="1:27" ht="16.899999999999999" x14ac:dyDescent="0.5">
      <c r="A749" s="270"/>
      <c r="B749" s="270"/>
      <c r="C749" s="270"/>
      <c r="D749" s="268"/>
      <c r="E749" s="270"/>
      <c r="F749" s="268"/>
      <c r="G749" s="270"/>
      <c r="H749" s="268"/>
      <c r="I749" s="270"/>
      <c r="J749" s="268"/>
      <c r="K749" s="270"/>
      <c r="L749" s="268"/>
      <c r="M749" s="270"/>
      <c r="N749" s="268"/>
      <c r="O749" s="270"/>
      <c r="P749" s="268"/>
      <c r="Q749" s="270"/>
      <c r="R749" s="268"/>
      <c r="S749" s="270"/>
      <c r="T749" s="268"/>
      <c r="U749" s="270"/>
      <c r="V749" s="268"/>
      <c r="W749" s="270"/>
      <c r="X749" s="270"/>
      <c r="Y749" s="270"/>
      <c r="Z749" s="270"/>
      <c r="AA749" s="270"/>
    </row>
    <row r="750" spans="1:27" ht="16.899999999999999" x14ac:dyDescent="0.5">
      <c r="A750" s="270"/>
      <c r="B750" s="270"/>
      <c r="C750" s="270"/>
      <c r="D750" s="268"/>
      <c r="E750" s="270"/>
      <c r="F750" s="268"/>
      <c r="G750" s="270"/>
      <c r="H750" s="268"/>
      <c r="I750" s="270"/>
      <c r="J750" s="268"/>
      <c r="K750" s="270"/>
      <c r="L750" s="268"/>
      <c r="M750" s="270"/>
      <c r="N750" s="268"/>
      <c r="O750" s="270"/>
      <c r="P750" s="268"/>
      <c r="Q750" s="270"/>
      <c r="R750" s="268"/>
      <c r="S750" s="270"/>
      <c r="T750" s="268"/>
      <c r="U750" s="270"/>
      <c r="V750" s="268"/>
      <c r="W750" s="270"/>
      <c r="X750" s="270"/>
      <c r="Y750" s="270"/>
      <c r="Z750" s="270"/>
      <c r="AA750" s="270"/>
    </row>
    <row r="751" spans="1:27" ht="16.899999999999999" x14ac:dyDescent="0.5">
      <c r="A751" s="270"/>
      <c r="B751" s="270"/>
      <c r="C751" s="270"/>
      <c r="D751" s="268"/>
      <c r="E751" s="270"/>
      <c r="F751" s="268"/>
      <c r="G751" s="270"/>
      <c r="H751" s="268"/>
      <c r="I751" s="270"/>
      <c r="J751" s="268"/>
      <c r="K751" s="270"/>
      <c r="L751" s="268"/>
      <c r="M751" s="270"/>
      <c r="N751" s="268"/>
      <c r="O751" s="270"/>
      <c r="P751" s="268"/>
      <c r="Q751" s="270"/>
      <c r="R751" s="268"/>
      <c r="S751" s="270"/>
      <c r="T751" s="268"/>
      <c r="U751" s="270"/>
      <c r="V751" s="268"/>
      <c r="W751" s="270"/>
      <c r="X751" s="270"/>
      <c r="Y751" s="270"/>
      <c r="Z751" s="270"/>
      <c r="AA751" s="270"/>
    </row>
    <row r="752" spans="1:27" ht="16.899999999999999" x14ac:dyDescent="0.5">
      <c r="A752" s="270"/>
      <c r="B752" s="270"/>
      <c r="C752" s="270"/>
      <c r="D752" s="268"/>
      <c r="E752" s="270"/>
      <c r="F752" s="268"/>
      <c r="G752" s="270"/>
      <c r="H752" s="268"/>
      <c r="I752" s="270"/>
      <c r="J752" s="268"/>
      <c r="K752" s="270"/>
      <c r="L752" s="268"/>
      <c r="M752" s="270"/>
      <c r="N752" s="268"/>
      <c r="O752" s="270"/>
      <c r="P752" s="268"/>
      <c r="Q752" s="270"/>
      <c r="R752" s="268"/>
      <c r="S752" s="270"/>
      <c r="T752" s="268"/>
      <c r="U752" s="270"/>
      <c r="V752" s="268"/>
      <c r="W752" s="270"/>
      <c r="X752" s="270"/>
      <c r="Y752" s="270"/>
      <c r="Z752" s="270"/>
      <c r="AA752" s="270"/>
    </row>
    <row r="753" spans="1:27" ht="16.899999999999999" x14ac:dyDescent="0.5">
      <c r="A753" s="270"/>
      <c r="B753" s="270"/>
      <c r="C753" s="270"/>
      <c r="D753" s="268"/>
      <c r="E753" s="270"/>
      <c r="F753" s="268"/>
      <c r="G753" s="270"/>
      <c r="H753" s="268"/>
      <c r="I753" s="270"/>
      <c r="J753" s="268"/>
      <c r="K753" s="270"/>
      <c r="L753" s="268"/>
      <c r="M753" s="270"/>
      <c r="N753" s="268"/>
      <c r="O753" s="270"/>
      <c r="P753" s="268"/>
      <c r="Q753" s="270"/>
      <c r="R753" s="268"/>
      <c r="S753" s="270"/>
      <c r="T753" s="268"/>
      <c r="U753" s="270"/>
      <c r="V753" s="268"/>
      <c r="W753" s="270"/>
      <c r="X753" s="270"/>
      <c r="Y753" s="270"/>
      <c r="Z753" s="270"/>
      <c r="AA753" s="270"/>
    </row>
    <row r="754" spans="1:27" ht="16.899999999999999" x14ac:dyDescent="0.5">
      <c r="A754" s="270"/>
      <c r="B754" s="270"/>
      <c r="C754" s="270"/>
      <c r="D754" s="268"/>
      <c r="E754" s="270"/>
      <c r="F754" s="268"/>
      <c r="G754" s="270"/>
      <c r="H754" s="268"/>
      <c r="I754" s="270"/>
      <c r="J754" s="268"/>
      <c r="K754" s="270"/>
      <c r="L754" s="268"/>
      <c r="M754" s="270"/>
      <c r="N754" s="268"/>
      <c r="O754" s="270"/>
      <c r="P754" s="268"/>
      <c r="Q754" s="270"/>
      <c r="R754" s="268"/>
      <c r="S754" s="270"/>
      <c r="T754" s="268"/>
      <c r="U754" s="270"/>
      <c r="V754" s="268"/>
      <c r="W754" s="270"/>
      <c r="X754" s="270"/>
      <c r="Y754" s="270"/>
      <c r="Z754" s="270"/>
      <c r="AA754" s="270"/>
    </row>
    <row r="755" spans="1:27" ht="16.899999999999999" x14ac:dyDescent="0.5">
      <c r="A755" s="270"/>
      <c r="B755" s="270"/>
      <c r="C755" s="270"/>
      <c r="D755" s="268"/>
      <c r="E755" s="270"/>
      <c r="F755" s="268"/>
      <c r="G755" s="270"/>
      <c r="H755" s="268"/>
      <c r="I755" s="270"/>
      <c r="J755" s="268"/>
      <c r="K755" s="270"/>
      <c r="L755" s="268"/>
      <c r="M755" s="270"/>
      <c r="N755" s="268"/>
      <c r="O755" s="270"/>
      <c r="P755" s="268"/>
      <c r="Q755" s="270"/>
      <c r="R755" s="268"/>
      <c r="S755" s="270"/>
      <c r="T755" s="268"/>
      <c r="U755" s="270"/>
      <c r="V755" s="268"/>
      <c r="W755" s="270"/>
      <c r="X755" s="270"/>
      <c r="Y755" s="270"/>
      <c r="Z755" s="270"/>
      <c r="AA755" s="270"/>
    </row>
    <row r="756" spans="1:27" ht="16.899999999999999" x14ac:dyDescent="0.5">
      <c r="A756" s="270"/>
      <c r="B756" s="270"/>
      <c r="C756" s="270"/>
      <c r="D756" s="268"/>
      <c r="E756" s="270"/>
      <c r="F756" s="268"/>
      <c r="G756" s="270"/>
      <c r="H756" s="268"/>
      <c r="I756" s="270"/>
      <c r="J756" s="268"/>
      <c r="K756" s="270"/>
      <c r="L756" s="268"/>
      <c r="M756" s="270"/>
      <c r="N756" s="268"/>
      <c r="O756" s="270"/>
      <c r="P756" s="268"/>
      <c r="Q756" s="270"/>
      <c r="R756" s="268"/>
      <c r="S756" s="270"/>
      <c r="T756" s="268"/>
      <c r="U756" s="270"/>
      <c r="V756" s="268"/>
      <c r="W756" s="270"/>
      <c r="X756" s="270"/>
      <c r="Y756" s="270"/>
      <c r="Z756" s="270"/>
      <c r="AA756" s="270"/>
    </row>
    <row r="757" spans="1:27" ht="16.899999999999999" x14ac:dyDescent="0.5">
      <c r="A757" s="270"/>
      <c r="B757" s="270"/>
      <c r="C757" s="270"/>
      <c r="D757" s="268"/>
      <c r="E757" s="270"/>
      <c r="F757" s="268"/>
      <c r="G757" s="270"/>
      <c r="H757" s="268"/>
      <c r="I757" s="270"/>
      <c r="J757" s="268"/>
      <c r="K757" s="270"/>
      <c r="L757" s="268"/>
      <c r="M757" s="270"/>
      <c r="N757" s="268"/>
      <c r="O757" s="270"/>
      <c r="P757" s="268"/>
      <c r="Q757" s="270"/>
      <c r="R757" s="268"/>
      <c r="S757" s="270"/>
      <c r="T757" s="268"/>
      <c r="U757" s="270"/>
      <c r="V757" s="268"/>
      <c r="W757" s="270"/>
      <c r="X757" s="270"/>
      <c r="Y757" s="270"/>
      <c r="Z757" s="270"/>
      <c r="AA757" s="270"/>
    </row>
    <row r="758" spans="1:27" ht="16.899999999999999" x14ac:dyDescent="0.5">
      <c r="A758" s="270"/>
      <c r="B758" s="270"/>
      <c r="C758" s="270"/>
      <c r="D758" s="268"/>
      <c r="E758" s="270"/>
      <c r="F758" s="268"/>
      <c r="G758" s="270"/>
      <c r="H758" s="268"/>
      <c r="I758" s="270"/>
      <c r="J758" s="268"/>
      <c r="K758" s="270"/>
      <c r="L758" s="268"/>
      <c r="M758" s="270"/>
      <c r="N758" s="268"/>
      <c r="O758" s="270"/>
      <c r="P758" s="268"/>
      <c r="Q758" s="270"/>
      <c r="R758" s="268"/>
      <c r="S758" s="270"/>
      <c r="T758" s="268"/>
      <c r="U758" s="270"/>
      <c r="V758" s="268"/>
      <c r="W758" s="270"/>
      <c r="X758" s="270"/>
      <c r="Y758" s="270"/>
      <c r="Z758" s="270"/>
      <c r="AA758" s="270"/>
    </row>
    <row r="759" spans="1:27" ht="16.899999999999999" x14ac:dyDescent="0.5">
      <c r="A759" s="270"/>
      <c r="B759" s="270"/>
      <c r="C759" s="270"/>
      <c r="D759" s="268"/>
      <c r="E759" s="270"/>
      <c r="F759" s="268"/>
      <c r="G759" s="270"/>
      <c r="H759" s="268"/>
      <c r="I759" s="270"/>
      <c r="J759" s="268"/>
      <c r="K759" s="270"/>
      <c r="L759" s="268"/>
      <c r="M759" s="270"/>
      <c r="N759" s="268"/>
      <c r="O759" s="270"/>
      <c r="P759" s="268"/>
      <c r="Q759" s="270"/>
      <c r="R759" s="268"/>
      <c r="S759" s="270"/>
      <c r="T759" s="268"/>
      <c r="U759" s="270"/>
      <c r="V759" s="268"/>
      <c r="W759" s="270"/>
      <c r="X759" s="270"/>
      <c r="Y759" s="270"/>
      <c r="Z759" s="270"/>
      <c r="AA759" s="270"/>
    </row>
    <row r="760" spans="1:27" ht="16.899999999999999" x14ac:dyDescent="0.5">
      <c r="A760" s="270"/>
      <c r="B760" s="270"/>
      <c r="C760" s="270"/>
      <c r="D760" s="268"/>
      <c r="E760" s="270"/>
      <c r="F760" s="268"/>
      <c r="G760" s="270"/>
      <c r="H760" s="268"/>
      <c r="I760" s="270"/>
      <c r="J760" s="268"/>
      <c r="K760" s="270"/>
      <c r="L760" s="268"/>
      <c r="M760" s="270"/>
      <c r="N760" s="268"/>
      <c r="O760" s="270"/>
      <c r="P760" s="268"/>
      <c r="Q760" s="270"/>
      <c r="R760" s="268"/>
      <c r="S760" s="270"/>
      <c r="T760" s="268"/>
      <c r="U760" s="270"/>
      <c r="V760" s="268"/>
      <c r="W760" s="270"/>
      <c r="X760" s="270"/>
      <c r="Y760" s="270"/>
      <c r="Z760" s="270"/>
      <c r="AA760" s="270"/>
    </row>
    <row r="761" spans="1:27" ht="16.899999999999999" x14ac:dyDescent="0.5">
      <c r="A761" s="270"/>
      <c r="B761" s="270"/>
      <c r="C761" s="270"/>
      <c r="D761" s="268"/>
      <c r="E761" s="270"/>
      <c r="F761" s="268"/>
      <c r="G761" s="270"/>
      <c r="H761" s="268"/>
      <c r="I761" s="270"/>
      <c r="J761" s="268"/>
      <c r="K761" s="270"/>
      <c r="L761" s="268"/>
      <c r="M761" s="270"/>
      <c r="N761" s="268"/>
      <c r="O761" s="270"/>
      <c r="P761" s="268"/>
      <c r="Q761" s="270"/>
      <c r="R761" s="268"/>
      <c r="S761" s="270"/>
      <c r="T761" s="268"/>
      <c r="U761" s="270"/>
      <c r="V761" s="268"/>
      <c r="W761" s="270"/>
      <c r="X761" s="270"/>
      <c r="Y761" s="270"/>
      <c r="Z761" s="270"/>
      <c r="AA761" s="270"/>
    </row>
    <row r="762" spans="1:27" ht="16.899999999999999" x14ac:dyDescent="0.5">
      <c r="A762" s="270"/>
      <c r="B762" s="270"/>
      <c r="C762" s="270"/>
      <c r="D762" s="268"/>
      <c r="E762" s="270"/>
      <c r="F762" s="268"/>
      <c r="G762" s="270"/>
      <c r="H762" s="268"/>
      <c r="I762" s="270"/>
      <c r="J762" s="268"/>
      <c r="K762" s="270"/>
      <c r="L762" s="268"/>
      <c r="M762" s="270"/>
      <c r="N762" s="268"/>
      <c r="O762" s="270"/>
      <c r="P762" s="268"/>
      <c r="Q762" s="270"/>
      <c r="R762" s="268"/>
      <c r="S762" s="270"/>
      <c r="T762" s="268"/>
      <c r="U762" s="270"/>
      <c r="V762" s="268"/>
      <c r="W762" s="270"/>
      <c r="X762" s="270"/>
      <c r="Y762" s="270"/>
      <c r="Z762" s="270"/>
      <c r="AA762" s="270"/>
    </row>
    <row r="763" spans="1:27" ht="16.899999999999999" x14ac:dyDescent="0.5">
      <c r="A763" s="270"/>
      <c r="B763" s="270"/>
      <c r="C763" s="270"/>
      <c r="D763" s="268"/>
      <c r="E763" s="270"/>
      <c r="F763" s="268"/>
      <c r="G763" s="270"/>
      <c r="H763" s="268"/>
      <c r="I763" s="270"/>
      <c r="J763" s="268"/>
      <c r="K763" s="270"/>
      <c r="L763" s="268"/>
      <c r="M763" s="270"/>
      <c r="N763" s="268"/>
      <c r="O763" s="270"/>
      <c r="P763" s="268"/>
      <c r="Q763" s="270"/>
      <c r="R763" s="268"/>
      <c r="S763" s="270"/>
      <c r="T763" s="268"/>
      <c r="U763" s="270"/>
      <c r="V763" s="268"/>
      <c r="W763" s="270"/>
      <c r="X763" s="270"/>
      <c r="Y763" s="270"/>
      <c r="Z763" s="270"/>
      <c r="AA763" s="270"/>
    </row>
    <row r="764" spans="1:27" ht="16.899999999999999" x14ac:dyDescent="0.5">
      <c r="A764" s="270"/>
      <c r="B764" s="270"/>
      <c r="C764" s="270"/>
      <c r="D764" s="268"/>
      <c r="E764" s="270"/>
      <c r="F764" s="268"/>
      <c r="G764" s="270"/>
      <c r="H764" s="268"/>
      <c r="I764" s="270"/>
      <c r="J764" s="268"/>
      <c r="K764" s="270"/>
      <c r="L764" s="268"/>
      <c r="M764" s="270"/>
      <c r="N764" s="268"/>
      <c r="O764" s="270"/>
      <c r="P764" s="268"/>
      <c r="Q764" s="270"/>
      <c r="R764" s="268"/>
      <c r="S764" s="270"/>
      <c r="T764" s="268"/>
      <c r="U764" s="270"/>
      <c r="V764" s="268"/>
      <c r="W764" s="270"/>
      <c r="X764" s="270"/>
      <c r="Y764" s="270"/>
      <c r="Z764" s="270"/>
      <c r="AA764" s="270"/>
    </row>
    <row r="765" spans="1:27" ht="16.899999999999999" x14ac:dyDescent="0.5">
      <c r="A765" s="270"/>
      <c r="B765" s="270"/>
      <c r="C765" s="270"/>
      <c r="D765" s="268"/>
      <c r="E765" s="270"/>
      <c r="F765" s="268"/>
      <c r="G765" s="270"/>
      <c r="H765" s="268"/>
      <c r="I765" s="270"/>
      <c r="J765" s="268"/>
      <c r="K765" s="270"/>
      <c r="L765" s="268"/>
      <c r="M765" s="270"/>
      <c r="N765" s="268"/>
      <c r="O765" s="270"/>
      <c r="P765" s="268"/>
      <c r="Q765" s="270"/>
      <c r="R765" s="268"/>
      <c r="S765" s="270"/>
      <c r="T765" s="268"/>
      <c r="U765" s="270"/>
      <c r="V765" s="268"/>
      <c r="W765" s="270"/>
      <c r="X765" s="270"/>
      <c r="Y765" s="270"/>
      <c r="Z765" s="270"/>
      <c r="AA765" s="270"/>
    </row>
    <row r="766" spans="1:27" ht="16.899999999999999" x14ac:dyDescent="0.5">
      <c r="A766" s="270"/>
      <c r="B766" s="270"/>
      <c r="C766" s="270"/>
      <c r="D766" s="268"/>
      <c r="E766" s="270"/>
      <c r="F766" s="268"/>
      <c r="G766" s="270"/>
      <c r="H766" s="268"/>
      <c r="I766" s="270"/>
      <c r="J766" s="268"/>
      <c r="K766" s="270"/>
      <c r="L766" s="268"/>
      <c r="M766" s="270"/>
      <c r="N766" s="268"/>
      <c r="O766" s="270"/>
      <c r="P766" s="268"/>
      <c r="Q766" s="270"/>
      <c r="R766" s="268"/>
      <c r="S766" s="270"/>
      <c r="T766" s="268"/>
      <c r="U766" s="270"/>
      <c r="V766" s="268"/>
      <c r="W766" s="270"/>
      <c r="X766" s="270"/>
      <c r="Y766" s="270"/>
      <c r="Z766" s="270"/>
      <c r="AA766" s="270"/>
    </row>
    <row r="767" spans="1:27" ht="16.899999999999999" x14ac:dyDescent="0.5">
      <c r="A767" s="270"/>
      <c r="B767" s="270"/>
      <c r="C767" s="270"/>
      <c r="D767" s="268"/>
      <c r="E767" s="270"/>
      <c r="F767" s="268"/>
      <c r="G767" s="270"/>
      <c r="H767" s="268"/>
      <c r="I767" s="270"/>
      <c r="J767" s="268"/>
      <c r="K767" s="270"/>
      <c r="L767" s="268"/>
      <c r="M767" s="270"/>
      <c r="N767" s="268"/>
      <c r="O767" s="270"/>
      <c r="P767" s="268"/>
      <c r="Q767" s="270"/>
      <c r="R767" s="268"/>
      <c r="S767" s="270"/>
      <c r="T767" s="268"/>
      <c r="U767" s="270"/>
      <c r="V767" s="268"/>
      <c r="W767" s="270"/>
      <c r="X767" s="270"/>
      <c r="Y767" s="270"/>
      <c r="Z767" s="270"/>
      <c r="AA767" s="270"/>
    </row>
    <row r="768" spans="1:27" ht="16.899999999999999" x14ac:dyDescent="0.5">
      <c r="A768" s="270"/>
      <c r="B768" s="270"/>
      <c r="C768" s="270"/>
      <c r="D768" s="268"/>
      <c r="E768" s="270"/>
      <c r="F768" s="268"/>
      <c r="G768" s="270"/>
      <c r="H768" s="268"/>
      <c r="I768" s="270"/>
      <c r="J768" s="268"/>
      <c r="K768" s="270"/>
      <c r="L768" s="268"/>
      <c r="M768" s="270"/>
      <c r="N768" s="268"/>
      <c r="O768" s="270"/>
      <c r="P768" s="268"/>
      <c r="Q768" s="270"/>
      <c r="R768" s="268"/>
      <c r="S768" s="270"/>
      <c r="T768" s="268"/>
      <c r="U768" s="270"/>
      <c r="V768" s="268"/>
      <c r="W768" s="270"/>
      <c r="X768" s="270"/>
      <c r="Y768" s="270"/>
      <c r="Z768" s="270"/>
      <c r="AA768" s="270"/>
    </row>
    <row r="769" spans="1:27" ht="16.899999999999999" x14ac:dyDescent="0.5">
      <c r="A769" s="270"/>
      <c r="B769" s="270"/>
      <c r="C769" s="270"/>
      <c r="D769" s="268"/>
      <c r="E769" s="270"/>
      <c r="F769" s="268"/>
      <c r="G769" s="270"/>
      <c r="H769" s="268"/>
      <c r="I769" s="270"/>
      <c r="J769" s="268"/>
      <c r="K769" s="270"/>
      <c r="L769" s="268"/>
      <c r="M769" s="270"/>
      <c r="N769" s="268"/>
      <c r="O769" s="270"/>
      <c r="P769" s="268"/>
      <c r="Q769" s="270"/>
      <c r="R769" s="268"/>
      <c r="S769" s="270"/>
      <c r="T769" s="268"/>
      <c r="U769" s="270"/>
      <c r="V769" s="268"/>
      <c r="W769" s="270"/>
      <c r="X769" s="270"/>
      <c r="Y769" s="270"/>
      <c r="Z769" s="270"/>
      <c r="AA769" s="270"/>
    </row>
    <row r="770" spans="1:27" ht="16.899999999999999" x14ac:dyDescent="0.5">
      <c r="A770" s="270"/>
      <c r="B770" s="270"/>
      <c r="C770" s="270"/>
      <c r="D770" s="268"/>
      <c r="E770" s="270"/>
      <c r="F770" s="268"/>
      <c r="G770" s="270"/>
      <c r="H770" s="268"/>
      <c r="I770" s="270"/>
      <c r="J770" s="268"/>
      <c r="K770" s="270"/>
      <c r="L770" s="268"/>
      <c r="M770" s="270"/>
      <c r="N770" s="268"/>
      <c r="O770" s="270"/>
      <c r="P770" s="268"/>
      <c r="Q770" s="270"/>
      <c r="R770" s="268"/>
      <c r="S770" s="270"/>
      <c r="T770" s="268"/>
      <c r="U770" s="270"/>
      <c r="V770" s="268"/>
      <c r="W770" s="270"/>
      <c r="X770" s="270"/>
      <c r="Y770" s="270"/>
      <c r="Z770" s="270"/>
      <c r="AA770" s="270"/>
    </row>
    <row r="771" spans="1:27" ht="16.899999999999999" x14ac:dyDescent="0.5">
      <c r="A771" s="270"/>
      <c r="B771" s="270"/>
      <c r="C771" s="270"/>
      <c r="D771" s="268"/>
      <c r="E771" s="270"/>
      <c r="F771" s="268"/>
      <c r="G771" s="270"/>
      <c r="H771" s="268"/>
      <c r="I771" s="270"/>
      <c r="J771" s="268"/>
      <c r="K771" s="270"/>
      <c r="L771" s="268"/>
      <c r="M771" s="270"/>
      <c r="N771" s="268"/>
      <c r="O771" s="270"/>
      <c r="P771" s="268"/>
      <c r="Q771" s="270"/>
      <c r="R771" s="268"/>
      <c r="S771" s="270"/>
      <c r="T771" s="268"/>
      <c r="U771" s="270"/>
      <c r="V771" s="268"/>
      <c r="W771" s="270"/>
      <c r="X771" s="270"/>
      <c r="Y771" s="270"/>
      <c r="Z771" s="270"/>
      <c r="AA771" s="270"/>
    </row>
    <row r="772" spans="1:27" ht="16.899999999999999" x14ac:dyDescent="0.5">
      <c r="A772" s="270"/>
      <c r="B772" s="270"/>
      <c r="C772" s="270"/>
      <c r="D772" s="268"/>
      <c r="E772" s="270"/>
      <c r="F772" s="268"/>
      <c r="G772" s="270"/>
      <c r="H772" s="268"/>
      <c r="I772" s="270"/>
      <c r="J772" s="268"/>
      <c r="K772" s="270"/>
      <c r="L772" s="268"/>
      <c r="M772" s="270"/>
      <c r="N772" s="268"/>
      <c r="O772" s="270"/>
      <c r="P772" s="268"/>
      <c r="Q772" s="270"/>
      <c r="R772" s="268"/>
      <c r="S772" s="270"/>
      <c r="T772" s="268"/>
      <c r="U772" s="270"/>
      <c r="V772" s="268"/>
      <c r="W772" s="270"/>
      <c r="X772" s="270"/>
      <c r="Y772" s="270"/>
      <c r="Z772" s="270"/>
      <c r="AA772" s="270"/>
    </row>
    <row r="773" spans="1:27" ht="16.899999999999999" x14ac:dyDescent="0.5">
      <c r="A773" s="270"/>
      <c r="B773" s="270"/>
      <c r="C773" s="270"/>
      <c r="D773" s="268"/>
      <c r="E773" s="270"/>
      <c r="F773" s="268"/>
      <c r="G773" s="270"/>
      <c r="H773" s="268"/>
      <c r="I773" s="270"/>
      <c r="J773" s="268"/>
      <c r="K773" s="270"/>
      <c r="L773" s="268"/>
      <c r="M773" s="270"/>
      <c r="N773" s="268"/>
      <c r="O773" s="270"/>
      <c r="P773" s="268"/>
      <c r="Q773" s="270"/>
      <c r="R773" s="268"/>
      <c r="S773" s="270"/>
      <c r="T773" s="268"/>
      <c r="U773" s="270"/>
      <c r="V773" s="268"/>
      <c r="W773" s="270"/>
      <c r="X773" s="270"/>
      <c r="Y773" s="270"/>
      <c r="Z773" s="270"/>
      <c r="AA773" s="270"/>
    </row>
    <row r="774" spans="1:27" ht="16.899999999999999" x14ac:dyDescent="0.5">
      <c r="A774" s="270"/>
      <c r="B774" s="270"/>
      <c r="C774" s="270"/>
      <c r="D774" s="268"/>
      <c r="E774" s="270"/>
      <c r="F774" s="268"/>
      <c r="G774" s="270"/>
      <c r="H774" s="268"/>
      <c r="I774" s="270"/>
      <c r="J774" s="268"/>
      <c r="K774" s="270"/>
      <c r="L774" s="268"/>
      <c r="M774" s="270"/>
      <c r="N774" s="268"/>
      <c r="O774" s="270"/>
      <c r="P774" s="268"/>
      <c r="Q774" s="270"/>
      <c r="R774" s="268"/>
      <c r="S774" s="270"/>
      <c r="T774" s="268"/>
      <c r="U774" s="270"/>
      <c r="V774" s="268"/>
      <c r="W774" s="270"/>
      <c r="X774" s="270"/>
      <c r="Y774" s="270"/>
      <c r="Z774" s="270"/>
      <c r="AA774" s="270"/>
    </row>
    <row r="775" spans="1:27" ht="16.899999999999999" x14ac:dyDescent="0.5">
      <c r="A775" s="270"/>
      <c r="B775" s="270"/>
      <c r="C775" s="270"/>
      <c r="D775" s="268"/>
      <c r="E775" s="270"/>
      <c r="F775" s="268"/>
      <c r="G775" s="270"/>
      <c r="H775" s="268"/>
      <c r="I775" s="270"/>
      <c r="J775" s="268"/>
      <c r="K775" s="270"/>
      <c r="L775" s="268"/>
      <c r="M775" s="270"/>
      <c r="N775" s="268"/>
      <c r="O775" s="270"/>
      <c r="P775" s="268"/>
      <c r="Q775" s="270"/>
      <c r="R775" s="268"/>
      <c r="S775" s="270"/>
      <c r="T775" s="268"/>
      <c r="U775" s="270"/>
      <c r="V775" s="268"/>
      <c r="W775" s="270"/>
      <c r="X775" s="270"/>
      <c r="Y775" s="270"/>
      <c r="Z775" s="270"/>
      <c r="AA775" s="270"/>
    </row>
    <row r="776" spans="1:27" ht="16.899999999999999" x14ac:dyDescent="0.5">
      <c r="A776" s="270"/>
      <c r="B776" s="270"/>
      <c r="C776" s="270"/>
      <c r="D776" s="268"/>
      <c r="E776" s="270"/>
      <c r="F776" s="268"/>
      <c r="G776" s="270"/>
      <c r="H776" s="268"/>
      <c r="I776" s="270"/>
      <c r="J776" s="268"/>
      <c r="K776" s="270"/>
      <c r="L776" s="268"/>
      <c r="M776" s="270"/>
      <c r="N776" s="268"/>
      <c r="O776" s="270"/>
      <c r="P776" s="268"/>
      <c r="Q776" s="270"/>
      <c r="R776" s="268"/>
      <c r="S776" s="270"/>
      <c r="T776" s="268"/>
      <c r="U776" s="270"/>
      <c r="V776" s="268"/>
      <c r="W776" s="270"/>
      <c r="X776" s="270"/>
      <c r="Y776" s="270"/>
      <c r="Z776" s="270"/>
      <c r="AA776" s="270"/>
    </row>
    <row r="777" spans="1:27" ht="16.899999999999999" x14ac:dyDescent="0.5">
      <c r="A777" s="270"/>
      <c r="B777" s="270"/>
      <c r="C777" s="270"/>
      <c r="D777" s="268"/>
      <c r="E777" s="270"/>
      <c r="F777" s="268"/>
      <c r="G777" s="270"/>
      <c r="H777" s="268"/>
      <c r="I777" s="270"/>
      <c r="J777" s="268"/>
      <c r="K777" s="270"/>
      <c r="L777" s="268"/>
      <c r="M777" s="270"/>
      <c r="N777" s="268"/>
      <c r="O777" s="270"/>
      <c r="P777" s="268"/>
      <c r="Q777" s="270"/>
      <c r="R777" s="268"/>
      <c r="S777" s="270"/>
      <c r="T777" s="268"/>
      <c r="U777" s="270"/>
      <c r="V777" s="268"/>
      <c r="W777" s="270"/>
      <c r="X777" s="270"/>
      <c r="Y777" s="270"/>
      <c r="Z777" s="270"/>
      <c r="AA777" s="270"/>
    </row>
    <row r="778" spans="1:27" ht="16.899999999999999" x14ac:dyDescent="0.5">
      <c r="A778" s="270"/>
      <c r="B778" s="270"/>
      <c r="C778" s="270"/>
      <c r="D778" s="268"/>
      <c r="E778" s="270"/>
      <c r="F778" s="268"/>
      <c r="G778" s="270"/>
      <c r="H778" s="268"/>
      <c r="I778" s="270"/>
      <c r="J778" s="268"/>
      <c r="K778" s="270"/>
      <c r="L778" s="268"/>
      <c r="M778" s="270"/>
      <c r="N778" s="268"/>
      <c r="O778" s="270"/>
      <c r="P778" s="268"/>
      <c r="Q778" s="270"/>
      <c r="R778" s="268"/>
      <c r="S778" s="270"/>
      <c r="T778" s="268"/>
      <c r="U778" s="270"/>
      <c r="V778" s="268"/>
      <c r="W778" s="270"/>
      <c r="X778" s="270"/>
      <c r="Y778" s="270"/>
      <c r="Z778" s="270"/>
      <c r="AA778" s="270"/>
    </row>
    <row r="779" spans="1:27" ht="16.899999999999999" x14ac:dyDescent="0.5">
      <c r="A779" s="270"/>
      <c r="B779" s="270"/>
      <c r="C779" s="270"/>
      <c r="D779" s="268"/>
      <c r="E779" s="270"/>
      <c r="F779" s="268"/>
      <c r="G779" s="270"/>
      <c r="H779" s="268"/>
      <c r="I779" s="270"/>
      <c r="J779" s="268"/>
      <c r="K779" s="270"/>
      <c r="L779" s="268"/>
      <c r="M779" s="270"/>
      <c r="N779" s="268"/>
      <c r="O779" s="270"/>
      <c r="P779" s="268"/>
      <c r="Q779" s="270"/>
      <c r="R779" s="268"/>
      <c r="S779" s="270"/>
      <c r="T779" s="268"/>
      <c r="U779" s="270"/>
      <c r="V779" s="268"/>
      <c r="W779" s="270"/>
      <c r="X779" s="270"/>
      <c r="Y779" s="270"/>
      <c r="Z779" s="270"/>
      <c r="AA779" s="270"/>
    </row>
    <row r="780" spans="1:27" ht="16.899999999999999" x14ac:dyDescent="0.5">
      <c r="A780" s="270"/>
      <c r="B780" s="270"/>
      <c r="C780" s="270"/>
      <c r="D780" s="268"/>
      <c r="E780" s="270"/>
      <c r="F780" s="268"/>
      <c r="G780" s="270"/>
      <c r="H780" s="268"/>
      <c r="I780" s="270"/>
      <c r="J780" s="268"/>
      <c r="K780" s="270"/>
      <c r="L780" s="268"/>
      <c r="M780" s="270"/>
      <c r="N780" s="268"/>
      <c r="O780" s="270"/>
      <c r="P780" s="268"/>
      <c r="Q780" s="270"/>
      <c r="R780" s="268"/>
      <c r="S780" s="270"/>
      <c r="T780" s="268"/>
      <c r="U780" s="270"/>
      <c r="V780" s="268"/>
      <c r="W780" s="270"/>
      <c r="X780" s="270"/>
      <c r="Y780" s="270"/>
      <c r="Z780" s="270"/>
      <c r="AA780" s="270"/>
    </row>
    <row r="781" spans="1:27" ht="16.899999999999999" x14ac:dyDescent="0.5">
      <c r="A781" s="270"/>
      <c r="B781" s="270"/>
      <c r="C781" s="270"/>
      <c r="D781" s="268"/>
      <c r="E781" s="270"/>
      <c r="F781" s="268"/>
      <c r="G781" s="270"/>
      <c r="H781" s="268"/>
      <c r="I781" s="270"/>
      <c r="J781" s="268"/>
      <c r="K781" s="270"/>
      <c r="L781" s="268"/>
      <c r="M781" s="270"/>
      <c r="N781" s="268"/>
      <c r="O781" s="270"/>
      <c r="P781" s="268"/>
      <c r="Q781" s="270"/>
      <c r="R781" s="268"/>
      <c r="S781" s="270"/>
      <c r="T781" s="268"/>
      <c r="U781" s="270"/>
      <c r="V781" s="268"/>
      <c r="W781" s="270"/>
      <c r="X781" s="270"/>
      <c r="Y781" s="270"/>
      <c r="Z781" s="270"/>
      <c r="AA781" s="270"/>
    </row>
    <row r="782" spans="1:27" ht="16.899999999999999" x14ac:dyDescent="0.5">
      <c r="A782" s="270"/>
      <c r="B782" s="270"/>
      <c r="C782" s="270"/>
      <c r="D782" s="268"/>
      <c r="E782" s="270"/>
      <c r="F782" s="268"/>
      <c r="G782" s="270"/>
      <c r="H782" s="268"/>
      <c r="I782" s="270"/>
      <c r="J782" s="268"/>
      <c r="K782" s="270"/>
      <c r="L782" s="268"/>
      <c r="M782" s="270"/>
      <c r="N782" s="268"/>
      <c r="O782" s="270"/>
      <c r="P782" s="268"/>
      <c r="Q782" s="270"/>
      <c r="R782" s="268"/>
      <c r="S782" s="270"/>
      <c r="T782" s="268"/>
      <c r="U782" s="270"/>
      <c r="V782" s="268"/>
      <c r="W782" s="270"/>
      <c r="X782" s="270"/>
      <c r="Y782" s="270"/>
      <c r="Z782" s="270"/>
      <c r="AA782" s="270"/>
    </row>
    <row r="783" spans="1:27" ht="16.899999999999999" x14ac:dyDescent="0.5">
      <c r="A783" s="270"/>
      <c r="B783" s="270"/>
      <c r="C783" s="270"/>
      <c r="D783" s="268"/>
      <c r="E783" s="270"/>
      <c r="F783" s="268"/>
      <c r="G783" s="270"/>
      <c r="H783" s="268"/>
      <c r="I783" s="270"/>
      <c r="J783" s="268"/>
      <c r="K783" s="270"/>
      <c r="L783" s="268"/>
      <c r="M783" s="270"/>
      <c r="N783" s="268"/>
      <c r="O783" s="270"/>
      <c r="P783" s="268"/>
      <c r="Q783" s="270"/>
      <c r="R783" s="268"/>
      <c r="S783" s="270"/>
      <c r="T783" s="268"/>
      <c r="U783" s="270"/>
      <c r="V783" s="268"/>
      <c r="W783" s="270"/>
      <c r="X783" s="270"/>
      <c r="Y783" s="270"/>
      <c r="Z783" s="270"/>
      <c r="AA783" s="270"/>
    </row>
    <row r="784" spans="1:27" ht="16.899999999999999" x14ac:dyDescent="0.5">
      <c r="A784" s="270"/>
      <c r="B784" s="270"/>
      <c r="C784" s="270"/>
      <c r="D784" s="268"/>
      <c r="E784" s="270"/>
      <c r="F784" s="268"/>
      <c r="G784" s="270"/>
      <c r="H784" s="268"/>
      <c r="I784" s="270"/>
      <c r="J784" s="268"/>
      <c r="K784" s="270"/>
      <c r="L784" s="268"/>
      <c r="M784" s="270"/>
      <c r="N784" s="268"/>
      <c r="O784" s="270"/>
      <c r="P784" s="268"/>
      <c r="Q784" s="270"/>
      <c r="R784" s="268"/>
      <c r="S784" s="270"/>
      <c r="T784" s="268"/>
      <c r="U784" s="270"/>
      <c r="V784" s="268"/>
      <c r="W784" s="270"/>
      <c r="X784" s="270"/>
      <c r="Y784" s="270"/>
      <c r="Z784" s="270"/>
      <c r="AA784" s="270"/>
    </row>
    <row r="785" spans="1:27" ht="16.899999999999999" x14ac:dyDescent="0.5">
      <c r="A785" s="270"/>
      <c r="B785" s="270"/>
      <c r="C785" s="270"/>
      <c r="D785" s="268"/>
      <c r="E785" s="270"/>
      <c r="F785" s="268"/>
      <c r="G785" s="270"/>
      <c r="H785" s="268"/>
      <c r="I785" s="270"/>
      <c r="J785" s="268"/>
      <c r="K785" s="270"/>
      <c r="L785" s="268"/>
      <c r="M785" s="270"/>
      <c r="N785" s="268"/>
      <c r="O785" s="270"/>
      <c r="P785" s="268"/>
      <c r="Q785" s="270"/>
      <c r="R785" s="268"/>
      <c r="S785" s="270"/>
      <c r="T785" s="268"/>
      <c r="U785" s="270"/>
      <c r="V785" s="268"/>
      <c r="W785" s="270"/>
      <c r="X785" s="270"/>
      <c r="Y785" s="270"/>
      <c r="Z785" s="270"/>
      <c r="AA785" s="270"/>
    </row>
    <row r="786" spans="1:27" ht="16.899999999999999" x14ac:dyDescent="0.5">
      <c r="A786" s="270"/>
      <c r="B786" s="270"/>
      <c r="C786" s="270"/>
      <c r="D786" s="268"/>
      <c r="E786" s="270"/>
      <c r="F786" s="268"/>
      <c r="G786" s="270"/>
      <c r="H786" s="268"/>
      <c r="I786" s="270"/>
      <c r="J786" s="268"/>
      <c r="K786" s="270"/>
      <c r="L786" s="268"/>
      <c r="M786" s="270"/>
      <c r="N786" s="268"/>
      <c r="O786" s="270"/>
      <c r="P786" s="268"/>
      <c r="Q786" s="270"/>
      <c r="R786" s="268"/>
      <c r="S786" s="270"/>
      <c r="T786" s="268"/>
      <c r="U786" s="270"/>
      <c r="V786" s="268"/>
      <c r="W786" s="270"/>
      <c r="X786" s="270"/>
      <c r="Y786" s="270"/>
      <c r="Z786" s="270"/>
      <c r="AA786" s="270"/>
    </row>
    <row r="787" spans="1:27" ht="16.899999999999999" x14ac:dyDescent="0.5">
      <c r="A787" s="270"/>
      <c r="B787" s="270"/>
      <c r="C787" s="270"/>
      <c r="D787" s="268"/>
      <c r="E787" s="270"/>
      <c r="F787" s="268"/>
      <c r="G787" s="270"/>
      <c r="H787" s="268"/>
      <c r="I787" s="270"/>
      <c r="J787" s="268"/>
      <c r="K787" s="270"/>
      <c r="L787" s="268"/>
      <c r="M787" s="270"/>
      <c r="N787" s="268"/>
      <c r="O787" s="270"/>
      <c r="P787" s="268"/>
      <c r="Q787" s="270"/>
      <c r="R787" s="268"/>
      <c r="S787" s="270"/>
      <c r="T787" s="268"/>
      <c r="U787" s="270"/>
      <c r="V787" s="268"/>
      <c r="W787" s="270"/>
      <c r="X787" s="270"/>
      <c r="Y787" s="270"/>
      <c r="Z787" s="270"/>
      <c r="AA787" s="270"/>
    </row>
    <row r="788" spans="1:27" ht="16.899999999999999" x14ac:dyDescent="0.5">
      <c r="A788" s="270"/>
      <c r="B788" s="270"/>
      <c r="C788" s="270"/>
      <c r="D788" s="268"/>
      <c r="E788" s="270"/>
      <c r="F788" s="268"/>
      <c r="G788" s="270"/>
      <c r="H788" s="268"/>
      <c r="I788" s="270"/>
      <c r="J788" s="268"/>
      <c r="K788" s="270"/>
      <c r="L788" s="268"/>
      <c r="M788" s="270"/>
      <c r="N788" s="268"/>
      <c r="O788" s="270"/>
      <c r="P788" s="268"/>
      <c r="Q788" s="270"/>
      <c r="R788" s="268"/>
      <c r="S788" s="270"/>
      <c r="T788" s="268"/>
      <c r="U788" s="270"/>
      <c r="V788" s="268"/>
      <c r="W788" s="270"/>
      <c r="X788" s="270"/>
      <c r="Y788" s="270"/>
      <c r="Z788" s="270"/>
      <c r="AA788" s="270"/>
    </row>
    <row r="789" spans="1:27" ht="16.899999999999999" x14ac:dyDescent="0.5">
      <c r="A789" s="270"/>
      <c r="B789" s="270"/>
      <c r="C789" s="270"/>
      <c r="D789" s="268"/>
      <c r="E789" s="270"/>
      <c r="F789" s="268"/>
      <c r="G789" s="270"/>
      <c r="H789" s="268"/>
      <c r="I789" s="270"/>
      <c r="J789" s="268"/>
      <c r="K789" s="270"/>
      <c r="L789" s="268"/>
      <c r="M789" s="270"/>
      <c r="N789" s="268"/>
      <c r="O789" s="270"/>
      <c r="P789" s="268"/>
      <c r="Q789" s="270"/>
      <c r="R789" s="268"/>
      <c r="S789" s="270"/>
      <c r="T789" s="268"/>
      <c r="U789" s="270"/>
      <c r="V789" s="268"/>
      <c r="W789" s="270"/>
      <c r="X789" s="270"/>
      <c r="Y789" s="270"/>
      <c r="Z789" s="270"/>
      <c r="AA789" s="270"/>
    </row>
    <row r="790" spans="1:27" ht="16.899999999999999" x14ac:dyDescent="0.5">
      <c r="A790" s="270"/>
      <c r="B790" s="270"/>
      <c r="C790" s="270"/>
      <c r="D790" s="268"/>
      <c r="E790" s="270"/>
      <c r="F790" s="268"/>
      <c r="G790" s="270"/>
      <c r="H790" s="268"/>
      <c r="I790" s="270"/>
      <c r="J790" s="268"/>
      <c r="K790" s="270"/>
      <c r="L790" s="268"/>
      <c r="M790" s="270"/>
      <c r="N790" s="268"/>
      <c r="O790" s="270"/>
      <c r="P790" s="268"/>
      <c r="Q790" s="270"/>
      <c r="R790" s="268"/>
      <c r="S790" s="270"/>
      <c r="T790" s="268"/>
      <c r="U790" s="270"/>
      <c r="V790" s="268"/>
      <c r="W790" s="270"/>
      <c r="X790" s="270"/>
      <c r="Y790" s="270"/>
      <c r="Z790" s="270"/>
      <c r="AA790" s="270"/>
    </row>
    <row r="791" spans="1:27" ht="16.899999999999999" x14ac:dyDescent="0.5">
      <c r="A791" s="270"/>
      <c r="B791" s="270"/>
      <c r="C791" s="270"/>
      <c r="D791" s="268"/>
      <c r="E791" s="270"/>
      <c r="F791" s="268"/>
      <c r="G791" s="270"/>
      <c r="H791" s="268"/>
      <c r="I791" s="270"/>
      <c r="J791" s="268"/>
      <c r="K791" s="270"/>
      <c r="L791" s="268"/>
      <c r="M791" s="270"/>
      <c r="N791" s="268"/>
      <c r="O791" s="270"/>
      <c r="P791" s="268"/>
      <c r="Q791" s="270"/>
      <c r="R791" s="268"/>
      <c r="S791" s="270"/>
      <c r="T791" s="268"/>
      <c r="U791" s="270"/>
      <c r="V791" s="268"/>
      <c r="W791" s="270"/>
      <c r="X791" s="270"/>
      <c r="Y791" s="270"/>
      <c r="Z791" s="270"/>
      <c r="AA791" s="270"/>
    </row>
    <row r="792" spans="1:27" ht="16.899999999999999" x14ac:dyDescent="0.5">
      <c r="A792" s="270"/>
      <c r="B792" s="270"/>
      <c r="C792" s="270"/>
      <c r="D792" s="268"/>
      <c r="E792" s="270"/>
      <c r="F792" s="268"/>
      <c r="G792" s="270"/>
      <c r="H792" s="268"/>
      <c r="I792" s="270"/>
      <c r="J792" s="268"/>
      <c r="K792" s="270"/>
      <c r="L792" s="268"/>
      <c r="M792" s="270"/>
      <c r="N792" s="268"/>
      <c r="O792" s="270"/>
      <c r="P792" s="268"/>
      <c r="Q792" s="270"/>
      <c r="R792" s="268"/>
      <c r="S792" s="270"/>
      <c r="T792" s="268"/>
      <c r="U792" s="270"/>
      <c r="V792" s="268"/>
      <c r="W792" s="270"/>
      <c r="X792" s="270"/>
      <c r="Y792" s="270"/>
      <c r="Z792" s="270"/>
      <c r="AA792" s="270"/>
    </row>
    <row r="793" spans="1:27" ht="16.899999999999999" x14ac:dyDescent="0.5">
      <c r="A793" s="270"/>
      <c r="B793" s="270"/>
      <c r="C793" s="270"/>
      <c r="D793" s="268"/>
      <c r="E793" s="270"/>
      <c r="F793" s="268"/>
      <c r="G793" s="270"/>
      <c r="H793" s="268"/>
      <c r="I793" s="270"/>
      <c r="J793" s="268"/>
      <c r="K793" s="270"/>
      <c r="L793" s="268"/>
      <c r="M793" s="270"/>
      <c r="N793" s="268"/>
      <c r="O793" s="270"/>
      <c r="P793" s="268"/>
      <c r="Q793" s="270"/>
      <c r="R793" s="268"/>
      <c r="S793" s="270"/>
      <c r="T793" s="268"/>
      <c r="U793" s="270"/>
      <c r="V793" s="268"/>
      <c r="W793" s="270"/>
      <c r="X793" s="270"/>
      <c r="Y793" s="270"/>
      <c r="Z793" s="270"/>
      <c r="AA793" s="270"/>
    </row>
    <row r="794" spans="1:27" ht="16.899999999999999" x14ac:dyDescent="0.5">
      <c r="A794" s="270"/>
      <c r="B794" s="270"/>
      <c r="C794" s="270"/>
      <c r="D794" s="268"/>
      <c r="E794" s="270"/>
      <c r="F794" s="268"/>
      <c r="G794" s="270"/>
      <c r="H794" s="268"/>
      <c r="I794" s="270"/>
      <c r="J794" s="268"/>
      <c r="K794" s="270"/>
      <c r="L794" s="268"/>
      <c r="M794" s="270"/>
      <c r="N794" s="268"/>
      <c r="O794" s="270"/>
      <c r="P794" s="268"/>
      <c r="Q794" s="270"/>
      <c r="R794" s="268"/>
      <c r="S794" s="270"/>
      <c r="T794" s="268"/>
      <c r="U794" s="270"/>
      <c r="V794" s="268"/>
      <c r="W794" s="270"/>
      <c r="X794" s="270"/>
      <c r="Y794" s="270"/>
      <c r="Z794" s="270"/>
      <c r="AA794" s="270"/>
    </row>
    <row r="795" spans="1:27" ht="16.899999999999999" x14ac:dyDescent="0.5">
      <c r="A795" s="270"/>
      <c r="B795" s="270"/>
      <c r="C795" s="270"/>
      <c r="D795" s="268"/>
      <c r="E795" s="270"/>
      <c r="F795" s="268"/>
      <c r="G795" s="270"/>
      <c r="H795" s="268"/>
      <c r="I795" s="270"/>
      <c r="J795" s="268"/>
      <c r="K795" s="270"/>
      <c r="L795" s="268"/>
      <c r="M795" s="270"/>
      <c r="N795" s="268"/>
      <c r="O795" s="270"/>
      <c r="P795" s="268"/>
      <c r="Q795" s="270"/>
      <c r="R795" s="268"/>
      <c r="S795" s="270"/>
      <c r="T795" s="268"/>
      <c r="U795" s="270"/>
      <c r="V795" s="268"/>
      <c r="W795" s="270"/>
      <c r="X795" s="270"/>
      <c r="Y795" s="270"/>
      <c r="Z795" s="270"/>
      <c r="AA795" s="270"/>
    </row>
    <row r="796" spans="1:27" ht="16.899999999999999" x14ac:dyDescent="0.5">
      <c r="A796" s="270"/>
      <c r="B796" s="270"/>
      <c r="C796" s="270"/>
      <c r="D796" s="268"/>
      <c r="E796" s="270"/>
      <c r="F796" s="268"/>
      <c r="G796" s="270"/>
      <c r="H796" s="268"/>
      <c r="I796" s="270"/>
      <c r="J796" s="268"/>
      <c r="K796" s="270"/>
      <c r="L796" s="268"/>
      <c r="M796" s="270"/>
      <c r="N796" s="268"/>
      <c r="O796" s="270"/>
      <c r="P796" s="268"/>
      <c r="Q796" s="270"/>
      <c r="R796" s="268"/>
      <c r="S796" s="270"/>
      <c r="T796" s="268"/>
      <c r="U796" s="270"/>
      <c r="V796" s="268"/>
      <c r="W796" s="270"/>
      <c r="X796" s="270"/>
      <c r="Y796" s="270"/>
      <c r="Z796" s="270"/>
      <c r="AA796" s="270"/>
    </row>
    <row r="797" spans="1:27" ht="16.899999999999999" x14ac:dyDescent="0.5">
      <c r="A797" s="270"/>
      <c r="B797" s="270"/>
      <c r="C797" s="270"/>
      <c r="D797" s="268"/>
      <c r="E797" s="270"/>
      <c r="F797" s="268"/>
      <c r="G797" s="270"/>
      <c r="H797" s="268"/>
      <c r="I797" s="270"/>
      <c r="J797" s="268"/>
      <c r="K797" s="270"/>
      <c r="L797" s="268"/>
      <c r="M797" s="270"/>
      <c r="N797" s="268"/>
      <c r="O797" s="270"/>
      <c r="P797" s="268"/>
      <c r="Q797" s="270"/>
      <c r="R797" s="268"/>
      <c r="S797" s="270"/>
      <c r="T797" s="268"/>
      <c r="U797" s="270"/>
      <c r="V797" s="268"/>
      <c r="W797" s="270"/>
      <c r="X797" s="270"/>
      <c r="Y797" s="270"/>
      <c r="Z797" s="270"/>
      <c r="AA797" s="270"/>
    </row>
    <row r="798" spans="1:27" ht="16.899999999999999" x14ac:dyDescent="0.5">
      <c r="A798" s="270"/>
      <c r="B798" s="270"/>
      <c r="C798" s="270"/>
      <c r="D798" s="268"/>
      <c r="E798" s="270"/>
      <c r="F798" s="268"/>
      <c r="G798" s="270"/>
      <c r="H798" s="268"/>
      <c r="I798" s="270"/>
      <c r="J798" s="268"/>
      <c r="K798" s="270"/>
      <c r="L798" s="268"/>
      <c r="M798" s="270"/>
      <c r="N798" s="268"/>
      <c r="O798" s="270"/>
      <c r="P798" s="268"/>
      <c r="Q798" s="270"/>
      <c r="R798" s="268"/>
      <c r="S798" s="270"/>
      <c r="T798" s="268"/>
      <c r="U798" s="270"/>
      <c r="V798" s="268"/>
      <c r="W798" s="270"/>
      <c r="X798" s="270"/>
      <c r="Y798" s="270"/>
      <c r="Z798" s="270"/>
      <c r="AA798" s="270"/>
    </row>
    <row r="799" spans="1:27" ht="16.899999999999999" x14ac:dyDescent="0.5">
      <c r="A799" s="270"/>
      <c r="B799" s="270"/>
      <c r="C799" s="270"/>
      <c r="D799" s="268"/>
      <c r="E799" s="270"/>
      <c r="F799" s="268"/>
      <c r="G799" s="270"/>
      <c r="H799" s="268"/>
      <c r="I799" s="270"/>
      <c r="J799" s="268"/>
      <c r="K799" s="270"/>
      <c r="L799" s="268"/>
      <c r="M799" s="270"/>
      <c r="N799" s="268"/>
      <c r="O799" s="270"/>
      <c r="P799" s="268"/>
      <c r="Q799" s="270"/>
      <c r="R799" s="268"/>
      <c r="S799" s="270"/>
      <c r="T799" s="268"/>
      <c r="U799" s="270"/>
      <c r="V799" s="268"/>
      <c r="W799" s="270"/>
      <c r="X799" s="270"/>
      <c r="Y799" s="270"/>
      <c r="Z799" s="270"/>
      <c r="AA799" s="270"/>
    </row>
    <row r="800" spans="1:27" ht="16.899999999999999" x14ac:dyDescent="0.5">
      <c r="A800" s="270"/>
      <c r="B800" s="270"/>
      <c r="C800" s="270"/>
      <c r="D800" s="268"/>
      <c r="E800" s="270"/>
      <c r="F800" s="268"/>
      <c r="G800" s="270"/>
      <c r="H800" s="268"/>
      <c r="I800" s="270"/>
      <c r="J800" s="268"/>
      <c r="K800" s="270"/>
      <c r="L800" s="268"/>
      <c r="M800" s="270"/>
      <c r="N800" s="268"/>
      <c r="O800" s="270"/>
      <c r="P800" s="268"/>
      <c r="Q800" s="270"/>
      <c r="R800" s="268"/>
      <c r="S800" s="270"/>
      <c r="T800" s="268"/>
      <c r="U800" s="270"/>
      <c r="V800" s="268"/>
      <c r="W800" s="270"/>
      <c r="X800" s="270"/>
      <c r="Y800" s="270"/>
      <c r="Z800" s="270"/>
      <c r="AA800" s="270"/>
    </row>
    <row r="801" spans="1:27" ht="16.899999999999999" x14ac:dyDescent="0.5">
      <c r="A801" s="270"/>
      <c r="B801" s="270"/>
      <c r="C801" s="270"/>
      <c r="D801" s="268"/>
      <c r="E801" s="270"/>
      <c r="F801" s="268"/>
      <c r="G801" s="270"/>
      <c r="H801" s="268"/>
      <c r="I801" s="270"/>
      <c r="J801" s="268"/>
      <c r="K801" s="270"/>
      <c r="L801" s="268"/>
      <c r="M801" s="270"/>
      <c r="N801" s="268"/>
      <c r="O801" s="270"/>
      <c r="P801" s="268"/>
      <c r="Q801" s="270"/>
      <c r="R801" s="268"/>
      <c r="S801" s="270"/>
      <c r="T801" s="268"/>
      <c r="U801" s="270"/>
      <c r="V801" s="268"/>
      <c r="W801" s="270"/>
      <c r="X801" s="270"/>
      <c r="Y801" s="270"/>
      <c r="Z801" s="270"/>
      <c r="AA801" s="270"/>
    </row>
    <row r="802" spans="1:27" ht="16.899999999999999" x14ac:dyDescent="0.5">
      <c r="A802" s="270"/>
      <c r="B802" s="270"/>
      <c r="C802" s="270"/>
      <c r="D802" s="268"/>
      <c r="E802" s="270"/>
      <c r="F802" s="268"/>
      <c r="G802" s="270"/>
      <c r="H802" s="268"/>
      <c r="I802" s="270"/>
      <c r="J802" s="268"/>
      <c r="K802" s="270"/>
      <c r="L802" s="268"/>
      <c r="M802" s="270"/>
      <c r="N802" s="268"/>
      <c r="O802" s="270"/>
      <c r="P802" s="268"/>
      <c r="Q802" s="270"/>
      <c r="R802" s="268"/>
      <c r="S802" s="270"/>
      <c r="T802" s="268"/>
      <c r="U802" s="270"/>
      <c r="V802" s="268"/>
      <c r="W802" s="270"/>
      <c r="X802" s="270"/>
      <c r="Y802" s="270"/>
      <c r="Z802" s="270"/>
      <c r="AA802" s="270"/>
    </row>
    <row r="803" spans="1:27" ht="16.899999999999999" x14ac:dyDescent="0.5">
      <c r="A803" s="270"/>
      <c r="B803" s="270"/>
      <c r="C803" s="270"/>
      <c r="D803" s="268"/>
      <c r="E803" s="270"/>
      <c r="F803" s="268"/>
      <c r="G803" s="270"/>
      <c r="H803" s="268"/>
      <c r="I803" s="270"/>
      <c r="J803" s="268"/>
      <c r="K803" s="270"/>
      <c r="L803" s="268"/>
      <c r="M803" s="270"/>
      <c r="N803" s="268"/>
      <c r="O803" s="270"/>
      <c r="P803" s="268"/>
      <c r="Q803" s="270"/>
      <c r="R803" s="268"/>
      <c r="S803" s="270"/>
      <c r="T803" s="268"/>
      <c r="U803" s="270"/>
      <c r="V803" s="268"/>
      <c r="W803" s="270"/>
      <c r="X803" s="270"/>
      <c r="Y803" s="270"/>
      <c r="Z803" s="270"/>
      <c r="AA803" s="270"/>
    </row>
    <row r="804" spans="1:27" ht="16.899999999999999" x14ac:dyDescent="0.5">
      <c r="A804" s="270"/>
      <c r="B804" s="270"/>
      <c r="C804" s="270"/>
      <c r="D804" s="268"/>
      <c r="E804" s="270"/>
      <c r="F804" s="268"/>
      <c r="G804" s="270"/>
      <c r="H804" s="268"/>
      <c r="I804" s="270"/>
      <c r="J804" s="268"/>
      <c r="K804" s="270"/>
      <c r="L804" s="268"/>
      <c r="M804" s="270"/>
      <c r="N804" s="268"/>
      <c r="O804" s="270"/>
      <c r="P804" s="268"/>
      <c r="Q804" s="270"/>
      <c r="R804" s="268"/>
      <c r="S804" s="270"/>
      <c r="T804" s="268"/>
      <c r="U804" s="270"/>
      <c r="V804" s="268"/>
      <c r="W804" s="270"/>
      <c r="X804" s="270"/>
      <c r="Y804" s="270"/>
      <c r="Z804" s="270"/>
      <c r="AA804" s="270"/>
    </row>
    <row r="805" spans="1:27" ht="16.899999999999999" x14ac:dyDescent="0.5">
      <c r="A805" s="270"/>
      <c r="B805" s="270"/>
      <c r="C805" s="270"/>
      <c r="D805" s="268"/>
      <c r="E805" s="270"/>
      <c r="F805" s="268"/>
      <c r="G805" s="270"/>
      <c r="H805" s="268"/>
      <c r="I805" s="270"/>
      <c r="J805" s="268"/>
      <c r="K805" s="270"/>
      <c r="L805" s="268"/>
      <c r="M805" s="270"/>
      <c r="N805" s="268"/>
      <c r="O805" s="270"/>
      <c r="P805" s="268"/>
      <c r="Q805" s="270"/>
      <c r="R805" s="268"/>
      <c r="S805" s="270"/>
      <c r="T805" s="268"/>
      <c r="U805" s="270"/>
      <c r="V805" s="268"/>
      <c r="W805" s="270"/>
      <c r="X805" s="270"/>
      <c r="Y805" s="270"/>
      <c r="Z805" s="270"/>
      <c r="AA805" s="270"/>
    </row>
    <row r="806" spans="1:27" ht="16.899999999999999" x14ac:dyDescent="0.5">
      <c r="A806" s="270"/>
      <c r="B806" s="270"/>
      <c r="C806" s="270"/>
      <c r="D806" s="268"/>
      <c r="E806" s="270"/>
      <c r="F806" s="268"/>
      <c r="G806" s="270"/>
      <c r="H806" s="268"/>
      <c r="I806" s="270"/>
      <c r="J806" s="268"/>
      <c r="K806" s="270"/>
      <c r="L806" s="268"/>
      <c r="M806" s="270"/>
      <c r="N806" s="268"/>
      <c r="O806" s="270"/>
      <c r="P806" s="268"/>
      <c r="Q806" s="270"/>
      <c r="R806" s="268"/>
      <c r="S806" s="270"/>
      <c r="T806" s="268"/>
      <c r="U806" s="270"/>
      <c r="V806" s="268"/>
      <c r="W806" s="270"/>
      <c r="X806" s="270"/>
      <c r="Y806" s="270"/>
      <c r="Z806" s="270"/>
      <c r="AA806" s="270"/>
    </row>
    <row r="807" spans="1:27" ht="16.899999999999999" x14ac:dyDescent="0.5">
      <c r="A807" s="270"/>
      <c r="B807" s="270"/>
      <c r="C807" s="270"/>
      <c r="D807" s="268"/>
      <c r="E807" s="270"/>
      <c r="F807" s="268"/>
      <c r="G807" s="270"/>
      <c r="H807" s="268"/>
      <c r="I807" s="270"/>
      <c r="J807" s="268"/>
      <c r="K807" s="270"/>
      <c r="L807" s="268"/>
      <c r="M807" s="270"/>
      <c r="N807" s="268"/>
      <c r="O807" s="270"/>
      <c r="P807" s="268"/>
      <c r="Q807" s="270"/>
      <c r="R807" s="268"/>
      <c r="S807" s="270"/>
      <c r="T807" s="268"/>
      <c r="U807" s="270"/>
      <c r="V807" s="268"/>
      <c r="W807" s="270"/>
      <c r="X807" s="270"/>
      <c r="Y807" s="270"/>
      <c r="Z807" s="270"/>
      <c r="AA807" s="270"/>
    </row>
    <row r="808" spans="1:27" ht="16.899999999999999" x14ac:dyDescent="0.5">
      <c r="A808" s="270"/>
      <c r="B808" s="270"/>
      <c r="C808" s="270"/>
      <c r="D808" s="268"/>
      <c r="E808" s="270"/>
      <c r="F808" s="268"/>
      <c r="G808" s="270"/>
      <c r="H808" s="268"/>
      <c r="I808" s="270"/>
      <c r="J808" s="268"/>
      <c r="K808" s="270"/>
      <c r="L808" s="268"/>
      <c r="M808" s="270"/>
      <c r="N808" s="268"/>
      <c r="O808" s="270"/>
      <c r="P808" s="268"/>
      <c r="Q808" s="270"/>
      <c r="R808" s="268"/>
      <c r="S808" s="270"/>
      <c r="T808" s="268"/>
      <c r="U808" s="270"/>
      <c r="V808" s="268"/>
      <c r="W808" s="270"/>
      <c r="X808" s="270"/>
      <c r="Y808" s="270"/>
      <c r="Z808" s="270"/>
      <c r="AA808" s="270"/>
    </row>
    <row r="809" spans="1:27" ht="16.899999999999999" x14ac:dyDescent="0.5">
      <c r="A809" s="270"/>
      <c r="B809" s="270"/>
      <c r="C809" s="270"/>
      <c r="D809" s="268"/>
      <c r="E809" s="270"/>
      <c r="F809" s="268"/>
      <c r="G809" s="270"/>
      <c r="H809" s="268"/>
      <c r="I809" s="270"/>
      <c r="J809" s="268"/>
      <c r="K809" s="270"/>
      <c r="L809" s="268"/>
      <c r="M809" s="270"/>
      <c r="N809" s="268"/>
      <c r="O809" s="270"/>
      <c r="P809" s="268"/>
      <c r="Q809" s="270"/>
      <c r="R809" s="268"/>
      <c r="S809" s="270"/>
      <c r="T809" s="268"/>
      <c r="U809" s="270"/>
      <c r="V809" s="268"/>
      <c r="W809" s="270"/>
      <c r="X809" s="270"/>
      <c r="Y809" s="270"/>
      <c r="Z809" s="270"/>
      <c r="AA809" s="270"/>
    </row>
    <row r="810" spans="1:27" ht="16.899999999999999" x14ac:dyDescent="0.5">
      <c r="A810" s="270"/>
      <c r="B810" s="270"/>
      <c r="C810" s="270"/>
      <c r="D810" s="268"/>
      <c r="E810" s="270"/>
      <c r="F810" s="268"/>
      <c r="G810" s="270"/>
      <c r="H810" s="268"/>
      <c r="I810" s="270"/>
      <c r="J810" s="268"/>
      <c r="K810" s="270"/>
      <c r="L810" s="268"/>
      <c r="M810" s="270"/>
      <c r="N810" s="268"/>
      <c r="O810" s="270"/>
      <c r="P810" s="268"/>
      <c r="Q810" s="270"/>
      <c r="R810" s="268"/>
      <c r="S810" s="270"/>
      <c r="T810" s="268"/>
      <c r="U810" s="270"/>
      <c r="V810" s="268"/>
      <c r="W810" s="270"/>
      <c r="X810" s="270"/>
      <c r="Y810" s="270"/>
      <c r="Z810" s="270"/>
      <c r="AA810" s="270"/>
    </row>
    <row r="811" spans="1:27" ht="16.899999999999999" x14ac:dyDescent="0.5">
      <c r="A811" s="270"/>
      <c r="B811" s="270"/>
      <c r="C811" s="270"/>
      <c r="D811" s="268"/>
      <c r="E811" s="270"/>
      <c r="F811" s="268"/>
      <c r="G811" s="270"/>
      <c r="H811" s="268"/>
      <c r="I811" s="270"/>
      <c r="J811" s="268"/>
      <c r="K811" s="270"/>
      <c r="L811" s="268"/>
      <c r="M811" s="270"/>
      <c r="N811" s="268"/>
      <c r="O811" s="270"/>
      <c r="P811" s="268"/>
      <c r="Q811" s="270"/>
      <c r="R811" s="268"/>
      <c r="S811" s="270"/>
      <c r="T811" s="268"/>
      <c r="U811" s="270"/>
      <c r="V811" s="268"/>
      <c r="W811" s="270"/>
      <c r="X811" s="270"/>
      <c r="Y811" s="270"/>
      <c r="Z811" s="270"/>
      <c r="AA811" s="270"/>
    </row>
    <row r="812" spans="1:27" ht="16.899999999999999" x14ac:dyDescent="0.5">
      <c r="A812" s="270"/>
      <c r="B812" s="270"/>
      <c r="C812" s="270"/>
      <c r="D812" s="268"/>
      <c r="E812" s="270"/>
      <c r="F812" s="268"/>
      <c r="G812" s="270"/>
      <c r="H812" s="268"/>
      <c r="I812" s="270"/>
      <c r="J812" s="268"/>
      <c r="K812" s="270"/>
      <c r="L812" s="268"/>
      <c r="M812" s="270"/>
      <c r="N812" s="268"/>
      <c r="O812" s="270"/>
      <c r="P812" s="268"/>
      <c r="Q812" s="270"/>
      <c r="R812" s="268"/>
      <c r="S812" s="270"/>
      <c r="T812" s="268"/>
      <c r="U812" s="270"/>
      <c r="V812" s="268"/>
      <c r="W812" s="270"/>
      <c r="X812" s="270"/>
      <c r="Y812" s="270"/>
      <c r="Z812" s="270"/>
      <c r="AA812" s="270"/>
    </row>
    <row r="813" spans="1:27" ht="16.899999999999999" x14ac:dyDescent="0.5">
      <c r="A813" s="270"/>
      <c r="B813" s="270"/>
      <c r="C813" s="270"/>
      <c r="D813" s="268"/>
      <c r="E813" s="270"/>
      <c r="F813" s="268"/>
      <c r="G813" s="270"/>
      <c r="H813" s="268"/>
      <c r="I813" s="270"/>
      <c r="J813" s="268"/>
      <c r="K813" s="270"/>
      <c r="L813" s="268"/>
      <c r="M813" s="270"/>
      <c r="N813" s="268"/>
      <c r="O813" s="270"/>
      <c r="P813" s="268"/>
      <c r="Q813" s="270"/>
      <c r="R813" s="268"/>
      <c r="S813" s="270"/>
      <c r="T813" s="268"/>
      <c r="U813" s="270"/>
      <c r="V813" s="268"/>
      <c r="W813" s="270"/>
      <c r="X813" s="270"/>
      <c r="Y813" s="270"/>
      <c r="Z813" s="270"/>
      <c r="AA813" s="270"/>
    </row>
    <row r="814" spans="1:27" ht="16.899999999999999" x14ac:dyDescent="0.5">
      <c r="A814" s="270"/>
      <c r="B814" s="270"/>
      <c r="C814" s="270"/>
      <c r="D814" s="268"/>
      <c r="E814" s="270"/>
      <c r="F814" s="268"/>
      <c r="G814" s="270"/>
      <c r="H814" s="268"/>
      <c r="I814" s="270"/>
      <c r="J814" s="268"/>
      <c r="K814" s="270"/>
      <c r="L814" s="268"/>
      <c r="M814" s="270"/>
      <c r="N814" s="268"/>
      <c r="O814" s="270"/>
      <c r="P814" s="268"/>
      <c r="Q814" s="270"/>
      <c r="R814" s="268"/>
      <c r="S814" s="270"/>
      <c r="T814" s="268"/>
      <c r="U814" s="270"/>
      <c r="V814" s="268"/>
      <c r="W814" s="270"/>
      <c r="X814" s="270"/>
      <c r="Y814" s="270"/>
      <c r="Z814" s="270"/>
      <c r="AA814" s="270"/>
    </row>
    <row r="815" spans="1:27" ht="16.899999999999999" x14ac:dyDescent="0.5">
      <c r="A815" s="270"/>
      <c r="B815" s="270"/>
      <c r="C815" s="270"/>
      <c r="D815" s="268"/>
      <c r="E815" s="270"/>
      <c r="F815" s="268"/>
      <c r="G815" s="270"/>
      <c r="H815" s="268"/>
      <c r="I815" s="270"/>
      <c r="J815" s="268"/>
      <c r="K815" s="270"/>
      <c r="L815" s="268"/>
      <c r="M815" s="270"/>
      <c r="N815" s="268"/>
      <c r="O815" s="270"/>
      <c r="P815" s="268"/>
      <c r="Q815" s="270"/>
      <c r="R815" s="268"/>
      <c r="S815" s="270"/>
      <c r="T815" s="268"/>
      <c r="U815" s="270"/>
      <c r="V815" s="268"/>
      <c r="W815" s="270"/>
      <c r="X815" s="270"/>
      <c r="Y815" s="270"/>
      <c r="Z815" s="270"/>
      <c r="AA815" s="270"/>
    </row>
    <row r="816" spans="1:27" ht="16.899999999999999" x14ac:dyDescent="0.5">
      <c r="A816" s="270"/>
      <c r="B816" s="270"/>
      <c r="C816" s="270"/>
      <c r="D816" s="268"/>
      <c r="E816" s="270"/>
      <c r="F816" s="268"/>
      <c r="G816" s="270"/>
      <c r="H816" s="268"/>
      <c r="I816" s="270"/>
      <c r="J816" s="268"/>
      <c r="K816" s="270"/>
      <c r="L816" s="268"/>
      <c r="M816" s="270"/>
      <c r="N816" s="268"/>
      <c r="O816" s="270"/>
      <c r="P816" s="268"/>
      <c r="Q816" s="270"/>
      <c r="R816" s="268"/>
      <c r="S816" s="270"/>
      <c r="T816" s="268"/>
      <c r="U816" s="270"/>
      <c r="V816" s="268"/>
      <c r="W816" s="270"/>
      <c r="X816" s="270"/>
      <c r="Y816" s="270"/>
      <c r="Z816" s="270"/>
      <c r="AA816" s="270"/>
    </row>
    <row r="817" spans="1:27" ht="16.899999999999999" x14ac:dyDescent="0.5">
      <c r="A817" s="270"/>
      <c r="B817" s="270"/>
      <c r="C817" s="270"/>
      <c r="D817" s="268"/>
      <c r="E817" s="270"/>
      <c r="F817" s="268"/>
      <c r="G817" s="270"/>
      <c r="H817" s="268"/>
      <c r="I817" s="270"/>
      <c r="J817" s="268"/>
      <c r="K817" s="270"/>
      <c r="L817" s="268"/>
      <c r="M817" s="270"/>
      <c r="N817" s="268"/>
      <c r="O817" s="270"/>
      <c r="P817" s="268"/>
      <c r="Q817" s="270"/>
      <c r="R817" s="268"/>
      <c r="S817" s="270"/>
      <c r="T817" s="268"/>
      <c r="U817" s="270"/>
      <c r="V817" s="268"/>
      <c r="W817" s="270"/>
      <c r="X817" s="270"/>
      <c r="Y817" s="270"/>
      <c r="Z817" s="270"/>
      <c r="AA817" s="270"/>
    </row>
    <row r="818" spans="1:27" ht="16.899999999999999" x14ac:dyDescent="0.5">
      <c r="A818" s="270"/>
      <c r="B818" s="270"/>
      <c r="C818" s="270"/>
      <c r="D818" s="268"/>
      <c r="E818" s="270"/>
      <c r="F818" s="268"/>
      <c r="G818" s="270"/>
      <c r="H818" s="268"/>
      <c r="I818" s="270"/>
      <c r="J818" s="268"/>
      <c r="K818" s="270"/>
      <c r="L818" s="268"/>
      <c r="M818" s="270"/>
      <c r="N818" s="268"/>
      <c r="O818" s="270"/>
      <c r="P818" s="268"/>
      <c r="Q818" s="270"/>
      <c r="R818" s="268"/>
      <c r="S818" s="270"/>
      <c r="T818" s="268"/>
      <c r="U818" s="270"/>
      <c r="V818" s="268"/>
      <c r="W818" s="270"/>
      <c r="X818" s="270"/>
      <c r="Y818" s="270"/>
      <c r="Z818" s="270"/>
      <c r="AA818" s="270"/>
    </row>
    <row r="819" spans="1:27" ht="16.899999999999999" x14ac:dyDescent="0.5">
      <c r="A819" s="270"/>
      <c r="B819" s="270"/>
      <c r="C819" s="270"/>
      <c r="D819" s="268"/>
      <c r="E819" s="270"/>
      <c r="F819" s="268"/>
      <c r="G819" s="270"/>
      <c r="H819" s="268"/>
      <c r="I819" s="270"/>
      <c r="J819" s="268"/>
      <c r="K819" s="270"/>
      <c r="L819" s="268"/>
      <c r="M819" s="270"/>
      <c r="N819" s="268"/>
      <c r="O819" s="270"/>
      <c r="P819" s="268"/>
      <c r="Q819" s="270"/>
      <c r="R819" s="268"/>
      <c r="S819" s="270"/>
      <c r="T819" s="268"/>
      <c r="U819" s="270"/>
      <c r="V819" s="268"/>
      <c r="W819" s="270"/>
      <c r="X819" s="270"/>
      <c r="Y819" s="270"/>
      <c r="Z819" s="270"/>
      <c r="AA819" s="270"/>
    </row>
    <row r="820" spans="1:27" ht="16.899999999999999" x14ac:dyDescent="0.5">
      <c r="A820" s="270"/>
      <c r="B820" s="270"/>
      <c r="C820" s="270"/>
      <c r="D820" s="268"/>
      <c r="E820" s="270"/>
      <c r="F820" s="268"/>
      <c r="G820" s="270"/>
      <c r="H820" s="268"/>
      <c r="I820" s="270"/>
      <c r="J820" s="268"/>
      <c r="K820" s="270"/>
      <c r="L820" s="268"/>
      <c r="M820" s="270"/>
      <c r="N820" s="268"/>
      <c r="O820" s="270"/>
      <c r="P820" s="268"/>
      <c r="Q820" s="270"/>
      <c r="R820" s="268"/>
      <c r="S820" s="270"/>
      <c r="T820" s="268"/>
      <c r="U820" s="270"/>
      <c r="V820" s="268"/>
      <c r="W820" s="270"/>
      <c r="X820" s="270"/>
      <c r="Y820" s="270"/>
      <c r="Z820" s="270"/>
      <c r="AA820" s="270"/>
    </row>
    <row r="821" spans="1:27" ht="16.899999999999999" x14ac:dyDescent="0.5">
      <c r="A821" s="270"/>
      <c r="B821" s="270"/>
      <c r="C821" s="270"/>
      <c r="D821" s="268"/>
      <c r="E821" s="270"/>
      <c r="F821" s="268"/>
      <c r="G821" s="270"/>
      <c r="H821" s="268"/>
      <c r="I821" s="270"/>
      <c r="J821" s="268"/>
      <c r="K821" s="270"/>
      <c r="L821" s="268"/>
      <c r="M821" s="270"/>
      <c r="N821" s="268"/>
      <c r="O821" s="270"/>
      <c r="P821" s="268"/>
      <c r="Q821" s="270"/>
      <c r="R821" s="268"/>
      <c r="S821" s="270"/>
      <c r="T821" s="268"/>
      <c r="U821" s="270"/>
      <c r="V821" s="268"/>
      <c r="W821" s="270"/>
      <c r="X821" s="270"/>
      <c r="Y821" s="270"/>
      <c r="Z821" s="270"/>
      <c r="AA821" s="270"/>
    </row>
    <row r="822" spans="1:27" ht="16.899999999999999" x14ac:dyDescent="0.5">
      <c r="A822" s="270"/>
      <c r="B822" s="270"/>
      <c r="C822" s="270"/>
      <c r="D822" s="268"/>
      <c r="E822" s="270"/>
      <c r="F822" s="268"/>
      <c r="G822" s="270"/>
      <c r="H822" s="268"/>
      <c r="I822" s="270"/>
      <c r="J822" s="268"/>
      <c r="K822" s="270"/>
      <c r="L822" s="268"/>
      <c r="M822" s="270"/>
      <c r="N822" s="268"/>
      <c r="O822" s="270"/>
      <c r="P822" s="268"/>
      <c r="Q822" s="270"/>
      <c r="R822" s="268"/>
      <c r="S822" s="270"/>
      <c r="T822" s="268"/>
      <c r="U822" s="270"/>
      <c r="V822" s="268"/>
      <c r="W822" s="270"/>
      <c r="X822" s="270"/>
      <c r="Y822" s="270"/>
      <c r="Z822" s="270"/>
      <c r="AA822" s="270"/>
    </row>
    <row r="823" spans="1:27" ht="16.899999999999999" x14ac:dyDescent="0.5">
      <c r="A823" s="270"/>
      <c r="B823" s="270"/>
      <c r="C823" s="270"/>
      <c r="D823" s="268"/>
      <c r="E823" s="270"/>
      <c r="F823" s="268"/>
      <c r="G823" s="270"/>
      <c r="H823" s="268"/>
      <c r="I823" s="270"/>
      <c r="J823" s="268"/>
      <c r="K823" s="270"/>
      <c r="L823" s="268"/>
      <c r="M823" s="270"/>
      <c r="N823" s="268"/>
      <c r="O823" s="270"/>
      <c r="P823" s="268"/>
      <c r="Q823" s="270"/>
      <c r="R823" s="268"/>
      <c r="S823" s="270"/>
      <c r="T823" s="268"/>
      <c r="U823" s="270"/>
      <c r="V823" s="268"/>
      <c r="W823" s="270"/>
      <c r="X823" s="270"/>
      <c r="Y823" s="270"/>
      <c r="Z823" s="270"/>
      <c r="AA823" s="270"/>
    </row>
    <row r="824" spans="1:27" ht="16.899999999999999" x14ac:dyDescent="0.5">
      <c r="A824" s="270"/>
      <c r="B824" s="270"/>
      <c r="C824" s="270"/>
      <c r="D824" s="268"/>
      <c r="E824" s="270"/>
      <c r="F824" s="268"/>
      <c r="G824" s="270"/>
      <c r="H824" s="268"/>
      <c r="I824" s="270"/>
      <c r="J824" s="268"/>
      <c r="K824" s="270"/>
      <c r="L824" s="268"/>
      <c r="M824" s="270"/>
      <c r="N824" s="268"/>
      <c r="O824" s="270"/>
      <c r="P824" s="268"/>
      <c r="Q824" s="270"/>
      <c r="R824" s="268"/>
      <c r="S824" s="270"/>
      <c r="T824" s="268"/>
      <c r="U824" s="270"/>
      <c r="V824" s="268"/>
      <c r="W824" s="270"/>
      <c r="X824" s="270"/>
      <c r="Y824" s="270"/>
      <c r="Z824" s="270"/>
      <c r="AA824" s="270"/>
    </row>
    <row r="825" spans="1:27" ht="16.899999999999999" x14ac:dyDescent="0.5">
      <c r="A825" s="270"/>
      <c r="B825" s="270"/>
      <c r="C825" s="270"/>
      <c r="D825" s="268"/>
      <c r="E825" s="270"/>
      <c r="F825" s="268"/>
      <c r="G825" s="270"/>
      <c r="H825" s="268"/>
      <c r="I825" s="270"/>
      <c r="J825" s="268"/>
      <c r="K825" s="270"/>
      <c r="L825" s="268"/>
      <c r="M825" s="270"/>
      <c r="N825" s="268"/>
      <c r="O825" s="270"/>
      <c r="P825" s="268"/>
      <c r="Q825" s="270"/>
      <c r="R825" s="268"/>
      <c r="S825" s="270"/>
      <c r="T825" s="268"/>
      <c r="U825" s="270"/>
      <c r="V825" s="268"/>
      <c r="W825" s="270"/>
      <c r="X825" s="270"/>
      <c r="Y825" s="270"/>
      <c r="Z825" s="270"/>
      <c r="AA825" s="270"/>
    </row>
    <row r="826" spans="1:27" ht="16.899999999999999" x14ac:dyDescent="0.5">
      <c r="A826" s="270"/>
      <c r="B826" s="270"/>
      <c r="C826" s="270"/>
      <c r="D826" s="268"/>
      <c r="E826" s="270"/>
      <c r="F826" s="268"/>
      <c r="G826" s="270"/>
      <c r="H826" s="268"/>
      <c r="I826" s="270"/>
      <c r="J826" s="268"/>
      <c r="K826" s="270"/>
      <c r="L826" s="268"/>
      <c r="M826" s="270"/>
      <c r="N826" s="268"/>
      <c r="O826" s="270"/>
      <c r="P826" s="268"/>
      <c r="Q826" s="270"/>
      <c r="R826" s="268"/>
      <c r="S826" s="270"/>
      <c r="T826" s="268"/>
      <c r="U826" s="270"/>
      <c r="V826" s="268"/>
      <c r="W826" s="270"/>
      <c r="X826" s="270"/>
      <c r="Y826" s="270"/>
      <c r="Z826" s="270"/>
      <c r="AA826" s="270"/>
    </row>
    <row r="827" spans="1:27" ht="16.899999999999999" x14ac:dyDescent="0.5">
      <c r="A827" s="270"/>
      <c r="B827" s="270"/>
      <c r="C827" s="270"/>
      <c r="D827" s="268"/>
      <c r="E827" s="270"/>
      <c r="F827" s="268"/>
      <c r="G827" s="270"/>
      <c r="H827" s="268"/>
      <c r="I827" s="270"/>
      <c r="J827" s="268"/>
      <c r="K827" s="270"/>
      <c r="L827" s="268"/>
      <c r="M827" s="270"/>
      <c r="N827" s="268"/>
      <c r="O827" s="270"/>
      <c r="P827" s="268"/>
      <c r="Q827" s="270"/>
      <c r="R827" s="268"/>
      <c r="S827" s="270"/>
      <c r="T827" s="268"/>
      <c r="U827" s="270"/>
      <c r="V827" s="268"/>
      <c r="W827" s="270"/>
      <c r="X827" s="270"/>
      <c r="Y827" s="270"/>
      <c r="Z827" s="270"/>
      <c r="AA827" s="270"/>
    </row>
    <row r="828" spans="1:27" ht="16.899999999999999" x14ac:dyDescent="0.5">
      <c r="A828" s="270"/>
      <c r="B828" s="270"/>
      <c r="C828" s="270"/>
      <c r="D828" s="268"/>
      <c r="E828" s="270"/>
      <c r="F828" s="268"/>
      <c r="G828" s="270"/>
      <c r="H828" s="268"/>
      <c r="I828" s="270"/>
      <c r="J828" s="268"/>
      <c r="K828" s="270"/>
      <c r="L828" s="268"/>
      <c r="M828" s="270"/>
      <c r="N828" s="268"/>
      <c r="O828" s="270"/>
      <c r="P828" s="268"/>
      <c r="Q828" s="270"/>
      <c r="R828" s="268"/>
      <c r="S828" s="270"/>
      <c r="T828" s="268"/>
      <c r="U828" s="270"/>
      <c r="V828" s="268"/>
      <c r="W828" s="270"/>
      <c r="X828" s="270"/>
      <c r="Y828" s="270"/>
      <c r="Z828" s="270"/>
      <c r="AA828" s="270"/>
    </row>
    <row r="829" spans="1:27" ht="16.899999999999999" x14ac:dyDescent="0.5">
      <c r="A829" s="270"/>
      <c r="B829" s="270"/>
      <c r="C829" s="270"/>
      <c r="D829" s="268"/>
      <c r="E829" s="270"/>
      <c r="F829" s="268"/>
      <c r="G829" s="270"/>
      <c r="H829" s="268"/>
      <c r="I829" s="270"/>
      <c r="J829" s="268"/>
      <c r="K829" s="270"/>
      <c r="L829" s="268"/>
      <c r="M829" s="270"/>
      <c r="N829" s="268"/>
      <c r="O829" s="270"/>
      <c r="P829" s="268"/>
      <c r="Q829" s="270"/>
      <c r="R829" s="268"/>
      <c r="S829" s="270"/>
      <c r="T829" s="268"/>
      <c r="U829" s="270"/>
      <c r="V829" s="268"/>
      <c r="W829" s="270"/>
      <c r="X829" s="270"/>
      <c r="Y829" s="270"/>
      <c r="Z829" s="270"/>
      <c r="AA829" s="270"/>
    </row>
    <row r="830" spans="1:27" ht="16.899999999999999" x14ac:dyDescent="0.5">
      <c r="A830" s="270"/>
      <c r="B830" s="270"/>
      <c r="C830" s="270"/>
      <c r="D830" s="268"/>
      <c r="E830" s="270"/>
      <c r="F830" s="268"/>
      <c r="G830" s="270"/>
      <c r="H830" s="268"/>
      <c r="I830" s="270"/>
      <c r="J830" s="268"/>
      <c r="K830" s="270"/>
      <c r="L830" s="268"/>
      <c r="M830" s="270"/>
      <c r="N830" s="268"/>
      <c r="O830" s="270"/>
      <c r="P830" s="268"/>
      <c r="Q830" s="270"/>
      <c r="R830" s="268"/>
      <c r="S830" s="270"/>
      <c r="T830" s="268"/>
      <c r="U830" s="270"/>
      <c r="V830" s="268"/>
      <c r="W830" s="270"/>
      <c r="X830" s="270"/>
      <c r="Y830" s="270"/>
      <c r="Z830" s="270"/>
      <c r="AA830" s="270"/>
    </row>
    <row r="831" spans="1:27" ht="16.899999999999999" x14ac:dyDescent="0.5">
      <c r="A831" s="270"/>
      <c r="B831" s="270"/>
      <c r="C831" s="270"/>
      <c r="D831" s="268"/>
      <c r="E831" s="270"/>
      <c r="F831" s="268"/>
      <c r="G831" s="270"/>
      <c r="H831" s="268"/>
      <c r="I831" s="270"/>
      <c r="J831" s="268"/>
      <c r="K831" s="270"/>
      <c r="L831" s="268"/>
      <c r="M831" s="270"/>
      <c r="N831" s="268"/>
      <c r="O831" s="270"/>
      <c r="P831" s="268"/>
      <c r="Q831" s="270"/>
      <c r="R831" s="268"/>
      <c r="S831" s="270"/>
      <c r="T831" s="268"/>
      <c r="U831" s="270"/>
      <c r="V831" s="268"/>
      <c r="W831" s="270"/>
      <c r="X831" s="270"/>
      <c r="Y831" s="270"/>
      <c r="Z831" s="270"/>
      <c r="AA831" s="270"/>
    </row>
    <row r="832" spans="1:27" ht="16.899999999999999" x14ac:dyDescent="0.5">
      <c r="A832" s="270"/>
      <c r="B832" s="270"/>
      <c r="C832" s="270"/>
      <c r="D832" s="268"/>
      <c r="E832" s="270"/>
      <c r="F832" s="268"/>
      <c r="G832" s="270"/>
      <c r="H832" s="268"/>
      <c r="I832" s="270"/>
      <c r="J832" s="268"/>
      <c r="K832" s="270"/>
      <c r="L832" s="268"/>
      <c r="M832" s="270"/>
      <c r="N832" s="268"/>
      <c r="O832" s="270"/>
      <c r="P832" s="268"/>
      <c r="Q832" s="270"/>
      <c r="R832" s="268"/>
      <c r="S832" s="270"/>
      <c r="T832" s="268"/>
      <c r="U832" s="270"/>
      <c r="V832" s="268"/>
      <c r="W832" s="270"/>
      <c r="X832" s="270"/>
      <c r="Y832" s="270"/>
      <c r="Z832" s="270"/>
      <c r="AA832" s="270"/>
    </row>
    <row r="833" spans="1:27" ht="16.899999999999999" x14ac:dyDescent="0.5">
      <c r="A833" s="270"/>
      <c r="B833" s="270"/>
      <c r="C833" s="270"/>
      <c r="D833" s="268"/>
      <c r="E833" s="270"/>
      <c r="F833" s="268"/>
      <c r="G833" s="270"/>
      <c r="H833" s="268"/>
      <c r="I833" s="270"/>
      <c r="J833" s="268"/>
      <c r="K833" s="270"/>
      <c r="L833" s="268"/>
      <c r="M833" s="270"/>
      <c r="N833" s="268"/>
      <c r="O833" s="270"/>
      <c r="P833" s="268"/>
      <c r="Q833" s="270"/>
      <c r="R833" s="268"/>
      <c r="S833" s="270"/>
      <c r="T833" s="268"/>
      <c r="U833" s="270"/>
      <c r="V833" s="268"/>
      <c r="W833" s="270"/>
      <c r="X833" s="270"/>
      <c r="Y833" s="270"/>
      <c r="Z833" s="270"/>
      <c r="AA833" s="270"/>
    </row>
    <row r="834" spans="1:27" ht="16.899999999999999" x14ac:dyDescent="0.5">
      <c r="A834" s="270"/>
      <c r="B834" s="270"/>
      <c r="C834" s="270"/>
      <c r="D834" s="268"/>
      <c r="E834" s="270"/>
      <c r="F834" s="268"/>
      <c r="G834" s="270"/>
      <c r="H834" s="268"/>
      <c r="I834" s="270"/>
      <c r="J834" s="268"/>
      <c r="K834" s="270"/>
      <c r="L834" s="268"/>
      <c r="M834" s="270"/>
      <c r="N834" s="268"/>
      <c r="O834" s="270"/>
      <c r="P834" s="268"/>
      <c r="Q834" s="270"/>
      <c r="R834" s="268"/>
      <c r="S834" s="270"/>
      <c r="T834" s="268"/>
      <c r="U834" s="270"/>
      <c r="V834" s="268"/>
      <c r="W834" s="270"/>
      <c r="X834" s="270"/>
      <c r="Y834" s="270"/>
      <c r="Z834" s="270"/>
      <c r="AA834" s="270"/>
    </row>
    <row r="835" spans="1:27" ht="16.899999999999999" x14ac:dyDescent="0.5">
      <c r="A835" s="270"/>
      <c r="B835" s="270"/>
      <c r="C835" s="270"/>
      <c r="D835" s="268"/>
      <c r="E835" s="270"/>
      <c r="F835" s="268"/>
      <c r="G835" s="270"/>
      <c r="H835" s="268"/>
      <c r="I835" s="270"/>
      <c r="J835" s="268"/>
      <c r="K835" s="270"/>
      <c r="L835" s="268"/>
      <c r="M835" s="270"/>
      <c r="N835" s="268"/>
      <c r="O835" s="270"/>
      <c r="P835" s="268"/>
      <c r="Q835" s="270"/>
      <c r="R835" s="268"/>
      <c r="S835" s="270"/>
      <c r="T835" s="268"/>
      <c r="U835" s="270"/>
      <c r="V835" s="268"/>
      <c r="W835" s="270"/>
      <c r="X835" s="270"/>
      <c r="Y835" s="270"/>
      <c r="Z835" s="270"/>
      <c r="AA835" s="270"/>
    </row>
    <row r="836" spans="1:27" ht="16.899999999999999" x14ac:dyDescent="0.5">
      <c r="A836" s="270"/>
      <c r="B836" s="270"/>
      <c r="C836" s="270"/>
      <c r="D836" s="268"/>
      <c r="E836" s="270"/>
      <c r="F836" s="268"/>
      <c r="G836" s="270"/>
      <c r="H836" s="268"/>
      <c r="I836" s="270"/>
      <c r="J836" s="268"/>
      <c r="K836" s="270"/>
      <c r="L836" s="268"/>
      <c r="M836" s="270"/>
      <c r="N836" s="268"/>
      <c r="O836" s="270"/>
      <c r="P836" s="268"/>
      <c r="Q836" s="270"/>
      <c r="R836" s="268"/>
      <c r="S836" s="270"/>
      <c r="T836" s="268"/>
      <c r="U836" s="270"/>
      <c r="V836" s="268"/>
      <c r="W836" s="270"/>
      <c r="X836" s="270"/>
      <c r="Y836" s="270"/>
      <c r="Z836" s="270"/>
      <c r="AA836" s="270"/>
    </row>
    <row r="837" spans="1:27" ht="16.899999999999999" x14ac:dyDescent="0.5">
      <c r="A837" s="270"/>
      <c r="B837" s="270"/>
      <c r="C837" s="270"/>
      <c r="D837" s="268"/>
      <c r="E837" s="270"/>
      <c r="F837" s="268"/>
      <c r="G837" s="270"/>
      <c r="H837" s="268"/>
      <c r="I837" s="270"/>
      <c r="J837" s="268"/>
      <c r="K837" s="270"/>
      <c r="L837" s="268"/>
      <c r="M837" s="270"/>
      <c r="N837" s="268"/>
      <c r="O837" s="270"/>
      <c r="P837" s="268"/>
      <c r="Q837" s="270"/>
      <c r="R837" s="268"/>
      <c r="S837" s="270"/>
      <c r="T837" s="268"/>
      <c r="U837" s="270"/>
      <c r="V837" s="268"/>
      <c r="W837" s="270"/>
      <c r="X837" s="270"/>
      <c r="Y837" s="270"/>
      <c r="Z837" s="270"/>
      <c r="AA837" s="270"/>
    </row>
    <row r="838" spans="1:27" ht="16.899999999999999" x14ac:dyDescent="0.5">
      <c r="A838" s="270"/>
      <c r="B838" s="270"/>
      <c r="C838" s="270"/>
      <c r="D838" s="268"/>
      <c r="E838" s="270"/>
      <c r="F838" s="268"/>
      <c r="G838" s="270"/>
      <c r="H838" s="268"/>
      <c r="I838" s="270"/>
      <c r="J838" s="268"/>
      <c r="K838" s="270"/>
      <c r="L838" s="268"/>
      <c r="M838" s="270"/>
      <c r="N838" s="268"/>
      <c r="O838" s="270"/>
      <c r="P838" s="268"/>
      <c r="Q838" s="270"/>
      <c r="R838" s="268"/>
      <c r="S838" s="270"/>
      <c r="T838" s="268"/>
      <c r="U838" s="270"/>
      <c r="V838" s="268"/>
      <c r="W838" s="270"/>
      <c r="X838" s="270"/>
      <c r="Y838" s="270"/>
      <c r="Z838" s="270"/>
      <c r="AA838" s="270"/>
    </row>
    <row r="839" spans="1:27" ht="16.899999999999999" x14ac:dyDescent="0.5">
      <c r="A839" s="270"/>
      <c r="B839" s="270"/>
      <c r="C839" s="270"/>
      <c r="D839" s="268"/>
      <c r="E839" s="270"/>
      <c r="F839" s="268"/>
      <c r="G839" s="270"/>
      <c r="H839" s="268"/>
      <c r="I839" s="270"/>
      <c r="J839" s="268"/>
      <c r="K839" s="270"/>
      <c r="L839" s="268"/>
      <c r="M839" s="270"/>
      <c r="N839" s="268"/>
      <c r="O839" s="270"/>
      <c r="P839" s="268"/>
      <c r="Q839" s="270"/>
      <c r="R839" s="268"/>
      <c r="S839" s="270"/>
      <c r="T839" s="268"/>
      <c r="U839" s="270"/>
      <c r="V839" s="268"/>
      <c r="W839" s="270"/>
      <c r="X839" s="270"/>
      <c r="Y839" s="270"/>
      <c r="Z839" s="270"/>
      <c r="AA839" s="270"/>
    </row>
    <row r="840" spans="1:27" ht="16.899999999999999" x14ac:dyDescent="0.5">
      <c r="A840" s="270"/>
      <c r="B840" s="270"/>
      <c r="C840" s="270"/>
      <c r="D840" s="268"/>
      <c r="E840" s="270"/>
      <c r="F840" s="268"/>
      <c r="G840" s="270"/>
      <c r="H840" s="268"/>
      <c r="I840" s="270"/>
      <c r="J840" s="268"/>
      <c r="K840" s="270"/>
      <c r="L840" s="268"/>
      <c r="M840" s="270"/>
      <c r="N840" s="268"/>
      <c r="O840" s="270"/>
      <c r="P840" s="268"/>
      <c r="Q840" s="270"/>
      <c r="R840" s="268"/>
      <c r="S840" s="270"/>
      <c r="T840" s="268"/>
      <c r="U840" s="270"/>
      <c r="V840" s="268"/>
      <c r="W840" s="270"/>
      <c r="X840" s="270"/>
      <c r="Y840" s="270"/>
      <c r="Z840" s="270"/>
      <c r="AA840" s="270"/>
    </row>
    <row r="841" spans="1:27" ht="16.899999999999999" x14ac:dyDescent="0.5">
      <c r="A841" s="270"/>
      <c r="B841" s="270"/>
      <c r="C841" s="270"/>
      <c r="D841" s="268"/>
      <c r="E841" s="270"/>
      <c r="F841" s="268"/>
      <c r="G841" s="270"/>
      <c r="H841" s="268"/>
      <c r="I841" s="270"/>
      <c r="J841" s="268"/>
      <c r="K841" s="270"/>
      <c r="L841" s="268"/>
      <c r="M841" s="270"/>
      <c r="N841" s="268"/>
      <c r="O841" s="270"/>
      <c r="P841" s="268"/>
      <c r="Q841" s="270"/>
      <c r="R841" s="268"/>
      <c r="S841" s="270"/>
      <c r="T841" s="268"/>
      <c r="U841" s="270"/>
      <c r="V841" s="268"/>
      <c r="W841" s="270"/>
      <c r="X841" s="270"/>
      <c r="Y841" s="270"/>
      <c r="Z841" s="270"/>
      <c r="AA841" s="270"/>
    </row>
    <row r="842" spans="1:27" ht="16.899999999999999" x14ac:dyDescent="0.5">
      <c r="A842" s="270"/>
      <c r="B842" s="270"/>
      <c r="C842" s="270"/>
      <c r="D842" s="268"/>
      <c r="E842" s="270"/>
      <c r="F842" s="268"/>
      <c r="G842" s="270"/>
      <c r="H842" s="268"/>
      <c r="I842" s="270"/>
      <c r="J842" s="268"/>
      <c r="K842" s="270"/>
      <c r="L842" s="268"/>
      <c r="M842" s="270"/>
      <c r="N842" s="268"/>
      <c r="O842" s="270"/>
      <c r="P842" s="268"/>
      <c r="Q842" s="270"/>
      <c r="R842" s="268"/>
      <c r="S842" s="270"/>
      <c r="T842" s="268"/>
      <c r="U842" s="270"/>
      <c r="V842" s="268"/>
      <c r="W842" s="270"/>
      <c r="X842" s="270"/>
      <c r="Y842" s="270"/>
      <c r="Z842" s="270"/>
      <c r="AA842" s="270"/>
    </row>
    <row r="843" spans="1:27" ht="16.899999999999999" x14ac:dyDescent="0.5">
      <c r="A843" s="270"/>
      <c r="B843" s="270"/>
      <c r="C843" s="270"/>
      <c r="D843" s="268"/>
      <c r="E843" s="270"/>
      <c r="F843" s="268"/>
      <c r="G843" s="270"/>
      <c r="H843" s="268"/>
      <c r="I843" s="270"/>
      <c r="J843" s="268"/>
      <c r="K843" s="270"/>
      <c r="L843" s="268"/>
      <c r="M843" s="270"/>
      <c r="N843" s="268"/>
      <c r="O843" s="270"/>
      <c r="P843" s="268"/>
      <c r="Q843" s="270"/>
      <c r="R843" s="268"/>
      <c r="S843" s="270"/>
      <c r="T843" s="268"/>
      <c r="U843" s="270"/>
      <c r="V843" s="268"/>
      <c r="W843" s="270"/>
      <c r="X843" s="270"/>
      <c r="Y843" s="270"/>
      <c r="Z843" s="270"/>
      <c r="AA843" s="270"/>
    </row>
    <row r="844" spans="1:27" ht="16.899999999999999" x14ac:dyDescent="0.5">
      <c r="A844" s="270"/>
      <c r="B844" s="270"/>
      <c r="C844" s="270"/>
      <c r="D844" s="268"/>
      <c r="E844" s="270"/>
      <c r="F844" s="268"/>
      <c r="G844" s="270"/>
      <c r="H844" s="268"/>
      <c r="I844" s="270"/>
      <c r="J844" s="268"/>
      <c r="K844" s="270"/>
      <c r="L844" s="268"/>
      <c r="M844" s="270"/>
      <c r="N844" s="268"/>
      <c r="O844" s="270"/>
      <c r="P844" s="268"/>
      <c r="Q844" s="270"/>
      <c r="R844" s="268"/>
      <c r="S844" s="270"/>
      <c r="T844" s="268"/>
      <c r="U844" s="270"/>
      <c r="V844" s="268"/>
      <c r="W844" s="270"/>
      <c r="X844" s="270"/>
      <c r="Y844" s="270"/>
      <c r="Z844" s="270"/>
      <c r="AA844" s="270"/>
    </row>
    <row r="845" spans="1:27" ht="16.899999999999999" x14ac:dyDescent="0.5">
      <c r="A845" s="270"/>
      <c r="B845" s="270"/>
      <c r="C845" s="270"/>
      <c r="D845" s="268"/>
      <c r="E845" s="270"/>
      <c r="F845" s="268"/>
      <c r="G845" s="270"/>
      <c r="H845" s="268"/>
      <c r="I845" s="270"/>
      <c r="J845" s="268"/>
      <c r="K845" s="270"/>
      <c r="L845" s="268"/>
      <c r="M845" s="270"/>
      <c r="N845" s="268"/>
      <c r="O845" s="270"/>
      <c r="P845" s="268"/>
      <c r="Q845" s="270"/>
      <c r="R845" s="268"/>
      <c r="S845" s="270"/>
      <c r="T845" s="268"/>
      <c r="U845" s="270"/>
      <c r="V845" s="268"/>
      <c r="W845" s="270"/>
      <c r="X845" s="270"/>
      <c r="Y845" s="270"/>
      <c r="Z845" s="270"/>
      <c r="AA845" s="270"/>
    </row>
    <row r="846" spans="1:27" ht="16.899999999999999" x14ac:dyDescent="0.5">
      <c r="A846" s="270"/>
      <c r="B846" s="270"/>
      <c r="C846" s="270"/>
      <c r="D846" s="268"/>
      <c r="E846" s="270"/>
      <c r="F846" s="268"/>
      <c r="G846" s="270"/>
      <c r="H846" s="268"/>
      <c r="I846" s="270"/>
      <c r="J846" s="268"/>
      <c r="K846" s="270"/>
      <c r="L846" s="268"/>
      <c r="M846" s="270"/>
      <c r="N846" s="268"/>
      <c r="O846" s="270"/>
      <c r="P846" s="268"/>
      <c r="Q846" s="270"/>
      <c r="R846" s="268"/>
      <c r="S846" s="270"/>
      <c r="T846" s="268"/>
      <c r="U846" s="270"/>
      <c r="V846" s="268"/>
      <c r="W846" s="270"/>
      <c r="X846" s="270"/>
      <c r="Y846" s="270"/>
      <c r="Z846" s="270"/>
      <c r="AA846" s="270"/>
    </row>
    <row r="847" spans="1:27" ht="16.899999999999999" x14ac:dyDescent="0.5">
      <c r="A847" s="270"/>
      <c r="B847" s="270"/>
      <c r="C847" s="270"/>
      <c r="D847" s="268"/>
      <c r="E847" s="270"/>
      <c r="F847" s="268"/>
      <c r="G847" s="270"/>
      <c r="H847" s="268"/>
      <c r="I847" s="270"/>
      <c r="J847" s="268"/>
      <c r="K847" s="270"/>
      <c r="L847" s="268"/>
      <c r="M847" s="270"/>
      <c r="N847" s="268"/>
      <c r="O847" s="270"/>
      <c r="P847" s="268"/>
      <c r="Q847" s="270"/>
      <c r="R847" s="268"/>
      <c r="S847" s="270"/>
      <c r="T847" s="268"/>
      <c r="U847" s="270"/>
      <c r="V847" s="268"/>
      <c r="W847" s="270"/>
      <c r="X847" s="270"/>
      <c r="Y847" s="270"/>
      <c r="Z847" s="270"/>
      <c r="AA847" s="270"/>
    </row>
    <row r="848" spans="1:27" ht="16.899999999999999" x14ac:dyDescent="0.5">
      <c r="A848" s="270"/>
      <c r="B848" s="270"/>
      <c r="C848" s="270"/>
      <c r="D848" s="268"/>
      <c r="E848" s="270"/>
      <c r="F848" s="268"/>
      <c r="G848" s="270"/>
      <c r="H848" s="268"/>
      <c r="I848" s="270"/>
      <c r="J848" s="268"/>
      <c r="K848" s="270"/>
      <c r="L848" s="268"/>
      <c r="M848" s="270"/>
      <c r="N848" s="268"/>
      <c r="O848" s="270"/>
      <c r="P848" s="268"/>
      <c r="Q848" s="270"/>
      <c r="R848" s="268"/>
      <c r="S848" s="270"/>
      <c r="T848" s="268"/>
      <c r="U848" s="270"/>
      <c r="V848" s="268"/>
      <c r="W848" s="270"/>
      <c r="X848" s="270"/>
      <c r="Y848" s="270"/>
      <c r="Z848" s="270"/>
      <c r="AA848" s="270"/>
    </row>
    <row r="849" spans="1:27" ht="16.899999999999999" x14ac:dyDescent="0.5">
      <c r="A849" s="270"/>
      <c r="B849" s="270"/>
      <c r="C849" s="270"/>
      <c r="D849" s="268"/>
      <c r="E849" s="270"/>
      <c r="F849" s="268"/>
      <c r="G849" s="270"/>
      <c r="H849" s="268"/>
      <c r="I849" s="270"/>
      <c r="J849" s="268"/>
      <c r="K849" s="270"/>
      <c r="L849" s="268"/>
      <c r="M849" s="270"/>
      <c r="N849" s="268"/>
      <c r="O849" s="270"/>
      <c r="P849" s="268"/>
      <c r="Q849" s="270"/>
      <c r="R849" s="268"/>
      <c r="S849" s="270"/>
      <c r="T849" s="268"/>
      <c r="U849" s="270"/>
      <c r="V849" s="268"/>
      <c r="W849" s="270"/>
      <c r="X849" s="270"/>
      <c r="Y849" s="270"/>
      <c r="Z849" s="270"/>
      <c r="AA849" s="270"/>
    </row>
    <row r="850" spans="1:27" ht="16.899999999999999" x14ac:dyDescent="0.5">
      <c r="A850" s="270"/>
      <c r="B850" s="270"/>
      <c r="C850" s="270"/>
      <c r="D850" s="268"/>
      <c r="E850" s="270"/>
      <c r="F850" s="268"/>
      <c r="G850" s="270"/>
      <c r="H850" s="268"/>
      <c r="I850" s="270"/>
      <c r="J850" s="268"/>
      <c r="K850" s="270"/>
      <c r="L850" s="268"/>
      <c r="M850" s="270"/>
      <c r="N850" s="268"/>
      <c r="O850" s="270"/>
      <c r="P850" s="268"/>
      <c r="Q850" s="270"/>
      <c r="R850" s="268"/>
      <c r="S850" s="270"/>
      <c r="T850" s="268"/>
      <c r="U850" s="270"/>
      <c r="V850" s="268"/>
      <c r="W850" s="270"/>
      <c r="X850" s="270"/>
      <c r="Y850" s="270"/>
      <c r="Z850" s="270"/>
      <c r="AA850" s="270"/>
    </row>
    <row r="851" spans="1:27" ht="16.899999999999999" x14ac:dyDescent="0.5">
      <c r="A851" s="270"/>
      <c r="B851" s="270"/>
      <c r="C851" s="270"/>
      <c r="D851" s="268"/>
      <c r="E851" s="270"/>
      <c r="F851" s="268"/>
      <c r="G851" s="270"/>
      <c r="H851" s="268"/>
      <c r="I851" s="270"/>
      <c r="J851" s="268"/>
      <c r="K851" s="270"/>
      <c r="L851" s="268"/>
      <c r="M851" s="270"/>
      <c r="N851" s="268"/>
      <c r="O851" s="270"/>
      <c r="P851" s="268"/>
      <c r="Q851" s="270"/>
      <c r="R851" s="268"/>
      <c r="S851" s="270"/>
      <c r="T851" s="268"/>
      <c r="U851" s="270"/>
      <c r="V851" s="268"/>
      <c r="W851" s="270"/>
      <c r="X851" s="270"/>
      <c r="Y851" s="270"/>
      <c r="Z851" s="270"/>
      <c r="AA851" s="270"/>
    </row>
    <row r="852" spans="1:27" ht="16.899999999999999" x14ac:dyDescent="0.5">
      <c r="A852" s="270"/>
      <c r="B852" s="270"/>
      <c r="C852" s="270"/>
      <c r="D852" s="268"/>
      <c r="E852" s="270"/>
      <c r="F852" s="268"/>
      <c r="G852" s="270"/>
      <c r="H852" s="268"/>
      <c r="I852" s="270"/>
      <c r="J852" s="268"/>
      <c r="K852" s="270"/>
      <c r="L852" s="268"/>
      <c r="M852" s="270"/>
      <c r="N852" s="268"/>
      <c r="O852" s="270"/>
      <c r="P852" s="268"/>
      <c r="Q852" s="270"/>
      <c r="R852" s="268"/>
      <c r="S852" s="270"/>
      <c r="T852" s="268"/>
      <c r="U852" s="270"/>
      <c r="V852" s="268"/>
      <c r="W852" s="270"/>
      <c r="X852" s="270"/>
      <c r="Y852" s="270"/>
      <c r="Z852" s="270"/>
      <c r="AA852" s="270"/>
    </row>
    <row r="853" spans="1:27" ht="16.899999999999999" x14ac:dyDescent="0.5">
      <c r="A853" s="270"/>
      <c r="B853" s="270"/>
      <c r="C853" s="270"/>
      <c r="D853" s="268"/>
      <c r="E853" s="270"/>
      <c r="F853" s="268"/>
      <c r="G853" s="270"/>
      <c r="H853" s="268"/>
      <c r="I853" s="270"/>
      <c r="J853" s="268"/>
      <c r="K853" s="270"/>
      <c r="L853" s="268"/>
      <c r="M853" s="270"/>
      <c r="N853" s="268"/>
      <c r="O853" s="270"/>
      <c r="P853" s="268"/>
      <c r="Q853" s="270"/>
      <c r="R853" s="268"/>
      <c r="S853" s="270"/>
      <c r="T853" s="268"/>
      <c r="U853" s="270"/>
      <c r="V853" s="268"/>
      <c r="W853" s="270"/>
      <c r="X853" s="270"/>
      <c r="Y853" s="270"/>
      <c r="Z853" s="270"/>
      <c r="AA853" s="270"/>
    </row>
    <row r="854" spans="1:27" ht="16.899999999999999" x14ac:dyDescent="0.5">
      <c r="A854" s="270"/>
      <c r="B854" s="270"/>
      <c r="C854" s="270"/>
      <c r="D854" s="268"/>
      <c r="E854" s="270"/>
      <c r="F854" s="268"/>
      <c r="G854" s="270"/>
      <c r="H854" s="268"/>
      <c r="I854" s="270"/>
      <c r="J854" s="268"/>
      <c r="K854" s="270"/>
      <c r="L854" s="268"/>
      <c r="M854" s="270"/>
      <c r="N854" s="268"/>
      <c r="O854" s="270"/>
      <c r="P854" s="268"/>
      <c r="Q854" s="270"/>
      <c r="R854" s="268"/>
      <c r="S854" s="270"/>
      <c r="T854" s="268"/>
      <c r="U854" s="270"/>
      <c r="V854" s="268"/>
      <c r="W854" s="270"/>
      <c r="X854" s="270"/>
      <c r="Y854" s="270"/>
      <c r="Z854" s="270"/>
      <c r="AA854" s="270"/>
    </row>
    <row r="855" spans="1:27" ht="16.899999999999999" x14ac:dyDescent="0.5">
      <c r="A855" s="270"/>
      <c r="B855" s="270"/>
      <c r="C855" s="270"/>
      <c r="D855" s="268"/>
      <c r="E855" s="270"/>
      <c r="F855" s="268"/>
      <c r="G855" s="270"/>
      <c r="H855" s="268"/>
      <c r="I855" s="270"/>
      <c r="J855" s="268"/>
      <c r="K855" s="270"/>
      <c r="L855" s="268"/>
      <c r="M855" s="270"/>
      <c r="N855" s="268"/>
      <c r="O855" s="270"/>
      <c r="P855" s="268"/>
      <c r="Q855" s="270"/>
      <c r="R855" s="268"/>
      <c r="S855" s="270"/>
      <c r="T855" s="268"/>
      <c r="U855" s="270"/>
      <c r="V855" s="268"/>
      <c r="W855" s="270"/>
      <c r="X855" s="270"/>
      <c r="Y855" s="270"/>
      <c r="Z855" s="270"/>
      <c r="AA855" s="270"/>
    </row>
    <row r="856" spans="1:27" ht="16.899999999999999" x14ac:dyDescent="0.5">
      <c r="A856" s="270"/>
      <c r="B856" s="270"/>
      <c r="C856" s="270"/>
      <c r="D856" s="268"/>
      <c r="E856" s="270"/>
      <c r="F856" s="268"/>
      <c r="G856" s="270"/>
      <c r="H856" s="268"/>
      <c r="I856" s="270"/>
      <c r="J856" s="268"/>
      <c r="K856" s="270"/>
      <c r="L856" s="268"/>
      <c r="M856" s="270"/>
      <c r="N856" s="268"/>
      <c r="O856" s="270"/>
      <c r="P856" s="268"/>
      <c r="Q856" s="270"/>
      <c r="R856" s="268"/>
      <c r="S856" s="270"/>
      <c r="T856" s="268"/>
      <c r="U856" s="270"/>
      <c r="V856" s="268"/>
      <c r="W856" s="270"/>
      <c r="X856" s="270"/>
      <c r="Y856" s="270"/>
      <c r="Z856" s="270"/>
      <c r="AA856" s="270"/>
    </row>
    <row r="857" spans="1:27" ht="16.899999999999999" x14ac:dyDescent="0.5">
      <c r="A857" s="270"/>
      <c r="B857" s="270"/>
      <c r="C857" s="270"/>
      <c r="D857" s="268"/>
      <c r="E857" s="270"/>
      <c r="F857" s="268"/>
      <c r="G857" s="270"/>
      <c r="H857" s="268"/>
      <c r="I857" s="270"/>
      <c r="J857" s="268"/>
      <c r="K857" s="270"/>
      <c r="L857" s="268"/>
      <c r="M857" s="270"/>
      <c r="N857" s="268"/>
      <c r="O857" s="270"/>
      <c r="P857" s="268"/>
      <c r="Q857" s="270"/>
      <c r="R857" s="268"/>
      <c r="S857" s="270"/>
      <c r="T857" s="268"/>
      <c r="U857" s="270"/>
      <c r="V857" s="268"/>
      <c r="W857" s="270"/>
      <c r="X857" s="270"/>
      <c r="Y857" s="270"/>
      <c r="Z857" s="270"/>
      <c r="AA857" s="270"/>
    </row>
    <row r="858" spans="1:27" ht="16.899999999999999" x14ac:dyDescent="0.5">
      <c r="A858" s="270"/>
      <c r="B858" s="270"/>
      <c r="C858" s="270"/>
      <c r="D858" s="268"/>
      <c r="E858" s="270"/>
      <c r="F858" s="268"/>
      <c r="G858" s="270"/>
      <c r="H858" s="268"/>
      <c r="I858" s="270"/>
      <c r="J858" s="268"/>
      <c r="K858" s="270"/>
      <c r="L858" s="268"/>
      <c r="M858" s="270"/>
      <c r="N858" s="268"/>
      <c r="O858" s="270"/>
      <c r="P858" s="268"/>
      <c r="Q858" s="270"/>
      <c r="R858" s="268"/>
      <c r="S858" s="270"/>
      <c r="T858" s="268"/>
      <c r="U858" s="270"/>
      <c r="V858" s="268"/>
      <c r="W858" s="270"/>
      <c r="X858" s="270"/>
      <c r="Y858" s="270"/>
      <c r="Z858" s="270"/>
      <c r="AA858" s="270"/>
    </row>
    <row r="859" spans="1:27" ht="16.899999999999999" x14ac:dyDescent="0.5">
      <c r="A859" s="270"/>
      <c r="B859" s="270"/>
      <c r="C859" s="270"/>
      <c r="D859" s="268"/>
      <c r="E859" s="270"/>
      <c r="F859" s="268"/>
      <c r="G859" s="270"/>
      <c r="H859" s="268"/>
      <c r="I859" s="270"/>
      <c r="J859" s="268"/>
      <c r="K859" s="270"/>
      <c r="L859" s="268"/>
      <c r="M859" s="270"/>
      <c r="N859" s="268"/>
      <c r="O859" s="270"/>
      <c r="P859" s="268"/>
      <c r="Q859" s="270"/>
      <c r="R859" s="268"/>
      <c r="S859" s="270"/>
      <c r="T859" s="268"/>
      <c r="U859" s="270"/>
      <c r="V859" s="268"/>
      <c r="W859" s="270"/>
      <c r="X859" s="270"/>
      <c r="Y859" s="270"/>
      <c r="Z859" s="270"/>
      <c r="AA859" s="270"/>
    </row>
    <row r="860" spans="1:27" ht="16.899999999999999" x14ac:dyDescent="0.5">
      <c r="A860" s="270"/>
      <c r="B860" s="270"/>
      <c r="C860" s="270"/>
      <c r="D860" s="268"/>
      <c r="E860" s="270"/>
      <c r="F860" s="268"/>
      <c r="G860" s="270"/>
      <c r="H860" s="268"/>
      <c r="I860" s="270"/>
      <c r="J860" s="268"/>
      <c r="K860" s="270"/>
      <c r="L860" s="268"/>
      <c r="M860" s="270"/>
      <c r="N860" s="268"/>
      <c r="O860" s="270"/>
      <c r="P860" s="268"/>
      <c r="Q860" s="270"/>
      <c r="R860" s="268"/>
      <c r="S860" s="270"/>
      <c r="T860" s="268"/>
      <c r="U860" s="270"/>
      <c r="V860" s="268"/>
      <c r="W860" s="270"/>
      <c r="X860" s="270"/>
      <c r="Y860" s="270"/>
      <c r="Z860" s="270"/>
      <c r="AA860" s="270"/>
    </row>
    <row r="861" spans="1:27" ht="16.899999999999999" x14ac:dyDescent="0.5">
      <c r="A861" s="270"/>
      <c r="B861" s="270"/>
      <c r="C861" s="270"/>
      <c r="D861" s="268"/>
      <c r="E861" s="270"/>
      <c r="F861" s="268"/>
      <c r="G861" s="270"/>
      <c r="H861" s="268"/>
      <c r="I861" s="270"/>
      <c r="J861" s="268"/>
      <c r="K861" s="270"/>
      <c r="L861" s="268"/>
      <c r="M861" s="270"/>
      <c r="N861" s="268"/>
      <c r="O861" s="270"/>
      <c r="P861" s="268"/>
      <c r="Q861" s="270"/>
      <c r="R861" s="268"/>
      <c r="S861" s="270"/>
      <c r="T861" s="268"/>
      <c r="U861" s="270"/>
      <c r="V861" s="268"/>
      <c r="W861" s="270"/>
      <c r="X861" s="270"/>
      <c r="Y861" s="270"/>
      <c r="Z861" s="270"/>
      <c r="AA861" s="270"/>
    </row>
    <row r="862" spans="1:27" ht="16.899999999999999" x14ac:dyDescent="0.5">
      <c r="A862" s="270"/>
      <c r="B862" s="270"/>
      <c r="C862" s="270"/>
      <c r="D862" s="268"/>
      <c r="E862" s="270"/>
      <c r="F862" s="268"/>
      <c r="G862" s="270"/>
      <c r="H862" s="268"/>
      <c r="I862" s="270"/>
      <c r="J862" s="268"/>
      <c r="K862" s="270"/>
      <c r="L862" s="268"/>
      <c r="M862" s="270"/>
      <c r="N862" s="268"/>
      <c r="O862" s="270"/>
      <c r="P862" s="268"/>
      <c r="Q862" s="270"/>
      <c r="R862" s="268"/>
      <c r="S862" s="270"/>
      <c r="T862" s="268"/>
      <c r="U862" s="270"/>
      <c r="V862" s="268"/>
      <c r="W862" s="270"/>
      <c r="X862" s="270"/>
      <c r="Y862" s="270"/>
      <c r="Z862" s="270"/>
      <c r="AA862" s="270"/>
    </row>
    <row r="863" spans="1:27" ht="16.899999999999999" x14ac:dyDescent="0.5">
      <c r="A863" s="270"/>
      <c r="B863" s="270"/>
      <c r="C863" s="270"/>
      <c r="D863" s="268"/>
      <c r="E863" s="270"/>
      <c r="F863" s="268"/>
      <c r="G863" s="270"/>
      <c r="H863" s="268"/>
      <c r="I863" s="270"/>
      <c r="J863" s="268"/>
      <c r="K863" s="270"/>
      <c r="L863" s="268"/>
      <c r="M863" s="270"/>
      <c r="N863" s="268"/>
      <c r="O863" s="270"/>
      <c r="P863" s="268"/>
      <c r="Q863" s="270"/>
      <c r="R863" s="268"/>
      <c r="S863" s="270"/>
      <c r="T863" s="268"/>
      <c r="U863" s="270"/>
      <c r="V863" s="268"/>
      <c r="W863" s="270"/>
      <c r="X863" s="270"/>
      <c r="Y863" s="270"/>
      <c r="Z863" s="270"/>
      <c r="AA863" s="270"/>
    </row>
    <row r="864" spans="1:27" ht="16.899999999999999" x14ac:dyDescent="0.5">
      <c r="A864" s="270"/>
      <c r="B864" s="270"/>
      <c r="C864" s="270"/>
      <c r="D864" s="268"/>
      <c r="E864" s="270"/>
      <c r="F864" s="268"/>
      <c r="G864" s="270"/>
      <c r="H864" s="268"/>
      <c r="I864" s="270"/>
      <c r="J864" s="268"/>
      <c r="K864" s="270"/>
      <c r="L864" s="268"/>
      <c r="M864" s="270"/>
      <c r="N864" s="268"/>
      <c r="O864" s="270"/>
      <c r="P864" s="268"/>
      <c r="Q864" s="270"/>
      <c r="R864" s="268"/>
      <c r="S864" s="270"/>
      <c r="T864" s="268"/>
      <c r="U864" s="270"/>
      <c r="V864" s="268"/>
      <c r="W864" s="270"/>
      <c r="X864" s="270"/>
      <c r="Y864" s="270"/>
      <c r="Z864" s="270"/>
      <c r="AA864" s="270"/>
    </row>
    <row r="865" spans="1:27" ht="16.899999999999999" x14ac:dyDescent="0.5">
      <c r="A865" s="270"/>
      <c r="B865" s="270"/>
      <c r="C865" s="270"/>
      <c r="D865" s="268"/>
      <c r="E865" s="270"/>
      <c r="F865" s="268"/>
      <c r="G865" s="270"/>
      <c r="H865" s="268"/>
      <c r="I865" s="270"/>
      <c r="J865" s="268"/>
      <c r="K865" s="270"/>
      <c r="L865" s="268"/>
      <c r="M865" s="270"/>
      <c r="N865" s="268"/>
      <c r="O865" s="270"/>
      <c r="P865" s="268"/>
      <c r="Q865" s="270"/>
      <c r="R865" s="268"/>
      <c r="S865" s="270"/>
      <c r="T865" s="268"/>
      <c r="U865" s="270"/>
      <c r="V865" s="268"/>
      <c r="W865" s="270"/>
      <c r="X865" s="270"/>
      <c r="Y865" s="270"/>
      <c r="Z865" s="270"/>
      <c r="AA865" s="270"/>
    </row>
    <row r="866" spans="1:27" ht="16.899999999999999" x14ac:dyDescent="0.5">
      <c r="A866" s="270"/>
      <c r="B866" s="270"/>
      <c r="C866" s="270"/>
      <c r="D866" s="268"/>
      <c r="E866" s="270"/>
      <c r="F866" s="268"/>
      <c r="G866" s="270"/>
      <c r="H866" s="268"/>
      <c r="I866" s="270"/>
      <c r="J866" s="268"/>
      <c r="K866" s="270"/>
      <c r="L866" s="268"/>
      <c r="M866" s="270"/>
      <c r="N866" s="268"/>
      <c r="O866" s="270"/>
      <c r="P866" s="268"/>
      <c r="Q866" s="270"/>
      <c r="R866" s="268"/>
      <c r="S866" s="270"/>
      <c r="T866" s="268"/>
      <c r="U866" s="270"/>
      <c r="V866" s="268"/>
      <c r="W866" s="270"/>
      <c r="X866" s="270"/>
      <c r="Y866" s="270"/>
      <c r="Z866" s="270"/>
      <c r="AA866" s="270"/>
    </row>
    <row r="867" spans="1:27" ht="16.899999999999999" x14ac:dyDescent="0.5">
      <c r="A867" s="270"/>
      <c r="B867" s="270"/>
      <c r="C867" s="270"/>
      <c r="D867" s="268"/>
      <c r="E867" s="270"/>
      <c r="F867" s="268"/>
      <c r="G867" s="270"/>
      <c r="H867" s="268"/>
      <c r="I867" s="270"/>
      <c r="J867" s="268"/>
      <c r="K867" s="270"/>
      <c r="L867" s="268"/>
      <c r="M867" s="270"/>
      <c r="N867" s="268"/>
      <c r="O867" s="270"/>
      <c r="P867" s="268"/>
      <c r="Q867" s="270"/>
      <c r="R867" s="268"/>
      <c r="S867" s="270"/>
      <c r="T867" s="268"/>
      <c r="U867" s="270"/>
      <c r="V867" s="268"/>
      <c r="W867" s="270"/>
      <c r="X867" s="270"/>
      <c r="Y867" s="270"/>
      <c r="Z867" s="270"/>
      <c r="AA867" s="270"/>
    </row>
    <row r="868" spans="1:27" ht="16.899999999999999" x14ac:dyDescent="0.5">
      <c r="A868" s="270"/>
      <c r="B868" s="270"/>
      <c r="C868" s="270"/>
      <c r="D868" s="268"/>
      <c r="E868" s="270"/>
      <c r="F868" s="268"/>
      <c r="G868" s="270"/>
      <c r="H868" s="268"/>
      <c r="I868" s="270"/>
      <c r="J868" s="268"/>
      <c r="K868" s="270"/>
      <c r="L868" s="268"/>
      <c r="M868" s="270"/>
      <c r="N868" s="268"/>
      <c r="O868" s="270"/>
      <c r="P868" s="268"/>
      <c r="Q868" s="270"/>
      <c r="R868" s="268"/>
      <c r="S868" s="270"/>
      <c r="T868" s="268"/>
      <c r="U868" s="270"/>
      <c r="V868" s="268"/>
      <c r="W868" s="270"/>
      <c r="X868" s="270"/>
      <c r="Y868" s="270"/>
      <c r="Z868" s="270"/>
      <c r="AA868" s="270"/>
    </row>
    <row r="869" spans="1:27" ht="16.899999999999999" x14ac:dyDescent="0.5">
      <c r="A869" s="270"/>
      <c r="B869" s="270"/>
      <c r="C869" s="270"/>
      <c r="D869" s="268"/>
      <c r="E869" s="270"/>
      <c r="F869" s="268"/>
      <c r="G869" s="270"/>
      <c r="H869" s="268"/>
      <c r="I869" s="270"/>
      <c r="J869" s="268"/>
      <c r="K869" s="270"/>
      <c r="L869" s="268"/>
      <c r="M869" s="270"/>
      <c r="N869" s="268"/>
      <c r="O869" s="270"/>
      <c r="P869" s="268"/>
      <c r="Q869" s="270"/>
      <c r="R869" s="268"/>
      <c r="S869" s="270"/>
      <c r="T869" s="268"/>
      <c r="U869" s="270"/>
      <c r="V869" s="268"/>
      <c r="W869" s="270"/>
      <c r="X869" s="270"/>
      <c r="Y869" s="270"/>
      <c r="Z869" s="270"/>
      <c r="AA869" s="270"/>
    </row>
    <row r="870" spans="1:27" ht="16.899999999999999" x14ac:dyDescent="0.5">
      <c r="A870" s="270"/>
      <c r="B870" s="270"/>
      <c r="C870" s="270"/>
      <c r="D870" s="268"/>
      <c r="E870" s="270"/>
      <c r="F870" s="268"/>
      <c r="G870" s="270"/>
      <c r="H870" s="268"/>
      <c r="I870" s="270"/>
      <c r="J870" s="268"/>
      <c r="K870" s="270"/>
      <c r="L870" s="268"/>
      <c r="M870" s="270"/>
      <c r="N870" s="268"/>
      <c r="O870" s="270"/>
      <c r="P870" s="268"/>
      <c r="Q870" s="270"/>
      <c r="R870" s="268"/>
      <c r="S870" s="270"/>
      <c r="T870" s="268"/>
      <c r="U870" s="270"/>
      <c r="V870" s="268"/>
      <c r="W870" s="270"/>
      <c r="X870" s="270"/>
      <c r="Y870" s="270"/>
      <c r="Z870" s="270"/>
      <c r="AA870" s="270"/>
    </row>
    <row r="871" spans="1:27" ht="16.899999999999999" x14ac:dyDescent="0.5">
      <c r="A871" s="270"/>
      <c r="B871" s="270"/>
      <c r="C871" s="270"/>
      <c r="D871" s="268"/>
      <c r="E871" s="270"/>
      <c r="F871" s="268"/>
      <c r="G871" s="270"/>
      <c r="H871" s="268"/>
      <c r="I871" s="270"/>
      <c r="J871" s="268"/>
      <c r="K871" s="270"/>
      <c r="L871" s="268"/>
      <c r="M871" s="270"/>
      <c r="N871" s="268"/>
      <c r="O871" s="270"/>
      <c r="P871" s="268"/>
      <c r="Q871" s="270"/>
      <c r="R871" s="268"/>
      <c r="S871" s="270"/>
      <c r="T871" s="268"/>
      <c r="U871" s="270"/>
      <c r="V871" s="268"/>
      <c r="W871" s="270"/>
      <c r="X871" s="270"/>
      <c r="Y871" s="270"/>
      <c r="Z871" s="270"/>
      <c r="AA871" s="270"/>
    </row>
    <row r="872" spans="1:27" ht="16.899999999999999" x14ac:dyDescent="0.5">
      <c r="A872" s="270"/>
      <c r="B872" s="270"/>
      <c r="C872" s="270"/>
      <c r="D872" s="268"/>
      <c r="E872" s="270"/>
      <c r="F872" s="268"/>
      <c r="G872" s="270"/>
      <c r="H872" s="268"/>
      <c r="I872" s="270"/>
      <c r="J872" s="268"/>
      <c r="K872" s="270"/>
      <c r="L872" s="268"/>
      <c r="M872" s="270"/>
      <c r="N872" s="268"/>
      <c r="O872" s="270"/>
      <c r="P872" s="268"/>
      <c r="Q872" s="270"/>
      <c r="R872" s="268"/>
      <c r="S872" s="270"/>
      <c r="T872" s="268"/>
      <c r="U872" s="270"/>
      <c r="V872" s="268"/>
      <c r="W872" s="270"/>
      <c r="X872" s="270"/>
      <c r="Y872" s="270"/>
      <c r="Z872" s="270"/>
      <c r="AA872" s="270"/>
    </row>
    <row r="873" spans="1:27" ht="16.899999999999999" x14ac:dyDescent="0.5">
      <c r="A873" s="270"/>
      <c r="B873" s="270"/>
      <c r="C873" s="270"/>
      <c r="D873" s="268"/>
      <c r="E873" s="270"/>
      <c r="F873" s="268"/>
      <c r="G873" s="270"/>
      <c r="H873" s="268"/>
      <c r="I873" s="270"/>
      <c r="J873" s="268"/>
      <c r="K873" s="270"/>
      <c r="L873" s="268"/>
      <c r="M873" s="270"/>
      <c r="N873" s="268"/>
      <c r="O873" s="270"/>
      <c r="P873" s="268"/>
      <c r="Q873" s="270"/>
      <c r="R873" s="268"/>
      <c r="S873" s="270"/>
      <c r="T873" s="268"/>
      <c r="U873" s="270"/>
      <c r="V873" s="268"/>
      <c r="W873" s="270"/>
      <c r="X873" s="270"/>
      <c r="Y873" s="270"/>
      <c r="Z873" s="270"/>
      <c r="AA873" s="270"/>
    </row>
    <row r="874" spans="1:27" ht="16.899999999999999" x14ac:dyDescent="0.5">
      <c r="A874" s="270"/>
      <c r="B874" s="270"/>
      <c r="C874" s="270"/>
      <c r="D874" s="268"/>
      <c r="E874" s="270"/>
      <c r="F874" s="268"/>
      <c r="G874" s="270"/>
      <c r="H874" s="268"/>
      <c r="I874" s="270"/>
      <c r="J874" s="268"/>
      <c r="K874" s="270"/>
      <c r="L874" s="268"/>
      <c r="M874" s="270"/>
      <c r="N874" s="268"/>
      <c r="O874" s="270"/>
      <c r="P874" s="268"/>
      <c r="Q874" s="270"/>
      <c r="R874" s="268"/>
      <c r="S874" s="270"/>
      <c r="T874" s="268"/>
      <c r="U874" s="270"/>
      <c r="V874" s="268"/>
      <c r="W874" s="270"/>
      <c r="X874" s="270"/>
      <c r="Y874" s="270"/>
      <c r="Z874" s="270"/>
      <c r="AA874" s="270"/>
    </row>
    <row r="875" spans="1:27" ht="16.899999999999999" x14ac:dyDescent="0.5">
      <c r="A875" s="270"/>
      <c r="B875" s="270"/>
      <c r="C875" s="270"/>
      <c r="D875" s="268"/>
      <c r="E875" s="270"/>
      <c r="F875" s="268"/>
      <c r="G875" s="270"/>
      <c r="H875" s="268"/>
      <c r="I875" s="270"/>
      <c r="J875" s="268"/>
      <c r="K875" s="270"/>
      <c r="L875" s="268"/>
      <c r="M875" s="270"/>
      <c r="N875" s="268"/>
      <c r="O875" s="270"/>
      <c r="P875" s="268"/>
      <c r="Q875" s="270"/>
      <c r="R875" s="268"/>
      <c r="S875" s="270"/>
      <c r="T875" s="268"/>
      <c r="U875" s="270"/>
      <c r="V875" s="268"/>
      <c r="W875" s="270"/>
      <c r="X875" s="270"/>
      <c r="Y875" s="270"/>
      <c r="Z875" s="270"/>
      <c r="AA875" s="270"/>
    </row>
    <row r="876" spans="1:27" ht="16.899999999999999" x14ac:dyDescent="0.5">
      <c r="A876" s="270"/>
      <c r="B876" s="270"/>
      <c r="C876" s="270"/>
      <c r="D876" s="268"/>
      <c r="E876" s="270"/>
      <c r="F876" s="268"/>
      <c r="G876" s="270"/>
      <c r="H876" s="268"/>
      <c r="I876" s="270"/>
      <c r="J876" s="268"/>
      <c r="K876" s="270"/>
      <c r="L876" s="268"/>
      <c r="M876" s="270"/>
      <c r="N876" s="268"/>
      <c r="O876" s="270"/>
      <c r="P876" s="268"/>
      <c r="Q876" s="270"/>
      <c r="R876" s="268"/>
      <c r="S876" s="270"/>
      <c r="T876" s="268"/>
      <c r="U876" s="270"/>
      <c r="V876" s="268"/>
      <c r="W876" s="270"/>
      <c r="X876" s="270"/>
      <c r="Y876" s="270"/>
      <c r="Z876" s="270"/>
      <c r="AA876" s="270"/>
    </row>
    <row r="877" spans="1:27" ht="16.899999999999999" x14ac:dyDescent="0.5">
      <c r="A877" s="270"/>
      <c r="B877" s="270"/>
      <c r="C877" s="270"/>
      <c r="D877" s="268"/>
      <c r="E877" s="270"/>
      <c r="F877" s="268"/>
      <c r="G877" s="270"/>
      <c r="H877" s="268"/>
      <c r="I877" s="270"/>
      <c r="J877" s="268"/>
      <c r="K877" s="270"/>
      <c r="L877" s="268"/>
      <c r="M877" s="270"/>
      <c r="N877" s="268"/>
      <c r="O877" s="270"/>
      <c r="P877" s="268"/>
      <c r="Q877" s="270"/>
      <c r="R877" s="268"/>
      <c r="S877" s="270"/>
      <c r="T877" s="268"/>
      <c r="U877" s="270"/>
      <c r="V877" s="268"/>
      <c r="W877" s="270"/>
      <c r="X877" s="270"/>
      <c r="Y877" s="270"/>
      <c r="Z877" s="270"/>
      <c r="AA877" s="270"/>
    </row>
    <row r="878" spans="1:27" ht="16.899999999999999" x14ac:dyDescent="0.5">
      <c r="A878" s="270"/>
      <c r="B878" s="270"/>
      <c r="C878" s="270"/>
      <c r="D878" s="268"/>
      <c r="E878" s="270"/>
      <c r="F878" s="268"/>
      <c r="G878" s="270"/>
      <c r="H878" s="268"/>
      <c r="I878" s="270"/>
      <c r="J878" s="268"/>
      <c r="K878" s="270"/>
      <c r="L878" s="268"/>
      <c r="M878" s="270"/>
      <c r="N878" s="268"/>
      <c r="O878" s="270"/>
      <c r="P878" s="268"/>
      <c r="Q878" s="270"/>
      <c r="R878" s="268"/>
      <c r="S878" s="270"/>
      <c r="T878" s="268"/>
      <c r="U878" s="270"/>
      <c r="V878" s="268"/>
      <c r="W878" s="270"/>
      <c r="X878" s="270"/>
      <c r="Y878" s="270"/>
      <c r="Z878" s="270"/>
      <c r="AA878" s="270"/>
    </row>
    <row r="879" spans="1:27" ht="16.899999999999999" x14ac:dyDescent="0.5">
      <c r="A879" s="270"/>
      <c r="B879" s="270"/>
      <c r="C879" s="270"/>
      <c r="D879" s="268"/>
      <c r="E879" s="270"/>
      <c r="F879" s="268"/>
      <c r="G879" s="270"/>
      <c r="H879" s="268"/>
      <c r="I879" s="270"/>
      <c r="J879" s="268"/>
      <c r="K879" s="270"/>
      <c r="L879" s="268"/>
      <c r="M879" s="270"/>
      <c r="N879" s="268"/>
      <c r="O879" s="270"/>
      <c r="P879" s="268"/>
      <c r="Q879" s="270"/>
      <c r="R879" s="268"/>
      <c r="S879" s="270"/>
      <c r="T879" s="268"/>
      <c r="U879" s="270"/>
      <c r="V879" s="268"/>
      <c r="W879" s="270"/>
      <c r="X879" s="270"/>
      <c r="Y879" s="270"/>
      <c r="Z879" s="270"/>
      <c r="AA879" s="270"/>
    </row>
    <row r="880" spans="1:27" ht="16.899999999999999" x14ac:dyDescent="0.5">
      <c r="A880" s="270"/>
      <c r="B880" s="270"/>
      <c r="C880" s="270"/>
      <c r="D880" s="268"/>
      <c r="E880" s="270"/>
      <c r="F880" s="268"/>
      <c r="G880" s="270"/>
      <c r="H880" s="268"/>
      <c r="I880" s="270"/>
      <c r="J880" s="268"/>
      <c r="K880" s="270"/>
      <c r="L880" s="268"/>
      <c r="M880" s="270"/>
      <c r="N880" s="268"/>
      <c r="O880" s="270"/>
      <c r="P880" s="268"/>
      <c r="Q880" s="270"/>
      <c r="R880" s="268"/>
      <c r="S880" s="270"/>
      <c r="T880" s="268"/>
      <c r="U880" s="270"/>
      <c r="V880" s="268"/>
      <c r="W880" s="270"/>
      <c r="X880" s="270"/>
      <c r="Y880" s="270"/>
      <c r="Z880" s="270"/>
      <c r="AA880" s="270"/>
    </row>
    <row r="881" spans="1:27" ht="16.899999999999999" x14ac:dyDescent="0.5">
      <c r="A881" s="270"/>
      <c r="B881" s="270"/>
      <c r="C881" s="270"/>
      <c r="D881" s="268"/>
      <c r="E881" s="270"/>
      <c r="F881" s="268"/>
      <c r="G881" s="270"/>
      <c r="H881" s="268"/>
      <c r="I881" s="270"/>
      <c r="J881" s="268"/>
      <c r="K881" s="270"/>
      <c r="L881" s="268"/>
      <c r="M881" s="270"/>
      <c r="N881" s="268"/>
      <c r="O881" s="270"/>
      <c r="P881" s="268"/>
      <c r="Q881" s="270"/>
      <c r="R881" s="268"/>
      <c r="S881" s="270"/>
      <c r="T881" s="268"/>
      <c r="U881" s="270"/>
      <c r="V881" s="268"/>
      <c r="W881" s="270"/>
      <c r="X881" s="270"/>
      <c r="Y881" s="270"/>
      <c r="Z881" s="270"/>
      <c r="AA881" s="270"/>
    </row>
    <row r="882" spans="1:27" ht="16.899999999999999" x14ac:dyDescent="0.5">
      <c r="A882" s="270"/>
      <c r="B882" s="270"/>
      <c r="C882" s="270"/>
      <c r="D882" s="268"/>
      <c r="E882" s="270"/>
      <c r="F882" s="268"/>
      <c r="G882" s="270"/>
      <c r="H882" s="268"/>
      <c r="I882" s="270"/>
      <c r="J882" s="268"/>
      <c r="K882" s="270"/>
      <c r="L882" s="268"/>
      <c r="M882" s="270"/>
      <c r="N882" s="268"/>
      <c r="O882" s="270"/>
      <c r="P882" s="268"/>
      <c r="Q882" s="270"/>
      <c r="R882" s="268"/>
      <c r="S882" s="270"/>
      <c r="T882" s="268"/>
      <c r="U882" s="270"/>
      <c r="V882" s="268"/>
      <c r="W882" s="270"/>
      <c r="X882" s="270"/>
      <c r="Y882" s="270"/>
      <c r="Z882" s="270"/>
      <c r="AA882" s="270"/>
    </row>
    <row r="883" spans="1:27" ht="16.899999999999999" x14ac:dyDescent="0.5">
      <c r="A883" s="270"/>
      <c r="B883" s="270"/>
      <c r="C883" s="270"/>
      <c r="D883" s="268"/>
      <c r="E883" s="270"/>
      <c r="F883" s="268"/>
      <c r="G883" s="270"/>
      <c r="H883" s="268"/>
      <c r="I883" s="270"/>
      <c r="J883" s="268"/>
      <c r="K883" s="270"/>
      <c r="L883" s="268"/>
      <c r="M883" s="270"/>
      <c r="N883" s="268"/>
      <c r="O883" s="270"/>
      <c r="P883" s="268"/>
      <c r="Q883" s="270"/>
      <c r="R883" s="268"/>
      <c r="S883" s="270"/>
      <c r="T883" s="268"/>
      <c r="U883" s="270"/>
      <c r="V883" s="268"/>
      <c r="W883" s="270"/>
      <c r="X883" s="270"/>
      <c r="Y883" s="270"/>
      <c r="Z883" s="270"/>
      <c r="AA883" s="270"/>
    </row>
    <row r="884" spans="1:27" ht="16.899999999999999" x14ac:dyDescent="0.5">
      <c r="A884" s="270"/>
      <c r="B884" s="270"/>
      <c r="C884" s="270"/>
      <c r="D884" s="268"/>
      <c r="E884" s="270"/>
      <c r="F884" s="268"/>
      <c r="G884" s="270"/>
      <c r="H884" s="268"/>
      <c r="I884" s="270"/>
      <c r="J884" s="268"/>
      <c r="K884" s="270"/>
      <c r="L884" s="268"/>
      <c r="M884" s="270"/>
      <c r="N884" s="268"/>
      <c r="O884" s="270"/>
      <c r="P884" s="268"/>
      <c r="Q884" s="270"/>
      <c r="R884" s="268"/>
      <c r="S884" s="270"/>
      <c r="T884" s="268"/>
      <c r="U884" s="270"/>
      <c r="V884" s="268"/>
      <c r="W884" s="270"/>
      <c r="X884" s="270"/>
      <c r="Y884" s="270"/>
      <c r="Z884" s="270"/>
      <c r="AA884" s="270"/>
    </row>
    <row r="885" spans="1:27" ht="16.899999999999999" x14ac:dyDescent="0.5">
      <c r="A885" s="270"/>
      <c r="B885" s="270"/>
      <c r="C885" s="270"/>
      <c r="D885" s="268"/>
      <c r="E885" s="270"/>
      <c r="F885" s="268"/>
      <c r="G885" s="270"/>
      <c r="H885" s="268"/>
      <c r="I885" s="270"/>
      <c r="J885" s="268"/>
      <c r="K885" s="270"/>
      <c r="L885" s="268"/>
      <c r="M885" s="270"/>
      <c r="N885" s="268"/>
      <c r="O885" s="270"/>
      <c r="P885" s="268"/>
      <c r="Q885" s="270"/>
      <c r="R885" s="268"/>
      <c r="S885" s="270"/>
      <c r="T885" s="268"/>
      <c r="U885" s="270"/>
      <c r="V885" s="268"/>
      <c r="W885" s="270"/>
      <c r="X885" s="270"/>
      <c r="Y885" s="270"/>
      <c r="Z885" s="270"/>
      <c r="AA885" s="270"/>
    </row>
    <row r="886" spans="1:27" ht="16.899999999999999" x14ac:dyDescent="0.5">
      <c r="A886" s="270"/>
      <c r="B886" s="270"/>
      <c r="C886" s="270"/>
      <c r="D886" s="268"/>
      <c r="E886" s="270"/>
      <c r="F886" s="268"/>
      <c r="G886" s="270"/>
      <c r="H886" s="268"/>
      <c r="I886" s="270"/>
      <c r="J886" s="268"/>
      <c r="K886" s="270"/>
      <c r="L886" s="268"/>
      <c r="M886" s="270"/>
      <c r="N886" s="268"/>
      <c r="O886" s="270"/>
      <c r="P886" s="268"/>
      <c r="Q886" s="270"/>
      <c r="R886" s="268"/>
      <c r="S886" s="270"/>
      <c r="T886" s="268"/>
      <c r="U886" s="270"/>
      <c r="V886" s="268"/>
      <c r="W886" s="270"/>
      <c r="X886" s="270"/>
      <c r="Y886" s="270"/>
      <c r="Z886" s="270"/>
      <c r="AA886" s="270"/>
    </row>
    <row r="887" spans="1:27" ht="16.899999999999999" x14ac:dyDescent="0.5">
      <c r="A887" s="270"/>
      <c r="B887" s="270"/>
      <c r="C887" s="270"/>
      <c r="D887" s="268"/>
      <c r="E887" s="270"/>
      <c r="F887" s="268"/>
      <c r="G887" s="270"/>
      <c r="H887" s="268"/>
      <c r="I887" s="270"/>
      <c r="J887" s="268"/>
      <c r="K887" s="270"/>
      <c r="L887" s="268"/>
      <c r="M887" s="270"/>
      <c r="N887" s="268"/>
      <c r="O887" s="270"/>
      <c r="P887" s="268"/>
      <c r="Q887" s="270"/>
      <c r="R887" s="268"/>
      <c r="S887" s="270"/>
      <c r="T887" s="268"/>
      <c r="U887" s="270"/>
      <c r="V887" s="268"/>
      <c r="W887" s="270"/>
      <c r="X887" s="270"/>
      <c r="Y887" s="270"/>
      <c r="Z887" s="270"/>
      <c r="AA887" s="270"/>
    </row>
    <row r="888" spans="1:27" ht="16.899999999999999" x14ac:dyDescent="0.5">
      <c r="A888" s="270"/>
      <c r="B888" s="270"/>
      <c r="C888" s="270"/>
      <c r="D888" s="268"/>
      <c r="E888" s="270"/>
      <c r="F888" s="268"/>
      <c r="G888" s="270"/>
      <c r="H888" s="268"/>
      <c r="I888" s="270"/>
      <c r="J888" s="268"/>
      <c r="K888" s="270"/>
      <c r="L888" s="268"/>
      <c r="M888" s="270"/>
      <c r="N888" s="268"/>
      <c r="O888" s="270"/>
      <c r="P888" s="268"/>
      <c r="Q888" s="270"/>
      <c r="R888" s="268"/>
      <c r="S888" s="270"/>
      <c r="T888" s="268"/>
      <c r="U888" s="270"/>
      <c r="V888" s="268"/>
      <c r="W888" s="270"/>
      <c r="X888" s="270"/>
      <c r="Y888" s="270"/>
      <c r="Z888" s="270"/>
      <c r="AA888" s="270"/>
    </row>
    <row r="889" spans="1:27" ht="16.899999999999999" x14ac:dyDescent="0.5">
      <c r="A889" s="270"/>
      <c r="B889" s="270"/>
      <c r="C889" s="270"/>
      <c r="D889" s="268"/>
      <c r="E889" s="270"/>
      <c r="F889" s="268"/>
      <c r="G889" s="270"/>
      <c r="H889" s="268"/>
      <c r="I889" s="270"/>
      <c r="J889" s="268"/>
      <c r="K889" s="270"/>
      <c r="L889" s="268"/>
      <c r="M889" s="270"/>
      <c r="N889" s="268"/>
      <c r="O889" s="270"/>
      <c r="P889" s="268"/>
      <c r="Q889" s="270"/>
      <c r="R889" s="268"/>
      <c r="S889" s="270"/>
      <c r="T889" s="268"/>
      <c r="U889" s="270"/>
      <c r="V889" s="268"/>
      <c r="W889" s="270"/>
      <c r="X889" s="270"/>
      <c r="Y889" s="270"/>
      <c r="Z889" s="270"/>
      <c r="AA889" s="270"/>
    </row>
    <row r="890" spans="1:27" ht="16.899999999999999" x14ac:dyDescent="0.5">
      <c r="A890" s="270"/>
      <c r="B890" s="270"/>
      <c r="C890" s="270"/>
      <c r="D890" s="268"/>
      <c r="E890" s="270"/>
      <c r="F890" s="268"/>
      <c r="G890" s="270"/>
      <c r="H890" s="268"/>
      <c r="I890" s="270"/>
      <c r="J890" s="268"/>
      <c r="K890" s="270"/>
      <c r="L890" s="268"/>
      <c r="M890" s="270"/>
      <c r="N890" s="268"/>
      <c r="O890" s="270"/>
      <c r="P890" s="268"/>
      <c r="Q890" s="270"/>
      <c r="R890" s="268"/>
      <c r="S890" s="270"/>
      <c r="T890" s="268"/>
      <c r="U890" s="270"/>
      <c r="V890" s="268"/>
      <c r="W890" s="270"/>
      <c r="X890" s="270"/>
      <c r="Y890" s="270"/>
      <c r="Z890" s="270"/>
      <c r="AA890" s="270"/>
    </row>
    <row r="891" spans="1:27" ht="16.899999999999999" x14ac:dyDescent="0.5">
      <c r="A891" s="270"/>
      <c r="B891" s="270"/>
      <c r="C891" s="270"/>
      <c r="D891" s="268"/>
      <c r="E891" s="270"/>
      <c r="F891" s="268"/>
      <c r="G891" s="270"/>
      <c r="H891" s="268"/>
      <c r="I891" s="270"/>
      <c r="J891" s="268"/>
      <c r="K891" s="270"/>
      <c r="L891" s="268"/>
      <c r="M891" s="270"/>
      <c r="N891" s="268"/>
      <c r="O891" s="270"/>
      <c r="P891" s="268"/>
      <c r="Q891" s="270"/>
      <c r="R891" s="268"/>
      <c r="S891" s="270"/>
      <c r="T891" s="268"/>
      <c r="U891" s="270"/>
      <c r="V891" s="268"/>
      <c r="W891" s="270"/>
      <c r="X891" s="270"/>
      <c r="Y891" s="270"/>
      <c r="Z891" s="270"/>
      <c r="AA891" s="270"/>
    </row>
    <row r="892" spans="1:27" ht="16.899999999999999" x14ac:dyDescent="0.5">
      <c r="A892" s="270"/>
      <c r="B892" s="270"/>
      <c r="C892" s="270"/>
      <c r="D892" s="268"/>
      <c r="E892" s="270"/>
      <c r="F892" s="268"/>
      <c r="G892" s="270"/>
      <c r="H892" s="268"/>
      <c r="I892" s="270"/>
      <c r="J892" s="268"/>
      <c r="K892" s="270"/>
      <c r="L892" s="268"/>
      <c r="M892" s="270"/>
      <c r="N892" s="268"/>
      <c r="O892" s="270"/>
      <c r="P892" s="268"/>
      <c r="Q892" s="270"/>
      <c r="R892" s="268"/>
      <c r="S892" s="270"/>
      <c r="T892" s="268"/>
      <c r="U892" s="270"/>
      <c r="V892" s="268"/>
      <c r="W892" s="270"/>
      <c r="X892" s="270"/>
      <c r="Y892" s="270"/>
      <c r="Z892" s="270"/>
      <c r="AA892" s="270"/>
    </row>
    <row r="893" spans="1:27" ht="16.899999999999999" x14ac:dyDescent="0.5">
      <c r="A893" s="270"/>
      <c r="B893" s="270"/>
      <c r="C893" s="270"/>
      <c r="D893" s="268"/>
      <c r="E893" s="270"/>
      <c r="F893" s="268"/>
      <c r="G893" s="270"/>
      <c r="H893" s="268"/>
      <c r="I893" s="270"/>
      <c r="J893" s="268"/>
      <c r="K893" s="270"/>
      <c r="L893" s="268"/>
      <c r="M893" s="270"/>
      <c r="N893" s="268"/>
      <c r="O893" s="270"/>
      <c r="P893" s="268"/>
      <c r="Q893" s="270"/>
      <c r="R893" s="268"/>
      <c r="S893" s="270"/>
      <c r="T893" s="268"/>
      <c r="U893" s="270"/>
      <c r="V893" s="268"/>
      <c r="W893" s="270"/>
      <c r="X893" s="270"/>
      <c r="Y893" s="270"/>
      <c r="Z893" s="270"/>
      <c r="AA893" s="270"/>
    </row>
    <row r="894" spans="1:27" ht="16.899999999999999" x14ac:dyDescent="0.5">
      <c r="A894" s="270"/>
      <c r="B894" s="270"/>
      <c r="C894" s="270"/>
      <c r="D894" s="268"/>
      <c r="E894" s="270"/>
      <c r="F894" s="268"/>
      <c r="G894" s="270"/>
      <c r="H894" s="268"/>
      <c r="I894" s="270"/>
      <c r="J894" s="268"/>
      <c r="K894" s="270"/>
      <c r="L894" s="268"/>
      <c r="M894" s="270"/>
      <c r="N894" s="268"/>
      <c r="O894" s="270"/>
      <c r="P894" s="268"/>
      <c r="Q894" s="270"/>
      <c r="R894" s="268"/>
      <c r="S894" s="270"/>
      <c r="T894" s="268"/>
      <c r="U894" s="270"/>
      <c r="V894" s="268"/>
      <c r="W894" s="270"/>
      <c r="X894" s="270"/>
      <c r="Y894" s="270"/>
      <c r="Z894" s="270"/>
      <c r="AA894" s="270"/>
    </row>
    <row r="895" spans="1:27" ht="16.899999999999999" x14ac:dyDescent="0.5">
      <c r="A895" s="270"/>
      <c r="B895" s="270"/>
      <c r="C895" s="270"/>
      <c r="D895" s="268"/>
      <c r="E895" s="270"/>
      <c r="F895" s="268"/>
      <c r="G895" s="270"/>
      <c r="H895" s="268"/>
      <c r="I895" s="270"/>
      <c r="J895" s="268"/>
      <c r="K895" s="270"/>
      <c r="L895" s="268"/>
      <c r="M895" s="270"/>
      <c r="N895" s="268"/>
      <c r="O895" s="270"/>
      <c r="P895" s="268"/>
      <c r="Q895" s="270"/>
      <c r="R895" s="268"/>
      <c r="S895" s="270"/>
      <c r="T895" s="268"/>
      <c r="U895" s="270"/>
      <c r="V895" s="268"/>
      <c r="W895" s="270"/>
      <c r="X895" s="270"/>
      <c r="Y895" s="270"/>
      <c r="Z895" s="270"/>
      <c r="AA895" s="270"/>
    </row>
    <row r="896" spans="1:27" ht="16.899999999999999" x14ac:dyDescent="0.5">
      <c r="A896" s="270"/>
      <c r="B896" s="270"/>
      <c r="C896" s="270"/>
      <c r="D896" s="268"/>
      <c r="E896" s="270"/>
      <c r="F896" s="268"/>
      <c r="G896" s="270"/>
      <c r="H896" s="268"/>
      <c r="I896" s="270"/>
      <c r="J896" s="268"/>
      <c r="K896" s="270"/>
      <c r="L896" s="268"/>
      <c r="M896" s="270"/>
      <c r="N896" s="268"/>
      <c r="O896" s="270"/>
      <c r="P896" s="268"/>
      <c r="Q896" s="270"/>
      <c r="R896" s="268"/>
      <c r="S896" s="270"/>
      <c r="T896" s="268"/>
      <c r="U896" s="270"/>
      <c r="V896" s="268"/>
      <c r="W896" s="270"/>
      <c r="X896" s="270"/>
      <c r="Y896" s="270"/>
      <c r="Z896" s="270"/>
      <c r="AA896" s="270"/>
    </row>
    <row r="897" spans="1:27" ht="16.899999999999999" x14ac:dyDescent="0.5">
      <c r="A897" s="270"/>
      <c r="B897" s="270"/>
      <c r="C897" s="270"/>
      <c r="D897" s="268"/>
      <c r="E897" s="270"/>
      <c r="F897" s="268"/>
      <c r="G897" s="270"/>
      <c r="H897" s="268"/>
      <c r="I897" s="270"/>
      <c r="J897" s="268"/>
      <c r="K897" s="270"/>
      <c r="L897" s="268"/>
      <c r="M897" s="270"/>
      <c r="N897" s="268"/>
      <c r="O897" s="270"/>
      <c r="P897" s="268"/>
      <c r="Q897" s="270"/>
      <c r="R897" s="268"/>
      <c r="S897" s="270"/>
      <c r="T897" s="268"/>
      <c r="U897" s="270"/>
      <c r="V897" s="268"/>
      <c r="W897" s="270"/>
      <c r="X897" s="270"/>
      <c r="Y897" s="270"/>
      <c r="Z897" s="270"/>
      <c r="AA897" s="270"/>
    </row>
    <row r="898" spans="1:27" ht="16.899999999999999" x14ac:dyDescent="0.5">
      <c r="A898" s="270"/>
      <c r="B898" s="270"/>
      <c r="C898" s="270"/>
      <c r="D898" s="268"/>
      <c r="E898" s="270"/>
      <c r="F898" s="268"/>
      <c r="G898" s="270"/>
      <c r="H898" s="268"/>
      <c r="I898" s="270"/>
      <c r="J898" s="268"/>
      <c r="K898" s="270"/>
      <c r="L898" s="268"/>
      <c r="M898" s="270"/>
      <c r="N898" s="268"/>
      <c r="O898" s="270"/>
      <c r="P898" s="268"/>
      <c r="Q898" s="270"/>
      <c r="R898" s="268"/>
      <c r="S898" s="270"/>
      <c r="T898" s="268"/>
      <c r="U898" s="270"/>
      <c r="V898" s="268"/>
      <c r="W898" s="270"/>
      <c r="X898" s="270"/>
      <c r="Y898" s="270"/>
      <c r="Z898" s="270"/>
      <c r="AA898" s="270"/>
    </row>
    <row r="899" spans="1:27" ht="16.899999999999999" x14ac:dyDescent="0.5">
      <c r="A899" s="270"/>
      <c r="B899" s="270"/>
      <c r="C899" s="270"/>
      <c r="D899" s="268"/>
      <c r="E899" s="270"/>
      <c r="F899" s="268"/>
      <c r="G899" s="270"/>
      <c r="H899" s="268"/>
      <c r="I899" s="270"/>
      <c r="J899" s="268"/>
      <c r="K899" s="270"/>
      <c r="L899" s="268"/>
      <c r="M899" s="270"/>
      <c r="N899" s="268"/>
      <c r="O899" s="270"/>
      <c r="P899" s="268"/>
      <c r="Q899" s="270"/>
      <c r="R899" s="268"/>
      <c r="S899" s="270"/>
      <c r="T899" s="268"/>
      <c r="U899" s="270"/>
      <c r="V899" s="268"/>
      <c r="W899" s="270"/>
      <c r="X899" s="270"/>
      <c r="Y899" s="270"/>
      <c r="Z899" s="270"/>
      <c r="AA899" s="270"/>
    </row>
    <row r="900" spans="1:27" ht="16.899999999999999" x14ac:dyDescent="0.5">
      <c r="A900" s="270"/>
      <c r="B900" s="270"/>
      <c r="C900" s="270"/>
      <c r="D900" s="268"/>
      <c r="E900" s="270"/>
      <c r="F900" s="268"/>
      <c r="G900" s="270"/>
      <c r="H900" s="268"/>
      <c r="I900" s="270"/>
      <c r="J900" s="268"/>
      <c r="K900" s="270"/>
      <c r="L900" s="268"/>
      <c r="M900" s="270"/>
      <c r="N900" s="268"/>
      <c r="O900" s="270"/>
      <c r="P900" s="268"/>
      <c r="Q900" s="270"/>
      <c r="R900" s="268"/>
      <c r="S900" s="270"/>
      <c r="T900" s="268"/>
      <c r="U900" s="270"/>
      <c r="V900" s="268"/>
      <c r="W900" s="270"/>
      <c r="X900" s="270"/>
      <c r="Y900" s="270"/>
      <c r="Z900" s="270"/>
      <c r="AA900" s="270"/>
    </row>
    <row r="901" spans="1:27" ht="16.899999999999999" x14ac:dyDescent="0.5">
      <c r="A901" s="270"/>
      <c r="B901" s="270"/>
      <c r="C901" s="270"/>
      <c r="D901" s="268"/>
      <c r="E901" s="270"/>
      <c r="F901" s="268"/>
      <c r="G901" s="270"/>
      <c r="H901" s="268"/>
      <c r="I901" s="270"/>
      <c r="J901" s="268"/>
      <c r="K901" s="270"/>
      <c r="L901" s="268"/>
      <c r="M901" s="270"/>
      <c r="N901" s="268"/>
      <c r="O901" s="270"/>
      <c r="P901" s="268"/>
      <c r="Q901" s="270"/>
      <c r="R901" s="268"/>
      <c r="S901" s="270"/>
      <c r="T901" s="268"/>
      <c r="U901" s="270"/>
      <c r="V901" s="268"/>
      <c r="W901" s="270"/>
      <c r="X901" s="270"/>
      <c r="Y901" s="270"/>
      <c r="Z901" s="270"/>
      <c r="AA901" s="270"/>
    </row>
    <row r="902" spans="1:27" ht="16.899999999999999" x14ac:dyDescent="0.5">
      <c r="A902" s="270"/>
      <c r="B902" s="270"/>
      <c r="C902" s="270"/>
      <c r="D902" s="268"/>
      <c r="E902" s="270"/>
      <c r="F902" s="268"/>
      <c r="G902" s="270"/>
      <c r="H902" s="268"/>
      <c r="I902" s="270"/>
      <c r="J902" s="268"/>
      <c r="K902" s="270"/>
      <c r="L902" s="268"/>
      <c r="M902" s="270"/>
      <c r="N902" s="268"/>
      <c r="O902" s="270"/>
      <c r="P902" s="268"/>
      <c r="Q902" s="270"/>
      <c r="R902" s="268"/>
      <c r="S902" s="270"/>
      <c r="T902" s="268"/>
      <c r="U902" s="270"/>
      <c r="V902" s="268"/>
      <c r="W902" s="270"/>
      <c r="X902" s="270"/>
      <c r="Y902" s="270"/>
      <c r="Z902" s="270"/>
      <c r="AA902" s="270"/>
    </row>
    <row r="903" spans="1:27" ht="16.899999999999999" x14ac:dyDescent="0.5">
      <c r="A903" s="270"/>
      <c r="B903" s="270"/>
      <c r="C903" s="270"/>
      <c r="D903" s="268"/>
      <c r="E903" s="270"/>
      <c r="F903" s="268"/>
      <c r="G903" s="270"/>
      <c r="H903" s="268"/>
      <c r="I903" s="270"/>
      <c r="J903" s="268"/>
      <c r="K903" s="270"/>
      <c r="L903" s="268"/>
      <c r="M903" s="270"/>
      <c r="N903" s="268"/>
      <c r="O903" s="270"/>
      <c r="P903" s="268"/>
      <c r="Q903" s="270"/>
      <c r="R903" s="268"/>
      <c r="S903" s="270"/>
      <c r="T903" s="268"/>
      <c r="U903" s="270"/>
      <c r="V903" s="268"/>
      <c r="W903" s="270"/>
      <c r="X903" s="270"/>
      <c r="Y903" s="270"/>
      <c r="Z903" s="270"/>
      <c r="AA903" s="270"/>
    </row>
    <row r="904" spans="1:27" ht="16.899999999999999" x14ac:dyDescent="0.5">
      <c r="A904" s="270"/>
      <c r="B904" s="270"/>
      <c r="C904" s="270"/>
      <c r="D904" s="268"/>
      <c r="E904" s="270"/>
      <c r="F904" s="268"/>
      <c r="G904" s="270"/>
      <c r="H904" s="268"/>
      <c r="I904" s="270"/>
      <c r="J904" s="268"/>
      <c r="K904" s="270"/>
      <c r="L904" s="268"/>
      <c r="M904" s="270"/>
      <c r="N904" s="268"/>
      <c r="O904" s="270"/>
      <c r="P904" s="268"/>
      <c r="Q904" s="270"/>
      <c r="R904" s="268"/>
      <c r="S904" s="270"/>
      <c r="T904" s="268"/>
      <c r="U904" s="270"/>
      <c r="V904" s="268"/>
      <c r="W904" s="270"/>
      <c r="X904" s="270"/>
      <c r="Y904" s="270"/>
      <c r="Z904" s="270"/>
      <c r="AA904" s="270"/>
    </row>
    <row r="905" spans="1:27" ht="16.899999999999999" x14ac:dyDescent="0.5">
      <c r="A905" s="270"/>
      <c r="B905" s="270"/>
      <c r="C905" s="270"/>
      <c r="D905" s="268"/>
      <c r="E905" s="270"/>
      <c r="F905" s="268"/>
      <c r="G905" s="270"/>
      <c r="H905" s="268"/>
      <c r="I905" s="270"/>
      <c r="J905" s="268"/>
      <c r="K905" s="270"/>
      <c r="L905" s="268"/>
      <c r="M905" s="270"/>
      <c r="N905" s="268"/>
      <c r="O905" s="270"/>
      <c r="P905" s="268"/>
      <c r="Q905" s="270"/>
      <c r="R905" s="268"/>
      <c r="S905" s="270"/>
      <c r="T905" s="268"/>
      <c r="U905" s="270"/>
      <c r="V905" s="268"/>
      <c r="W905" s="270"/>
      <c r="X905" s="270"/>
      <c r="Y905" s="270"/>
      <c r="Z905" s="270"/>
      <c r="AA905" s="270"/>
    </row>
    <row r="906" spans="1:27" ht="16.899999999999999" x14ac:dyDescent="0.5">
      <c r="A906" s="270"/>
      <c r="B906" s="270"/>
      <c r="C906" s="270"/>
      <c r="D906" s="268"/>
      <c r="E906" s="270"/>
      <c r="F906" s="268"/>
      <c r="G906" s="270"/>
      <c r="H906" s="268"/>
      <c r="I906" s="270"/>
      <c r="J906" s="268"/>
      <c r="K906" s="270"/>
      <c r="L906" s="268"/>
      <c r="M906" s="270"/>
      <c r="N906" s="268"/>
      <c r="O906" s="270"/>
      <c r="P906" s="268"/>
      <c r="Q906" s="270"/>
      <c r="R906" s="268"/>
      <c r="S906" s="270"/>
      <c r="T906" s="268"/>
      <c r="U906" s="270"/>
      <c r="V906" s="268"/>
      <c r="W906" s="270"/>
      <c r="X906" s="270"/>
      <c r="Y906" s="270"/>
      <c r="Z906" s="270"/>
      <c r="AA906" s="270"/>
    </row>
    <row r="907" spans="1:27" ht="16.899999999999999" x14ac:dyDescent="0.5">
      <c r="A907" s="270"/>
      <c r="B907" s="270"/>
      <c r="C907" s="270"/>
      <c r="D907" s="268"/>
      <c r="E907" s="270"/>
      <c r="F907" s="268"/>
      <c r="G907" s="270"/>
      <c r="H907" s="268"/>
      <c r="I907" s="270"/>
      <c r="J907" s="268"/>
      <c r="K907" s="270"/>
      <c r="L907" s="268"/>
      <c r="M907" s="270"/>
      <c r="N907" s="268"/>
      <c r="O907" s="270"/>
      <c r="P907" s="268"/>
      <c r="Q907" s="270"/>
      <c r="R907" s="268"/>
      <c r="S907" s="270"/>
      <c r="T907" s="268"/>
      <c r="U907" s="270"/>
      <c r="V907" s="268"/>
      <c r="W907" s="270"/>
      <c r="X907" s="270"/>
      <c r="Y907" s="270"/>
      <c r="Z907" s="270"/>
      <c r="AA907" s="270"/>
    </row>
    <row r="908" spans="1:27" ht="16.899999999999999" x14ac:dyDescent="0.5">
      <c r="A908" s="270"/>
      <c r="B908" s="270"/>
      <c r="C908" s="270"/>
      <c r="D908" s="268"/>
      <c r="E908" s="270"/>
      <c r="F908" s="268"/>
      <c r="G908" s="270"/>
      <c r="H908" s="268"/>
      <c r="I908" s="270"/>
      <c r="J908" s="268"/>
      <c r="K908" s="270"/>
      <c r="L908" s="268"/>
      <c r="M908" s="270"/>
      <c r="N908" s="268"/>
      <c r="O908" s="270"/>
      <c r="P908" s="268"/>
      <c r="Q908" s="270"/>
      <c r="R908" s="268"/>
      <c r="S908" s="270"/>
      <c r="T908" s="268"/>
      <c r="U908" s="270"/>
      <c r="V908" s="268"/>
      <c r="W908" s="270"/>
      <c r="X908" s="270"/>
      <c r="Y908" s="270"/>
      <c r="Z908" s="270"/>
      <c r="AA908" s="270"/>
    </row>
    <row r="909" spans="1:27" ht="16.899999999999999" x14ac:dyDescent="0.5">
      <c r="A909" s="270"/>
      <c r="B909" s="270"/>
      <c r="C909" s="270"/>
      <c r="D909" s="268"/>
      <c r="E909" s="270"/>
      <c r="F909" s="268"/>
      <c r="G909" s="270"/>
      <c r="H909" s="268"/>
      <c r="I909" s="270"/>
      <c r="J909" s="268"/>
      <c r="K909" s="270"/>
      <c r="L909" s="268"/>
      <c r="M909" s="270"/>
      <c r="N909" s="268"/>
      <c r="O909" s="270"/>
      <c r="P909" s="268"/>
      <c r="Q909" s="270"/>
      <c r="R909" s="268"/>
      <c r="S909" s="270"/>
      <c r="T909" s="268"/>
      <c r="U909" s="270"/>
      <c r="V909" s="268"/>
      <c r="W909" s="270"/>
      <c r="X909" s="270"/>
      <c r="Y909" s="270"/>
      <c r="Z909" s="270"/>
      <c r="AA909" s="270"/>
    </row>
    <row r="910" spans="1:27" ht="16.899999999999999" x14ac:dyDescent="0.5">
      <c r="A910" s="270"/>
      <c r="B910" s="270"/>
      <c r="C910" s="270"/>
      <c r="D910" s="268"/>
      <c r="E910" s="270"/>
      <c r="F910" s="268"/>
      <c r="G910" s="270"/>
      <c r="H910" s="268"/>
      <c r="I910" s="270"/>
      <c r="J910" s="268"/>
      <c r="K910" s="270"/>
      <c r="L910" s="268"/>
      <c r="M910" s="270"/>
      <c r="N910" s="268"/>
      <c r="O910" s="270"/>
      <c r="P910" s="268"/>
      <c r="Q910" s="270"/>
      <c r="R910" s="268"/>
      <c r="S910" s="270"/>
      <c r="T910" s="268"/>
      <c r="U910" s="270"/>
      <c r="V910" s="268"/>
      <c r="W910" s="270"/>
      <c r="X910" s="270"/>
      <c r="Y910" s="270"/>
      <c r="Z910" s="270"/>
      <c r="AA910" s="270"/>
    </row>
    <row r="911" spans="1:27" ht="16.899999999999999" x14ac:dyDescent="0.5">
      <c r="A911" s="270"/>
      <c r="B911" s="270"/>
      <c r="C911" s="270"/>
      <c r="D911" s="268"/>
      <c r="E911" s="270"/>
      <c r="F911" s="268"/>
      <c r="G911" s="270"/>
      <c r="H911" s="268"/>
      <c r="I911" s="270"/>
      <c r="J911" s="268"/>
      <c r="K911" s="270"/>
      <c r="L911" s="268"/>
      <c r="M911" s="270"/>
      <c r="N911" s="268"/>
      <c r="O911" s="270"/>
      <c r="P911" s="268"/>
      <c r="Q911" s="270"/>
      <c r="R911" s="268"/>
      <c r="S911" s="270"/>
      <c r="T911" s="268"/>
      <c r="U911" s="270"/>
      <c r="V911" s="268"/>
      <c r="W911" s="270"/>
      <c r="X911" s="270"/>
      <c r="Y911" s="270"/>
      <c r="Z911" s="270"/>
      <c r="AA911" s="270"/>
    </row>
    <row r="912" spans="1:27" ht="16.899999999999999" x14ac:dyDescent="0.5">
      <c r="A912" s="270"/>
      <c r="B912" s="270"/>
      <c r="C912" s="270"/>
      <c r="D912" s="268"/>
      <c r="E912" s="270"/>
      <c r="F912" s="268"/>
      <c r="G912" s="270"/>
      <c r="H912" s="268"/>
      <c r="I912" s="270"/>
      <c r="J912" s="268"/>
      <c r="K912" s="270"/>
      <c r="L912" s="268"/>
      <c r="M912" s="270"/>
      <c r="N912" s="268"/>
      <c r="O912" s="270"/>
      <c r="P912" s="268"/>
      <c r="Q912" s="270"/>
      <c r="R912" s="268"/>
      <c r="S912" s="270"/>
      <c r="T912" s="268"/>
      <c r="U912" s="270"/>
      <c r="V912" s="268"/>
      <c r="W912" s="270"/>
      <c r="X912" s="270"/>
      <c r="Y912" s="270"/>
      <c r="Z912" s="270"/>
      <c r="AA912" s="270"/>
    </row>
    <row r="913" spans="1:27" ht="16.899999999999999" x14ac:dyDescent="0.5">
      <c r="A913" s="270"/>
      <c r="B913" s="270"/>
      <c r="C913" s="270"/>
      <c r="D913" s="268"/>
      <c r="E913" s="270"/>
      <c r="F913" s="268"/>
      <c r="G913" s="270"/>
      <c r="H913" s="268"/>
      <c r="I913" s="270"/>
      <c r="J913" s="268"/>
      <c r="K913" s="270"/>
      <c r="L913" s="268"/>
      <c r="M913" s="270"/>
      <c r="N913" s="268"/>
      <c r="O913" s="270"/>
      <c r="P913" s="268"/>
      <c r="Q913" s="270"/>
      <c r="R913" s="268"/>
      <c r="S913" s="270"/>
      <c r="T913" s="268"/>
      <c r="U913" s="270"/>
      <c r="V913" s="268"/>
      <c r="W913" s="270"/>
      <c r="X913" s="270"/>
      <c r="Y913" s="270"/>
      <c r="Z913" s="270"/>
      <c r="AA913" s="270"/>
    </row>
    <row r="914" spans="1:27" ht="16.899999999999999" x14ac:dyDescent="0.5">
      <c r="A914" s="270"/>
      <c r="B914" s="270"/>
      <c r="C914" s="270"/>
      <c r="D914" s="268"/>
      <c r="E914" s="270"/>
      <c r="F914" s="268"/>
      <c r="G914" s="270"/>
      <c r="H914" s="268"/>
      <c r="I914" s="270"/>
      <c r="J914" s="268"/>
      <c r="K914" s="270"/>
      <c r="L914" s="268"/>
      <c r="M914" s="270"/>
      <c r="N914" s="268"/>
      <c r="O914" s="270"/>
      <c r="P914" s="268"/>
      <c r="Q914" s="270"/>
      <c r="R914" s="268"/>
      <c r="S914" s="270"/>
      <c r="T914" s="268"/>
      <c r="U914" s="270"/>
      <c r="V914" s="268"/>
      <c r="W914" s="270"/>
      <c r="X914" s="270"/>
      <c r="Y914" s="270"/>
      <c r="Z914" s="270"/>
      <c r="AA914" s="270"/>
    </row>
    <row r="915" spans="1:27" ht="16.899999999999999" x14ac:dyDescent="0.5">
      <c r="A915" s="270"/>
      <c r="B915" s="270"/>
      <c r="C915" s="270"/>
      <c r="D915" s="268"/>
      <c r="E915" s="270"/>
      <c r="F915" s="268"/>
      <c r="G915" s="270"/>
      <c r="H915" s="268"/>
      <c r="I915" s="270"/>
      <c r="J915" s="268"/>
      <c r="K915" s="270"/>
      <c r="L915" s="268"/>
      <c r="M915" s="270"/>
      <c r="N915" s="268"/>
      <c r="O915" s="270"/>
      <c r="P915" s="268"/>
      <c r="Q915" s="270"/>
      <c r="R915" s="268"/>
      <c r="S915" s="270"/>
      <c r="T915" s="268"/>
      <c r="U915" s="270"/>
      <c r="V915" s="268"/>
      <c r="W915" s="270"/>
      <c r="X915" s="270"/>
      <c r="Y915" s="270"/>
      <c r="Z915" s="270"/>
      <c r="AA915" s="270"/>
    </row>
    <row r="916" spans="1:27" ht="16.899999999999999" x14ac:dyDescent="0.5">
      <c r="A916" s="270"/>
      <c r="B916" s="270"/>
      <c r="C916" s="270"/>
      <c r="D916" s="268"/>
      <c r="E916" s="270"/>
      <c r="F916" s="268"/>
      <c r="G916" s="270"/>
      <c r="H916" s="268"/>
      <c r="I916" s="270"/>
      <c r="J916" s="268"/>
      <c r="K916" s="270"/>
      <c r="L916" s="268"/>
      <c r="M916" s="270"/>
      <c r="N916" s="268"/>
      <c r="O916" s="270"/>
      <c r="P916" s="268"/>
      <c r="Q916" s="270"/>
      <c r="R916" s="268"/>
      <c r="S916" s="270"/>
      <c r="T916" s="268"/>
      <c r="U916" s="270"/>
      <c r="V916" s="268"/>
      <c r="W916" s="270"/>
      <c r="X916" s="270"/>
      <c r="Y916" s="270"/>
      <c r="Z916" s="270"/>
      <c r="AA916" s="270"/>
    </row>
    <row r="917" spans="1:27" ht="16.899999999999999" x14ac:dyDescent="0.5">
      <c r="A917" s="270"/>
      <c r="B917" s="270"/>
      <c r="C917" s="270"/>
      <c r="D917" s="268"/>
      <c r="E917" s="270"/>
      <c r="F917" s="268"/>
      <c r="G917" s="270"/>
      <c r="H917" s="268"/>
      <c r="I917" s="270"/>
      <c r="J917" s="268"/>
      <c r="K917" s="270"/>
      <c r="L917" s="268"/>
      <c r="M917" s="270"/>
      <c r="N917" s="268"/>
      <c r="O917" s="270"/>
      <c r="P917" s="268"/>
      <c r="Q917" s="270"/>
      <c r="R917" s="268"/>
      <c r="S917" s="270"/>
      <c r="T917" s="268"/>
      <c r="U917" s="270"/>
      <c r="V917" s="268"/>
      <c r="W917" s="270"/>
      <c r="X917" s="270"/>
      <c r="Y917" s="270"/>
      <c r="Z917" s="270"/>
      <c r="AA917" s="270"/>
    </row>
    <row r="918" spans="1:27" ht="16.899999999999999" x14ac:dyDescent="0.5">
      <c r="A918" s="270"/>
      <c r="B918" s="270"/>
      <c r="C918" s="270"/>
      <c r="D918" s="268"/>
      <c r="E918" s="270"/>
      <c r="F918" s="268"/>
      <c r="G918" s="270"/>
      <c r="H918" s="268"/>
      <c r="I918" s="270"/>
      <c r="J918" s="268"/>
      <c r="K918" s="270"/>
      <c r="L918" s="268"/>
      <c r="M918" s="270"/>
      <c r="N918" s="268"/>
      <c r="O918" s="270"/>
      <c r="P918" s="268"/>
      <c r="Q918" s="270"/>
      <c r="R918" s="268"/>
      <c r="S918" s="270"/>
      <c r="T918" s="268"/>
      <c r="U918" s="270"/>
      <c r="V918" s="268"/>
      <c r="W918" s="270"/>
      <c r="X918" s="270"/>
      <c r="Y918" s="270"/>
      <c r="Z918" s="270"/>
      <c r="AA918" s="270"/>
    </row>
    <row r="919" spans="1:27" ht="16.899999999999999" x14ac:dyDescent="0.5">
      <c r="A919" s="270"/>
      <c r="B919" s="270"/>
      <c r="C919" s="270"/>
      <c r="D919" s="268"/>
      <c r="E919" s="270"/>
      <c r="F919" s="268"/>
      <c r="G919" s="270"/>
      <c r="H919" s="268"/>
      <c r="I919" s="270"/>
      <c r="J919" s="268"/>
      <c r="K919" s="270"/>
      <c r="L919" s="268"/>
      <c r="M919" s="270"/>
      <c r="N919" s="268"/>
      <c r="O919" s="270"/>
      <c r="P919" s="268"/>
      <c r="Q919" s="270"/>
      <c r="R919" s="268"/>
      <c r="S919" s="270"/>
      <c r="T919" s="268"/>
      <c r="U919" s="270"/>
      <c r="V919" s="268"/>
      <c r="W919" s="270"/>
      <c r="X919" s="270"/>
      <c r="Y919" s="270"/>
      <c r="Z919" s="270"/>
      <c r="AA919" s="270"/>
    </row>
    <row r="920" spans="1:27" ht="16.899999999999999" x14ac:dyDescent="0.5">
      <c r="A920" s="270"/>
      <c r="B920" s="270"/>
      <c r="C920" s="270"/>
      <c r="D920" s="268"/>
      <c r="E920" s="270"/>
      <c r="F920" s="268"/>
      <c r="G920" s="270"/>
      <c r="H920" s="268"/>
      <c r="I920" s="270"/>
      <c r="J920" s="268"/>
      <c r="K920" s="270"/>
      <c r="L920" s="268"/>
      <c r="M920" s="270"/>
      <c r="N920" s="268"/>
      <c r="O920" s="270"/>
      <c r="P920" s="268"/>
      <c r="Q920" s="270"/>
      <c r="R920" s="268"/>
      <c r="S920" s="270"/>
      <c r="T920" s="268"/>
      <c r="U920" s="270"/>
      <c r="V920" s="268"/>
      <c r="W920" s="270"/>
      <c r="X920" s="270"/>
      <c r="Y920" s="270"/>
      <c r="Z920" s="270"/>
      <c r="AA920" s="270"/>
    </row>
    <row r="921" spans="1:27" ht="16.899999999999999" x14ac:dyDescent="0.5">
      <c r="A921" s="270"/>
      <c r="B921" s="270"/>
      <c r="C921" s="270"/>
      <c r="D921" s="268"/>
      <c r="E921" s="270"/>
      <c r="F921" s="268"/>
      <c r="G921" s="270"/>
      <c r="H921" s="268"/>
      <c r="I921" s="270"/>
      <c r="J921" s="268"/>
      <c r="K921" s="270"/>
      <c r="L921" s="268"/>
      <c r="M921" s="270"/>
      <c r="N921" s="268"/>
      <c r="O921" s="270"/>
      <c r="P921" s="268"/>
      <c r="Q921" s="270"/>
      <c r="R921" s="268"/>
      <c r="S921" s="270"/>
      <c r="T921" s="268"/>
      <c r="U921" s="270"/>
      <c r="V921" s="268"/>
      <c r="W921" s="270"/>
      <c r="X921" s="270"/>
      <c r="Y921" s="270"/>
      <c r="Z921" s="270"/>
      <c r="AA921" s="270"/>
    </row>
    <row r="922" spans="1:27" ht="16.899999999999999" x14ac:dyDescent="0.5">
      <c r="A922" s="270"/>
      <c r="B922" s="270"/>
      <c r="C922" s="270"/>
      <c r="D922" s="268"/>
      <c r="E922" s="270"/>
      <c r="F922" s="268"/>
      <c r="G922" s="270"/>
      <c r="H922" s="268"/>
      <c r="I922" s="270"/>
      <c r="J922" s="268"/>
      <c r="K922" s="270"/>
      <c r="L922" s="268"/>
      <c r="M922" s="270"/>
      <c r="N922" s="268"/>
      <c r="O922" s="270"/>
      <c r="P922" s="268"/>
      <c r="Q922" s="270"/>
      <c r="R922" s="268"/>
      <c r="S922" s="270"/>
      <c r="T922" s="268"/>
      <c r="U922" s="270"/>
      <c r="V922" s="268"/>
      <c r="W922" s="270"/>
      <c r="X922" s="270"/>
      <c r="Y922" s="270"/>
      <c r="Z922" s="270"/>
      <c r="AA922" s="270"/>
    </row>
    <row r="923" spans="1:27" ht="16.899999999999999" x14ac:dyDescent="0.5">
      <c r="A923" s="270"/>
      <c r="B923" s="270"/>
      <c r="C923" s="270"/>
      <c r="D923" s="268"/>
      <c r="E923" s="270"/>
      <c r="F923" s="268"/>
      <c r="G923" s="270"/>
      <c r="H923" s="268"/>
      <c r="I923" s="270"/>
      <c r="J923" s="268"/>
      <c r="K923" s="270"/>
      <c r="L923" s="268"/>
      <c r="M923" s="270"/>
      <c r="N923" s="268"/>
      <c r="O923" s="270"/>
      <c r="P923" s="268"/>
      <c r="Q923" s="270"/>
      <c r="R923" s="268"/>
      <c r="S923" s="270"/>
      <c r="T923" s="268"/>
      <c r="U923" s="270"/>
      <c r="V923" s="268"/>
      <c r="W923" s="270"/>
      <c r="X923" s="270"/>
      <c r="Y923" s="270"/>
      <c r="Z923" s="270"/>
      <c r="AA923" s="270"/>
    </row>
    <row r="924" spans="1:27" ht="16.899999999999999" x14ac:dyDescent="0.5">
      <c r="A924" s="270"/>
      <c r="B924" s="270"/>
      <c r="C924" s="270"/>
      <c r="D924" s="268"/>
      <c r="E924" s="270"/>
      <c r="F924" s="268"/>
      <c r="G924" s="270"/>
      <c r="H924" s="268"/>
      <c r="I924" s="270"/>
      <c r="J924" s="268"/>
      <c r="K924" s="270"/>
      <c r="L924" s="268"/>
      <c r="M924" s="270"/>
      <c r="N924" s="268"/>
      <c r="O924" s="270"/>
      <c r="P924" s="268"/>
      <c r="Q924" s="270"/>
      <c r="R924" s="268"/>
      <c r="S924" s="270"/>
      <c r="T924" s="268"/>
      <c r="U924" s="270"/>
      <c r="V924" s="268"/>
      <c r="W924" s="270"/>
      <c r="X924" s="270"/>
      <c r="Y924" s="270"/>
      <c r="Z924" s="270"/>
      <c r="AA924" s="270"/>
    </row>
    <row r="925" spans="1:27" ht="16.899999999999999" x14ac:dyDescent="0.5">
      <c r="A925" s="270"/>
      <c r="B925" s="270"/>
      <c r="C925" s="270"/>
      <c r="D925" s="268"/>
      <c r="E925" s="270"/>
      <c r="F925" s="268"/>
      <c r="G925" s="270"/>
      <c r="H925" s="268"/>
      <c r="I925" s="270"/>
      <c r="J925" s="268"/>
      <c r="K925" s="270"/>
      <c r="L925" s="268"/>
      <c r="M925" s="270"/>
      <c r="N925" s="268"/>
      <c r="O925" s="270"/>
      <c r="P925" s="268"/>
      <c r="Q925" s="270"/>
      <c r="R925" s="268"/>
      <c r="S925" s="270"/>
      <c r="T925" s="268"/>
      <c r="U925" s="270"/>
      <c r="V925" s="268"/>
      <c r="W925" s="270"/>
      <c r="X925" s="270"/>
      <c r="Y925" s="270"/>
      <c r="Z925" s="270"/>
      <c r="AA925" s="270"/>
    </row>
    <row r="926" spans="1:27" ht="16.899999999999999" x14ac:dyDescent="0.5">
      <c r="A926" s="270"/>
      <c r="B926" s="270"/>
      <c r="C926" s="270"/>
      <c r="D926" s="268"/>
      <c r="E926" s="270"/>
      <c r="F926" s="268"/>
      <c r="G926" s="270"/>
      <c r="H926" s="268"/>
      <c r="I926" s="270"/>
      <c r="J926" s="268"/>
      <c r="K926" s="270"/>
      <c r="L926" s="268"/>
      <c r="M926" s="270"/>
      <c r="N926" s="268"/>
      <c r="O926" s="270"/>
      <c r="P926" s="268"/>
      <c r="Q926" s="270"/>
      <c r="R926" s="268"/>
      <c r="S926" s="270"/>
      <c r="T926" s="268"/>
      <c r="U926" s="270"/>
      <c r="V926" s="268"/>
      <c r="W926" s="270"/>
      <c r="X926" s="270"/>
      <c r="Y926" s="270"/>
      <c r="Z926" s="270"/>
      <c r="AA926" s="270"/>
    </row>
    <row r="927" spans="1:27" ht="16.899999999999999" x14ac:dyDescent="0.5">
      <c r="A927" s="270"/>
      <c r="B927" s="270"/>
      <c r="C927" s="270"/>
      <c r="D927" s="268"/>
      <c r="E927" s="270"/>
      <c r="F927" s="268"/>
      <c r="G927" s="270"/>
      <c r="H927" s="268"/>
      <c r="I927" s="270"/>
      <c r="J927" s="268"/>
      <c r="K927" s="270"/>
      <c r="L927" s="268"/>
      <c r="M927" s="270"/>
      <c r="N927" s="268"/>
      <c r="O927" s="270"/>
      <c r="P927" s="268"/>
      <c r="Q927" s="270"/>
      <c r="R927" s="268"/>
      <c r="S927" s="270"/>
      <c r="T927" s="268"/>
      <c r="U927" s="270"/>
      <c r="V927" s="268"/>
      <c r="W927" s="270"/>
      <c r="X927" s="270"/>
      <c r="Y927" s="270"/>
      <c r="Z927" s="270"/>
      <c r="AA927" s="270"/>
    </row>
    <row r="928" spans="1:27" ht="16.899999999999999" x14ac:dyDescent="0.5">
      <c r="A928" s="270"/>
      <c r="B928" s="270"/>
      <c r="C928" s="270"/>
      <c r="D928" s="268"/>
      <c r="E928" s="270"/>
      <c r="F928" s="268"/>
      <c r="G928" s="270"/>
      <c r="H928" s="268"/>
      <c r="I928" s="270"/>
      <c r="J928" s="268"/>
      <c r="K928" s="270"/>
      <c r="L928" s="268"/>
      <c r="M928" s="270"/>
      <c r="N928" s="268"/>
      <c r="O928" s="270"/>
      <c r="P928" s="268"/>
      <c r="Q928" s="270"/>
      <c r="R928" s="268"/>
      <c r="S928" s="270"/>
      <c r="T928" s="268"/>
      <c r="U928" s="270"/>
      <c r="V928" s="268"/>
      <c r="W928" s="270"/>
      <c r="X928" s="270"/>
      <c r="Y928" s="270"/>
      <c r="Z928" s="270"/>
      <c r="AA928" s="270"/>
    </row>
    <row r="929" spans="1:27" ht="16.899999999999999" x14ac:dyDescent="0.5">
      <c r="A929" s="270"/>
      <c r="B929" s="270"/>
      <c r="C929" s="270"/>
      <c r="D929" s="268"/>
      <c r="E929" s="270"/>
      <c r="F929" s="268"/>
      <c r="G929" s="270"/>
      <c r="H929" s="268"/>
      <c r="I929" s="270"/>
      <c r="J929" s="268"/>
      <c r="K929" s="270"/>
      <c r="L929" s="268"/>
      <c r="M929" s="270"/>
      <c r="N929" s="268"/>
      <c r="O929" s="270"/>
      <c r="P929" s="268"/>
      <c r="Q929" s="270"/>
      <c r="R929" s="268"/>
      <c r="S929" s="270"/>
      <c r="T929" s="268"/>
      <c r="U929" s="270"/>
      <c r="V929" s="268"/>
      <c r="W929" s="270"/>
      <c r="X929" s="270"/>
      <c r="Y929" s="270"/>
      <c r="Z929" s="270"/>
      <c r="AA929" s="270"/>
    </row>
    <row r="930" spans="1:27" ht="16.899999999999999" x14ac:dyDescent="0.5">
      <c r="A930" s="270"/>
      <c r="B930" s="270"/>
      <c r="C930" s="270"/>
      <c r="D930" s="268"/>
      <c r="E930" s="270"/>
      <c r="F930" s="268"/>
      <c r="G930" s="270"/>
      <c r="H930" s="268"/>
      <c r="I930" s="270"/>
      <c r="J930" s="268"/>
      <c r="K930" s="270"/>
      <c r="L930" s="268"/>
      <c r="M930" s="270"/>
      <c r="N930" s="268"/>
      <c r="O930" s="270"/>
      <c r="P930" s="268"/>
      <c r="Q930" s="270"/>
      <c r="R930" s="268"/>
      <c r="S930" s="270"/>
      <c r="T930" s="268"/>
      <c r="U930" s="270"/>
      <c r="V930" s="268"/>
      <c r="W930" s="270"/>
      <c r="X930" s="270"/>
      <c r="Y930" s="270"/>
      <c r="Z930" s="270"/>
      <c r="AA930" s="270"/>
    </row>
    <row r="931" spans="1:27" ht="16.899999999999999" x14ac:dyDescent="0.5">
      <c r="A931" s="270"/>
      <c r="B931" s="270"/>
      <c r="C931" s="270"/>
      <c r="D931" s="268"/>
      <c r="E931" s="270"/>
      <c r="F931" s="268"/>
      <c r="G931" s="270"/>
      <c r="H931" s="268"/>
      <c r="I931" s="270"/>
      <c r="J931" s="268"/>
      <c r="K931" s="270"/>
      <c r="L931" s="268"/>
      <c r="M931" s="270"/>
      <c r="N931" s="268"/>
      <c r="O931" s="270"/>
      <c r="P931" s="268"/>
      <c r="Q931" s="270"/>
      <c r="R931" s="268"/>
      <c r="S931" s="270"/>
      <c r="T931" s="268"/>
      <c r="U931" s="270"/>
      <c r="V931" s="268"/>
      <c r="W931" s="270"/>
      <c r="X931" s="270"/>
      <c r="Y931" s="270"/>
      <c r="Z931" s="270"/>
      <c r="AA931" s="270"/>
    </row>
    <row r="932" spans="1:27" ht="16.899999999999999" x14ac:dyDescent="0.5">
      <c r="A932" s="270"/>
      <c r="B932" s="270"/>
      <c r="C932" s="270"/>
      <c r="D932" s="268"/>
      <c r="E932" s="270"/>
      <c r="F932" s="268"/>
      <c r="G932" s="270"/>
      <c r="H932" s="268"/>
      <c r="I932" s="270"/>
      <c r="J932" s="268"/>
      <c r="K932" s="270"/>
      <c r="L932" s="268"/>
      <c r="M932" s="270"/>
      <c r="N932" s="268"/>
      <c r="O932" s="270"/>
      <c r="P932" s="268"/>
      <c r="Q932" s="270"/>
      <c r="R932" s="268"/>
      <c r="S932" s="270"/>
      <c r="T932" s="268"/>
      <c r="U932" s="270"/>
      <c r="V932" s="268"/>
      <c r="W932" s="270"/>
      <c r="X932" s="270"/>
      <c r="Y932" s="270"/>
      <c r="Z932" s="270"/>
      <c r="AA932" s="270"/>
    </row>
    <row r="933" spans="1:27" ht="16.899999999999999" x14ac:dyDescent="0.5">
      <c r="A933" s="270"/>
      <c r="B933" s="270"/>
      <c r="C933" s="270"/>
      <c r="D933" s="268"/>
      <c r="E933" s="270"/>
      <c r="F933" s="268"/>
      <c r="G933" s="270"/>
      <c r="H933" s="268"/>
      <c r="I933" s="270"/>
      <c r="J933" s="268"/>
      <c r="K933" s="270"/>
      <c r="L933" s="268"/>
      <c r="M933" s="270"/>
      <c r="N933" s="268"/>
      <c r="O933" s="270"/>
      <c r="P933" s="268"/>
      <c r="Q933" s="270"/>
      <c r="R933" s="268"/>
      <c r="S933" s="270"/>
      <c r="T933" s="268"/>
      <c r="U933" s="270"/>
      <c r="V933" s="268"/>
      <c r="W933" s="270"/>
      <c r="X933" s="270"/>
      <c r="Y933" s="270"/>
      <c r="Z933" s="270"/>
      <c r="AA933" s="270"/>
    </row>
    <row r="934" spans="1:27" ht="16.899999999999999" x14ac:dyDescent="0.5">
      <c r="A934" s="270"/>
      <c r="B934" s="270"/>
      <c r="C934" s="270"/>
      <c r="D934" s="268"/>
      <c r="E934" s="270"/>
      <c r="F934" s="268"/>
      <c r="G934" s="270"/>
      <c r="H934" s="268"/>
      <c r="I934" s="270"/>
      <c r="J934" s="268"/>
      <c r="K934" s="270"/>
      <c r="L934" s="268"/>
      <c r="M934" s="270"/>
      <c r="N934" s="268"/>
      <c r="O934" s="270"/>
      <c r="P934" s="268"/>
      <c r="Q934" s="270"/>
      <c r="R934" s="268"/>
      <c r="S934" s="270"/>
      <c r="T934" s="268"/>
      <c r="U934" s="270"/>
      <c r="V934" s="268"/>
      <c r="W934" s="270"/>
      <c r="X934" s="270"/>
      <c r="Y934" s="270"/>
      <c r="Z934" s="270"/>
      <c r="AA934" s="270"/>
    </row>
    <row r="935" spans="1:27" ht="16.899999999999999" x14ac:dyDescent="0.5">
      <c r="A935" s="270"/>
      <c r="B935" s="270"/>
      <c r="C935" s="270"/>
      <c r="D935" s="268"/>
      <c r="E935" s="270"/>
      <c r="F935" s="268"/>
      <c r="G935" s="270"/>
      <c r="H935" s="268"/>
      <c r="I935" s="270"/>
      <c r="J935" s="268"/>
      <c r="K935" s="270"/>
      <c r="L935" s="268"/>
      <c r="M935" s="270"/>
      <c r="N935" s="268"/>
      <c r="O935" s="270"/>
      <c r="P935" s="268"/>
      <c r="Q935" s="270"/>
      <c r="R935" s="268"/>
      <c r="S935" s="270"/>
      <c r="T935" s="268"/>
      <c r="U935" s="270"/>
      <c r="V935" s="268"/>
      <c r="W935" s="270"/>
      <c r="X935" s="270"/>
      <c r="Y935" s="270"/>
      <c r="Z935" s="270"/>
      <c r="AA935" s="270"/>
    </row>
    <row r="936" spans="1:27" ht="16.899999999999999" x14ac:dyDescent="0.5">
      <c r="A936" s="270"/>
      <c r="B936" s="270"/>
      <c r="C936" s="270"/>
      <c r="D936" s="268"/>
      <c r="E936" s="270"/>
      <c r="F936" s="268"/>
      <c r="G936" s="270"/>
      <c r="H936" s="268"/>
      <c r="I936" s="270"/>
      <c r="J936" s="268"/>
      <c r="K936" s="270"/>
      <c r="L936" s="268"/>
      <c r="M936" s="270"/>
      <c r="N936" s="268"/>
      <c r="O936" s="270"/>
      <c r="P936" s="268"/>
      <c r="Q936" s="270"/>
      <c r="R936" s="268"/>
      <c r="S936" s="270"/>
      <c r="T936" s="268"/>
      <c r="U936" s="270"/>
      <c r="V936" s="268"/>
      <c r="W936" s="270"/>
      <c r="X936" s="270"/>
      <c r="Y936" s="270"/>
      <c r="Z936" s="270"/>
      <c r="AA936" s="270"/>
    </row>
    <row r="937" spans="1:27" ht="16.899999999999999" x14ac:dyDescent="0.5">
      <c r="A937" s="270"/>
      <c r="B937" s="270"/>
      <c r="C937" s="270"/>
      <c r="D937" s="268"/>
      <c r="E937" s="270"/>
      <c r="F937" s="268"/>
      <c r="G937" s="270"/>
      <c r="H937" s="268"/>
      <c r="I937" s="270"/>
      <c r="J937" s="268"/>
      <c r="K937" s="270"/>
      <c r="L937" s="268"/>
      <c r="M937" s="270"/>
      <c r="N937" s="268"/>
      <c r="O937" s="270"/>
      <c r="P937" s="268"/>
      <c r="Q937" s="270"/>
      <c r="R937" s="268"/>
      <c r="S937" s="270"/>
      <c r="T937" s="268"/>
      <c r="U937" s="270"/>
      <c r="V937" s="268"/>
      <c r="W937" s="270"/>
      <c r="X937" s="270"/>
      <c r="Y937" s="270"/>
      <c r="Z937" s="270"/>
      <c r="AA937" s="270"/>
    </row>
    <row r="938" spans="1:27" ht="16.899999999999999" x14ac:dyDescent="0.5">
      <c r="A938" s="270"/>
      <c r="B938" s="270"/>
      <c r="C938" s="270"/>
      <c r="D938" s="268"/>
      <c r="E938" s="270"/>
      <c r="F938" s="268"/>
      <c r="G938" s="270"/>
      <c r="H938" s="268"/>
      <c r="I938" s="270"/>
      <c r="J938" s="268"/>
      <c r="K938" s="270"/>
      <c r="L938" s="268"/>
      <c r="M938" s="270"/>
      <c r="N938" s="268"/>
      <c r="O938" s="270"/>
      <c r="P938" s="268"/>
      <c r="Q938" s="270"/>
      <c r="R938" s="268"/>
      <c r="S938" s="270"/>
      <c r="T938" s="268"/>
      <c r="U938" s="270"/>
      <c r="V938" s="268"/>
      <c r="W938" s="270"/>
      <c r="X938" s="270"/>
      <c r="Y938" s="270"/>
      <c r="Z938" s="270"/>
      <c r="AA938" s="270"/>
    </row>
    <row r="939" spans="1:27" ht="16.899999999999999" x14ac:dyDescent="0.5">
      <c r="A939" s="270"/>
      <c r="B939" s="270"/>
      <c r="C939" s="270"/>
      <c r="D939" s="268"/>
      <c r="E939" s="270"/>
      <c r="F939" s="268"/>
      <c r="G939" s="270"/>
      <c r="H939" s="268"/>
      <c r="I939" s="270"/>
      <c r="J939" s="268"/>
      <c r="K939" s="270"/>
      <c r="L939" s="268"/>
      <c r="M939" s="270"/>
      <c r="N939" s="268"/>
      <c r="O939" s="270"/>
      <c r="P939" s="268"/>
      <c r="Q939" s="270"/>
      <c r="R939" s="268"/>
      <c r="S939" s="270"/>
      <c r="T939" s="268"/>
      <c r="U939" s="270"/>
      <c r="V939" s="268"/>
      <c r="W939" s="270"/>
      <c r="X939" s="270"/>
      <c r="Y939" s="270"/>
      <c r="Z939" s="270"/>
      <c r="AA939" s="270"/>
    </row>
    <row r="940" spans="1:27" ht="16.899999999999999" x14ac:dyDescent="0.5">
      <c r="A940" s="270"/>
      <c r="B940" s="270"/>
      <c r="C940" s="270"/>
      <c r="D940" s="268"/>
      <c r="E940" s="270"/>
      <c r="F940" s="268"/>
      <c r="G940" s="270"/>
      <c r="H940" s="268"/>
      <c r="I940" s="270"/>
      <c r="J940" s="268"/>
      <c r="K940" s="270"/>
      <c r="L940" s="268"/>
      <c r="M940" s="270"/>
      <c r="N940" s="268"/>
      <c r="O940" s="270"/>
      <c r="P940" s="268"/>
      <c r="Q940" s="270"/>
      <c r="R940" s="268"/>
      <c r="S940" s="270"/>
      <c r="T940" s="268"/>
      <c r="U940" s="270"/>
      <c r="V940" s="268"/>
      <c r="W940" s="270"/>
      <c r="X940" s="270"/>
      <c r="Y940" s="270"/>
      <c r="Z940" s="270"/>
      <c r="AA940" s="270"/>
    </row>
    <row r="941" spans="1:27" ht="16.899999999999999" x14ac:dyDescent="0.5">
      <c r="A941" s="270"/>
      <c r="B941" s="270"/>
      <c r="C941" s="270"/>
      <c r="D941" s="268"/>
      <c r="E941" s="270"/>
      <c r="F941" s="268"/>
      <c r="G941" s="270"/>
      <c r="H941" s="268"/>
      <c r="I941" s="270"/>
      <c r="J941" s="268"/>
      <c r="K941" s="270"/>
      <c r="L941" s="268"/>
      <c r="M941" s="270"/>
      <c r="N941" s="268"/>
      <c r="O941" s="270"/>
      <c r="P941" s="268"/>
      <c r="Q941" s="270"/>
      <c r="R941" s="268"/>
      <c r="S941" s="270"/>
      <c r="T941" s="268"/>
      <c r="U941" s="270"/>
      <c r="V941" s="268"/>
      <c r="W941" s="270"/>
      <c r="X941" s="270"/>
      <c r="Y941" s="270"/>
      <c r="Z941" s="270"/>
      <c r="AA941" s="270"/>
    </row>
    <row r="942" spans="1:27" ht="16.899999999999999" x14ac:dyDescent="0.5">
      <c r="A942" s="270"/>
      <c r="B942" s="270"/>
      <c r="C942" s="270"/>
      <c r="D942" s="268"/>
      <c r="E942" s="270"/>
      <c r="F942" s="268"/>
      <c r="G942" s="270"/>
      <c r="H942" s="268"/>
      <c r="I942" s="270"/>
      <c r="J942" s="268"/>
      <c r="K942" s="270"/>
      <c r="L942" s="268"/>
      <c r="M942" s="270"/>
      <c r="N942" s="268"/>
      <c r="O942" s="270"/>
      <c r="P942" s="268"/>
      <c r="Q942" s="270"/>
      <c r="R942" s="268"/>
      <c r="S942" s="270"/>
      <c r="T942" s="268"/>
      <c r="U942" s="270"/>
      <c r="V942" s="268"/>
      <c r="W942" s="270"/>
      <c r="X942" s="270"/>
      <c r="Y942" s="270"/>
      <c r="Z942" s="270"/>
      <c r="AA942" s="270"/>
    </row>
    <row r="943" spans="1:27" ht="16.899999999999999" x14ac:dyDescent="0.5">
      <c r="A943" s="270"/>
      <c r="B943" s="270"/>
      <c r="C943" s="270"/>
      <c r="D943" s="268"/>
      <c r="E943" s="270"/>
      <c r="F943" s="268"/>
      <c r="G943" s="270"/>
      <c r="H943" s="268"/>
      <c r="I943" s="270"/>
      <c r="J943" s="268"/>
      <c r="K943" s="270"/>
      <c r="L943" s="268"/>
      <c r="M943" s="270"/>
      <c r="N943" s="268"/>
      <c r="O943" s="270"/>
      <c r="P943" s="268"/>
      <c r="Q943" s="270"/>
      <c r="R943" s="268"/>
      <c r="S943" s="270"/>
      <c r="T943" s="268"/>
      <c r="U943" s="270"/>
      <c r="V943" s="268"/>
      <c r="W943" s="270"/>
      <c r="X943" s="270"/>
      <c r="Y943" s="270"/>
      <c r="Z943" s="270"/>
      <c r="AA943" s="270"/>
    </row>
    <row r="944" spans="1:27" ht="16.899999999999999" x14ac:dyDescent="0.5">
      <c r="A944" s="270"/>
      <c r="B944" s="270"/>
      <c r="C944" s="270"/>
      <c r="D944" s="268"/>
      <c r="E944" s="270"/>
      <c r="F944" s="268"/>
      <c r="G944" s="270"/>
      <c r="H944" s="268"/>
      <c r="I944" s="270"/>
      <c r="J944" s="268"/>
      <c r="K944" s="270"/>
      <c r="L944" s="268"/>
      <c r="M944" s="270"/>
      <c r="N944" s="268"/>
      <c r="O944" s="270"/>
      <c r="P944" s="268"/>
      <c r="Q944" s="270"/>
      <c r="R944" s="268"/>
      <c r="S944" s="270"/>
      <c r="T944" s="268"/>
      <c r="U944" s="270"/>
      <c r="V944" s="268"/>
      <c r="W944" s="270"/>
      <c r="X944" s="270"/>
      <c r="Y944" s="270"/>
      <c r="Z944" s="270"/>
      <c r="AA944" s="270"/>
    </row>
    <row r="945" spans="1:27" ht="16.899999999999999" x14ac:dyDescent="0.5">
      <c r="A945" s="270"/>
      <c r="B945" s="270"/>
      <c r="C945" s="270"/>
      <c r="D945" s="268"/>
      <c r="E945" s="270"/>
      <c r="F945" s="268"/>
      <c r="G945" s="270"/>
      <c r="H945" s="268"/>
      <c r="I945" s="270"/>
      <c r="J945" s="268"/>
      <c r="K945" s="270"/>
      <c r="L945" s="268"/>
      <c r="M945" s="270"/>
      <c r="N945" s="268"/>
      <c r="O945" s="270"/>
      <c r="P945" s="268"/>
      <c r="Q945" s="270"/>
      <c r="R945" s="268"/>
      <c r="S945" s="270"/>
      <c r="T945" s="268"/>
      <c r="U945" s="270"/>
      <c r="V945" s="268"/>
      <c r="W945" s="270"/>
      <c r="X945" s="270"/>
      <c r="Y945" s="270"/>
      <c r="Z945" s="270"/>
      <c r="AA945" s="270"/>
    </row>
    <row r="946" spans="1:27" ht="16.899999999999999" x14ac:dyDescent="0.5">
      <c r="A946" s="270"/>
      <c r="B946" s="270"/>
      <c r="C946" s="270"/>
      <c r="D946" s="268"/>
      <c r="E946" s="270"/>
      <c r="F946" s="268"/>
      <c r="G946" s="270"/>
      <c r="H946" s="268"/>
      <c r="I946" s="270"/>
      <c r="J946" s="268"/>
      <c r="K946" s="270"/>
      <c r="L946" s="268"/>
      <c r="M946" s="270"/>
      <c r="N946" s="268"/>
      <c r="O946" s="270"/>
      <c r="P946" s="268"/>
      <c r="Q946" s="270"/>
      <c r="R946" s="268"/>
      <c r="S946" s="270"/>
      <c r="T946" s="268"/>
      <c r="U946" s="270"/>
      <c r="V946" s="268"/>
      <c r="W946" s="270"/>
      <c r="X946" s="270"/>
      <c r="Y946" s="270"/>
      <c r="Z946" s="270"/>
      <c r="AA946" s="270"/>
    </row>
    <row r="947" spans="1:27" ht="16.899999999999999" x14ac:dyDescent="0.5">
      <c r="A947" s="270"/>
      <c r="B947" s="270"/>
      <c r="C947" s="270"/>
      <c r="D947" s="268"/>
      <c r="E947" s="270"/>
      <c r="F947" s="268"/>
      <c r="G947" s="270"/>
      <c r="H947" s="268"/>
      <c r="I947" s="270"/>
      <c r="J947" s="268"/>
      <c r="K947" s="270"/>
      <c r="L947" s="268"/>
      <c r="M947" s="270"/>
      <c r="N947" s="268"/>
      <c r="O947" s="270"/>
      <c r="P947" s="268"/>
      <c r="Q947" s="270"/>
      <c r="R947" s="268"/>
      <c r="S947" s="270"/>
      <c r="T947" s="268"/>
      <c r="U947" s="270"/>
      <c r="V947" s="268"/>
      <c r="W947" s="270"/>
      <c r="X947" s="270"/>
      <c r="Y947" s="270"/>
      <c r="Z947" s="270"/>
      <c r="AA947" s="270"/>
    </row>
    <row r="948" spans="1:27" ht="16.899999999999999" x14ac:dyDescent="0.5">
      <c r="A948" s="270"/>
      <c r="B948" s="270"/>
      <c r="C948" s="270"/>
      <c r="D948" s="268"/>
      <c r="E948" s="270"/>
      <c r="F948" s="268"/>
      <c r="G948" s="270"/>
      <c r="H948" s="268"/>
      <c r="I948" s="270"/>
      <c r="J948" s="268"/>
      <c r="K948" s="270"/>
      <c r="L948" s="268"/>
      <c r="M948" s="270"/>
      <c r="N948" s="268"/>
      <c r="O948" s="270"/>
      <c r="P948" s="268"/>
      <c r="Q948" s="270"/>
      <c r="R948" s="268"/>
      <c r="S948" s="270"/>
      <c r="T948" s="268"/>
      <c r="U948" s="270"/>
      <c r="V948" s="268"/>
      <c r="W948" s="270"/>
      <c r="X948" s="270"/>
      <c r="Y948" s="270"/>
      <c r="Z948" s="270"/>
      <c r="AA948" s="270"/>
    </row>
    <row r="949" spans="1:27" ht="16.899999999999999" x14ac:dyDescent="0.5">
      <c r="A949" s="270"/>
      <c r="B949" s="270"/>
      <c r="C949" s="270"/>
      <c r="D949" s="268"/>
      <c r="E949" s="270"/>
      <c r="F949" s="268"/>
      <c r="G949" s="270"/>
      <c r="H949" s="268"/>
      <c r="I949" s="270"/>
      <c r="J949" s="268"/>
      <c r="K949" s="270"/>
      <c r="L949" s="268"/>
      <c r="M949" s="270"/>
      <c r="N949" s="268"/>
      <c r="O949" s="270"/>
      <c r="P949" s="268"/>
      <c r="Q949" s="270"/>
      <c r="R949" s="268"/>
      <c r="S949" s="270"/>
      <c r="T949" s="268"/>
      <c r="U949" s="270"/>
      <c r="V949" s="268"/>
      <c r="W949" s="270"/>
      <c r="X949" s="270"/>
      <c r="Y949" s="270"/>
      <c r="Z949" s="270"/>
      <c r="AA949" s="270"/>
    </row>
    <row r="950" spans="1:27" ht="16.899999999999999" x14ac:dyDescent="0.5">
      <c r="A950" s="270"/>
      <c r="B950" s="270"/>
      <c r="C950" s="270"/>
      <c r="D950" s="268"/>
      <c r="E950" s="270"/>
      <c r="F950" s="268"/>
      <c r="G950" s="270"/>
      <c r="H950" s="268"/>
      <c r="I950" s="270"/>
      <c r="J950" s="268"/>
      <c r="K950" s="270"/>
      <c r="L950" s="268"/>
      <c r="M950" s="270"/>
      <c r="N950" s="268"/>
      <c r="O950" s="270"/>
      <c r="P950" s="268"/>
      <c r="Q950" s="270"/>
      <c r="R950" s="268"/>
      <c r="S950" s="270"/>
      <c r="T950" s="268"/>
      <c r="U950" s="270"/>
      <c r="V950" s="268"/>
      <c r="W950" s="270"/>
      <c r="X950" s="270"/>
      <c r="Y950" s="270"/>
      <c r="Z950" s="270"/>
      <c r="AA950" s="270"/>
    </row>
    <row r="951" spans="1:27" ht="16.899999999999999" x14ac:dyDescent="0.5">
      <c r="A951" s="270"/>
      <c r="B951" s="270"/>
      <c r="C951" s="270"/>
      <c r="D951" s="268"/>
      <c r="E951" s="270"/>
      <c r="F951" s="268"/>
      <c r="G951" s="270"/>
      <c r="H951" s="268"/>
      <c r="I951" s="270"/>
      <c r="J951" s="268"/>
      <c r="K951" s="270"/>
      <c r="L951" s="268"/>
      <c r="M951" s="270"/>
      <c r="N951" s="268"/>
      <c r="O951" s="270"/>
      <c r="P951" s="268"/>
      <c r="Q951" s="270"/>
      <c r="R951" s="268"/>
      <c r="S951" s="270"/>
      <c r="T951" s="268"/>
      <c r="U951" s="270"/>
      <c r="V951" s="268"/>
      <c r="W951" s="270"/>
      <c r="X951" s="270"/>
      <c r="Y951" s="270"/>
      <c r="Z951" s="270"/>
      <c r="AA951" s="270"/>
    </row>
    <row r="952" spans="1:27" ht="16.899999999999999" x14ac:dyDescent="0.5">
      <c r="A952" s="270"/>
      <c r="B952" s="270"/>
      <c r="C952" s="270"/>
      <c r="D952" s="268"/>
      <c r="E952" s="270"/>
      <c r="F952" s="268"/>
      <c r="G952" s="270"/>
      <c r="H952" s="268"/>
      <c r="I952" s="270"/>
      <c r="J952" s="268"/>
      <c r="K952" s="270"/>
      <c r="L952" s="268"/>
      <c r="M952" s="270"/>
      <c r="N952" s="268"/>
      <c r="O952" s="270"/>
      <c r="P952" s="268"/>
      <c r="Q952" s="270"/>
      <c r="R952" s="268"/>
      <c r="S952" s="270"/>
      <c r="T952" s="268"/>
      <c r="U952" s="270"/>
      <c r="V952" s="268"/>
      <c r="W952" s="270"/>
      <c r="X952" s="270"/>
      <c r="Y952" s="270"/>
      <c r="Z952" s="270"/>
      <c r="AA952" s="270"/>
    </row>
    <row r="953" spans="1:27" ht="16.899999999999999" x14ac:dyDescent="0.5">
      <c r="A953" s="270"/>
      <c r="B953" s="270"/>
      <c r="C953" s="270"/>
      <c r="D953" s="268"/>
      <c r="E953" s="270"/>
      <c r="F953" s="268"/>
      <c r="G953" s="270"/>
      <c r="H953" s="268"/>
      <c r="I953" s="270"/>
      <c r="J953" s="268"/>
      <c r="K953" s="270"/>
      <c r="L953" s="268"/>
      <c r="M953" s="270"/>
      <c r="N953" s="268"/>
      <c r="O953" s="270"/>
      <c r="P953" s="268"/>
      <c r="Q953" s="270"/>
      <c r="R953" s="268"/>
      <c r="S953" s="270"/>
      <c r="T953" s="268"/>
      <c r="U953" s="270"/>
      <c r="V953" s="268"/>
      <c r="W953" s="270"/>
      <c r="X953" s="270"/>
      <c r="Y953" s="270"/>
      <c r="Z953" s="270"/>
      <c r="AA953" s="270"/>
    </row>
    <row r="954" spans="1:27" ht="16.899999999999999" x14ac:dyDescent="0.5">
      <c r="A954" s="270"/>
      <c r="B954" s="270"/>
      <c r="C954" s="270"/>
      <c r="D954" s="268"/>
      <c r="E954" s="270"/>
      <c r="F954" s="268"/>
      <c r="G954" s="270"/>
      <c r="H954" s="268"/>
      <c r="I954" s="270"/>
      <c r="J954" s="268"/>
      <c r="K954" s="270"/>
      <c r="L954" s="268"/>
      <c r="M954" s="270"/>
      <c r="N954" s="268"/>
      <c r="O954" s="270"/>
      <c r="P954" s="268"/>
      <c r="Q954" s="270"/>
      <c r="R954" s="268"/>
      <c r="S954" s="270"/>
      <c r="T954" s="268"/>
      <c r="U954" s="270"/>
      <c r="V954" s="268"/>
      <c r="W954" s="270"/>
      <c r="X954" s="270"/>
      <c r="Y954" s="270"/>
      <c r="Z954" s="270"/>
      <c r="AA954" s="270"/>
    </row>
    <row r="955" spans="1:27" ht="16.899999999999999" x14ac:dyDescent="0.5">
      <c r="A955" s="270"/>
      <c r="B955" s="270"/>
      <c r="C955" s="270"/>
      <c r="D955" s="268"/>
      <c r="E955" s="270"/>
      <c r="F955" s="268"/>
      <c r="G955" s="270"/>
      <c r="H955" s="268"/>
      <c r="I955" s="270"/>
      <c r="J955" s="268"/>
      <c r="K955" s="270"/>
      <c r="L955" s="268"/>
      <c r="M955" s="270"/>
      <c r="N955" s="268"/>
      <c r="O955" s="270"/>
      <c r="P955" s="268"/>
      <c r="Q955" s="270"/>
      <c r="R955" s="268"/>
      <c r="S955" s="270"/>
      <c r="T955" s="268"/>
      <c r="U955" s="270"/>
      <c r="V955" s="268"/>
      <c r="W955" s="270"/>
      <c r="X955" s="270"/>
      <c r="Y955" s="270"/>
      <c r="Z955" s="270"/>
      <c r="AA955" s="270"/>
    </row>
    <row r="956" spans="1:27" ht="16.899999999999999" x14ac:dyDescent="0.5">
      <c r="A956" s="270"/>
      <c r="B956" s="270"/>
      <c r="C956" s="270"/>
      <c r="D956" s="268"/>
      <c r="E956" s="270"/>
      <c r="F956" s="268"/>
      <c r="G956" s="270"/>
      <c r="H956" s="268"/>
      <c r="I956" s="270"/>
      <c r="J956" s="268"/>
      <c r="K956" s="270"/>
      <c r="L956" s="268"/>
      <c r="M956" s="270"/>
      <c r="N956" s="268"/>
      <c r="O956" s="270"/>
      <c r="P956" s="268"/>
      <c r="Q956" s="270"/>
      <c r="R956" s="268"/>
      <c r="S956" s="270"/>
      <c r="T956" s="268"/>
      <c r="U956" s="270"/>
      <c r="V956" s="268"/>
      <c r="W956" s="270"/>
      <c r="X956" s="270"/>
      <c r="Y956" s="270"/>
      <c r="Z956" s="270"/>
      <c r="AA956" s="270"/>
    </row>
    <row r="957" spans="1:27" ht="16.899999999999999" x14ac:dyDescent="0.5">
      <c r="A957" s="270"/>
      <c r="B957" s="270"/>
      <c r="C957" s="270"/>
      <c r="D957" s="268"/>
      <c r="E957" s="270"/>
      <c r="F957" s="268"/>
      <c r="G957" s="270"/>
      <c r="H957" s="268"/>
      <c r="I957" s="270"/>
      <c r="J957" s="268"/>
      <c r="K957" s="270"/>
      <c r="L957" s="268"/>
      <c r="M957" s="270"/>
      <c r="N957" s="268"/>
      <c r="O957" s="270"/>
      <c r="P957" s="268"/>
      <c r="Q957" s="270"/>
      <c r="R957" s="268"/>
      <c r="S957" s="270"/>
      <c r="T957" s="268"/>
      <c r="U957" s="270"/>
      <c r="V957" s="268"/>
      <c r="W957" s="270"/>
      <c r="X957" s="270"/>
      <c r="Y957" s="270"/>
      <c r="Z957" s="270"/>
      <c r="AA957" s="270"/>
    </row>
    <row r="958" spans="1:27" ht="16.899999999999999" x14ac:dyDescent="0.5">
      <c r="A958" s="270"/>
      <c r="B958" s="270"/>
      <c r="C958" s="270"/>
      <c r="D958" s="268"/>
      <c r="E958" s="270"/>
      <c r="F958" s="268"/>
      <c r="G958" s="270"/>
      <c r="H958" s="268"/>
      <c r="I958" s="270"/>
      <c r="J958" s="268"/>
      <c r="K958" s="270"/>
      <c r="L958" s="268"/>
      <c r="M958" s="270"/>
      <c r="N958" s="268"/>
      <c r="O958" s="270"/>
      <c r="P958" s="268"/>
      <c r="Q958" s="270"/>
      <c r="R958" s="268"/>
      <c r="S958" s="270"/>
      <c r="T958" s="268"/>
      <c r="U958" s="270"/>
      <c r="V958" s="268"/>
      <c r="W958" s="270"/>
      <c r="X958" s="270"/>
      <c r="Y958" s="270"/>
      <c r="Z958" s="270"/>
      <c r="AA958" s="270"/>
    </row>
    <row r="959" spans="1:27" ht="16.899999999999999" x14ac:dyDescent="0.5">
      <c r="A959" s="270"/>
      <c r="B959" s="270"/>
      <c r="C959" s="270"/>
      <c r="D959" s="268"/>
      <c r="E959" s="270"/>
      <c r="F959" s="268"/>
      <c r="G959" s="270"/>
      <c r="H959" s="268"/>
      <c r="I959" s="270"/>
      <c r="J959" s="268"/>
      <c r="K959" s="270"/>
      <c r="L959" s="268"/>
      <c r="M959" s="270"/>
      <c r="N959" s="268"/>
      <c r="O959" s="270"/>
      <c r="P959" s="268"/>
      <c r="Q959" s="270"/>
      <c r="R959" s="268"/>
      <c r="S959" s="270"/>
      <c r="T959" s="268"/>
      <c r="U959" s="270"/>
      <c r="V959" s="268"/>
      <c r="W959" s="270"/>
      <c r="X959" s="270"/>
      <c r="Y959" s="270"/>
      <c r="Z959" s="270"/>
      <c r="AA959" s="270"/>
    </row>
    <row r="960" spans="1:27" ht="16.899999999999999" x14ac:dyDescent="0.5">
      <c r="A960" s="270"/>
      <c r="B960" s="270"/>
      <c r="C960" s="270"/>
      <c r="D960" s="268"/>
      <c r="E960" s="270"/>
      <c r="F960" s="268"/>
      <c r="G960" s="270"/>
      <c r="H960" s="268"/>
      <c r="I960" s="270"/>
      <c r="J960" s="268"/>
      <c r="K960" s="270"/>
      <c r="L960" s="268"/>
      <c r="M960" s="270"/>
      <c r="N960" s="268"/>
      <c r="O960" s="270"/>
      <c r="P960" s="268"/>
      <c r="Q960" s="270"/>
      <c r="R960" s="268"/>
      <c r="S960" s="270"/>
      <c r="T960" s="268"/>
      <c r="U960" s="270"/>
      <c r="V960" s="268"/>
      <c r="W960" s="270"/>
      <c r="X960" s="270"/>
      <c r="Y960" s="270"/>
      <c r="Z960" s="270"/>
      <c r="AA960" s="270"/>
    </row>
    <row r="961" spans="1:27" ht="16.899999999999999" x14ac:dyDescent="0.5">
      <c r="A961" s="270"/>
      <c r="B961" s="270"/>
      <c r="C961" s="270"/>
      <c r="D961" s="268"/>
      <c r="E961" s="270"/>
      <c r="F961" s="268"/>
      <c r="G961" s="270"/>
      <c r="H961" s="268"/>
      <c r="I961" s="270"/>
      <c r="J961" s="268"/>
      <c r="K961" s="270"/>
      <c r="L961" s="268"/>
      <c r="M961" s="270"/>
      <c r="N961" s="268"/>
      <c r="O961" s="270"/>
      <c r="P961" s="268"/>
      <c r="Q961" s="270"/>
      <c r="R961" s="268"/>
      <c r="S961" s="270"/>
      <c r="T961" s="268"/>
      <c r="U961" s="270"/>
      <c r="V961" s="268"/>
      <c r="W961" s="270"/>
      <c r="X961" s="270"/>
      <c r="Y961" s="270"/>
      <c r="Z961" s="270"/>
      <c r="AA961" s="270"/>
    </row>
    <row r="962" spans="1:27" ht="16.899999999999999" x14ac:dyDescent="0.5">
      <c r="A962" s="270"/>
      <c r="B962" s="270"/>
      <c r="C962" s="270"/>
      <c r="D962" s="268"/>
      <c r="E962" s="270"/>
      <c r="F962" s="268"/>
      <c r="G962" s="270"/>
      <c r="H962" s="268"/>
      <c r="I962" s="270"/>
      <c r="J962" s="268"/>
      <c r="K962" s="270"/>
      <c r="L962" s="268"/>
      <c r="M962" s="270"/>
      <c r="N962" s="268"/>
      <c r="O962" s="270"/>
      <c r="P962" s="268"/>
      <c r="Q962" s="270"/>
      <c r="R962" s="268"/>
      <c r="S962" s="270"/>
      <c r="T962" s="268"/>
      <c r="U962" s="270"/>
      <c r="V962" s="268"/>
      <c r="W962" s="270"/>
      <c r="X962" s="270"/>
      <c r="Y962" s="270"/>
      <c r="Z962" s="270"/>
      <c r="AA962" s="270"/>
    </row>
    <row r="963" spans="1:27" ht="16.899999999999999" x14ac:dyDescent="0.5">
      <c r="A963" s="270"/>
      <c r="B963" s="270"/>
      <c r="C963" s="270"/>
      <c r="D963" s="268"/>
      <c r="E963" s="270"/>
      <c r="F963" s="268"/>
      <c r="G963" s="270"/>
      <c r="H963" s="268"/>
      <c r="I963" s="270"/>
      <c r="J963" s="268"/>
      <c r="K963" s="270"/>
      <c r="L963" s="268"/>
      <c r="M963" s="270"/>
      <c r="N963" s="268"/>
      <c r="O963" s="270"/>
      <c r="P963" s="268"/>
      <c r="Q963" s="270"/>
      <c r="R963" s="268"/>
      <c r="S963" s="270"/>
      <c r="T963" s="268"/>
      <c r="U963" s="270"/>
      <c r="V963" s="268"/>
      <c r="W963" s="270"/>
      <c r="X963" s="270"/>
      <c r="Y963" s="270"/>
      <c r="Z963" s="270"/>
      <c r="AA963" s="270"/>
    </row>
    <row r="964" spans="1:27" ht="16.899999999999999" x14ac:dyDescent="0.5">
      <c r="A964" s="270"/>
      <c r="B964" s="270"/>
      <c r="C964" s="270"/>
      <c r="D964" s="268"/>
      <c r="E964" s="270"/>
      <c r="F964" s="268"/>
      <c r="G964" s="270"/>
      <c r="H964" s="268"/>
      <c r="I964" s="270"/>
      <c r="J964" s="268"/>
      <c r="K964" s="270"/>
      <c r="L964" s="268"/>
      <c r="M964" s="270"/>
      <c r="N964" s="268"/>
      <c r="O964" s="270"/>
      <c r="P964" s="268"/>
      <c r="Q964" s="270"/>
      <c r="R964" s="268"/>
      <c r="S964" s="270"/>
      <c r="T964" s="268"/>
      <c r="U964" s="270"/>
      <c r="V964" s="268"/>
      <c r="W964" s="270"/>
      <c r="X964" s="270"/>
      <c r="Y964" s="270"/>
      <c r="Z964" s="270"/>
      <c r="AA964" s="270"/>
    </row>
    <row r="965" spans="1:27" ht="16.899999999999999" x14ac:dyDescent="0.5">
      <c r="A965" s="270"/>
      <c r="B965" s="270"/>
      <c r="C965" s="270"/>
      <c r="D965" s="268"/>
      <c r="E965" s="270"/>
      <c r="F965" s="268"/>
      <c r="G965" s="270"/>
      <c r="H965" s="268"/>
      <c r="I965" s="270"/>
      <c r="J965" s="268"/>
      <c r="K965" s="270"/>
      <c r="L965" s="268"/>
      <c r="M965" s="270"/>
      <c r="N965" s="268"/>
      <c r="O965" s="270"/>
      <c r="P965" s="268"/>
      <c r="Q965" s="270"/>
      <c r="R965" s="268"/>
      <c r="S965" s="270"/>
      <c r="T965" s="268"/>
      <c r="U965" s="270"/>
      <c r="V965" s="268"/>
      <c r="W965" s="270"/>
      <c r="X965" s="270"/>
      <c r="Y965" s="270"/>
      <c r="Z965" s="270"/>
      <c r="AA965" s="270"/>
    </row>
    <row r="966" spans="1:27" ht="16.899999999999999" x14ac:dyDescent="0.5">
      <c r="A966" s="270"/>
      <c r="B966" s="270"/>
      <c r="C966" s="270"/>
      <c r="D966" s="268"/>
      <c r="E966" s="270"/>
      <c r="F966" s="268"/>
      <c r="G966" s="270"/>
      <c r="H966" s="268"/>
      <c r="I966" s="270"/>
      <c r="J966" s="268"/>
      <c r="K966" s="270"/>
      <c r="L966" s="268"/>
      <c r="M966" s="270"/>
      <c r="N966" s="268"/>
      <c r="O966" s="270"/>
      <c r="P966" s="268"/>
      <c r="Q966" s="270"/>
      <c r="R966" s="268"/>
      <c r="S966" s="270"/>
      <c r="T966" s="268"/>
      <c r="U966" s="270"/>
      <c r="V966" s="268"/>
      <c r="W966" s="270"/>
      <c r="X966" s="270"/>
      <c r="Y966" s="270"/>
      <c r="Z966" s="270"/>
      <c r="AA966" s="270"/>
    </row>
    <row r="967" spans="1:27" ht="16.899999999999999" x14ac:dyDescent="0.5">
      <c r="A967" s="270"/>
      <c r="B967" s="270"/>
      <c r="C967" s="270"/>
      <c r="D967" s="268"/>
      <c r="E967" s="270"/>
      <c r="F967" s="268"/>
      <c r="G967" s="270"/>
      <c r="H967" s="268"/>
      <c r="I967" s="270"/>
      <c r="J967" s="268"/>
      <c r="K967" s="270"/>
      <c r="L967" s="268"/>
      <c r="M967" s="270"/>
      <c r="N967" s="268"/>
      <c r="O967" s="270"/>
      <c r="P967" s="268"/>
      <c r="Q967" s="270"/>
      <c r="R967" s="268"/>
      <c r="S967" s="270"/>
      <c r="T967" s="268"/>
      <c r="U967" s="270"/>
      <c r="V967" s="268"/>
      <c r="W967" s="270"/>
      <c r="X967" s="270"/>
      <c r="Y967" s="270"/>
      <c r="Z967" s="270"/>
      <c r="AA967" s="270"/>
    </row>
    <row r="968" spans="1:27" ht="16.899999999999999" x14ac:dyDescent="0.5">
      <c r="A968" s="270"/>
      <c r="B968" s="270"/>
      <c r="C968" s="270"/>
      <c r="D968" s="268"/>
      <c r="E968" s="270"/>
      <c r="F968" s="268"/>
      <c r="G968" s="270"/>
      <c r="H968" s="268"/>
      <c r="I968" s="270"/>
      <c r="J968" s="268"/>
      <c r="K968" s="270"/>
      <c r="L968" s="268"/>
      <c r="M968" s="270"/>
      <c r="N968" s="268"/>
      <c r="O968" s="270"/>
      <c r="P968" s="268"/>
      <c r="Q968" s="270"/>
      <c r="R968" s="268"/>
      <c r="S968" s="270"/>
      <c r="T968" s="268"/>
      <c r="U968" s="270"/>
      <c r="V968" s="268"/>
      <c r="W968" s="270"/>
      <c r="X968" s="270"/>
      <c r="Y968" s="270"/>
      <c r="Z968" s="270"/>
      <c r="AA968" s="270"/>
    </row>
    <row r="969" spans="1:27" ht="16.899999999999999" x14ac:dyDescent="0.5">
      <c r="A969" s="270"/>
      <c r="B969" s="270"/>
      <c r="C969" s="270"/>
      <c r="D969" s="268"/>
      <c r="E969" s="270"/>
      <c r="F969" s="268"/>
      <c r="G969" s="270"/>
      <c r="H969" s="268"/>
      <c r="I969" s="270"/>
      <c r="J969" s="268"/>
      <c r="K969" s="270"/>
      <c r="L969" s="268"/>
      <c r="M969" s="270"/>
      <c r="N969" s="268"/>
      <c r="O969" s="270"/>
      <c r="P969" s="268"/>
      <c r="Q969" s="270"/>
      <c r="R969" s="268"/>
      <c r="S969" s="270"/>
      <c r="T969" s="268"/>
      <c r="U969" s="270"/>
      <c r="V969" s="268"/>
      <c r="W969" s="270"/>
      <c r="X969" s="270"/>
      <c r="Y969" s="270"/>
      <c r="Z969" s="270"/>
      <c r="AA969" s="270"/>
    </row>
    <row r="970" spans="1:27" ht="16.899999999999999" x14ac:dyDescent="0.5">
      <c r="A970" s="270"/>
      <c r="B970" s="270"/>
      <c r="C970" s="270"/>
      <c r="D970" s="268"/>
      <c r="E970" s="270"/>
      <c r="F970" s="268"/>
      <c r="G970" s="270"/>
      <c r="H970" s="268"/>
      <c r="I970" s="270"/>
      <c r="J970" s="268"/>
      <c r="K970" s="270"/>
      <c r="L970" s="268"/>
      <c r="M970" s="270"/>
      <c r="N970" s="268"/>
      <c r="O970" s="270"/>
      <c r="P970" s="268"/>
      <c r="Q970" s="270"/>
      <c r="R970" s="268"/>
      <c r="S970" s="270"/>
      <c r="T970" s="268"/>
      <c r="U970" s="270"/>
      <c r="V970" s="268"/>
      <c r="W970" s="270"/>
      <c r="X970" s="270"/>
      <c r="Y970" s="270"/>
      <c r="Z970" s="270"/>
      <c r="AA970" s="270"/>
    </row>
    <row r="971" spans="1:27" ht="16.899999999999999" x14ac:dyDescent="0.5">
      <c r="A971" s="270"/>
      <c r="B971" s="270"/>
      <c r="C971" s="270"/>
      <c r="D971" s="268"/>
      <c r="E971" s="270"/>
      <c r="F971" s="268"/>
      <c r="G971" s="270"/>
      <c r="H971" s="268"/>
      <c r="I971" s="270"/>
      <c r="J971" s="268"/>
      <c r="K971" s="270"/>
      <c r="L971" s="268"/>
      <c r="M971" s="270"/>
      <c r="N971" s="268"/>
      <c r="O971" s="270"/>
      <c r="P971" s="268"/>
      <c r="Q971" s="270"/>
      <c r="R971" s="268"/>
      <c r="S971" s="270"/>
      <c r="T971" s="268"/>
      <c r="U971" s="270"/>
      <c r="V971" s="268"/>
      <c r="W971" s="270"/>
      <c r="X971" s="270"/>
      <c r="Y971" s="270"/>
      <c r="Z971" s="270"/>
      <c r="AA971" s="270"/>
    </row>
    <row r="972" spans="1:27" ht="16.899999999999999" x14ac:dyDescent="0.5">
      <c r="A972" s="270"/>
      <c r="B972" s="270"/>
      <c r="C972" s="270"/>
      <c r="D972" s="268"/>
      <c r="E972" s="270"/>
      <c r="F972" s="268"/>
      <c r="G972" s="270"/>
      <c r="H972" s="268"/>
      <c r="I972" s="270"/>
      <c r="J972" s="268"/>
      <c r="K972" s="270"/>
      <c r="L972" s="268"/>
      <c r="M972" s="270"/>
      <c r="N972" s="268"/>
      <c r="O972" s="270"/>
      <c r="P972" s="268"/>
      <c r="Q972" s="270"/>
      <c r="R972" s="268"/>
      <c r="S972" s="270"/>
      <c r="T972" s="268"/>
      <c r="U972" s="270"/>
      <c r="V972" s="268"/>
      <c r="W972" s="270"/>
      <c r="X972" s="270"/>
      <c r="Y972" s="270"/>
      <c r="Z972" s="270"/>
      <c r="AA972" s="270"/>
    </row>
    <row r="973" spans="1:27" ht="16.899999999999999" x14ac:dyDescent="0.5">
      <c r="A973" s="270"/>
      <c r="B973" s="270"/>
      <c r="C973" s="270"/>
      <c r="D973" s="268"/>
      <c r="E973" s="270"/>
      <c r="F973" s="268"/>
      <c r="G973" s="270"/>
      <c r="H973" s="268"/>
      <c r="I973" s="270"/>
      <c r="J973" s="268"/>
      <c r="K973" s="270"/>
      <c r="L973" s="268"/>
      <c r="M973" s="270"/>
      <c r="N973" s="268"/>
      <c r="O973" s="270"/>
      <c r="P973" s="268"/>
      <c r="Q973" s="270"/>
      <c r="R973" s="268"/>
      <c r="S973" s="270"/>
      <c r="T973" s="268"/>
      <c r="U973" s="270"/>
      <c r="V973" s="268"/>
      <c r="W973" s="270"/>
      <c r="X973" s="270"/>
      <c r="Y973" s="270"/>
      <c r="Z973" s="270"/>
      <c r="AA973" s="270"/>
    </row>
    <row r="974" spans="1:27" ht="16.899999999999999" x14ac:dyDescent="0.5">
      <c r="A974" s="270"/>
      <c r="B974" s="270"/>
      <c r="C974" s="270"/>
      <c r="D974" s="268"/>
      <c r="E974" s="270"/>
      <c r="F974" s="268"/>
      <c r="G974" s="270"/>
      <c r="H974" s="268"/>
      <c r="I974" s="270"/>
      <c r="J974" s="268"/>
      <c r="K974" s="270"/>
      <c r="L974" s="268"/>
      <c r="M974" s="270"/>
      <c r="N974" s="268"/>
      <c r="O974" s="270"/>
      <c r="P974" s="268"/>
      <c r="Q974" s="270"/>
      <c r="R974" s="268"/>
      <c r="S974" s="270"/>
      <c r="T974" s="268"/>
      <c r="U974" s="270"/>
      <c r="V974" s="268"/>
      <c r="W974" s="270"/>
      <c r="X974" s="270"/>
      <c r="Y974" s="270"/>
      <c r="Z974" s="270"/>
      <c r="AA974" s="270"/>
    </row>
    <row r="975" spans="1:27" ht="16.899999999999999" x14ac:dyDescent="0.5">
      <c r="A975" s="270"/>
      <c r="B975" s="270"/>
      <c r="C975" s="270"/>
      <c r="D975" s="268"/>
      <c r="E975" s="270"/>
      <c r="F975" s="268"/>
      <c r="G975" s="270"/>
      <c r="H975" s="268"/>
      <c r="I975" s="270"/>
      <c r="J975" s="268"/>
      <c r="K975" s="270"/>
      <c r="L975" s="268"/>
      <c r="M975" s="270"/>
      <c r="N975" s="268"/>
      <c r="O975" s="270"/>
      <c r="P975" s="268"/>
      <c r="Q975" s="270"/>
      <c r="R975" s="268"/>
      <c r="S975" s="270"/>
      <c r="T975" s="268"/>
      <c r="U975" s="270"/>
      <c r="V975" s="268"/>
      <c r="W975" s="270"/>
      <c r="X975" s="270"/>
      <c r="Y975" s="270"/>
      <c r="Z975" s="270"/>
      <c r="AA975" s="270"/>
    </row>
    <row r="976" spans="1:27" ht="16.899999999999999" x14ac:dyDescent="0.5">
      <c r="A976" s="270"/>
      <c r="B976" s="270"/>
      <c r="C976" s="270"/>
      <c r="D976" s="268"/>
      <c r="E976" s="270"/>
      <c r="F976" s="268"/>
      <c r="G976" s="270"/>
      <c r="H976" s="268"/>
      <c r="I976" s="270"/>
      <c r="J976" s="268"/>
      <c r="K976" s="270"/>
      <c r="L976" s="268"/>
      <c r="M976" s="270"/>
      <c r="N976" s="268"/>
      <c r="O976" s="270"/>
      <c r="P976" s="268"/>
      <c r="Q976" s="270"/>
      <c r="R976" s="268"/>
      <c r="S976" s="270"/>
      <c r="T976" s="268"/>
      <c r="U976" s="270"/>
      <c r="V976" s="268"/>
      <c r="W976" s="270"/>
      <c r="X976" s="270"/>
      <c r="Y976" s="270"/>
      <c r="Z976" s="270"/>
      <c r="AA976" s="270"/>
    </row>
    <row r="977" spans="1:27" ht="16.899999999999999" x14ac:dyDescent="0.5">
      <c r="A977" s="270"/>
      <c r="B977" s="270"/>
      <c r="C977" s="270"/>
      <c r="D977" s="268"/>
      <c r="E977" s="270"/>
      <c r="F977" s="268"/>
      <c r="G977" s="270"/>
      <c r="H977" s="268"/>
      <c r="I977" s="270"/>
      <c r="J977" s="268"/>
      <c r="K977" s="270"/>
      <c r="L977" s="268"/>
      <c r="M977" s="270"/>
      <c r="N977" s="268"/>
      <c r="O977" s="270"/>
      <c r="P977" s="268"/>
      <c r="Q977" s="270"/>
      <c r="R977" s="268"/>
      <c r="S977" s="270"/>
      <c r="T977" s="268"/>
      <c r="U977" s="270"/>
      <c r="V977" s="268"/>
      <c r="W977" s="270"/>
      <c r="X977" s="270"/>
      <c r="Y977" s="270"/>
      <c r="Z977" s="270"/>
      <c r="AA977" s="270"/>
    </row>
    <row r="978" spans="1:27" ht="16.899999999999999" x14ac:dyDescent="0.5">
      <c r="A978" s="270"/>
      <c r="B978" s="270"/>
      <c r="C978" s="270"/>
      <c r="D978" s="268"/>
      <c r="E978" s="270"/>
      <c r="F978" s="268"/>
      <c r="G978" s="270"/>
      <c r="H978" s="268"/>
      <c r="I978" s="270"/>
      <c r="J978" s="268"/>
      <c r="K978" s="270"/>
      <c r="L978" s="268"/>
      <c r="M978" s="270"/>
      <c r="N978" s="268"/>
      <c r="O978" s="270"/>
      <c r="P978" s="268"/>
      <c r="Q978" s="270"/>
      <c r="R978" s="268"/>
      <c r="S978" s="270"/>
      <c r="T978" s="268"/>
      <c r="U978" s="270"/>
      <c r="V978" s="268"/>
      <c r="W978" s="270"/>
      <c r="X978" s="270"/>
      <c r="Y978" s="270"/>
      <c r="Z978" s="270"/>
      <c r="AA978" s="270"/>
    </row>
    <row r="979" spans="1:27" ht="16.899999999999999" x14ac:dyDescent="0.5">
      <c r="A979" s="270"/>
      <c r="B979" s="270"/>
      <c r="C979" s="270"/>
      <c r="D979" s="268"/>
      <c r="E979" s="270"/>
      <c r="F979" s="268"/>
      <c r="G979" s="270"/>
      <c r="H979" s="268"/>
      <c r="I979" s="270"/>
      <c r="J979" s="268"/>
      <c r="K979" s="270"/>
      <c r="L979" s="268"/>
      <c r="M979" s="270"/>
      <c r="N979" s="268"/>
      <c r="O979" s="270"/>
      <c r="P979" s="268"/>
      <c r="Q979" s="270"/>
      <c r="R979" s="268"/>
      <c r="S979" s="270"/>
      <c r="T979" s="268"/>
      <c r="U979" s="270"/>
      <c r="V979" s="268"/>
      <c r="W979" s="270"/>
      <c r="X979" s="270"/>
      <c r="Y979" s="270"/>
      <c r="Z979" s="270"/>
      <c r="AA979" s="270"/>
    </row>
    <row r="980" spans="1:27" ht="16.899999999999999" x14ac:dyDescent="0.5">
      <c r="A980" s="270"/>
      <c r="B980" s="270"/>
      <c r="C980" s="270"/>
      <c r="D980" s="268"/>
      <c r="E980" s="270"/>
      <c r="F980" s="268"/>
      <c r="G980" s="270"/>
      <c r="H980" s="268"/>
      <c r="I980" s="270"/>
      <c r="J980" s="268"/>
      <c r="K980" s="270"/>
      <c r="L980" s="268"/>
      <c r="M980" s="270"/>
      <c r="N980" s="268"/>
      <c r="O980" s="270"/>
      <c r="P980" s="268"/>
      <c r="Q980" s="270"/>
      <c r="R980" s="268"/>
      <c r="S980" s="270"/>
      <c r="T980" s="268"/>
      <c r="U980" s="270"/>
      <c r="V980" s="268"/>
      <c r="W980" s="270"/>
      <c r="X980" s="270"/>
      <c r="Y980" s="270"/>
      <c r="Z980" s="270"/>
      <c r="AA980" s="270"/>
    </row>
    <row r="981" spans="1:27" ht="16.899999999999999" x14ac:dyDescent="0.5">
      <c r="A981" s="270"/>
      <c r="B981" s="270"/>
      <c r="C981" s="270"/>
      <c r="D981" s="268"/>
      <c r="E981" s="270"/>
      <c r="F981" s="268"/>
      <c r="G981" s="270"/>
      <c r="H981" s="268"/>
      <c r="I981" s="270"/>
      <c r="J981" s="268"/>
      <c r="K981" s="270"/>
      <c r="L981" s="268"/>
      <c r="M981" s="270"/>
      <c r="N981" s="268"/>
      <c r="O981" s="270"/>
      <c r="P981" s="268"/>
      <c r="Q981" s="270"/>
      <c r="R981" s="268"/>
      <c r="S981" s="270"/>
      <c r="T981" s="268"/>
      <c r="U981" s="270"/>
      <c r="V981" s="268"/>
      <c r="W981" s="270"/>
      <c r="X981" s="270"/>
      <c r="Y981" s="270"/>
      <c r="Z981" s="270"/>
      <c r="AA981" s="270"/>
    </row>
    <row r="982" spans="1:27" ht="16.899999999999999" x14ac:dyDescent="0.5">
      <c r="A982" s="270"/>
      <c r="B982" s="270"/>
      <c r="C982" s="270"/>
      <c r="D982" s="268"/>
      <c r="E982" s="270"/>
      <c r="F982" s="268"/>
      <c r="G982" s="270"/>
      <c r="H982" s="268"/>
      <c r="I982" s="270"/>
      <c r="J982" s="268"/>
      <c r="K982" s="270"/>
      <c r="L982" s="268"/>
      <c r="M982" s="270"/>
      <c r="N982" s="268"/>
      <c r="O982" s="270"/>
      <c r="P982" s="268"/>
      <c r="Q982" s="270"/>
      <c r="R982" s="268"/>
      <c r="S982" s="270"/>
      <c r="T982" s="268"/>
      <c r="U982" s="270"/>
      <c r="V982" s="268"/>
      <c r="W982" s="270"/>
      <c r="X982" s="270"/>
      <c r="Y982" s="270"/>
      <c r="Z982" s="270"/>
      <c r="AA982" s="270"/>
    </row>
    <row r="983" spans="1:27" ht="16.899999999999999" x14ac:dyDescent="0.5">
      <c r="A983" s="270"/>
      <c r="B983" s="270"/>
      <c r="C983" s="270"/>
      <c r="D983" s="268"/>
      <c r="E983" s="270"/>
      <c r="F983" s="268"/>
      <c r="G983" s="270"/>
      <c r="H983" s="268"/>
      <c r="I983" s="270"/>
      <c r="J983" s="268"/>
      <c r="K983" s="270"/>
      <c r="L983" s="268"/>
      <c r="M983" s="270"/>
      <c r="N983" s="268"/>
      <c r="O983" s="270"/>
      <c r="P983" s="268"/>
      <c r="Q983" s="270"/>
      <c r="R983" s="268"/>
      <c r="S983" s="270"/>
      <c r="T983" s="268"/>
      <c r="U983" s="270"/>
      <c r="V983" s="268"/>
      <c r="W983" s="270"/>
      <c r="X983" s="270"/>
      <c r="Y983" s="270"/>
      <c r="Z983" s="270"/>
      <c r="AA983" s="270"/>
    </row>
    <row r="984" spans="1:27" ht="16.899999999999999" x14ac:dyDescent="0.5">
      <c r="A984" s="270"/>
      <c r="B984" s="270"/>
      <c r="C984" s="270"/>
      <c r="D984" s="268"/>
      <c r="E984" s="270"/>
      <c r="F984" s="268"/>
      <c r="G984" s="270"/>
      <c r="H984" s="268"/>
      <c r="I984" s="270"/>
      <c r="J984" s="268"/>
      <c r="K984" s="270"/>
      <c r="L984" s="268"/>
      <c r="M984" s="270"/>
      <c r="N984" s="268"/>
      <c r="O984" s="270"/>
      <c r="P984" s="268"/>
      <c r="Q984" s="270"/>
      <c r="R984" s="268"/>
      <c r="S984" s="270"/>
      <c r="T984" s="268"/>
      <c r="U984" s="270"/>
      <c r="V984" s="268"/>
      <c r="W984" s="270"/>
      <c r="X984" s="270"/>
      <c r="Y984" s="270"/>
      <c r="Z984" s="270"/>
      <c r="AA984" s="270"/>
    </row>
    <row r="985" spans="1:27" ht="16.899999999999999" x14ac:dyDescent="0.5">
      <c r="A985" s="270"/>
      <c r="B985" s="270"/>
      <c r="C985" s="270"/>
      <c r="D985" s="268"/>
      <c r="E985" s="270"/>
      <c r="F985" s="268"/>
      <c r="G985" s="270"/>
      <c r="H985" s="268"/>
      <c r="I985" s="270"/>
      <c r="J985" s="268"/>
      <c r="K985" s="270"/>
      <c r="L985" s="268"/>
      <c r="M985" s="270"/>
      <c r="N985" s="268"/>
      <c r="O985" s="270"/>
      <c r="P985" s="268"/>
      <c r="Q985" s="270"/>
      <c r="R985" s="268"/>
      <c r="S985" s="270"/>
      <c r="T985" s="268"/>
      <c r="U985" s="270"/>
      <c r="V985" s="268"/>
      <c r="W985" s="270"/>
      <c r="X985" s="270"/>
      <c r="Y985" s="270"/>
      <c r="Z985" s="270"/>
      <c r="AA985" s="270"/>
    </row>
    <row r="986" spans="1:27" ht="16.899999999999999" x14ac:dyDescent="0.5">
      <c r="A986" s="270"/>
      <c r="B986" s="270"/>
      <c r="C986" s="270"/>
      <c r="D986" s="268"/>
      <c r="E986" s="270"/>
      <c r="F986" s="268"/>
      <c r="G986" s="270"/>
      <c r="H986" s="268"/>
      <c r="I986" s="270"/>
      <c r="J986" s="268"/>
      <c r="K986" s="270"/>
      <c r="L986" s="268"/>
      <c r="M986" s="270"/>
      <c r="N986" s="268"/>
      <c r="O986" s="270"/>
      <c r="P986" s="268"/>
      <c r="Q986" s="270"/>
      <c r="R986" s="268"/>
      <c r="S986" s="270"/>
      <c r="T986" s="268"/>
      <c r="U986" s="270"/>
      <c r="V986" s="268"/>
      <c r="W986" s="270"/>
      <c r="X986" s="270"/>
      <c r="Y986" s="270"/>
      <c r="Z986" s="270"/>
      <c r="AA986" s="270"/>
    </row>
    <row r="987" spans="1:27" ht="16.899999999999999" x14ac:dyDescent="0.5">
      <c r="A987" s="270"/>
      <c r="B987" s="270"/>
      <c r="C987" s="270"/>
      <c r="D987" s="268"/>
      <c r="E987" s="270"/>
      <c r="F987" s="268"/>
      <c r="G987" s="270"/>
      <c r="H987" s="268"/>
      <c r="I987" s="270"/>
      <c r="J987" s="268"/>
      <c r="K987" s="270"/>
      <c r="L987" s="268"/>
      <c r="M987" s="270"/>
      <c r="N987" s="268"/>
      <c r="O987" s="270"/>
      <c r="P987" s="268"/>
      <c r="Q987" s="270"/>
      <c r="R987" s="268"/>
      <c r="S987" s="270"/>
      <c r="T987" s="268"/>
      <c r="U987" s="270"/>
      <c r="V987" s="268"/>
      <c r="W987" s="270"/>
      <c r="X987" s="270"/>
      <c r="Y987" s="270"/>
      <c r="Z987" s="270"/>
      <c r="AA987" s="270"/>
    </row>
    <row r="988" spans="1:27" ht="16.899999999999999" x14ac:dyDescent="0.5">
      <c r="A988" s="270"/>
      <c r="B988" s="270"/>
      <c r="C988" s="270"/>
      <c r="D988" s="268"/>
      <c r="E988" s="270"/>
      <c r="F988" s="268"/>
      <c r="G988" s="270"/>
      <c r="H988" s="268"/>
      <c r="I988" s="270"/>
      <c r="J988" s="268"/>
      <c r="K988" s="270"/>
      <c r="L988" s="268"/>
      <c r="M988" s="270"/>
      <c r="N988" s="268"/>
      <c r="O988" s="270"/>
      <c r="P988" s="268"/>
      <c r="Q988" s="270"/>
      <c r="R988" s="268"/>
      <c r="S988" s="270"/>
      <c r="T988" s="268"/>
      <c r="U988" s="270"/>
      <c r="V988" s="268"/>
      <c r="W988" s="270"/>
      <c r="X988" s="270"/>
      <c r="Y988" s="270"/>
      <c r="Z988" s="270"/>
      <c r="AA988" s="270"/>
    </row>
    <row r="989" spans="1:27" ht="16.899999999999999" x14ac:dyDescent="0.5">
      <c r="A989" s="270"/>
      <c r="B989" s="270"/>
      <c r="C989" s="270"/>
      <c r="D989" s="268"/>
      <c r="E989" s="270"/>
      <c r="F989" s="268"/>
      <c r="G989" s="270"/>
      <c r="H989" s="268"/>
      <c r="I989" s="270"/>
      <c r="J989" s="268"/>
      <c r="K989" s="270"/>
      <c r="L989" s="268"/>
      <c r="M989" s="270"/>
      <c r="N989" s="268"/>
      <c r="O989" s="270"/>
      <c r="P989" s="268"/>
      <c r="Q989" s="270"/>
      <c r="R989" s="268"/>
      <c r="S989" s="270"/>
      <c r="T989" s="268"/>
      <c r="U989" s="270"/>
      <c r="V989" s="268"/>
      <c r="W989" s="270"/>
      <c r="X989" s="270"/>
      <c r="Y989" s="270"/>
      <c r="Z989" s="270"/>
      <c r="AA989" s="270"/>
    </row>
    <row r="990" spans="1:27" ht="16.899999999999999" x14ac:dyDescent="0.5">
      <c r="A990" s="270"/>
      <c r="B990" s="270"/>
      <c r="C990" s="270"/>
      <c r="D990" s="268"/>
      <c r="E990" s="270"/>
      <c r="F990" s="268"/>
      <c r="G990" s="270"/>
      <c r="H990" s="268"/>
      <c r="I990" s="270"/>
      <c r="J990" s="268"/>
      <c r="K990" s="270"/>
      <c r="L990" s="268"/>
      <c r="M990" s="270"/>
      <c r="N990" s="268"/>
      <c r="O990" s="270"/>
      <c r="P990" s="268"/>
      <c r="Q990" s="270"/>
      <c r="R990" s="268"/>
      <c r="S990" s="270"/>
      <c r="T990" s="268"/>
      <c r="U990" s="270"/>
      <c r="V990" s="268"/>
      <c r="W990" s="270"/>
      <c r="X990" s="270"/>
      <c r="Y990" s="270"/>
      <c r="Z990" s="270"/>
      <c r="AA990" s="270"/>
    </row>
    <row r="991" spans="1:27" ht="16.899999999999999" x14ac:dyDescent="0.5">
      <c r="A991" s="270"/>
      <c r="B991" s="270"/>
      <c r="C991" s="270"/>
      <c r="D991" s="268"/>
      <c r="E991" s="270"/>
      <c r="F991" s="268"/>
      <c r="G991" s="270"/>
      <c r="H991" s="268"/>
      <c r="I991" s="270"/>
      <c r="J991" s="268"/>
      <c r="K991" s="270"/>
      <c r="L991" s="268"/>
      <c r="M991" s="270"/>
      <c r="N991" s="268"/>
      <c r="O991" s="270"/>
      <c r="P991" s="268"/>
      <c r="Q991" s="270"/>
      <c r="R991" s="268"/>
      <c r="S991" s="270"/>
      <c r="T991" s="268"/>
      <c r="U991" s="270"/>
      <c r="V991" s="268"/>
      <c r="W991" s="270"/>
      <c r="X991" s="270"/>
      <c r="Y991" s="270"/>
      <c r="Z991" s="270"/>
      <c r="AA991" s="270"/>
    </row>
    <row r="992" spans="1:27" ht="16.899999999999999" x14ac:dyDescent="0.5">
      <c r="A992" s="270"/>
      <c r="B992" s="270"/>
      <c r="C992" s="270"/>
      <c r="D992" s="268"/>
      <c r="E992" s="270"/>
      <c r="F992" s="268"/>
      <c r="G992" s="270"/>
      <c r="H992" s="268"/>
      <c r="I992" s="270"/>
      <c r="J992" s="268"/>
      <c r="K992" s="270"/>
      <c r="L992" s="268"/>
      <c r="M992" s="270"/>
      <c r="N992" s="268"/>
      <c r="O992" s="270"/>
      <c r="P992" s="268"/>
      <c r="Q992" s="270"/>
      <c r="R992" s="268"/>
      <c r="S992" s="270"/>
      <c r="T992" s="268"/>
      <c r="U992" s="270"/>
      <c r="V992" s="268"/>
      <c r="W992" s="270"/>
      <c r="X992" s="270"/>
      <c r="Y992" s="270"/>
      <c r="Z992" s="270"/>
      <c r="AA992" s="270"/>
    </row>
    <row r="993" spans="1:27" ht="16.899999999999999" x14ac:dyDescent="0.5">
      <c r="A993" s="270"/>
      <c r="B993" s="270"/>
      <c r="C993" s="270"/>
      <c r="D993" s="268"/>
      <c r="E993" s="270"/>
      <c r="F993" s="268"/>
      <c r="G993" s="270"/>
      <c r="H993" s="268"/>
      <c r="I993" s="270"/>
      <c r="J993" s="268"/>
      <c r="K993" s="270"/>
      <c r="L993" s="268"/>
      <c r="M993" s="270"/>
      <c r="N993" s="268"/>
      <c r="O993" s="270"/>
      <c r="P993" s="268"/>
      <c r="Q993" s="270"/>
      <c r="R993" s="268"/>
      <c r="S993" s="270"/>
      <c r="T993" s="268"/>
      <c r="U993" s="270"/>
      <c r="V993" s="268"/>
      <c r="W993" s="270"/>
      <c r="X993" s="270"/>
      <c r="Y993" s="270"/>
      <c r="Z993" s="270"/>
      <c r="AA993" s="270"/>
    </row>
    <row r="994" spans="1:27" ht="16.899999999999999" x14ac:dyDescent="0.5">
      <c r="A994" s="270"/>
      <c r="B994" s="270"/>
      <c r="C994" s="270"/>
      <c r="D994" s="268"/>
      <c r="E994" s="270"/>
      <c r="F994" s="268"/>
      <c r="G994" s="270"/>
      <c r="H994" s="268"/>
      <c r="I994" s="270"/>
      <c r="J994" s="268"/>
      <c r="K994" s="270"/>
      <c r="L994" s="268"/>
      <c r="M994" s="270"/>
      <c r="N994" s="268"/>
      <c r="O994" s="270"/>
      <c r="P994" s="268"/>
      <c r="Q994" s="270"/>
      <c r="R994" s="268"/>
      <c r="S994" s="270"/>
      <c r="T994" s="268"/>
      <c r="U994" s="270"/>
      <c r="V994" s="268"/>
      <c r="W994" s="270"/>
      <c r="X994" s="270"/>
      <c r="Y994" s="270"/>
      <c r="Z994" s="270"/>
      <c r="AA994" s="270"/>
    </row>
    <row r="995" spans="1:27" ht="16.899999999999999" x14ac:dyDescent="0.5">
      <c r="A995" s="270"/>
      <c r="B995" s="270"/>
      <c r="C995" s="270"/>
      <c r="D995" s="268"/>
      <c r="E995" s="270"/>
      <c r="F995" s="268"/>
      <c r="G995" s="270"/>
      <c r="H995" s="268"/>
      <c r="I995" s="270"/>
      <c r="J995" s="268"/>
      <c r="K995" s="270"/>
      <c r="L995" s="268"/>
      <c r="M995" s="270"/>
      <c r="N995" s="268"/>
      <c r="O995" s="270"/>
      <c r="P995" s="268"/>
      <c r="Q995" s="270"/>
      <c r="R995" s="268"/>
      <c r="S995" s="270"/>
      <c r="T995" s="268"/>
      <c r="U995" s="270"/>
      <c r="V995" s="268"/>
      <c r="W995" s="270"/>
      <c r="X995" s="270"/>
      <c r="Y995" s="270"/>
      <c r="Z995" s="270"/>
      <c r="AA995" s="270"/>
    </row>
    <row r="996" spans="1:27" ht="16.899999999999999" x14ac:dyDescent="0.5">
      <c r="A996" s="270"/>
      <c r="B996" s="270"/>
      <c r="C996" s="270"/>
      <c r="D996" s="268"/>
      <c r="E996" s="270"/>
      <c r="F996" s="268"/>
      <c r="G996" s="270"/>
      <c r="H996" s="268"/>
      <c r="I996" s="270"/>
      <c r="J996" s="268"/>
      <c r="K996" s="270"/>
      <c r="L996" s="268"/>
      <c r="M996" s="270"/>
      <c r="N996" s="268"/>
      <c r="O996" s="270"/>
      <c r="P996" s="268"/>
      <c r="Q996" s="270"/>
      <c r="R996" s="268"/>
      <c r="S996" s="270"/>
      <c r="T996" s="268"/>
      <c r="U996" s="270"/>
      <c r="V996" s="268"/>
      <c r="W996" s="270"/>
      <c r="X996" s="270"/>
      <c r="Y996" s="270"/>
      <c r="Z996" s="270"/>
      <c r="AA996" s="270"/>
    </row>
    <row r="997" spans="1:27" ht="16.899999999999999" x14ac:dyDescent="0.5">
      <c r="A997" s="270"/>
      <c r="B997" s="270"/>
      <c r="C997" s="270"/>
      <c r="D997" s="268"/>
      <c r="E997" s="270"/>
      <c r="F997" s="268"/>
      <c r="G997" s="270"/>
      <c r="H997" s="268"/>
      <c r="I997" s="270"/>
      <c r="J997" s="268"/>
      <c r="K997" s="270"/>
      <c r="L997" s="268"/>
      <c r="M997" s="270"/>
      <c r="N997" s="268"/>
      <c r="O997" s="270"/>
      <c r="P997" s="268"/>
      <c r="Q997" s="270"/>
      <c r="R997" s="268"/>
      <c r="S997" s="270"/>
      <c r="T997" s="268"/>
      <c r="U997" s="270"/>
      <c r="V997" s="268"/>
      <c r="W997" s="270"/>
      <c r="X997" s="270"/>
      <c r="Y997" s="270"/>
      <c r="Z997" s="270"/>
      <c r="AA997" s="270"/>
    </row>
    <row r="998" spans="1:27" ht="16.899999999999999" x14ac:dyDescent="0.5">
      <c r="A998" s="270"/>
      <c r="B998" s="270"/>
      <c r="C998" s="270"/>
      <c r="D998" s="268"/>
      <c r="E998" s="270"/>
      <c r="F998" s="268"/>
      <c r="G998" s="270"/>
      <c r="H998" s="268"/>
      <c r="I998" s="270"/>
      <c r="J998" s="268"/>
      <c r="K998" s="270"/>
      <c r="L998" s="268"/>
      <c r="M998" s="270"/>
      <c r="N998" s="268"/>
      <c r="O998" s="270"/>
      <c r="P998" s="268"/>
      <c r="Q998" s="270"/>
      <c r="R998" s="268"/>
      <c r="S998" s="270"/>
      <c r="T998" s="268"/>
      <c r="U998" s="270"/>
      <c r="V998" s="268"/>
      <c r="W998" s="270"/>
      <c r="X998" s="270"/>
      <c r="Y998" s="270"/>
      <c r="Z998" s="270"/>
      <c r="AA998" s="270"/>
    </row>
    <row r="999" spans="1:27" ht="16.899999999999999" x14ac:dyDescent="0.5">
      <c r="A999" s="270"/>
      <c r="B999" s="270"/>
      <c r="C999" s="270"/>
      <c r="D999" s="268"/>
      <c r="E999" s="270"/>
      <c r="F999" s="268"/>
      <c r="G999" s="270"/>
      <c r="H999" s="268"/>
      <c r="I999" s="270"/>
      <c r="J999" s="268"/>
      <c r="K999" s="270"/>
      <c r="L999" s="268"/>
      <c r="M999" s="270"/>
      <c r="N999" s="268"/>
      <c r="O999" s="270"/>
      <c r="P999" s="268"/>
      <c r="Q999" s="270"/>
      <c r="R999" s="268"/>
      <c r="S999" s="270"/>
      <c r="T999" s="268"/>
      <c r="U999" s="270"/>
      <c r="V999" s="268"/>
      <c r="W999" s="270"/>
      <c r="X999" s="270"/>
      <c r="Y999" s="270"/>
      <c r="Z999" s="270"/>
      <c r="AA999" s="270"/>
    </row>
    <row r="1000" spans="1:27" ht="16.899999999999999" x14ac:dyDescent="0.5">
      <c r="A1000" s="270"/>
      <c r="B1000" s="270"/>
      <c r="C1000" s="270"/>
      <c r="D1000" s="268"/>
      <c r="E1000" s="270"/>
      <c r="F1000" s="268"/>
      <c r="G1000" s="270"/>
      <c r="H1000" s="268"/>
      <c r="I1000" s="270"/>
      <c r="J1000" s="268"/>
      <c r="K1000" s="270"/>
      <c r="L1000" s="268"/>
      <c r="M1000" s="270"/>
      <c r="N1000" s="268"/>
      <c r="O1000" s="270"/>
      <c r="P1000" s="268"/>
      <c r="Q1000" s="270"/>
      <c r="R1000" s="268"/>
      <c r="S1000" s="270"/>
      <c r="T1000" s="268"/>
      <c r="U1000" s="270"/>
      <c r="V1000" s="268"/>
      <c r="W1000" s="270"/>
      <c r="X1000" s="270"/>
      <c r="Y1000" s="270"/>
      <c r="Z1000" s="270"/>
      <c r="AA1000" s="270"/>
    </row>
    <row r="1001" spans="1:27" ht="16.899999999999999" x14ac:dyDescent="0.5">
      <c r="A1001" s="270"/>
      <c r="B1001" s="270"/>
      <c r="C1001" s="270"/>
      <c r="D1001" s="268"/>
      <c r="E1001" s="270"/>
      <c r="F1001" s="268"/>
      <c r="G1001" s="270"/>
      <c r="H1001" s="268"/>
      <c r="I1001" s="270"/>
      <c r="J1001" s="268"/>
      <c r="K1001" s="270"/>
      <c r="L1001" s="268"/>
      <c r="M1001" s="270"/>
      <c r="N1001" s="268"/>
      <c r="O1001" s="270"/>
      <c r="P1001" s="268"/>
      <c r="Q1001" s="270"/>
      <c r="R1001" s="268"/>
      <c r="S1001" s="270"/>
      <c r="T1001" s="268"/>
      <c r="U1001" s="270"/>
      <c r="V1001" s="268"/>
      <c r="W1001" s="270"/>
      <c r="X1001" s="270"/>
      <c r="Y1001" s="270"/>
      <c r="Z1001" s="270"/>
      <c r="AA1001" s="270"/>
    </row>
    <row r="1002" spans="1:27" ht="16.899999999999999" x14ac:dyDescent="0.5">
      <c r="A1002" s="270"/>
      <c r="B1002" s="270"/>
      <c r="C1002" s="270"/>
      <c r="D1002" s="268"/>
      <c r="E1002" s="270"/>
      <c r="F1002" s="268"/>
      <c r="G1002" s="270"/>
      <c r="H1002" s="268"/>
      <c r="I1002" s="270"/>
      <c r="J1002" s="268"/>
      <c r="K1002" s="270"/>
      <c r="L1002" s="268"/>
      <c r="M1002" s="270"/>
      <c r="N1002" s="268"/>
      <c r="O1002" s="270"/>
      <c r="P1002" s="268"/>
      <c r="Q1002" s="270"/>
      <c r="R1002" s="268"/>
      <c r="S1002" s="270"/>
      <c r="T1002" s="268"/>
      <c r="U1002" s="270"/>
      <c r="V1002" s="268"/>
      <c r="W1002" s="270"/>
      <c r="X1002" s="270"/>
      <c r="Y1002" s="270"/>
      <c r="Z1002" s="270"/>
      <c r="AA1002" s="270"/>
    </row>
    <row r="1003" spans="1:27" ht="16.899999999999999" x14ac:dyDescent="0.5">
      <c r="A1003" s="270"/>
      <c r="B1003" s="270"/>
      <c r="C1003" s="270"/>
      <c r="D1003" s="268"/>
      <c r="E1003" s="270"/>
      <c r="F1003" s="268"/>
      <c r="G1003" s="270"/>
      <c r="H1003" s="268"/>
      <c r="I1003" s="270"/>
      <c r="J1003" s="268"/>
      <c r="K1003" s="270"/>
      <c r="L1003" s="268"/>
      <c r="M1003" s="270"/>
      <c r="N1003" s="268"/>
      <c r="O1003" s="270"/>
      <c r="P1003" s="268"/>
      <c r="Q1003" s="270"/>
      <c r="R1003" s="268"/>
      <c r="S1003" s="270"/>
      <c r="T1003" s="268"/>
      <c r="U1003" s="270"/>
      <c r="V1003" s="268"/>
      <c r="W1003" s="270"/>
      <c r="X1003" s="270"/>
      <c r="Y1003" s="270"/>
      <c r="Z1003" s="270"/>
      <c r="AA1003" s="270"/>
    </row>
  </sheetData>
  <printOptions horizontalCentered="1" gridLines="1"/>
  <pageMargins left="0.7" right="0.7" top="0.75" bottom="0.75" header="0" footer="0"/>
  <pageSetup fitToHeight="0" pageOrder="overThenDown" orientation="portrait" cellComments="atEnd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AI1038"/>
  <sheetViews>
    <sheetView workbookViewId="0"/>
  </sheetViews>
  <sheetFormatPr defaultColWidth="14.42578125" defaultRowHeight="15.75" customHeight="1" x14ac:dyDescent="0.4"/>
  <cols>
    <col min="1" max="1" width="14.85546875" customWidth="1"/>
    <col min="2" max="2" width="7.7109375" customWidth="1"/>
    <col min="3" max="3" width="6.140625" customWidth="1"/>
    <col min="4" max="4" width="8.5703125" customWidth="1"/>
    <col min="5" max="5" width="6.85546875" customWidth="1"/>
    <col min="6" max="6" width="3.42578125" customWidth="1"/>
    <col min="7" max="7" width="6.85546875" customWidth="1"/>
    <col min="8" max="8" width="3.140625" customWidth="1"/>
    <col min="9" max="9" width="14.85546875" customWidth="1"/>
    <col min="10" max="10" width="7.7109375" customWidth="1"/>
    <col min="11" max="11" width="6.140625" customWidth="1"/>
    <col min="12" max="12" width="8.5703125" customWidth="1"/>
    <col min="13" max="13" width="6.85546875" customWidth="1"/>
    <col min="14" max="14" width="4.140625" customWidth="1"/>
    <col min="15" max="15" width="6.85546875" customWidth="1"/>
    <col min="16" max="16" width="3.140625" customWidth="1"/>
    <col min="18" max="18" width="7.7109375" customWidth="1"/>
    <col min="19" max="19" width="6.140625" customWidth="1"/>
    <col min="20" max="20" width="6.7109375" customWidth="1"/>
    <col min="21" max="21" width="6.85546875" customWidth="1"/>
    <col min="22" max="22" width="4.140625" customWidth="1"/>
    <col min="23" max="23" width="6.85546875" customWidth="1"/>
    <col min="24" max="24" width="3.140625" customWidth="1"/>
    <col min="25" max="25" width="14.7109375" customWidth="1"/>
    <col min="26" max="26" width="7.85546875" customWidth="1"/>
    <col min="27" max="27" width="6.28515625" customWidth="1"/>
    <col min="28" max="29" width="6.7109375" customWidth="1"/>
    <col min="30" max="30" width="6.85546875" customWidth="1"/>
    <col min="31" max="31" width="6.7109375" customWidth="1"/>
    <col min="32" max="32" width="3.28515625" customWidth="1"/>
    <col min="33" max="33" width="6.85546875" customWidth="1"/>
    <col min="34" max="34" width="3.28515625" customWidth="1"/>
    <col min="35" max="35" width="6.85546875" customWidth="1"/>
  </cols>
  <sheetData>
    <row r="1" spans="1:35" ht="15.75" customHeight="1" x14ac:dyDescent="0.65">
      <c r="A1" s="515" t="s">
        <v>1225</v>
      </c>
      <c r="B1" s="498"/>
      <c r="C1" s="498"/>
      <c r="D1" s="498"/>
      <c r="E1" s="498"/>
      <c r="F1" s="498"/>
      <c r="G1" s="498"/>
      <c r="H1" s="498"/>
      <c r="I1" s="498"/>
      <c r="J1" s="498"/>
      <c r="K1" s="498"/>
      <c r="L1" s="498"/>
      <c r="M1" s="498"/>
      <c r="N1" s="498"/>
      <c r="O1" s="498"/>
      <c r="P1" s="498"/>
      <c r="Q1" s="498"/>
      <c r="R1" s="498"/>
      <c r="S1" s="498"/>
      <c r="T1" s="498"/>
      <c r="U1" s="498"/>
      <c r="V1" s="498"/>
      <c r="W1" s="498"/>
      <c r="X1" s="498"/>
      <c r="Y1" s="498"/>
      <c r="Z1" s="498"/>
      <c r="AA1" s="498"/>
      <c r="AB1" s="498"/>
      <c r="AC1" s="498"/>
      <c r="AD1" s="498"/>
      <c r="AE1" s="498"/>
      <c r="AF1" s="498"/>
      <c r="AG1" s="498"/>
      <c r="AH1" s="498"/>
      <c r="AI1" s="498"/>
    </row>
    <row r="2" spans="1:35" ht="15.75" customHeight="1" x14ac:dyDescent="0.5">
      <c r="A2" s="290"/>
      <c r="B2" s="291" t="s">
        <v>1156</v>
      </c>
      <c r="C2" s="291" t="s">
        <v>1157</v>
      </c>
      <c r="D2" s="292"/>
      <c r="E2" s="293" t="s">
        <v>1158</v>
      </c>
      <c r="F2" s="291"/>
      <c r="G2" s="294" t="s">
        <v>1159</v>
      </c>
      <c r="I2" s="268"/>
      <c r="J2" s="268"/>
      <c r="K2" s="268"/>
      <c r="L2" s="270"/>
      <c r="M2" s="282"/>
      <c r="N2" s="268"/>
      <c r="O2" s="268"/>
      <c r="AG2" s="282" t="s">
        <v>1158</v>
      </c>
      <c r="AH2" s="268"/>
      <c r="AI2" s="268" t="s">
        <v>1159</v>
      </c>
    </row>
    <row r="3" spans="1:35" ht="15.75" customHeight="1" x14ac:dyDescent="0.5">
      <c r="A3" s="295" t="s">
        <v>105</v>
      </c>
      <c r="B3" s="283"/>
      <c r="C3" s="270" t="str">
        <f t="shared" ref="C3:C4" si="0">IF(B3=0,"",ROUNDDOWN((B3+9/32)*25.4,0))</f>
        <v/>
      </c>
      <c r="D3" s="270"/>
      <c r="E3" s="296" t="str">
        <f>IF(B3="","",C10)</f>
        <v/>
      </c>
      <c r="F3" s="270"/>
      <c r="G3" s="296" t="str">
        <f t="shared" ref="G3:G4" si="1">E5</f>
        <v/>
      </c>
      <c r="I3" s="268"/>
      <c r="J3" s="268"/>
      <c r="K3" s="268"/>
      <c r="L3" s="270"/>
      <c r="M3" s="282"/>
      <c r="N3" s="268"/>
      <c r="O3" s="268"/>
      <c r="AG3" s="296">
        <f t="shared" ref="AG3:AG6" si="2">E25</f>
        <v>866</v>
      </c>
      <c r="AI3" s="296">
        <f t="shared" ref="AI3:AI6" si="3">G25</f>
        <v>1387</v>
      </c>
    </row>
    <row r="4" spans="1:35" ht="15.75" customHeight="1" x14ac:dyDescent="0.5">
      <c r="A4" s="295" t="s">
        <v>1160</v>
      </c>
      <c r="B4" s="283"/>
      <c r="C4" s="270" t="str">
        <f t="shared" si="0"/>
        <v/>
      </c>
      <c r="D4" s="270"/>
      <c r="E4" s="286" t="str">
        <f>IF(B3="","",C9)</f>
        <v/>
      </c>
      <c r="F4" s="270"/>
      <c r="G4" s="286" t="str">
        <f t="shared" si="1"/>
        <v/>
      </c>
      <c r="I4" s="268"/>
      <c r="J4" s="268"/>
      <c r="K4" s="268"/>
      <c r="L4" s="270"/>
      <c r="M4" s="282"/>
      <c r="N4" s="268"/>
      <c r="O4" s="268"/>
      <c r="AG4" s="286">
        <f t="shared" si="2"/>
        <v>0</v>
      </c>
      <c r="AI4" s="286">
        <f t="shared" si="3"/>
        <v>521</v>
      </c>
    </row>
    <row r="5" spans="1:35" ht="15.75" customHeight="1" x14ac:dyDescent="0.5">
      <c r="A5" s="297"/>
      <c r="B5" s="270"/>
      <c r="C5" s="270"/>
      <c r="D5" s="270"/>
      <c r="E5" s="296" t="str">
        <f>IF(B3="","",C3+E3)</f>
        <v/>
      </c>
      <c r="F5" s="270"/>
      <c r="G5" s="296" t="str">
        <f>IF(C11=0,G3,C11)</f>
        <v/>
      </c>
      <c r="I5" s="268"/>
      <c r="J5" s="268"/>
      <c r="K5" s="268"/>
      <c r="L5" s="270"/>
      <c r="M5" s="282"/>
      <c r="N5" s="268"/>
      <c r="O5" s="268"/>
      <c r="AG5" s="296">
        <f t="shared" si="2"/>
        <v>1387</v>
      </c>
      <c r="AI5" s="296">
        <f t="shared" si="3"/>
        <v>1466</v>
      </c>
    </row>
    <row r="6" spans="1:35" ht="15.75" customHeight="1" x14ac:dyDescent="0.5">
      <c r="D6" s="270"/>
      <c r="E6" s="286" t="str">
        <f>IF(B3="","",C4+C9)</f>
        <v/>
      </c>
      <c r="F6" s="270"/>
      <c r="G6" s="286" t="str">
        <f>IF(B3="","",IF(C11=0,1525,E6))</f>
        <v/>
      </c>
      <c r="I6" s="268"/>
      <c r="J6" s="268"/>
      <c r="K6" s="268"/>
      <c r="L6" s="270"/>
      <c r="M6" s="282"/>
      <c r="N6" s="268"/>
      <c r="O6" s="268"/>
      <c r="AG6" s="286">
        <f t="shared" si="2"/>
        <v>521</v>
      </c>
      <c r="AI6" s="286">
        <f t="shared" si="3"/>
        <v>521</v>
      </c>
    </row>
    <row r="7" spans="1:35" ht="15.75" customHeight="1" x14ac:dyDescent="0.5">
      <c r="D7" s="268"/>
      <c r="F7" s="270"/>
      <c r="G7" s="31"/>
      <c r="I7" s="268"/>
      <c r="J7" s="268"/>
      <c r="K7" s="268"/>
      <c r="L7" s="270"/>
      <c r="M7" s="282"/>
      <c r="N7" s="268"/>
      <c r="O7" s="268"/>
    </row>
    <row r="8" spans="1:35" ht="15.75" customHeight="1" x14ac:dyDescent="0.5">
      <c r="D8" s="268"/>
      <c r="F8" s="270"/>
      <c r="G8" s="296" t="str">
        <f>E5</f>
        <v/>
      </c>
      <c r="I8" s="268"/>
      <c r="J8" s="268"/>
      <c r="K8" s="268"/>
      <c r="L8" s="270"/>
      <c r="M8" s="282"/>
      <c r="N8" s="268"/>
      <c r="O8" s="268"/>
      <c r="AG8" s="296" t="str">
        <f>IF(E17=0,"",E14)</f>
        <v/>
      </c>
      <c r="AI8" s="296" t="str">
        <f>IF(AG8="","",G14)</f>
        <v/>
      </c>
    </row>
    <row r="9" spans="1:35" ht="15.75" customHeight="1" x14ac:dyDescent="0.5">
      <c r="A9" s="295" t="s">
        <v>1229</v>
      </c>
      <c r="B9" s="298"/>
      <c r="C9" s="270">
        <f t="shared" ref="C9:C11" si="4">ROUNDDOWN(B9*25.4,0)</f>
        <v>0</v>
      </c>
      <c r="D9" s="268"/>
      <c r="F9" s="270"/>
      <c r="G9" s="286" t="str">
        <f t="shared" ref="G9:G10" si="5">E4</f>
        <v/>
      </c>
      <c r="I9" s="268"/>
      <c r="J9" s="268"/>
      <c r="K9" s="268"/>
      <c r="L9" s="270"/>
      <c r="M9" s="282"/>
      <c r="N9" s="268"/>
      <c r="O9" s="268"/>
      <c r="AG9" s="286" t="str">
        <f>IF(E17=0,"",E15)</f>
        <v/>
      </c>
      <c r="AI9" s="286" t="str">
        <f>IF(AG8="","",G15)</f>
        <v/>
      </c>
    </row>
    <row r="10" spans="1:35" ht="15.75" customHeight="1" x14ac:dyDescent="0.5">
      <c r="A10" s="295" t="s">
        <v>1232</v>
      </c>
      <c r="B10" s="298"/>
      <c r="C10" s="270">
        <f t="shared" si="4"/>
        <v>0</v>
      </c>
      <c r="D10" s="268"/>
      <c r="F10" s="270"/>
      <c r="G10" s="296" t="str">
        <f t="shared" si="5"/>
        <v/>
      </c>
      <c r="I10" s="268"/>
      <c r="J10" s="268"/>
      <c r="K10" s="268"/>
      <c r="L10" s="270"/>
      <c r="M10" s="282"/>
      <c r="N10" s="268"/>
      <c r="O10" s="268"/>
      <c r="AG10" s="296" t="str">
        <f>IF(E17=0,"",E16)</f>
        <v/>
      </c>
      <c r="AI10" s="296" t="str">
        <f>IF(AG8="","",G16)</f>
        <v/>
      </c>
    </row>
    <row r="11" spans="1:35" ht="15.75" customHeight="1" x14ac:dyDescent="0.5">
      <c r="A11" s="299" t="s">
        <v>1233</v>
      </c>
      <c r="B11" s="300"/>
      <c r="C11" s="301">
        <f t="shared" si="4"/>
        <v>0</v>
      </c>
      <c r="D11" s="302"/>
      <c r="E11" s="302"/>
      <c r="F11" s="302"/>
      <c r="G11" s="286" t="str">
        <f>E17</f>
        <v/>
      </c>
      <c r="I11" s="268"/>
      <c r="J11" s="268"/>
      <c r="K11" s="268"/>
      <c r="L11" s="270"/>
      <c r="M11" s="282"/>
      <c r="N11" s="268"/>
      <c r="O11" s="268"/>
      <c r="AG11" s="286" t="str">
        <f>IF(E17=0,"",E17)</f>
        <v/>
      </c>
      <c r="AI11" s="286" t="str">
        <f>IF(AG8="","",G17)</f>
        <v/>
      </c>
    </row>
    <row r="12" spans="1:35" ht="15.75" customHeight="1" x14ac:dyDescent="0.5">
      <c r="A12" s="268"/>
      <c r="B12" s="268"/>
      <c r="C12" s="268"/>
      <c r="D12" s="270"/>
      <c r="E12" s="282"/>
      <c r="F12" s="268"/>
      <c r="G12" s="268"/>
      <c r="I12" s="268"/>
      <c r="J12" s="268"/>
      <c r="K12" s="268"/>
      <c r="L12" s="270"/>
      <c r="M12" s="282"/>
      <c r="N12" s="268"/>
      <c r="O12" s="268"/>
    </row>
    <row r="13" spans="1:35" ht="15.75" customHeight="1" x14ac:dyDescent="0.5">
      <c r="A13" s="290"/>
      <c r="B13" s="291" t="s">
        <v>1156</v>
      </c>
      <c r="C13" s="291" t="s">
        <v>1157</v>
      </c>
      <c r="D13" s="292"/>
      <c r="E13" s="293" t="s">
        <v>1158</v>
      </c>
      <c r="F13" s="291"/>
      <c r="G13" s="294" t="s">
        <v>1159</v>
      </c>
      <c r="I13" s="290"/>
      <c r="J13" s="291" t="s">
        <v>1156</v>
      </c>
      <c r="K13" s="291" t="s">
        <v>1157</v>
      </c>
      <c r="L13" s="292"/>
      <c r="M13" s="293" t="s">
        <v>1158</v>
      </c>
      <c r="N13" s="291"/>
      <c r="O13" s="294" t="s">
        <v>1159</v>
      </c>
      <c r="AG13" s="296" t="str">
        <f t="shared" ref="AG13:AG16" si="6">E3</f>
        <v/>
      </c>
      <c r="AI13" s="296" t="str">
        <f t="shared" ref="AI13:AI16" si="7">G19</f>
        <v/>
      </c>
    </row>
    <row r="14" spans="1:35" ht="15.75" customHeight="1" x14ac:dyDescent="0.5">
      <c r="A14" s="295" t="s">
        <v>105</v>
      </c>
      <c r="B14" s="283"/>
      <c r="C14" s="270" t="str">
        <f t="shared" ref="C14:C15" si="8">IF(B14=0,"",ROUNDDOWN((B14+9/32)*25.4,0))</f>
        <v/>
      </c>
      <c r="D14" s="270"/>
      <c r="E14" s="296" t="str">
        <f>IF(B14="","",C21)</f>
        <v/>
      </c>
      <c r="F14" s="270"/>
      <c r="G14" s="296" t="str">
        <f>IF(E14="","",E16)</f>
        <v/>
      </c>
      <c r="I14" s="295" t="s">
        <v>105</v>
      </c>
      <c r="J14" s="283"/>
      <c r="K14" s="270" t="str">
        <f>IF(J14=0,"",ROUNDDOWN((J14+9/32)*25.4,0))</f>
        <v/>
      </c>
      <c r="L14" s="270"/>
      <c r="M14" s="296" t="str">
        <f>IF(J14="","",K21)</f>
        <v/>
      </c>
      <c r="N14" s="270"/>
      <c r="O14" s="296" t="str">
        <f>IF(M14="","",M16)</f>
        <v/>
      </c>
      <c r="AG14" s="286" t="str">
        <f t="shared" si="6"/>
        <v/>
      </c>
      <c r="AI14" s="286" t="str">
        <f t="shared" si="7"/>
        <v/>
      </c>
    </row>
    <row r="15" spans="1:35" ht="15.75" customHeight="1" x14ac:dyDescent="0.5">
      <c r="A15" s="295" t="s">
        <v>1160</v>
      </c>
      <c r="B15" s="283"/>
      <c r="C15" s="270" t="str">
        <f t="shared" si="8"/>
        <v/>
      </c>
      <c r="D15" s="270"/>
      <c r="E15" s="286" t="str">
        <f>IF(E14="","",C20)</f>
        <v/>
      </c>
      <c r="F15" s="270"/>
      <c r="G15" s="286" t="str">
        <f>IF(E14="","",E17)</f>
        <v/>
      </c>
      <c r="I15" s="295" t="s">
        <v>1160</v>
      </c>
      <c r="J15" s="283"/>
      <c r="K15" s="270" t="str">
        <f>IF(J14=0,"",ROUNDDOWN((J15+9/32)*25.4,0))</f>
        <v/>
      </c>
      <c r="L15" s="270"/>
      <c r="M15" s="286" t="str">
        <f>IF(M14="","",K20)</f>
        <v/>
      </c>
      <c r="N15" s="270"/>
      <c r="O15" s="286" t="str">
        <f>IF(M14="","",M17)</f>
        <v/>
      </c>
      <c r="AG15" s="296" t="str">
        <f t="shared" si="6"/>
        <v/>
      </c>
      <c r="AI15" s="296" t="str">
        <f t="shared" si="7"/>
        <v/>
      </c>
    </row>
    <row r="16" spans="1:35" ht="15.75" customHeight="1" x14ac:dyDescent="0.5">
      <c r="A16" s="297"/>
      <c r="B16" s="270"/>
      <c r="C16" s="270"/>
      <c r="D16" s="270"/>
      <c r="E16" s="296" t="str">
        <f>IF(E14="","",C14+E14)</f>
        <v/>
      </c>
      <c r="F16" s="270"/>
      <c r="G16" s="284" t="str">
        <f>IF(E14="","",IF(C22=0,G14,C22))</f>
        <v/>
      </c>
      <c r="I16" s="297"/>
      <c r="J16" s="270"/>
      <c r="K16" s="270"/>
      <c r="L16" s="270"/>
      <c r="M16" s="296" t="str">
        <f>IF(M14="","",K14+M14)</f>
        <v/>
      </c>
      <c r="N16" s="270"/>
      <c r="O16" s="284" t="str">
        <f>IF(M14="","",IF(K22=0,O14,K22))</f>
        <v/>
      </c>
      <c r="AG16" s="286" t="str">
        <f t="shared" si="6"/>
        <v/>
      </c>
      <c r="AI16" s="286" t="str">
        <f t="shared" si="7"/>
        <v/>
      </c>
    </row>
    <row r="17" spans="1:35" ht="15.75" customHeight="1" x14ac:dyDescent="0.5">
      <c r="D17" s="270"/>
      <c r="E17" s="286" t="str">
        <f>IF(E14="","",C15+C20)</f>
        <v/>
      </c>
      <c r="F17" s="270"/>
      <c r="G17" s="286" t="str">
        <f>IF(E14="","",IF(C22=0,1525,E17))</f>
        <v/>
      </c>
      <c r="I17" s="303"/>
      <c r="L17" s="270"/>
      <c r="M17" s="286" t="str">
        <f>IF(M14="","",K15+K20)</f>
        <v/>
      </c>
      <c r="N17" s="270"/>
      <c r="O17" s="286" t="str">
        <f>IF(M14="","",IF(K22=0,1525,M17))</f>
        <v/>
      </c>
    </row>
    <row r="18" spans="1:35" ht="15.75" customHeight="1" x14ac:dyDescent="0.5">
      <c r="D18" s="268"/>
      <c r="F18" s="270"/>
      <c r="G18" s="31"/>
      <c r="I18" s="303"/>
      <c r="L18" s="268"/>
      <c r="N18" s="270"/>
      <c r="O18" s="31"/>
      <c r="AG18" s="296">
        <f t="shared" ref="AG18:AG21" si="9">M25</f>
        <v>1016</v>
      </c>
      <c r="AI18" s="296" t="str">
        <f t="shared" ref="AI18:AI21" si="10">G3</f>
        <v/>
      </c>
    </row>
    <row r="19" spans="1:35" ht="15.75" customHeight="1" x14ac:dyDescent="0.5">
      <c r="D19" s="268"/>
      <c r="F19" s="270"/>
      <c r="G19" s="296" t="str">
        <f>E16</f>
        <v/>
      </c>
      <c r="I19" s="303"/>
      <c r="L19" s="268"/>
      <c r="N19" s="270"/>
      <c r="O19" s="296"/>
      <c r="AG19" s="286">
        <f t="shared" si="9"/>
        <v>0</v>
      </c>
      <c r="AI19" s="286" t="str">
        <f t="shared" si="10"/>
        <v/>
      </c>
    </row>
    <row r="20" spans="1:35" ht="15.75" customHeight="1" x14ac:dyDescent="0.5">
      <c r="A20" s="295" t="s">
        <v>1229</v>
      </c>
      <c r="B20" s="298">
        <v>0</v>
      </c>
      <c r="C20" s="270">
        <f t="shared" ref="C20:C22" si="11">ROUNDDOWN(B20*25.4,0)</f>
        <v>0</v>
      </c>
      <c r="D20" s="268"/>
      <c r="F20" s="270"/>
      <c r="G20" s="286" t="str">
        <f t="shared" ref="G20:G21" si="12">E15</f>
        <v/>
      </c>
      <c r="I20" s="295" t="s">
        <v>1229</v>
      </c>
      <c r="J20" s="298"/>
      <c r="K20" s="270">
        <f t="shared" ref="K20:K22" si="13">ROUNDDOWN(J20*25.4,0)</f>
        <v>0</v>
      </c>
      <c r="L20" s="268"/>
      <c r="N20" s="270"/>
      <c r="O20" s="286"/>
      <c r="AG20" s="296">
        <f t="shared" si="9"/>
        <v>2115</v>
      </c>
      <c r="AI20" s="296" t="str">
        <f t="shared" si="10"/>
        <v/>
      </c>
    </row>
    <row r="21" spans="1:35" ht="15.75" customHeight="1" x14ac:dyDescent="0.5">
      <c r="A21" s="295" t="s">
        <v>1232</v>
      </c>
      <c r="B21" s="298">
        <v>0</v>
      </c>
      <c r="C21" s="270">
        <f t="shared" si="11"/>
        <v>0</v>
      </c>
      <c r="D21" s="268"/>
      <c r="F21" s="270"/>
      <c r="G21" s="296" t="str">
        <f t="shared" si="12"/>
        <v/>
      </c>
      <c r="I21" s="295" t="s">
        <v>1232</v>
      </c>
      <c r="J21" s="298"/>
      <c r="K21" s="270">
        <f t="shared" si="13"/>
        <v>0</v>
      </c>
      <c r="L21" s="268"/>
      <c r="N21" s="270"/>
      <c r="O21" s="284"/>
      <c r="AG21" s="286">
        <f t="shared" si="9"/>
        <v>1480</v>
      </c>
      <c r="AI21" s="286" t="str">
        <f t="shared" si="10"/>
        <v/>
      </c>
    </row>
    <row r="22" spans="1:35" ht="15.75" customHeight="1" x14ac:dyDescent="0.5">
      <c r="A22" s="299" t="s">
        <v>1233</v>
      </c>
      <c r="B22" s="300">
        <v>15.25</v>
      </c>
      <c r="C22" s="301">
        <f t="shared" si="11"/>
        <v>387</v>
      </c>
      <c r="D22" s="302"/>
      <c r="E22" s="302"/>
      <c r="F22" s="302"/>
      <c r="G22" s="286" t="str">
        <f>IF(E14="","",E28)</f>
        <v/>
      </c>
      <c r="I22" s="299" t="s">
        <v>1233</v>
      </c>
      <c r="J22" s="300"/>
      <c r="K22" s="301">
        <f t="shared" si="13"/>
        <v>0</v>
      </c>
      <c r="L22" s="302"/>
      <c r="M22" s="302"/>
      <c r="N22" s="302"/>
      <c r="O22" s="304"/>
    </row>
    <row r="23" spans="1:35" ht="15.75" customHeight="1" x14ac:dyDescent="0.5">
      <c r="D23" s="270"/>
      <c r="F23" s="270"/>
      <c r="L23" s="270"/>
      <c r="N23" s="270"/>
      <c r="AG23" s="296" t="str">
        <f t="shared" ref="AG23:AG26" si="14">U25</f>
        <v/>
      </c>
      <c r="AI23" s="296" t="str">
        <f t="shared" ref="AI23:AI26" si="15">G8</f>
        <v/>
      </c>
    </row>
    <row r="24" spans="1:35" ht="15.75" customHeight="1" x14ac:dyDescent="0.5">
      <c r="A24" s="290"/>
      <c r="B24" s="291" t="s">
        <v>1156</v>
      </c>
      <c r="C24" s="291" t="s">
        <v>1157</v>
      </c>
      <c r="D24" s="292"/>
      <c r="E24" s="293" t="s">
        <v>1158</v>
      </c>
      <c r="F24" s="291"/>
      <c r="G24" s="294" t="s">
        <v>1159</v>
      </c>
      <c r="I24" s="290"/>
      <c r="J24" s="291" t="s">
        <v>1156</v>
      </c>
      <c r="K24" s="291" t="s">
        <v>1157</v>
      </c>
      <c r="L24" s="292"/>
      <c r="M24" s="293" t="s">
        <v>1158</v>
      </c>
      <c r="N24" s="291"/>
      <c r="O24" s="294" t="s">
        <v>1159</v>
      </c>
      <c r="Q24" s="290"/>
      <c r="R24" s="291" t="s">
        <v>1156</v>
      </c>
      <c r="S24" s="291" t="s">
        <v>1157</v>
      </c>
      <c r="T24" s="292"/>
      <c r="U24" s="293" t="s">
        <v>1158</v>
      </c>
      <c r="V24" s="291"/>
      <c r="W24" s="294" t="s">
        <v>1159</v>
      </c>
      <c r="X24" s="268"/>
      <c r="Y24" s="290"/>
      <c r="Z24" s="291" t="s">
        <v>1156</v>
      </c>
      <c r="AA24" s="291" t="s">
        <v>1157</v>
      </c>
      <c r="AB24" s="292"/>
      <c r="AC24" s="293" t="s">
        <v>1158</v>
      </c>
      <c r="AD24" s="291"/>
      <c r="AE24" s="294" t="s">
        <v>1159</v>
      </c>
      <c r="AG24" s="286" t="str">
        <f t="shared" si="14"/>
        <v/>
      </c>
      <c r="AI24" s="286" t="str">
        <f t="shared" si="15"/>
        <v/>
      </c>
    </row>
    <row r="25" spans="1:35" ht="15.75" customHeight="1" x14ac:dyDescent="0.5">
      <c r="A25" s="295" t="s">
        <v>105</v>
      </c>
      <c r="B25" s="283">
        <v>20.25</v>
      </c>
      <c r="C25" s="270">
        <f t="shared" ref="C25:C26" si="16">IF(B25=0,"",ROUNDDOWN((B25+9/32)*25.4,0))</f>
        <v>521</v>
      </c>
      <c r="D25" s="270"/>
      <c r="E25" s="284">
        <f>C29</f>
        <v>866</v>
      </c>
      <c r="F25" s="270"/>
      <c r="G25" s="284">
        <f t="shared" ref="G25:G26" si="17">E27</f>
        <v>1387</v>
      </c>
      <c r="I25" s="295" t="s">
        <v>105</v>
      </c>
      <c r="J25" s="283">
        <v>43</v>
      </c>
      <c r="K25" s="270">
        <f t="shared" ref="K25:K26" si="18">ROUNDDOWN((J25+9/32)*25.4,0)</f>
        <v>1099</v>
      </c>
      <c r="L25" s="270"/>
      <c r="M25" s="296">
        <f>IF(J25="","",K29)</f>
        <v>1016</v>
      </c>
      <c r="N25" s="270"/>
      <c r="O25" s="296">
        <f t="shared" ref="O25:O26" si="19">M27</f>
        <v>2115</v>
      </c>
      <c r="Q25" s="295" t="s">
        <v>105</v>
      </c>
      <c r="R25" s="283"/>
      <c r="S25" s="270">
        <f t="shared" ref="S25:S26" si="20">ROUNDDOWN((R25+9/32)*25.4,0)</f>
        <v>7</v>
      </c>
      <c r="T25" s="270"/>
      <c r="U25" s="296" t="str">
        <f>IF(R25="","",S29)</f>
        <v/>
      </c>
      <c r="V25" s="270"/>
      <c r="W25" s="296" t="str">
        <f t="shared" ref="W25:W26" si="21">U27</f>
        <v/>
      </c>
      <c r="X25" s="305"/>
      <c r="Y25" s="295" t="s">
        <v>105</v>
      </c>
      <c r="Z25" s="283"/>
      <c r="AA25" s="270">
        <f t="shared" ref="AA25:AA26" si="22">ROUNDDOWN((Z25+9/32)*25.4,0)</f>
        <v>7</v>
      </c>
      <c r="AB25" s="270"/>
      <c r="AC25" s="296" t="str">
        <f>IF(Z25="","",AA29)</f>
        <v/>
      </c>
      <c r="AD25" s="270"/>
      <c r="AE25" s="296" t="str">
        <f t="shared" ref="AE25:AE26" si="23">AC27</f>
        <v/>
      </c>
      <c r="AG25" s="296" t="str">
        <f t="shared" si="14"/>
        <v/>
      </c>
      <c r="AI25" s="296" t="str">
        <f t="shared" si="15"/>
        <v/>
      </c>
    </row>
    <row r="26" spans="1:35" ht="15.75" customHeight="1" x14ac:dyDescent="0.5">
      <c r="A26" s="295" t="s">
        <v>1160</v>
      </c>
      <c r="B26" s="283">
        <v>20.25</v>
      </c>
      <c r="C26" s="270">
        <f t="shared" si="16"/>
        <v>521</v>
      </c>
      <c r="D26" s="270"/>
      <c r="E26" s="286">
        <f>C28</f>
        <v>0</v>
      </c>
      <c r="F26" s="270"/>
      <c r="G26" s="286">
        <f t="shared" si="17"/>
        <v>521</v>
      </c>
      <c r="I26" s="295" t="s">
        <v>1160</v>
      </c>
      <c r="J26" s="283">
        <v>58</v>
      </c>
      <c r="K26" s="270">
        <f t="shared" si="18"/>
        <v>1480</v>
      </c>
      <c r="L26" s="270"/>
      <c r="M26" s="286">
        <f>IF(M25="","",K28)</f>
        <v>0</v>
      </c>
      <c r="N26" s="270"/>
      <c r="O26" s="286">
        <f t="shared" si="19"/>
        <v>1480</v>
      </c>
      <c r="Q26" s="295" t="s">
        <v>1160</v>
      </c>
      <c r="R26" s="283"/>
      <c r="S26" s="270">
        <f t="shared" si="20"/>
        <v>7</v>
      </c>
      <c r="T26" s="270"/>
      <c r="U26" s="286" t="str">
        <f>IF(U25="","",S28)</f>
        <v/>
      </c>
      <c r="V26" s="270"/>
      <c r="W26" s="286" t="str">
        <f t="shared" si="21"/>
        <v/>
      </c>
      <c r="X26" s="270"/>
      <c r="Y26" s="295" t="s">
        <v>1160</v>
      </c>
      <c r="Z26" s="283"/>
      <c r="AA26" s="270">
        <f t="shared" si="22"/>
        <v>7</v>
      </c>
      <c r="AB26" s="270"/>
      <c r="AC26" s="286" t="str">
        <f>IF(AC25="","",AA28)</f>
        <v/>
      </c>
      <c r="AD26" s="270"/>
      <c r="AE26" s="286" t="str">
        <f t="shared" si="23"/>
        <v/>
      </c>
      <c r="AG26" s="286" t="str">
        <f t="shared" si="14"/>
        <v/>
      </c>
      <c r="AI26" s="286" t="str">
        <f t="shared" si="15"/>
        <v/>
      </c>
    </row>
    <row r="27" spans="1:35" ht="15.75" customHeight="1" x14ac:dyDescent="0.5">
      <c r="A27" s="297"/>
      <c r="B27" s="270"/>
      <c r="C27" s="270"/>
      <c r="D27" s="270"/>
      <c r="E27" s="284">
        <f>C25+E25</f>
        <v>1387</v>
      </c>
      <c r="F27" s="270"/>
      <c r="G27" s="284">
        <f>IF(C30=0,G25,C30)</f>
        <v>1466</v>
      </c>
      <c r="I27" s="297"/>
      <c r="J27" s="270"/>
      <c r="K27" s="270"/>
      <c r="L27" s="270"/>
      <c r="M27" s="296">
        <f>IF(M25="","",K25+M25)</f>
        <v>2115</v>
      </c>
      <c r="N27" s="270"/>
      <c r="O27" s="296">
        <f>IF(K30=0,O25,K30)</f>
        <v>2115</v>
      </c>
      <c r="Q27" s="297"/>
      <c r="R27" s="270"/>
      <c r="S27" s="270"/>
      <c r="T27" s="270"/>
      <c r="U27" s="296" t="str">
        <f>IF(U25="","",S25+U25)</f>
        <v/>
      </c>
      <c r="V27" s="270"/>
      <c r="W27" s="284">
        <f>IF(S30=0,W25,S30)</f>
        <v>1647</v>
      </c>
      <c r="X27" s="270"/>
      <c r="Y27" s="297"/>
      <c r="Z27" s="270"/>
      <c r="AA27" s="270"/>
      <c r="AB27" s="270"/>
      <c r="AC27" s="296" t="str">
        <f>IF(AC25="","",AA25+AC25)</f>
        <v/>
      </c>
      <c r="AD27" s="270"/>
      <c r="AE27" s="284">
        <f>IF(AA30=0,AE25,AA30)</f>
        <v>2390</v>
      </c>
    </row>
    <row r="28" spans="1:35" ht="15.75" customHeight="1" x14ac:dyDescent="0.5">
      <c r="A28" s="295" t="s">
        <v>1229</v>
      </c>
      <c r="B28" s="298">
        <v>0</v>
      </c>
      <c r="C28" s="270">
        <f t="shared" ref="C28:C30" si="24">ROUNDDOWN(B28*25.4,0)</f>
        <v>0</v>
      </c>
      <c r="D28" s="270"/>
      <c r="E28" s="286">
        <f>C26</f>
        <v>521</v>
      </c>
      <c r="F28" s="270"/>
      <c r="G28" s="286">
        <f>IF(C30=0,1525,E28)</f>
        <v>521</v>
      </c>
      <c r="I28" s="295" t="s">
        <v>1229</v>
      </c>
      <c r="J28" s="298">
        <v>0</v>
      </c>
      <c r="K28" s="270">
        <f t="shared" ref="K28:K30" si="25">ROUNDDOWN(J28*25.4,0)</f>
        <v>0</v>
      </c>
      <c r="L28" s="270"/>
      <c r="M28" s="286">
        <f>IF(M25="","",K26)</f>
        <v>1480</v>
      </c>
      <c r="N28" s="270"/>
      <c r="O28" s="286">
        <f>IF(M25="","",IF(K30=0,1525,M28))</f>
        <v>1525</v>
      </c>
      <c r="Q28" s="295" t="s">
        <v>1229</v>
      </c>
      <c r="R28" s="298">
        <v>0</v>
      </c>
      <c r="S28" s="270">
        <f t="shared" ref="S28:S30" si="26">ROUNDDOWN(R28*25.4,0)</f>
        <v>0</v>
      </c>
      <c r="T28" s="270"/>
      <c r="U28" s="286" t="str">
        <f>IF(U25="","",S26)</f>
        <v/>
      </c>
      <c r="V28" s="270"/>
      <c r="W28" s="286" t="str">
        <f>IF(U25="","",IF(S30=0,1525,U28))</f>
        <v/>
      </c>
      <c r="X28" s="270"/>
      <c r="Y28" s="295" t="s">
        <v>1229</v>
      </c>
      <c r="Z28" s="298">
        <v>0</v>
      </c>
      <c r="AA28" s="270">
        <f t="shared" ref="AA28:AA30" si="27">ROUNDDOWN(Z28*25.4,0)</f>
        <v>0</v>
      </c>
      <c r="AB28" s="270"/>
      <c r="AC28" s="286" t="str">
        <f>IF(AC25="","",AA26)</f>
        <v/>
      </c>
      <c r="AD28" s="270"/>
      <c r="AE28" s="286" t="str">
        <f>IF(AC25="","",IF(AA30=0,1525,AC28))</f>
        <v/>
      </c>
      <c r="AG28" s="296" t="str">
        <f t="shared" ref="AG28:AG31" si="28">AC25</f>
        <v/>
      </c>
      <c r="AI28" s="296">
        <f t="shared" ref="AI28:AI31" si="29">O25</f>
        <v>2115</v>
      </c>
    </row>
    <row r="29" spans="1:35" ht="15.75" customHeight="1" x14ac:dyDescent="0.5">
      <c r="A29" s="295" t="s">
        <v>1232</v>
      </c>
      <c r="B29" s="298">
        <f>34+1/8</f>
        <v>34.125</v>
      </c>
      <c r="C29" s="270">
        <f t="shared" si="24"/>
        <v>866</v>
      </c>
      <c r="D29" s="268"/>
      <c r="F29" s="270"/>
      <c r="G29" s="31"/>
      <c r="I29" s="295" t="s">
        <v>1232</v>
      </c>
      <c r="J29" s="298">
        <v>40</v>
      </c>
      <c r="K29" s="270">
        <f t="shared" si="25"/>
        <v>1016</v>
      </c>
      <c r="L29" s="268"/>
      <c r="N29" s="270"/>
      <c r="O29" s="31"/>
      <c r="Q29" s="295" t="s">
        <v>1232</v>
      </c>
      <c r="R29" s="298">
        <f>41+3/8</f>
        <v>41.375</v>
      </c>
      <c r="S29" s="270">
        <f t="shared" si="26"/>
        <v>1050</v>
      </c>
      <c r="T29" s="268"/>
      <c r="V29" s="270"/>
      <c r="W29" s="31"/>
      <c r="Y29" s="295" t="s">
        <v>1232</v>
      </c>
      <c r="Z29" s="298">
        <f>65+1/8</f>
        <v>65.125</v>
      </c>
      <c r="AA29" s="270">
        <f t="shared" si="27"/>
        <v>1654</v>
      </c>
      <c r="AB29" s="268"/>
      <c r="AD29" s="270"/>
      <c r="AE29" s="31"/>
      <c r="AG29" s="286" t="str">
        <f t="shared" si="28"/>
        <v/>
      </c>
      <c r="AI29" s="286">
        <f t="shared" si="29"/>
        <v>1480</v>
      </c>
    </row>
    <row r="30" spans="1:35" ht="16.899999999999999" x14ac:dyDescent="0.5">
      <c r="A30" s="299" t="s">
        <v>1233</v>
      </c>
      <c r="B30" s="300">
        <v>57.75</v>
      </c>
      <c r="C30" s="301">
        <f t="shared" si="24"/>
        <v>1466</v>
      </c>
      <c r="D30" s="302"/>
      <c r="E30" s="302"/>
      <c r="F30" s="302"/>
      <c r="G30" s="306"/>
      <c r="I30" s="299" t="s">
        <v>1233</v>
      </c>
      <c r="J30" s="300"/>
      <c r="K30" s="301">
        <f t="shared" si="25"/>
        <v>0</v>
      </c>
      <c r="L30" s="302"/>
      <c r="M30" s="302"/>
      <c r="N30" s="302"/>
      <c r="O30" s="306"/>
      <c r="Q30" s="299" t="s">
        <v>1233</v>
      </c>
      <c r="R30" s="300">
        <f>64+7/8</f>
        <v>64.875</v>
      </c>
      <c r="S30" s="301">
        <f t="shared" si="26"/>
        <v>1647</v>
      </c>
      <c r="T30" s="302"/>
      <c r="U30" s="302"/>
      <c r="V30" s="302"/>
      <c r="W30" s="306"/>
      <c r="Y30" s="299" t="s">
        <v>1233</v>
      </c>
      <c r="Z30" s="300">
        <f>94+1/8</f>
        <v>94.125</v>
      </c>
      <c r="AA30" s="301">
        <f t="shared" si="27"/>
        <v>2390</v>
      </c>
      <c r="AB30" s="302"/>
      <c r="AC30" s="302"/>
      <c r="AD30" s="302"/>
      <c r="AE30" s="306"/>
      <c r="AG30" s="296" t="str">
        <f t="shared" si="28"/>
        <v/>
      </c>
      <c r="AI30" s="296">
        <f t="shared" si="29"/>
        <v>2115</v>
      </c>
    </row>
    <row r="31" spans="1:35" ht="16.899999999999999" x14ac:dyDescent="0.5">
      <c r="AG31" s="286" t="str">
        <f t="shared" si="28"/>
        <v/>
      </c>
      <c r="AI31" s="286">
        <f t="shared" si="29"/>
        <v>1525</v>
      </c>
    </row>
    <row r="32" spans="1:35" ht="16.899999999999999" x14ac:dyDescent="0.5">
      <c r="AI32" s="270"/>
    </row>
    <row r="33" spans="1:35" ht="16.899999999999999" x14ac:dyDescent="0.5">
      <c r="AI33" s="296" t="str">
        <f t="shared" ref="AI33:AI36" si="30">W25</f>
        <v/>
      </c>
    </row>
    <row r="34" spans="1:35" ht="16.899999999999999" x14ac:dyDescent="0.5">
      <c r="AI34" s="286" t="str">
        <f t="shared" si="30"/>
        <v/>
      </c>
    </row>
    <row r="35" spans="1:35" ht="16.899999999999999" x14ac:dyDescent="0.5">
      <c r="AI35" s="296">
        <f t="shared" si="30"/>
        <v>1647</v>
      </c>
    </row>
    <row r="36" spans="1:35" ht="16.899999999999999" x14ac:dyDescent="0.5">
      <c r="AI36" s="286" t="str">
        <f t="shared" si="30"/>
        <v/>
      </c>
    </row>
    <row r="37" spans="1:35" ht="16.899999999999999" x14ac:dyDescent="0.5">
      <c r="AI37" s="270"/>
    </row>
    <row r="38" spans="1:35" ht="16.899999999999999" x14ac:dyDescent="0.5">
      <c r="AI38" s="296" t="str">
        <f t="shared" ref="AI38:AI41" si="31">AE25</f>
        <v/>
      </c>
    </row>
    <row r="39" spans="1:35" ht="16.899999999999999" x14ac:dyDescent="0.5">
      <c r="AI39" s="286" t="str">
        <f t="shared" si="31"/>
        <v/>
      </c>
    </row>
    <row r="40" spans="1:35" ht="16.899999999999999" x14ac:dyDescent="0.5">
      <c r="AI40" s="296">
        <f t="shared" si="31"/>
        <v>2390</v>
      </c>
    </row>
    <row r="41" spans="1:35" ht="16.899999999999999" x14ac:dyDescent="0.5">
      <c r="AI41" s="286" t="str">
        <f t="shared" si="31"/>
        <v/>
      </c>
    </row>
    <row r="42" spans="1:35" ht="21" x14ac:dyDescent="0.65">
      <c r="A42" s="516" t="s">
        <v>1262</v>
      </c>
      <c r="B42" s="517"/>
      <c r="C42" s="517"/>
      <c r="D42" s="517"/>
      <c r="E42" s="517"/>
      <c r="F42" s="517"/>
      <c r="G42" s="517"/>
      <c r="H42" s="517"/>
      <c r="I42" s="517"/>
      <c r="J42" s="517"/>
      <c r="K42" s="517"/>
      <c r="L42" s="517"/>
      <c r="M42" s="517"/>
      <c r="N42" s="517"/>
      <c r="O42" s="517"/>
      <c r="P42" s="517"/>
      <c r="Q42" s="517"/>
      <c r="R42" s="517"/>
      <c r="S42" s="517"/>
      <c r="T42" s="517"/>
      <c r="U42" s="517"/>
      <c r="V42" s="517"/>
      <c r="W42" s="517"/>
      <c r="X42" s="517"/>
      <c r="Y42" s="517"/>
      <c r="Z42" s="517"/>
      <c r="AA42" s="517"/>
      <c r="AB42" s="517"/>
      <c r="AC42" s="517"/>
      <c r="AD42" s="517"/>
      <c r="AE42" s="517"/>
      <c r="AF42" s="517"/>
      <c r="AG42" s="517"/>
      <c r="AH42" s="517"/>
      <c r="AI42" s="517"/>
    </row>
    <row r="43" spans="1:35" ht="16.899999999999999" x14ac:dyDescent="0.5">
      <c r="A43" s="290"/>
      <c r="B43" s="291"/>
      <c r="C43" s="291" t="s">
        <v>1157</v>
      </c>
      <c r="D43" s="292"/>
      <c r="E43" s="293" t="s">
        <v>1158</v>
      </c>
      <c r="F43" s="291"/>
      <c r="G43" s="294" t="s">
        <v>1159</v>
      </c>
      <c r="I43" s="290"/>
      <c r="J43" s="291"/>
      <c r="K43" s="291" t="s">
        <v>1157</v>
      </c>
      <c r="L43" s="292"/>
      <c r="M43" s="293" t="s">
        <v>1158</v>
      </c>
      <c r="N43" s="291"/>
      <c r="O43" s="294" t="s">
        <v>1159</v>
      </c>
      <c r="AG43" s="268" t="s">
        <v>1159</v>
      </c>
      <c r="AH43" s="268"/>
    </row>
    <row r="44" spans="1:35" ht="16.899999999999999" x14ac:dyDescent="0.5">
      <c r="A44" s="295" t="s">
        <v>105</v>
      </c>
      <c r="B44" s="270"/>
      <c r="C44" s="283"/>
      <c r="D44" s="270" t="str">
        <f t="shared" ref="D44:D45" si="32">ROUNDUP(C44/25.4,0)&amp;" in."</f>
        <v>0 in.</v>
      </c>
      <c r="E44" s="296" t="str">
        <f>IF(C44="","",C51)</f>
        <v/>
      </c>
      <c r="F44" s="270"/>
      <c r="G44" s="296" t="str">
        <f t="shared" ref="G44:G45" si="33">E46</f>
        <v/>
      </c>
      <c r="I44" s="295" t="s">
        <v>105</v>
      </c>
      <c r="J44" s="270"/>
      <c r="K44" s="283"/>
      <c r="L44" s="270" t="str">
        <f t="shared" ref="L44:L45" si="34">ROUNDUP(K44/25.4,0)&amp;" in."</f>
        <v>0 in.</v>
      </c>
      <c r="M44" s="296" t="str">
        <f>IF(K44="","",K48)</f>
        <v/>
      </c>
      <c r="N44" s="270"/>
      <c r="O44" s="296" t="str">
        <f t="shared" ref="O44:O45" si="35">M46</f>
        <v/>
      </c>
      <c r="AG44" s="296">
        <f t="shared" ref="AG44:AG47" si="36">E55</f>
        <v>0</v>
      </c>
      <c r="AI44" s="296" t="str">
        <f t="shared" ref="AI44:AI47" si="37">U52</f>
        <v/>
      </c>
    </row>
    <row r="45" spans="1:35" ht="16.899999999999999" x14ac:dyDescent="0.5">
      <c r="A45" s="295" t="s">
        <v>1160</v>
      </c>
      <c r="B45" s="270"/>
      <c r="C45" s="283"/>
      <c r="D45" s="270" t="str">
        <f t="shared" si="32"/>
        <v>0 in.</v>
      </c>
      <c r="E45" s="286" t="str">
        <f>IF(C44="","",C50)</f>
        <v/>
      </c>
      <c r="F45" s="270"/>
      <c r="G45" s="286" t="str">
        <f t="shared" si="33"/>
        <v/>
      </c>
      <c r="I45" s="295" t="s">
        <v>1160</v>
      </c>
      <c r="J45" s="270"/>
      <c r="K45" s="283"/>
      <c r="L45" s="270" t="str">
        <f t="shared" si="34"/>
        <v>0 in.</v>
      </c>
      <c r="M45" s="286" t="str">
        <f>IF(K44="","",K47)</f>
        <v/>
      </c>
      <c r="N45" s="270"/>
      <c r="O45" s="286" t="str">
        <f t="shared" si="35"/>
        <v/>
      </c>
      <c r="AG45" s="286">
        <f t="shared" si="36"/>
        <v>776</v>
      </c>
      <c r="AI45" s="286">
        <f t="shared" si="37"/>
        <v>0</v>
      </c>
    </row>
    <row r="46" spans="1:35" ht="16.899999999999999" x14ac:dyDescent="0.5">
      <c r="A46" s="297"/>
      <c r="B46" s="270"/>
      <c r="C46" s="270"/>
      <c r="D46" s="270"/>
      <c r="E46" s="296" t="str">
        <f>IF(C44="","",C44+E44)</f>
        <v/>
      </c>
      <c r="F46" s="270"/>
      <c r="G46" s="284" t="str">
        <f>IF(C44="","",IF(C52=0,G44,C52))</f>
        <v/>
      </c>
      <c r="I46" s="297"/>
      <c r="J46" s="270"/>
      <c r="K46" s="270"/>
      <c r="L46" s="270"/>
      <c r="M46" s="296" t="str">
        <f>IF(K44="","",K44+M44)</f>
        <v/>
      </c>
      <c r="N46" s="270"/>
      <c r="O46" s="284" t="str">
        <f>IF(K44="","",IF(K49=0,O44,K49))</f>
        <v/>
      </c>
      <c r="AG46" s="296">
        <f t="shared" si="36"/>
        <v>1089</v>
      </c>
      <c r="AI46" s="296" t="str">
        <f t="shared" si="37"/>
        <v/>
      </c>
    </row>
    <row r="47" spans="1:35" ht="16.899999999999999" x14ac:dyDescent="0.5">
      <c r="D47" s="270"/>
      <c r="E47" s="286" t="str">
        <f>IF(C44="","",C45+C50)</f>
        <v/>
      </c>
      <c r="F47" s="270"/>
      <c r="G47" s="286" t="str">
        <f>IF(C44="","",IF(C52=0,1525,E47))</f>
        <v/>
      </c>
      <c r="I47" s="295" t="s">
        <v>1229</v>
      </c>
      <c r="J47" s="298"/>
      <c r="K47" s="270">
        <f t="shared" ref="K47:K49" si="38">ROUNDDOWN(J47*25.4,0)</f>
        <v>0</v>
      </c>
      <c r="L47" s="270"/>
      <c r="M47" s="286" t="str">
        <f>IF(K44="","",K45+K47)</f>
        <v/>
      </c>
      <c r="N47" s="270"/>
      <c r="O47" s="286" t="str">
        <f>IF(M44="","",IF(K49=0,1525,M47))</f>
        <v/>
      </c>
      <c r="AG47" s="286">
        <f t="shared" si="36"/>
        <v>776</v>
      </c>
      <c r="AI47" s="286">
        <f t="shared" si="37"/>
        <v>0</v>
      </c>
    </row>
    <row r="48" spans="1:35" ht="16.899999999999999" x14ac:dyDescent="0.5">
      <c r="E48" s="294" t="s">
        <v>1159</v>
      </c>
      <c r="G48" s="31"/>
      <c r="I48" s="295" t="s">
        <v>1232</v>
      </c>
      <c r="J48" s="298"/>
      <c r="K48" s="270">
        <f t="shared" si="38"/>
        <v>0</v>
      </c>
      <c r="L48" s="268"/>
      <c r="N48" s="270"/>
      <c r="O48" s="31"/>
    </row>
    <row r="49" spans="1:35" ht="16.899999999999999" x14ac:dyDescent="0.5">
      <c r="E49" s="296" t="str">
        <f>E46</f>
        <v/>
      </c>
      <c r="G49" s="31"/>
      <c r="I49" s="299" t="s">
        <v>1233</v>
      </c>
      <c r="J49" s="300"/>
      <c r="K49" s="301">
        <f t="shared" si="38"/>
        <v>0</v>
      </c>
      <c r="L49" s="302"/>
      <c r="M49" s="302"/>
      <c r="N49" s="302"/>
      <c r="O49" s="306"/>
      <c r="AG49" s="296">
        <f t="shared" ref="AG49:AG52" si="39">G55</f>
        <v>674</v>
      </c>
      <c r="AI49" s="296" t="str">
        <f t="shared" ref="AI49:AI52" si="40">W52</f>
        <v/>
      </c>
    </row>
    <row r="50" spans="1:35" ht="16.899999999999999" x14ac:dyDescent="0.5">
      <c r="A50" s="295" t="s">
        <v>1229</v>
      </c>
      <c r="B50" s="298">
        <v>33.5</v>
      </c>
      <c r="C50" s="270">
        <f t="shared" ref="C50:C52" si="41">ROUNDDOWN(B50*25.4,0)</f>
        <v>850</v>
      </c>
      <c r="E50" s="286" t="str">
        <f t="shared" ref="E50:E51" si="42">E45</f>
        <v/>
      </c>
      <c r="G50" s="31"/>
      <c r="L50" s="270"/>
      <c r="N50" s="270"/>
      <c r="AG50" s="286">
        <f t="shared" si="39"/>
        <v>0</v>
      </c>
      <c r="AI50" s="286" t="str">
        <f t="shared" si="40"/>
        <v/>
      </c>
    </row>
    <row r="51" spans="1:35" ht="16.899999999999999" x14ac:dyDescent="0.5">
      <c r="A51" s="295" t="s">
        <v>1232</v>
      </c>
      <c r="B51" s="298">
        <v>0</v>
      </c>
      <c r="C51" s="270">
        <f t="shared" si="41"/>
        <v>0</v>
      </c>
      <c r="D51" s="268"/>
      <c r="E51" s="296" t="str">
        <f t="shared" si="42"/>
        <v/>
      </c>
      <c r="F51" s="270"/>
      <c r="G51" s="31"/>
      <c r="I51" s="290"/>
      <c r="J51" s="291"/>
      <c r="K51" s="291" t="s">
        <v>1157</v>
      </c>
      <c r="L51" s="292"/>
      <c r="M51" s="293" t="s">
        <v>1159</v>
      </c>
      <c r="N51" s="291"/>
      <c r="O51" s="294" t="s">
        <v>1159</v>
      </c>
      <c r="Q51" s="290"/>
      <c r="R51" s="291"/>
      <c r="S51" s="291" t="s">
        <v>1157</v>
      </c>
      <c r="T51" s="292"/>
      <c r="U51" s="293" t="s">
        <v>1159</v>
      </c>
      <c r="V51" s="291"/>
      <c r="W51" s="294" t="s">
        <v>1159</v>
      </c>
      <c r="X51" s="268"/>
      <c r="Y51" s="290"/>
      <c r="Z51" s="291"/>
      <c r="AA51" s="291" t="s">
        <v>1157</v>
      </c>
      <c r="AB51" s="292"/>
      <c r="AC51" s="293" t="s">
        <v>1159</v>
      </c>
      <c r="AD51" s="291"/>
      <c r="AE51" s="294" t="s">
        <v>1159</v>
      </c>
      <c r="AG51" s="296">
        <f t="shared" si="39"/>
        <v>674</v>
      </c>
      <c r="AI51" s="296" t="str">
        <f t="shared" si="40"/>
        <v/>
      </c>
    </row>
    <row r="52" spans="1:35" ht="16.899999999999999" x14ac:dyDescent="0.5">
      <c r="A52" s="299" t="s">
        <v>1233</v>
      </c>
      <c r="B52" s="300">
        <v>48.5</v>
      </c>
      <c r="C52" s="301">
        <f t="shared" si="41"/>
        <v>1231</v>
      </c>
      <c r="D52" s="302"/>
      <c r="E52" s="286" t="str">
        <f>IF(C44="","",E56)</f>
        <v/>
      </c>
      <c r="F52" s="302"/>
      <c r="G52" s="306"/>
      <c r="I52" s="295" t="s">
        <v>105</v>
      </c>
      <c r="J52" s="270"/>
      <c r="K52" s="283">
        <v>674</v>
      </c>
      <c r="L52" s="270" t="str">
        <f t="shared" ref="L52:L53" si="43">ROUND(K52/25.4,1)&amp;" in."</f>
        <v>26.5 in.</v>
      </c>
      <c r="M52" s="284">
        <f>IF(K52="","",K56)</f>
        <v>1095</v>
      </c>
      <c r="N52" s="270"/>
      <c r="O52" s="284">
        <f>IF(K52="","",K52+K56)</f>
        <v>1769</v>
      </c>
      <c r="Q52" s="295" t="s">
        <v>105</v>
      </c>
      <c r="R52" s="270"/>
      <c r="S52" s="283"/>
      <c r="T52" s="270" t="str">
        <f t="shared" ref="T52:T53" si="44">ROUNDUP(S52/25.4,0)&amp;" in."</f>
        <v>0 in.</v>
      </c>
      <c r="U52" s="284" t="str">
        <f>IF(S52="","",S56)</f>
        <v/>
      </c>
      <c r="V52" s="270"/>
      <c r="W52" s="284" t="str">
        <f>IF(S52="","",S52+S56)</f>
        <v/>
      </c>
      <c r="X52" s="270"/>
      <c r="Y52" s="295" t="s">
        <v>105</v>
      </c>
      <c r="Z52" s="270"/>
      <c r="AA52" s="283"/>
      <c r="AB52" s="270" t="str">
        <f t="shared" ref="AB52:AB53" si="45">ROUNDUP(AA52/25.4,0)&amp;" in."</f>
        <v>0 in.</v>
      </c>
      <c r="AC52" s="284" t="str">
        <f>IF(Z52="","",AA56)</f>
        <v/>
      </c>
      <c r="AD52" s="270"/>
      <c r="AE52" s="284" t="str">
        <f>IF(Z52="","",AA52+AA56)</f>
        <v/>
      </c>
      <c r="AG52" s="286">
        <f t="shared" si="39"/>
        <v>776</v>
      </c>
      <c r="AI52" s="286">
        <f t="shared" si="40"/>
        <v>0</v>
      </c>
    </row>
    <row r="53" spans="1:35" ht="16.899999999999999" x14ac:dyDescent="0.5">
      <c r="D53" s="270"/>
      <c r="F53" s="270"/>
      <c r="I53" s="295" t="s">
        <v>1160</v>
      </c>
      <c r="J53" s="270"/>
      <c r="K53" s="283">
        <v>776</v>
      </c>
      <c r="L53" s="270" t="str">
        <f t="shared" si="43"/>
        <v>30.6 in.</v>
      </c>
      <c r="M53" s="286">
        <f>K53</f>
        <v>776</v>
      </c>
      <c r="N53" s="270"/>
      <c r="O53" s="286">
        <f>IF(K52="","",K55)</f>
        <v>0</v>
      </c>
      <c r="Q53" s="295" t="s">
        <v>1160</v>
      </c>
      <c r="R53" s="270"/>
      <c r="S53" s="283"/>
      <c r="T53" s="270" t="str">
        <f t="shared" si="44"/>
        <v>0 in.</v>
      </c>
      <c r="U53" s="286">
        <f>S53</f>
        <v>0</v>
      </c>
      <c r="V53" s="270"/>
      <c r="W53" s="286" t="str">
        <f>IF(S52="","",S55)</f>
        <v/>
      </c>
      <c r="X53" s="270"/>
      <c r="Y53" s="295" t="s">
        <v>1160</v>
      </c>
      <c r="Z53" s="270"/>
      <c r="AA53" s="283"/>
      <c r="AB53" s="270" t="str">
        <f t="shared" si="45"/>
        <v>0 in.</v>
      </c>
      <c r="AC53" s="286">
        <f>AA53</f>
        <v>0</v>
      </c>
      <c r="AD53" s="270"/>
      <c r="AE53" s="286" t="str">
        <f>IF(Z52="","",AA55)</f>
        <v/>
      </c>
    </row>
    <row r="54" spans="1:35" ht="16.899999999999999" x14ac:dyDescent="0.5">
      <c r="A54" s="290"/>
      <c r="B54" s="291"/>
      <c r="C54" s="291" t="s">
        <v>1157</v>
      </c>
      <c r="D54" s="292"/>
      <c r="E54" s="293" t="s">
        <v>1159</v>
      </c>
      <c r="F54" s="291"/>
      <c r="G54" s="294" t="s">
        <v>1159</v>
      </c>
      <c r="I54" s="297"/>
      <c r="J54" s="270"/>
      <c r="K54" s="270"/>
      <c r="L54" s="270"/>
      <c r="M54" s="284">
        <f>IF(K52="","",IF(J57="",K56+K52,K57))</f>
        <v>2155</v>
      </c>
      <c r="N54" s="270"/>
      <c r="O54" s="284">
        <f>IF(K52="","",O52)</f>
        <v>1769</v>
      </c>
      <c r="Q54" s="297"/>
      <c r="R54" s="270"/>
      <c r="S54" s="270"/>
      <c r="T54" s="270"/>
      <c r="U54" s="284" t="str">
        <f>IF(S52="","",IF(R57="",S52+S56, IF(S52="","",S57)))</f>
        <v/>
      </c>
      <c r="V54" s="270"/>
      <c r="W54" s="284" t="str">
        <f>W52</f>
        <v/>
      </c>
      <c r="X54" s="270"/>
      <c r="Y54" s="297"/>
      <c r="Z54" s="270"/>
      <c r="AA54" s="270"/>
      <c r="AB54" s="270"/>
      <c r="AC54" s="284" t="str">
        <f>IF(Z52="","",AA57)</f>
        <v/>
      </c>
      <c r="AD54" s="270"/>
      <c r="AE54" s="284" t="str">
        <f>AE52</f>
        <v/>
      </c>
      <c r="AG54" s="296">
        <f t="shared" ref="AG54:AG57" si="46">M52</f>
        <v>1095</v>
      </c>
      <c r="AI54" s="296" t="str">
        <f t="shared" ref="AI54:AI57" si="47">AC52</f>
        <v/>
      </c>
    </row>
    <row r="55" spans="1:35" ht="16.899999999999999" x14ac:dyDescent="0.5">
      <c r="A55" s="295" t="s">
        <v>105</v>
      </c>
      <c r="B55" s="270"/>
      <c r="C55" s="283">
        <v>674</v>
      </c>
      <c r="D55" s="270" t="str">
        <f t="shared" ref="D55:D56" si="48">ROUND(C55/25.4,1)&amp;" in."</f>
        <v>26.5 in.</v>
      </c>
      <c r="E55" s="284">
        <f>C59</f>
        <v>0</v>
      </c>
      <c r="F55" s="270"/>
      <c r="G55" s="284">
        <f>C55+C59</f>
        <v>674</v>
      </c>
      <c r="I55" s="295" t="s">
        <v>1229</v>
      </c>
      <c r="J55" s="298">
        <v>0</v>
      </c>
      <c r="K55" s="270">
        <f t="shared" ref="K55:K57" si="49">ROUNDDOWN(J55*25.4,0)</f>
        <v>0</v>
      </c>
      <c r="L55" s="270"/>
      <c r="M55" s="286">
        <f>K53</f>
        <v>776</v>
      </c>
      <c r="N55" s="270"/>
      <c r="O55" s="286">
        <f>IF(K57=0,1230,M55)</f>
        <v>776</v>
      </c>
      <c r="Q55" s="295" t="s">
        <v>1229</v>
      </c>
      <c r="R55" s="298">
        <v>0</v>
      </c>
      <c r="S55" s="270">
        <f t="shared" ref="S55:S57" si="50">ROUNDDOWN(R55*25.4,0)</f>
        <v>0</v>
      </c>
      <c r="T55" s="270"/>
      <c r="U55" s="286">
        <f>S53</f>
        <v>0</v>
      </c>
      <c r="V55" s="270"/>
      <c r="W55" s="286">
        <f>U55</f>
        <v>0</v>
      </c>
      <c r="X55" s="270"/>
      <c r="Y55" s="295" t="s">
        <v>1229</v>
      </c>
      <c r="Z55" s="298"/>
      <c r="AA55" s="270">
        <f t="shared" ref="AA55:AA57" si="51">ROUNDDOWN(Z55*25.4,0)</f>
        <v>0</v>
      </c>
      <c r="AB55" s="270"/>
      <c r="AC55" s="286">
        <f>AA53</f>
        <v>0</v>
      </c>
      <c r="AD55" s="270"/>
      <c r="AE55" s="286">
        <f>AC55</f>
        <v>0</v>
      </c>
      <c r="AG55" s="286">
        <f t="shared" si="46"/>
        <v>776</v>
      </c>
      <c r="AI55" s="286">
        <f t="shared" si="47"/>
        <v>0</v>
      </c>
    </row>
    <row r="56" spans="1:35" ht="16.899999999999999" x14ac:dyDescent="0.5">
      <c r="A56" s="295" t="s">
        <v>1160</v>
      </c>
      <c r="B56" s="270"/>
      <c r="C56" s="283">
        <v>776</v>
      </c>
      <c r="D56" s="270" t="str">
        <f t="shared" si="48"/>
        <v>30.6 in.</v>
      </c>
      <c r="E56" s="286">
        <f>C56</f>
        <v>776</v>
      </c>
      <c r="F56" s="270"/>
      <c r="G56" s="286">
        <f>C58</f>
        <v>0</v>
      </c>
      <c r="I56" s="295" t="s">
        <v>1232</v>
      </c>
      <c r="J56" s="298">
        <f>43+1/8</f>
        <v>43.125</v>
      </c>
      <c r="K56" s="270">
        <f t="shared" si="49"/>
        <v>1095</v>
      </c>
      <c r="L56" s="268"/>
      <c r="N56" s="270"/>
      <c r="O56" s="31">
        <v>545</v>
      </c>
      <c r="Q56" s="295" t="s">
        <v>1232</v>
      </c>
      <c r="R56" s="298">
        <v>70</v>
      </c>
      <c r="S56" s="270">
        <f t="shared" si="50"/>
        <v>1778</v>
      </c>
      <c r="T56" s="268"/>
      <c r="V56" s="270"/>
      <c r="W56" s="31"/>
      <c r="Y56" s="295" t="s">
        <v>1232</v>
      </c>
      <c r="Z56" s="298"/>
      <c r="AA56" s="270">
        <f t="shared" si="51"/>
        <v>0</v>
      </c>
      <c r="AB56" s="268"/>
      <c r="AD56" s="270"/>
      <c r="AE56" s="31"/>
      <c r="AG56" s="296">
        <f t="shared" si="46"/>
        <v>2155</v>
      </c>
      <c r="AI56" s="296" t="str">
        <f t="shared" si="47"/>
        <v/>
      </c>
    </row>
    <row r="57" spans="1:35" ht="16.899999999999999" x14ac:dyDescent="0.5">
      <c r="A57" s="297"/>
      <c r="B57" s="270"/>
      <c r="C57" s="270"/>
      <c r="D57" s="270"/>
      <c r="E57" s="284">
        <f>C60</f>
        <v>1089</v>
      </c>
      <c r="F57" s="270"/>
      <c r="G57" s="284">
        <f>G55</f>
        <v>674</v>
      </c>
      <c r="I57" s="299" t="s">
        <v>1233</v>
      </c>
      <c r="J57" s="300">
        <f>84+7/8</f>
        <v>84.875</v>
      </c>
      <c r="K57" s="301">
        <f t="shared" si="49"/>
        <v>2155</v>
      </c>
      <c r="L57" s="302"/>
      <c r="M57" s="302"/>
      <c r="N57" s="302"/>
      <c r="O57" s="306"/>
      <c r="Q57" s="299" t="s">
        <v>1233</v>
      </c>
      <c r="R57" s="300"/>
      <c r="S57" s="301">
        <f t="shared" si="50"/>
        <v>0</v>
      </c>
      <c r="T57" s="302"/>
      <c r="U57" s="302"/>
      <c r="V57" s="302"/>
      <c r="W57" s="306"/>
      <c r="Y57" s="299" t="s">
        <v>1233</v>
      </c>
      <c r="Z57" s="300"/>
      <c r="AA57" s="301">
        <f t="shared" si="51"/>
        <v>0</v>
      </c>
      <c r="AB57" s="302"/>
      <c r="AC57" s="302"/>
      <c r="AD57" s="302"/>
      <c r="AE57" s="306"/>
      <c r="AG57" s="286">
        <f t="shared" si="46"/>
        <v>776</v>
      </c>
      <c r="AI57" s="286">
        <f t="shared" si="47"/>
        <v>0</v>
      </c>
    </row>
    <row r="58" spans="1:35" ht="16.899999999999999" x14ac:dyDescent="0.5">
      <c r="A58" s="295" t="s">
        <v>1229</v>
      </c>
      <c r="B58" s="298">
        <v>0</v>
      </c>
      <c r="C58" s="270">
        <f t="shared" ref="C58:C60" si="52">ROUNDDOWN(B58*25.4,0)</f>
        <v>0</v>
      </c>
      <c r="D58" s="270"/>
      <c r="E58" s="286">
        <f>C56</f>
        <v>776</v>
      </c>
      <c r="F58" s="270"/>
      <c r="G58" s="286">
        <f>IF(C60=0,1230,E58)</f>
        <v>776</v>
      </c>
      <c r="L58" s="268"/>
      <c r="N58" s="268"/>
      <c r="T58" s="268"/>
      <c r="V58" s="268"/>
      <c r="AE58" s="268" t="s">
        <v>1159</v>
      </c>
    </row>
    <row r="59" spans="1:35" ht="16.899999999999999" x14ac:dyDescent="0.5">
      <c r="A59" s="295" t="s">
        <v>1232</v>
      </c>
      <c r="B59" s="298">
        <v>0</v>
      </c>
      <c r="C59" s="270">
        <f t="shared" si="52"/>
        <v>0</v>
      </c>
      <c r="D59" s="268"/>
      <c r="F59" s="270"/>
      <c r="G59" s="31"/>
      <c r="L59" s="268"/>
      <c r="N59" s="268"/>
      <c r="T59" s="268"/>
      <c r="V59" s="268"/>
      <c r="AE59" s="296" t="str">
        <f t="shared" ref="AE59:AE62" si="53">IF(E49="","",E49)</f>
        <v/>
      </c>
      <c r="AG59" s="296">
        <f t="shared" ref="AG59:AG62" si="54">O52</f>
        <v>1769</v>
      </c>
      <c r="AI59" s="296" t="str">
        <f t="shared" ref="AI59:AI62" si="55">AE52</f>
        <v/>
      </c>
    </row>
    <row r="60" spans="1:35" ht="16.899999999999999" x14ac:dyDescent="0.5">
      <c r="A60" s="299" t="s">
        <v>1233</v>
      </c>
      <c r="B60" s="300">
        <f>42+7/8</f>
        <v>42.875</v>
      </c>
      <c r="C60" s="301">
        <f t="shared" si="52"/>
        <v>1089</v>
      </c>
      <c r="D60" s="302"/>
      <c r="E60" s="302"/>
      <c r="F60" s="302"/>
      <c r="G60" s="306"/>
      <c r="L60" s="268"/>
      <c r="N60" s="268"/>
      <c r="T60" s="268"/>
      <c r="V60" s="268"/>
      <c r="AE60" s="286" t="str">
        <f t="shared" si="53"/>
        <v/>
      </c>
      <c r="AG60" s="286">
        <f t="shared" si="54"/>
        <v>0</v>
      </c>
      <c r="AI60" s="286" t="str">
        <f t="shared" si="55"/>
        <v/>
      </c>
    </row>
    <row r="61" spans="1:35" ht="16.899999999999999" x14ac:dyDescent="0.5">
      <c r="D61" s="268"/>
      <c r="F61" s="268"/>
      <c r="L61" s="268"/>
      <c r="N61" s="268"/>
      <c r="T61" s="268"/>
      <c r="V61" s="268"/>
      <c r="AE61" s="296" t="str">
        <f t="shared" si="53"/>
        <v/>
      </c>
      <c r="AG61" s="296">
        <f t="shared" si="54"/>
        <v>1769</v>
      </c>
      <c r="AI61" s="296" t="str">
        <f t="shared" si="55"/>
        <v/>
      </c>
    </row>
    <row r="62" spans="1:35" ht="16.899999999999999" x14ac:dyDescent="0.5">
      <c r="D62" s="268"/>
      <c r="F62" s="268"/>
      <c r="L62" s="268"/>
      <c r="N62" s="268"/>
      <c r="T62" s="268"/>
      <c r="V62" s="268"/>
      <c r="AE62" s="286" t="str">
        <f t="shared" si="53"/>
        <v/>
      </c>
      <c r="AG62" s="286">
        <f t="shared" si="54"/>
        <v>776</v>
      </c>
      <c r="AI62" s="286">
        <f t="shared" si="55"/>
        <v>0</v>
      </c>
    </row>
    <row r="63" spans="1:35" ht="16.899999999999999" x14ac:dyDescent="0.5">
      <c r="D63" s="268"/>
      <c r="F63" s="268"/>
      <c r="L63" s="268"/>
      <c r="N63" s="268"/>
      <c r="T63" s="268"/>
      <c r="V63" s="268"/>
      <c r="AI63" s="268" t="s">
        <v>1158</v>
      </c>
    </row>
    <row r="64" spans="1:35" ht="16.899999999999999" x14ac:dyDescent="0.5">
      <c r="D64" s="268"/>
      <c r="F64" s="268"/>
      <c r="L64" s="268"/>
      <c r="N64" s="268"/>
      <c r="T64" s="268"/>
      <c r="V64" s="268"/>
      <c r="AG64" s="296" t="str">
        <f t="shared" ref="AG64:AG67" si="56">G44</f>
        <v/>
      </c>
      <c r="AI64" s="296" t="str">
        <f t="shared" ref="AI64:AI67" si="57">E44</f>
        <v/>
      </c>
    </row>
    <row r="65" spans="1:35" ht="16.899999999999999" x14ac:dyDescent="0.5">
      <c r="D65" s="268"/>
      <c r="F65" s="268"/>
      <c r="L65" s="268"/>
      <c r="N65" s="268"/>
      <c r="T65" s="268"/>
      <c r="V65" s="268"/>
      <c r="AG65" s="286" t="str">
        <f t="shared" si="56"/>
        <v/>
      </c>
      <c r="AI65" s="286" t="str">
        <f t="shared" si="57"/>
        <v/>
      </c>
    </row>
    <row r="66" spans="1:35" ht="16.899999999999999" x14ac:dyDescent="0.5">
      <c r="D66" s="268"/>
      <c r="F66" s="268"/>
      <c r="L66" s="268"/>
      <c r="N66" s="268"/>
      <c r="T66" s="268"/>
      <c r="V66" s="268"/>
      <c r="AG66" s="296" t="str">
        <f t="shared" si="56"/>
        <v/>
      </c>
      <c r="AI66" s="296" t="str">
        <f t="shared" si="57"/>
        <v/>
      </c>
    </row>
    <row r="67" spans="1:35" ht="16.899999999999999" x14ac:dyDescent="0.5">
      <c r="D67" s="268"/>
      <c r="F67" s="268"/>
      <c r="L67" s="268"/>
      <c r="N67" s="268"/>
      <c r="T67" s="268"/>
      <c r="V67" s="268"/>
      <c r="AG67" s="286" t="str">
        <f t="shared" si="56"/>
        <v/>
      </c>
      <c r="AI67" s="286" t="str">
        <f t="shared" si="57"/>
        <v/>
      </c>
    </row>
    <row r="68" spans="1:35" ht="16.899999999999999" x14ac:dyDescent="0.5">
      <c r="D68" s="268"/>
      <c r="F68" s="268"/>
      <c r="L68" s="268"/>
      <c r="N68" s="268"/>
      <c r="T68" s="268"/>
      <c r="V68" s="268"/>
    </row>
    <row r="69" spans="1:35" ht="16.899999999999999" x14ac:dyDescent="0.5">
      <c r="D69" s="268"/>
      <c r="F69" s="268"/>
      <c r="L69" s="268"/>
      <c r="N69" s="268"/>
      <c r="T69" s="268"/>
      <c r="V69" s="268"/>
      <c r="AG69" s="296" t="str">
        <f t="shared" ref="AG69:AG72" si="58">O44</f>
        <v/>
      </c>
      <c r="AI69" s="296" t="str">
        <f t="shared" ref="AI69:AI72" si="59">M44</f>
        <v/>
      </c>
    </row>
    <row r="70" spans="1:35" ht="16.899999999999999" x14ac:dyDescent="0.5">
      <c r="D70" s="268"/>
      <c r="F70" s="268"/>
      <c r="L70" s="268"/>
      <c r="N70" s="268"/>
      <c r="T70" s="268"/>
      <c r="V70" s="268"/>
      <c r="AG70" s="286" t="str">
        <f t="shared" si="58"/>
        <v/>
      </c>
      <c r="AI70" s="286" t="str">
        <f t="shared" si="59"/>
        <v/>
      </c>
    </row>
    <row r="71" spans="1:35" ht="16.899999999999999" x14ac:dyDescent="0.5">
      <c r="D71" s="268"/>
      <c r="F71" s="268"/>
      <c r="L71" s="268"/>
      <c r="N71" s="268"/>
      <c r="T71" s="268"/>
      <c r="V71" s="268"/>
      <c r="AG71" s="296" t="str">
        <f t="shared" si="58"/>
        <v/>
      </c>
      <c r="AI71" s="296" t="str">
        <f t="shared" si="59"/>
        <v/>
      </c>
    </row>
    <row r="72" spans="1:35" ht="16.899999999999999" x14ac:dyDescent="0.5">
      <c r="D72" s="268"/>
      <c r="F72" s="268"/>
      <c r="L72" s="268"/>
      <c r="N72" s="268"/>
      <c r="T72" s="268"/>
      <c r="V72" s="268"/>
      <c r="AG72" s="286" t="str">
        <f t="shared" si="58"/>
        <v/>
      </c>
      <c r="AI72" s="286" t="str">
        <f t="shared" si="59"/>
        <v/>
      </c>
    </row>
    <row r="73" spans="1:35" ht="16.899999999999999" x14ac:dyDescent="0.5">
      <c r="D73" s="268"/>
      <c r="F73" s="268"/>
      <c r="L73" s="268"/>
      <c r="N73" s="268"/>
      <c r="T73" s="268"/>
      <c r="V73" s="268"/>
    </row>
    <row r="74" spans="1:35" ht="21" x14ac:dyDescent="0.65">
      <c r="A74" s="516" t="s">
        <v>1283</v>
      </c>
      <c r="B74" s="517"/>
      <c r="C74" s="517"/>
      <c r="D74" s="517"/>
      <c r="E74" s="517"/>
      <c r="F74" s="517"/>
      <c r="G74" s="517"/>
      <c r="H74" s="517"/>
      <c r="I74" s="517"/>
      <c r="J74" s="517"/>
      <c r="K74" s="517"/>
      <c r="L74" s="517"/>
      <c r="M74" s="517"/>
      <c r="N74" s="517"/>
      <c r="O74" s="517"/>
      <c r="P74" s="517"/>
      <c r="Q74" s="517"/>
      <c r="R74" s="517"/>
      <c r="S74" s="517"/>
      <c r="T74" s="517"/>
      <c r="U74" s="517"/>
      <c r="V74" s="517"/>
      <c r="W74" s="517"/>
      <c r="X74" s="517"/>
      <c r="Y74" s="517"/>
      <c r="Z74" s="517"/>
      <c r="AA74" s="517"/>
      <c r="AB74" s="517"/>
      <c r="AC74" s="517"/>
      <c r="AD74" s="517"/>
      <c r="AE74" s="517"/>
      <c r="AF74" s="517"/>
      <c r="AG74" s="517"/>
      <c r="AH74" s="517"/>
      <c r="AI74" s="517"/>
    </row>
    <row r="75" spans="1:35" ht="16.899999999999999" x14ac:dyDescent="0.5">
      <c r="A75" s="290"/>
      <c r="B75" s="291"/>
      <c r="C75" s="291" t="s">
        <v>1157</v>
      </c>
      <c r="D75" s="292"/>
      <c r="E75" s="293" t="s">
        <v>1158</v>
      </c>
      <c r="F75" s="291"/>
      <c r="G75" s="294" t="s">
        <v>1159</v>
      </c>
      <c r="I75" s="290"/>
      <c r="J75" s="291"/>
      <c r="K75" s="291" t="s">
        <v>1157</v>
      </c>
      <c r="L75" s="292"/>
      <c r="M75" s="293" t="s">
        <v>1158</v>
      </c>
      <c r="N75" s="291"/>
      <c r="O75" s="294" t="s">
        <v>1159</v>
      </c>
      <c r="AG75" s="282" t="s">
        <v>1159</v>
      </c>
      <c r="AH75" s="268"/>
      <c r="AI75" s="268" t="s">
        <v>1159</v>
      </c>
    </row>
    <row r="76" spans="1:35" ht="16.899999999999999" x14ac:dyDescent="0.5">
      <c r="A76" s="295" t="s">
        <v>105</v>
      </c>
      <c r="B76" s="270"/>
      <c r="C76" s="283"/>
      <c r="D76" s="270"/>
      <c r="E76" s="296" t="str">
        <f>IF(C76="","",C80)</f>
        <v/>
      </c>
      <c r="F76" s="270"/>
      <c r="G76" s="296" t="str">
        <f t="shared" ref="G76:G77" si="60">E78</f>
        <v/>
      </c>
      <c r="I76" s="295" t="s">
        <v>105</v>
      </c>
      <c r="J76" s="270"/>
      <c r="K76" s="283" t="str">
        <f>IF(J76=0,"",ROUNDDOWN((J76+9/32)*25.4,0))</f>
        <v/>
      </c>
      <c r="L76" s="270"/>
      <c r="M76" s="296" t="str">
        <f>IF(K76="","",K80)</f>
        <v/>
      </c>
      <c r="N76" s="270"/>
      <c r="O76" s="296" t="str">
        <f t="shared" ref="O76:O77" si="61">M78</f>
        <v/>
      </c>
      <c r="AG76" s="296">
        <f t="shared" ref="AG76:AG79" si="62">E84</f>
        <v>1657</v>
      </c>
      <c r="AI76" s="296" t="str">
        <f t="shared" ref="AI76:AI79" si="63">O84</f>
        <v/>
      </c>
    </row>
    <row r="77" spans="1:35" ht="16.899999999999999" x14ac:dyDescent="0.5">
      <c r="A77" s="295" t="s">
        <v>1160</v>
      </c>
      <c r="B77" s="270"/>
      <c r="C77" s="283"/>
      <c r="D77" s="270"/>
      <c r="E77" s="286" t="str">
        <f>IF(C76="","",C79)</f>
        <v/>
      </c>
      <c r="F77" s="270"/>
      <c r="G77" s="286" t="str">
        <f t="shared" si="60"/>
        <v/>
      </c>
      <c r="I77" s="295" t="s">
        <v>1160</v>
      </c>
      <c r="J77" s="270"/>
      <c r="K77" s="283" t="str">
        <f>IF(J76=0,"",ROUNDDOWN((J77+9/32)*25.4,0))</f>
        <v/>
      </c>
      <c r="L77" s="270"/>
      <c r="M77" s="286" t="str">
        <f>IF(K76="","",K79)</f>
        <v/>
      </c>
      <c r="N77" s="270"/>
      <c r="O77" s="286" t="str">
        <f t="shared" si="61"/>
        <v/>
      </c>
      <c r="AG77" s="304">
        <f t="shared" si="62"/>
        <v>0</v>
      </c>
      <c r="AI77" s="286" t="str">
        <f t="shared" si="63"/>
        <v/>
      </c>
    </row>
    <row r="78" spans="1:35" ht="16.899999999999999" x14ac:dyDescent="0.5">
      <c r="A78" s="297"/>
      <c r="B78" s="270"/>
      <c r="C78" s="270"/>
      <c r="D78" s="270"/>
      <c r="E78" s="296" t="str">
        <f>IF(C76="","",C76+E76)</f>
        <v/>
      </c>
      <c r="F78" s="270"/>
      <c r="G78" s="296" t="str">
        <f>IF(C81=0,G76,C81)</f>
        <v/>
      </c>
      <c r="I78" s="297"/>
      <c r="J78" s="270"/>
      <c r="K78" s="270"/>
      <c r="L78" s="270"/>
      <c r="M78" s="296" t="str">
        <f>IF(K76="","",K76+M76)</f>
        <v/>
      </c>
      <c r="N78" s="270"/>
      <c r="O78" s="296" t="str">
        <f>IF(K81=0,O76,K81)</f>
        <v/>
      </c>
      <c r="AG78" s="296">
        <f t="shared" si="62"/>
        <v>1657</v>
      </c>
      <c r="AI78" s="296" t="str">
        <f t="shared" si="63"/>
        <v/>
      </c>
    </row>
    <row r="79" spans="1:35" ht="16.899999999999999" x14ac:dyDescent="0.5">
      <c r="A79" s="295" t="s">
        <v>1229</v>
      </c>
      <c r="B79" s="298"/>
      <c r="C79" s="270">
        <f t="shared" ref="C79:C81" si="64">ROUNDDOWN(B79*25.4,0)</f>
        <v>0</v>
      </c>
      <c r="D79" s="270"/>
      <c r="E79" s="286" t="str">
        <f>IF(C76="","",C77+C79)</f>
        <v/>
      </c>
      <c r="F79" s="270"/>
      <c r="G79" s="286" t="str">
        <f>IF(C76="","",IF(C81=0,1525,E79))</f>
        <v/>
      </c>
      <c r="I79" s="295" t="s">
        <v>1229</v>
      </c>
      <c r="J79" s="298"/>
      <c r="K79" s="270">
        <f t="shared" ref="K79:K81" si="65">ROUNDDOWN(J79*25.4,0)</f>
        <v>0</v>
      </c>
      <c r="L79" s="270"/>
      <c r="M79" s="286" t="str">
        <f>IF(K76="","",K77+K79)</f>
        <v/>
      </c>
      <c r="N79" s="270"/>
      <c r="O79" s="286" t="str">
        <f>IF(K76="","",IF(K81=0,1525,M79))</f>
        <v/>
      </c>
      <c r="AG79" s="286">
        <f t="shared" si="62"/>
        <v>1149</v>
      </c>
      <c r="AI79" s="286">
        <f t="shared" si="63"/>
        <v>0</v>
      </c>
    </row>
    <row r="80" spans="1:35" ht="16.899999999999999" x14ac:dyDescent="0.5">
      <c r="A80" s="295" t="s">
        <v>1232</v>
      </c>
      <c r="B80" s="298"/>
      <c r="C80" s="270">
        <f t="shared" si="64"/>
        <v>0</v>
      </c>
      <c r="D80" s="268"/>
      <c r="F80" s="270"/>
      <c r="G80" s="31"/>
      <c r="I80" s="295" t="s">
        <v>1232</v>
      </c>
      <c r="J80" s="298"/>
      <c r="K80" s="270">
        <f t="shared" si="65"/>
        <v>0</v>
      </c>
      <c r="L80" s="268"/>
      <c r="N80" s="270"/>
      <c r="O80" s="31"/>
      <c r="AG80" s="307"/>
      <c r="AI80" s="307"/>
    </row>
    <row r="81" spans="1:35" ht="16.899999999999999" x14ac:dyDescent="0.5">
      <c r="A81" s="299" t="s">
        <v>1233</v>
      </c>
      <c r="B81" s="300"/>
      <c r="C81" s="301">
        <f t="shared" si="64"/>
        <v>0</v>
      </c>
      <c r="D81" s="302"/>
      <c r="E81" s="302"/>
      <c r="F81" s="302"/>
      <c r="G81" s="306"/>
      <c r="I81" s="299" t="s">
        <v>1233</v>
      </c>
      <c r="J81" s="300"/>
      <c r="K81" s="301">
        <f t="shared" si="65"/>
        <v>0</v>
      </c>
      <c r="L81" s="302"/>
      <c r="M81" s="302"/>
      <c r="N81" s="302"/>
      <c r="O81" s="306"/>
      <c r="AG81" s="296">
        <f t="shared" ref="AG81:AG84" si="66">E89</f>
        <v>0</v>
      </c>
      <c r="AI81" s="296" t="str">
        <f t="shared" ref="AI81:AI84" si="67">O89</f>
        <v/>
      </c>
    </row>
    <row r="82" spans="1:35" ht="16.899999999999999" x14ac:dyDescent="0.5">
      <c r="D82" s="270"/>
      <c r="F82" s="270"/>
      <c r="L82" s="270"/>
      <c r="N82" s="270"/>
      <c r="AG82" s="286">
        <f t="shared" si="66"/>
        <v>1149</v>
      </c>
      <c r="AI82" s="286">
        <f t="shared" si="67"/>
        <v>0</v>
      </c>
    </row>
    <row r="83" spans="1:35" ht="16.899999999999999" x14ac:dyDescent="0.5">
      <c r="A83" s="290"/>
      <c r="B83" s="291"/>
      <c r="C83" s="291" t="s">
        <v>1157</v>
      </c>
      <c r="D83" s="292"/>
      <c r="E83" s="293" t="s">
        <v>1159</v>
      </c>
      <c r="F83" s="291"/>
      <c r="G83" s="294" t="s">
        <v>1159</v>
      </c>
      <c r="I83" s="290"/>
      <c r="J83" s="291"/>
      <c r="K83" s="291" t="s">
        <v>1157</v>
      </c>
      <c r="L83" s="292"/>
      <c r="M83" s="293" t="s">
        <v>1159</v>
      </c>
      <c r="N83" s="291"/>
      <c r="O83" s="294" t="s">
        <v>1159</v>
      </c>
      <c r="Q83" s="290"/>
      <c r="R83" s="291"/>
      <c r="S83" s="291" t="s">
        <v>1157</v>
      </c>
      <c r="T83" s="292"/>
      <c r="U83" s="293" t="s">
        <v>1159</v>
      </c>
      <c r="V83" s="291"/>
      <c r="W83" s="294" t="s">
        <v>1159</v>
      </c>
      <c r="X83" s="268"/>
      <c r="Y83" s="268"/>
      <c r="Z83" s="268"/>
      <c r="AA83" s="268"/>
      <c r="AB83" s="268"/>
      <c r="AC83" s="268"/>
      <c r="AD83" s="268"/>
      <c r="AE83" s="268"/>
      <c r="AG83" s="296">
        <f t="shared" si="66"/>
        <v>3314</v>
      </c>
      <c r="AI83" s="296" t="str">
        <f t="shared" si="67"/>
        <v/>
      </c>
    </row>
    <row r="84" spans="1:35" ht="16.899999999999999" x14ac:dyDescent="0.5">
      <c r="A84" s="295" t="s">
        <v>105</v>
      </c>
      <c r="B84" s="270"/>
      <c r="C84" s="283">
        <v>1657</v>
      </c>
      <c r="D84" s="270" t="str">
        <f t="shared" ref="D84:D85" si="68">ROUND(C84/25.4,1)&amp;" in."</f>
        <v>65.2 in.</v>
      </c>
      <c r="E84" s="296">
        <f>C84+C88</f>
        <v>1657</v>
      </c>
      <c r="F84" s="270"/>
      <c r="G84" s="296">
        <f>C84*2</f>
        <v>3314</v>
      </c>
      <c r="I84" s="295" t="s">
        <v>105</v>
      </c>
      <c r="J84" s="270"/>
      <c r="K84" s="283"/>
      <c r="L84" s="270"/>
      <c r="M84" s="296" t="str">
        <f>IF(K84="","",K84+K88)</f>
        <v/>
      </c>
      <c r="N84" s="270"/>
      <c r="O84" s="296" t="str">
        <f>IF(K84="","",K84*2+K88)</f>
        <v/>
      </c>
      <c r="Q84" s="295" t="s">
        <v>105</v>
      </c>
      <c r="R84" s="270"/>
      <c r="S84" s="283"/>
      <c r="T84" s="270"/>
      <c r="U84" s="296" t="str">
        <f>IF(S84="","",S84+S88)</f>
        <v/>
      </c>
      <c r="V84" s="270"/>
      <c r="W84" s="296" t="str">
        <f>IF(S84="","",S84*2+S88)</f>
        <v/>
      </c>
      <c r="X84" s="305"/>
      <c r="Y84" s="305"/>
      <c r="Z84" s="305"/>
      <c r="AA84" s="305"/>
      <c r="AB84" s="305"/>
      <c r="AC84" s="305"/>
      <c r="AD84" s="305"/>
      <c r="AE84" s="305"/>
      <c r="AG84" s="286">
        <f t="shared" si="66"/>
        <v>1149</v>
      </c>
      <c r="AI84" s="286">
        <f t="shared" si="67"/>
        <v>0</v>
      </c>
    </row>
    <row r="85" spans="1:35" ht="16.899999999999999" x14ac:dyDescent="0.5">
      <c r="A85" s="295" t="s">
        <v>1160</v>
      </c>
      <c r="B85" s="270"/>
      <c r="C85" s="283">
        <v>1149</v>
      </c>
      <c r="D85" s="270" t="str">
        <f t="shared" si="68"/>
        <v>45.2 in.</v>
      </c>
      <c r="E85" s="304">
        <f>C87</f>
        <v>0</v>
      </c>
      <c r="F85" s="270"/>
      <c r="G85" s="304">
        <f>C87</f>
        <v>0</v>
      </c>
      <c r="I85" s="295" t="s">
        <v>1160</v>
      </c>
      <c r="J85" s="270"/>
      <c r="K85" s="283"/>
      <c r="L85" s="270"/>
      <c r="M85" s="286" t="str">
        <f>IF(K84="","",K87)</f>
        <v/>
      </c>
      <c r="N85" s="270"/>
      <c r="O85" s="286" t="str">
        <f>IF(K84="","",K87)</f>
        <v/>
      </c>
      <c r="Q85" s="295" t="s">
        <v>1160</v>
      </c>
      <c r="R85" s="270"/>
      <c r="S85" s="283"/>
      <c r="T85" s="270"/>
      <c r="U85" s="286" t="str">
        <f>IF(S84="","",S87)</f>
        <v/>
      </c>
      <c r="V85" s="270"/>
      <c r="W85" s="286" t="str">
        <f>IF(S84="","",S87)</f>
        <v/>
      </c>
      <c r="X85" s="270"/>
      <c r="Y85" s="270"/>
      <c r="Z85" s="270"/>
      <c r="AA85" s="270"/>
      <c r="AB85" s="270"/>
      <c r="AC85" s="270"/>
      <c r="AD85" s="270"/>
      <c r="AE85" s="270"/>
      <c r="AG85" s="307"/>
      <c r="AI85" s="307"/>
    </row>
    <row r="86" spans="1:35" ht="16.899999999999999" x14ac:dyDescent="0.5">
      <c r="A86" s="297"/>
      <c r="B86" s="270"/>
      <c r="C86" s="270"/>
      <c r="D86" s="270"/>
      <c r="E86" s="296">
        <f>E84</f>
        <v>1657</v>
      </c>
      <c r="F86" s="270"/>
      <c r="G86" s="296">
        <f>IF(C89=0,G84,C89)</f>
        <v>3314</v>
      </c>
      <c r="I86" s="297"/>
      <c r="J86" s="270"/>
      <c r="K86" s="270"/>
      <c r="L86" s="270"/>
      <c r="M86" s="296" t="str">
        <f>M84</f>
        <v/>
      </c>
      <c r="N86" s="270"/>
      <c r="O86" s="296" t="str">
        <f>IF(K89=0,O84,K89)</f>
        <v/>
      </c>
      <c r="Q86" s="297"/>
      <c r="R86" s="270"/>
      <c r="S86" s="270"/>
      <c r="T86" s="270"/>
      <c r="U86" s="296" t="str">
        <f>U84</f>
        <v/>
      </c>
      <c r="V86" s="270"/>
      <c r="W86" s="296" t="str">
        <f>IF(S89=0,W84,S89)</f>
        <v/>
      </c>
      <c r="X86" s="305"/>
      <c r="Y86" s="305"/>
      <c r="Z86" s="305"/>
      <c r="AA86" s="305"/>
      <c r="AB86" s="305"/>
      <c r="AC86" s="305"/>
      <c r="AD86" s="305"/>
      <c r="AE86" s="305"/>
      <c r="AG86" s="296">
        <f t="shared" ref="AG86:AG89" si="69">G84</f>
        <v>3314</v>
      </c>
      <c r="AI86" s="296" t="str">
        <f t="shared" ref="AI86:AI89" si="70">U84</f>
        <v/>
      </c>
    </row>
    <row r="87" spans="1:35" ht="16.899999999999999" x14ac:dyDescent="0.5">
      <c r="A87" s="295" t="s">
        <v>1229</v>
      </c>
      <c r="B87" s="270"/>
      <c r="C87" s="298">
        <f>ROUNDDOWN(B87*25.4,0)</f>
        <v>0</v>
      </c>
      <c r="D87" s="270"/>
      <c r="E87" s="286">
        <f>C85</f>
        <v>1149</v>
      </c>
      <c r="F87" s="270"/>
      <c r="G87" s="286">
        <f>IF(C84=0,"",1230)</f>
        <v>1230</v>
      </c>
      <c r="I87" s="295" t="s">
        <v>1229</v>
      </c>
      <c r="J87" s="270"/>
      <c r="K87" s="298">
        <f>ROUNDDOWN(J87*25.4,0)</f>
        <v>0</v>
      </c>
      <c r="L87" s="270"/>
      <c r="M87" s="286">
        <f>K85</f>
        <v>0</v>
      </c>
      <c r="N87" s="270"/>
      <c r="O87" s="286">
        <f>K85</f>
        <v>0</v>
      </c>
      <c r="Q87" s="295" t="s">
        <v>1229</v>
      </c>
      <c r="R87" s="270"/>
      <c r="S87" s="298">
        <f>ROUNDDOWN(R87*25.4,0)</f>
        <v>0</v>
      </c>
      <c r="T87" s="270"/>
      <c r="U87" s="286">
        <f>S85</f>
        <v>0</v>
      </c>
      <c r="V87" s="270"/>
      <c r="W87" s="286">
        <f>S85</f>
        <v>0</v>
      </c>
      <c r="X87" s="270"/>
      <c r="Y87" s="270"/>
      <c r="Z87" s="270"/>
      <c r="AA87" s="270"/>
      <c r="AB87" s="270"/>
      <c r="AC87" s="270"/>
      <c r="AD87" s="270"/>
      <c r="AE87" s="270"/>
      <c r="AG87" s="304">
        <f t="shared" si="69"/>
        <v>0</v>
      </c>
      <c r="AI87" s="286" t="str">
        <f t="shared" si="70"/>
        <v/>
      </c>
    </row>
    <row r="88" spans="1:35" ht="16.899999999999999" x14ac:dyDescent="0.5">
      <c r="A88" s="295" t="s">
        <v>1285</v>
      </c>
      <c r="B88" s="270"/>
      <c r="C88" s="298">
        <v>0</v>
      </c>
      <c r="D88" s="268"/>
      <c r="F88" s="270"/>
      <c r="G88" s="31"/>
      <c r="I88" s="295" t="s">
        <v>1285</v>
      </c>
      <c r="J88" s="270"/>
      <c r="K88" s="298">
        <f>19.25*25.4</f>
        <v>488.95</v>
      </c>
      <c r="L88" s="268"/>
      <c r="N88" s="270"/>
      <c r="O88" s="31"/>
      <c r="Q88" s="295" t="s">
        <v>1285</v>
      </c>
      <c r="R88" s="270"/>
      <c r="S88" s="298" t="str">
        <f>O86</f>
        <v/>
      </c>
      <c r="T88" s="268"/>
      <c r="V88" s="270"/>
      <c r="W88" s="31"/>
      <c r="AG88" s="296">
        <f t="shared" si="69"/>
        <v>3314</v>
      </c>
      <c r="AI88" s="296" t="str">
        <f t="shared" si="70"/>
        <v/>
      </c>
    </row>
    <row r="89" spans="1:35" ht="16.899999999999999" x14ac:dyDescent="0.5">
      <c r="A89" s="295" t="s">
        <v>1233</v>
      </c>
      <c r="B89" s="270"/>
      <c r="C89" s="298"/>
      <c r="E89" s="296">
        <f>C88</f>
        <v>0</v>
      </c>
      <c r="G89" s="31"/>
      <c r="I89" s="295" t="s">
        <v>1233</v>
      </c>
      <c r="J89" s="270"/>
      <c r="K89" s="298">
        <f>ROUNDDOWN(J89*25.4,0)</f>
        <v>0</v>
      </c>
      <c r="M89" s="296" t="str">
        <f>IF(K84="","",K88)</f>
        <v/>
      </c>
      <c r="O89" s="296" t="str">
        <f>M89</f>
        <v/>
      </c>
      <c r="Q89" s="295" t="s">
        <v>1233</v>
      </c>
      <c r="R89" s="270"/>
      <c r="S89" s="298">
        <f>ROUNDDOWN(R89*25.4,0)</f>
        <v>0</v>
      </c>
      <c r="U89" s="296" t="str">
        <f>IF(S84="","",S88)</f>
        <v/>
      </c>
      <c r="W89" s="296" t="str">
        <f>U89</f>
        <v/>
      </c>
      <c r="X89" s="305"/>
      <c r="Y89" s="305"/>
      <c r="Z89" s="305"/>
      <c r="AA89" s="305"/>
      <c r="AB89" s="305"/>
      <c r="AC89" s="305"/>
      <c r="AD89" s="305"/>
      <c r="AE89" s="305"/>
      <c r="AG89" s="304">
        <f t="shared" si="69"/>
        <v>1230</v>
      </c>
      <c r="AI89" s="286">
        <f t="shared" si="70"/>
        <v>0</v>
      </c>
    </row>
    <row r="90" spans="1:35" ht="16.899999999999999" x14ac:dyDescent="0.5">
      <c r="A90" s="303"/>
      <c r="D90" s="268"/>
      <c r="E90" s="286">
        <f>C85</f>
        <v>1149</v>
      </c>
      <c r="F90" s="268"/>
      <c r="G90" s="31"/>
      <c r="I90" s="303"/>
      <c r="L90" s="268"/>
      <c r="M90" s="286">
        <f>K85</f>
        <v>0</v>
      </c>
      <c r="N90" s="268"/>
      <c r="O90" s="286">
        <f>K85</f>
        <v>0</v>
      </c>
      <c r="Q90" s="303"/>
      <c r="T90" s="268"/>
      <c r="U90" s="286">
        <f>S85</f>
        <v>0</v>
      </c>
      <c r="V90" s="268"/>
      <c r="W90" s="286">
        <f>S85</f>
        <v>0</v>
      </c>
      <c r="X90" s="270"/>
      <c r="Y90" s="270"/>
      <c r="Z90" s="270"/>
      <c r="AA90" s="270"/>
      <c r="AB90" s="270"/>
      <c r="AC90" s="270"/>
      <c r="AD90" s="270"/>
      <c r="AE90" s="270"/>
      <c r="AG90" s="309"/>
      <c r="AI90" s="307"/>
    </row>
    <row r="91" spans="1:35" ht="16.899999999999999" x14ac:dyDescent="0.5">
      <c r="A91" s="303"/>
      <c r="D91" s="268"/>
      <c r="E91" s="296">
        <f>C84*2</f>
        <v>3314</v>
      </c>
      <c r="F91" s="268"/>
      <c r="G91" s="31"/>
      <c r="I91" s="303"/>
      <c r="L91" s="268"/>
      <c r="M91" s="296" t="str">
        <f>IF(K84="","",K84*2+M89)</f>
        <v/>
      </c>
      <c r="N91" s="268"/>
      <c r="O91" s="296" t="str">
        <f>IF(K84="","",O89+K84)</f>
        <v/>
      </c>
      <c r="Q91" s="303"/>
      <c r="T91" s="268"/>
      <c r="U91" s="296" t="str">
        <f>IF(S84="","",S84*2+U89)</f>
        <v/>
      </c>
      <c r="V91" s="268"/>
      <c r="W91" s="296" t="str">
        <f>IF(S84="","",W89+S84)</f>
        <v/>
      </c>
      <c r="X91" s="305"/>
      <c r="Y91" s="305"/>
      <c r="Z91" s="305"/>
      <c r="AA91" s="305"/>
      <c r="AB91" s="305"/>
      <c r="AC91" s="305"/>
      <c r="AD91" s="305"/>
      <c r="AE91" s="305"/>
      <c r="AG91" s="296" t="str">
        <f t="shared" ref="AG91:AG94" si="71">M84</f>
        <v/>
      </c>
      <c r="AI91" s="296" t="str">
        <f t="shared" ref="AI91:AI94" si="72">U89</f>
        <v/>
      </c>
    </row>
    <row r="92" spans="1:35" ht="16.899999999999999" x14ac:dyDescent="0.5">
      <c r="A92" s="310"/>
      <c r="B92" s="302"/>
      <c r="C92" s="302"/>
      <c r="D92" s="311"/>
      <c r="E92" s="286">
        <f>E90</f>
        <v>1149</v>
      </c>
      <c r="F92" s="311"/>
      <c r="G92" s="306"/>
      <c r="I92" s="310"/>
      <c r="J92" s="302"/>
      <c r="K92" s="302"/>
      <c r="L92" s="311"/>
      <c r="M92" s="286">
        <f>M90</f>
        <v>0</v>
      </c>
      <c r="N92" s="311"/>
      <c r="O92" s="286">
        <f>O90</f>
        <v>0</v>
      </c>
      <c r="Q92" s="310"/>
      <c r="R92" s="302"/>
      <c r="S92" s="302"/>
      <c r="T92" s="311"/>
      <c r="U92" s="286">
        <f>U90</f>
        <v>0</v>
      </c>
      <c r="V92" s="311"/>
      <c r="W92" s="286">
        <f>W90</f>
        <v>0</v>
      </c>
      <c r="X92" s="270"/>
      <c r="Y92" s="270"/>
      <c r="Z92" s="270"/>
      <c r="AA92" s="270"/>
      <c r="AB92" s="270"/>
      <c r="AC92" s="270"/>
      <c r="AD92" s="270"/>
      <c r="AE92" s="270"/>
      <c r="AG92" s="286" t="str">
        <f t="shared" si="71"/>
        <v/>
      </c>
      <c r="AI92" s="286">
        <f t="shared" si="72"/>
        <v>0</v>
      </c>
    </row>
    <row r="93" spans="1:35" ht="16.899999999999999" x14ac:dyDescent="0.5">
      <c r="D93" s="268"/>
      <c r="F93" s="268"/>
      <c r="L93" s="268"/>
      <c r="N93" s="268"/>
      <c r="T93" s="268"/>
      <c r="V93" s="268"/>
      <c r="AG93" s="296" t="str">
        <f t="shared" si="71"/>
        <v/>
      </c>
      <c r="AI93" s="296" t="str">
        <f t="shared" si="72"/>
        <v/>
      </c>
    </row>
    <row r="94" spans="1:35" ht="16.899999999999999" x14ac:dyDescent="0.5">
      <c r="D94" s="268"/>
      <c r="F94" s="268"/>
      <c r="L94" s="268"/>
      <c r="N94" s="268"/>
      <c r="T94" s="268"/>
      <c r="V94" s="268"/>
      <c r="AG94" s="286">
        <f t="shared" si="71"/>
        <v>0</v>
      </c>
      <c r="AI94" s="286">
        <f t="shared" si="72"/>
        <v>0</v>
      </c>
    </row>
    <row r="95" spans="1:35" ht="16.899999999999999" x14ac:dyDescent="0.5">
      <c r="D95" s="268"/>
      <c r="F95" s="268"/>
      <c r="L95" s="268"/>
      <c r="N95" s="268"/>
      <c r="T95" s="268"/>
      <c r="V95" s="268"/>
      <c r="AG95" s="309"/>
      <c r="AI95" s="309"/>
    </row>
    <row r="96" spans="1:35" ht="16.899999999999999" x14ac:dyDescent="0.5">
      <c r="D96" s="268"/>
      <c r="F96" s="268"/>
      <c r="L96" s="268"/>
      <c r="N96" s="268"/>
      <c r="T96" s="268"/>
      <c r="V96" s="268"/>
      <c r="AG96" s="296" t="str">
        <f t="shared" ref="AG96:AG99" si="73">M89</f>
        <v/>
      </c>
      <c r="AI96" s="296" t="str">
        <f t="shared" ref="AI96:AI99" si="74">W84</f>
        <v/>
      </c>
    </row>
    <row r="97" spans="4:35" ht="16.899999999999999" x14ac:dyDescent="0.5">
      <c r="D97" s="268"/>
      <c r="F97" s="268"/>
      <c r="L97" s="268"/>
      <c r="N97" s="268"/>
      <c r="T97" s="268"/>
      <c r="V97" s="268"/>
      <c r="AG97" s="286">
        <f t="shared" si="73"/>
        <v>0</v>
      </c>
      <c r="AI97" s="286" t="str">
        <f t="shared" si="74"/>
        <v/>
      </c>
    </row>
    <row r="98" spans="4:35" ht="16.899999999999999" x14ac:dyDescent="0.5">
      <c r="D98" s="268"/>
      <c r="F98" s="268"/>
      <c r="L98" s="268"/>
      <c r="N98" s="268"/>
      <c r="T98" s="268"/>
      <c r="V98" s="268"/>
      <c r="AG98" s="296" t="str">
        <f t="shared" si="73"/>
        <v/>
      </c>
      <c r="AI98" s="296" t="str">
        <f t="shared" si="74"/>
        <v/>
      </c>
    </row>
    <row r="99" spans="4:35" ht="16.899999999999999" x14ac:dyDescent="0.5">
      <c r="D99" s="268"/>
      <c r="F99" s="268"/>
      <c r="L99" s="268"/>
      <c r="N99" s="268"/>
      <c r="T99" s="268"/>
      <c r="V99" s="268"/>
      <c r="AG99" s="286">
        <f t="shared" si="73"/>
        <v>0</v>
      </c>
      <c r="AI99" s="286">
        <f t="shared" si="74"/>
        <v>0</v>
      </c>
    </row>
    <row r="100" spans="4:35" ht="16.899999999999999" x14ac:dyDescent="0.5">
      <c r="D100" s="268"/>
      <c r="F100" s="268"/>
      <c r="L100" s="268"/>
      <c r="N100" s="268"/>
      <c r="T100" s="268"/>
      <c r="V100" s="268"/>
      <c r="AI100" s="307"/>
    </row>
    <row r="101" spans="4:35" ht="16.899999999999999" x14ac:dyDescent="0.5">
      <c r="D101" s="268"/>
      <c r="F101" s="268"/>
      <c r="L101" s="268"/>
      <c r="N101" s="268"/>
      <c r="T101" s="268"/>
      <c r="V101" s="268"/>
      <c r="AI101" s="296" t="str">
        <f t="shared" ref="AI101:AI104" si="75">W89</f>
        <v/>
      </c>
    </row>
    <row r="102" spans="4:35" ht="16.899999999999999" x14ac:dyDescent="0.5">
      <c r="D102" s="268"/>
      <c r="F102" s="268"/>
      <c r="L102" s="268"/>
      <c r="N102" s="268"/>
      <c r="T102" s="268"/>
      <c r="V102" s="268"/>
      <c r="AI102" s="286">
        <f t="shared" si="75"/>
        <v>0</v>
      </c>
    </row>
    <row r="103" spans="4:35" ht="16.899999999999999" x14ac:dyDescent="0.5">
      <c r="D103" s="268"/>
      <c r="F103" s="268"/>
      <c r="L103" s="268"/>
      <c r="N103" s="268"/>
      <c r="T103" s="268"/>
      <c r="V103" s="268"/>
      <c r="AI103" s="296" t="str">
        <f t="shared" si="75"/>
        <v/>
      </c>
    </row>
    <row r="104" spans="4:35" ht="16.899999999999999" x14ac:dyDescent="0.5">
      <c r="D104" s="268"/>
      <c r="F104" s="268"/>
      <c r="L104" s="268"/>
      <c r="N104" s="268"/>
      <c r="T104" s="268"/>
      <c r="V104" s="268"/>
      <c r="AI104" s="286">
        <f t="shared" si="75"/>
        <v>0</v>
      </c>
    </row>
    <row r="105" spans="4:35" ht="16.899999999999999" x14ac:dyDescent="0.5">
      <c r="D105" s="268"/>
      <c r="F105" s="268"/>
      <c r="L105" s="268"/>
      <c r="N105" s="268"/>
      <c r="T105" s="268"/>
      <c r="V105" s="268"/>
    </row>
    <row r="106" spans="4:35" ht="16.899999999999999" x14ac:dyDescent="0.5">
      <c r="D106" s="268"/>
      <c r="F106" s="268"/>
      <c r="L106" s="268"/>
      <c r="N106" s="268"/>
      <c r="T106" s="268"/>
      <c r="V106" s="268"/>
    </row>
    <row r="107" spans="4:35" ht="16.899999999999999" x14ac:dyDescent="0.5">
      <c r="D107" s="268"/>
      <c r="F107" s="268"/>
      <c r="L107" s="268"/>
      <c r="N107" s="268"/>
      <c r="T107" s="268"/>
      <c r="V107" s="268"/>
    </row>
    <row r="108" spans="4:35" ht="16.899999999999999" x14ac:dyDescent="0.5">
      <c r="D108" s="268"/>
      <c r="F108" s="268"/>
      <c r="L108" s="268"/>
      <c r="N108" s="268"/>
      <c r="T108" s="268"/>
      <c r="V108" s="268"/>
    </row>
    <row r="109" spans="4:35" ht="16.899999999999999" x14ac:dyDescent="0.5">
      <c r="D109" s="268"/>
      <c r="F109" s="268"/>
      <c r="L109" s="268"/>
      <c r="N109" s="268"/>
      <c r="T109" s="268"/>
      <c r="V109" s="268"/>
    </row>
    <row r="110" spans="4:35" ht="16.899999999999999" x14ac:dyDescent="0.5">
      <c r="D110" s="268"/>
      <c r="F110" s="268"/>
      <c r="L110" s="268"/>
      <c r="N110" s="268"/>
      <c r="T110" s="268"/>
      <c r="V110" s="268"/>
    </row>
    <row r="111" spans="4:35" ht="16.899999999999999" x14ac:dyDescent="0.5">
      <c r="D111" s="268"/>
      <c r="F111" s="268"/>
      <c r="L111" s="268"/>
      <c r="N111" s="268"/>
      <c r="T111" s="268"/>
      <c r="V111" s="268"/>
    </row>
    <row r="112" spans="4:35" ht="16.899999999999999" x14ac:dyDescent="0.5">
      <c r="D112" s="268"/>
      <c r="F112" s="268"/>
      <c r="L112" s="268"/>
      <c r="N112" s="268"/>
      <c r="T112" s="268"/>
      <c r="V112" s="268"/>
    </row>
    <row r="113" spans="4:22" ht="16.899999999999999" x14ac:dyDescent="0.5">
      <c r="D113" s="268"/>
      <c r="F113" s="268"/>
      <c r="L113" s="268"/>
      <c r="N113" s="268"/>
      <c r="T113" s="268"/>
      <c r="V113" s="268"/>
    </row>
    <row r="114" spans="4:22" ht="16.899999999999999" x14ac:dyDescent="0.5">
      <c r="D114" s="268"/>
      <c r="F114" s="268"/>
      <c r="L114" s="268"/>
      <c r="N114" s="268"/>
      <c r="T114" s="268"/>
      <c r="V114" s="268"/>
    </row>
    <row r="115" spans="4:22" ht="16.899999999999999" x14ac:dyDescent="0.5">
      <c r="D115" s="268"/>
      <c r="F115" s="268"/>
      <c r="L115" s="268"/>
      <c r="N115" s="268"/>
      <c r="T115" s="268"/>
      <c r="V115" s="268"/>
    </row>
    <row r="116" spans="4:22" ht="16.899999999999999" x14ac:dyDescent="0.5">
      <c r="D116" s="268"/>
      <c r="F116" s="268"/>
      <c r="L116" s="268"/>
      <c r="N116" s="268"/>
      <c r="T116" s="268"/>
      <c r="V116" s="268"/>
    </row>
    <row r="117" spans="4:22" ht="16.899999999999999" x14ac:dyDescent="0.5">
      <c r="D117" s="268"/>
      <c r="F117" s="268"/>
      <c r="L117" s="268"/>
      <c r="N117" s="268"/>
      <c r="T117" s="268"/>
      <c r="V117" s="268"/>
    </row>
    <row r="118" spans="4:22" ht="16.899999999999999" x14ac:dyDescent="0.5">
      <c r="D118" s="268"/>
      <c r="F118" s="268"/>
      <c r="L118" s="268"/>
      <c r="N118" s="268"/>
      <c r="T118" s="268"/>
      <c r="V118" s="268"/>
    </row>
    <row r="119" spans="4:22" ht="16.899999999999999" x14ac:dyDescent="0.5">
      <c r="D119" s="268"/>
      <c r="F119" s="268"/>
      <c r="L119" s="268"/>
      <c r="N119" s="268"/>
      <c r="T119" s="268"/>
      <c r="V119" s="268"/>
    </row>
    <row r="120" spans="4:22" ht="16.899999999999999" x14ac:dyDescent="0.5">
      <c r="D120" s="268"/>
      <c r="F120" s="268"/>
      <c r="L120" s="268"/>
      <c r="N120" s="268"/>
      <c r="T120" s="268"/>
      <c r="V120" s="268"/>
    </row>
    <row r="121" spans="4:22" ht="16.899999999999999" x14ac:dyDescent="0.5">
      <c r="D121" s="268"/>
      <c r="F121" s="268"/>
      <c r="L121" s="268"/>
      <c r="N121" s="268"/>
      <c r="T121" s="268"/>
      <c r="V121" s="268"/>
    </row>
    <row r="122" spans="4:22" ht="16.899999999999999" x14ac:dyDescent="0.5">
      <c r="D122" s="268"/>
      <c r="F122" s="268"/>
      <c r="L122" s="268"/>
      <c r="N122" s="268"/>
      <c r="T122" s="268"/>
      <c r="V122" s="268"/>
    </row>
    <row r="123" spans="4:22" ht="16.899999999999999" x14ac:dyDescent="0.5">
      <c r="D123" s="268"/>
      <c r="F123" s="268"/>
      <c r="L123" s="268"/>
      <c r="N123" s="268"/>
      <c r="T123" s="268"/>
      <c r="V123" s="268"/>
    </row>
    <row r="124" spans="4:22" ht="16.899999999999999" x14ac:dyDescent="0.5">
      <c r="D124" s="268"/>
      <c r="F124" s="268"/>
      <c r="L124" s="268"/>
      <c r="N124" s="268"/>
      <c r="T124" s="268"/>
      <c r="V124" s="268"/>
    </row>
    <row r="125" spans="4:22" ht="16.899999999999999" x14ac:dyDescent="0.5">
      <c r="D125" s="268"/>
      <c r="F125" s="268"/>
      <c r="L125" s="268"/>
      <c r="N125" s="268"/>
      <c r="T125" s="268"/>
      <c r="V125" s="268"/>
    </row>
    <row r="126" spans="4:22" ht="16.899999999999999" x14ac:dyDescent="0.5">
      <c r="D126" s="268"/>
      <c r="F126" s="268"/>
      <c r="L126" s="268"/>
      <c r="N126" s="268"/>
      <c r="T126" s="268"/>
      <c r="V126" s="268"/>
    </row>
    <row r="127" spans="4:22" ht="16.899999999999999" x14ac:dyDescent="0.5">
      <c r="D127" s="268"/>
      <c r="F127" s="268"/>
      <c r="L127" s="268"/>
      <c r="N127" s="268"/>
      <c r="T127" s="268"/>
      <c r="V127" s="268"/>
    </row>
    <row r="128" spans="4:22" ht="16.899999999999999" x14ac:dyDescent="0.5">
      <c r="D128" s="268"/>
      <c r="F128" s="268"/>
      <c r="L128" s="268"/>
      <c r="N128" s="268"/>
      <c r="T128" s="268"/>
      <c r="V128" s="268"/>
    </row>
    <row r="129" spans="4:22" ht="16.899999999999999" x14ac:dyDescent="0.5">
      <c r="D129" s="268"/>
      <c r="F129" s="268"/>
      <c r="L129" s="268"/>
      <c r="N129" s="268"/>
      <c r="T129" s="268"/>
      <c r="V129" s="268"/>
    </row>
    <row r="130" spans="4:22" ht="16.899999999999999" x14ac:dyDescent="0.5">
      <c r="D130" s="268"/>
      <c r="F130" s="268"/>
      <c r="L130" s="268"/>
      <c r="N130" s="268"/>
      <c r="T130" s="268"/>
      <c r="V130" s="268"/>
    </row>
    <row r="131" spans="4:22" ht="16.899999999999999" x14ac:dyDescent="0.5">
      <c r="D131" s="268"/>
      <c r="F131" s="268"/>
      <c r="L131" s="268"/>
      <c r="N131" s="268"/>
      <c r="T131" s="268"/>
      <c r="V131" s="268"/>
    </row>
    <row r="132" spans="4:22" ht="16.899999999999999" x14ac:dyDescent="0.5">
      <c r="D132" s="268"/>
      <c r="F132" s="268"/>
      <c r="L132" s="268"/>
      <c r="N132" s="268"/>
      <c r="T132" s="268"/>
      <c r="V132" s="268"/>
    </row>
    <row r="133" spans="4:22" ht="16.899999999999999" x14ac:dyDescent="0.5">
      <c r="D133" s="268"/>
      <c r="F133" s="268"/>
      <c r="L133" s="268"/>
      <c r="N133" s="268"/>
      <c r="T133" s="268"/>
      <c r="V133" s="268"/>
    </row>
    <row r="134" spans="4:22" ht="16.899999999999999" x14ac:dyDescent="0.5">
      <c r="D134" s="268"/>
      <c r="F134" s="268"/>
      <c r="L134" s="268"/>
      <c r="N134" s="268"/>
      <c r="T134" s="268"/>
      <c r="V134" s="268"/>
    </row>
    <row r="135" spans="4:22" ht="16.899999999999999" x14ac:dyDescent="0.5">
      <c r="D135" s="268"/>
      <c r="F135" s="268"/>
      <c r="L135" s="268"/>
      <c r="N135" s="268"/>
      <c r="T135" s="268"/>
      <c r="V135" s="268"/>
    </row>
    <row r="136" spans="4:22" ht="16.899999999999999" x14ac:dyDescent="0.5">
      <c r="D136" s="268"/>
      <c r="F136" s="268"/>
      <c r="L136" s="268"/>
      <c r="N136" s="268"/>
      <c r="T136" s="268"/>
      <c r="V136" s="268"/>
    </row>
    <row r="137" spans="4:22" ht="16.899999999999999" x14ac:dyDescent="0.5">
      <c r="D137" s="268"/>
      <c r="F137" s="268"/>
      <c r="L137" s="268"/>
      <c r="N137" s="268"/>
      <c r="T137" s="268"/>
      <c r="V137" s="268"/>
    </row>
    <row r="138" spans="4:22" ht="16.899999999999999" x14ac:dyDescent="0.5">
      <c r="D138" s="268"/>
      <c r="F138" s="268"/>
      <c r="L138" s="268"/>
      <c r="N138" s="268"/>
      <c r="T138" s="268"/>
      <c r="V138" s="268"/>
    </row>
    <row r="139" spans="4:22" ht="16.899999999999999" x14ac:dyDescent="0.5">
      <c r="D139" s="268"/>
      <c r="F139" s="268"/>
      <c r="L139" s="268"/>
      <c r="N139" s="268"/>
      <c r="T139" s="268"/>
      <c r="V139" s="268"/>
    </row>
    <row r="140" spans="4:22" ht="16.899999999999999" x14ac:dyDescent="0.5">
      <c r="D140" s="268"/>
      <c r="F140" s="268"/>
      <c r="L140" s="268"/>
      <c r="N140" s="268"/>
      <c r="T140" s="268"/>
      <c r="V140" s="268"/>
    </row>
    <row r="141" spans="4:22" ht="16.899999999999999" x14ac:dyDescent="0.5">
      <c r="D141" s="268"/>
      <c r="F141" s="268"/>
      <c r="L141" s="268"/>
      <c r="N141" s="268"/>
      <c r="T141" s="268"/>
      <c r="V141" s="268"/>
    </row>
    <row r="142" spans="4:22" ht="16.899999999999999" x14ac:dyDescent="0.5">
      <c r="D142" s="268"/>
      <c r="F142" s="268"/>
      <c r="L142" s="268"/>
      <c r="N142" s="268"/>
      <c r="T142" s="268"/>
      <c r="V142" s="268"/>
    </row>
    <row r="143" spans="4:22" ht="16.899999999999999" x14ac:dyDescent="0.5">
      <c r="D143" s="268"/>
      <c r="F143" s="268"/>
      <c r="L143" s="268"/>
      <c r="N143" s="268"/>
      <c r="T143" s="268"/>
      <c r="V143" s="268"/>
    </row>
    <row r="144" spans="4:22" ht="16.899999999999999" x14ac:dyDescent="0.5">
      <c r="D144" s="268"/>
      <c r="F144" s="268"/>
      <c r="L144" s="268"/>
      <c r="N144" s="268"/>
      <c r="T144" s="268"/>
      <c r="V144" s="268"/>
    </row>
    <row r="145" spans="4:22" ht="16.899999999999999" x14ac:dyDescent="0.5">
      <c r="D145" s="268"/>
      <c r="F145" s="268"/>
      <c r="L145" s="268"/>
      <c r="N145" s="268"/>
      <c r="T145" s="268"/>
      <c r="V145" s="268"/>
    </row>
    <row r="146" spans="4:22" ht="16.899999999999999" x14ac:dyDescent="0.5">
      <c r="D146" s="268"/>
      <c r="F146" s="268"/>
      <c r="L146" s="268"/>
      <c r="N146" s="268"/>
      <c r="T146" s="268"/>
      <c r="V146" s="268"/>
    </row>
    <row r="147" spans="4:22" ht="16.899999999999999" x14ac:dyDescent="0.5">
      <c r="D147" s="268"/>
      <c r="F147" s="268"/>
      <c r="L147" s="268"/>
      <c r="N147" s="268"/>
      <c r="T147" s="268"/>
      <c r="V147" s="268"/>
    </row>
    <row r="148" spans="4:22" ht="16.899999999999999" x14ac:dyDescent="0.5">
      <c r="D148" s="268"/>
      <c r="F148" s="268"/>
      <c r="L148" s="268"/>
      <c r="N148" s="268"/>
      <c r="T148" s="268"/>
      <c r="V148" s="268"/>
    </row>
    <row r="149" spans="4:22" ht="16.899999999999999" x14ac:dyDescent="0.5">
      <c r="D149" s="268"/>
      <c r="F149" s="268"/>
      <c r="L149" s="268"/>
      <c r="N149" s="268"/>
      <c r="T149" s="268"/>
      <c r="V149" s="268"/>
    </row>
    <row r="150" spans="4:22" ht="16.899999999999999" x14ac:dyDescent="0.5">
      <c r="D150" s="268"/>
      <c r="F150" s="268"/>
      <c r="L150" s="268"/>
      <c r="N150" s="268"/>
      <c r="T150" s="268"/>
      <c r="V150" s="268"/>
    </row>
    <row r="151" spans="4:22" ht="16.899999999999999" x14ac:dyDescent="0.5">
      <c r="D151" s="268"/>
      <c r="F151" s="268"/>
      <c r="L151" s="268"/>
      <c r="N151" s="268"/>
      <c r="T151" s="268"/>
      <c r="V151" s="268"/>
    </row>
    <row r="152" spans="4:22" ht="16.899999999999999" x14ac:dyDescent="0.5">
      <c r="D152" s="268"/>
      <c r="F152" s="268"/>
      <c r="L152" s="268"/>
      <c r="N152" s="268"/>
      <c r="T152" s="268"/>
      <c r="V152" s="268"/>
    </row>
    <row r="153" spans="4:22" ht="16.899999999999999" x14ac:dyDescent="0.5">
      <c r="D153" s="268"/>
      <c r="F153" s="268"/>
      <c r="L153" s="268"/>
      <c r="N153" s="268"/>
      <c r="T153" s="268"/>
      <c r="V153" s="268"/>
    </row>
    <row r="154" spans="4:22" ht="16.899999999999999" x14ac:dyDescent="0.5">
      <c r="D154" s="268"/>
      <c r="F154" s="268"/>
      <c r="L154" s="268"/>
      <c r="N154" s="268"/>
      <c r="T154" s="268"/>
      <c r="V154" s="268"/>
    </row>
    <row r="155" spans="4:22" ht="16.899999999999999" x14ac:dyDescent="0.5">
      <c r="D155" s="268"/>
      <c r="F155" s="268"/>
      <c r="L155" s="268"/>
      <c r="N155" s="268"/>
      <c r="T155" s="268"/>
      <c r="V155" s="268"/>
    </row>
    <row r="156" spans="4:22" ht="16.899999999999999" x14ac:dyDescent="0.5">
      <c r="D156" s="268"/>
      <c r="F156" s="268"/>
      <c r="L156" s="268"/>
      <c r="N156" s="268"/>
      <c r="T156" s="268"/>
      <c r="V156" s="268"/>
    </row>
    <row r="157" spans="4:22" ht="16.899999999999999" x14ac:dyDescent="0.5">
      <c r="D157" s="268"/>
      <c r="F157" s="268"/>
      <c r="L157" s="268"/>
      <c r="N157" s="268"/>
      <c r="T157" s="268"/>
      <c r="V157" s="268"/>
    </row>
    <row r="158" spans="4:22" ht="16.899999999999999" x14ac:dyDescent="0.5">
      <c r="D158" s="268"/>
      <c r="F158" s="268"/>
      <c r="L158" s="268"/>
      <c r="N158" s="268"/>
      <c r="T158" s="268"/>
      <c r="V158" s="268"/>
    </row>
    <row r="159" spans="4:22" ht="16.899999999999999" x14ac:dyDescent="0.5">
      <c r="D159" s="268"/>
      <c r="F159" s="268"/>
      <c r="L159" s="268"/>
      <c r="N159" s="268"/>
      <c r="T159" s="268"/>
      <c r="V159" s="268"/>
    </row>
    <row r="160" spans="4:22" ht="16.899999999999999" x14ac:dyDescent="0.5">
      <c r="D160" s="268"/>
      <c r="F160" s="268"/>
      <c r="L160" s="268"/>
      <c r="N160" s="268"/>
      <c r="T160" s="268"/>
      <c r="V160" s="268"/>
    </row>
    <row r="161" spans="4:22" ht="16.899999999999999" x14ac:dyDescent="0.5">
      <c r="D161" s="268"/>
      <c r="F161" s="268"/>
      <c r="L161" s="268"/>
      <c r="N161" s="268"/>
      <c r="T161" s="268"/>
      <c r="V161" s="268"/>
    </row>
    <row r="162" spans="4:22" ht="16.899999999999999" x14ac:dyDescent="0.5">
      <c r="D162" s="268"/>
      <c r="F162" s="268"/>
      <c r="L162" s="268"/>
      <c r="N162" s="268"/>
      <c r="T162" s="268"/>
      <c r="V162" s="268"/>
    </row>
    <row r="163" spans="4:22" ht="16.899999999999999" x14ac:dyDescent="0.5">
      <c r="D163" s="268"/>
      <c r="F163" s="268"/>
      <c r="L163" s="268"/>
      <c r="N163" s="268"/>
      <c r="T163" s="268"/>
      <c r="V163" s="268"/>
    </row>
    <row r="164" spans="4:22" ht="16.899999999999999" x14ac:dyDescent="0.5">
      <c r="D164" s="268"/>
      <c r="F164" s="268"/>
      <c r="L164" s="268"/>
      <c r="N164" s="268"/>
      <c r="T164" s="268"/>
      <c r="V164" s="268"/>
    </row>
    <row r="165" spans="4:22" ht="16.899999999999999" x14ac:dyDescent="0.5">
      <c r="D165" s="268"/>
      <c r="F165" s="268"/>
      <c r="L165" s="268"/>
      <c r="N165" s="268"/>
      <c r="T165" s="268"/>
      <c r="V165" s="268"/>
    </row>
    <row r="166" spans="4:22" ht="16.899999999999999" x14ac:dyDescent="0.5">
      <c r="D166" s="268"/>
      <c r="F166" s="268"/>
      <c r="L166" s="268"/>
      <c r="N166" s="268"/>
      <c r="T166" s="268"/>
      <c r="V166" s="268"/>
    </row>
    <row r="167" spans="4:22" ht="16.899999999999999" x14ac:dyDescent="0.5">
      <c r="D167" s="268"/>
      <c r="F167" s="268"/>
      <c r="L167" s="268"/>
      <c r="N167" s="268"/>
      <c r="T167" s="268"/>
      <c r="V167" s="268"/>
    </row>
    <row r="168" spans="4:22" ht="16.899999999999999" x14ac:dyDescent="0.5">
      <c r="D168" s="268"/>
      <c r="F168" s="268"/>
      <c r="L168" s="268"/>
      <c r="N168" s="268"/>
      <c r="T168" s="268"/>
      <c r="V168" s="268"/>
    </row>
    <row r="169" spans="4:22" ht="16.899999999999999" x14ac:dyDescent="0.5">
      <c r="D169" s="268"/>
      <c r="F169" s="268"/>
      <c r="L169" s="268"/>
      <c r="N169" s="268"/>
      <c r="T169" s="268"/>
      <c r="V169" s="268"/>
    </row>
    <row r="170" spans="4:22" ht="16.899999999999999" x14ac:dyDescent="0.5">
      <c r="D170" s="268"/>
      <c r="F170" s="268"/>
      <c r="L170" s="268"/>
      <c r="N170" s="268"/>
      <c r="T170" s="268"/>
      <c r="V170" s="268"/>
    </row>
    <row r="171" spans="4:22" ht="16.899999999999999" x14ac:dyDescent="0.5">
      <c r="D171" s="268"/>
      <c r="F171" s="268"/>
      <c r="L171" s="268"/>
      <c r="N171" s="268"/>
      <c r="T171" s="268"/>
      <c r="V171" s="268"/>
    </row>
    <row r="172" spans="4:22" ht="16.899999999999999" x14ac:dyDescent="0.5">
      <c r="D172" s="268"/>
      <c r="F172" s="268"/>
      <c r="L172" s="268"/>
      <c r="N172" s="268"/>
      <c r="T172" s="268"/>
      <c r="V172" s="268"/>
    </row>
    <row r="173" spans="4:22" ht="16.899999999999999" x14ac:dyDescent="0.5">
      <c r="D173" s="268"/>
      <c r="F173" s="268"/>
      <c r="L173" s="268"/>
      <c r="N173" s="268"/>
      <c r="T173" s="268"/>
      <c r="V173" s="268"/>
    </row>
    <row r="174" spans="4:22" ht="16.899999999999999" x14ac:dyDescent="0.5">
      <c r="D174" s="268"/>
      <c r="F174" s="268"/>
      <c r="L174" s="268"/>
      <c r="N174" s="268"/>
      <c r="T174" s="268"/>
      <c r="V174" s="268"/>
    </row>
    <row r="175" spans="4:22" ht="16.899999999999999" x14ac:dyDescent="0.5">
      <c r="D175" s="268"/>
      <c r="F175" s="268"/>
      <c r="L175" s="268"/>
      <c r="N175" s="268"/>
      <c r="T175" s="268"/>
      <c r="V175" s="268"/>
    </row>
    <row r="176" spans="4:22" ht="16.899999999999999" x14ac:dyDescent="0.5">
      <c r="D176" s="268"/>
      <c r="F176" s="268"/>
      <c r="L176" s="268"/>
      <c r="N176" s="268"/>
      <c r="T176" s="268"/>
      <c r="V176" s="268"/>
    </row>
    <row r="177" spans="4:22" ht="16.899999999999999" x14ac:dyDescent="0.5">
      <c r="D177" s="268"/>
      <c r="F177" s="268"/>
      <c r="L177" s="268"/>
      <c r="N177" s="268"/>
      <c r="T177" s="268"/>
      <c r="V177" s="268"/>
    </row>
    <row r="178" spans="4:22" ht="16.899999999999999" x14ac:dyDescent="0.5">
      <c r="D178" s="268"/>
      <c r="F178" s="268"/>
      <c r="L178" s="268"/>
      <c r="N178" s="268"/>
      <c r="T178" s="268"/>
      <c r="V178" s="268"/>
    </row>
    <row r="179" spans="4:22" ht="16.899999999999999" x14ac:dyDescent="0.5">
      <c r="D179" s="268"/>
      <c r="F179" s="268"/>
      <c r="L179" s="268"/>
      <c r="N179" s="268"/>
      <c r="T179" s="268"/>
      <c r="V179" s="268"/>
    </row>
    <row r="180" spans="4:22" ht="16.899999999999999" x14ac:dyDescent="0.5">
      <c r="D180" s="268"/>
      <c r="F180" s="268"/>
      <c r="L180" s="268"/>
      <c r="N180" s="268"/>
      <c r="T180" s="268"/>
      <c r="V180" s="268"/>
    </row>
    <row r="181" spans="4:22" ht="16.899999999999999" x14ac:dyDescent="0.5">
      <c r="D181" s="268"/>
      <c r="F181" s="268"/>
      <c r="L181" s="268"/>
      <c r="N181" s="268"/>
      <c r="T181" s="268"/>
      <c r="V181" s="268"/>
    </row>
    <row r="182" spans="4:22" ht="16.899999999999999" x14ac:dyDescent="0.5">
      <c r="D182" s="268"/>
      <c r="F182" s="268"/>
      <c r="L182" s="268"/>
      <c r="N182" s="268"/>
      <c r="T182" s="268"/>
      <c r="V182" s="268"/>
    </row>
    <row r="183" spans="4:22" ht="16.899999999999999" x14ac:dyDescent="0.5">
      <c r="D183" s="268"/>
      <c r="F183" s="268"/>
      <c r="L183" s="268"/>
      <c r="N183" s="268"/>
      <c r="T183" s="268"/>
      <c r="V183" s="268"/>
    </row>
    <row r="184" spans="4:22" ht="16.899999999999999" x14ac:dyDescent="0.5">
      <c r="D184" s="268"/>
      <c r="F184" s="268"/>
      <c r="L184" s="268"/>
      <c r="N184" s="268"/>
      <c r="T184" s="268"/>
      <c r="V184" s="268"/>
    </row>
    <row r="185" spans="4:22" ht="16.899999999999999" x14ac:dyDescent="0.5">
      <c r="D185" s="268"/>
      <c r="F185" s="268"/>
      <c r="L185" s="268"/>
      <c r="N185" s="268"/>
      <c r="T185" s="268"/>
      <c r="V185" s="268"/>
    </row>
    <row r="186" spans="4:22" ht="16.899999999999999" x14ac:dyDescent="0.5">
      <c r="D186" s="268"/>
      <c r="F186" s="268"/>
      <c r="L186" s="268"/>
      <c r="N186" s="268"/>
      <c r="T186" s="268"/>
      <c r="V186" s="268"/>
    </row>
    <row r="187" spans="4:22" ht="16.899999999999999" x14ac:dyDescent="0.5">
      <c r="D187" s="268"/>
      <c r="F187" s="268"/>
      <c r="L187" s="268"/>
      <c r="N187" s="268"/>
      <c r="T187" s="268"/>
      <c r="V187" s="268"/>
    </row>
    <row r="188" spans="4:22" ht="16.899999999999999" x14ac:dyDescent="0.5">
      <c r="D188" s="268"/>
      <c r="F188" s="268"/>
      <c r="L188" s="268"/>
      <c r="N188" s="268"/>
      <c r="T188" s="268"/>
      <c r="V188" s="268"/>
    </row>
    <row r="189" spans="4:22" ht="16.899999999999999" x14ac:dyDescent="0.5">
      <c r="D189" s="268"/>
      <c r="F189" s="268"/>
      <c r="L189" s="268"/>
      <c r="N189" s="268"/>
      <c r="T189" s="268"/>
      <c r="V189" s="268"/>
    </row>
    <row r="190" spans="4:22" ht="16.899999999999999" x14ac:dyDescent="0.5">
      <c r="D190" s="268"/>
      <c r="F190" s="268"/>
      <c r="L190" s="268"/>
      <c r="N190" s="268"/>
      <c r="T190" s="268"/>
      <c r="V190" s="268"/>
    </row>
    <row r="191" spans="4:22" ht="16.899999999999999" x14ac:dyDescent="0.5">
      <c r="D191" s="268"/>
      <c r="F191" s="268"/>
      <c r="L191" s="268"/>
      <c r="N191" s="268"/>
      <c r="T191" s="268"/>
      <c r="V191" s="268"/>
    </row>
    <row r="192" spans="4:22" ht="16.899999999999999" x14ac:dyDescent="0.5">
      <c r="D192" s="268"/>
      <c r="F192" s="268"/>
      <c r="L192" s="268"/>
      <c r="N192" s="268"/>
      <c r="T192" s="268"/>
      <c r="V192" s="268"/>
    </row>
    <row r="193" spans="4:22" ht="16.899999999999999" x14ac:dyDescent="0.5">
      <c r="D193" s="268"/>
      <c r="F193" s="268"/>
      <c r="L193" s="268"/>
      <c r="N193" s="268"/>
      <c r="T193" s="268"/>
      <c r="V193" s="268"/>
    </row>
    <row r="194" spans="4:22" ht="16.899999999999999" x14ac:dyDescent="0.5">
      <c r="D194" s="268"/>
      <c r="F194" s="268"/>
      <c r="L194" s="268"/>
      <c r="N194" s="268"/>
      <c r="T194" s="268"/>
      <c r="V194" s="268"/>
    </row>
    <row r="195" spans="4:22" ht="16.899999999999999" x14ac:dyDescent="0.5">
      <c r="D195" s="268"/>
      <c r="F195" s="268"/>
      <c r="L195" s="268"/>
      <c r="N195" s="268"/>
      <c r="T195" s="268"/>
      <c r="V195" s="268"/>
    </row>
    <row r="196" spans="4:22" ht="16.899999999999999" x14ac:dyDescent="0.5">
      <c r="D196" s="268"/>
      <c r="F196" s="268"/>
      <c r="L196" s="268"/>
      <c r="N196" s="268"/>
      <c r="T196" s="268"/>
      <c r="V196" s="268"/>
    </row>
    <row r="197" spans="4:22" ht="16.899999999999999" x14ac:dyDescent="0.5">
      <c r="D197" s="268"/>
      <c r="F197" s="268"/>
      <c r="L197" s="268"/>
      <c r="N197" s="268"/>
      <c r="T197" s="268"/>
      <c r="V197" s="268"/>
    </row>
    <row r="198" spans="4:22" ht="16.899999999999999" x14ac:dyDescent="0.5">
      <c r="D198" s="268"/>
      <c r="F198" s="268"/>
      <c r="L198" s="268"/>
      <c r="N198" s="268"/>
      <c r="T198" s="268"/>
      <c r="V198" s="268"/>
    </row>
    <row r="199" spans="4:22" ht="16.899999999999999" x14ac:dyDescent="0.5">
      <c r="D199" s="268"/>
      <c r="F199" s="268"/>
      <c r="L199" s="268"/>
      <c r="N199" s="268"/>
      <c r="T199" s="268"/>
      <c r="V199" s="268"/>
    </row>
    <row r="200" spans="4:22" ht="16.899999999999999" x14ac:dyDescent="0.5">
      <c r="D200" s="268"/>
      <c r="F200" s="268"/>
      <c r="L200" s="268"/>
      <c r="N200" s="268"/>
      <c r="T200" s="268"/>
      <c r="V200" s="268"/>
    </row>
    <row r="201" spans="4:22" ht="16.899999999999999" x14ac:dyDescent="0.5">
      <c r="D201" s="268"/>
      <c r="F201" s="268"/>
      <c r="L201" s="268"/>
      <c r="N201" s="268"/>
      <c r="T201" s="268"/>
      <c r="V201" s="268"/>
    </row>
    <row r="202" spans="4:22" ht="16.899999999999999" x14ac:dyDescent="0.5">
      <c r="D202" s="268"/>
      <c r="F202" s="268"/>
      <c r="L202" s="268"/>
      <c r="N202" s="268"/>
      <c r="T202" s="268"/>
      <c r="V202" s="268"/>
    </row>
    <row r="203" spans="4:22" ht="16.899999999999999" x14ac:dyDescent="0.5">
      <c r="D203" s="268"/>
      <c r="F203" s="268"/>
      <c r="L203" s="268"/>
      <c r="N203" s="268"/>
      <c r="T203" s="268"/>
      <c r="V203" s="268"/>
    </row>
    <row r="204" spans="4:22" ht="16.899999999999999" x14ac:dyDescent="0.5">
      <c r="D204" s="268"/>
      <c r="F204" s="268"/>
      <c r="L204" s="268"/>
      <c r="N204" s="268"/>
      <c r="T204" s="268"/>
      <c r="V204" s="268"/>
    </row>
    <row r="205" spans="4:22" ht="16.899999999999999" x14ac:dyDescent="0.5">
      <c r="D205" s="268"/>
      <c r="F205" s="268"/>
      <c r="L205" s="268"/>
      <c r="N205" s="268"/>
      <c r="T205" s="268"/>
      <c r="V205" s="268"/>
    </row>
    <row r="206" spans="4:22" ht="16.899999999999999" x14ac:dyDescent="0.5">
      <c r="D206" s="268"/>
      <c r="F206" s="268"/>
      <c r="L206" s="268"/>
      <c r="N206" s="268"/>
      <c r="T206" s="268"/>
      <c r="V206" s="268"/>
    </row>
    <row r="207" spans="4:22" ht="16.899999999999999" x14ac:dyDescent="0.5">
      <c r="D207" s="268"/>
      <c r="F207" s="268"/>
      <c r="L207" s="268"/>
      <c r="N207" s="268"/>
      <c r="T207" s="268"/>
      <c r="V207" s="268"/>
    </row>
    <row r="208" spans="4:22" ht="16.899999999999999" x14ac:dyDescent="0.5">
      <c r="D208" s="268"/>
      <c r="F208" s="268"/>
      <c r="L208" s="268"/>
      <c r="N208" s="268"/>
      <c r="T208" s="268"/>
      <c r="V208" s="268"/>
    </row>
    <row r="209" spans="4:22" ht="16.899999999999999" x14ac:dyDescent="0.5">
      <c r="D209" s="268"/>
      <c r="F209" s="268"/>
      <c r="L209" s="268"/>
      <c r="N209" s="268"/>
      <c r="T209" s="268"/>
      <c r="V209" s="268"/>
    </row>
    <row r="210" spans="4:22" ht="16.899999999999999" x14ac:dyDescent="0.5">
      <c r="D210" s="268"/>
      <c r="F210" s="268"/>
      <c r="L210" s="268"/>
      <c r="N210" s="268"/>
      <c r="T210" s="268"/>
      <c r="V210" s="268"/>
    </row>
    <row r="211" spans="4:22" ht="16.899999999999999" x14ac:dyDescent="0.5">
      <c r="D211" s="268"/>
      <c r="F211" s="268"/>
      <c r="L211" s="268"/>
      <c r="N211" s="268"/>
      <c r="T211" s="268"/>
      <c r="V211" s="268"/>
    </row>
    <row r="212" spans="4:22" ht="16.899999999999999" x14ac:dyDescent="0.5">
      <c r="D212" s="268"/>
      <c r="F212" s="268"/>
      <c r="L212" s="268"/>
      <c r="N212" s="268"/>
      <c r="T212" s="268"/>
      <c r="V212" s="268"/>
    </row>
    <row r="213" spans="4:22" ht="16.899999999999999" x14ac:dyDescent="0.5">
      <c r="D213" s="268"/>
      <c r="F213" s="268"/>
      <c r="L213" s="268"/>
      <c r="N213" s="268"/>
      <c r="T213" s="268"/>
      <c r="V213" s="268"/>
    </row>
    <row r="214" spans="4:22" ht="16.899999999999999" x14ac:dyDescent="0.5">
      <c r="D214" s="268"/>
      <c r="F214" s="268"/>
      <c r="L214" s="268"/>
      <c r="N214" s="268"/>
      <c r="T214" s="268"/>
      <c r="V214" s="268"/>
    </row>
    <row r="215" spans="4:22" ht="16.899999999999999" x14ac:dyDescent="0.5">
      <c r="D215" s="268"/>
      <c r="F215" s="268"/>
      <c r="L215" s="268"/>
      <c r="N215" s="268"/>
      <c r="T215" s="268"/>
      <c r="V215" s="268"/>
    </row>
    <row r="216" spans="4:22" ht="16.899999999999999" x14ac:dyDescent="0.5">
      <c r="D216" s="268"/>
      <c r="F216" s="268"/>
      <c r="L216" s="268"/>
      <c r="N216" s="268"/>
      <c r="T216" s="268"/>
      <c r="V216" s="268"/>
    </row>
    <row r="217" spans="4:22" ht="16.899999999999999" x14ac:dyDescent="0.5">
      <c r="D217" s="268"/>
      <c r="F217" s="268"/>
      <c r="L217" s="268"/>
      <c r="N217" s="268"/>
      <c r="T217" s="268"/>
      <c r="V217" s="268"/>
    </row>
    <row r="218" spans="4:22" ht="16.899999999999999" x14ac:dyDescent="0.5">
      <c r="D218" s="268"/>
      <c r="F218" s="268"/>
      <c r="L218" s="268"/>
      <c r="N218" s="268"/>
      <c r="T218" s="268"/>
      <c r="V218" s="268"/>
    </row>
    <row r="219" spans="4:22" ht="16.899999999999999" x14ac:dyDescent="0.5">
      <c r="D219" s="268"/>
      <c r="F219" s="268"/>
      <c r="L219" s="268"/>
      <c r="N219" s="268"/>
      <c r="T219" s="268"/>
      <c r="V219" s="268"/>
    </row>
    <row r="220" spans="4:22" ht="16.899999999999999" x14ac:dyDescent="0.5">
      <c r="D220" s="268"/>
      <c r="F220" s="268"/>
      <c r="L220" s="268"/>
      <c r="N220" s="268"/>
      <c r="T220" s="268"/>
      <c r="V220" s="268"/>
    </row>
    <row r="221" spans="4:22" ht="16.899999999999999" x14ac:dyDescent="0.5">
      <c r="D221" s="268"/>
      <c r="F221" s="268"/>
      <c r="L221" s="268"/>
      <c r="N221" s="268"/>
      <c r="T221" s="268"/>
      <c r="V221" s="268"/>
    </row>
    <row r="222" spans="4:22" ht="16.899999999999999" x14ac:dyDescent="0.5">
      <c r="D222" s="268"/>
      <c r="F222" s="268"/>
      <c r="L222" s="268"/>
      <c r="N222" s="268"/>
      <c r="T222" s="268"/>
      <c r="V222" s="268"/>
    </row>
    <row r="223" spans="4:22" ht="16.899999999999999" x14ac:dyDescent="0.5">
      <c r="D223" s="268"/>
      <c r="F223" s="268"/>
      <c r="L223" s="268"/>
      <c r="N223" s="268"/>
      <c r="T223" s="268"/>
      <c r="V223" s="268"/>
    </row>
    <row r="224" spans="4:22" ht="16.899999999999999" x14ac:dyDescent="0.5">
      <c r="D224" s="268"/>
      <c r="F224" s="268"/>
      <c r="L224" s="268"/>
      <c r="N224" s="268"/>
      <c r="T224" s="268"/>
      <c r="V224" s="268"/>
    </row>
    <row r="225" spans="4:22" ht="16.899999999999999" x14ac:dyDescent="0.5">
      <c r="D225" s="268"/>
      <c r="F225" s="268"/>
      <c r="L225" s="268"/>
      <c r="N225" s="268"/>
      <c r="T225" s="268"/>
      <c r="V225" s="268"/>
    </row>
    <row r="226" spans="4:22" ht="16.899999999999999" x14ac:dyDescent="0.5">
      <c r="D226" s="268"/>
      <c r="F226" s="268"/>
      <c r="L226" s="268"/>
      <c r="N226" s="268"/>
      <c r="T226" s="268"/>
      <c r="V226" s="268"/>
    </row>
    <row r="227" spans="4:22" ht="16.899999999999999" x14ac:dyDescent="0.5">
      <c r="D227" s="268"/>
      <c r="F227" s="268"/>
      <c r="L227" s="268"/>
      <c r="N227" s="268"/>
      <c r="T227" s="268"/>
      <c r="V227" s="268"/>
    </row>
    <row r="228" spans="4:22" ht="16.899999999999999" x14ac:dyDescent="0.5">
      <c r="D228" s="268"/>
      <c r="F228" s="268"/>
      <c r="L228" s="268"/>
      <c r="N228" s="268"/>
      <c r="T228" s="268"/>
      <c r="V228" s="268"/>
    </row>
    <row r="229" spans="4:22" ht="16.899999999999999" x14ac:dyDescent="0.5">
      <c r="D229" s="268"/>
      <c r="F229" s="268"/>
      <c r="L229" s="268"/>
      <c r="N229" s="268"/>
      <c r="T229" s="268"/>
      <c r="V229" s="268"/>
    </row>
    <row r="230" spans="4:22" ht="16.899999999999999" x14ac:dyDescent="0.5">
      <c r="D230" s="268"/>
      <c r="F230" s="268"/>
      <c r="L230" s="268"/>
      <c r="N230" s="268"/>
      <c r="T230" s="268"/>
      <c r="V230" s="268"/>
    </row>
    <row r="231" spans="4:22" ht="16.899999999999999" x14ac:dyDescent="0.5">
      <c r="D231" s="268"/>
      <c r="F231" s="268"/>
      <c r="L231" s="268"/>
      <c r="N231" s="268"/>
      <c r="T231" s="268"/>
      <c r="V231" s="268"/>
    </row>
    <row r="232" spans="4:22" ht="16.899999999999999" x14ac:dyDescent="0.5">
      <c r="D232" s="268"/>
      <c r="F232" s="268"/>
      <c r="L232" s="268"/>
      <c r="N232" s="268"/>
      <c r="T232" s="268"/>
      <c r="V232" s="268"/>
    </row>
    <row r="233" spans="4:22" ht="16.899999999999999" x14ac:dyDescent="0.5">
      <c r="D233" s="268"/>
      <c r="F233" s="268"/>
      <c r="L233" s="268"/>
      <c r="N233" s="268"/>
      <c r="T233" s="268"/>
      <c r="V233" s="268"/>
    </row>
    <row r="234" spans="4:22" ht="16.899999999999999" x14ac:dyDescent="0.5">
      <c r="D234" s="268"/>
      <c r="F234" s="268"/>
      <c r="L234" s="268"/>
      <c r="N234" s="268"/>
      <c r="T234" s="268"/>
      <c r="V234" s="268"/>
    </row>
    <row r="235" spans="4:22" ht="16.899999999999999" x14ac:dyDescent="0.5">
      <c r="D235" s="268"/>
      <c r="F235" s="268"/>
      <c r="L235" s="268"/>
      <c r="N235" s="268"/>
      <c r="T235" s="268"/>
      <c r="V235" s="268"/>
    </row>
    <row r="236" spans="4:22" ht="16.899999999999999" x14ac:dyDescent="0.5">
      <c r="D236" s="268"/>
      <c r="F236" s="268"/>
      <c r="L236" s="268"/>
      <c r="N236" s="268"/>
      <c r="T236" s="268"/>
      <c r="V236" s="268"/>
    </row>
    <row r="237" spans="4:22" ht="16.899999999999999" x14ac:dyDescent="0.5">
      <c r="D237" s="268"/>
      <c r="F237" s="268"/>
      <c r="L237" s="268"/>
      <c r="N237" s="268"/>
      <c r="T237" s="268"/>
      <c r="V237" s="268"/>
    </row>
    <row r="238" spans="4:22" ht="16.899999999999999" x14ac:dyDescent="0.5">
      <c r="D238" s="268"/>
      <c r="F238" s="268"/>
      <c r="L238" s="268"/>
      <c r="N238" s="268"/>
      <c r="T238" s="268"/>
      <c r="V238" s="268"/>
    </row>
    <row r="239" spans="4:22" ht="16.899999999999999" x14ac:dyDescent="0.5">
      <c r="D239" s="268"/>
      <c r="F239" s="268"/>
      <c r="L239" s="268"/>
      <c r="N239" s="268"/>
      <c r="T239" s="268"/>
      <c r="V239" s="268"/>
    </row>
    <row r="240" spans="4:22" ht="16.899999999999999" x14ac:dyDescent="0.5">
      <c r="D240" s="268"/>
      <c r="F240" s="268"/>
      <c r="L240" s="268"/>
      <c r="N240" s="268"/>
      <c r="T240" s="268"/>
      <c r="V240" s="268"/>
    </row>
    <row r="241" spans="4:22" ht="16.899999999999999" x14ac:dyDescent="0.5">
      <c r="D241" s="268"/>
      <c r="F241" s="268"/>
      <c r="L241" s="268"/>
      <c r="N241" s="268"/>
      <c r="T241" s="268"/>
      <c r="V241" s="268"/>
    </row>
    <row r="242" spans="4:22" ht="16.899999999999999" x14ac:dyDescent="0.5">
      <c r="D242" s="268"/>
      <c r="F242" s="268"/>
      <c r="L242" s="268"/>
      <c r="N242" s="268"/>
      <c r="T242" s="268"/>
      <c r="V242" s="268"/>
    </row>
    <row r="243" spans="4:22" ht="16.899999999999999" x14ac:dyDescent="0.5">
      <c r="D243" s="268"/>
      <c r="F243" s="268"/>
      <c r="L243" s="268"/>
      <c r="N243" s="268"/>
      <c r="T243" s="268"/>
      <c r="V243" s="268"/>
    </row>
    <row r="244" spans="4:22" ht="16.899999999999999" x14ac:dyDescent="0.5">
      <c r="D244" s="268"/>
      <c r="F244" s="268"/>
      <c r="L244" s="268"/>
      <c r="N244" s="268"/>
      <c r="T244" s="268"/>
      <c r="V244" s="268"/>
    </row>
    <row r="245" spans="4:22" ht="16.899999999999999" x14ac:dyDescent="0.5">
      <c r="D245" s="268"/>
      <c r="F245" s="268"/>
      <c r="L245" s="268"/>
      <c r="N245" s="268"/>
      <c r="T245" s="268"/>
      <c r="V245" s="268"/>
    </row>
    <row r="246" spans="4:22" ht="16.899999999999999" x14ac:dyDescent="0.5">
      <c r="D246" s="268"/>
      <c r="F246" s="268"/>
      <c r="L246" s="268"/>
      <c r="N246" s="268"/>
      <c r="T246" s="268"/>
      <c r="V246" s="268"/>
    </row>
    <row r="247" spans="4:22" ht="16.899999999999999" x14ac:dyDescent="0.5">
      <c r="D247" s="268"/>
      <c r="F247" s="268"/>
      <c r="L247" s="268"/>
      <c r="N247" s="268"/>
      <c r="T247" s="268"/>
      <c r="V247" s="268"/>
    </row>
    <row r="248" spans="4:22" ht="16.899999999999999" x14ac:dyDescent="0.5">
      <c r="D248" s="268"/>
      <c r="F248" s="268"/>
      <c r="L248" s="268"/>
      <c r="N248" s="268"/>
      <c r="T248" s="268"/>
      <c r="V248" s="268"/>
    </row>
    <row r="249" spans="4:22" ht="16.899999999999999" x14ac:dyDescent="0.5">
      <c r="D249" s="268"/>
      <c r="F249" s="268"/>
      <c r="L249" s="268"/>
      <c r="N249" s="268"/>
      <c r="T249" s="268"/>
      <c r="V249" s="268"/>
    </row>
    <row r="250" spans="4:22" ht="16.899999999999999" x14ac:dyDescent="0.5">
      <c r="D250" s="268"/>
      <c r="F250" s="268"/>
      <c r="L250" s="268"/>
      <c r="N250" s="268"/>
      <c r="T250" s="268"/>
      <c r="V250" s="268"/>
    </row>
    <row r="251" spans="4:22" ht="16.899999999999999" x14ac:dyDescent="0.5">
      <c r="D251" s="268"/>
      <c r="F251" s="268"/>
      <c r="L251" s="268"/>
      <c r="N251" s="268"/>
      <c r="T251" s="268"/>
      <c r="V251" s="268"/>
    </row>
    <row r="252" spans="4:22" ht="16.899999999999999" x14ac:dyDescent="0.5">
      <c r="D252" s="268"/>
      <c r="F252" s="268"/>
      <c r="L252" s="268"/>
      <c r="N252" s="268"/>
      <c r="T252" s="268"/>
      <c r="V252" s="268"/>
    </row>
    <row r="253" spans="4:22" ht="16.899999999999999" x14ac:dyDescent="0.5">
      <c r="D253" s="268"/>
      <c r="F253" s="268"/>
      <c r="L253" s="268"/>
      <c r="N253" s="268"/>
      <c r="T253" s="268"/>
      <c r="V253" s="268"/>
    </row>
    <row r="254" spans="4:22" ht="16.899999999999999" x14ac:dyDescent="0.5">
      <c r="D254" s="268"/>
      <c r="F254" s="268"/>
      <c r="L254" s="268"/>
      <c r="N254" s="268"/>
      <c r="T254" s="268"/>
      <c r="V254" s="268"/>
    </row>
    <row r="255" spans="4:22" ht="16.899999999999999" x14ac:dyDescent="0.5">
      <c r="D255" s="268"/>
      <c r="F255" s="268"/>
      <c r="L255" s="268"/>
      <c r="N255" s="268"/>
      <c r="T255" s="268"/>
      <c r="V255" s="268"/>
    </row>
    <row r="256" spans="4:22" ht="16.899999999999999" x14ac:dyDescent="0.5">
      <c r="D256" s="268"/>
      <c r="F256" s="268"/>
      <c r="L256" s="268"/>
      <c r="N256" s="268"/>
      <c r="T256" s="268"/>
      <c r="V256" s="268"/>
    </row>
    <row r="257" spans="4:22" ht="16.899999999999999" x14ac:dyDescent="0.5">
      <c r="D257" s="268"/>
      <c r="F257" s="268"/>
      <c r="L257" s="268"/>
      <c r="N257" s="268"/>
      <c r="T257" s="268"/>
      <c r="V257" s="268"/>
    </row>
    <row r="258" spans="4:22" ht="16.899999999999999" x14ac:dyDescent="0.5">
      <c r="D258" s="268"/>
      <c r="F258" s="268"/>
      <c r="L258" s="268"/>
      <c r="N258" s="268"/>
      <c r="T258" s="268"/>
      <c r="V258" s="268"/>
    </row>
    <row r="259" spans="4:22" ht="16.899999999999999" x14ac:dyDescent="0.5">
      <c r="D259" s="268"/>
      <c r="F259" s="268"/>
      <c r="L259" s="268"/>
      <c r="N259" s="268"/>
      <c r="T259" s="268"/>
      <c r="V259" s="268"/>
    </row>
    <row r="260" spans="4:22" ht="16.899999999999999" x14ac:dyDescent="0.5">
      <c r="D260" s="268"/>
      <c r="F260" s="268"/>
      <c r="L260" s="268"/>
      <c r="N260" s="268"/>
      <c r="T260" s="268"/>
      <c r="V260" s="268"/>
    </row>
    <row r="261" spans="4:22" ht="16.899999999999999" x14ac:dyDescent="0.5">
      <c r="D261" s="268"/>
      <c r="F261" s="268"/>
      <c r="L261" s="268"/>
      <c r="N261" s="268"/>
      <c r="T261" s="268"/>
      <c r="V261" s="268"/>
    </row>
    <row r="262" spans="4:22" ht="16.899999999999999" x14ac:dyDescent="0.5">
      <c r="D262" s="268"/>
      <c r="F262" s="268"/>
      <c r="L262" s="268"/>
      <c r="N262" s="268"/>
      <c r="T262" s="268"/>
      <c r="V262" s="268"/>
    </row>
    <row r="263" spans="4:22" ht="16.899999999999999" x14ac:dyDescent="0.5">
      <c r="D263" s="268"/>
      <c r="F263" s="268"/>
      <c r="L263" s="268"/>
      <c r="N263" s="268"/>
      <c r="T263" s="268"/>
      <c r="V263" s="268"/>
    </row>
    <row r="264" spans="4:22" ht="16.899999999999999" x14ac:dyDescent="0.5">
      <c r="D264" s="268"/>
      <c r="F264" s="268"/>
      <c r="L264" s="268"/>
      <c r="N264" s="268"/>
      <c r="T264" s="268"/>
      <c r="V264" s="268"/>
    </row>
    <row r="265" spans="4:22" ht="16.899999999999999" x14ac:dyDescent="0.5">
      <c r="D265" s="268"/>
      <c r="F265" s="268"/>
      <c r="L265" s="268"/>
      <c r="N265" s="268"/>
      <c r="T265" s="268"/>
      <c r="V265" s="268"/>
    </row>
    <row r="266" spans="4:22" ht="16.899999999999999" x14ac:dyDescent="0.5">
      <c r="D266" s="268"/>
      <c r="F266" s="268"/>
      <c r="L266" s="268"/>
      <c r="N266" s="268"/>
      <c r="T266" s="268"/>
      <c r="V266" s="268"/>
    </row>
    <row r="267" spans="4:22" ht="16.899999999999999" x14ac:dyDescent="0.5">
      <c r="D267" s="268"/>
      <c r="F267" s="268"/>
      <c r="L267" s="268"/>
      <c r="N267" s="268"/>
      <c r="T267" s="268"/>
      <c r="V267" s="268"/>
    </row>
    <row r="268" spans="4:22" ht="16.899999999999999" x14ac:dyDescent="0.5">
      <c r="D268" s="268"/>
      <c r="F268" s="268"/>
      <c r="L268" s="268"/>
      <c r="N268" s="268"/>
      <c r="T268" s="268"/>
      <c r="V268" s="268"/>
    </row>
    <row r="269" spans="4:22" ht="16.899999999999999" x14ac:dyDescent="0.5">
      <c r="D269" s="268"/>
      <c r="F269" s="268"/>
      <c r="L269" s="268"/>
      <c r="N269" s="268"/>
      <c r="T269" s="268"/>
      <c r="V269" s="268"/>
    </row>
    <row r="270" spans="4:22" ht="16.899999999999999" x14ac:dyDescent="0.5">
      <c r="D270" s="268"/>
      <c r="F270" s="268"/>
      <c r="L270" s="268"/>
      <c r="N270" s="268"/>
      <c r="T270" s="268"/>
      <c r="V270" s="268"/>
    </row>
    <row r="271" spans="4:22" ht="16.899999999999999" x14ac:dyDescent="0.5">
      <c r="D271" s="268"/>
      <c r="F271" s="268"/>
      <c r="L271" s="268"/>
      <c r="N271" s="268"/>
      <c r="T271" s="268"/>
      <c r="V271" s="268"/>
    </row>
    <row r="272" spans="4:22" ht="16.899999999999999" x14ac:dyDescent="0.5">
      <c r="D272" s="268"/>
      <c r="F272" s="268"/>
      <c r="L272" s="268"/>
      <c r="N272" s="268"/>
      <c r="T272" s="268"/>
      <c r="V272" s="268"/>
    </row>
    <row r="273" spans="4:22" ht="16.899999999999999" x14ac:dyDescent="0.5">
      <c r="D273" s="268"/>
      <c r="F273" s="268"/>
      <c r="L273" s="268"/>
      <c r="N273" s="268"/>
      <c r="T273" s="268"/>
      <c r="V273" s="268"/>
    </row>
    <row r="274" spans="4:22" ht="16.899999999999999" x14ac:dyDescent="0.5">
      <c r="D274" s="268"/>
      <c r="F274" s="268"/>
      <c r="L274" s="268"/>
      <c r="N274" s="268"/>
      <c r="T274" s="268"/>
      <c r="V274" s="268"/>
    </row>
    <row r="275" spans="4:22" ht="16.899999999999999" x14ac:dyDescent="0.5">
      <c r="D275" s="268"/>
      <c r="F275" s="268"/>
      <c r="L275" s="268"/>
      <c r="N275" s="268"/>
      <c r="T275" s="268"/>
      <c r="V275" s="268"/>
    </row>
    <row r="276" spans="4:22" ht="16.899999999999999" x14ac:dyDescent="0.5">
      <c r="D276" s="268"/>
      <c r="F276" s="268"/>
      <c r="L276" s="268"/>
      <c r="N276" s="268"/>
      <c r="T276" s="268"/>
      <c r="V276" s="268"/>
    </row>
    <row r="277" spans="4:22" ht="16.899999999999999" x14ac:dyDescent="0.5">
      <c r="D277" s="268"/>
      <c r="F277" s="268"/>
      <c r="L277" s="268"/>
      <c r="N277" s="268"/>
      <c r="T277" s="268"/>
      <c r="V277" s="268"/>
    </row>
    <row r="278" spans="4:22" ht="16.899999999999999" x14ac:dyDescent="0.5">
      <c r="D278" s="268"/>
      <c r="F278" s="268"/>
      <c r="L278" s="268"/>
      <c r="N278" s="268"/>
      <c r="T278" s="268"/>
      <c r="V278" s="268"/>
    </row>
    <row r="279" spans="4:22" ht="16.899999999999999" x14ac:dyDescent="0.5">
      <c r="D279" s="268"/>
      <c r="F279" s="268"/>
      <c r="L279" s="268"/>
      <c r="N279" s="268"/>
      <c r="T279" s="268"/>
      <c r="V279" s="268"/>
    </row>
    <row r="280" spans="4:22" ht="16.899999999999999" x14ac:dyDescent="0.5">
      <c r="D280" s="268"/>
      <c r="F280" s="268"/>
      <c r="L280" s="268"/>
      <c r="N280" s="268"/>
      <c r="T280" s="268"/>
      <c r="V280" s="268"/>
    </row>
    <row r="281" spans="4:22" ht="16.899999999999999" x14ac:dyDescent="0.5">
      <c r="D281" s="268"/>
      <c r="F281" s="268"/>
      <c r="L281" s="268"/>
      <c r="N281" s="268"/>
      <c r="T281" s="268"/>
      <c r="V281" s="268"/>
    </row>
    <row r="282" spans="4:22" ht="16.899999999999999" x14ac:dyDescent="0.5">
      <c r="D282" s="268"/>
      <c r="F282" s="268"/>
      <c r="L282" s="268"/>
      <c r="N282" s="268"/>
      <c r="T282" s="268"/>
      <c r="V282" s="268"/>
    </row>
    <row r="283" spans="4:22" ht="16.899999999999999" x14ac:dyDescent="0.5">
      <c r="D283" s="268"/>
      <c r="F283" s="268"/>
      <c r="L283" s="268"/>
      <c r="N283" s="268"/>
      <c r="T283" s="268"/>
      <c r="V283" s="268"/>
    </row>
    <row r="284" spans="4:22" ht="16.899999999999999" x14ac:dyDescent="0.5">
      <c r="D284" s="268"/>
      <c r="F284" s="268"/>
      <c r="L284" s="268"/>
      <c r="N284" s="268"/>
      <c r="T284" s="268"/>
      <c r="V284" s="268"/>
    </row>
    <row r="285" spans="4:22" ht="16.899999999999999" x14ac:dyDescent="0.5">
      <c r="D285" s="268"/>
      <c r="F285" s="268"/>
      <c r="L285" s="268"/>
      <c r="N285" s="268"/>
      <c r="T285" s="268"/>
      <c r="V285" s="268"/>
    </row>
    <row r="286" spans="4:22" ht="16.899999999999999" x14ac:dyDescent="0.5">
      <c r="D286" s="268"/>
      <c r="F286" s="268"/>
      <c r="L286" s="268"/>
      <c r="N286" s="268"/>
      <c r="T286" s="268"/>
      <c r="V286" s="268"/>
    </row>
    <row r="287" spans="4:22" ht="16.899999999999999" x14ac:dyDescent="0.5">
      <c r="D287" s="268"/>
      <c r="F287" s="268"/>
      <c r="L287" s="268"/>
      <c r="N287" s="268"/>
      <c r="T287" s="268"/>
      <c r="V287" s="268"/>
    </row>
    <row r="288" spans="4:22" ht="16.899999999999999" x14ac:dyDescent="0.5">
      <c r="D288" s="268"/>
      <c r="F288" s="268"/>
      <c r="L288" s="268"/>
      <c r="N288" s="268"/>
      <c r="T288" s="268"/>
      <c r="V288" s="268"/>
    </row>
    <row r="289" spans="4:22" ht="16.899999999999999" x14ac:dyDescent="0.5">
      <c r="D289" s="268"/>
      <c r="F289" s="268"/>
      <c r="L289" s="268"/>
      <c r="N289" s="268"/>
      <c r="T289" s="268"/>
      <c r="V289" s="268"/>
    </row>
    <row r="290" spans="4:22" ht="16.899999999999999" x14ac:dyDescent="0.5">
      <c r="D290" s="268"/>
      <c r="F290" s="268"/>
      <c r="L290" s="268"/>
      <c r="N290" s="268"/>
      <c r="T290" s="268"/>
      <c r="V290" s="268"/>
    </row>
    <row r="291" spans="4:22" ht="16.899999999999999" x14ac:dyDescent="0.5">
      <c r="D291" s="268"/>
      <c r="F291" s="268"/>
      <c r="L291" s="268"/>
      <c r="N291" s="268"/>
      <c r="T291" s="268"/>
      <c r="V291" s="268"/>
    </row>
    <row r="292" spans="4:22" ht="16.899999999999999" x14ac:dyDescent="0.5">
      <c r="D292" s="268"/>
      <c r="F292" s="268"/>
      <c r="L292" s="268"/>
      <c r="N292" s="268"/>
      <c r="T292" s="268"/>
      <c r="V292" s="268"/>
    </row>
    <row r="293" spans="4:22" ht="16.899999999999999" x14ac:dyDescent="0.5">
      <c r="D293" s="268"/>
      <c r="F293" s="268"/>
      <c r="L293" s="268"/>
      <c r="N293" s="268"/>
      <c r="T293" s="268"/>
      <c r="V293" s="268"/>
    </row>
    <row r="294" spans="4:22" ht="16.899999999999999" x14ac:dyDescent="0.5">
      <c r="D294" s="268"/>
      <c r="F294" s="268"/>
      <c r="L294" s="268"/>
      <c r="N294" s="268"/>
      <c r="T294" s="268"/>
      <c r="V294" s="268"/>
    </row>
    <row r="295" spans="4:22" ht="16.899999999999999" x14ac:dyDescent="0.5">
      <c r="D295" s="268"/>
      <c r="F295" s="268"/>
      <c r="L295" s="268"/>
      <c r="N295" s="268"/>
      <c r="T295" s="268"/>
      <c r="V295" s="268"/>
    </row>
    <row r="296" spans="4:22" ht="16.899999999999999" x14ac:dyDescent="0.5">
      <c r="D296" s="268"/>
      <c r="F296" s="268"/>
      <c r="L296" s="268"/>
      <c r="N296" s="268"/>
      <c r="T296" s="268"/>
      <c r="V296" s="268"/>
    </row>
    <row r="297" spans="4:22" ht="16.899999999999999" x14ac:dyDescent="0.5">
      <c r="D297" s="268"/>
      <c r="F297" s="268"/>
      <c r="L297" s="268"/>
      <c r="N297" s="268"/>
      <c r="T297" s="268"/>
      <c r="V297" s="268"/>
    </row>
    <row r="298" spans="4:22" ht="16.899999999999999" x14ac:dyDescent="0.5">
      <c r="D298" s="268"/>
      <c r="F298" s="268"/>
      <c r="L298" s="268"/>
      <c r="N298" s="268"/>
      <c r="T298" s="268"/>
      <c r="V298" s="268"/>
    </row>
    <row r="299" spans="4:22" ht="16.899999999999999" x14ac:dyDescent="0.5">
      <c r="D299" s="268"/>
      <c r="F299" s="268"/>
      <c r="L299" s="268"/>
      <c r="N299" s="268"/>
      <c r="T299" s="268"/>
      <c r="V299" s="268"/>
    </row>
    <row r="300" spans="4:22" ht="16.899999999999999" x14ac:dyDescent="0.5">
      <c r="D300" s="268"/>
      <c r="F300" s="268"/>
      <c r="L300" s="268"/>
      <c r="N300" s="268"/>
      <c r="T300" s="268"/>
      <c r="V300" s="268"/>
    </row>
    <row r="301" spans="4:22" ht="16.899999999999999" x14ac:dyDescent="0.5">
      <c r="D301" s="268"/>
      <c r="F301" s="268"/>
      <c r="L301" s="268"/>
      <c r="N301" s="268"/>
      <c r="T301" s="268"/>
      <c r="V301" s="268"/>
    </row>
    <row r="302" spans="4:22" ht="16.899999999999999" x14ac:dyDescent="0.5">
      <c r="D302" s="268"/>
      <c r="F302" s="268"/>
      <c r="L302" s="268"/>
      <c r="N302" s="268"/>
      <c r="T302" s="268"/>
      <c r="V302" s="268"/>
    </row>
    <row r="303" spans="4:22" ht="16.899999999999999" x14ac:dyDescent="0.5">
      <c r="D303" s="268"/>
      <c r="F303" s="268"/>
      <c r="L303" s="268"/>
      <c r="N303" s="268"/>
      <c r="T303" s="268"/>
      <c r="V303" s="268"/>
    </row>
    <row r="304" spans="4:22" ht="16.899999999999999" x14ac:dyDescent="0.5">
      <c r="D304" s="268"/>
      <c r="F304" s="268"/>
      <c r="L304" s="268"/>
      <c r="N304" s="268"/>
      <c r="T304" s="268"/>
      <c r="V304" s="268"/>
    </row>
    <row r="305" spans="4:22" ht="16.899999999999999" x14ac:dyDescent="0.5">
      <c r="D305" s="268"/>
      <c r="F305" s="268"/>
      <c r="L305" s="268"/>
      <c r="N305" s="268"/>
      <c r="T305" s="268"/>
      <c r="V305" s="268"/>
    </row>
    <row r="306" spans="4:22" ht="16.899999999999999" x14ac:dyDescent="0.5">
      <c r="D306" s="268"/>
      <c r="F306" s="268"/>
      <c r="L306" s="268"/>
      <c r="N306" s="268"/>
      <c r="T306" s="268"/>
      <c r="V306" s="268"/>
    </row>
    <row r="307" spans="4:22" ht="16.899999999999999" x14ac:dyDescent="0.5">
      <c r="D307" s="268"/>
      <c r="F307" s="268"/>
      <c r="L307" s="268"/>
      <c r="N307" s="268"/>
      <c r="T307" s="268"/>
      <c r="V307" s="268"/>
    </row>
    <row r="308" spans="4:22" ht="16.899999999999999" x14ac:dyDescent="0.5">
      <c r="D308" s="268"/>
      <c r="F308" s="268"/>
      <c r="L308" s="268"/>
      <c r="N308" s="268"/>
      <c r="T308" s="268"/>
      <c r="V308" s="268"/>
    </row>
    <row r="309" spans="4:22" ht="16.899999999999999" x14ac:dyDescent="0.5">
      <c r="D309" s="268"/>
      <c r="F309" s="268"/>
      <c r="L309" s="268"/>
      <c r="N309" s="268"/>
      <c r="T309" s="268"/>
      <c r="V309" s="268"/>
    </row>
    <row r="310" spans="4:22" ht="16.899999999999999" x14ac:dyDescent="0.5">
      <c r="D310" s="268"/>
      <c r="F310" s="268"/>
      <c r="L310" s="268"/>
      <c r="N310" s="268"/>
      <c r="T310" s="268"/>
      <c r="V310" s="268"/>
    </row>
    <row r="311" spans="4:22" ht="16.899999999999999" x14ac:dyDescent="0.5">
      <c r="D311" s="268"/>
      <c r="F311" s="268"/>
      <c r="L311" s="268"/>
      <c r="N311" s="268"/>
      <c r="T311" s="268"/>
      <c r="V311" s="268"/>
    </row>
    <row r="312" spans="4:22" ht="16.899999999999999" x14ac:dyDescent="0.5">
      <c r="D312" s="268"/>
      <c r="F312" s="268"/>
      <c r="L312" s="268"/>
      <c r="N312" s="268"/>
      <c r="T312" s="268"/>
      <c r="V312" s="268"/>
    </row>
    <row r="313" spans="4:22" ht="16.899999999999999" x14ac:dyDescent="0.5">
      <c r="D313" s="268"/>
      <c r="F313" s="268"/>
      <c r="L313" s="268"/>
      <c r="N313" s="268"/>
      <c r="T313" s="268"/>
      <c r="V313" s="268"/>
    </row>
    <row r="314" spans="4:22" ht="16.899999999999999" x14ac:dyDescent="0.5">
      <c r="D314" s="268"/>
      <c r="F314" s="268"/>
      <c r="L314" s="268"/>
      <c r="N314" s="268"/>
      <c r="T314" s="268"/>
      <c r="V314" s="268"/>
    </row>
    <row r="315" spans="4:22" ht="16.899999999999999" x14ac:dyDescent="0.5">
      <c r="D315" s="268"/>
      <c r="F315" s="268"/>
      <c r="L315" s="268"/>
      <c r="N315" s="268"/>
      <c r="T315" s="268"/>
      <c r="V315" s="268"/>
    </row>
    <row r="316" spans="4:22" ht="16.899999999999999" x14ac:dyDescent="0.5">
      <c r="D316" s="268"/>
      <c r="F316" s="268"/>
      <c r="L316" s="268"/>
      <c r="N316" s="268"/>
      <c r="T316" s="268"/>
      <c r="V316" s="268"/>
    </row>
    <row r="317" spans="4:22" ht="16.899999999999999" x14ac:dyDescent="0.5">
      <c r="D317" s="268"/>
      <c r="F317" s="268"/>
      <c r="L317" s="268"/>
      <c r="N317" s="268"/>
      <c r="T317" s="268"/>
      <c r="V317" s="268"/>
    </row>
    <row r="318" spans="4:22" ht="16.899999999999999" x14ac:dyDescent="0.5">
      <c r="D318" s="268"/>
      <c r="F318" s="268"/>
      <c r="L318" s="268"/>
      <c r="N318" s="268"/>
      <c r="T318" s="268"/>
      <c r="V318" s="268"/>
    </row>
    <row r="319" spans="4:22" ht="16.899999999999999" x14ac:dyDescent="0.5">
      <c r="D319" s="268"/>
      <c r="F319" s="268"/>
      <c r="L319" s="268"/>
      <c r="N319" s="268"/>
      <c r="T319" s="268"/>
      <c r="V319" s="268"/>
    </row>
    <row r="320" spans="4:22" ht="16.899999999999999" x14ac:dyDescent="0.5">
      <c r="D320" s="268"/>
      <c r="F320" s="268"/>
      <c r="L320" s="268"/>
      <c r="N320" s="268"/>
      <c r="T320" s="268"/>
      <c r="V320" s="268"/>
    </row>
    <row r="321" spans="4:22" ht="16.899999999999999" x14ac:dyDescent="0.5">
      <c r="D321" s="268"/>
      <c r="F321" s="268"/>
      <c r="L321" s="268"/>
      <c r="N321" s="268"/>
      <c r="T321" s="268"/>
      <c r="V321" s="268"/>
    </row>
    <row r="322" spans="4:22" ht="16.899999999999999" x14ac:dyDescent="0.5">
      <c r="D322" s="268"/>
      <c r="F322" s="268"/>
      <c r="L322" s="268"/>
      <c r="N322" s="268"/>
      <c r="T322" s="268"/>
      <c r="V322" s="268"/>
    </row>
    <row r="323" spans="4:22" ht="16.899999999999999" x14ac:dyDescent="0.5">
      <c r="D323" s="268"/>
      <c r="F323" s="268"/>
      <c r="L323" s="268"/>
      <c r="N323" s="268"/>
      <c r="T323" s="268"/>
      <c r="V323" s="268"/>
    </row>
    <row r="324" spans="4:22" ht="16.899999999999999" x14ac:dyDescent="0.5">
      <c r="D324" s="268"/>
      <c r="F324" s="268"/>
      <c r="L324" s="268"/>
      <c r="N324" s="268"/>
      <c r="T324" s="268"/>
      <c r="V324" s="268"/>
    </row>
    <row r="325" spans="4:22" ht="16.899999999999999" x14ac:dyDescent="0.5">
      <c r="D325" s="268"/>
      <c r="F325" s="268"/>
      <c r="L325" s="268"/>
      <c r="N325" s="268"/>
      <c r="T325" s="268"/>
      <c r="V325" s="268"/>
    </row>
    <row r="326" spans="4:22" ht="16.899999999999999" x14ac:dyDescent="0.5">
      <c r="D326" s="268"/>
      <c r="F326" s="268"/>
      <c r="L326" s="268"/>
      <c r="N326" s="268"/>
      <c r="T326" s="268"/>
      <c r="V326" s="268"/>
    </row>
    <row r="327" spans="4:22" ht="16.899999999999999" x14ac:dyDescent="0.5">
      <c r="D327" s="268"/>
      <c r="F327" s="268"/>
      <c r="L327" s="268"/>
      <c r="N327" s="268"/>
      <c r="T327" s="268"/>
      <c r="V327" s="268"/>
    </row>
    <row r="328" spans="4:22" ht="16.899999999999999" x14ac:dyDescent="0.5">
      <c r="D328" s="268"/>
      <c r="F328" s="268"/>
      <c r="L328" s="268"/>
      <c r="N328" s="268"/>
      <c r="T328" s="268"/>
      <c r="V328" s="268"/>
    </row>
    <row r="329" spans="4:22" ht="16.899999999999999" x14ac:dyDescent="0.5">
      <c r="D329" s="268"/>
      <c r="F329" s="268"/>
      <c r="L329" s="268"/>
      <c r="N329" s="268"/>
      <c r="T329" s="268"/>
      <c r="V329" s="268"/>
    </row>
    <row r="330" spans="4:22" ht="16.899999999999999" x14ac:dyDescent="0.5">
      <c r="D330" s="268"/>
      <c r="F330" s="268"/>
      <c r="L330" s="268"/>
      <c r="N330" s="268"/>
      <c r="T330" s="268"/>
      <c r="V330" s="268"/>
    </row>
    <row r="331" spans="4:22" ht="16.899999999999999" x14ac:dyDescent="0.5">
      <c r="D331" s="268"/>
      <c r="F331" s="268"/>
      <c r="L331" s="268"/>
      <c r="N331" s="268"/>
      <c r="T331" s="268"/>
      <c r="V331" s="268"/>
    </row>
    <row r="332" spans="4:22" ht="16.899999999999999" x14ac:dyDescent="0.5">
      <c r="D332" s="268"/>
      <c r="F332" s="268"/>
      <c r="L332" s="268"/>
      <c r="N332" s="268"/>
      <c r="T332" s="268"/>
      <c r="V332" s="268"/>
    </row>
    <row r="333" spans="4:22" ht="16.899999999999999" x14ac:dyDescent="0.5">
      <c r="D333" s="268"/>
      <c r="F333" s="268"/>
      <c r="L333" s="268"/>
      <c r="N333" s="268"/>
      <c r="T333" s="268"/>
      <c r="V333" s="268"/>
    </row>
    <row r="334" spans="4:22" ht="16.899999999999999" x14ac:dyDescent="0.5">
      <c r="D334" s="268"/>
      <c r="F334" s="268"/>
      <c r="L334" s="268"/>
      <c r="N334" s="268"/>
      <c r="T334" s="268"/>
      <c r="V334" s="268"/>
    </row>
    <row r="335" spans="4:22" ht="16.899999999999999" x14ac:dyDescent="0.5">
      <c r="D335" s="268"/>
      <c r="F335" s="268"/>
      <c r="L335" s="268"/>
      <c r="N335" s="268"/>
      <c r="T335" s="268"/>
      <c r="V335" s="268"/>
    </row>
    <row r="336" spans="4:22" ht="16.899999999999999" x14ac:dyDescent="0.5">
      <c r="D336" s="268"/>
      <c r="F336" s="268"/>
      <c r="L336" s="268"/>
      <c r="N336" s="268"/>
      <c r="T336" s="268"/>
      <c r="V336" s="268"/>
    </row>
    <row r="337" spans="4:22" ht="16.899999999999999" x14ac:dyDescent="0.5">
      <c r="D337" s="268"/>
      <c r="F337" s="268"/>
      <c r="L337" s="268"/>
      <c r="N337" s="268"/>
      <c r="T337" s="268"/>
      <c r="V337" s="268"/>
    </row>
    <row r="338" spans="4:22" ht="16.899999999999999" x14ac:dyDescent="0.5">
      <c r="D338" s="268"/>
      <c r="F338" s="268"/>
      <c r="L338" s="268"/>
      <c r="N338" s="268"/>
      <c r="T338" s="268"/>
      <c r="V338" s="268"/>
    </row>
    <row r="339" spans="4:22" ht="16.899999999999999" x14ac:dyDescent="0.5">
      <c r="D339" s="268"/>
      <c r="F339" s="268"/>
      <c r="L339" s="268"/>
      <c r="N339" s="268"/>
      <c r="T339" s="268"/>
      <c r="V339" s="268"/>
    </row>
    <row r="340" spans="4:22" ht="16.899999999999999" x14ac:dyDescent="0.5">
      <c r="D340" s="268"/>
      <c r="F340" s="268"/>
      <c r="L340" s="268"/>
      <c r="N340" s="268"/>
      <c r="T340" s="268"/>
      <c r="V340" s="268"/>
    </row>
    <row r="341" spans="4:22" ht="16.899999999999999" x14ac:dyDescent="0.5">
      <c r="D341" s="268"/>
      <c r="F341" s="268"/>
      <c r="L341" s="268"/>
      <c r="N341" s="268"/>
      <c r="T341" s="268"/>
      <c r="V341" s="268"/>
    </row>
    <row r="342" spans="4:22" ht="16.899999999999999" x14ac:dyDescent="0.5">
      <c r="D342" s="268"/>
      <c r="F342" s="268"/>
      <c r="L342" s="268"/>
      <c r="N342" s="268"/>
      <c r="T342" s="268"/>
      <c r="V342" s="268"/>
    </row>
    <row r="343" spans="4:22" ht="16.899999999999999" x14ac:dyDescent="0.5">
      <c r="D343" s="268"/>
      <c r="F343" s="268"/>
      <c r="L343" s="268"/>
      <c r="N343" s="268"/>
      <c r="T343" s="268"/>
      <c r="V343" s="268"/>
    </row>
    <row r="344" spans="4:22" ht="16.899999999999999" x14ac:dyDescent="0.5">
      <c r="D344" s="268"/>
      <c r="F344" s="268"/>
      <c r="L344" s="268"/>
      <c r="N344" s="268"/>
      <c r="T344" s="268"/>
      <c r="V344" s="268"/>
    </row>
    <row r="345" spans="4:22" ht="16.899999999999999" x14ac:dyDescent="0.5">
      <c r="D345" s="268"/>
      <c r="F345" s="268"/>
      <c r="L345" s="268"/>
      <c r="N345" s="268"/>
      <c r="T345" s="268"/>
      <c r="V345" s="268"/>
    </row>
    <row r="346" spans="4:22" ht="16.899999999999999" x14ac:dyDescent="0.5">
      <c r="D346" s="268"/>
      <c r="F346" s="268"/>
      <c r="L346" s="268"/>
      <c r="N346" s="268"/>
      <c r="T346" s="268"/>
      <c r="V346" s="268"/>
    </row>
    <row r="347" spans="4:22" ht="16.899999999999999" x14ac:dyDescent="0.5">
      <c r="D347" s="268"/>
      <c r="F347" s="268"/>
      <c r="L347" s="268"/>
      <c r="N347" s="268"/>
      <c r="T347" s="268"/>
      <c r="V347" s="268"/>
    </row>
    <row r="348" spans="4:22" ht="16.899999999999999" x14ac:dyDescent="0.5">
      <c r="D348" s="268"/>
      <c r="F348" s="268"/>
      <c r="L348" s="268"/>
      <c r="N348" s="268"/>
      <c r="T348" s="268"/>
      <c r="V348" s="268"/>
    </row>
    <row r="349" spans="4:22" ht="16.899999999999999" x14ac:dyDescent="0.5">
      <c r="D349" s="268"/>
      <c r="F349" s="268"/>
      <c r="L349" s="268"/>
      <c r="N349" s="268"/>
      <c r="T349" s="268"/>
      <c r="V349" s="268"/>
    </row>
    <row r="350" spans="4:22" ht="16.899999999999999" x14ac:dyDescent="0.5">
      <c r="D350" s="268"/>
      <c r="F350" s="268"/>
      <c r="L350" s="268"/>
      <c r="N350" s="268"/>
      <c r="T350" s="268"/>
      <c r="V350" s="268"/>
    </row>
    <row r="351" spans="4:22" ht="16.899999999999999" x14ac:dyDescent="0.5">
      <c r="D351" s="268"/>
      <c r="F351" s="268"/>
      <c r="L351" s="268"/>
      <c r="N351" s="268"/>
      <c r="T351" s="268"/>
      <c r="V351" s="268"/>
    </row>
    <row r="352" spans="4:22" ht="16.899999999999999" x14ac:dyDescent="0.5">
      <c r="D352" s="268"/>
      <c r="F352" s="268"/>
      <c r="L352" s="268"/>
      <c r="N352" s="268"/>
      <c r="T352" s="268"/>
      <c r="V352" s="268"/>
    </row>
    <row r="353" spans="4:22" ht="16.899999999999999" x14ac:dyDescent="0.5">
      <c r="D353" s="268"/>
      <c r="F353" s="268"/>
      <c r="L353" s="268"/>
      <c r="N353" s="268"/>
      <c r="T353" s="268"/>
      <c r="V353" s="268"/>
    </row>
    <row r="354" spans="4:22" ht="16.899999999999999" x14ac:dyDescent="0.5">
      <c r="D354" s="268"/>
      <c r="F354" s="268"/>
      <c r="L354" s="268"/>
      <c r="N354" s="268"/>
      <c r="T354" s="268"/>
      <c r="V354" s="268"/>
    </row>
    <row r="355" spans="4:22" ht="16.899999999999999" x14ac:dyDescent="0.5">
      <c r="D355" s="268"/>
      <c r="F355" s="268"/>
      <c r="L355" s="268"/>
      <c r="N355" s="268"/>
      <c r="T355" s="268"/>
      <c r="V355" s="268"/>
    </row>
    <row r="356" spans="4:22" ht="16.899999999999999" x14ac:dyDescent="0.5">
      <c r="D356" s="268"/>
      <c r="F356" s="268"/>
      <c r="L356" s="268"/>
      <c r="N356" s="268"/>
      <c r="T356" s="268"/>
      <c r="V356" s="268"/>
    </row>
    <row r="357" spans="4:22" ht="16.899999999999999" x14ac:dyDescent="0.5">
      <c r="D357" s="268"/>
      <c r="F357" s="268"/>
      <c r="L357" s="268"/>
      <c r="N357" s="268"/>
      <c r="T357" s="268"/>
      <c r="V357" s="268"/>
    </row>
    <row r="358" spans="4:22" ht="16.899999999999999" x14ac:dyDescent="0.5">
      <c r="D358" s="268"/>
      <c r="F358" s="268"/>
      <c r="L358" s="268"/>
      <c r="N358" s="268"/>
      <c r="T358" s="268"/>
      <c r="V358" s="268"/>
    </row>
    <row r="359" spans="4:22" ht="16.899999999999999" x14ac:dyDescent="0.5">
      <c r="D359" s="268"/>
      <c r="F359" s="268"/>
      <c r="L359" s="268"/>
      <c r="N359" s="268"/>
      <c r="T359" s="268"/>
      <c r="V359" s="268"/>
    </row>
    <row r="360" spans="4:22" ht="16.899999999999999" x14ac:dyDescent="0.5">
      <c r="D360" s="268"/>
      <c r="F360" s="268"/>
      <c r="L360" s="268"/>
      <c r="N360" s="268"/>
      <c r="T360" s="268"/>
      <c r="V360" s="268"/>
    </row>
    <row r="361" spans="4:22" ht="16.899999999999999" x14ac:dyDescent="0.5">
      <c r="D361" s="268"/>
      <c r="F361" s="268"/>
      <c r="L361" s="268"/>
      <c r="N361" s="268"/>
      <c r="T361" s="268"/>
      <c r="V361" s="268"/>
    </row>
    <row r="362" spans="4:22" ht="16.899999999999999" x14ac:dyDescent="0.5">
      <c r="D362" s="268"/>
      <c r="F362" s="268"/>
      <c r="L362" s="268"/>
      <c r="N362" s="268"/>
      <c r="T362" s="268"/>
      <c r="V362" s="268"/>
    </row>
    <row r="363" spans="4:22" ht="16.899999999999999" x14ac:dyDescent="0.5">
      <c r="D363" s="268"/>
      <c r="F363" s="268"/>
      <c r="L363" s="268"/>
      <c r="N363" s="268"/>
      <c r="T363" s="268"/>
      <c r="V363" s="268"/>
    </row>
    <row r="364" spans="4:22" ht="16.899999999999999" x14ac:dyDescent="0.5">
      <c r="D364" s="268"/>
      <c r="F364" s="268"/>
      <c r="L364" s="268"/>
      <c r="N364" s="268"/>
      <c r="T364" s="268"/>
      <c r="V364" s="268"/>
    </row>
    <row r="365" spans="4:22" ht="16.899999999999999" x14ac:dyDescent="0.5">
      <c r="D365" s="268"/>
      <c r="F365" s="268"/>
      <c r="L365" s="268"/>
      <c r="N365" s="268"/>
      <c r="T365" s="268"/>
      <c r="V365" s="268"/>
    </row>
    <row r="366" spans="4:22" ht="16.899999999999999" x14ac:dyDescent="0.5">
      <c r="D366" s="268"/>
      <c r="F366" s="268"/>
      <c r="L366" s="268"/>
      <c r="N366" s="268"/>
      <c r="T366" s="268"/>
      <c r="V366" s="268"/>
    </row>
    <row r="367" spans="4:22" ht="16.899999999999999" x14ac:dyDescent="0.5">
      <c r="D367" s="268"/>
      <c r="F367" s="268"/>
      <c r="L367" s="268"/>
      <c r="N367" s="268"/>
      <c r="T367" s="268"/>
      <c r="V367" s="268"/>
    </row>
    <row r="368" spans="4:22" ht="16.899999999999999" x14ac:dyDescent="0.5">
      <c r="D368" s="268"/>
      <c r="F368" s="268"/>
      <c r="L368" s="268"/>
      <c r="N368" s="268"/>
      <c r="T368" s="268"/>
      <c r="V368" s="268"/>
    </row>
    <row r="369" spans="4:22" ht="16.899999999999999" x14ac:dyDescent="0.5">
      <c r="D369" s="268"/>
      <c r="F369" s="268"/>
      <c r="L369" s="268"/>
      <c r="N369" s="268"/>
      <c r="T369" s="268"/>
      <c r="V369" s="268"/>
    </row>
    <row r="370" spans="4:22" ht="16.899999999999999" x14ac:dyDescent="0.5">
      <c r="D370" s="268"/>
      <c r="F370" s="268"/>
      <c r="L370" s="268"/>
      <c r="N370" s="268"/>
      <c r="T370" s="268"/>
      <c r="V370" s="268"/>
    </row>
    <row r="371" spans="4:22" ht="16.899999999999999" x14ac:dyDescent="0.5">
      <c r="D371" s="268"/>
      <c r="F371" s="268"/>
      <c r="L371" s="268"/>
      <c r="N371" s="268"/>
      <c r="T371" s="268"/>
      <c r="V371" s="268"/>
    </row>
    <row r="372" spans="4:22" ht="16.899999999999999" x14ac:dyDescent="0.5">
      <c r="D372" s="268"/>
      <c r="F372" s="268"/>
      <c r="L372" s="268"/>
      <c r="N372" s="268"/>
      <c r="T372" s="268"/>
      <c r="V372" s="268"/>
    </row>
    <row r="373" spans="4:22" ht="16.899999999999999" x14ac:dyDescent="0.5">
      <c r="D373" s="268"/>
      <c r="F373" s="268"/>
      <c r="L373" s="268"/>
      <c r="N373" s="268"/>
      <c r="T373" s="268"/>
      <c r="V373" s="268"/>
    </row>
    <row r="374" spans="4:22" ht="16.899999999999999" x14ac:dyDescent="0.5">
      <c r="D374" s="268"/>
      <c r="F374" s="268"/>
      <c r="L374" s="268"/>
      <c r="N374" s="268"/>
      <c r="T374" s="268"/>
      <c r="V374" s="268"/>
    </row>
    <row r="375" spans="4:22" ht="16.899999999999999" x14ac:dyDescent="0.5">
      <c r="D375" s="268"/>
      <c r="F375" s="268"/>
      <c r="L375" s="268"/>
      <c r="N375" s="268"/>
      <c r="T375" s="268"/>
      <c r="V375" s="268"/>
    </row>
    <row r="376" spans="4:22" ht="16.899999999999999" x14ac:dyDescent="0.5">
      <c r="D376" s="268"/>
      <c r="F376" s="268"/>
      <c r="L376" s="268"/>
      <c r="N376" s="268"/>
      <c r="T376" s="268"/>
      <c r="V376" s="268"/>
    </row>
    <row r="377" spans="4:22" ht="16.899999999999999" x14ac:dyDescent="0.5">
      <c r="D377" s="268"/>
      <c r="F377" s="268"/>
      <c r="L377" s="268"/>
      <c r="N377" s="268"/>
      <c r="T377" s="268"/>
      <c r="V377" s="268"/>
    </row>
    <row r="378" spans="4:22" ht="16.899999999999999" x14ac:dyDescent="0.5">
      <c r="D378" s="268"/>
      <c r="F378" s="268"/>
      <c r="L378" s="268"/>
      <c r="N378" s="268"/>
      <c r="T378" s="268"/>
      <c r="V378" s="268"/>
    </row>
    <row r="379" spans="4:22" ht="16.899999999999999" x14ac:dyDescent="0.5">
      <c r="D379" s="268"/>
      <c r="F379" s="268"/>
      <c r="L379" s="268"/>
      <c r="N379" s="268"/>
      <c r="T379" s="268"/>
      <c r="V379" s="268"/>
    </row>
    <row r="380" spans="4:22" ht="16.899999999999999" x14ac:dyDescent="0.5">
      <c r="D380" s="268"/>
      <c r="F380" s="268"/>
      <c r="L380" s="268"/>
      <c r="N380" s="268"/>
      <c r="T380" s="268"/>
      <c r="V380" s="268"/>
    </row>
    <row r="381" spans="4:22" ht="16.899999999999999" x14ac:dyDescent="0.5">
      <c r="D381" s="268"/>
      <c r="F381" s="268"/>
      <c r="L381" s="268"/>
      <c r="N381" s="268"/>
      <c r="T381" s="268"/>
      <c r="V381" s="268"/>
    </row>
    <row r="382" spans="4:22" ht="16.899999999999999" x14ac:dyDescent="0.5">
      <c r="D382" s="268"/>
      <c r="F382" s="268"/>
      <c r="L382" s="268"/>
      <c r="N382" s="268"/>
      <c r="T382" s="268"/>
      <c r="V382" s="268"/>
    </row>
    <row r="383" spans="4:22" ht="16.899999999999999" x14ac:dyDescent="0.5">
      <c r="D383" s="268"/>
      <c r="F383" s="268"/>
      <c r="L383" s="268"/>
      <c r="N383" s="268"/>
      <c r="T383" s="268"/>
      <c r="V383" s="268"/>
    </row>
    <row r="384" spans="4:22" ht="16.899999999999999" x14ac:dyDescent="0.5">
      <c r="D384" s="268"/>
      <c r="F384" s="268"/>
      <c r="L384" s="268"/>
      <c r="N384" s="268"/>
      <c r="T384" s="268"/>
      <c r="V384" s="268"/>
    </row>
    <row r="385" spans="4:22" ht="16.899999999999999" x14ac:dyDescent="0.5">
      <c r="D385" s="268"/>
      <c r="F385" s="268"/>
      <c r="L385" s="268"/>
      <c r="N385" s="268"/>
      <c r="T385" s="268"/>
      <c r="V385" s="268"/>
    </row>
    <row r="386" spans="4:22" ht="16.899999999999999" x14ac:dyDescent="0.5">
      <c r="D386" s="268"/>
      <c r="F386" s="268"/>
      <c r="L386" s="268"/>
      <c r="N386" s="268"/>
      <c r="T386" s="268"/>
      <c r="V386" s="268"/>
    </row>
    <row r="387" spans="4:22" ht="16.899999999999999" x14ac:dyDescent="0.5">
      <c r="D387" s="268"/>
      <c r="F387" s="268"/>
      <c r="L387" s="268"/>
      <c r="N387" s="268"/>
      <c r="T387" s="268"/>
      <c r="V387" s="268"/>
    </row>
    <row r="388" spans="4:22" ht="16.899999999999999" x14ac:dyDescent="0.5">
      <c r="D388" s="268"/>
      <c r="F388" s="268"/>
      <c r="L388" s="268"/>
      <c r="N388" s="268"/>
      <c r="T388" s="268"/>
      <c r="V388" s="268"/>
    </row>
    <row r="389" spans="4:22" ht="16.899999999999999" x14ac:dyDescent="0.5">
      <c r="D389" s="268"/>
      <c r="F389" s="268"/>
      <c r="L389" s="268"/>
      <c r="N389" s="268"/>
      <c r="T389" s="268"/>
      <c r="V389" s="268"/>
    </row>
    <row r="390" spans="4:22" ht="16.899999999999999" x14ac:dyDescent="0.5">
      <c r="D390" s="268"/>
      <c r="F390" s="268"/>
      <c r="L390" s="268"/>
      <c r="N390" s="268"/>
      <c r="T390" s="268"/>
      <c r="V390" s="268"/>
    </row>
    <row r="391" spans="4:22" ht="16.899999999999999" x14ac:dyDescent="0.5">
      <c r="D391" s="268"/>
      <c r="F391" s="268"/>
      <c r="L391" s="268"/>
      <c r="N391" s="268"/>
      <c r="T391" s="268"/>
      <c r="V391" s="268"/>
    </row>
    <row r="392" spans="4:22" ht="16.899999999999999" x14ac:dyDescent="0.5">
      <c r="D392" s="268"/>
      <c r="F392" s="268"/>
      <c r="L392" s="268"/>
      <c r="N392" s="268"/>
      <c r="T392" s="268"/>
      <c r="V392" s="268"/>
    </row>
    <row r="393" spans="4:22" ht="16.899999999999999" x14ac:dyDescent="0.5">
      <c r="D393" s="268"/>
      <c r="F393" s="268"/>
      <c r="L393" s="268"/>
      <c r="N393" s="268"/>
      <c r="T393" s="268"/>
      <c r="V393" s="268"/>
    </row>
    <row r="394" spans="4:22" ht="16.899999999999999" x14ac:dyDescent="0.5">
      <c r="D394" s="268"/>
      <c r="F394" s="268"/>
      <c r="L394" s="268"/>
      <c r="N394" s="268"/>
      <c r="T394" s="268"/>
      <c r="V394" s="268"/>
    </row>
    <row r="395" spans="4:22" ht="16.899999999999999" x14ac:dyDescent="0.5">
      <c r="D395" s="268"/>
      <c r="F395" s="268"/>
      <c r="L395" s="268"/>
      <c r="N395" s="268"/>
      <c r="T395" s="268"/>
      <c r="V395" s="268"/>
    </row>
    <row r="396" spans="4:22" ht="16.899999999999999" x14ac:dyDescent="0.5">
      <c r="D396" s="268"/>
      <c r="F396" s="268"/>
      <c r="L396" s="268"/>
      <c r="N396" s="268"/>
      <c r="T396" s="268"/>
      <c r="V396" s="268"/>
    </row>
    <row r="397" spans="4:22" ht="16.899999999999999" x14ac:dyDescent="0.5">
      <c r="D397" s="268"/>
      <c r="F397" s="268"/>
      <c r="L397" s="268"/>
      <c r="N397" s="268"/>
      <c r="T397" s="268"/>
      <c r="V397" s="268"/>
    </row>
    <row r="398" spans="4:22" ht="16.899999999999999" x14ac:dyDescent="0.5">
      <c r="D398" s="268"/>
      <c r="F398" s="268"/>
      <c r="L398" s="268"/>
      <c r="N398" s="268"/>
      <c r="T398" s="268"/>
      <c r="V398" s="268"/>
    </row>
    <row r="399" spans="4:22" ht="16.899999999999999" x14ac:dyDescent="0.5">
      <c r="D399" s="268"/>
      <c r="F399" s="268"/>
      <c r="L399" s="268"/>
      <c r="N399" s="268"/>
      <c r="T399" s="268"/>
      <c r="V399" s="268"/>
    </row>
    <row r="400" spans="4:22" ht="16.899999999999999" x14ac:dyDescent="0.5">
      <c r="D400" s="268"/>
      <c r="F400" s="268"/>
      <c r="L400" s="268"/>
      <c r="N400" s="268"/>
      <c r="T400" s="268"/>
      <c r="V400" s="268"/>
    </row>
    <row r="401" spans="4:22" ht="16.899999999999999" x14ac:dyDescent="0.5">
      <c r="D401" s="268"/>
      <c r="F401" s="268"/>
      <c r="L401" s="268"/>
      <c r="N401" s="268"/>
      <c r="T401" s="268"/>
      <c r="V401" s="268"/>
    </row>
    <row r="402" spans="4:22" ht="16.899999999999999" x14ac:dyDescent="0.5">
      <c r="D402" s="268"/>
      <c r="F402" s="268"/>
      <c r="L402" s="268"/>
      <c r="N402" s="268"/>
      <c r="T402" s="268"/>
      <c r="V402" s="268"/>
    </row>
    <row r="403" spans="4:22" ht="16.899999999999999" x14ac:dyDescent="0.5">
      <c r="D403" s="268"/>
      <c r="F403" s="268"/>
      <c r="L403" s="268"/>
      <c r="N403" s="268"/>
      <c r="T403" s="268"/>
      <c r="V403" s="268"/>
    </row>
    <row r="404" spans="4:22" ht="16.899999999999999" x14ac:dyDescent="0.5">
      <c r="D404" s="268"/>
      <c r="F404" s="268"/>
      <c r="L404" s="268"/>
      <c r="N404" s="268"/>
      <c r="T404" s="268"/>
      <c r="V404" s="268"/>
    </row>
    <row r="405" spans="4:22" ht="16.899999999999999" x14ac:dyDescent="0.5">
      <c r="D405" s="268"/>
      <c r="F405" s="268"/>
      <c r="L405" s="268"/>
      <c r="N405" s="268"/>
      <c r="T405" s="268"/>
      <c r="V405" s="268"/>
    </row>
    <row r="406" spans="4:22" ht="16.899999999999999" x14ac:dyDescent="0.5">
      <c r="D406" s="268"/>
      <c r="F406" s="268"/>
      <c r="L406" s="268"/>
      <c r="N406" s="268"/>
      <c r="T406" s="268"/>
      <c r="V406" s="268"/>
    </row>
    <row r="407" spans="4:22" ht="16.899999999999999" x14ac:dyDescent="0.5">
      <c r="D407" s="268"/>
      <c r="F407" s="268"/>
      <c r="L407" s="268"/>
      <c r="N407" s="268"/>
      <c r="T407" s="268"/>
      <c r="V407" s="268"/>
    </row>
    <row r="408" spans="4:22" ht="16.899999999999999" x14ac:dyDescent="0.5">
      <c r="D408" s="268"/>
      <c r="F408" s="268"/>
      <c r="L408" s="268"/>
      <c r="N408" s="268"/>
      <c r="T408" s="268"/>
      <c r="V408" s="268"/>
    </row>
    <row r="409" spans="4:22" ht="16.899999999999999" x14ac:dyDescent="0.5">
      <c r="D409" s="268"/>
      <c r="F409" s="268"/>
      <c r="L409" s="268"/>
      <c r="N409" s="268"/>
      <c r="T409" s="268"/>
      <c r="V409" s="268"/>
    </row>
    <row r="410" spans="4:22" ht="16.899999999999999" x14ac:dyDescent="0.5">
      <c r="D410" s="268"/>
      <c r="F410" s="268"/>
      <c r="L410" s="268"/>
      <c r="N410" s="268"/>
      <c r="T410" s="268"/>
      <c r="V410" s="268"/>
    </row>
    <row r="411" spans="4:22" ht="16.899999999999999" x14ac:dyDescent="0.5">
      <c r="D411" s="268"/>
      <c r="F411" s="268"/>
      <c r="L411" s="268"/>
      <c r="N411" s="268"/>
      <c r="T411" s="268"/>
      <c r="V411" s="268"/>
    </row>
    <row r="412" spans="4:22" ht="16.899999999999999" x14ac:dyDescent="0.5">
      <c r="D412" s="268"/>
      <c r="F412" s="268"/>
      <c r="L412" s="268"/>
      <c r="N412" s="268"/>
      <c r="T412" s="268"/>
      <c r="V412" s="268"/>
    </row>
    <row r="413" spans="4:22" ht="16.899999999999999" x14ac:dyDescent="0.5">
      <c r="D413" s="268"/>
      <c r="F413" s="268"/>
      <c r="L413" s="268"/>
      <c r="N413" s="268"/>
      <c r="T413" s="268"/>
      <c r="V413" s="268"/>
    </row>
    <row r="414" spans="4:22" ht="16.899999999999999" x14ac:dyDescent="0.5">
      <c r="D414" s="268"/>
      <c r="F414" s="268"/>
      <c r="L414" s="268"/>
      <c r="N414" s="268"/>
      <c r="T414" s="268"/>
      <c r="V414" s="268"/>
    </row>
    <row r="415" spans="4:22" ht="16.899999999999999" x14ac:dyDescent="0.5">
      <c r="D415" s="268"/>
      <c r="F415" s="268"/>
      <c r="L415" s="268"/>
      <c r="N415" s="268"/>
      <c r="T415" s="268"/>
      <c r="V415" s="268"/>
    </row>
    <row r="416" spans="4:22" ht="16.899999999999999" x14ac:dyDescent="0.5">
      <c r="D416" s="268"/>
      <c r="F416" s="268"/>
      <c r="L416" s="268"/>
      <c r="N416" s="268"/>
      <c r="T416" s="268"/>
      <c r="V416" s="268"/>
    </row>
    <row r="417" spans="4:22" ht="16.899999999999999" x14ac:dyDescent="0.5">
      <c r="D417" s="268"/>
      <c r="F417" s="268"/>
      <c r="L417" s="268"/>
      <c r="N417" s="268"/>
      <c r="T417" s="268"/>
      <c r="V417" s="268"/>
    </row>
    <row r="418" spans="4:22" ht="16.899999999999999" x14ac:dyDescent="0.5">
      <c r="D418" s="268"/>
      <c r="F418" s="268"/>
      <c r="L418" s="268"/>
      <c r="N418" s="268"/>
      <c r="T418" s="268"/>
      <c r="V418" s="268"/>
    </row>
    <row r="419" spans="4:22" ht="16.899999999999999" x14ac:dyDescent="0.5">
      <c r="D419" s="268"/>
      <c r="F419" s="268"/>
      <c r="L419" s="268"/>
      <c r="N419" s="268"/>
      <c r="T419" s="268"/>
      <c r="V419" s="268"/>
    </row>
    <row r="420" spans="4:22" ht="16.899999999999999" x14ac:dyDescent="0.5">
      <c r="D420" s="268"/>
      <c r="F420" s="268"/>
      <c r="L420" s="268"/>
      <c r="N420" s="268"/>
      <c r="T420" s="268"/>
      <c r="V420" s="268"/>
    </row>
    <row r="421" spans="4:22" ht="16.899999999999999" x14ac:dyDescent="0.5">
      <c r="D421" s="268"/>
      <c r="F421" s="268"/>
      <c r="L421" s="268"/>
      <c r="N421" s="268"/>
      <c r="T421" s="268"/>
      <c r="V421" s="268"/>
    </row>
    <row r="422" spans="4:22" ht="16.899999999999999" x14ac:dyDescent="0.5">
      <c r="D422" s="268"/>
      <c r="F422" s="268"/>
      <c r="L422" s="268"/>
      <c r="N422" s="268"/>
      <c r="T422" s="268"/>
      <c r="V422" s="268"/>
    </row>
    <row r="423" spans="4:22" ht="16.899999999999999" x14ac:dyDescent="0.5">
      <c r="D423" s="268"/>
      <c r="F423" s="268"/>
      <c r="L423" s="268"/>
      <c r="N423" s="268"/>
      <c r="T423" s="268"/>
      <c r="V423" s="268"/>
    </row>
    <row r="424" spans="4:22" ht="16.899999999999999" x14ac:dyDescent="0.5">
      <c r="D424" s="268"/>
      <c r="F424" s="268"/>
      <c r="L424" s="268"/>
      <c r="N424" s="268"/>
      <c r="T424" s="268"/>
      <c r="V424" s="268"/>
    </row>
    <row r="425" spans="4:22" ht="16.899999999999999" x14ac:dyDescent="0.5">
      <c r="D425" s="268"/>
      <c r="F425" s="268"/>
      <c r="L425" s="268"/>
      <c r="N425" s="268"/>
      <c r="T425" s="268"/>
      <c r="V425" s="268"/>
    </row>
    <row r="426" spans="4:22" ht="16.899999999999999" x14ac:dyDescent="0.5">
      <c r="D426" s="268"/>
      <c r="F426" s="268"/>
      <c r="L426" s="268"/>
      <c r="N426" s="268"/>
      <c r="T426" s="268"/>
      <c r="V426" s="268"/>
    </row>
    <row r="427" spans="4:22" ht="16.899999999999999" x14ac:dyDescent="0.5">
      <c r="D427" s="268"/>
      <c r="F427" s="268"/>
      <c r="L427" s="268"/>
      <c r="N427" s="268"/>
      <c r="T427" s="268"/>
      <c r="V427" s="268"/>
    </row>
    <row r="428" spans="4:22" ht="16.899999999999999" x14ac:dyDescent="0.5">
      <c r="D428" s="268"/>
      <c r="F428" s="268"/>
      <c r="L428" s="268"/>
      <c r="N428" s="268"/>
      <c r="T428" s="268"/>
      <c r="V428" s="268"/>
    </row>
    <row r="429" spans="4:22" ht="16.899999999999999" x14ac:dyDescent="0.5">
      <c r="D429" s="268"/>
      <c r="F429" s="268"/>
      <c r="L429" s="268"/>
      <c r="N429" s="268"/>
      <c r="T429" s="268"/>
      <c r="V429" s="268"/>
    </row>
    <row r="430" spans="4:22" ht="16.899999999999999" x14ac:dyDescent="0.5">
      <c r="D430" s="268"/>
      <c r="F430" s="268"/>
      <c r="L430" s="268"/>
      <c r="N430" s="268"/>
      <c r="T430" s="268"/>
      <c r="V430" s="268"/>
    </row>
    <row r="431" spans="4:22" ht="16.899999999999999" x14ac:dyDescent="0.5">
      <c r="D431" s="268"/>
      <c r="F431" s="268"/>
      <c r="L431" s="268"/>
      <c r="N431" s="268"/>
      <c r="T431" s="268"/>
      <c r="V431" s="268"/>
    </row>
    <row r="432" spans="4:22" ht="16.899999999999999" x14ac:dyDescent="0.5">
      <c r="D432" s="268"/>
      <c r="F432" s="268"/>
      <c r="L432" s="268"/>
      <c r="N432" s="268"/>
      <c r="T432" s="268"/>
      <c r="V432" s="268"/>
    </row>
    <row r="433" spans="4:22" ht="16.899999999999999" x14ac:dyDescent="0.5">
      <c r="D433" s="268"/>
      <c r="F433" s="268"/>
      <c r="L433" s="268"/>
      <c r="N433" s="268"/>
      <c r="T433" s="268"/>
      <c r="V433" s="268"/>
    </row>
    <row r="434" spans="4:22" ht="16.899999999999999" x14ac:dyDescent="0.5">
      <c r="D434" s="268"/>
      <c r="F434" s="268"/>
      <c r="L434" s="268"/>
      <c r="N434" s="268"/>
      <c r="T434" s="268"/>
      <c r="V434" s="268"/>
    </row>
    <row r="435" spans="4:22" ht="16.899999999999999" x14ac:dyDescent="0.5">
      <c r="D435" s="268"/>
      <c r="F435" s="268"/>
      <c r="L435" s="268"/>
      <c r="N435" s="268"/>
      <c r="T435" s="268"/>
      <c r="V435" s="268"/>
    </row>
    <row r="436" spans="4:22" ht="16.899999999999999" x14ac:dyDescent="0.5">
      <c r="D436" s="268"/>
      <c r="F436" s="268"/>
      <c r="L436" s="268"/>
      <c r="N436" s="268"/>
      <c r="T436" s="268"/>
      <c r="V436" s="268"/>
    </row>
    <row r="437" spans="4:22" ht="16.899999999999999" x14ac:dyDescent="0.5">
      <c r="D437" s="268"/>
      <c r="F437" s="268"/>
      <c r="L437" s="268"/>
      <c r="N437" s="268"/>
      <c r="T437" s="268"/>
      <c r="V437" s="268"/>
    </row>
    <row r="438" spans="4:22" ht="16.899999999999999" x14ac:dyDescent="0.5">
      <c r="D438" s="268"/>
      <c r="F438" s="268"/>
      <c r="L438" s="268"/>
      <c r="N438" s="268"/>
      <c r="T438" s="268"/>
      <c r="V438" s="268"/>
    </row>
    <row r="439" spans="4:22" ht="16.899999999999999" x14ac:dyDescent="0.5">
      <c r="D439" s="268"/>
      <c r="F439" s="268"/>
      <c r="L439" s="268"/>
      <c r="N439" s="268"/>
      <c r="T439" s="268"/>
      <c r="V439" s="268"/>
    </row>
    <row r="440" spans="4:22" ht="16.899999999999999" x14ac:dyDescent="0.5">
      <c r="D440" s="268"/>
      <c r="F440" s="268"/>
      <c r="L440" s="268"/>
      <c r="N440" s="268"/>
      <c r="T440" s="268"/>
      <c r="V440" s="268"/>
    </row>
    <row r="441" spans="4:22" ht="16.899999999999999" x14ac:dyDescent="0.5">
      <c r="D441" s="268"/>
      <c r="F441" s="268"/>
      <c r="L441" s="268"/>
      <c r="N441" s="268"/>
      <c r="T441" s="268"/>
      <c r="V441" s="268"/>
    </row>
    <row r="442" spans="4:22" ht="16.899999999999999" x14ac:dyDescent="0.5">
      <c r="D442" s="268"/>
      <c r="F442" s="268"/>
      <c r="L442" s="268"/>
      <c r="N442" s="268"/>
      <c r="T442" s="268"/>
      <c r="V442" s="268"/>
    </row>
    <row r="443" spans="4:22" ht="16.899999999999999" x14ac:dyDescent="0.5">
      <c r="D443" s="268"/>
      <c r="F443" s="268"/>
      <c r="L443" s="268"/>
      <c r="N443" s="268"/>
      <c r="T443" s="268"/>
      <c r="V443" s="268"/>
    </row>
    <row r="444" spans="4:22" ht="16.899999999999999" x14ac:dyDescent="0.5">
      <c r="D444" s="268"/>
      <c r="F444" s="268"/>
      <c r="L444" s="268"/>
      <c r="N444" s="268"/>
      <c r="T444" s="268"/>
      <c r="V444" s="268"/>
    </row>
    <row r="445" spans="4:22" ht="16.899999999999999" x14ac:dyDescent="0.5">
      <c r="D445" s="268"/>
      <c r="F445" s="268"/>
      <c r="L445" s="268"/>
      <c r="N445" s="268"/>
      <c r="T445" s="268"/>
      <c r="V445" s="268"/>
    </row>
    <row r="446" spans="4:22" ht="16.899999999999999" x14ac:dyDescent="0.5">
      <c r="D446" s="268"/>
      <c r="F446" s="268"/>
      <c r="L446" s="268"/>
      <c r="N446" s="268"/>
      <c r="T446" s="268"/>
      <c r="V446" s="268"/>
    </row>
    <row r="447" spans="4:22" ht="16.899999999999999" x14ac:dyDescent="0.5">
      <c r="D447" s="268"/>
      <c r="F447" s="268"/>
      <c r="L447" s="268"/>
      <c r="N447" s="268"/>
      <c r="T447" s="268"/>
      <c r="V447" s="268"/>
    </row>
    <row r="448" spans="4:22" ht="16.899999999999999" x14ac:dyDescent="0.5">
      <c r="D448" s="268"/>
      <c r="F448" s="268"/>
      <c r="L448" s="268"/>
      <c r="N448" s="268"/>
      <c r="T448" s="268"/>
      <c r="V448" s="268"/>
    </row>
    <row r="449" spans="4:22" ht="16.899999999999999" x14ac:dyDescent="0.5">
      <c r="D449" s="268"/>
      <c r="F449" s="268"/>
      <c r="L449" s="268"/>
      <c r="N449" s="268"/>
      <c r="T449" s="268"/>
      <c r="V449" s="268"/>
    </row>
    <row r="450" spans="4:22" ht="16.899999999999999" x14ac:dyDescent="0.5">
      <c r="D450" s="268"/>
      <c r="F450" s="268"/>
      <c r="L450" s="268"/>
      <c r="N450" s="268"/>
      <c r="T450" s="268"/>
      <c r="V450" s="268"/>
    </row>
    <row r="451" spans="4:22" ht="16.899999999999999" x14ac:dyDescent="0.5">
      <c r="D451" s="268"/>
      <c r="F451" s="268"/>
      <c r="L451" s="268"/>
      <c r="N451" s="268"/>
      <c r="T451" s="268"/>
      <c r="V451" s="268"/>
    </row>
    <row r="452" spans="4:22" ht="16.899999999999999" x14ac:dyDescent="0.5">
      <c r="D452" s="268"/>
      <c r="F452" s="268"/>
      <c r="L452" s="268"/>
      <c r="N452" s="268"/>
      <c r="T452" s="268"/>
      <c r="V452" s="268"/>
    </row>
    <row r="453" spans="4:22" ht="16.899999999999999" x14ac:dyDescent="0.5">
      <c r="D453" s="268"/>
      <c r="F453" s="268"/>
      <c r="L453" s="268"/>
      <c r="N453" s="268"/>
      <c r="T453" s="268"/>
      <c r="V453" s="268"/>
    </row>
    <row r="454" spans="4:22" ht="16.899999999999999" x14ac:dyDescent="0.5">
      <c r="D454" s="268"/>
      <c r="F454" s="268"/>
      <c r="L454" s="268"/>
      <c r="N454" s="268"/>
      <c r="T454" s="268"/>
      <c r="V454" s="268"/>
    </row>
    <row r="455" spans="4:22" ht="16.899999999999999" x14ac:dyDescent="0.5">
      <c r="D455" s="268"/>
      <c r="F455" s="268"/>
      <c r="L455" s="268"/>
      <c r="N455" s="268"/>
      <c r="T455" s="268"/>
      <c r="V455" s="268"/>
    </row>
    <row r="456" spans="4:22" ht="16.899999999999999" x14ac:dyDescent="0.5">
      <c r="D456" s="268"/>
      <c r="F456" s="268"/>
      <c r="L456" s="268"/>
      <c r="N456" s="268"/>
      <c r="T456" s="268"/>
      <c r="V456" s="268"/>
    </row>
    <row r="457" spans="4:22" ht="16.899999999999999" x14ac:dyDescent="0.5">
      <c r="D457" s="268"/>
      <c r="F457" s="268"/>
      <c r="L457" s="268"/>
      <c r="N457" s="268"/>
      <c r="T457" s="268"/>
      <c r="V457" s="268"/>
    </row>
    <row r="458" spans="4:22" ht="16.899999999999999" x14ac:dyDescent="0.5">
      <c r="D458" s="268"/>
      <c r="F458" s="268"/>
      <c r="L458" s="268"/>
      <c r="N458" s="268"/>
      <c r="T458" s="268"/>
      <c r="V458" s="268"/>
    </row>
    <row r="459" spans="4:22" ht="16.899999999999999" x14ac:dyDescent="0.5">
      <c r="D459" s="268"/>
      <c r="F459" s="268"/>
      <c r="L459" s="268"/>
      <c r="N459" s="268"/>
      <c r="T459" s="268"/>
      <c r="V459" s="268"/>
    </row>
    <row r="460" spans="4:22" ht="16.899999999999999" x14ac:dyDescent="0.5">
      <c r="D460" s="268"/>
      <c r="F460" s="268"/>
      <c r="L460" s="268"/>
      <c r="N460" s="268"/>
      <c r="T460" s="268"/>
      <c r="V460" s="268"/>
    </row>
    <row r="461" spans="4:22" ht="16.899999999999999" x14ac:dyDescent="0.5">
      <c r="D461" s="268"/>
      <c r="F461" s="268"/>
      <c r="L461" s="268"/>
      <c r="N461" s="268"/>
      <c r="T461" s="268"/>
      <c r="V461" s="268"/>
    </row>
    <row r="462" spans="4:22" ht="16.899999999999999" x14ac:dyDescent="0.5">
      <c r="D462" s="268"/>
      <c r="F462" s="268"/>
      <c r="L462" s="268"/>
      <c r="N462" s="268"/>
      <c r="T462" s="268"/>
      <c r="V462" s="268"/>
    </row>
    <row r="463" spans="4:22" ht="16.899999999999999" x14ac:dyDescent="0.5">
      <c r="D463" s="268"/>
      <c r="F463" s="268"/>
      <c r="L463" s="268"/>
      <c r="N463" s="268"/>
      <c r="T463" s="268"/>
      <c r="V463" s="268"/>
    </row>
    <row r="464" spans="4:22" ht="16.899999999999999" x14ac:dyDescent="0.5">
      <c r="D464" s="268"/>
      <c r="F464" s="268"/>
      <c r="L464" s="268"/>
      <c r="N464" s="268"/>
      <c r="T464" s="268"/>
      <c r="V464" s="268"/>
    </row>
    <row r="465" spans="4:22" ht="16.899999999999999" x14ac:dyDescent="0.5">
      <c r="D465" s="268"/>
      <c r="F465" s="268"/>
      <c r="L465" s="268"/>
      <c r="N465" s="268"/>
      <c r="T465" s="268"/>
      <c r="V465" s="268"/>
    </row>
    <row r="466" spans="4:22" ht="16.899999999999999" x14ac:dyDescent="0.5">
      <c r="D466" s="268"/>
      <c r="F466" s="268"/>
      <c r="L466" s="268"/>
      <c r="N466" s="268"/>
      <c r="T466" s="268"/>
      <c r="V466" s="268"/>
    </row>
    <row r="467" spans="4:22" ht="16.899999999999999" x14ac:dyDescent="0.5">
      <c r="D467" s="268"/>
      <c r="F467" s="268"/>
      <c r="L467" s="268"/>
      <c r="N467" s="268"/>
      <c r="T467" s="268"/>
      <c r="V467" s="268"/>
    </row>
    <row r="468" spans="4:22" ht="16.899999999999999" x14ac:dyDescent="0.5">
      <c r="D468" s="268"/>
      <c r="F468" s="268"/>
      <c r="L468" s="268"/>
      <c r="N468" s="268"/>
      <c r="T468" s="268"/>
      <c r="V468" s="268"/>
    </row>
    <row r="469" spans="4:22" ht="16.899999999999999" x14ac:dyDescent="0.5">
      <c r="D469" s="268"/>
      <c r="F469" s="268"/>
      <c r="L469" s="268"/>
      <c r="N469" s="268"/>
      <c r="T469" s="268"/>
      <c r="V469" s="268"/>
    </row>
    <row r="470" spans="4:22" ht="16.899999999999999" x14ac:dyDescent="0.5">
      <c r="D470" s="268"/>
      <c r="F470" s="268"/>
      <c r="L470" s="268"/>
      <c r="N470" s="268"/>
      <c r="T470" s="268"/>
      <c r="V470" s="268"/>
    </row>
    <row r="471" spans="4:22" ht="16.899999999999999" x14ac:dyDescent="0.5">
      <c r="D471" s="268"/>
      <c r="F471" s="268"/>
      <c r="L471" s="268"/>
      <c r="N471" s="268"/>
      <c r="T471" s="268"/>
      <c r="V471" s="268"/>
    </row>
    <row r="472" spans="4:22" ht="16.899999999999999" x14ac:dyDescent="0.5">
      <c r="D472" s="268"/>
      <c r="F472" s="268"/>
      <c r="L472" s="268"/>
      <c r="N472" s="268"/>
      <c r="T472" s="268"/>
      <c r="V472" s="268"/>
    </row>
    <row r="473" spans="4:22" ht="16.899999999999999" x14ac:dyDescent="0.5">
      <c r="D473" s="268"/>
      <c r="F473" s="268"/>
      <c r="L473" s="268"/>
      <c r="N473" s="268"/>
      <c r="T473" s="268"/>
      <c r="V473" s="268"/>
    </row>
    <row r="474" spans="4:22" ht="16.899999999999999" x14ac:dyDescent="0.5">
      <c r="D474" s="268"/>
      <c r="F474" s="268"/>
      <c r="L474" s="268"/>
      <c r="N474" s="268"/>
      <c r="T474" s="268"/>
      <c r="V474" s="268"/>
    </row>
    <row r="475" spans="4:22" ht="16.899999999999999" x14ac:dyDescent="0.5">
      <c r="D475" s="268"/>
      <c r="F475" s="268"/>
      <c r="L475" s="268"/>
      <c r="N475" s="268"/>
      <c r="T475" s="268"/>
      <c r="V475" s="268"/>
    </row>
    <row r="476" spans="4:22" ht="16.899999999999999" x14ac:dyDescent="0.5">
      <c r="D476" s="268"/>
      <c r="F476" s="268"/>
      <c r="L476" s="268"/>
      <c r="N476" s="268"/>
      <c r="T476" s="268"/>
      <c r="V476" s="268"/>
    </row>
    <row r="477" spans="4:22" ht="16.899999999999999" x14ac:dyDescent="0.5">
      <c r="D477" s="268"/>
      <c r="F477" s="268"/>
      <c r="L477" s="268"/>
      <c r="N477" s="268"/>
      <c r="T477" s="268"/>
      <c r="V477" s="268"/>
    </row>
    <row r="478" spans="4:22" ht="16.899999999999999" x14ac:dyDescent="0.5">
      <c r="D478" s="268"/>
      <c r="F478" s="268"/>
      <c r="L478" s="268"/>
      <c r="N478" s="268"/>
      <c r="T478" s="268"/>
      <c r="V478" s="268"/>
    </row>
    <row r="479" spans="4:22" ht="16.899999999999999" x14ac:dyDescent="0.5">
      <c r="D479" s="268"/>
      <c r="F479" s="268"/>
      <c r="L479" s="268"/>
      <c r="N479" s="268"/>
      <c r="T479" s="268"/>
      <c r="V479" s="268"/>
    </row>
    <row r="480" spans="4:22" ht="16.899999999999999" x14ac:dyDescent="0.5">
      <c r="D480" s="268"/>
      <c r="F480" s="268"/>
      <c r="L480" s="268"/>
      <c r="N480" s="268"/>
      <c r="T480" s="268"/>
      <c r="V480" s="268"/>
    </row>
    <row r="481" spans="4:22" ht="16.899999999999999" x14ac:dyDescent="0.5">
      <c r="D481" s="268"/>
      <c r="F481" s="268"/>
      <c r="L481" s="268"/>
      <c r="N481" s="268"/>
      <c r="T481" s="268"/>
      <c r="V481" s="268"/>
    </row>
    <row r="482" spans="4:22" ht="16.899999999999999" x14ac:dyDescent="0.5">
      <c r="D482" s="268"/>
      <c r="F482" s="268"/>
      <c r="L482" s="268"/>
      <c r="N482" s="268"/>
      <c r="T482" s="268"/>
      <c r="V482" s="268"/>
    </row>
    <row r="483" spans="4:22" ht="16.899999999999999" x14ac:dyDescent="0.5">
      <c r="D483" s="268"/>
      <c r="F483" s="268"/>
      <c r="L483" s="268"/>
      <c r="N483" s="268"/>
      <c r="T483" s="268"/>
      <c r="V483" s="268"/>
    </row>
    <row r="484" spans="4:22" ht="16.899999999999999" x14ac:dyDescent="0.5">
      <c r="D484" s="268"/>
      <c r="F484" s="268"/>
      <c r="L484" s="268"/>
      <c r="N484" s="268"/>
      <c r="T484" s="268"/>
      <c r="V484" s="268"/>
    </row>
    <row r="485" spans="4:22" ht="16.899999999999999" x14ac:dyDescent="0.5">
      <c r="D485" s="268"/>
      <c r="F485" s="268"/>
      <c r="L485" s="268"/>
      <c r="N485" s="268"/>
      <c r="T485" s="268"/>
      <c r="V485" s="268"/>
    </row>
    <row r="486" spans="4:22" ht="16.899999999999999" x14ac:dyDescent="0.5">
      <c r="D486" s="268"/>
      <c r="F486" s="268"/>
      <c r="L486" s="268"/>
      <c r="N486" s="268"/>
      <c r="T486" s="268"/>
      <c r="V486" s="268"/>
    </row>
    <row r="487" spans="4:22" ht="16.899999999999999" x14ac:dyDescent="0.5">
      <c r="D487" s="268"/>
      <c r="F487" s="268"/>
      <c r="L487" s="268"/>
      <c r="N487" s="268"/>
      <c r="T487" s="268"/>
      <c r="V487" s="268"/>
    </row>
    <row r="488" spans="4:22" ht="16.899999999999999" x14ac:dyDescent="0.5">
      <c r="D488" s="268"/>
      <c r="F488" s="268"/>
      <c r="L488" s="268"/>
      <c r="N488" s="268"/>
      <c r="T488" s="268"/>
      <c r="V488" s="268"/>
    </row>
    <row r="489" spans="4:22" ht="16.899999999999999" x14ac:dyDescent="0.5">
      <c r="D489" s="268"/>
      <c r="F489" s="268"/>
      <c r="L489" s="268"/>
      <c r="N489" s="268"/>
      <c r="T489" s="268"/>
      <c r="V489" s="268"/>
    </row>
    <row r="490" spans="4:22" ht="16.899999999999999" x14ac:dyDescent="0.5">
      <c r="D490" s="268"/>
      <c r="F490" s="268"/>
      <c r="L490" s="268"/>
      <c r="N490" s="268"/>
      <c r="T490" s="268"/>
      <c r="V490" s="268"/>
    </row>
    <row r="491" spans="4:22" ht="16.899999999999999" x14ac:dyDescent="0.5">
      <c r="D491" s="268"/>
      <c r="F491" s="268"/>
      <c r="L491" s="268"/>
      <c r="N491" s="268"/>
      <c r="T491" s="268"/>
      <c r="V491" s="268"/>
    </row>
    <row r="492" spans="4:22" ht="16.899999999999999" x14ac:dyDescent="0.5">
      <c r="D492" s="268"/>
      <c r="F492" s="268"/>
      <c r="L492" s="268"/>
      <c r="N492" s="268"/>
      <c r="T492" s="268"/>
      <c r="V492" s="268"/>
    </row>
    <row r="493" spans="4:22" ht="16.899999999999999" x14ac:dyDescent="0.5">
      <c r="D493" s="268"/>
      <c r="F493" s="268"/>
      <c r="L493" s="268"/>
      <c r="N493" s="268"/>
      <c r="T493" s="268"/>
      <c r="V493" s="268"/>
    </row>
    <row r="494" spans="4:22" ht="16.899999999999999" x14ac:dyDescent="0.5">
      <c r="D494" s="268"/>
      <c r="F494" s="268"/>
      <c r="L494" s="268"/>
      <c r="N494" s="268"/>
      <c r="T494" s="268"/>
      <c r="V494" s="268"/>
    </row>
    <row r="495" spans="4:22" ht="16.899999999999999" x14ac:dyDescent="0.5">
      <c r="D495" s="268"/>
      <c r="F495" s="268"/>
      <c r="L495" s="268"/>
      <c r="N495" s="268"/>
      <c r="T495" s="268"/>
      <c r="V495" s="268"/>
    </row>
    <row r="496" spans="4:22" ht="16.899999999999999" x14ac:dyDescent="0.5">
      <c r="D496" s="268"/>
      <c r="F496" s="268"/>
      <c r="L496" s="268"/>
      <c r="N496" s="268"/>
      <c r="T496" s="268"/>
      <c r="V496" s="268"/>
    </row>
    <row r="497" spans="4:22" ht="16.899999999999999" x14ac:dyDescent="0.5">
      <c r="D497" s="268"/>
      <c r="F497" s="268"/>
      <c r="L497" s="268"/>
      <c r="N497" s="268"/>
      <c r="T497" s="268"/>
      <c r="V497" s="268"/>
    </row>
    <row r="498" spans="4:22" ht="16.899999999999999" x14ac:dyDescent="0.5">
      <c r="D498" s="268"/>
      <c r="F498" s="268"/>
      <c r="L498" s="268"/>
      <c r="N498" s="268"/>
      <c r="T498" s="268"/>
      <c r="V498" s="268"/>
    </row>
    <row r="499" spans="4:22" ht="16.899999999999999" x14ac:dyDescent="0.5">
      <c r="D499" s="268"/>
      <c r="F499" s="268"/>
      <c r="L499" s="268"/>
      <c r="N499" s="268"/>
      <c r="T499" s="268"/>
      <c r="V499" s="268"/>
    </row>
    <row r="500" spans="4:22" ht="16.899999999999999" x14ac:dyDescent="0.5">
      <c r="D500" s="268"/>
      <c r="F500" s="268"/>
      <c r="L500" s="268"/>
      <c r="N500" s="268"/>
      <c r="T500" s="268"/>
      <c r="V500" s="268"/>
    </row>
    <row r="501" spans="4:22" ht="16.899999999999999" x14ac:dyDescent="0.5">
      <c r="D501" s="268"/>
      <c r="F501" s="268"/>
      <c r="L501" s="268"/>
      <c r="N501" s="268"/>
      <c r="T501" s="268"/>
      <c r="V501" s="268"/>
    </row>
    <row r="502" spans="4:22" ht="16.899999999999999" x14ac:dyDescent="0.5">
      <c r="D502" s="268"/>
      <c r="F502" s="268"/>
      <c r="L502" s="268"/>
      <c r="N502" s="268"/>
      <c r="T502" s="268"/>
      <c r="V502" s="268"/>
    </row>
    <row r="503" spans="4:22" ht="16.899999999999999" x14ac:dyDescent="0.5">
      <c r="D503" s="268"/>
      <c r="F503" s="268"/>
      <c r="L503" s="268"/>
      <c r="N503" s="268"/>
      <c r="T503" s="268"/>
      <c r="V503" s="268"/>
    </row>
    <row r="504" spans="4:22" ht="16.899999999999999" x14ac:dyDescent="0.5">
      <c r="D504" s="268"/>
      <c r="F504" s="268"/>
      <c r="L504" s="268"/>
      <c r="N504" s="268"/>
      <c r="T504" s="268"/>
      <c r="V504" s="268"/>
    </row>
    <row r="505" spans="4:22" ht="16.899999999999999" x14ac:dyDescent="0.5">
      <c r="D505" s="268"/>
      <c r="F505" s="268"/>
      <c r="L505" s="268"/>
      <c r="N505" s="268"/>
      <c r="T505" s="268"/>
      <c r="V505" s="268"/>
    </row>
    <row r="506" spans="4:22" ht="16.899999999999999" x14ac:dyDescent="0.5">
      <c r="D506" s="268"/>
      <c r="F506" s="268"/>
      <c r="L506" s="268"/>
      <c r="N506" s="268"/>
      <c r="T506" s="268"/>
      <c r="V506" s="268"/>
    </row>
    <row r="507" spans="4:22" ht="16.899999999999999" x14ac:dyDescent="0.5">
      <c r="D507" s="268"/>
      <c r="F507" s="268"/>
      <c r="L507" s="268"/>
      <c r="N507" s="268"/>
      <c r="T507" s="268"/>
      <c r="V507" s="268"/>
    </row>
    <row r="508" spans="4:22" ht="16.899999999999999" x14ac:dyDescent="0.5">
      <c r="D508" s="268"/>
      <c r="F508" s="268"/>
      <c r="L508" s="268"/>
      <c r="N508" s="268"/>
      <c r="T508" s="268"/>
      <c r="V508" s="268"/>
    </row>
    <row r="509" spans="4:22" ht="16.899999999999999" x14ac:dyDescent="0.5">
      <c r="D509" s="268"/>
      <c r="F509" s="268"/>
      <c r="L509" s="268"/>
      <c r="N509" s="268"/>
      <c r="T509" s="268"/>
      <c r="V509" s="268"/>
    </row>
    <row r="510" spans="4:22" ht="16.899999999999999" x14ac:dyDescent="0.5">
      <c r="D510" s="268"/>
      <c r="F510" s="268"/>
      <c r="L510" s="268"/>
      <c r="N510" s="268"/>
      <c r="T510" s="268"/>
      <c r="V510" s="268"/>
    </row>
    <row r="511" spans="4:22" ht="16.899999999999999" x14ac:dyDescent="0.5">
      <c r="D511" s="268"/>
      <c r="F511" s="268"/>
      <c r="L511" s="268"/>
      <c r="N511" s="268"/>
      <c r="T511" s="268"/>
      <c r="V511" s="268"/>
    </row>
    <row r="512" spans="4:22" ht="16.899999999999999" x14ac:dyDescent="0.5">
      <c r="D512" s="268"/>
      <c r="F512" s="268"/>
      <c r="L512" s="268"/>
      <c r="N512" s="268"/>
      <c r="T512" s="268"/>
      <c r="V512" s="268"/>
    </row>
    <row r="513" spans="4:22" ht="16.899999999999999" x14ac:dyDescent="0.5">
      <c r="D513" s="268"/>
      <c r="F513" s="268"/>
      <c r="L513" s="268"/>
      <c r="N513" s="268"/>
      <c r="T513" s="268"/>
      <c r="V513" s="268"/>
    </row>
    <row r="514" spans="4:22" ht="16.899999999999999" x14ac:dyDescent="0.5">
      <c r="D514" s="268"/>
      <c r="F514" s="268"/>
      <c r="L514" s="268"/>
      <c r="N514" s="268"/>
      <c r="T514" s="268"/>
      <c r="V514" s="268"/>
    </row>
    <row r="515" spans="4:22" ht="16.899999999999999" x14ac:dyDescent="0.5">
      <c r="D515" s="268"/>
      <c r="F515" s="268"/>
      <c r="L515" s="268"/>
      <c r="N515" s="268"/>
      <c r="T515" s="268"/>
      <c r="V515" s="268"/>
    </row>
    <row r="516" spans="4:22" ht="16.899999999999999" x14ac:dyDescent="0.5">
      <c r="D516" s="268"/>
      <c r="F516" s="268"/>
      <c r="L516" s="268"/>
      <c r="N516" s="268"/>
      <c r="T516" s="268"/>
      <c r="V516" s="268"/>
    </row>
    <row r="517" spans="4:22" ht="16.899999999999999" x14ac:dyDescent="0.5">
      <c r="D517" s="268"/>
      <c r="F517" s="268"/>
      <c r="L517" s="268"/>
      <c r="N517" s="268"/>
      <c r="T517" s="268"/>
      <c r="V517" s="268"/>
    </row>
    <row r="518" spans="4:22" ht="16.899999999999999" x14ac:dyDescent="0.5">
      <c r="D518" s="268"/>
      <c r="F518" s="268"/>
      <c r="L518" s="268"/>
      <c r="N518" s="268"/>
      <c r="T518" s="268"/>
      <c r="V518" s="268"/>
    </row>
    <row r="519" spans="4:22" ht="16.899999999999999" x14ac:dyDescent="0.5">
      <c r="D519" s="268"/>
      <c r="F519" s="268"/>
      <c r="L519" s="268"/>
      <c r="N519" s="268"/>
      <c r="T519" s="268"/>
      <c r="V519" s="268"/>
    </row>
    <row r="520" spans="4:22" ht="16.899999999999999" x14ac:dyDescent="0.5">
      <c r="D520" s="268"/>
      <c r="F520" s="268"/>
      <c r="L520" s="268"/>
      <c r="N520" s="268"/>
      <c r="T520" s="268"/>
      <c r="V520" s="268"/>
    </row>
    <row r="521" spans="4:22" ht="16.899999999999999" x14ac:dyDescent="0.5">
      <c r="D521" s="268"/>
      <c r="F521" s="268"/>
      <c r="L521" s="268"/>
      <c r="N521" s="268"/>
      <c r="T521" s="268"/>
      <c r="V521" s="268"/>
    </row>
    <row r="522" spans="4:22" ht="16.899999999999999" x14ac:dyDescent="0.5">
      <c r="D522" s="268"/>
      <c r="F522" s="268"/>
      <c r="L522" s="268"/>
      <c r="N522" s="268"/>
      <c r="T522" s="268"/>
      <c r="V522" s="268"/>
    </row>
    <row r="523" spans="4:22" ht="16.899999999999999" x14ac:dyDescent="0.5">
      <c r="D523" s="268"/>
      <c r="F523" s="268"/>
      <c r="L523" s="268"/>
      <c r="N523" s="268"/>
      <c r="T523" s="268"/>
      <c r="V523" s="268"/>
    </row>
    <row r="524" spans="4:22" ht="16.899999999999999" x14ac:dyDescent="0.5">
      <c r="D524" s="268"/>
      <c r="F524" s="268"/>
      <c r="L524" s="268"/>
      <c r="N524" s="268"/>
      <c r="T524" s="268"/>
      <c r="V524" s="268"/>
    </row>
    <row r="525" spans="4:22" ht="16.899999999999999" x14ac:dyDescent="0.5">
      <c r="D525" s="268"/>
      <c r="F525" s="268"/>
      <c r="L525" s="268"/>
      <c r="N525" s="268"/>
      <c r="T525" s="268"/>
      <c r="V525" s="268"/>
    </row>
    <row r="526" spans="4:22" ht="16.899999999999999" x14ac:dyDescent="0.5">
      <c r="D526" s="268"/>
      <c r="F526" s="268"/>
      <c r="L526" s="268"/>
      <c r="N526" s="268"/>
      <c r="T526" s="268"/>
      <c r="V526" s="268"/>
    </row>
    <row r="527" spans="4:22" ht="16.899999999999999" x14ac:dyDescent="0.5">
      <c r="D527" s="268"/>
      <c r="F527" s="268"/>
      <c r="L527" s="268"/>
      <c r="N527" s="268"/>
      <c r="T527" s="268"/>
      <c r="V527" s="268"/>
    </row>
    <row r="528" spans="4:22" ht="16.899999999999999" x14ac:dyDescent="0.5">
      <c r="D528" s="268"/>
      <c r="F528" s="268"/>
      <c r="L528" s="268"/>
      <c r="N528" s="268"/>
      <c r="T528" s="268"/>
      <c r="V528" s="268"/>
    </row>
    <row r="529" spans="4:22" ht="16.899999999999999" x14ac:dyDescent="0.5">
      <c r="D529" s="268"/>
      <c r="F529" s="268"/>
      <c r="L529" s="268"/>
      <c r="N529" s="268"/>
      <c r="T529" s="268"/>
      <c r="V529" s="268"/>
    </row>
    <row r="530" spans="4:22" ht="16.899999999999999" x14ac:dyDescent="0.5">
      <c r="D530" s="268"/>
      <c r="F530" s="268"/>
      <c r="L530" s="268"/>
      <c r="N530" s="268"/>
      <c r="T530" s="268"/>
      <c r="V530" s="268"/>
    </row>
    <row r="531" spans="4:22" ht="16.899999999999999" x14ac:dyDescent="0.5">
      <c r="D531" s="268"/>
      <c r="F531" s="268"/>
      <c r="L531" s="268"/>
      <c r="N531" s="268"/>
      <c r="T531" s="268"/>
      <c r="V531" s="268"/>
    </row>
    <row r="532" spans="4:22" ht="16.899999999999999" x14ac:dyDescent="0.5">
      <c r="D532" s="268"/>
      <c r="F532" s="268"/>
      <c r="L532" s="268"/>
      <c r="N532" s="268"/>
      <c r="T532" s="268"/>
      <c r="V532" s="268"/>
    </row>
    <row r="533" spans="4:22" ht="16.899999999999999" x14ac:dyDescent="0.5">
      <c r="D533" s="268"/>
      <c r="F533" s="268"/>
      <c r="L533" s="268"/>
      <c r="N533" s="268"/>
      <c r="T533" s="268"/>
      <c r="V533" s="268"/>
    </row>
    <row r="534" spans="4:22" ht="16.899999999999999" x14ac:dyDescent="0.5">
      <c r="D534" s="268"/>
      <c r="F534" s="268"/>
      <c r="L534" s="268"/>
      <c r="N534" s="268"/>
      <c r="T534" s="268"/>
      <c r="V534" s="268"/>
    </row>
    <row r="535" spans="4:22" ht="16.899999999999999" x14ac:dyDescent="0.5">
      <c r="D535" s="268"/>
      <c r="F535" s="268"/>
      <c r="L535" s="268"/>
      <c r="N535" s="268"/>
      <c r="T535" s="268"/>
      <c r="V535" s="268"/>
    </row>
    <row r="536" spans="4:22" ht="16.899999999999999" x14ac:dyDescent="0.5">
      <c r="D536" s="268"/>
      <c r="F536" s="268"/>
      <c r="L536" s="268"/>
      <c r="N536" s="268"/>
      <c r="T536" s="268"/>
      <c r="V536" s="268"/>
    </row>
    <row r="537" spans="4:22" ht="16.899999999999999" x14ac:dyDescent="0.5">
      <c r="D537" s="268"/>
      <c r="F537" s="268"/>
      <c r="L537" s="268"/>
      <c r="N537" s="268"/>
      <c r="T537" s="268"/>
      <c r="V537" s="268"/>
    </row>
    <row r="538" spans="4:22" ht="16.899999999999999" x14ac:dyDescent="0.5">
      <c r="D538" s="268"/>
      <c r="F538" s="268"/>
      <c r="L538" s="268"/>
      <c r="N538" s="268"/>
      <c r="T538" s="268"/>
      <c r="V538" s="268"/>
    </row>
    <row r="539" spans="4:22" ht="16.899999999999999" x14ac:dyDescent="0.5">
      <c r="D539" s="268"/>
      <c r="F539" s="268"/>
      <c r="L539" s="268"/>
      <c r="N539" s="268"/>
      <c r="T539" s="268"/>
      <c r="V539" s="268"/>
    </row>
    <row r="540" spans="4:22" ht="16.899999999999999" x14ac:dyDescent="0.5">
      <c r="D540" s="268"/>
      <c r="F540" s="268"/>
      <c r="L540" s="268"/>
      <c r="N540" s="268"/>
      <c r="T540" s="268"/>
      <c r="V540" s="268"/>
    </row>
    <row r="541" spans="4:22" ht="16.899999999999999" x14ac:dyDescent="0.5">
      <c r="D541" s="268"/>
      <c r="F541" s="268"/>
      <c r="L541" s="268"/>
      <c r="N541" s="268"/>
      <c r="T541" s="268"/>
      <c r="V541" s="268"/>
    </row>
    <row r="542" spans="4:22" ht="16.899999999999999" x14ac:dyDescent="0.5">
      <c r="D542" s="268"/>
      <c r="F542" s="268"/>
      <c r="L542" s="268"/>
      <c r="N542" s="268"/>
      <c r="T542" s="268"/>
      <c r="V542" s="268"/>
    </row>
    <row r="543" spans="4:22" ht="16.899999999999999" x14ac:dyDescent="0.5">
      <c r="D543" s="268"/>
      <c r="F543" s="268"/>
      <c r="L543" s="268"/>
      <c r="N543" s="268"/>
      <c r="T543" s="268"/>
      <c r="V543" s="268"/>
    </row>
    <row r="544" spans="4:22" ht="16.899999999999999" x14ac:dyDescent="0.5">
      <c r="D544" s="268"/>
      <c r="F544" s="268"/>
      <c r="L544" s="268"/>
      <c r="N544" s="268"/>
      <c r="T544" s="268"/>
      <c r="V544" s="268"/>
    </row>
    <row r="545" spans="4:22" ht="16.899999999999999" x14ac:dyDescent="0.5">
      <c r="D545" s="268"/>
      <c r="F545" s="268"/>
      <c r="L545" s="268"/>
      <c r="N545" s="268"/>
      <c r="T545" s="268"/>
      <c r="V545" s="268"/>
    </row>
    <row r="546" spans="4:22" ht="16.899999999999999" x14ac:dyDescent="0.5">
      <c r="D546" s="268"/>
      <c r="F546" s="268"/>
      <c r="L546" s="268"/>
      <c r="N546" s="268"/>
      <c r="T546" s="268"/>
      <c r="V546" s="268"/>
    </row>
    <row r="547" spans="4:22" ht="16.899999999999999" x14ac:dyDescent="0.5">
      <c r="D547" s="268"/>
      <c r="F547" s="268"/>
      <c r="L547" s="268"/>
      <c r="N547" s="268"/>
      <c r="T547" s="268"/>
      <c r="V547" s="268"/>
    </row>
    <row r="548" spans="4:22" ht="16.899999999999999" x14ac:dyDescent="0.5">
      <c r="D548" s="268"/>
      <c r="F548" s="268"/>
      <c r="L548" s="268"/>
      <c r="N548" s="268"/>
      <c r="T548" s="268"/>
      <c r="V548" s="268"/>
    </row>
    <row r="549" spans="4:22" ht="16.899999999999999" x14ac:dyDescent="0.5">
      <c r="D549" s="268"/>
      <c r="F549" s="268"/>
      <c r="L549" s="268"/>
      <c r="N549" s="268"/>
      <c r="T549" s="268"/>
      <c r="V549" s="268"/>
    </row>
    <row r="550" spans="4:22" ht="16.899999999999999" x14ac:dyDescent="0.5">
      <c r="D550" s="268"/>
      <c r="F550" s="268"/>
      <c r="L550" s="268"/>
      <c r="N550" s="268"/>
      <c r="T550" s="268"/>
      <c r="V550" s="268"/>
    </row>
    <row r="551" spans="4:22" ht="16.899999999999999" x14ac:dyDescent="0.5">
      <c r="D551" s="268"/>
      <c r="F551" s="268"/>
      <c r="L551" s="268"/>
      <c r="N551" s="268"/>
      <c r="T551" s="268"/>
      <c r="V551" s="268"/>
    </row>
    <row r="552" spans="4:22" ht="16.899999999999999" x14ac:dyDescent="0.5">
      <c r="D552" s="268"/>
      <c r="F552" s="268"/>
      <c r="L552" s="268"/>
      <c r="N552" s="268"/>
      <c r="T552" s="268"/>
      <c r="V552" s="268"/>
    </row>
    <row r="553" spans="4:22" ht="16.899999999999999" x14ac:dyDescent="0.5">
      <c r="D553" s="268"/>
      <c r="F553" s="268"/>
      <c r="L553" s="268"/>
      <c r="N553" s="268"/>
      <c r="T553" s="268"/>
      <c r="V553" s="268"/>
    </row>
    <row r="554" spans="4:22" ht="16.899999999999999" x14ac:dyDescent="0.5">
      <c r="D554" s="268"/>
      <c r="F554" s="268"/>
      <c r="L554" s="268"/>
      <c r="N554" s="268"/>
      <c r="T554" s="268"/>
      <c r="V554" s="268"/>
    </row>
    <row r="555" spans="4:22" ht="16.899999999999999" x14ac:dyDescent="0.5">
      <c r="D555" s="268"/>
      <c r="F555" s="268"/>
      <c r="L555" s="268"/>
      <c r="N555" s="268"/>
      <c r="T555" s="268"/>
      <c r="V555" s="268"/>
    </row>
    <row r="556" spans="4:22" ht="16.899999999999999" x14ac:dyDescent="0.5">
      <c r="D556" s="268"/>
      <c r="F556" s="268"/>
      <c r="L556" s="268"/>
      <c r="N556" s="268"/>
      <c r="T556" s="268"/>
      <c r="V556" s="268"/>
    </row>
    <row r="557" spans="4:22" ht="16.899999999999999" x14ac:dyDescent="0.5">
      <c r="D557" s="268"/>
      <c r="F557" s="268"/>
      <c r="L557" s="268"/>
      <c r="N557" s="268"/>
      <c r="T557" s="268"/>
      <c r="V557" s="268"/>
    </row>
    <row r="558" spans="4:22" ht="16.899999999999999" x14ac:dyDescent="0.5">
      <c r="D558" s="268"/>
      <c r="F558" s="268"/>
      <c r="L558" s="268"/>
      <c r="N558" s="268"/>
      <c r="T558" s="268"/>
      <c r="V558" s="268"/>
    </row>
    <row r="559" spans="4:22" ht="16.899999999999999" x14ac:dyDescent="0.5">
      <c r="D559" s="268"/>
      <c r="F559" s="268"/>
      <c r="L559" s="268"/>
      <c r="N559" s="268"/>
      <c r="T559" s="268"/>
      <c r="V559" s="268"/>
    </row>
    <row r="560" spans="4:22" ht="16.899999999999999" x14ac:dyDescent="0.5">
      <c r="D560" s="268"/>
      <c r="F560" s="268"/>
      <c r="L560" s="268"/>
      <c r="N560" s="268"/>
      <c r="T560" s="268"/>
      <c r="V560" s="268"/>
    </row>
    <row r="561" spans="4:22" ht="16.899999999999999" x14ac:dyDescent="0.5">
      <c r="D561" s="268"/>
      <c r="F561" s="268"/>
      <c r="L561" s="268"/>
      <c r="N561" s="268"/>
      <c r="T561" s="268"/>
      <c r="V561" s="268"/>
    </row>
    <row r="562" spans="4:22" ht="16.899999999999999" x14ac:dyDescent="0.5">
      <c r="D562" s="268"/>
      <c r="F562" s="268"/>
      <c r="L562" s="268"/>
      <c r="N562" s="268"/>
      <c r="T562" s="268"/>
      <c r="V562" s="268"/>
    </row>
    <row r="563" spans="4:22" ht="16.899999999999999" x14ac:dyDescent="0.5">
      <c r="D563" s="268"/>
      <c r="F563" s="268"/>
      <c r="L563" s="268"/>
      <c r="N563" s="268"/>
      <c r="T563" s="268"/>
      <c r="V563" s="268"/>
    </row>
    <row r="564" spans="4:22" ht="16.899999999999999" x14ac:dyDescent="0.5">
      <c r="D564" s="268"/>
      <c r="F564" s="268"/>
      <c r="L564" s="268"/>
      <c r="N564" s="268"/>
      <c r="T564" s="268"/>
      <c r="V564" s="268"/>
    </row>
    <row r="565" spans="4:22" ht="16.899999999999999" x14ac:dyDescent="0.5">
      <c r="D565" s="268"/>
      <c r="F565" s="268"/>
      <c r="L565" s="268"/>
      <c r="N565" s="268"/>
      <c r="T565" s="268"/>
      <c r="V565" s="268"/>
    </row>
    <row r="566" spans="4:22" ht="16.899999999999999" x14ac:dyDescent="0.5">
      <c r="D566" s="268"/>
      <c r="F566" s="268"/>
      <c r="L566" s="268"/>
      <c r="N566" s="268"/>
      <c r="T566" s="268"/>
      <c r="V566" s="268"/>
    </row>
    <row r="567" spans="4:22" ht="16.899999999999999" x14ac:dyDescent="0.5">
      <c r="D567" s="268"/>
      <c r="F567" s="268"/>
      <c r="L567" s="268"/>
      <c r="N567" s="268"/>
      <c r="T567" s="268"/>
      <c r="V567" s="268"/>
    </row>
    <row r="568" spans="4:22" ht="16.899999999999999" x14ac:dyDescent="0.5">
      <c r="D568" s="268"/>
      <c r="F568" s="268"/>
      <c r="L568" s="268"/>
      <c r="N568" s="268"/>
      <c r="T568" s="268"/>
      <c r="V568" s="268"/>
    </row>
    <row r="569" spans="4:22" ht="16.899999999999999" x14ac:dyDescent="0.5">
      <c r="D569" s="268"/>
      <c r="F569" s="268"/>
      <c r="L569" s="268"/>
      <c r="N569" s="268"/>
      <c r="T569" s="268"/>
      <c r="V569" s="268"/>
    </row>
    <row r="570" spans="4:22" ht="16.899999999999999" x14ac:dyDescent="0.5">
      <c r="D570" s="268"/>
      <c r="F570" s="268"/>
      <c r="L570" s="268"/>
      <c r="N570" s="268"/>
      <c r="T570" s="268"/>
      <c r="V570" s="268"/>
    </row>
    <row r="571" spans="4:22" ht="16.899999999999999" x14ac:dyDescent="0.5">
      <c r="D571" s="268"/>
      <c r="F571" s="268"/>
      <c r="L571" s="268"/>
      <c r="N571" s="268"/>
      <c r="T571" s="268"/>
      <c r="V571" s="268"/>
    </row>
    <row r="572" spans="4:22" ht="16.899999999999999" x14ac:dyDescent="0.5">
      <c r="D572" s="268"/>
      <c r="F572" s="268"/>
      <c r="L572" s="268"/>
      <c r="N572" s="268"/>
      <c r="T572" s="268"/>
      <c r="V572" s="268"/>
    </row>
    <row r="573" spans="4:22" ht="16.899999999999999" x14ac:dyDescent="0.5">
      <c r="D573" s="268"/>
      <c r="F573" s="268"/>
      <c r="L573" s="268"/>
      <c r="N573" s="268"/>
      <c r="T573" s="268"/>
      <c r="V573" s="268"/>
    </row>
    <row r="574" spans="4:22" ht="16.899999999999999" x14ac:dyDescent="0.5">
      <c r="D574" s="268"/>
      <c r="F574" s="268"/>
      <c r="L574" s="268"/>
      <c r="N574" s="268"/>
      <c r="T574" s="268"/>
      <c r="V574" s="268"/>
    </row>
    <row r="575" spans="4:22" ht="16.899999999999999" x14ac:dyDescent="0.5">
      <c r="D575" s="268"/>
      <c r="F575" s="268"/>
      <c r="L575" s="268"/>
      <c r="N575" s="268"/>
      <c r="T575" s="268"/>
      <c r="V575" s="268"/>
    </row>
    <row r="576" spans="4:22" ht="16.899999999999999" x14ac:dyDescent="0.5">
      <c r="D576" s="268"/>
      <c r="F576" s="268"/>
      <c r="L576" s="268"/>
      <c r="N576" s="268"/>
      <c r="T576" s="268"/>
      <c r="V576" s="268"/>
    </row>
    <row r="577" spans="4:22" ht="16.899999999999999" x14ac:dyDescent="0.5">
      <c r="D577" s="268"/>
      <c r="F577" s="268"/>
      <c r="L577" s="268"/>
      <c r="N577" s="268"/>
      <c r="T577" s="268"/>
      <c r="V577" s="268"/>
    </row>
    <row r="578" spans="4:22" ht="16.899999999999999" x14ac:dyDescent="0.5">
      <c r="D578" s="268"/>
      <c r="F578" s="268"/>
      <c r="L578" s="268"/>
      <c r="N578" s="268"/>
      <c r="T578" s="268"/>
      <c r="V578" s="268"/>
    </row>
    <row r="579" spans="4:22" ht="16.899999999999999" x14ac:dyDescent="0.5">
      <c r="D579" s="268"/>
      <c r="F579" s="268"/>
      <c r="L579" s="268"/>
      <c r="N579" s="268"/>
      <c r="T579" s="268"/>
      <c r="V579" s="268"/>
    </row>
    <row r="580" spans="4:22" ht="16.899999999999999" x14ac:dyDescent="0.5">
      <c r="D580" s="268"/>
      <c r="F580" s="268"/>
      <c r="L580" s="268"/>
      <c r="N580" s="268"/>
      <c r="T580" s="268"/>
      <c r="V580" s="268"/>
    </row>
    <row r="581" spans="4:22" ht="16.899999999999999" x14ac:dyDescent="0.5">
      <c r="D581" s="268"/>
      <c r="F581" s="268"/>
      <c r="L581" s="268"/>
      <c r="N581" s="268"/>
      <c r="T581" s="268"/>
      <c r="V581" s="268"/>
    </row>
    <row r="582" spans="4:22" ht="16.899999999999999" x14ac:dyDescent="0.5">
      <c r="D582" s="268"/>
      <c r="F582" s="268"/>
      <c r="L582" s="268"/>
      <c r="N582" s="268"/>
      <c r="T582" s="268"/>
      <c r="V582" s="268"/>
    </row>
    <row r="583" spans="4:22" ht="16.899999999999999" x14ac:dyDescent="0.5">
      <c r="D583" s="268"/>
      <c r="F583" s="268"/>
      <c r="L583" s="268"/>
      <c r="N583" s="268"/>
      <c r="T583" s="268"/>
      <c r="V583" s="268"/>
    </row>
    <row r="584" spans="4:22" ht="16.899999999999999" x14ac:dyDescent="0.5">
      <c r="D584" s="268"/>
      <c r="F584" s="268"/>
      <c r="L584" s="268"/>
      <c r="N584" s="268"/>
      <c r="T584" s="268"/>
      <c r="V584" s="268"/>
    </row>
    <row r="585" spans="4:22" ht="16.899999999999999" x14ac:dyDescent="0.5">
      <c r="D585" s="268"/>
      <c r="F585" s="268"/>
      <c r="L585" s="268"/>
      <c r="N585" s="268"/>
      <c r="T585" s="268"/>
      <c r="V585" s="268"/>
    </row>
    <row r="586" spans="4:22" ht="16.899999999999999" x14ac:dyDescent="0.5">
      <c r="D586" s="268"/>
      <c r="F586" s="268"/>
      <c r="L586" s="268"/>
      <c r="N586" s="268"/>
      <c r="T586" s="268"/>
      <c r="V586" s="268"/>
    </row>
    <row r="587" spans="4:22" ht="16.899999999999999" x14ac:dyDescent="0.5">
      <c r="D587" s="268"/>
      <c r="F587" s="268"/>
      <c r="L587" s="268"/>
      <c r="N587" s="268"/>
      <c r="T587" s="268"/>
      <c r="V587" s="268"/>
    </row>
    <row r="588" spans="4:22" ht="16.899999999999999" x14ac:dyDescent="0.5">
      <c r="D588" s="268"/>
      <c r="F588" s="268"/>
      <c r="L588" s="268"/>
      <c r="N588" s="268"/>
      <c r="T588" s="268"/>
      <c r="V588" s="268"/>
    </row>
    <row r="589" spans="4:22" ht="16.899999999999999" x14ac:dyDescent="0.5">
      <c r="D589" s="268"/>
      <c r="F589" s="268"/>
      <c r="L589" s="268"/>
      <c r="N589" s="268"/>
      <c r="T589" s="268"/>
      <c r="V589" s="268"/>
    </row>
    <row r="590" spans="4:22" ht="16.899999999999999" x14ac:dyDescent="0.5">
      <c r="D590" s="268"/>
      <c r="F590" s="268"/>
      <c r="L590" s="268"/>
      <c r="N590" s="268"/>
      <c r="T590" s="268"/>
      <c r="V590" s="268"/>
    </row>
    <row r="591" spans="4:22" ht="16.899999999999999" x14ac:dyDescent="0.5">
      <c r="D591" s="268"/>
      <c r="F591" s="268"/>
      <c r="L591" s="268"/>
      <c r="N591" s="268"/>
      <c r="T591" s="268"/>
      <c r="V591" s="268"/>
    </row>
    <row r="592" spans="4:22" ht="16.899999999999999" x14ac:dyDescent="0.5">
      <c r="D592" s="268"/>
      <c r="F592" s="268"/>
      <c r="L592" s="268"/>
      <c r="N592" s="268"/>
      <c r="T592" s="268"/>
      <c r="V592" s="268"/>
    </row>
    <row r="593" spans="4:22" ht="16.899999999999999" x14ac:dyDescent="0.5">
      <c r="D593" s="268"/>
      <c r="F593" s="268"/>
      <c r="L593" s="268"/>
      <c r="N593" s="268"/>
      <c r="T593" s="268"/>
      <c r="V593" s="268"/>
    </row>
    <row r="594" spans="4:22" ht="16.899999999999999" x14ac:dyDescent="0.5">
      <c r="D594" s="268"/>
      <c r="F594" s="268"/>
      <c r="L594" s="268"/>
      <c r="N594" s="268"/>
      <c r="T594" s="268"/>
      <c r="V594" s="268"/>
    </row>
    <row r="595" spans="4:22" ht="16.899999999999999" x14ac:dyDescent="0.5">
      <c r="D595" s="268"/>
      <c r="F595" s="268"/>
      <c r="L595" s="268"/>
      <c r="N595" s="268"/>
      <c r="T595" s="268"/>
      <c r="V595" s="268"/>
    </row>
    <row r="596" spans="4:22" ht="16.899999999999999" x14ac:dyDescent="0.5">
      <c r="D596" s="268"/>
      <c r="F596" s="268"/>
      <c r="L596" s="268"/>
      <c r="N596" s="268"/>
      <c r="T596" s="268"/>
      <c r="V596" s="268"/>
    </row>
    <row r="597" spans="4:22" ht="16.899999999999999" x14ac:dyDescent="0.5">
      <c r="D597" s="268"/>
      <c r="F597" s="268"/>
      <c r="L597" s="268"/>
      <c r="N597" s="268"/>
      <c r="T597" s="268"/>
      <c r="V597" s="268"/>
    </row>
    <row r="598" spans="4:22" ht="16.899999999999999" x14ac:dyDescent="0.5">
      <c r="D598" s="268"/>
      <c r="F598" s="268"/>
      <c r="L598" s="268"/>
      <c r="N598" s="268"/>
      <c r="T598" s="268"/>
      <c r="V598" s="268"/>
    </row>
    <row r="599" spans="4:22" ht="16.899999999999999" x14ac:dyDescent="0.5">
      <c r="D599" s="268"/>
      <c r="F599" s="268"/>
      <c r="L599" s="268"/>
      <c r="N599" s="268"/>
      <c r="T599" s="268"/>
      <c r="V599" s="268"/>
    </row>
    <row r="600" spans="4:22" ht="16.899999999999999" x14ac:dyDescent="0.5">
      <c r="D600" s="268"/>
      <c r="F600" s="268"/>
      <c r="L600" s="268"/>
      <c r="N600" s="268"/>
      <c r="T600" s="268"/>
      <c r="V600" s="268"/>
    </row>
    <row r="601" spans="4:22" ht="16.899999999999999" x14ac:dyDescent="0.5">
      <c r="D601" s="268"/>
      <c r="F601" s="268"/>
      <c r="L601" s="268"/>
      <c r="N601" s="268"/>
      <c r="T601" s="268"/>
      <c r="V601" s="268"/>
    </row>
    <row r="602" spans="4:22" ht="16.899999999999999" x14ac:dyDescent="0.5">
      <c r="D602" s="268"/>
      <c r="F602" s="268"/>
      <c r="L602" s="268"/>
      <c r="N602" s="268"/>
      <c r="T602" s="268"/>
      <c r="V602" s="268"/>
    </row>
    <row r="603" spans="4:22" ht="16.899999999999999" x14ac:dyDescent="0.5">
      <c r="D603" s="268"/>
      <c r="F603" s="268"/>
      <c r="L603" s="268"/>
      <c r="N603" s="268"/>
      <c r="T603" s="268"/>
      <c r="V603" s="268"/>
    </row>
    <row r="604" spans="4:22" ht="16.899999999999999" x14ac:dyDescent="0.5">
      <c r="D604" s="268"/>
      <c r="F604" s="268"/>
      <c r="L604" s="268"/>
      <c r="N604" s="268"/>
      <c r="T604" s="268"/>
      <c r="V604" s="268"/>
    </row>
    <row r="605" spans="4:22" ht="16.899999999999999" x14ac:dyDescent="0.5">
      <c r="D605" s="268"/>
      <c r="F605" s="268"/>
      <c r="L605" s="268"/>
      <c r="N605" s="268"/>
      <c r="T605" s="268"/>
      <c r="V605" s="268"/>
    </row>
    <row r="606" spans="4:22" ht="16.899999999999999" x14ac:dyDescent="0.5">
      <c r="D606" s="268"/>
      <c r="F606" s="268"/>
      <c r="L606" s="268"/>
      <c r="N606" s="268"/>
      <c r="T606" s="268"/>
      <c r="V606" s="268"/>
    </row>
    <row r="607" spans="4:22" ht="16.899999999999999" x14ac:dyDescent="0.5">
      <c r="D607" s="268"/>
      <c r="F607" s="268"/>
      <c r="L607" s="268"/>
      <c r="N607" s="268"/>
      <c r="T607" s="268"/>
      <c r="V607" s="268"/>
    </row>
    <row r="608" spans="4:22" ht="16.899999999999999" x14ac:dyDescent="0.5">
      <c r="D608" s="268"/>
      <c r="F608" s="268"/>
      <c r="L608" s="268"/>
      <c r="N608" s="268"/>
      <c r="T608" s="268"/>
      <c r="V608" s="268"/>
    </row>
    <row r="609" spans="4:22" ht="16.899999999999999" x14ac:dyDescent="0.5">
      <c r="D609" s="268"/>
      <c r="F609" s="268"/>
      <c r="L609" s="268"/>
      <c r="N609" s="268"/>
      <c r="T609" s="268"/>
      <c r="V609" s="268"/>
    </row>
    <row r="610" spans="4:22" ht="16.899999999999999" x14ac:dyDescent="0.5">
      <c r="D610" s="268"/>
      <c r="F610" s="268"/>
      <c r="L610" s="268"/>
      <c r="N610" s="268"/>
      <c r="T610" s="268"/>
      <c r="V610" s="268"/>
    </row>
    <row r="611" spans="4:22" ht="16.899999999999999" x14ac:dyDescent="0.5">
      <c r="D611" s="268"/>
      <c r="F611" s="268"/>
      <c r="L611" s="268"/>
      <c r="N611" s="268"/>
      <c r="T611" s="268"/>
      <c r="V611" s="268"/>
    </row>
    <row r="612" spans="4:22" ht="16.899999999999999" x14ac:dyDescent="0.5">
      <c r="D612" s="268"/>
      <c r="F612" s="268"/>
      <c r="L612" s="268"/>
      <c r="N612" s="268"/>
      <c r="T612" s="268"/>
      <c r="V612" s="268"/>
    </row>
    <row r="613" spans="4:22" ht="16.899999999999999" x14ac:dyDescent="0.5">
      <c r="D613" s="268"/>
      <c r="F613" s="268"/>
      <c r="L613" s="268"/>
      <c r="N613" s="268"/>
      <c r="T613" s="268"/>
      <c r="V613" s="268"/>
    </row>
    <row r="614" spans="4:22" ht="16.899999999999999" x14ac:dyDescent="0.5">
      <c r="D614" s="268"/>
      <c r="F614" s="268"/>
      <c r="L614" s="268"/>
      <c r="N614" s="268"/>
      <c r="T614" s="268"/>
      <c r="V614" s="268"/>
    </row>
    <row r="615" spans="4:22" ht="16.899999999999999" x14ac:dyDescent="0.5">
      <c r="D615" s="268"/>
      <c r="F615" s="268"/>
      <c r="L615" s="268"/>
      <c r="N615" s="268"/>
      <c r="T615" s="268"/>
      <c r="V615" s="268"/>
    </row>
    <row r="616" spans="4:22" ht="16.899999999999999" x14ac:dyDescent="0.5">
      <c r="D616" s="268"/>
      <c r="F616" s="268"/>
      <c r="L616" s="268"/>
      <c r="N616" s="268"/>
      <c r="T616" s="268"/>
      <c r="V616" s="268"/>
    </row>
    <row r="617" spans="4:22" ht="16.899999999999999" x14ac:dyDescent="0.5">
      <c r="D617" s="268"/>
      <c r="F617" s="268"/>
      <c r="L617" s="268"/>
      <c r="N617" s="268"/>
      <c r="T617" s="268"/>
      <c r="V617" s="268"/>
    </row>
    <row r="618" spans="4:22" ht="16.899999999999999" x14ac:dyDescent="0.5">
      <c r="D618" s="268"/>
      <c r="F618" s="268"/>
      <c r="L618" s="268"/>
      <c r="N618" s="268"/>
      <c r="T618" s="268"/>
      <c r="V618" s="268"/>
    </row>
    <row r="619" spans="4:22" ht="16.899999999999999" x14ac:dyDescent="0.5">
      <c r="D619" s="268"/>
      <c r="F619" s="268"/>
      <c r="L619" s="268"/>
      <c r="N619" s="268"/>
      <c r="T619" s="268"/>
      <c r="V619" s="268"/>
    </row>
    <row r="620" spans="4:22" ht="16.899999999999999" x14ac:dyDescent="0.5">
      <c r="D620" s="268"/>
      <c r="F620" s="268"/>
      <c r="L620" s="268"/>
      <c r="N620" s="268"/>
      <c r="T620" s="268"/>
      <c r="V620" s="268"/>
    </row>
    <row r="621" spans="4:22" ht="16.899999999999999" x14ac:dyDescent="0.5">
      <c r="D621" s="268"/>
      <c r="F621" s="268"/>
      <c r="L621" s="268"/>
      <c r="N621" s="268"/>
      <c r="T621" s="268"/>
      <c r="V621" s="268"/>
    </row>
    <row r="622" spans="4:22" ht="16.899999999999999" x14ac:dyDescent="0.5">
      <c r="D622" s="268"/>
      <c r="F622" s="268"/>
      <c r="L622" s="268"/>
      <c r="N622" s="268"/>
      <c r="T622" s="268"/>
      <c r="V622" s="268"/>
    </row>
    <row r="623" spans="4:22" ht="16.899999999999999" x14ac:dyDescent="0.5">
      <c r="D623" s="268"/>
      <c r="F623" s="268"/>
      <c r="L623" s="268"/>
      <c r="N623" s="268"/>
      <c r="T623" s="268"/>
      <c r="V623" s="268"/>
    </row>
    <row r="624" spans="4:22" ht="16.899999999999999" x14ac:dyDescent="0.5">
      <c r="D624" s="268"/>
      <c r="F624" s="268"/>
      <c r="L624" s="268"/>
      <c r="N624" s="268"/>
      <c r="T624" s="268"/>
      <c r="V624" s="268"/>
    </row>
    <row r="625" spans="4:22" ht="16.899999999999999" x14ac:dyDescent="0.5">
      <c r="D625" s="268"/>
      <c r="F625" s="268"/>
      <c r="L625" s="268"/>
      <c r="N625" s="268"/>
      <c r="T625" s="268"/>
      <c r="V625" s="268"/>
    </row>
    <row r="626" spans="4:22" ht="16.899999999999999" x14ac:dyDescent="0.5">
      <c r="D626" s="268"/>
      <c r="F626" s="268"/>
      <c r="L626" s="268"/>
      <c r="N626" s="268"/>
      <c r="T626" s="268"/>
      <c r="V626" s="268"/>
    </row>
    <row r="627" spans="4:22" ht="16.899999999999999" x14ac:dyDescent="0.5">
      <c r="D627" s="268"/>
      <c r="F627" s="268"/>
      <c r="L627" s="268"/>
      <c r="N627" s="268"/>
      <c r="T627" s="268"/>
      <c r="V627" s="268"/>
    </row>
    <row r="628" spans="4:22" ht="16.899999999999999" x14ac:dyDescent="0.5">
      <c r="D628" s="268"/>
      <c r="F628" s="268"/>
      <c r="L628" s="268"/>
      <c r="N628" s="268"/>
      <c r="T628" s="268"/>
      <c r="V628" s="268"/>
    </row>
    <row r="629" spans="4:22" ht="16.899999999999999" x14ac:dyDescent="0.5">
      <c r="D629" s="268"/>
      <c r="F629" s="268"/>
      <c r="L629" s="268"/>
      <c r="N629" s="268"/>
      <c r="T629" s="268"/>
      <c r="V629" s="268"/>
    </row>
    <row r="630" spans="4:22" ht="16.899999999999999" x14ac:dyDescent="0.5">
      <c r="D630" s="268"/>
      <c r="F630" s="268"/>
      <c r="L630" s="268"/>
      <c r="N630" s="268"/>
      <c r="T630" s="268"/>
      <c r="V630" s="268"/>
    </row>
    <row r="631" spans="4:22" ht="16.899999999999999" x14ac:dyDescent="0.5">
      <c r="D631" s="268"/>
      <c r="F631" s="268"/>
      <c r="L631" s="268"/>
      <c r="N631" s="268"/>
      <c r="T631" s="268"/>
      <c r="V631" s="268"/>
    </row>
    <row r="632" spans="4:22" ht="16.899999999999999" x14ac:dyDescent="0.5">
      <c r="D632" s="268"/>
      <c r="F632" s="268"/>
      <c r="L632" s="268"/>
      <c r="N632" s="268"/>
      <c r="T632" s="268"/>
      <c r="V632" s="268"/>
    </row>
    <row r="633" spans="4:22" ht="16.899999999999999" x14ac:dyDescent="0.5">
      <c r="D633" s="268"/>
      <c r="F633" s="268"/>
      <c r="L633" s="268"/>
      <c r="N633" s="268"/>
      <c r="T633" s="268"/>
      <c r="V633" s="268"/>
    </row>
    <row r="634" spans="4:22" ht="16.899999999999999" x14ac:dyDescent="0.5">
      <c r="D634" s="268"/>
      <c r="F634" s="268"/>
      <c r="L634" s="268"/>
      <c r="N634" s="268"/>
      <c r="T634" s="268"/>
      <c r="V634" s="268"/>
    </row>
    <row r="635" spans="4:22" ht="16.899999999999999" x14ac:dyDescent="0.5">
      <c r="D635" s="268"/>
      <c r="F635" s="268"/>
      <c r="L635" s="268"/>
      <c r="N635" s="268"/>
      <c r="T635" s="268"/>
      <c r="V635" s="268"/>
    </row>
    <row r="636" spans="4:22" ht="16.899999999999999" x14ac:dyDescent="0.5">
      <c r="D636" s="268"/>
      <c r="F636" s="268"/>
      <c r="L636" s="268"/>
      <c r="N636" s="268"/>
      <c r="T636" s="268"/>
      <c r="V636" s="268"/>
    </row>
    <row r="637" spans="4:22" ht="16.899999999999999" x14ac:dyDescent="0.5">
      <c r="D637" s="268"/>
      <c r="F637" s="268"/>
      <c r="L637" s="268"/>
      <c r="N637" s="268"/>
      <c r="T637" s="268"/>
      <c r="V637" s="268"/>
    </row>
    <row r="638" spans="4:22" ht="16.899999999999999" x14ac:dyDescent="0.5">
      <c r="D638" s="268"/>
      <c r="F638" s="268"/>
      <c r="L638" s="268"/>
      <c r="N638" s="268"/>
      <c r="T638" s="268"/>
      <c r="V638" s="268"/>
    </row>
    <row r="639" spans="4:22" ht="16.899999999999999" x14ac:dyDescent="0.5">
      <c r="D639" s="268"/>
      <c r="F639" s="268"/>
      <c r="L639" s="268"/>
      <c r="N639" s="268"/>
      <c r="T639" s="268"/>
      <c r="V639" s="268"/>
    </row>
    <row r="640" spans="4:22" ht="16.899999999999999" x14ac:dyDescent="0.5">
      <c r="D640" s="268"/>
      <c r="F640" s="268"/>
      <c r="L640" s="268"/>
      <c r="N640" s="268"/>
      <c r="T640" s="268"/>
      <c r="V640" s="268"/>
    </row>
    <row r="641" spans="4:22" ht="16.899999999999999" x14ac:dyDescent="0.5">
      <c r="D641" s="268"/>
      <c r="F641" s="268"/>
      <c r="L641" s="268"/>
      <c r="N641" s="268"/>
      <c r="T641" s="268"/>
      <c r="V641" s="268"/>
    </row>
    <row r="642" spans="4:22" ht="16.899999999999999" x14ac:dyDescent="0.5">
      <c r="D642" s="268"/>
      <c r="F642" s="268"/>
      <c r="L642" s="268"/>
      <c r="N642" s="268"/>
      <c r="T642" s="268"/>
      <c r="V642" s="268"/>
    </row>
    <row r="643" spans="4:22" ht="16.899999999999999" x14ac:dyDescent="0.5">
      <c r="D643" s="268"/>
      <c r="F643" s="268"/>
      <c r="L643" s="268"/>
      <c r="N643" s="268"/>
      <c r="T643" s="268"/>
      <c r="V643" s="268"/>
    </row>
    <row r="644" spans="4:22" ht="16.899999999999999" x14ac:dyDescent="0.5">
      <c r="D644" s="268"/>
      <c r="F644" s="268"/>
      <c r="L644" s="268"/>
      <c r="N644" s="268"/>
      <c r="T644" s="268"/>
      <c r="V644" s="268"/>
    </row>
    <row r="645" spans="4:22" ht="16.899999999999999" x14ac:dyDescent="0.5">
      <c r="D645" s="268"/>
      <c r="F645" s="268"/>
      <c r="L645" s="268"/>
      <c r="N645" s="268"/>
      <c r="T645" s="268"/>
      <c r="V645" s="268"/>
    </row>
    <row r="646" spans="4:22" ht="16.899999999999999" x14ac:dyDescent="0.5">
      <c r="D646" s="268"/>
      <c r="F646" s="268"/>
      <c r="L646" s="268"/>
      <c r="N646" s="268"/>
      <c r="T646" s="268"/>
      <c r="V646" s="268"/>
    </row>
    <row r="647" spans="4:22" ht="16.899999999999999" x14ac:dyDescent="0.5">
      <c r="D647" s="268"/>
      <c r="F647" s="268"/>
      <c r="L647" s="268"/>
      <c r="N647" s="268"/>
      <c r="T647" s="268"/>
      <c r="V647" s="268"/>
    </row>
    <row r="648" spans="4:22" ht="16.899999999999999" x14ac:dyDescent="0.5">
      <c r="D648" s="268"/>
      <c r="F648" s="268"/>
      <c r="L648" s="268"/>
      <c r="N648" s="268"/>
      <c r="T648" s="268"/>
      <c r="V648" s="268"/>
    </row>
    <row r="649" spans="4:22" ht="16.899999999999999" x14ac:dyDescent="0.5">
      <c r="D649" s="268"/>
      <c r="F649" s="268"/>
      <c r="L649" s="268"/>
      <c r="N649" s="268"/>
      <c r="T649" s="268"/>
      <c r="V649" s="268"/>
    </row>
    <row r="650" spans="4:22" ht="16.899999999999999" x14ac:dyDescent="0.5">
      <c r="D650" s="268"/>
      <c r="F650" s="268"/>
      <c r="L650" s="268"/>
      <c r="N650" s="268"/>
      <c r="T650" s="268"/>
      <c r="V650" s="268"/>
    </row>
    <row r="651" spans="4:22" ht="16.899999999999999" x14ac:dyDescent="0.5">
      <c r="D651" s="268"/>
      <c r="F651" s="268"/>
      <c r="L651" s="268"/>
      <c r="N651" s="268"/>
      <c r="T651" s="268"/>
      <c r="V651" s="268"/>
    </row>
    <row r="652" spans="4:22" ht="16.899999999999999" x14ac:dyDescent="0.5">
      <c r="D652" s="268"/>
      <c r="F652" s="268"/>
      <c r="L652" s="268"/>
      <c r="N652" s="268"/>
      <c r="T652" s="268"/>
      <c r="V652" s="268"/>
    </row>
    <row r="653" spans="4:22" ht="16.899999999999999" x14ac:dyDescent="0.5">
      <c r="D653" s="268"/>
      <c r="F653" s="268"/>
      <c r="L653" s="268"/>
      <c r="N653" s="268"/>
      <c r="T653" s="268"/>
      <c r="V653" s="268"/>
    </row>
    <row r="654" spans="4:22" ht="16.899999999999999" x14ac:dyDescent="0.5">
      <c r="D654" s="268"/>
      <c r="F654" s="268"/>
      <c r="L654" s="268"/>
      <c r="N654" s="268"/>
      <c r="T654" s="268"/>
      <c r="V654" s="268"/>
    </row>
    <row r="655" spans="4:22" ht="16.899999999999999" x14ac:dyDescent="0.5">
      <c r="D655" s="268"/>
      <c r="F655" s="268"/>
      <c r="L655" s="268"/>
      <c r="N655" s="268"/>
      <c r="T655" s="268"/>
      <c r="V655" s="268"/>
    </row>
    <row r="656" spans="4:22" ht="16.899999999999999" x14ac:dyDescent="0.5">
      <c r="D656" s="268"/>
      <c r="F656" s="268"/>
      <c r="L656" s="268"/>
      <c r="N656" s="268"/>
      <c r="T656" s="268"/>
      <c r="V656" s="268"/>
    </row>
    <row r="657" spans="4:22" ht="16.899999999999999" x14ac:dyDescent="0.5">
      <c r="D657" s="268"/>
      <c r="F657" s="268"/>
      <c r="L657" s="268"/>
      <c r="N657" s="268"/>
      <c r="T657" s="268"/>
      <c r="V657" s="268"/>
    </row>
    <row r="658" spans="4:22" ht="16.899999999999999" x14ac:dyDescent="0.5">
      <c r="D658" s="268"/>
      <c r="F658" s="268"/>
      <c r="L658" s="268"/>
      <c r="N658" s="268"/>
      <c r="T658" s="268"/>
      <c r="V658" s="268"/>
    </row>
    <row r="659" spans="4:22" ht="16.899999999999999" x14ac:dyDescent="0.5">
      <c r="D659" s="268"/>
      <c r="F659" s="268"/>
      <c r="L659" s="268"/>
      <c r="N659" s="268"/>
      <c r="T659" s="268"/>
      <c r="V659" s="268"/>
    </row>
    <row r="660" spans="4:22" ht="16.899999999999999" x14ac:dyDescent="0.5">
      <c r="D660" s="268"/>
      <c r="F660" s="268"/>
      <c r="L660" s="268"/>
      <c r="N660" s="268"/>
      <c r="T660" s="268"/>
      <c r="V660" s="268"/>
    </row>
    <row r="661" spans="4:22" ht="16.899999999999999" x14ac:dyDescent="0.5">
      <c r="D661" s="268"/>
      <c r="F661" s="268"/>
      <c r="L661" s="268"/>
      <c r="N661" s="268"/>
      <c r="T661" s="268"/>
      <c r="V661" s="268"/>
    </row>
    <row r="662" spans="4:22" ht="16.899999999999999" x14ac:dyDescent="0.5">
      <c r="D662" s="268"/>
      <c r="F662" s="268"/>
      <c r="L662" s="268"/>
      <c r="N662" s="268"/>
      <c r="T662" s="268"/>
      <c r="V662" s="268"/>
    </row>
    <row r="663" spans="4:22" ht="16.899999999999999" x14ac:dyDescent="0.5">
      <c r="D663" s="268"/>
      <c r="F663" s="268"/>
      <c r="L663" s="268"/>
      <c r="N663" s="268"/>
      <c r="T663" s="268"/>
      <c r="V663" s="268"/>
    </row>
    <row r="664" spans="4:22" ht="16.899999999999999" x14ac:dyDescent="0.5">
      <c r="D664" s="268"/>
      <c r="F664" s="268"/>
      <c r="L664" s="268"/>
      <c r="N664" s="268"/>
      <c r="T664" s="268"/>
      <c r="V664" s="268"/>
    </row>
    <row r="665" spans="4:22" ht="16.899999999999999" x14ac:dyDescent="0.5">
      <c r="D665" s="268"/>
      <c r="F665" s="268"/>
      <c r="L665" s="268"/>
      <c r="N665" s="268"/>
      <c r="T665" s="268"/>
      <c r="V665" s="268"/>
    </row>
    <row r="666" spans="4:22" ht="16.899999999999999" x14ac:dyDescent="0.5">
      <c r="D666" s="268"/>
      <c r="F666" s="268"/>
      <c r="L666" s="268"/>
      <c r="N666" s="268"/>
      <c r="T666" s="268"/>
      <c r="V666" s="268"/>
    </row>
    <row r="667" spans="4:22" ht="16.899999999999999" x14ac:dyDescent="0.5">
      <c r="D667" s="268"/>
      <c r="F667" s="268"/>
      <c r="L667" s="268"/>
      <c r="N667" s="268"/>
      <c r="T667" s="268"/>
      <c r="V667" s="268"/>
    </row>
    <row r="668" spans="4:22" ht="16.899999999999999" x14ac:dyDescent="0.5">
      <c r="D668" s="268"/>
      <c r="F668" s="268"/>
      <c r="L668" s="268"/>
      <c r="N668" s="268"/>
      <c r="T668" s="268"/>
      <c r="V668" s="268"/>
    </row>
    <row r="669" spans="4:22" ht="16.899999999999999" x14ac:dyDescent="0.5">
      <c r="D669" s="268"/>
      <c r="F669" s="268"/>
      <c r="L669" s="268"/>
      <c r="N669" s="268"/>
      <c r="T669" s="268"/>
      <c r="V669" s="268"/>
    </row>
    <row r="670" spans="4:22" ht="16.899999999999999" x14ac:dyDescent="0.5">
      <c r="D670" s="268"/>
      <c r="F670" s="268"/>
      <c r="L670" s="268"/>
      <c r="N670" s="268"/>
      <c r="T670" s="268"/>
      <c r="V670" s="268"/>
    </row>
    <row r="671" spans="4:22" ht="16.899999999999999" x14ac:dyDescent="0.5">
      <c r="D671" s="268"/>
      <c r="F671" s="268"/>
      <c r="L671" s="268"/>
      <c r="N671" s="268"/>
      <c r="T671" s="268"/>
      <c r="V671" s="268"/>
    </row>
    <row r="672" spans="4:22" ht="16.899999999999999" x14ac:dyDescent="0.5">
      <c r="D672" s="268"/>
      <c r="F672" s="268"/>
      <c r="L672" s="268"/>
      <c r="N672" s="268"/>
      <c r="T672" s="268"/>
      <c r="V672" s="268"/>
    </row>
    <row r="673" spans="4:22" ht="16.899999999999999" x14ac:dyDescent="0.5">
      <c r="D673" s="268"/>
      <c r="F673" s="268"/>
      <c r="L673" s="268"/>
      <c r="N673" s="268"/>
      <c r="T673" s="268"/>
      <c r="V673" s="268"/>
    </row>
    <row r="674" spans="4:22" ht="16.899999999999999" x14ac:dyDescent="0.5">
      <c r="D674" s="268"/>
      <c r="F674" s="268"/>
      <c r="L674" s="268"/>
      <c r="N674" s="268"/>
      <c r="T674" s="268"/>
      <c r="V674" s="268"/>
    </row>
    <row r="675" spans="4:22" ht="16.899999999999999" x14ac:dyDescent="0.5">
      <c r="D675" s="268"/>
      <c r="F675" s="268"/>
      <c r="L675" s="268"/>
      <c r="N675" s="268"/>
      <c r="T675" s="268"/>
      <c r="V675" s="268"/>
    </row>
    <row r="676" spans="4:22" ht="16.899999999999999" x14ac:dyDescent="0.5">
      <c r="D676" s="268"/>
      <c r="F676" s="268"/>
      <c r="L676" s="268"/>
      <c r="N676" s="268"/>
      <c r="T676" s="268"/>
      <c r="V676" s="268"/>
    </row>
    <row r="677" spans="4:22" ht="16.899999999999999" x14ac:dyDescent="0.5">
      <c r="D677" s="268"/>
      <c r="F677" s="268"/>
      <c r="L677" s="268"/>
      <c r="N677" s="268"/>
      <c r="T677" s="268"/>
      <c r="V677" s="268"/>
    </row>
    <row r="678" spans="4:22" ht="16.899999999999999" x14ac:dyDescent="0.5">
      <c r="D678" s="268"/>
      <c r="F678" s="268"/>
      <c r="L678" s="268"/>
      <c r="N678" s="268"/>
      <c r="T678" s="268"/>
      <c r="V678" s="268"/>
    </row>
    <row r="679" spans="4:22" ht="16.899999999999999" x14ac:dyDescent="0.5">
      <c r="D679" s="268"/>
      <c r="F679" s="268"/>
      <c r="L679" s="268"/>
      <c r="N679" s="268"/>
      <c r="T679" s="268"/>
      <c r="V679" s="268"/>
    </row>
    <row r="680" spans="4:22" ht="16.899999999999999" x14ac:dyDescent="0.5">
      <c r="D680" s="268"/>
      <c r="F680" s="268"/>
      <c r="L680" s="268"/>
      <c r="N680" s="268"/>
      <c r="T680" s="268"/>
      <c r="V680" s="268"/>
    </row>
    <row r="681" spans="4:22" ht="16.899999999999999" x14ac:dyDescent="0.5">
      <c r="D681" s="268"/>
      <c r="F681" s="268"/>
      <c r="L681" s="268"/>
      <c r="N681" s="268"/>
      <c r="T681" s="268"/>
      <c r="V681" s="268"/>
    </row>
    <row r="682" spans="4:22" ht="16.899999999999999" x14ac:dyDescent="0.5">
      <c r="D682" s="268"/>
      <c r="F682" s="268"/>
      <c r="L682" s="268"/>
      <c r="N682" s="268"/>
      <c r="T682" s="268"/>
      <c r="V682" s="268"/>
    </row>
    <row r="683" spans="4:22" ht="16.899999999999999" x14ac:dyDescent="0.5">
      <c r="D683" s="268"/>
      <c r="F683" s="268"/>
      <c r="L683" s="268"/>
      <c r="N683" s="268"/>
      <c r="T683" s="268"/>
      <c r="V683" s="268"/>
    </row>
    <row r="684" spans="4:22" ht="16.899999999999999" x14ac:dyDescent="0.5">
      <c r="D684" s="268"/>
      <c r="F684" s="268"/>
      <c r="L684" s="268"/>
      <c r="N684" s="268"/>
      <c r="T684" s="268"/>
      <c r="V684" s="268"/>
    </row>
    <row r="685" spans="4:22" ht="16.899999999999999" x14ac:dyDescent="0.5">
      <c r="D685" s="268"/>
      <c r="F685" s="268"/>
      <c r="L685" s="268"/>
      <c r="N685" s="268"/>
      <c r="T685" s="268"/>
      <c r="V685" s="268"/>
    </row>
    <row r="686" spans="4:22" ht="16.899999999999999" x14ac:dyDescent="0.5">
      <c r="D686" s="268"/>
      <c r="F686" s="268"/>
      <c r="L686" s="268"/>
      <c r="N686" s="268"/>
      <c r="T686" s="268"/>
      <c r="V686" s="268"/>
    </row>
    <row r="687" spans="4:22" ht="16.899999999999999" x14ac:dyDescent="0.5">
      <c r="D687" s="268"/>
      <c r="F687" s="268"/>
      <c r="L687" s="268"/>
      <c r="N687" s="268"/>
      <c r="T687" s="268"/>
      <c r="V687" s="268"/>
    </row>
    <row r="688" spans="4:22" ht="16.899999999999999" x14ac:dyDescent="0.5">
      <c r="D688" s="268"/>
      <c r="F688" s="268"/>
      <c r="L688" s="268"/>
      <c r="N688" s="268"/>
      <c r="T688" s="268"/>
      <c r="V688" s="268"/>
    </row>
    <row r="689" spans="4:22" ht="16.899999999999999" x14ac:dyDescent="0.5">
      <c r="D689" s="268"/>
      <c r="F689" s="268"/>
      <c r="L689" s="268"/>
      <c r="N689" s="268"/>
      <c r="T689" s="268"/>
      <c r="V689" s="268"/>
    </row>
    <row r="690" spans="4:22" ht="16.899999999999999" x14ac:dyDescent="0.5">
      <c r="D690" s="268"/>
      <c r="F690" s="268"/>
      <c r="L690" s="268"/>
      <c r="N690" s="268"/>
      <c r="T690" s="268"/>
      <c r="V690" s="268"/>
    </row>
    <row r="691" spans="4:22" ht="16.899999999999999" x14ac:dyDescent="0.5">
      <c r="D691" s="268"/>
      <c r="F691" s="268"/>
      <c r="L691" s="268"/>
      <c r="N691" s="268"/>
      <c r="T691" s="268"/>
      <c r="V691" s="268"/>
    </row>
    <row r="692" spans="4:22" ht="16.899999999999999" x14ac:dyDescent="0.5">
      <c r="D692" s="268"/>
      <c r="F692" s="268"/>
      <c r="L692" s="268"/>
      <c r="N692" s="268"/>
      <c r="T692" s="268"/>
      <c r="V692" s="268"/>
    </row>
    <row r="693" spans="4:22" ht="16.899999999999999" x14ac:dyDescent="0.5">
      <c r="D693" s="268"/>
      <c r="F693" s="268"/>
      <c r="L693" s="268"/>
      <c r="N693" s="268"/>
      <c r="T693" s="268"/>
      <c r="V693" s="268"/>
    </row>
    <row r="694" spans="4:22" ht="16.899999999999999" x14ac:dyDescent="0.5">
      <c r="D694" s="268"/>
      <c r="F694" s="268"/>
      <c r="L694" s="268"/>
      <c r="N694" s="268"/>
      <c r="T694" s="268"/>
      <c r="V694" s="268"/>
    </row>
    <row r="695" spans="4:22" ht="16.899999999999999" x14ac:dyDescent="0.5">
      <c r="D695" s="268"/>
      <c r="F695" s="268"/>
      <c r="L695" s="268"/>
      <c r="N695" s="268"/>
      <c r="T695" s="268"/>
      <c r="V695" s="268"/>
    </row>
    <row r="696" spans="4:22" ht="16.899999999999999" x14ac:dyDescent="0.5">
      <c r="D696" s="268"/>
      <c r="F696" s="268"/>
      <c r="L696" s="268"/>
      <c r="N696" s="268"/>
      <c r="T696" s="268"/>
      <c r="V696" s="268"/>
    </row>
    <row r="697" spans="4:22" ht="16.899999999999999" x14ac:dyDescent="0.5">
      <c r="D697" s="268"/>
      <c r="F697" s="268"/>
      <c r="L697" s="268"/>
      <c r="N697" s="268"/>
      <c r="T697" s="268"/>
      <c r="V697" s="268"/>
    </row>
    <row r="698" spans="4:22" ht="16.899999999999999" x14ac:dyDescent="0.5">
      <c r="D698" s="268"/>
      <c r="F698" s="268"/>
      <c r="L698" s="268"/>
      <c r="N698" s="268"/>
      <c r="T698" s="268"/>
      <c r="V698" s="268"/>
    </row>
    <row r="699" spans="4:22" ht="16.899999999999999" x14ac:dyDescent="0.5">
      <c r="D699" s="268"/>
      <c r="F699" s="268"/>
      <c r="L699" s="268"/>
      <c r="N699" s="268"/>
      <c r="T699" s="268"/>
      <c r="V699" s="268"/>
    </row>
    <row r="700" spans="4:22" ht="16.899999999999999" x14ac:dyDescent="0.5">
      <c r="D700" s="268"/>
      <c r="F700" s="268"/>
      <c r="L700" s="268"/>
      <c r="N700" s="268"/>
      <c r="T700" s="268"/>
      <c r="V700" s="268"/>
    </row>
    <row r="701" spans="4:22" ht="16.899999999999999" x14ac:dyDescent="0.5">
      <c r="D701" s="268"/>
      <c r="F701" s="268"/>
      <c r="L701" s="268"/>
      <c r="N701" s="268"/>
      <c r="T701" s="268"/>
      <c r="V701" s="268"/>
    </row>
    <row r="702" spans="4:22" ht="16.899999999999999" x14ac:dyDescent="0.5">
      <c r="D702" s="268"/>
      <c r="F702" s="268"/>
      <c r="L702" s="268"/>
      <c r="N702" s="268"/>
      <c r="T702" s="268"/>
      <c r="V702" s="268"/>
    </row>
    <row r="703" spans="4:22" ht="16.899999999999999" x14ac:dyDescent="0.5">
      <c r="D703" s="268"/>
      <c r="F703" s="268"/>
      <c r="L703" s="268"/>
      <c r="N703" s="268"/>
      <c r="T703" s="268"/>
      <c r="V703" s="268"/>
    </row>
    <row r="704" spans="4:22" ht="16.899999999999999" x14ac:dyDescent="0.5">
      <c r="D704" s="268"/>
      <c r="F704" s="268"/>
      <c r="L704" s="268"/>
      <c r="N704" s="268"/>
      <c r="T704" s="268"/>
      <c r="V704" s="268"/>
    </row>
    <row r="705" spans="4:22" ht="16.899999999999999" x14ac:dyDescent="0.5">
      <c r="D705" s="268"/>
      <c r="F705" s="268"/>
      <c r="L705" s="268"/>
      <c r="N705" s="268"/>
      <c r="T705" s="268"/>
      <c r="V705" s="268"/>
    </row>
    <row r="706" spans="4:22" ht="16.899999999999999" x14ac:dyDescent="0.5">
      <c r="D706" s="268"/>
      <c r="F706" s="268"/>
      <c r="L706" s="268"/>
      <c r="N706" s="268"/>
      <c r="T706" s="268"/>
      <c r="V706" s="268"/>
    </row>
    <row r="707" spans="4:22" ht="16.899999999999999" x14ac:dyDescent="0.5">
      <c r="D707" s="268"/>
      <c r="F707" s="268"/>
      <c r="L707" s="268"/>
      <c r="N707" s="268"/>
      <c r="T707" s="268"/>
      <c r="V707" s="268"/>
    </row>
    <row r="708" spans="4:22" ht="16.899999999999999" x14ac:dyDescent="0.5">
      <c r="D708" s="268"/>
      <c r="F708" s="268"/>
      <c r="L708" s="268"/>
      <c r="N708" s="268"/>
      <c r="T708" s="268"/>
      <c r="V708" s="268"/>
    </row>
    <row r="709" spans="4:22" ht="16.899999999999999" x14ac:dyDescent="0.5">
      <c r="D709" s="268"/>
      <c r="F709" s="268"/>
      <c r="L709" s="268"/>
      <c r="N709" s="268"/>
      <c r="T709" s="268"/>
      <c r="V709" s="268"/>
    </row>
    <row r="710" spans="4:22" ht="16.899999999999999" x14ac:dyDescent="0.5">
      <c r="D710" s="268"/>
      <c r="F710" s="268"/>
      <c r="L710" s="268"/>
      <c r="N710" s="268"/>
      <c r="T710" s="268"/>
      <c r="V710" s="268"/>
    </row>
    <row r="711" spans="4:22" ht="16.899999999999999" x14ac:dyDescent="0.5">
      <c r="D711" s="268"/>
      <c r="F711" s="268"/>
      <c r="L711" s="268"/>
      <c r="N711" s="268"/>
      <c r="T711" s="268"/>
      <c r="V711" s="268"/>
    </row>
    <row r="712" spans="4:22" ht="16.899999999999999" x14ac:dyDescent="0.5">
      <c r="D712" s="268"/>
      <c r="F712" s="268"/>
      <c r="L712" s="268"/>
      <c r="N712" s="268"/>
      <c r="T712" s="268"/>
      <c r="V712" s="268"/>
    </row>
    <row r="713" spans="4:22" ht="16.899999999999999" x14ac:dyDescent="0.5">
      <c r="D713" s="268"/>
      <c r="F713" s="268"/>
      <c r="L713" s="268"/>
      <c r="N713" s="268"/>
      <c r="T713" s="268"/>
      <c r="V713" s="268"/>
    </row>
    <row r="714" spans="4:22" ht="16.899999999999999" x14ac:dyDescent="0.5">
      <c r="D714" s="268"/>
      <c r="F714" s="268"/>
      <c r="L714" s="268"/>
      <c r="N714" s="268"/>
      <c r="T714" s="268"/>
      <c r="V714" s="268"/>
    </row>
    <row r="715" spans="4:22" ht="16.899999999999999" x14ac:dyDescent="0.5">
      <c r="D715" s="268"/>
      <c r="F715" s="268"/>
      <c r="L715" s="268"/>
      <c r="N715" s="268"/>
      <c r="T715" s="268"/>
      <c r="V715" s="268"/>
    </row>
    <row r="716" spans="4:22" ht="16.899999999999999" x14ac:dyDescent="0.5">
      <c r="D716" s="268"/>
      <c r="F716" s="268"/>
      <c r="L716" s="268"/>
      <c r="N716" s="268"/>
      <c r="T716" s="268"/>
      <c r="V716" s="268"/>
    </row>
    <row r="717" spans="4:22" ht="16.899999999999999" x14ac:dyDescent="0.5">
      <c r="D717" s="268"/>
      <c r="F717" s="268"/>
      <c r="L717" s="268"/>
      <c r="N717" s="268"/>
      <c r="T717" s="268"/>
      <c r="V717" s="268"/>
    </row>
    <row r="718" spans="4:22" ht="16.899999999999999" x14ac:dyDescent="0.5">
      <c r="D718" s="268"/>
      <c r="F718" s="268"/>
      <c r="L718" s="268"/>
      <c r="N718" s="268"/>
      <c r="T718" s="268"/>
      <c r="V718" s="268"/>
    </row>
    <row r="719" spans="4:22" ht="16.899999999999999" x14ac:dyDescent="0.5">
      <c r="D719" s="268"/>
      <c r="F719" s="268"/>
      <c r="L719" s="268"/>
      <c r="N719" s="268"/>
      <c r="T719" s="268"/>
      <c r="V719" s="268"/>
    </row>
    <row r="720" spans="4:22" ht="16.899999999999999" x14ac:dyDescent="0.5">
      <c r="D720" s="268"/>
      <c r="F720" s="268"/>
      <c r="L720" s="268"/>
      <c r="N720" s="268"/>
      <c r="T720" s="268"/>
      <c r="V720" s="268"/>
    </row>
    <row r="721" spans="4:22" ht="16.899999999999999" x14ac:dyDescent="0.5">
      <c r="D721" s="268"/>
      <c r="F721" s="268"/>
      <c r="L721" s="268"/>
      <c r="N721" s="268"/>
      <c r="T721" s="268"/>
      <c r="V721" s="268"/>
    </row>
    <row r="722" spans="4:22" ht="16.899999999999999" x14ac:dyDescent="0.5">
      <c r="D722" s="268"/>
      <c r="F722" s="268"/>
      <c r="L722" s="268"/>
      <c r="N722" s="268"/>
      <c r="T722" s="268"/>
      <c r="V722" s="268"/>
    </row>
    <row r="723" spans="4:22" ht="16.899999999999999" x14ac:dyDescent="0.5">
      <c r="D723" s="268"/>
      <c r="F723" s="268"/>
      <c r="L723" s="268"/>
      <c r="N723" s="268"/>
      <c r="T723" s="268"/>
      <c r="V723" s="268"/>
    </row>
    <row r="724" spans="4:22" ht="16.899999999999999" x14ac:dyDescent="0.5">
      <c r="D724" s="268"/>
      <c r="F724" s="268"/>
      <c r="L724" s="268"/>
      <c r="N724" s="268"/>
      <c r="T724" s="268"/>
      <c r="V724" s="268"/>
    </row>
    <row r="725" spans="4:22" ht="16.899999999999999" x14ac:dyDescent="0.5">
      <c r="D725" s="268"/>
      <c r="F725" s="268"/>
      <c r="L725" s="268"/>
      <c r="N725" s="268"/>
      <c r="T725" s="268"/>
      <c r="V725" s="268"/>
    </row>
    <row r="726" spans="4:22" ht="16.899999999999999" x14ac:dyDescent="0.5">
      <c r="D726" s="268"/>
      <c r="F726" s="268"/>
      <c r="L726" s="268"/>
      <c r="N726" s="268"/>
      <c r="T726" s="268"/>
      <c r="V726" s="268"/>
    </row>
    <row r="727" spans="4:22" ht="16.899999999999999" x14ac:dyDescent="0.5">
      <c r="D727" s="268"/>
      <c r="F727" s="268"/>
      <c r="L727" s="268"/>
      <c r="N727" s="268"/>
      <c r="T727" s="268"/>
      <c r="V727" s="268"/>
    </row>
    <row r="728" spans="4:22" ht="16.899999999999999" x14ac:dyDescent="0.5">
      <c r="D728" s="268"/>
      <c r="F728" s="268"/>
      <c r="L728" s="268"/>
      <c r="N728" s="268"/>
      <c r="T728" s="268"/>
      <c r="V728" s="268"/>
    </row>
    <row r="729" spans="4:22" ht="16.899999999999999" x14ac:dyDescent="0.5">
      <c r="D729" s="268"/>
      <c r="F729" s="268"/>
      <c r="L729" s="268"/>
      <c r="N729" s="268"/>
      <c r="T729" s="268"/>
      <c r="V729" s="268"/>
    </row>
    <row r="730" spans="4:22" ht="16.899999999999999" x14ac:dyDescent="0.5">
      <c r="D730" s="268"/>
      <c r="F730" s="268"/>
      <c r="L730" s="268"/>
      <c r="N730" s="268"/>
      <c r="T730" s="268"/>
      <c r="V730" s="268"/>
    </row>
    <row r="731" spans="4:22" ht="16.899999999999999" x14ac:dyDescent="0.5">
      <c r="D731" s="268"/>
      <c r="F731" s="268"/>
      <c r="L731" s="268"/>
      <c r="N731" s="268"/>
      <c r="T731" s="268"/>
      <c r="V731" s="268"/>
    </row>
    <row r="732" spans="4:22" ht="16.899999999999999" x14ac:dyDescent="0.5">
      <c r="D732" s="268"/>
      <c r="F732" s="268"/>
      <c r="L732" s="268"/>
      <c r="N732" s="268"/>
      <c r="T732" s="268"/>
      <c r="V732" s="268"/>
    </row>
    <row r="733" spans="4:22" ht="16.899999999999999" x14ac:dyDescent="0.5">
      <c r="D733" s="268"/>
      <c r="F733" s="268"/>
      <c r="L733" s="268"/>
      <c r="N733" s="268"/>
      <c r="T733" s="268"/>
      <c r="V733" s="268"/>
    </row>
    <row r="734" spans="4:22" ht="16.899999999999999" x14ac:dyDescent="0.5">
      <c r="D734" s="268"/>
      <c r="F734" s="268"/>
      <c r="L734" s="268"/>
      <c r="N734" s="268"/>
      <c r="T734" s="268"/>
      <c r="V734" s="268"/>
    </row>
    <row r="735" spans="4:22" ht="16.899999999999999" x14ac:dyDescent="0.5">
      <c r="D735" s="268"/>
      <c r="F735" s="268"/>
      <c r="L735" s="268"/>
      <c r="N735" s="268"/>
      <c r="T735" s="268"/>
      <c r="V735" s="268"/>
    </row>
    <row r="736" spans="4:22" ht="16.899999999999999" x14ac:dyDescent="0.5">
      <c r="D736" s="268"/>
      <c r="F736" s="268"/>
      <c r="L736" s="268"/>
      <c r="N736" s="268"/>
      <c r="T736" s="268"/>
      <c r="V736" s="268"/>
    </row>
    <row r="737" spans="4:22" ht="16.899999999999999" x14ac:dyDescent="0.5">
      <c r="D737" s="268"/>
      <c r="F737" s="268"/>
      <c r="L737" s="268"/>
      <c r="N737" s="268"/>
      <c r="T737" s="268"/>
      <c r="V737" s="268"/>
    </row>
    <row r="738" spans="4:22" ht="16.899999999999999" x14ac:dyDescent="0.5">
      <c r="D738" s="268"/>
      <c r="F738" s="268"/>
      <c r="L738" s="268"/>
      <c r="N738" s="268"/>
      <c r="T738" s="268"/>
      <c r="V738" s="268"/>
    </row>
    <row r="739" spans="4:22" ht="16.899999999999999" x14ac:dyDescent="0.5">
      <c r="D739" s="268"/>
      <c r="F739" s="268"/>
      <c r="L739" s="268"/>
      <c r="N739" s="268"/>
      <c r="T739" s="268"/>
      <c r="V739" s="268"/>
    </row>
    <row r="740" spans="4:22" ht="16.899999999999999" x14ac:dyDescent="0.5">
      <c r="D740" s="268"/>
      <c r="F740" s="268"/>
      <c r="L740" s="268"/>
      <c r="N740" s="268"/>
      <c r="T740" s="268"/>
      <c r="V740" s="268"/>
    </row>
    <row r="741" spans="4:22" ht="16.899999999999999" x14ac:dyDescent="0.5">
      <c r="D741" s="268"/>
      <c r="F741" s="268"/>
      <c r="L741" s="268"/>
      <c r="N741" s="268"/>
      <c r="T741" s="268"/>
      <c r="V741" s="268"/>
    </row>
    <row r="742" spans="4:22" ht="16.899999999999999" x14ac:dyDescent="0.5">
      <c r="D742" s="268"/>
      <c r="F742" s="268"/>
      <c r="L742" s="268"/>
      <c r="N742" s="268"/>
      <c r="T742" s="268"/>
      <c r="V742" s="268"/>
    </row>
    <row r="743" spans="4:22" ht="16.899999999999999" x14ac:dyDescent="0.5">
      <c r="D743" s="268"/>
      <c r="F743" s="268"/>
      <c r="L743" s="268"/>
      <c r="N743" s="268"/>
      <c r="T743" s="268"/>
      <c r="V743" s="268"/>
    </row>
    <row r="744" spans="4:22" ht="16.899999999999999" x14ac:dyDescent="0.5">
      <c r="D744" s="268"/>
      <c r="F744" s="268"/>
      <c r="L744" s="268"/>
      <c r="N744" s="268"/>
      <c r="T744" s="268"/>
      <c r="V744" s="268"/>
    </row>
    <row r="745" spans="4:22" ht="16.899999999999999" x14ac:dyDescent="0.5">
      <c r="D745" s="268"/>
      <c r="F745" s="268"/>
      <c r="L745" s="268"/>
      <c r="N745" s="268"/>
      <c r="T745" s="268"/>
      <c r="V745" s="268"/>
    </row>
    <row r="746" spans="4:22" ht="16.899999999999999" x14ac:dyDescent="0.5">
      <c r="D746" s="268"/>
      <c r="F746" s="268"/>
      <c r="L746" s="268"/>
      <c r="N746" s="268"/>
      <c r="T746" s="268"/>
      <c r="V746" s="268"/>
    </row>
    <row r="747" spans="4:22" ht="16.899999999999999" x14ac:dyDescent="0.5">
      <c r="D747" s="268"/>
      <c r="F747" s="268"/>
      <c r="L747" s="268"/>
      <c r="N747" s="268"/>
      <c r="T747" s="268"/>
      <c r="V747" s="268"/>
    </row>
    <row r="748" spans="4:22" ht="16.899999999999999" x14ac:dyDescent="0.5">
      <c r="D748" s="268"/>
      <c r="F748" s="268"/>
      <c r="L748" s="268"/>
      <c r="N748" s="268"/>
      <c r="T748" s="268"/>
      <c r="V748" s="268"/>
    </row>
    <row r="749" spans="4:22" ht="16.899999999999999" x14ac:dyDescent="0.5">
      <c r="D749" s="268"/>
      <c r="F749" s="268"/>
      <c r="L749" s="268"/>
      <c r="N749" s="268"/>
      <c r="T749" s="268"/>
      <c r="V749" s="268"/>
    </row>
    <row r="750" spans="4:22" ht="16.899999999999999" x14ac:dyDescent="0.5">
      <c r="D750" s="268"/>
      <c r="F750" s="268"/>
      <c r="L750" s="268"/>
      <c r="N750" s="268"/>
      <c r="T750" s="268"/>
      <c r="V750" s="268"/>
    </row>
    <row r="751" spans="4:22" ht="16.899999999999999" x14ac:dyDescent="0.5">
      <c r="D751" s="268"/>
      <c r="F751" s="268"/>
      <c r="L751" s="268"/>
      <c r="N751" s="268"/>
      <c r="T751" s="268"/>
      <c r="V751" s="268"/>
    </row>
    <row r="752" spans="4:22" ht="16.899999999999999" x14ac:dyDescent="0.5">
      <c r="D752" s="268"/>
      <c r="F752" s="268"/>
      <c r="L752" s="268"/>
      <c r="N752" s="268"/>
      <c r="T752" s="268"/>
      <c r="V752" s="268"/>
    </row>
    <row r="753" spans="4:22" ht="16.899999999999999" x14ac:dyDescent="0.5">
      <c r="D753" s="268"/>
      <c r="F753" s="268"/>
      <c r="L753" s="268"/>
      <c r="N753" s="268"/>
      <c r="T753" s="268"/>
      <c r="V753" s="268"/>
    </row>
    <row r="754" spans="4:22" ht="16.899999999999999" x14ac:dyDescent="0.5">
      <c r="D754" s="268"/>
      <c r="F754" s="268"/>
      <c r="L754" s="268"/>
      <c r="N754" s="268"/>
      <c r="T754" s="268"/>
      <c r="V754" s="268"/>
    </row>
    <row r="755" spans="4:22" ht="16.899999999999999" x14ac:dyDescent="0.5">
      <c r="D755" s="268"/>
      <c r="F755" s="268"/>
      <c r="L755" s="268"/>
      <c r="N755" s="268"/>
      <c r="T755" s="268"/>
      <c r="V755" s="268"/>
    </row>
    <row r="756" spans="4:22" ht="16.899999999999999" x14ac:dyDescent="0.5">
      <c r="D756" s="268"/>
      <c r="F756" s="268"/>
      <c r="L756" s="268"/>
      <c r="N756" s="268"/>
      <c r="T756" s="268"/>
      <c r="V756" s="268"/>
    </row>
    <row r="757" spans="4:22" ht="16.899999999999999" x14ac:dyDescent="0.5">
      <c r="D757" s="268"/>
      <c r="F757" s="268"/>
      <c r="L757" s="268"/>
      <c r="N757" s="268"/>
      <c r="T757" s="268"/>
      <c r="V757" s="268"/>
    </row>
    <row r="758" spans="4:22" ht="16.899999999999999" x14ac:dyDescent="0.5">
      <c r="D758" s="268"/>
      <c r="F758" s="268"/>
      <c r="L758" s="268"/>
      <c r="N758" s="268"/>
      <c r="T758" s="268"/>
      <c r="V758" s="268"/>
    </row>
    <row r="759" spans="4:22" ht="16.899999999999999" x14ac:dyDescent="0.5">
      <c r="D759" s="268"/>
      <c r="F759" s="268"/>
      <c r="L759" s="268"/>
      <c r="N759" s="268"/>
      <c r="T759" s="268"/>
      <c r="V759" s="268"/>
    </row>
    <row r="760" spans="4:22" ht="16.899999999999999" x14ac:dyDescent="0.5">
      <c r="D760" s="268"/>
      <c r="F760" s="268"/>
      <c r="L760" s="268"/>
      <c r="N760" s="268"/>
      <c r="T760" s="268"/>
      <c r="V760" s="268"/>
    </row>
    <row r="761" spans="4:22" ht="16.899999999999999" x14ac:dyDescent="0.5">
      <c r="D761" s="268"/>
      <c r="F761" s="268"/>
      <c r="L761" s="268"/>
      <c r="N761" s="268"/>
      <c r="T761" s="268"/>
      <c r="V761" s="268"/>
    </row>
    <row r="762" spans="4:22" ht="16.899999999999999" x14ac:dyDescent="0.5">
      <c r="D762" s="268"/>
      <c r="F762" s="268"/>
      <c r="L762" s="268"/>
      <c r="N762" s="268"/>
      <c r="T762" s="268"/>
      <c r="V762" s="268"/>
    </row>
    <row r="763" spans="4:22" ht="16.899999999999999" x14ac:dyDescent="0.5">
      <c r="D763" s="268"/>
      <c r="F763" s="268"/>
      <c r="L763" s="268"/>
      <c r="N763" s="268"/>
      <c r="T763" s="268"/>
      <c r="V763" s="268"/>
    </row>
    <row r="764" spans="4:22" ht="16.899999999999999" x14ac:dyDescent="0.5">
      <c r="D764" s="268"/>
      <c r="F764" s="268"/>
      <c r="L764" s="268"/>
      <c r="N764" s="268"/>
      <c r="T764" s="268"/>
      <c r="V764" s="268"/>
    </row>
    <row r="765" spans="4:22" ht="16.899999999999999" x14ac:dyDescent="0.5">
      <c r="D765" s="268"/>
      <c r="F765" s="268"/>
      <c r="L765" s="268"/>
      <c r="N765" s="268"/>
      <c r="T765" s="268"/>
      <c r="V765" s="268"/>
    </row>
    <row r="766" spans="4:22" ht="16.899999999999999" x14ac:dyDescent="0.5">
      <c r="D766" s="268"/>
      <c r="F766" s="268"/>
      <c r="L766" s="268"/>
      <c r="N766" s="268"/>
      <c r="T766" s="268"/>
      <c r="V766" s="268"/>
    </row>
    <row r="767" spans="4:22" ht="16.899999999999999" x14ac:dyDescent="0.5">
      <c r="D767" s="268"/>
      <c r="F767" s="268"/>
      <c r="L767" s="268"/>
      <c r="N767" s="268"/>
      <c r="T767" s="268"/>
      <c r="V767" s="268"/>
    </row>
    <row r="768" spans="4:22" ht="16.899999999999999" x14ac:dyDescent="0.5">
      <c r="D768" s="268"/>
      <c r="F768" s="268"/>
      <c r="L768" s="268"/>
      <c r="N768" s="268"/>
      <c r="T768" s="268"/>
      <c r="V768" s="268"/>
    </row>
    <row r="769" spans="4:22" ht="16.899999999999999" x14ac:dyDescent="0.5">
      <c r="D769" s="268"/>
      <c r="F769" s="268"/>
      <c r="L769" s="268"/>
      <c r="N769" s="268"/>
      <c r="T769" s="268"/>
      <c r="V769" s="268"/>
    </row>
    <row r="770" spans="4:22" ht="16.899999999999999" x14ac:dyDescent="0.5">
      <c r="D770" s="268"/>
      <c r="F770" s="268"/>
      <c r="L770" s="268"/>
      <c r="N770" s="268"/>
      <c r="T770" s="268"/>
      <c r="V770" s="268"/>
    </row>
    <row r="771" spans="4:22" ht="16.899999999999999" x14ac:dyDescent="0.5">
      <c r="D771" s="268"/>
      <c r="F771" s="268"/>
      <c r="L771" s="268"/>
      <c r="N771" s="268"/>
      <c r="T771" s="268"/>
      <c r="V771" s="268"/>
    </row>
    <row r="772" spans="4:22" ht="16.899999999999999" x14ac:dyDescent="0.5">
      <c r="D772" s="268"/>
      <c r="F772" s="268"/>
      <c r="L772" s="268"/>
      <c r="N772" s="268"/>
      <c r="T772" s="268"/>
      <c r="V772" s="268"/>
    </row>
    <row r="773" spans="4:22" ht="16.899999999999999" x14ac:dyDescent="0.5">
      <c r="D773" s="268"/>
      <c r="F773" s="268"/>
      <c r="L773" s="268"/>
      <c r="N773" s="268"/>
      <c r="T773" s="268"/>
      <c r="V773" s="268"/>
    </row>
    <row r="774" spans="4:22" ht="16.899999999999999" x14ac:dyDescent="0.5">
      <c r="D774" s="268"/>
      <c r="F774" s="268"/>
      <c r="L774" s="268"/>
      <c r="N774" s="268"/>
      <c r="T774" s="268"/>
      <c r="V774" s="268"/>
    </row>
    <row r="775" spans="4:22" ht="16.899999999999999" x14ac:dyDescent="0.5">
      <c r="D775" s="268"/>
      <c r="F775" s="268"/>
      <c r="L775" s="268"/>
      <c r="N775" s="268"/>
      <c r="T775" s="268"/>
      <c r="V775" s="268"/>
    </row>
    <row r="776" spans="4:22" ht="16.899999999999999" x14ac:dyDescent="0.5">
      <c r="D776" s="268"/>
      <c r="F776" s="268"/>
      <c r="L776" s="268"/>
      <c r="N776" s="268"/>
      <c r="T776" s="268"/>
      <c r="V776" s="268"/>
    </row>
    <row r="777" spans="4:22" ht="16.899999999999999" x14ac:dyDescent="0.5">
      <c r="D777" s="268"/>
      <c r="F777" s="268"/>
      <c r="L777" s="268"/>
      <c r="N777" s="268"/>
      <c r="T777" s="268"/>
      <c r="V777" s="268"/>
    </row>
    <row r="778" spans="4:22" ht="16.899999999999999" x14ac:dyDescent="0.5">
      <c r="D778" s="268"/>
      <c r="F778" s="268"/>
      <c r="L778" s="268"/>
      <c r="N778" s="268"/>
      <c r="T778" s="268"/>
      <c r="V778" s="268"/>
    </row>
    <row r="779" spans="4:22" ht="16.899999999999999" x14ac:dyDescent="0.5">
      <c r="D779" s="268"/>
      <c r="F779" s="268"/>
      <c r="L779" s="268"/>
      <c r="N779" s="268"/>
      <c r="T779" s="268"/>
      <c r="V779" s="268"/>
    </row>
    <row r="780" spans="4:22" ht="16.899999999999999" x14ac:dyDescent="0.5">
      <c r="D780" s="268"/>
      <c r="F780" s="268"/>
      <c r="L780" s="268"/>
      <c r="N780" s="268"/>
      <c r="T780" s="268"/>
      <c r="V780" s="268"/>
    </row>
    <row r="781" spans="4:22" ht="16.899999999999999" x14ac:dyDescent="0.5">
      <c r="D781" s="268"/>
      <c r="F781" s="268"/>
      <c r="L781" s="268"/>
      <c r="N781" s="268"/>
      <c r="T781" s="268"/>
      <c r="V781" s="268"/>
    </row>
    <row r="782" spans="4:22" ht="16.899999999999999" x14ac:dyDescent="0.5">
      <c r="D782" s="268"/>
      <c r="F782" s="268"/>
      <c r="L782" s="268"/>
      <c r="N782" s="268"/>
      <c r="T782" s="268"/>
      <c r="V782" s="268"/>
    </row>
    <row r="783" spans="4:22" ht="16.899999999999999" x14ac:dyDescent="0.5">
      <c r="D783" s="268"/>
      <c r="F783" s="268"/>
      <c r="L783" s="268"/>
      <c r="N783" s="268"/>
      <c r="T783" s="268"/>
      <c r="V783" s="268"/>
    </row>
    <row r="784" spans="4:22" ht="16.899999999999999" x14ac:dyDescent="0.5">
      <c r="D784" s="268"/>
      <c r="F784" s="268"/>
      <c r="L784" s="268"/>
      <c r="N784" s="268"/>
      <c r="T784" s="268"/>
      <c r="V784" s="268"/>
    </row>
    <row r="785" spans="4:22" ht="16.899999999999999" x14ac:dyDescent="0.5">
      <c r="D785" s="268"/>
      <c r="F785" s="268"/>
      <c r="L785" s="268"/>
      <c r="N785" s="268"/>
      <c r="T785" s="268"/>
      <c r="V785" s="268"/>
    </row>
    <row r="786" spans="4:22" ht="16.899999999999999" x14ac:dyDescent="0.5">
      <c r="D786" s="268"/>
      <c r="F786" s="268"/>
      <c r="L786" s="268"/>
      <c r="N786" s="268"/>
      <c r="T786" s="268"/>
      <c r="V786" s="268"/>
    </row>
    <row r="787" spans="4:22" ht="16.899999999999999" x14ac:dyDescent="0.5">
      <c r="D787" s="268"/>
      <c r="F787" s="268"/>
      <c r="L787" s="268"/>
      <c r="N787" s="268"/>
      <c r="T787" s="268"/>
      <c r="V787" s="268"/>
    </row>
    <row r="788" spans="4:22" ht="16.899999999999999" x14ac:dyDescent="0.5">
      <c r="D788" s="268"/>
      <c r="F788" s="268"/>
      <c r="L788" s="268"/>
      <c r="N788" s="268"/>
      <c r="T788" s="268"/>
      <c r="V788" s="268"/>
    </row>
    <row r="789" spans="4:22" ht="16.899999999999999" x14ac:dyDescent="0.5">
      <c r="D789" s="268"/>
      <c r="F789" s="268"/>
      <c r="L789" s="268"/>
      <c r="N789" s="268"/>
      <c r="T789" s="268"/>
      <c r="V789" s="268"/>
    </row>
    <row r="790" spans="4:22" ht="16.899999999999999" x14ac:dyDescent="0.5">
      <c r="D790" s="268"/>
      <c r="F790" s="268"/>
      <c r="L790" s="268"/>
      <c r="N790" s="268"/>
      <c r="T790" s="268"/>
      <c r="V790" s="268"/>
    </row>
    <row r="791" spans="4:22" ht="16.899999999999999" x14ac:dyDescent="0.5">
      <c r="D791" s="268"/>
      <c r="F791" s="268"/>
      <c r="L791" s="268"/>
      <c r="N791" s="268"/>
      <c r="T791" s="268"/>
      <c r="V791" s="268"/>
    </row>
    <row r="792" spans="4:22" ht="16.899999999999999" x14ac:dyDescent="0.5">
      <c r="D792" s="268"/>
      <c r="F792" s="268"/>
      <c r="L792" s="268"/>
      <c r="N792" s="268"/>
      <c r="T792" s="268"/>
      <c r="V792" s="268"/>
    </row>
    <row r="793" spans="4:22" ht="16.899999999999999" x14ac:dyDescent="0.5">
      <c r="D793" s="268"/>
      <c r="F793" s="268"/>
      <c r="L793" s="268"/>
      <c r="N793" s="268"/>
      <c r="T793" s="268"/>
      <c r="V793" s="268"/>
    </row>
    <row r="794" spans="4:22" ht="16.899999999999999" x14ac:dyDescent="0.5">
      <c r="D794" s="268"/>
      <c r="F794" s="268"/>
      <c r="L794" s="268"/>
      <c r="N794" s="268"/>
      <c r="T794" s="268"/>
      <c r="V794" s="268"/>
    </row>
    <row r="795" spans="4:22" ht="16.899999999999999" x14ac:dyDescent="0.5">
      <c r="D795" s="268"/>
      <c r="F795" s="268"/>
      <c r="L795" s="268"/>
      <c r="N795" s="268"/>
      <c r="T795" s="268"/>
      <c r="V795" s="268"/>
    </row>
    <row r="796" spans="4:22" ht="16.899999999999999" x14ac:dyDescent="0.5">
      <c r="D796" s="268"/>
      <c r="F796" s="268"/>
      <c r="L796" s="268"/>
      <c r="N796" s="268"/>
      <c r="T796" s="268"/>
      <c r="V796" s="268"/>
    </row>
    <row r="797" spans="4:22" ht="16.899999999999999" x14ac:dyDescent="0.5">
      <c r="D797" s="268"/>
      <c r="F797" s="268"/>
      <c r="L797" s="268"/>
      <c r="N797" s="268"/>
      <c r="T797" s="268"/>
      <c r="V797" s="268"/>
    </row>
    <row r="798" spans="4:22" ht="16.899999999999999" x14ac:dyDescent="0.5">
      <c r="D798" s="268"/>
      <c r="F798" s="268"/>
      <c r="L798" s="268"/>
      <c r="N798" s="268"/>
      <c r="T798" s="268"/>
      <c r="V798" s="268"/>
    </row>
    <row r="799" spans="4:22" ht="16.899999999999999" x14ac:dyDescent="0.5">
      <c r="D799" s="268"/>
      <c r="F799" s="268"/>
      <c r="L799" s="268"/>
      <c r="N799" s="268"/>
      <c r="T799" s="268"/>
      <c r="V799" s="268"/>
    </row>
    <row r="800" spans="4:22" ht="16.899999999999999" x14ac:dyDescent="0.5">
      <c r="D800" s="268"/>
      <c r="F800" s="268"/>
      <c r="L800" s="268"/>
      <c r="N800" s="268"/>
      <c r="T800" s="268"/>
      <c r="V800" s="268"/>
    </row>
    <row r="801" spans="4:22" ht="16.899999999999999" x14ac:dyDescent="0.5">
      <c r="D801" s="268"/>
      <c r="F801" s="268"/>
      <c r="L801" s="268"/>
      <c r="N801" s="268"/>
      <c r="T801" s="268"/>
      <c r="V801" s="268"/>
    </row>
    <row r="802" spans="4:22" ht="16.899999999999999" x14ac:dyDescent="0.5">
      <c r="D802" s="268"/>
      <c r="F802" s="268"/>
      <c r="L802" s="268"/>
      <c r="N802" s="268"/>
      <c r="T802" s="268"/>
      <c r="V802" s="268"/>
    </row>
    <row r="803" spans="4:22" ht="16.899999999999999" x14ac:dyDescent="0.5">
      <c r="D803" s="268"/>
      <c r="F803" s="268"/>
      <c r="L803" s="268"/>
      <c r="N803" s="268"/>
      <c r="T803" s="268"/>
      <c r="V803" s="268"/>
    </row>
    <row r="804" spans="4:22" ht="16.899999999999999" x14ac:dyDescent="0.5">
      <c r="D804" s="268"/>
      <c r="F804" s="268"/>
      <c r="L804" s="268"/>
      <c r="N804" s="268"/>
      <c r="T804" s="268"/>
      <c r="V804" s="268"/>
    </row>
    <row r="805" spans="4:22" ht="16.899999999999999" x14ac:dyDescent="0.5">
      <c r="D805" s="268"/>
      <c r="F805" s="268"/>
      <c r="L805" s="268"/>
      <c r="N805" s="268"/>
      <c r="T805" s="268"/>
      <c r="V805" s="268"/>
    </row>
    <row r="806" spans="4:22" ht="16.899999999999999" x14ac:dyDescent="0.5">
      <c r="D806" s="268"/>
      <c r="F806" s="268"/>
      <c r="L806" s="268"/>
      <c r="N806" s="268"/>
      <c r="T806" s="268"/>
      <c r="V806" s="268"/>
    </row>
    <row r="807" spans="4:22" ht="16.899999999999999" x14ac:dyDescent="0.5">
      <c r="D807" s="268"/>
      <c r="F807" s="268"/>
      <c r="L807" s="268"/>
      <c r="N807" s="268"/>
      <c r="T807" s="268"/>
      <c r="V807" s="268"/>
    </row>
    <row r="808" spans="4:22" ht="16.899999999999999" x14ac:dyDescent="0.5">
      <c r="D808" s="268"/>
      <c r="F808" s="268"/>
      <c r="L808" s="268"/>
      <c r="N808" s="268"/>
      <c r="T808" s="268"/>
      <c r="V808" s="268"/>
    </row>
    <row r="809" spans="4:22" ht="16.899999999999999" x14ac:dyDescent="0.5">
      <c r="D809" s="268"/>
      <c r="F809" s="268"/>
      <c r="L809" s="268"/>
      <c r="N809" s="268"/>
      <c r="T809" s="268"/>
      <c r="V809" s="268"/>
    </row>
    <row r="810" spans="4:22" ht="16.899999999999999" x14ac:dyDescent="0.5">
      <c r="D810" s="268"/>
      <c r="F810" s="268"/>
      <c r="L810" s="268"/>
      <c r="N810" s="268"/>
      <c r="T810" s="268"/>
      <c r="V810" s="268"/>
    </row>
    <row r="811" spans="4:22" ht="16.899999999999999" x14ac:dyDescent="0.5">
      <c r="D811" s="268"/>
      <c r="F811" s="268"/>
      <c r="L811" s="268"/>
      <c r="N811" s="268"/>
      <c r="T811" s="268"/>
      <c r="V811" s="268"/>
    </row>
    <row r="812" spans="4:22" ht="16.899999999999999" x14ac:dyDescent="0.5">
      <c r="D812" s="268"/>
      <c r="F812" s="268"/>
      <c r="L812" s="268"/>
      <c r="N812" s="268"/>
      <c r="T812" s="268"/>
      <c r="V812" s="268"/>
    </row>
    <row r="813" spans="4:22" ht="16.899999999999999" x14ac:dyDescent="0.5">
      <c r="D813" s="268"/>
      <c r="F813" s="268"/>
      <c r="L813" s="268"/>
      <c r="N813" s="268"/>
      <c r="T813" s="268"/>
      <c r="V813" s="268"/>
    </row>
    <row r="814" spans="4:22" ht="16.899999999999999" x14ac:dyDescent="0.5">
      <c r="D814" s="268"/>
      <c r="F814" s="268"/>
      <c r="L814" s="268"/>
      <c r="N814" s="268"/>
      <c r="T814" s="268"/>
      <c r="V814" s="268"/>
    </row>
    <row r="815" spans="4:22" ht="16.899999999999999" x14ac:dyDescent="0.5">
      <c r="D815" s="268"/>
      <c r="F815" s="268"/>
      <c r="L815" s="268"/>
      <c r="N815" s="268"/>
      <c r="T815" s="268"/>
      <c r="V815" s="268"/>
    </row>
    <row r="816" spans="4:22" ht="16.899999999999999" x14ac:dyDescent="0.5">
      <c r="D816" s="268"/>
      <c r="F816" s="268"/>
      <c r="L816" s="268"/>
      <c r="N816" s="268"/>
      <c r="T816" s="268"/>
      <c r="V816" s="268"/>
    </row>
    <row r="817" spans="4:22" ht="16.899999999999999" x14ac:dyDescent="0.5">
      <c r="D817" s="268"/>
      <c r="F817" s="268"/>
      <c r="L817" s="268"/>
      <c r="N817" s="268"/>
      <c r="T817" s="268"/>
      <c r="V817" s="268"/>
    </row>
    <row r="818" spans="4:22" ht="16.899999999999999" x14ac:dyDescent="0.5">
      <c r="D818" s="268"/>
      <c r="F818" s="268"/>
      <c r="L818" s="268"/>
      <c r="N818" s="268"/>
      <c r="T818" s="268"/>
      <c r="V818" s="268"/>
    </row>
    <row r="819" spans="4:22" ht="16.899999999999999" x14ac:dyDescent="0.5">
      <c r="D819" s="268"/>
      <c r="F819" s="268"/>
      <c r="L819" s="268"/>
      <c r="N819" s="268"/>
      <c r="T819" s="268"/>
      <c r="V819" s="268"/>
    </row>
    <row r="820" spans="4:22" ht="16.899999999999999" x14ac:dyDescent="0.5">
      <c r="D820" s="268"/>
      <c r="F820" s="268"/>
      <c r="L820" s="268"/>
      <c r="N820" s="268"/>
      <c r="T820" s="268"/>
      <c r="V820" s="268"/>
    </row>
    <row r="821" spans="4:22" ht="16.899999999999999" x14ac:dyDescent="0.5">
      <c r="D821" s="268"/>
      <c r="F821" s="268"/>
      <c r="L821" s="268"/>
      <c r="N821" s="268"/>
      <c r="T821" s="268"/>
      <c r="V821" s="268"/>
    </row>
    <row r="822" spans="4:22" ht="16.899999999999999" x14ac:dyDescent="0.5">
      <c r="D822" s="268"/>
      <c r="F822" s="268"/>
      <c r="L822" s="268"/>
      <c r="N822" s="268"/>
      <c r="T822" s="268"/>
      <c r="V822" s="268"/>
    </row>
    <row r="823" spans="4:22" ht="16.899999999999999" x14ac:dyDescent="0.5">
      <c r="D823" s="268"/>
      <c r="F823" s="268"/>
      <c r="L823" s="268"/>
      <c r="N823" s="268"/>
      <c r="T823" s="268"/>
      <c r="V823" s="268"/>
    </row>
    <row r="824" spans="4:22" ht="16.899999999999999" x14ac:dyDescent="0.5">
      <c r="D824" s="268"/>
      <c r="F824" s="268"/>
      <c r="L824" s="268"/>
      <c r="N824" s="268"/>
      <c r="T824" s="268"/>
      <c r="V824" s="268"/>
    </row>
    <row r="825" spans="4:22" ht="16.899999999999999" x14ac:dyDescent="0.5">
      <c r="D825" s="268"/>
      <c r="F825" s="268"/>
      <c r="L825" s="268"/>
      <c r="N825" s="268"/>
      <c r="T825" s="268"/>
      <c r="V825" s="268"/>
    </row>
    <row r="826" spans="4:22" ht="16.899999999999999" x14ac:dyDescent="0.5">
      <c r="D826" s="268"/>
      <c r="F826" s="268"/>
      <c r="L826" s="268"/>
      <c r="N826" s="268"/>
      <c r="T826" s="268"/>
      <c r="V826" s="268"/>
    </row>
    <row r="827" spans="4:22" ht="16.899999999999999" x14ac:dyDescent="0.5">
      <c r="D827" s="268"/>
      <c r="F827" s="268"/>
      <c r="L827" s="268"/>
      <c r="N827" s="268"/>
      <c r="T827" s="268"/>
      <c r="V827" s="268"/>
    </row>
    <row r="828" spans="4:22" ht="16.899999999999999" x14ac:dyDescent="0.5">
      <c r="D828" s="268"/>
      <c r="F828" s="268"/>
      <c r="L828" s="268"/>
      <c r="N828" s="268"/>
      <c r="T828" s="268"/>
      <c r="V828" s="268"/>
    </row>
    <row r="829" spans="4:22" ht="16.899999999999999" x14ac:dyDescent="0.5">
      <c r="D829" s="268"/>
      <c r="F829" s="268"/>
      <c r="L829" s="268"/>
      <c r="N829" s="268"/>
      <c r="T829" s="268"/>
      <c r="V829" s="268"/>
    </row>
    <row r="830" spans="4:22" ht="16.899999999999999" x14ac:dyDescent="0.5">
      <c r="D830" s="268"/>
      <c r="F830" s="268"/>
      <c r="L830" s="268"/>
      <c r="N830" s="268"/>
      <c r="T830" s="268"/>
      <c r="V830" s="268"/>
    </row>
    <row r="831" spans="4:22" ht="16.899999999999999" x14ac:dyDescent="0.5">
      <c r="D831" s="268"/>
      <c r="F831" s="268"/>
      <c r="L831" s="268"/>
      <c r="N831" s="268"/>
      <c r="T831" s="268"/>
      <c r="V831" s="268"/>
    </row>
    <row r="832" spans="4:22" ht="16.899999999999999" x14ac:dyDescent="0.5">
      <c r="D832" s="268"/>
      <c r="F832" s="268"/>
      <c r="L832" s="268"/>
      <c r="N832" s="268"/>
      <c r="T832" s="268"/>
      <c r="V832" s="268"/>
    </row>
    <row r="833" spans="4:22" ht="16.899999999999999" x14ac:dyDescent="0.5">
      <c r="D833" s="268"/>
      <c r="F833" s="268"/>
      <c r="L833" s="268"/>
      <c r="N833" s="268"/>
      <c r="T833" s="268"/>
      <c r="V833" s="268"/>
    </row>
    <row r="834" spans="4:22" ht="16.899999999999999" x14ac:dyDescent="0.5">
      <c r="D834" s="268"/>
      <c r="F834" s="268"/>
      <c r="L834" s="268"/>
      <c r="N834" s="268"/>
      <c r="T834" s="268"/>
      <c r="V834" s="268"/>
    </row>
    <row r="835" spans="4:22" ht="16.899999999999999" x14ac:dyDescent="0.5">
      <c r="D835" s="268"/>
      <c r="F835" s="268"/>
      <c r="L835" s="268"/>
      <c r="N835" s="268"/>
      <c r="T835" s="268"/>
      <c r="V835" s="268"/>
    </row>
    <row r="836" spans="4:22" ht="16.899999999999999" x14ac:dyDescent="0.5">
      <c r="D836" s="268"/>
      <c r="F836" s="268"/>
      <c r="L836" s="268"/>
      <c r="N836" s="268"/>
      <c r="T836" s="268"/>
      <c r="V836" s="268"/>
    </row>
    <row r="837" spans="4:22" ht="16.899999999999999" x14ac:dyDescent="0.5">
      <c r="D837" s="268"/>
      <c r="F837" s="268"/>
      <c r="L837" s="268"/>
      <c r="N837" s="268"/>
      <c r="T837" s="268"/>
      <c r="V837" s="268"/>
    </row>
    <row r="838" spans="4:22" ht="16.899999999999999" x14ac:dyDescent="0.5">
      <c r="D838" s="268"/>
      <c r="F838" s="268"/>
      <c r="L838" s="268"/>
      <c r="N838" s="268"/>
      <c r="T838" s="268"/>
      <c r="V838" s="268"/>
    </row>
    <row r="839" spans="4:22" ht="16.899999999999999" x14ac:dyDescent="0.5">
      <c r="D839" s="268"/>
      <c r="F839" s="268"/>
      <c r="L839" s="268"/>
      <c r="N839" s="268"/>
      <c r="T839" s="268"/>
      <c r="V839" s="268"/>
    </row>
    <row r="840" spans="4:22" ht="16.899999999999999" x14ac:dyDescent="0.5">
      <c r="D840" s="268"/>
      <c r="F840" s="268"/>
      <c r="L840" s="268"/>
      <c r="N840" s="268"/>
      <c r="T840" s="268"/>
      <c r="V840" s="268"/>
    </row>
    <row r="841" spans="4:22" ht="16.899999999999999" x14ac:dyDescent="0.5">
      <c r="D841" s="268"/>
      <c r="F841" s="268"/>
      <c r="L841" s="268"/>
      <c r="N841" s="268"/>
      <c r="T841" s="268"/>
      <c r="V841" s="268"/>
    </row>
    <row r="842" spans="4:22" ht="16.899999999999999" x14ac:dyDescent="0.5">
      <c r="D842" s="268"/>
      <c r="F842" s="268"/>
      <c r="L842" s="268"/>
      <c r="N842" s="268"/>
      <c r="T842" s="268"/>
      <c r="V842" s="268"/>
    </row>
    <row r="843" spans="4:22" ht="16.899999999999999" x14ac:dyDescent="0.5">
      <c r="D843" s="268"/>
      <c r="F843" s="268"/>
      <c r="L843" s="268"/>
      <c r="N843" s="268"/>
      <c r="T843" s="268"/>
      <c r="V843" s="268"/>
    </row>
    <row r="844" spans="4:22" ht="16.899999999999999" x14ac:dyDescent="0.5">
      <c r="D844" s="268"/>
      <c r="F844" s="268"/>
      <c r="L844" s="268"/>
      <c r="N844" s="268"/>
      <c r="T844" s="268"/>
      <c r="V844" s="268"/>
    </row>
    <row r="845" spans="4:22" ht="16.899999999999999" x14ac:dyDescent="0.5">
      <c r="D845" s="268"/>
      <c r="F845" s="268"/>
      <c r="L845" s="268"/>
      <c r="N845" s="268"/>
      <c r="T845" s="268"/>
      <c r="V845" s="268"/>
    </row>
    <row r="846" spans="4:22" ht="16.899999999999999" x14ac:dyDescent="0.5">
      <c r="D846" s="268"/>
      <c r="F846" s="268"/>
      <c r="L846" s="268"/>
      <c r="N846" s="268"/>
      <c r="T846" s="268"/>
      <c r="V846" s="268"/>
    </row>
    <row r="847" spans="4:22" ht="16.899999999999999" x14ac:dyDescent="0.5">
      <c r="D847" s="268"/>
      <c r="F847" s="268"/>
      <c r="L847" s="268"/>
      <c r="N847" s="268"/>
      <c r="T847" s="268"/>
      <c r="V847" s="268"/>
    </row>
    <row r="848" spans="4:22" ht="16.899999999999999" x14ac:dyDescent="0.5">
      <c r="D848" s="268"/>
      <c r="F848" s="268"/>
      <c r="L848" s="268"/>
      <c r="N848" s="268"/>
      <c r="T848" s="268"/>
      <c r="V848" s="268"/>
    </row>
    <row r="849" spans="4:22" ht="16.899999999999999" x14ac:dyDescent="0.5">
      <c r="D849" s="268"/>
      <c r="F849" s="268"/>
      <c r="L849" s="268"/>
      <c r="N849" s="268"/>
      <c r="T849" s="268"/>
      <c r="V849" s="268"/>
    </row>
    <row r="850" spans="4:22" ht="16.899999999999999" x14ac:dyDescent="0.5">
      <c r="D850" s="268"/>
      <c r="F850" s="268"/>
      <c r="L850" s="268"/>
      <c r="N850" s="268"/>
      <c r="T850" s="268"/>
      <c r="V850" s="268"/>
    </row>
    <row r="851" spans="4:22" ht="16.899999999999999" x14ac:dyDescent="0.5">
      <c r="D851" s="268"/>
      <c r="F851" s="268"/>
      <c r="L851" s="268"/>
      <c r="N851" s="268"/>
      <c r="T851" s="268"/>
      <c r="V851" s="268"/>
    </row>
    <row r="852" spans="4:22" ht="16.899999999999999" x14ac:dyDescent="0.5">
      <c r="D852" s="268"/>
      <c r="F852" s="268"/>
      <c r="L852" s="268"/>
      <c r="N852" s="268"/>
      <c r="T852" s="268"/>
      <c r="V852" s="268"/>
    </row>
    <row r="853" spans="4:22" ht="16.899999999999999" x14ac:dyDescent="0.5">
      <c r="D853" s="268"/>
      <c r="F853" s="268"/>
      <c r="L853" s="268"/>
      <c r="N853" s="268"/>
      <c r="T853" s="268"/>
      <c r="V853" s="268"/>
    </row>
    <row r="854" spans="4:22" ht="16.899999999999999" x14ac:dyDescent="0.5">
      <c r="D854" s="268"/>
      <c r="F854" s="268"/>
      <c r="L854" s="268"/>
      <c r="N854" s="268"/>
      <c r="T854" s="268"/>
      <c r="V854" s="268"/>
    </row>
    <row r="855" spans="4:22" ht="16.899999999999999" x14ac:dyDescent="0.5">
      <c r="D855" s="268"/>
      <c r="F855" s="268"/>
      <c r="L855" s="268"/>
      <c r="N855" s="268"/>
      <c r="T855" s="268"/>
      <c r="V855" s="268"/>
    </row>
    <row r="856" spans="4:22" ht="16.899999999999999" x14ac:dyDescent="0.5">
      <c r="D856" s="268"/>
      <c r="F856" s="268"/>
      <c r="L856" s="268"/>
      <c r="N856" s="268"/>
      <c r="T856" s="268"/>
      <c r="V856" s="268"/>
    </row>
    <row r="857" spans="4:22" ht="16.899999999999999" x14ac:dyDescent="0.5">
      <c r="D857" s="268"/>
      <c r="F857" s="268"/>
      <c r="L857" s="268"/>
      <c r="N857" s="268"/>
      <c r="T857" s="268"/>
      <c r="V857" s="268"/>
    </row>
    <row r="858" spans="4:22" ht="16.899999999999999" x14ac:dyDescent="0.5">
      <c r="D858" s="268"/>
      <c r="F858" s="268"/>
      <c r="L858" s="268"/>
      <c r="N858" s="268"/>
      <c r="T858" s="268"/>
      <c r="V858" s="268"/>
    </row>
    <row r="859" spans="4:22" ht="16.899999999999999" x14ac:dyDescent="0.5">
      <c r="D859" s="268"/>
      <c r="F859" s="268"/>
      <c r="L859" s="268"/>
      <c r="N859" s="268"/>
      <c r="T859" s="268"/>
      <c r="V859" s="268"/>
    </row>
    <row r="860" spans="4:22" ht="16.899999999999999" x14ac:dyDescent="0.5">
      <c r="D860" s="268"/>
      <c r="F860" s="268"/>
      <c r="L860" s="268"/>
      <c r="N860" s="268"/>
      <c r="T860" s="268"/>
      <c r="V860" s="268"/>
    </row>
    <row r="861" spans="4:22" ht="16.899999999999999" x14ac:dyDescent="0.5">
      <c r="D861" s="268"/>
      <c r="F861" s="268"/>
      <c r="L861" s="268"/>
      <c r="N861" s="268"/>
      <c r="T861" s="268"/>
      <c r="V861" s="268"/>
    </row>
    <row r="862" spans="4:22" ht="16.899999999999999" x14ac:dyDescent="0.5">
      <c r="D862" s="268"/>
      <c r="F862" s="268"/>
      <c r="L862" s="268"/>
      <c r="N862" s="268"/>
      <c r="T862" s="268"/>
      <c r="V862" s="268"/>
    </row>
    <row r="863" spans="4:22" ht="16.899999999999999" x14ac:dyDescent="0.5">
      <c r="D863" s="268"/>
      <c r="F863" s="268"/>
      <c r="L863" s="268"/>
      <c r="N863" s="268"/>
      <c r="T863" s="268"/>
      <c r="V863" s="268"/>
    </row>
    <row r="864" spans="4:22" ht="16.899999999999999" x14ac:dyDescent="0.5">
      <c r="D864" s="268"/>
      <c r="F864" s="268"/>
      <c r="L864" s="268"/>
      <c r="N864" s="268"/>
      <c r="T864" s="268"/>
      <c r="V864" s="268"/>
    </row>
    <row r="865" spans="4:22" ht="16.899999999999999" x14ac:dyDescent="0.5">
      <c r="D865" s="268"/>
      <c r="F865" s="268"/>
      <c r="L865" s="268"/>
      <c r="N865" s="268"/>
      <c r="T865" s="268"/>
      <c r="V865" s="268"/>
    </row>
    <row r="866" spans="4:22" ht="16.899999999999999" x14ac:dyDescent="0.5">
      <c r="D866" s="268"/>
      <c r="F866" s="268"/>
      <c r="L866" s="268"/>
      <c r="N866" s="268"/>
      <c r="T866" s="268"/>
      <c r="V866" s="268"/>
    </row>
    <row r="867" spans="4:22" ht="16.899999999999999" x14ac:dyDescent="0.5">
      <c r="D867" s="268"/>
      <c r="F867" s="268"/>
      <c r="L867" s="268"/>
      <c r="N867" s="268"/>
      <c r="T867" s="268"/>
      <c r="V867" s="268"/>
    </row>
    <row r="868" spans="4:22" ht="16.899999999999999" x14ac:dyDescent="0.5">
      <c r="D868" s="268"/>
      <c r="F868" s="268"/>
      <c r="L868" s="268"/>
      <c r="N868" s="268"/>
      <c r="T868" s="268"/>
      <c r="V868" s="268"/>
    </row>
    <row r="869" spans="4:22" ht="16.899999999999999" x14ac:dyDescent="0.5">
      <c r="D869" s="268"/>
      <c r="F869" s="268"/>
      <c r="L869" s="268"/>
      <c r="N869" s="268"/>
      <c r="T869" s="268"/>
      <c r="V869" s="268"/>
    </row>
    <row r="870" spans="4:22" ht="16.899999999999999" x14ac:dyDescent="0.5">
      <c r="D870" s="268"/>
      <c r="F870" s="268"/>
      <c r="L870" s="268"/>
      <c r="N870" s="268"/>
      <c r="T870" s="268"/>
      <c r="V870" s="268"/>
    </row>
    <row r="871" spans="4:22" ht="16.899999999999999" x14ac:dyDescent="0.5">
      <c r="D871" s="268"/>
      <c r="F871" s="268"/>
      <c r="L871" s="268"/>
      <c r="N871" s="268"/>
      <c r="T871" s="268"/>
      <c r="V871" s="268"/>
    </row>
    <row r="872" spans="4:22" ht="16.899999999999999" x14ac:dyDescent="0.5">
      <c r="D872" s="268"/>
      <c r="F872" s="268"/>
      <c r="L872" s="268"/>
      <c r="N872" s="268"/>
      <c r="T872" s="268"/>
      <c r="V872" s="268"/>
    </row>
    <row r="873" spans="4:22" ht="16.899999999999999" x14ac:dyDescent="0.5">
      <c r="D873" s="268"/>
      <c r="F873" s="268"/>
      <c r="L873" s="268"/>
      <c r="N873" s="268"/>
      <c r="T873" s="268"/>
      <c r="V873" s="268"/>
    </row>
    <row r="874" spans="4:22" ht="16.899999999999999" x14ac:dyDescent="0.5">
      <c r="D874" s="268"/>
      <c r="F874" s="268"/>
      <c r="L874" s="268"/>
      <c r="N874" s="268"/>
      <c r="T874" s="268"/>
      <c r="V874" s="268"/>
    </row>
    <row r="875" spans="4:22" ht="16.899999999999999" x14ac:dyDescent="0.5">
      <c r="D875" s="268"/>
      <c r="F875" s="268"/>
      <c r="L875" s="268"/>
      <c r="N875" s="268"/>
      <c r="T875" s="268"/>
      <c r="V875" s="268"/>
    </row>
    <row r="876" spans="4:22" ht="16.899999999999999" x14ac:dyDescent="0.5">
      <c r="D876" s="268"/>
      <c r="F876" s="268"/>
      <c r="L876" s="268"/>
      <c r="N876" s="268"/>
      <c r="T876" s="268"/>
      <c r="V876" s="268"/>
    </row>
    <row r="877" spans="4:22" ht="16.899999999999999" x14ac:dyDescent="0.5">
      <c r="D877" s="268"/>
      <c r="F877" s="268"/>
      <c r="L877" s="268"/>
      <c r="N877" s="268"/>
      <c r="T877" s="268"/>
      <c r="V877" s="268"/>
    </row>
    <row r="878" spans="4:22" ht="16.899999999999999" x14ac:dyDescent="0.5">
      <c r="D878" s="268"/>
      <c r="F878" s="268"/>
      <c r="L878" s="268"/>
      <c r="N878" s="268"/>
      <c r="T878" s="268"/>
      <c r="V878" s="268"/>
    </row>
    <row r="879" spans="4:22" ht="16.899999999999999" x14ac:dyDescent="0.5">
      <c r="D879" s="268"/>
      <c r="F879" s="268"/>
      <c r="L879" s="268"/>
      <c r="N879" s="268"/>
      <c r="T879" s="268"/>
      <c r="V879" s="268"/>
    </row>
    <row r="880" spans="4:22" ht="16.899999999999999" x14ac:dyDescent="0.5">
      <c r="D880" s="268"/>
      <c r="F880" s="268"/>
      <c r="L880" s="268"/>
      <c r="N880" s="268"/>
      <c r="T880" s="268"/>
      <c r="V880" s="268"/>
    </row>
    <row r="881" spans="4:22" ht="16.899999999999999" x14ac:dyDescent="0.5">
      <c r="D881" s="268"/>
      <c r="F881" s="268"/>
      <c r="L881" s="268"/>
      <c r="N881" s="268"/>
      <c r="T881" s="268"/>
      <c r="V881" s="268"/>
    </row>
    <row r="882" spans="4:22" ht="16.899999999999999" x14ac:dyDescent="0.5">
      <c r="D882" s="268"/>
      <c r="F882" s="268"/>
      <c r="L882" s="268"/>
      <c r="N882" s="268"/>
      <c r="T882" s="268"/>
      <c r="V882" s="268"/>
    </row>
    <row r="883" spans="4:22" ht="16.899999999999999" x14ac:dyDescent="0.5">
      <c r="D883" s="268"/>
      <c r="F883" s="268"/>
      <c r="L883" s="268"/>
      <c r="N883" s="268"/>
      <c r="T883" s="268"/>
      <c r="V883" s="268"/>
    </row>
    <row r="884" spans="4:22" ht="16.899999999999999" x14ac:dyDescent="0.5">
      <c r="D884" s="268"/>
      <c r="F884" s="268"/>
      <c r="L884" s="268"/>
      <c r="N884" s="268"/>
      <c r="T884" s="268"/>
      <c r="V884" s="268"/>
    </row>
    <row r="885" spans="4:22" ht="16.899999999999999" x14ac:dyDescent="0.5">
      <c r="D885" s="268"/>
      <c r="F885" s="268"/>
      <c r="L885" s="268"/>
      <c r="N885" s="268"/>
      <c r="T885" s="268"/>
      <c r="V885" s="268"/>
    </row>
    <row r="886" spans="4:22" ht="16.899999999999999" x14ac:dyDescent="0.5">
      <c r="D886" s="268"/>
      <c r="F886" s="268"/>
      <c r="L886" s="268"/>
      <c r="N886" s="268"/>
      <c r="T886" s="268"/>
      <c r="V886" s="268"/>
    </row>
    <row r="887" spans="4:22" ht="16.899999999999999" x14ac:dyDescent="0.5">
      <c r="D887" s="268"/>
      <c r="F887" s="268"/>
      <c r="L887" s="268"/>
      <c r="N887" s="268"/>
      <c r="T887" s="268"/>
      <c r="V887" s="268"/>
    </row>
    <row r="888" spans="4:22" ht="16.899999999999999" x14ac:dyDescent="0.5">
      <c r="D888" s="268"/>
      <c r="F888" s="268"/>
      <c r="L888" s="268"/>
      <c r="N888" s="268"/>
      <c r="T888" s="268"/>
      <c r="V888" s="268"/>
    </row>
    <row r="889" spans="4:22" ht="16.899999999999999" x14ac:dyDescent="0.5">
      <c r="D889" s="268"/>
      <c r="F889" s="268"/>
      <c r="L889" s="268"/>
      <c r="N889" s="268"/>
      <c r="T889" s="268"/>
      <c r="V889" s="268"/>
    </row>
    <row r="890" spans="4:22" ht="16.899999999999999" x14ac:dyDescent="0.5">
      <c r="D890" s="268"/>
      <c r="F890" s="268"/>
      <c r="L890" s="268"/>
      <c r="N890" s="268"/>
      <c r="T890" s="268"/>
      <c r="V890" s="268"/>
    </row>
    <row r="891" spans="4:22" ht="16.899999999999999" x14ac:dyDescent="0.5">
      <c r="D891" s="268"/>
      <c r="F891" s="268"/>
      <c r="L891" s="268"/>
      <c r="N891" s="268"/>
      <c r="T891" s="268"/>
      <c r="V891" s="268"/>
    </row>
    <row r="892" spans="4:22" ht="16.899999999999999" x14ac:dyDescent="0.5">
      <c r="D892" s="268"/>
      <c r="F892" s="268"/>
      <c r="L892" s="268"/>
      <c r="N892" s="268"/>
      <c r="T892" s="268"/>
      <c r="V892" s="268"/>
    </row>
    <row r="893" spans="4:22" ht="16.899999999999999" x14ac:dyDescent="0.5">
      <c r="D893" s="268"/>
      <c r="F893" s="268"/>
      <c r="L893" s="268"/>
      <c r="N893" s="268"/>
      <c r="T893" s="268"/>
      <c r="V893" s="268"/>
    </row>
    <row r="894" spans="4:22" ht="16.899999999999999" x14ac:dyDescent="0.5">
      <c r="D894" s="268"/>
      <c r="F894" s="268"/>
      <c r="L894" s="268"/>
      <c r="N894" s="268"/>
      <c r="T894" s="268"/>
      <c r="V894" s="268"/>
    </row>
    <row r="895" spans="4:22" ht="16.899999999999999" x14ac:dyDescent="0.5">
      <c r="D895" s="268"/>
      <c r="F895" s="268"/>
      <c r="L895" s="268"/>
      <c r="N895" s="268"/>
      <c r="T895" s="268"/>
      <c r="V895" s="268"/>
    </row>
    <row r="896" spans="4:22" ht="16.899999999999999" x14ac:dyDescent="0.5">
      <c r="D896" s="268"/>
      <c r="F896" s="268"/>
      <c r="L896" s="268"/>
      <c r="N896" s="268"/>
      <c r="T896" s="268"/>
      <c r="V896" s="268"/>
    </row>
    <row r="897" spans="4:22" ht="16.899999999999999" x14ac:dyDescent="0.5">
      <c r="D897" s="268"/>
      <c r="F897" s="268"/>
      <c r="L897" s="268"/>
      <c r="N897" s="268"/>
      <c r="T897" s="268"/>
      <c r="V897" s="268"/>
    </row>
    <row r="898" spans="4:22" ht="16.899999999999999" x14ac:dyDescent="0.5">
      <c r="D898" s="268"/>
      <c r="F898" s="268"/>
      <c r="L898" s="268"/>
      <c r="N898" s="268"/>
      <c r="T898" s="268"/>
      <c r="V898" s="268"/>
    </row>
    <row r="899" spans="4:22" ht="16.899999999999999" x14ac:dyDescent="0.5">
      <c r="D899" s="268"/>
      <c r="F899" s="268"/>
      <c r="L899" s="268"/>
      <c r="N899" s="268"/>
      <c r="T899" s="268"/>
      <c r="V899" s="268"/>
    </row>
    <row r="900" spans="4:22" ht="16.899999999999999" x14ac:dyDescent="0.5">
      <c r="D900" s="268"/>
      <c r="F900" s="268"/>
      <c r="L900" s="268"/>
      <c r="N900" s="268"/>
      <c r="T900" s="268"/>
      <c r="V900" s="268"/>
    </row>
    <row r="901" spans="4:22" ht="16.899999999999999" x14ac:dyDescent="0.5">
      <c r="D901" s="268"/>
      <c r="F901" s="268"/>
      <c r="L901" s="268"/>
      <c r="N901" s="268"/>
      <c r="T901" s="268"/>
      <c r="V901" s="268"/>
    </row>
    <row r="902" spans="4:22" ht="16.899999999999999" x14ac:dyDescent="0.5">
      <c r="D902" s="268"/>
      <c r="F902" s="268"/>
      <c r="L902" s="268"/>
      <c r="N902" s="268"/>
      <c r="T902" s="268"/>
      <c r="V902" s="268"/>
    </row>
    <row r="903" spans="4:22" ht="16.899999999999999" x14ac:dyDescent="0.5">
      <c r="D903" s="268"/>
      <c r="F903" s="268"/>
      <c r="L903" s="268"/>
      <c r="N903" s="268"/>
      <c r="T903" s="268"/>
      <c r="V903" s="268"/>
    </row>
    <row r="904" spans="4:22" ht="16.899999999999999" x14ac:dyDescent="0.5">
      <c r="D904" s="268"/>
      <c r="F904" s="268"/>
      <c r="L904" s="268"/>
      <c r="N904" s="268"/>
      <c r="T904" s="268"/>
      <c r="V904" s="268"/>
    </row>
    <row r="905" spans="4:22" ht="16.899999999999999" x14ac:dyDescent="0.5">
      <c r="D905" s="268"/>
      <c r="F905" s="268"/>
      <c r="L905" s="268"/>
      <c r="N905" s="268"/>
      <c r="T905" s="268"/>
      <c r="V905" s="268"/>
    </row>
    <row r="906" spans="4:22" ht="16.899999999999999" x14ac:dyDescent="0.5">
      <c r="D906" s="268"/>
      <c r="F906" s="268"/>
      <c r="L906" s="268"/>
      <c r="N906" s="268"/>
      <c r="T906" s="268"/>
      <c r="V906" s="268"/>
    </row>
    <row r="907" spans="4:22" ht="16.899999999999999" x14ac:dyDescent="0.5">
      <c r="D907" s="268"/>
      <c r="F907" s="268"/>
      <c r="L907" s="268"/>
      <c r="N907" s="268"/>
      <c r="T907" s="268"/>
      <c r="V907" s="268"/>
    </row>
    <row r="908" spans="4:22" ht="16.899999999999999" x14ac:dyDescent="0.5">
      <c r="D908" s="268"/>
      <c r="F908" s="268"/>
      <c r="L908" s="268"/>
      <c r="N908" s="268"/>
      <c r="T908" s="268"/>
      <c r="V908" s="268"/>
    </row>
    <row r="909" spans="4:22" ht="16.899999999999999" x14ac:dyDescent="0.5">
      <c r="D909" s="268"/>
      <c r="F909" s="268"/>
      <c r="L909" s="268"/>
      <c r="N909" s="268"/>
      <c r="T909" s="268"/>
      <c r="V909" s="268"/>
    </row>
    <row r="910" spans="4:22" ht="16.899999999999999" x14ac:dyDescent="0.5">
      <c r="D910" s="268"/>
      <c r="F910" s="268"/>
      <c r="L910" s="268"/>
      <c r="N910" s="268"/>
      <c r="T910" s="268"/>
      <c r="V910" s="268"/>
    </row>
    <row r="911" spans="4:22" ht="16.899999999999999" x14ac:dyDescent="0.5">
      <c r="D911" s="268"/>
      <c r="F911" s="268"/>
      <c r="L911" s="268"/>
      <c r="N911" s="268"/>
      <c r="T911" s="268"/>
      <c r="V911" s="268"/>
    </row>
    <row r="912" spans="4:22" ht="16.899999999999999" x14ac:dyDescent="0.5">
      <c r="D912" s="268"/>
      <c r="F912" s="268"/>
      <c r="L912" s="268"/>
      <c r="N912" s="268"/>
      <c r="T912" s="268"/>
      <c r="V912" s="268"/>
    </row>
    <row r="913" spans="4:22" ht="16.899999999999999" x14ac:dyDescent="0.5">
      <c r="D913" s="268"/>
      <c r="F913" s="268"/>
      <c r="L913" s="268"/>
      <c r="N913" s="268"/>
      <c r="T913" s="268"/>
      <c r="V913" s="268"/>
    </row>
    <row r="914" spans="4:22" ht="16.899999999999999" x14ac:dyDescent="0.5">
      <c r="D914" s="268"/>
      <c r="F914" s="268"/>
      <c r="L914" s="268"/>
      <c r="N914" s="268"/>
      <c r="T914" s="268"/>
      <c r="V914" s="268"/>
    </row>
    <row r="915" spans="4:22" ht="16.899999999999999" x14ac:dyDescent="0.5">
      <c r="D915" s="268"/>
      <c r="F915" s="268"/>
      <c r="L915" s="268"/>
      <c r="N915" s="268"/>
      <c r="T915" s="268"/>
      <c r="V915" s="268"/>
    </row>
    <row r="916" spans="4:22" ht="16.899999999999999" x14ac:dyDescent="0.5">
      <c r="D916" s="268"/>
      <c r="F916" s="268"/>
      <c r="L916" s="268"/>
      <c r="N916" s="268"/>
      <c r="T916" s="268"/>
      <c r="V916" s="268"/>
    </row>
    <row r="917" spans="4:22" ht="16.899999999999999" x14ac:dyDescent="0.5">
      <c r="D917" s="268"/>
      <c r="F917" s="268"/>
      <c r="L917" s="268"/>
      <c r="N917" s="268"/>
      <c r="T917" s="268"/>
      <c r="V917" s="268"/>
    </row>
    <row r="918" spans="4:22" ht="16.899999999999999" x14ac:dyDescent="0.5">
      <c r="D918" s="268"/>
      <c r="F918" s="268"/>
      <c r="L918" s="268"/>
      <c r="N918" s="268"/>
      <c r="T918" s="268"/>
      <c r="V918" s="268"/>
    </row>
    <row r="919" spans="4:22" ht="16.899999999999999" x14ac:dyDescent="0.5">
      <c r="D919" s="268"/>
      <c r="F919" s="268"/>
      <c r="L919" s="268"/>
      <c r="N919" s="268"/>
      <c r="T919" s="268"/>
      <c r="V919" s="268"/>
    </row>
    <row r="920" spans="4:22" ht="16.899999999999999" x14ac:dyDescent="0.5">
      <c r="D920" s="268"/>
      <c r="F920" s="268"/>
      <c r="L920" s="268"/>
      <c r="N920" s="268"/>
      <c r="T920" s="268"/>
      <c r="V920" s="268"/>
    </row>
    <row r="921" spans="4:22" ht="16.899999999999999" x14ac:dyDescent="0.5">
      <c r="D921" s="268"/>
      <c r="F921" s="268"/>
      <c r="L921" s="268"/>
      <c r="N921" s="268"/>
      <c r="T921" s="268"/>
      <c r="V921" s="268"/>
    </row>
    <row r="922" spans="4:22" ht="16.899999999999999" x14ac:dyDescent="0.5">
      <c r="D922" s="268"/>
      <c r="F922" s="268"/>
      <c r="L922" s="268"/>
      <c r="N922" s="268"/>
      <c r="T922" s="268"/>
      <c r="V922" s="268"/>
    </row>
    <row r="923" spans="4:22" ht="16.899999999999999" x14ac:dyDescent="0.5">
      <c r="D923" s="268"/>
      <c r="F923" s="268"/>
      <c r="L923" s="268"/>
      <c r="N923" s="268"/>
      <c r="T923" s="268"/>
      <c r="V923" s="268"/>
    </row>
    <row r="924" spans="4:22" ht="16.899999999999999" x14ac:dyDescent="0.5">
      <c r="D924" s="268"/>
      <c r="F924" s="268"/>
      <c r="L924" s="268"/>
      <c r="N924" s="268"/>
      <c r="T924" s="268"/>
      <c r="V924" s="268"/>
    </row>
    <row r="925" spans="4:22" ht="16.899999999999999" x14ac:dyDescent="0.5">
      <c r="D925" s="268"/>
      <c r="F925" s="268"/>
      <c r="L925" s="268"/>
      <c r="N925" s="268"/>
      <c r="T925" s="268"/>
      <c r="V925" s="268"/>
    </row>
    <row r="926" spans="4:22" ht="16.899999999999999" x14ac:dyDescent="0.5">
      <c r="D926" s="268"/>
      <c r="F926" s="268"/>
      <c r="L926" s="268"/>
      <c r="N926" s="268"/>
      <c r="T926" s="268"/>
      <c r="V926" s="268"/>
    </row>
    <row r="927" spans="4:22" ht="16.899999999999999" x14ac:dyDescent="0.5">
      <c r="D927" s="268"/>
      <c r="F927" s="268"/>
      <c r="L927" s="268"/>
      <c r="N927" s="268"/>
      <c r="T927" s="268"/>
      <c r="V927" s="268"/>
    </row>
    <row r="928" spans="4:22" ht="16.899999999999999" x14ac:dyDescent="0.5">
      <c r="D928" s="268"/>
      <c r="F928" s="268"/>
      <c r="L928" s="268"/>
      <c r="N928" s="268"/>
      <c r="T928" s="268"/>
      <c r="V928" s="268"/>
    </row>
    <row r="929" spans="4:22" ht="16.899999999999999" x14ac:dyDescent="0.5">
      <c r="D929" s="268"/>
      <c r="F929" s="268"/>
      <c r="L929" s="268"/>
      <c r="N929" s="268"/>
      <c r="T929" s="268"/>
      <c r="V929" s="268"/>
    </row>
    <row r="930" spans="4:22" ht="16.899999999999999" x14ac:dyDescent="0.5">
      <c r="D930" s="268"/>
      <c r="F930" s="268"/>
      <c r="L930" s="268"/>
      <c r="N930" s="268"/>
      <c r="T930" s="268"/>
      <c r="V930" s="268"/>
    </row>
    <row r="931" spans="4:22" ht="16.899999999999999" x14ac:dyDescent="0.5">
      <c r="D931" s="268"/>
      <c r="F931" s="268"/>
      <c r="L931" s="268"/>
      <c r="N931" s="268"/>
      <c r="T931" s="268"/>
      <c r="V931" s="268"/>
    </row>
    <row r="932" spans="4:22" ht="16.899999999999999" x14ac:dyDescent="0.5">
      <c r="D932" s="268"/>
      <c r="F932" s="268"/>
      <c r="L932" s="268"/>
      <c r="N932" s="268"/>
      <c r="T932" s="268"/>
      <c r="V932" s="268"/>
    </row>
    <row r="933" spans="4:22" ht="16.899999999999999" x14ac:dyDescent="0.5">
      <c r="D933" s="268"/>
      <c r="F933" s="268"/>
      <c r="L933" s="268"/>
      <c r="N933" s="268"/>
      <c r="T933" s="268"/>
      <c r="V933" s="268"/>
    </row>
    <row r="934" spans="4:22" ht="16.899999999999999" x14ac:dyDescent="0.5">
      <c r="D934" s="268"/>
      <c r="F934" s="268"/>
      <c r="L934" s="268"/>
      <c r="N934" s="268"/>
      <c r="T934" s="268"/>
      <c r="V934" s="268"/>
    </row>
    <row r="935" spans="4:22" ht="16.899999999999999" x14ac:dyDescent="0.5">
      <c r="D935" s="268"/>
      <c r="F935" s="268"/>
      <c r="L935" s="268"/>
      <c r="N935" s="268"/>
      <c r="T935" s="268"/>
      <c r="V935" s="268"/>
    </row>
    <row r="936" spans="4:22" ht="16.899999999999999" x14ac:dyDescent="0.5">
      <c r="D936" s="268"/>
      <c r="F936" s="268"/>
      <c r="L936" s="268"/>
      <c r="N936" s="268"/>
      <c r="T936" s="268"/>
      <c r="V936" s="268"/>
    </row>
    <row r="937" spans="4:22" ht="16.899999999999999" x14ac:dyDescent="0.5">
      <c r="D937" s="268"/>
      <c r="F937" s="268"/>
      <c r="L937" s="268"/>
      <c r="N937" s="268"/>
      <c r="T937" s="268"/>
      <c r="V937" s="268"/>
    </row>
    <row r="938" spans="4:22" ht="16.899999999999999" x14ac:dyDescent="0.5">
      <c r="D938" s="268"/>
      <c r="F938" s="268"/>
      <c r="L938" s="268"/>
      <c r="N938" s="268"/>
      <c r="T938" s="268"/>
      <c r="V938" s="268"/>
    </row>
    <row r="939" spans="4:22" ht="16.899999999999999" x14ac:dyDescent="0.5">
      <c r="D939" s="268"/>
      <c r="F939" s="268"/>
      <c r="L939" s="268"/>
      <c r="N939" s="268"/>
      <c r="T939" s="268"/>
      <c r="V939" s="268"/>
    </row>
    <row r="940" spans="4:22" ht="16.899999999999999" x14ac:dyDescent="0.5">
      <c r="D940" s="268"/>
      <c r="F940" s="268"/>
      <c r="L940" s="268"/>
      <c r="N940" s="268"/>
      <c r="T940" s="268"/>
      <c r="V940" s="268"/>
    </row>
    <row r="941" spans="4:22" ht="16.899999999999999" x14ac:dyDescent="0.5">
      <c r="D941" s="268"/>
      <c r="F941" s="268"/>
      <c r="L941" s="268"/>
      <c r="N941" s="268"/>
      <c r="T941" s="268"/>
      <c r="V941" s="268"/>
    </row>
    <row r="942" spans="4:22" ht="16.899999999999999" x14ac:dyDescent="0.5">
      <c r="D942" s="268"/>
      <c r="F942" s="268"/>
      <c r="L942" s="268"/>
      <c r="N942" s="268"/>
      <c r="T942" s="268"/>
      <c r="V942" s="268"/>
    </row>
    <row r="943" spans="4:22" ht="16.899999999999999" x14ac:dyDescent="0.5">
      <c r="D943" s="268"/>
      <c r="F943" s="268"/>
      <c r="L943" s="268"/>
      <c r="N943" s="268"/>
      <c r="T943" s="268"/>
      <c r="V943" s="268"/>
    </row>
    <row r="944" spans="4:22" ht="16.899999999999999" x14ac:dyDescent="0.5">
      <c r="D944" s="268"/>
      <c r="F944" s="268"/>
      <c r="L944" s="268"/>
      <c r="N944" s="268"/>
      <c r="T944" s="268"/>
      <c r="V944" s="268"/>
    </row>
    <row r="945" spans="4:22" ht="16.899999999999999" x14ac:dyDescent="0.5">
      <c r="D945" s="268"/>
      <c r="F945" s="268"/>
      <c r="L945" s="268"/>
      <c r="N945" s="268"/>
      <c r="T945" s="268"/>
      <c r="V945" s="268"/>
    </row>
    <row r="946" spans="4:22" ht="16.899999999999999" x14ac:dyDescent="0.5">
      <c r="D946" s="268"/>
      <c r="F946" s="268"/>
      <c r="L946" s="268"/>
      <c r="N946" s="268"/>
      <c r="T946" s="268"/>
      <c r="V946" s="268"/>
    </row>
    <row r="947" spans="4:22" ht="16.899999999999999" x14ac:dyDescent="0.5">
      <c r="D947" s="268"/>
      <c r="F947" s="268"/>
      <c r="L947" s="268"/>
      <c r="N947" s="268"/>
      <c r="T947" s="268"/>
      <c r="V947" s="268"/>
    </row>
    <row r="948" spans="4:22" ht="16.899999999999999" x14ac:dyDescent="0.5">
      <c r="D948" s="268"/>
      <c r="F948" s="268"/>
      <c r="L948" s="268"/>
      <c r="N948" s="268"/>
      <c r="T948" s="268"/>
      <c r="V948" s="268"/>
    </row>
    <row r="949" spans="4:22" ht="16.899999999999999" x14ac:dyDescent="0.5">
      <c r="D949" s="268"/>
      <c r="F949" s="268"/>
      <c r="L949" s="268"/>
      <c r="N949" s="268"/>
      <c r="T949" s="268"/>
      <c r="V949" s="268"/>
    </row>
    <row r="950" spans="4:22" ht="16.899999999999999" x14ac:dyDescent="0.5">
      <c r="D950" s="268"/>
      <c r="F950" s="268"/>
      <c r="L950" s="268"/>
      <c r="N950" s="268"/>
      <c r="T950" s="268"/>
      <c r="V950" s="268"/>
    </row>
    <row r="951" spans="4:22" ht="16.899999999999999" x14ac:dyDescent="0.5">
      <c r="D951" s="268"/>
      <c r="F951" s="268"/>
      <c r="L951" s="268"/>
      <c r="N951" s="268"/>
      <c r="T951" s="268"/>
      <c r="V951" s="268"/>
    </row>
    <row r="952" spans="4:22" ht="16.899999999999999" x14ac:dyDescent="0.5">
      <c r="D952" s="268"/>
      <c r="F952" s="268"/>
      <c r="L952" s="268"/>
      <c r="N952" s="268"/>
      <c r="T952" s="268"/>
      <c r="V952" s="268"/>
    </row>
    <row r="953" spans="4:22" ht="16.899999999999999" x14ac:dyDescent="0.5">
      <c r="D953" s="268"/>
      <c r="F953" s="268"/>
      <c r="L953" s="268"/>
      <c r="N953" s="268"/>
      <c r="T953" s="268"/>
      <c r="V953" s="268"/>
    </row>
    <row r="954" spans="4:22" ht="16.899999999999999" x14ac:dyDescent="0.5">
      <c r="D954" s="268"/>
      <c r="F954" s="268"/>
      <c r="L954" s="268"/>
      <c r="N954" s="268"/>
      <c r="T954" s="268"/>
      <c r="V954" s="268"/>
    </row>
    <row r="955" spans="4:22" ht="16.899999999999999" x14ac:dyDescent="0.5">
      <c r="D955" s="268"/>
      <c r="F955" s="268"/>
      <c r="L955" s="268"/>
      <c r="N955" s="268"/>
      <c r="T955" s="268"/>
      <c r="V955" s="268"/>
    </row>
    <row r="956" spans="4:22" ht="16.899999999999999" x14ac:dyDescent="0.5">
      <c r="D956" s="268"/>
      <c r="F956" s="268"/>
      <c r="L956" s="268"/>
      <c r="N956" s="268"/>
      <c r="T956" s="268"/>
      <c r="V956" s="268"/>
    </row>
    <row r="957" spans="4:22" ht="16.899999999999999" x14ac:dyDescent="0.5">
      <c r="D957" s="268"/>
      <c r="F957" s="268"/>
      <c r="L957" s="268"/>
      <c r="N957" s="268"/>
      <c r="T957" s="268"/>
      <c r="V957" s="268"/>
    </row>
    <row r="958" spans="4:22" ht="16.899999999999999" x14ac:dyDescent="0.5">
      <c r="D958" s="268"/>
      <c r="F958" s="268"/>
      <c r="L958" s="268"/>
      <c r="N958" s="268"/>
      <c r="T958" s="268"/>
      <c r="V958" s="268"/>
    </row>
    <row r="959" spans="4:22" ht="16.899999999999999" x14ac:dyDescent="0.5">
      <c r="D959" s="268"/>
      <c r="F959" s="268"/>
      <c r="L959" s="268"/>
      <c r="N959" s="268"/>
      <c r="T959" s="268"/>
      <c r="V959" s="268"/>
    </row>
    <row r="960" spans="4:22" ht="16.899999999999999" x14ac:dyDescent="0.5">
      <c r="D960" s="268"/>
      <c r="F960" s="268"/>
      <c r="L960" s="268"/>
      <c r="N960" s="268"/>
      <c r="T960" s="268"/>
      <c r="V960" s="268"/>
    </row>
    <row r="961" spans="4:22" ht="16.899999999999999" x14ac:dyDescent="0.5">
      <c r="D961" s="268"/>
      <c r="F961" s="268"/>
      <c r="L961" s="268"/>
      <c r="N961" s="268"/>
      <c r="T961" s="268"/>
      <c r="V961" s="268"/>
    </row>
    <row r="962" spans="4:22" ht="16.899999999999999" x14ac:dyDescent="0.5">
      <c r="D962" s="268"/>
      <c r="F962" s="268"/>
      <c r="L962" s="268"/>
      <c r="N962" s="268"/>
      <c r="T962" s="268"/>
      <c r="V962" s="268"/>
    </row>
    <row r="963" spans="4:22" ht="16.899999999999999" x14ac:dyDescent="0.5">
      <c r="D963" s="268"/>
      <c r="F963" s="268"/>
      <c r="L963" s="268"/>
      <c r="N963" s="268"/>
      <c r="T963" s="268"/>
      <c r="V963" s="268"/>
    </row>
    <row r="964" spans="4:22" ht="16.899999999999999" x14ac:dyDescent="0.5">
      <c r="D964" s="268"/>
      <c r="F964" s="268"/>
      <c r="L964" s="268"/>
      <c r="N964" s="268"/>
      <c r="T964" s="268"/>
      <c r="V964" s="268"/>
    </row>
    <row r="965" spans="4:22" ht="16.899999999999999" x14ac:dyDescent="0.5">
      <c r="D965" s="268"/>
      <c r="F965" s="268"/>
      <c r="L965" s="268"/>
      <c r="N965" s="268"/>
      <c r="T965" s="268"/>
      <c r="V965" s="268"/>
    </row>
    <row r="966" spans="4:22" ht="16.899999999999999" x14ac:dyDescent="0.5">
      <c r="D966" s="268"/>
      <c r="F966" s="268"/>
      <c r="L966" s="268"/>
      <c r="N966" s="268"/>
      <c r="T966" s="268"/>
      <c r="V966" s="268"/>
    </row>
    <row r="967" spans="4:22" ht="16.899999999999999" x14ac:dyDescent="0.5">
      <c r="D967" s="268"/>
      <c r="F967" s="268"/>
      <c r="L967" s="268"/>
      <c r="N967" s="268"/>
      <c r="T967" s="268"/>
      <c r="V967" s="268"/>
    </row>
    <row r="968" spans="4:22" ht="16.899999999999999" x14ac:dyDescent="0.5">
      <c r="D968" s="268"/>
      <c r="F968" s="268"/>
      <c r="L968" s="268"/>
      <c r="N968" s="268"/>
      <c r="T968" s="268"/>
      <c r="V968" s="268"/>
    </row>
    <row r="969" spans="4:22" ht="16.899999999999999" x14ac:dyDescent="0.5">
      <c r="D969" s="268"/>
      <c r="F969" s="268"/>
      <c r="L969" s="268"/>
      <c r="N969" s="268"/>
      <c r="T969" s="268"/>
      <c r="V969" s="268"/>
    </row>
    <row r="970" spans="4:22" ht="16.899999999999999" x14ac:dyDescent="0.5">
      <c r="D970" s="268"/>
      <c r="F970" s="268"/>
      <c r="L970" s="268"/>
      <c r="N970" s="268"/>
      <c r="T970" s="268"/>
      <c r="V970" s="268"/>
    </row>
    <row r="971" spans="4:22" ht="16.899999999999999" x14ac:dyDescent="0.5">
      <c r="D971" s="268"/>
      <c r="F971" s="268"/>
      <c r="L971" s="268"/>
      <c r="N971" s="268"/>
      <c r="T971" s="268"/>
      <c r="V971" s="268"/>
    </row>
    <row r="972" spans="4:22" ht="16.899999999999999" x14ac:dyDescent="0.5">
      <c r="D972" s="268"/>
      <c r="F972" s="268"/>
      <c r="L972" s="268"/>
      <c r="N972" s="268"/>
      <c r="T972" s="268"/>
      <c r="V972" s="268"/>
    </row>
    <row r="973" spans="4:22" ht="16.899999999999999" x14ac:dyDescent="0.5">
      <c r="D973" s="268"/>
      <c r="F973" s="268"/>
      <c r="L973" s="268"/>
      <c r="N973" s="268"/>
      <c r="T973" s="268"/>
      <c r="V973" s="268"/>
    </row>
    <row r="974" spans="4:22" ht="16.899999999999999" x14ac:dyDescent="0.5">
      <c r="D974" s="268"/>
      <c r="F974" s="268"/>
      <c r="L974" s="268"/>
      <c r="N974" s="268"/>
      <c r="T974" s="268"/>
      <c r="V974" s="268"/>
    </row>
    <row r="975" spans="4:22" ht="16.899999999999999" x14ac:dyDescent="0.5">
      <c r="D975" s="268"/>
      <c r="F975" s="268"/>
      <c r="L975" s="268"/>
      <c r="N975" s="268"/>
      <c r="T975" s="268"/>
      <c r="V975" s="268"/>
    </row>
    <row r="976" spans="4:22" ht="16.899999999999999" x14ac:dyDescent="0.5">
      <c r="D976" s="268"/>
      <c r="F976" s="268"/>
      <c r="L976" s="268"/>
      <c r="N976" s="268"/>
      <c r="T976" s="268"/>
      <c r="V976" s="268"/>
    </row>
    <row r="977" spans="4:22" ht="16.899999999999999" x14ac:dyDescent="0.5">
      <c r="D977" s="268"/>
      <c r="F977" s="268"/>
      <c r="L977" s="268"/>
      <c r="N977" s="268"/>
      <c r="T977" s="268"/>
      <c r="V977" s="268"/>
    </row>
    <row r="978" spans="4:22" ht="16.899999999999999" x14ac:dyDescent="0.5">
      <c r="D978" s="268"/>
      <c r="F978" s="268"/>
      <c r="L978" s="268"/>
      <c r="N978" s="268"/>
      <c r="T978" s="268"/>
      <c r="V978" s="268"/>
    </row>
    <row r="979" spans="4:22" ht="16.899999999999999" x14ac:dyDescent="0.5">
      <c r="D979" s="268"/>
      <c r="F979" s="268"/>
      <c r="L979" s="268"/>
      <c r="N979" s="268"/>
      <c r="T979" s="268"/>
      <c r="V979" s="268"/>
    </row>
    <row r="980" spans="4:22" ht="16.899999999999999" x14ac:dyDescent="0.5">
      <c r="D980" s="268"/>
      <c r="F980" s="268"/>
      <c r="L980" s="268"/>
      <c r="N980" s="268"/>
      <c r="T980" s="268"/>
      <c r="V980" s="268"/>
    </row>
    <row r="981" spans="4:22" ht="16.899999999999999" x14ac:dyDescent="0.5">
      <c r="D981" s="268"/>
      <c r="F981" s="268"/>
      <c r="L981" s="268"/>
      <c r="N981" s="268"/>
      <c r="T981" s="268"/>
      <c r="V981" s="268"/>
    </row>
    <row r="982" spans="4:22" ht="16.899999999999999" x14ac:dyDescent="0.5">
      <c r="D982" s="268"/>
      <c r="F982" s="268"/>
      <c r="L982" s="268"/>
      <c r="N982" s="268"/>
      <c r="T982" s="268"/>
      <c r="V982" s="268"/>
    </row>
    <row r="983" spans="4:22" ht="16.899999999999999" x14ac:dyDescent="0.5">
      <c r="D983" s="268"/>
      <c r="F983" s="268"/>
      <c r="L983" s="268"/>
      <c r="N983" s="268"/>
      <c r="T983" s="268"/>
      <c r="V983" s="268"/>
    </row>
    <row r="984" spans="4:22" ht="16.899999999999999" x14ac:dyDescent="0.5">
      <c r="D984" s="268"/>
      <c r="F984" s="268"/>
      <c r="L984" s="268"/>
      <c r="N984" s="268"/>
      <c r="T984" s="268"/>
      <c r="V984" s="268"/>
    </row>
    <row r="985" spans="4:22" ht="16.899999999999999" x14ac:dyDescent="0.5">
      <c r="D985" s="268"/>
      <c r="F985" s="268"/>
      <c r="L985" s="268"/>
      <c r="N985" s="268"/>
      <c r="T985" s="268"/>
      <c r="V985" s="268"/>
    </row>
    <row r="986" spans="4:22" ht="16.899999999999999" x14ac:dyDescent="0.5">
      <c r="D986" s="268"/>
      <c r="F986" s="268"/>
      <c r="L986" s="268"/>
      <c r="N986" s="268"/>
      <c r="T986" s="268"/>
      <c r="V986" s="268"/>
    </row>
    <row r="987" spans="4:22" ht="16.899999999999999" x14ac:dyDescent="0.5">
      <c r="D987" s="268"/>
      <c r="F987" s="268"/>
      <c r="L987" s="268"/>
      <c r="N987" s="268"/>
      <c r="T987" s="268"/>
      <c r="V987" s="268"/>
    </row>
    <row r="988" spans="4:22" ht="16.899999999999999" x14ac:dyDescent="0.5">
      <c r="D988" s="268"/>
      <c r="F988" s="268"/>
      <c r="L988" s="268"/>
      <c r="N988" s="268"/>
      <c r="T988" s="268"/>
      <c r="V988" s="268"/>
    </row>
    <row r="989" spans="4:22" ht="16.899999999999999" x14ac:dyDescent="0.5">
      <c r="D989" s="268"/>
      <c r="F989" s="268"/>
      <c r="L989" s="268"/>
      <c r="N989" s="268"/>
      <c r="T989" s="268"/>
      <c r="V989" s="268"/>
    </row>
    <row r="990" spans="4:22" ht="16.899999999999999" x14ac:dyDescent="0.5">
      <c r="D990" s="268"/>
      <c r="F990" s="268"/>
      <c r="L990" s="268"/>
      <c r="N990" s="268"/>
      <c r="T990" s="268"/>
      <c r="V990" s="268"/>
    </row>
    <row r="991" spans="4:22" ht="16.899999999999999" x14ac:dyDescent="0.5">
      <c r="D991" s="268"/>
      <c r="F991" s="268"/>
      <c r="L991" s="268"/>
      <c r="N991" s="268"/>
      <c r="T991" s="268"/>
      <c r="V991" s="268"/>
    </row>
    <row r="992" spans="4:22" ht="16.899999999999999" x14ac:dyDescent="0.5">
      <c r="D992" s="268"/>
      <c r="F992" s="268"/>
      <c r="L992" s="268"/>
      <c r="N992" s="268"/>
      <c r="T992" s="268"/>
      <c r="V992" s="268"/>
    </row>
    <row r="993" spans="4:22" ht="16.899999999999999" x14ac:dyDescent="0.5">
      <c r="D993" s="268"/>
      <c r="F993" s="268"/>
      <c r="L993" s="268"/>
      <c r="N993" s="268"/>
      <c r="T993" s="268"/>
      <c r="V993" s="268"/>
    </row>
    <row r="994" spans="4:22" ht="16.899999999999999" x14ac:dyDescent="0.5">
      <c r="D994" s="268"/>
      <c r="F994" s="268"/>
      <c r="L994" s="268"/>
      <c r="N994" s="268"/>
      <c r="T994" s="268"/>
      <c r="V994" s="268"/>
    </row>
    <row r="995" spans="4:22" ht="16.899999999999999" x14ac:dyDescent="0.5">
      <c r="D995" s="268"/>
      <c r="F995" s="268"/>
      <c r="L995" s="268"/>
      <c r="N995" s="268"/>
      <c r="T995" s="268"/>
      <c r="V995" s="268"/>
    </row>
    <row r="996" spans="4:22" ht="16.899999999999999" x14ac:dyDescent="0.5">
      <c r="D996" s="268"/>
      <c r="F996" s="268"/>
      <c r="L996" s="268"/>
      <c r="N996" s="268"/>
      <c r="T996" s="268"/>
      <c r="V996" s="268"/>
    </row>
    <row r="997" spans="4:22" ht="16.899999999999999" x14ac:dyDescent="0.5">
      <c r="D997" s="268"/>
      <c r="F997" s="268"/>
      <c r="L997" s="268"/>
      <c r="N997" s="268"/>
      <c r="T997" s="268"/>
      <c r="V997" s="268"/>
    </row>
    <row r="998" spans="4:22" ht="16.899999999999999" x14ac:dyDescent="0.5">
      <c r="D998" s="268"/>
      <c r="F998" s="268"/>
      <c r="L998" s="268"/>
      <c r="N998" s="268"/>
      <c r="T998" s="268"/>
      <c r="V998" s="268"/>
    </row>
    <row r="999" spans="4:22" ht="16.899999999999999" x14ac:dyDescent="0.5">
      <c r="D999" s="268"/>
      <c r="F999" s="268"/>
      <c r="L999" s="268"/>
      <c r="N999" s="268"/>
      <c r="T999" s="268"/>
      <c r="V999" s="268"/>
    </row>
    <row r="1000" spans="4:22" ht="16.899999999999999" x14ac:dyDescent="0.5">
      <c r="D1000" s="268"/>
      <c r="F1000" s="268"/>
      <c r="L1000" s="268"/>
      <c r="N1000" s="268"/>
      <c r="T1000" s="268"/>
      <c r="V1000" s="268"/>
    </row>
    <row r="1001" spans="4:22" ht="16.899999999999999" x14ac:dyDescent="0.5">
      <c r="D1001" s="268"/>
      <c r="F1001" s="268"/>
      <c r="L1001" s="268"/>
      <c r="N1001" s="268"/>
      <c r="T1001" s="268"/>
      <c r="V1001" s="268"/>
    </row>
    <row r="1002" spans="4:22" ht="16.899999999999999" x14ac:dyDescent="0.5">
      <c r="D1002" s="268"/>
      <c r="F1002" s="268"/>
      <c r="L1002" s="268"/>
      <c r="N1002" s="268"/>
      <c r="T1002" s="268"/>
      <c r="V1002" s="268"/>
    </row>
    <row r="1003" spans="4:22" ht="16.899999999999999" x14ac:dyDescent="0.5">
      <c r="D1003" s="268"/>
      <c r="F1003" s="268"/>
      <c r="L1003" s="268"/>
      <c r="N1003" s="268"/>
      <c r="T1003" s="268"/>
      <c r="V1003" s="268"/>
    </row>
    <row r="1004" spans="4:22" ht="16.899999999999999" x14ac:dyDescent="0.5">
      <c r="D1004" s="268"/>
      <c r="F1004" s="268"/>
      <c r="L1004" s="268"/>
      <c r="N1004" s="268"/>
      <c r="T1004" s="268"/>
      <c r="V1004" s="268"/>
    </row>
    <row r="1005" spans="4:22" ht="16.899999999999999" x14ac:dyDescent="0.5">
      <c r="D1005" s="268"/>
      <c r="F1005" s="268"/>
      <c r="L1005" s="268"/>
      <c r="N1005" s="268"/>
      <c r="T1005" s="268"/>
      <c r="V1005" s="268"/>
    </row>
    <row r="1006" spans="4:22" ht="16.899999999999999" x14ac:dyDescent="0.5">
      <c r="D1006" s="268"/>
      <c r="F1006" s="268"/>
      <c r="L1006" s="268"/>
      <c r="N1006" s="268"/>
      <c r="T1006" s="268"/>
      <c r="V1006" s="268"/>
    </row>
    <row r="1007" spans="4:22" ht="16.899999999999999" x14ac:dyDescent="0.5">
      <c r="D1007" s="268"/>
      <c r="F1007" s="268"/>
      <c r="L1007" s="268"/>
      <c r="N1007" s="268"/>
      <c r="T1007" s="268"/>
      <c r="V1007" s="268"/>
    </row>
    <row r="1008" spans="4:22" ht="16.899999999999999" x14ac:dyDescent="0.5">
      <c r="D1008" s="268"/>
      <c r="F1008" s="268"/>
      <c r="L1008" s="268"/>
      <c r="N1008" s="268"/>
      <c r="T1008" s="268"/>
      <c r="V1008" s="268"/>
    </row>
    <row r="1009" spans="4:22" ht="16.899999999999999" x14ac:dyDescent="0.5">
      <c r="D1009" s="268"/>
      <c r="F1009" s="268"/>
      <c r="L1009" s="268"/>
      <c r="N1009" s="268"/>
      <c r="T1009" s="268"/>
      <c r="V1009" s="268"/>
    </row>
    <row r="1010" spans="4:22" ht="16.899999999999999" x14ac:dyDescent="0.5">
      <c r="D1010" s="268"/>
      <c r="F1010" s="268"/>
      <c r="L1010" s="268"/>
      <c r="N1010" s="268"/>
      <c r="T1010" s="268"/>
      <c r="V1010" s="268"/>
    </row>
    <row r="1011" spans="4:22" ht="16.899999999999999" x14ac:dyDescent="0.5">
      <c r="D1011" s="268"/>
      <c r="F1011" s="268"/>
      <c r="L1011" s="268"/>
      <c r="N1011" s="268"/>
      <c r="T1011" s="268"/>
      <c r="V1011" s="268"/>
    </row>
    <row r="1012" spans="4:22" ht="16.899999999999999" x14ac:dyDescent="0.5">
      <c r="D1012" s="268"/>
      <c r="F1012" s="268"/>
      <c r="L1012" s="268"/>
      <c r="N1012" s="268"/>
      <c r="T1012" s="268"/>
      <c r="V1012" s="268"/>
    </row>
    <row r="1013" spans="4:22" ht="16.899999999999999" x14ac:dyDescent="0.5">
      <c r="D1013" s="268"/>
      <c r="F1013" s="268"/>
      <c r="L1013" s="268"/>
      <c r="N1013" s="268"/>
      <c r="T1013" s="268"/>
      <c r="V1013" s="268"/>
    </row>
    <row r="1014" spans="4:22" ht="16.899999999999999" x14ac:dyDescent="0.5">
      <c r="D1014" s="268"/>
      <c r="F1014" s="268"/>
      <c r="L1014" s="268"/>
      <c r="N1014" s="268"/>
      <c r="T1014" s="268"/>
      <c r="V1014" s="268"/>
    </row>
    <row r="1015" spans="4:22" ht="16.899999999999999" x14ac:dyDescent="0.5">
      <c r="D1015" s="268"/>
      <c r="F1015" s="268"/>
      <c r="L1015" s="268"/>
      <c r="N1015" s="268"/>
      <c r="T1015" s="268"/>
      <c r="V1015" s="268"/>
    </row>
    <row r="1016" spans="4:22" ht="16.899999999999999" x14ac:dyDescent="0.5">
      <c r="D1016" s="268"/>
      <c r="F1016" s="268"/>
      <c r="L1016" s="268"/>
      <c r="N1016" s="268"/>
      <c r="T1016" s="268"/>
      <c r="V1016" s="268"/>
    </row>
    <row r="1017" spans="4:22" ht="16.899999999999999" x14ac:dyDescent="0.5">
      <c r="D1017" s="268"/>
      <c r="F1017" s="268"/>
      <c r="L1017" s="268"/>
      <c r="N1017" s="268"/>
      <c r="T1017" s="268"/>
      <c r="V1017" s="268"/>
    </row>
    <row r="1018" spans="4:22" ht="16.899999999999999" x14ac:dyDescent="0.5">
      <c r="D1018" s="268"/>
      <c r="F1018" s="268"/>
      <c r="L1018" s="268"/>
      <c r="N1018" s="268"/>
      <c r="T1018" s="268"/>
      <c r="V1018" s="268"/>
    </row>
    <row r="1019" spans="4:22" ht="16.899999999999999" x14ac:dyDescent="0.5">
      <c r="D1019" s="268"/>
      <c r="F1019" s="268"/>
      <c r="L1019" s="268"/>
      <c r="N1019" s="268"/>
      <c r="T1019" s="268"/>
      <c r="V1019" s="268"/>
    </row>
    <row r="1020" spans="4:22" ht="16.899999999999999" x14ac:dyDescent="0.5">
      <c r="D1020" s="268"/>
      <c r="F1020" s="268"/>
      <c r="L1020" s="268"/>
      <c r="N1020" s="268"/>
      <c r="T1020" s="268"/>
      <c r="V1020" s="268"/>
    </row>
    <row r="1021" spans="4:22" ht="16.899999999999999" x14ac:dyDescent="0.5">
      <c r="D1021" s="268"/>
      <c r="F1021" s="268"/>
      <c r="L1021" s="268"/>
      <c r="N1021" s="268"/>
      <c r="T1021" s="268"/>
      <c r="V1021" s="268"/>
    </row>
    <row r="1022" spans="4:22" ht="16.899999999999999" x14ac:dyDescent="0.5">
      <c r="D1022" s="268"/>
      <c r="F1022" s="268"/>
      <c r="L1022" s="268"/>
      <c r="N1022" s="268"/>
      <c r="T1022" s="268"/>
      <c r="V1022" s="268"/>
    </row>
    <row r="1023" spans="4:22" ht="16.899999999999999" x14ac:dyDescent="0.5">
      <c r="D1023" s="268"/>
      <c r="F1023" s="268"/>
      <c r="L1023" s="268"/>
      <c r="N1023" s="268"/>
      <c r="T1023" s="268"/>
      <c r="V1023" s="268"/>
    </row>
    <row r="1024" spans="4:22" ht="16.899999999999999" x14ac:dyDescent="0.5">
      <c r="D1024" s="268"/>
      <c r="F1024" s="268"/>
      <c r="L1024" s="268"/>
      <c r="N1024" s="268"/>
      <c r="T1024" s="268"/>
      <c r="V1024" s="268"/>
    </row>
    <row r="1025" spans="4:22" ht="16.899999999999999" x14ac:dyDescent="0.5">
      <c r="D1025" s="268"/>
      <c r="F1025" s="268"/>
      <c r="L1025" s="268"/>
      <c r="N1025" s="268"/>
      <c r="T1025" s="268"/>
      <c r="V1025" s="268"/>
    </row>
    <row r="1026" spans="4:22" ht="16.899999999999999" x14ac:dyDescent="0.5">
      <c r="D1026" s="268"/>
      <c r="F1026" s="268"/>
      <c r="L1026" s="268"/>
      <c r="N1026" s="268"/>
      <c r="T1026" s="268"/>
      <c r="V1026" s="268"/>
    </row>
    <row r="1027" spans="4:22" ht="16.899999999999999" x14ac:dyDescent="0.5">
      <c r="D1027" s="268"/>
      <c r="F1027" s="268"/>
      <c r="L1027" s="268"/>
      <c r="N1027" s="268"/>
      <c r="T1027" s="268"/>
      <c r="V1027" s="268"/>
    </row>
    <row r="1028" spans="4:22" ht="16.899999999999999" x14ac:dyDescent="0.5">
      <c r="D1028" s="268"/>
      <c r="F1028" s="268"/>
      <c r="L1028" s="268"/>
      <c r="N1028" s="268"/>
      <c r="T1028" s="268"/>
      <c r="V1028" s="268"/>
    </row>
    <row r="1029" spans="4:22" ht="16.899999999999999" x14ac:dyDescent="0.5">
      <c r="D1029" s="268"/>
      <c r="F1029" s="268"/>
      <c r="L1029" s="268"/>
      <c r="N1029" s="268"/>
      <c r="T1029" s="268"/>
      <c r="V1029" s="268"/>
    </row>
    <row r="1030" spans="4:22" ht="16.899999999999999" x14ac:dyDescent="0.5">
      <c r="D1030" s="268"/>
      <c r="F1030" s="268"/>
      <c r="L1030" s="268"/>
      <c r="N1030" s="268"/>
      <c r="T1030" s="268"/>
      <c r="V1030" s="268"/>
    </row>
    <row r="1031" spans="4:22" ht="16.899999999999999" x14ac:dyDescent="0.5">
      <c r="D1031" s="268"/>
      <c r="F1031" s="268"/>
      <c r="L1031" s="268"/>
      <c r="N1031" s="268"/>
      <c r="T1031" s="268"/>
      <c r="V1031" s="268"/>
    </row>
    <row r="1032" spans="4:22" ht="16.899999999999999" x14ac:dyDescent="0.5">
      <c r="D1032" s="268"/>
      <c r="F1032" s="268"/>
      <c r="L1032" s="268"/>
      <c r="N1032" s="268"/>
      <c r="T1032" s="268"/>
      <c r="V1032" s="268"/>
    </row>
    <row r="1033" spans="4:22" ht="16.899999999999999" x14ac:dyDescent="0.5">
      <c r="D1033" s="268"/>
      <c r="F1033" s="268"/>
      <c r="L1033" s="268"/>
      <c r="N1033" s="268"/>
      <c r="T1033" s="268"/>
      <c r="V1033" s="268"/>
    </row>
    <row r="1034" spans="4:22" ht="16.899999999999999" x14ac:dyDescent="0.5">
      <c r="D1034" s="268"/>
      <c r="F1034" s="268"/>
      <c r="L1034" s="268"/>
      <c r="N1034" s="268"/>
      <c r="T1034" s="268"/>
      <c r="V1034" s="268"/>
    </row>
    <row r="1035" spans="4:22" ht="16.899999999999999" x14ac:dyDescent="0.5">
      <c r="D1035" s="268"/>
      <c r="F1035" s="268"/>
      <c r="L1035" s="268"/>
      <c r="N1035" s="268"/>
      <c r="T1035" s="268"/>
      <c r="V1035" s="268"/>
    </row>
    <row r="1036" spans="4:22" ht="16.899999999999999" x14ac:dyDescent="0.5">
      <c r="D1036" s="268"/>
      <c r="F1036" s="268"/>
      <c r="L1036" s="268"/>
      <c r="N1036" s="268"/>
      <c r="T1036" s="268"/>
      <c r="V1036" s="268"/>
    </row>
    <row r="1037" spans="4:22" ht="16.899999999999999" x14ac:dyDescent="0.5">
      <c r="D1037" s="268"/>
      <c r="F1037" s="268"/>
      <c r="L1037" s="268"/>
      <c r="N1037" s="268"/>
      <c r="T1037" s="268"/>
      <c r="V1037" s="268"/>
    </row>
    <row r="1038" spans="4:22" ht="16.899999999999999" x14ac:dyDescent="0.5">
      <c r="D1038" s="268"/>
      <c r="F1038" s="268"/>
      <c r="L1038" s="268"/>
      <c r="N1038" s="268"/>
      <c r="T1038" s="268"/>
      <c r="V1038" s="268"/>
    </row>
  </sheetData>
  <mergeCells count="3">
    <mergeCell ref="A1:AI1"/>
    <mergeCell ref="A42:AI42"/>
    <mergeCell ref="A74:AI7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BG18"/>
  <sheetViews>
    <sheetView workbookViewId="0"/>
  </sheetViews>
  <sheetFormatPr defaultColWidth="14.42578125" defaultRowHeight="15.75" customHeight="1" x14ac:dyDescent="0.4"/>
  <cols>
    <col min="1" max="1" width="8.28515625" customWidth="1"/>
    <col min="2" max="2" width="6.28515625" customWidth="1"/>
    <col min="3" max="3" width="8.7109375" hidden="1" customWidth="1"/>
    <col min="4" max="4" width="6.140625" hidden="1" customWidth="1"/>
    <col min="5" max="5" width="7.140625" hidden="1" customWidth="1"/>
    <col min="6" max="6" width="6.42578125" hidden="1" customWidth="1"/>
    <col min="7" max="7" width="16.42578125" customWidth="1"/>
    <col min="8" max="8" width="15.140625" customWidth="1"/>
    <col min="9" max="9" width="7.42578125" customWidth="1"/>
    <col min="10" max="10" width="15.5703125" customWidth="1"/>
    <col min="11" max="11" width="5.28515625" customWidth="1"/>
    <col min="12" max="12" width="7.42578125" customWidth="1"/>
    <col min="13" max="13" width="7.140625" customWidth="1"/>
    <col min="14" max="14" width="3" customWidth="1"/>
    <col min="15" max="15" width="2.28515625" customWidth="1"/>
    <col min="16" max="17" width="6.28515625" customWidth="1"/>
    <col min="18" max="18" width="10.28515625" customWidth="1"/>
    <col min="19" max="19" width="9.85546875" customWidth="1"/>
    <col min="20" max="20" width="9.5703125" customWidth="1"/>
    <col min="21" max="21" width="7" customWidth="1"/>
    <col min="22" max="22" width="9.42578125" customWidth="1"/>
    <col min="23" max="23" width="1.7109375" customWidth="1"/>
    <col min="24" max="24" width="3.85546875" customWidth="1"/>
    <col min="25" max="25" width="5.28515625" customWidth="1"/>
    <col min="26" max="26" width="3.42578125" customWidth="1"/>
    <col min="27" max="27" width="9.85546875" customWidth="1"/>
    <col min="28" max="28" width="9.28515625" customWidth="1"/>
    <col min="29" max="29" width="3.42578125" customWidth="1"/>
    <col min="30" max="30" width="7.42578125" customWidth="1"/>
    <col min="31" max="31" width="6.85546875" customWidth="1"/>
    <col min="32" max="32" width="3.42578125" customWidth="1"/>
    <col min="33" max="33" width="6.7109375" customWidth="1"/>
    <col min="34" max="34" width="5.140625" customWidth="1"/>
    <col min="35" max="35" width="3.42578125" customWidth="1"/>
    <col min="36" max="37" width="6.85546875" customWidth="1"/>
    <col min="38" max="38" width="3.42578125" customWidth="1"/>
    <col min="39" max="59" width="6.85546875" customWidth="1"/>
  </cols>
  <sheetData>
    <row r="1" spans="1:59" ht="15.75" customHeight="1" x14ac:dyDescent="0.4">
      <c r="A1" s="119" t="s">
        <v>129</v>
      </c>
      <c r="B1" s="119" t="s">
        <v>25</v>
      </c>
      <c r="C1" s="119" t="s">
        <v>130</v>
      </c>
      <c r="D1" s="119" t="s">
        <v>12</v>
      </c>
      <c r="E1" s="119" t="s">
        <v>132</v>
      </c>
      <c r="F1" s="119" t="s">
        <v>133</v>
      </c>
      <c r="G1" s="123" t="s">
        <v>2</v>
      </c>
      <c r="H1" s="119" t="s">
        <v>134</v>
      </c>
      <c r="I1" s="119" t="s">
        <v>20</v>
      </c>
      <c r="J1" s="119" t="s">
        <v>11</v>
      </c>
      <c r="K1" s="126" t="s">
        <v>135</v>
      </c>
      <c r="L1" s="124" t="s">
        <v>4</v>
      </c>
      <c r="M1" s="124" t="s">
        <v>136</v>
      </c>
      <c r="N1" s="119" t="s">
        <v>8</v>
      </c>
      <c r="O1" s="119" t="s">
        <v>10</v>
      </c>
      <c r="P1" s="312" t="s">
        <v>7</v>
      </c>
      <c r="Q1" s="125" t="s">
        <v>102</v>
      </c>
      <c r="R1" s="126" t="s">
        <v>21</v>
      </c>
      <c r="S1" s="126" t="s">
        <v>138</v>
      </c>
      <c r="T1" s="119" t="s">
        <v>139</v>
      </c>
      <c r="U1" s="126" t="s">
        <v>19</v>
      </c>
      <c r="V1" s="121" t="s">
        <v>141</v>
      </c>
      <c r="W1" s="119" t="s">
        <v>716</v>
      </c>
      <c r="X1" s="119" t="s">
        <v>143</v>
      </c>
      <c r="Y1" s="126" t="s">
        <v>14</v>
      </c>
      <c r="Z1" s="23"/>
      <c r="AA1" s="121" t="s">
        <v>1295</v>
      </c>
      <c r="AB1" s="121" t="s">
        <v>1296</v>
      </c>
      <c r="AC1" s="23"/>
      <c r="AD1" s="121" t="s">
        <v>1297</v>
      </c>
      <c r="AE1" s="121" t="s">
        <v>1298</v>
      </c>
      <c r="AF1" s="23"/>
      <c r="AG1" s="23" t="s">
        <v>1159</v>
      </c>
      <c r="AH1" s="23"/>
      <c r="AI1" s="23"/>
      <c r="AJ1" s="23"/>
      <c r="AK1" s="23"/>
      <c r="AL1" s="23"/>
      <c r="AM1" s="23" t="s">
        <v>1299</v>
      </c>
      <c r="AN1" s="23" t="s">
        <v>1300</v>
      </c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</row>
    <row r="2" spans="1:59" ht="15.75" customHeight="1" x14ac:dyDescent="0.4">
      <c r="A2" s="313">
        <v>45700</v>
      </c>
      <c r="B2" s="314">
        <f t="shared" ref="B2:B5" ca="1" si="0">A2-TODAY()</f>
        <v>-540</v>
      </c>
      <c r="C2" s="315"/>
      <c r="D2" s="316">
        <f t="shared" ref="D2:D5" si="1">A2-14</f>
        <v>45686</v>
      </c>
      <c r="E2" s="317"/>
      <c r="F2" s="317"/>
      <c r="G2" s="318" t="s">
        <v>1301</v>
      </c>
      <c r="H2" s="319" t="s">
        <v>1302</v>
      </c>
      <c r="I2" s="319" t="str">
        <f t="shared" ref="I2:I5" si="2">MIN(N2:O2)&amp;" x "&amp;MAX(N2:O2)</f>
        <v>11 x 14</v>
      </c>
      <c r="J2" s="320" t="s">
        <v>72</v>
      </c>
      <c r="K2" s="314" t="s">
        <v>38</v>
      </c>
      <c r="L2" s="321">
        <v>2000</v>
      </c>
      <c r="M2" s="321">
        <v>0</v>
      </c>
      <c r="N2" s="314">
        <v>11</v>
      </c>
      <c r="O2" s="314">
        <v>14</v>
      </c>
      <c r="P2" s="322" t="s">
        <v>42</v>
      </c>
      <c r="Q2" s="323">
        <f t="shared" ref="Q2:Q5" si="3">N2*O2</f>
        <v>154</v>
      </c>
      <c r="R2" s="324" t="e">
        <f>IF(J2="Rolled","N/A",IF(J2="Roll","N/A",MIN(N2:O2)+VLOOKUP(J2,#REF!,2,FALSE)))</f>
        <v>#REF!</v>
      </c>
      <c r="S2" s="324" t="e">
        <f>IF(R2="N/A","N/A",MAX(N2:O2)+VLOOKUP(J2,#REF!,2,FALSE))</f>
        <v>#REF!</v>
      </c>
      <c r="T2" s="319" t="e">
        <f t="shared" ref="T2:T5" si="4">IF(J2="Roll","N/A",IF(J2="Rolled","N/A",ROUNDUP((MIN(R2:S2)+4.25)*25.4,0)+5&amp;" x "&amp;ROUNDUP((MAX(R2:S2)+4.25)*25.4,0)+5))</f>
        <v>#REF!</v>
      </c>
      <c r="U2" s="314" t="e">
        <f t="shared" ref="U2:U5" si="5">ROUNDUP(MAX(R2:S2)+5,0)+ROUNDUP((MIN(R2:S2)+5),0)*2+12</f>
        <v>#REF!</v>
      </c>
      <c r="V2" s="317"/>
      <c r="W2" s="325"/>
      <c r="X2" s="326" t="e">
        <f t="shared" ref="X2:X5" si="6">SUM(AG2:BH2)/1440</f>
        <v>#REF!</v>
      </c>
      <c r="Y2" s="314" t="e">
        <f t="shared" ref="Y2:Y5" si="7">IF(U2&gt;165,"CRATE",IF(J2="Rolled",IF((MIN(N2:O2)+5)&lt;22,"S-14048",IF((MIN(N2:O2)+5)&lt;34,"S-14049",IF((MIN(N2:O2)+5)&lt;54,"S-5574"))),"CNC"))</f>
        <v>#REF!</v>
      </c>
      <c r="AA2" s="327" t="e">
        <f t="shared" ref="AA2:AB2" si="8">AD2/25.4</f>
        <v>#REF!</v>
      </c>
      <c r="AB2" s="327" t="e">
        <f t="shared" si="8"/>
        <v>#REF!</v>
      </c>
      <c r="AD2" s="8" t="e">
        <f t="shared" ref="AD2:AE2" si="9">(ROUNDUP(((R2+4+1/8)+0.25)*25.4,0))-20</f>
        <v>#REF!</v>
      </c>
      <c r="AE2" s="8" t="e">
        <f t="shared" si="9"/>
        <v>#REF!</v>
      </c>
      <c r="AG2" s="328">
        <f>IF(AM2="",0,AM2)</f>
        <v>0</v>
      </c>
      <c r="AH2" s="329" t="e">
        <f>IF(AM2="",IF(AE2&gt;1230,AE2,AD2),IF(AE2&gt;1230,AE2,AD2)+AM2)</f>
        <v>#REF!</v>
      </c>
      <c r="AJ2" s="328" t="e">
        <f>AH2</f>
        <v>#REF!</v>
      </c>
      <c r="AK2" s="329" t="e">
        <f>AJ2</f>
        <v>#REF!</v>
      </c>
      <c r="AM2" s="328" t="str">
        <f t="shared" ref="AM2:AM3" si="10">IF(AN2="","",ROUND((AN2)*25.4,0))</f>
        <v/>
      </c>
    </row>
    <row r="3" spans="1:59" ht="15.75" customHeight="1" x14ac:dyDescent="0.4">
      <c r="A3" s="313">
        <v>45700</v>
      </c>
      <c r="B3" s="314">
        <f t="shared" ca="1" si="0"/>
        <v>-540</v>
      </c>
      <c r="C3" s="315"/>
      <c r="D3" s="316">
        <f t="shared" si="1"/>
        <v>45686</v>
      </c>
      <c r="E3" s="317"/>
      <c r="F3" s="317"/>
      <c r="G3" s="318" t="s">
        <v>1301</v>
      </c>
      <c r="H3" s="319" t="s">
        <v>1302</v>
      </c>
      <c r="I3" s="319" t="str">
        <f t="shared" si="2"/>
        <v>11 x 14</v>
      </c>
      <c r="J3" s="320" t="s">
        <v>72</v>
      </c>
      <c r="K3" s="314" t="s">
        <v>38</v>
      </c>
      <c r="L3" s="321">
        <v>2000</v>
      </c>
      <c r="M3" s="321">
        <v>0</v>
      </c>
      <c r="N3" s="314">
        <v>11</v>
      </c>
      <c r="O3" s="314">
        <v>14</v>
      </c>
      <c r="P3" s="322" t="s">
        <v>42</v>
      </c>
      <c r="Q3" s="323">
        <f t="shared" si="3"/>
        <v>154</v>
      </c>
      <c r="R3" s="324" t="e">
        <f>IF(J3="Rolled","N/A",IF(J3="Roll","N/A",MIN(N3:O3)+VLOOKUP(J3,#REF!,2,FALSE)))</f>
        <v>#REF!</v>
      </c>
      <c r="S3" s="324" t="e">
        <f>IF(R3="N/A","N/A",MAX(N3:O3)+VLOOKUP(J3,#REF!,2,FALSE))</f>
        <v>#REF!</v>
      </c>
      <c r="T3" s="319" t="e">
        <f t="shared" si="4"/>
        <v>#REF!</v>
      </c>
      <c r="U3" s="314" t="e">
        <f t="shared" si="5"/>
        <v>#REF!</v>
      </c>
      <c r="V3" s="317"/>
      <c r="W3" s="325"/>
      <c r="X3" s="326" t="e">
        <f t="shared" si="6"/>
        <v>#REF!</v>
      </c>
      <c r="Y3" s="314" t="e">
        <f t="shared" si="7"/>
        <v>#REF!</v>
      </c>
      <c r="AG3" s="330" t="e">
        <f>IF(AE2&gt;1230,AD2,AE2)+AM3</f>
        <v>#REF!</v>
      </c>
      <c r="AH3" s="306" t="e">
        <f>AG3</f>
        <v>#REF!</v>
      </c>
      <c r="AJ3" s="330">
        <f>IF(AM3="",0,AM3)</f>
        <v>854</v>
      </c>
      <c r="AK3" s="306">
        <v>1230</v>
      </c>
      <c r="AM3" s="330">
        <f t="shared" si="10"/>
        <v>854</v>
      </c>
      <c r="AN3" s="8">
        <f>33+5/8</f>
        <v>33.625</v>
      </c>
    </row>
    <row r="4" spans="1:59" ht="15.75" customHeight="1" x14ac:dyDescent="0.4">
      <c r="A4" s="313">
        <v>45700</v>
      </c>
      <c r="B4" s="314">
        <f t="shared" ca="1" si="0"/>
        <v>-540</v>
      </c>
      <c r="C4" s="315"/>
      <c r="D4" s="316">
        <f t="shared" si="1"/>
        <v>45686</v>
      </c>
      <c r="E4" s="317"/>
      <c r="F4" s="317"/>
      <c r="G4" s="318" t="s">
        <v>1305</v>
      </c>
      <c r="H4" s="319" t="s">
        <v>1306</v>
      </c>
      <c r="I4" s="319" t="str">
        <f t="shared" si="2"/>
        <v>10 x 16</v>
      </c>
      <c r="J4" s="320" t="s">
        <v>72</v>
      </c>
      <c r="K4" s="314" t="s">
        <v>38</v>
      </c>
      <c r="L4" s="321">
        <v>5000</v>
      </c>
      <c r="M4" s="321">
        <v>0</v>
      </c>
      <c r="N4" s="314">
        <v>10</v>
      </c>
      <c r="O4" s="314">
        <v>16</v>
      </c>
      <c r="P4" s="322" t="s">
        <v>42</v>
      </c>
      <c r="Q4" s="323">
        <f t="shared" si="3"/>
        <v>160</v>
      </c>
      <c r="R4" s="324" t="e">
        <f>IF(J4="Rolled","N/A",IF(J4="Roll","N/A",MIN(N4:O4)+VLOOKUP(J4,#REF!,2,FALSE)))</f>
        <v>#REF!</v>
      </c>
      <c r="S4" s="324" t="e">
        <f>IF(R4="N/A","N/A",MAX(N4:O4)+VLOOKUP(J4,#REF!,2,FALSE))</f>
        <v>#REF!</v>
      </c>
      <c r="T4" s="319" t="e">
        <f t="shared" si="4"/>
        <v>#REF!</v>
      </c>
      <c r="U4" s="314" t="e">
        <f t="shared" si="5"/>
        <v>#REF!</v>
      </c>
      <c r="V4" s="317"/>
      <c r="W4" s="325"/>
      <c r="X4" s="326">
        <f t="shared" si="6"/>
        <v>0</v>
      </c>
      <c r="Y4" s="314" t="e">
        <f t="shared" si="7"/>
        <v>#REF!</v>
      </c>
    </row>
    <row r="5" spans="1:59" ht="15.75" customHeight="1" x14ac:dyDescent="0.4">
      <c r="A5" s="313">
        <v>45700</v>
      </c>
      <c r="B5" s="314">
        <f t="shared" ca="1" si="0"/>
        <v>-540</v>
      </c>
      <c r="C5" s="315"/>
      <c r="D5" s="316">
        <f t="shared" si="1"/>
        <v>45686</v>
      </c>
      <c r="E5" s="317"/>
      <c r="F5" s="317"/>
      <c r="G5" s="318" t="s">
        <v>1305</v>
      </c>
      <c r="H5" s="319" t="s">
        <v>1306</v>
      </c>
      <c r="I5" s="319" t="str">
        <f t="shared" si="2"/>
        <v>10 x 16</v>
      </c>
      <c r="J5" s="320" t="s">
        <v>72</v>
      </c>
      <c r="K5" s="314" t="s">
        <v>38</v>
      </c>
      <c r="L5" s="321">
        <v>5000</v>
      </c>
      <c r="M5" s="321">
        <v>0</v>
      </c>
      <c r="N5" s="314">
        <v>10</v>
      </c>
      <c r="O5" s="314">
        <v>16</v>
      </c>
      <c r="P5" s="322" t="s">
        <v>42</v>
      </c>
      <c r="Q5" s="323">
        <f t="shared" si="3"/>
        <v>160</v>
      </c>
      <c r="R5" s="324" t="e">
        <f>IF(J5="Rolled","N/A",IF(J5="Roll","N/A",MIN(N5:O5)+VLOOKUP(J5,#REF!,2,FALSE)))</f>
        <v>#REF!</v>
      </c>
      <c r="S5" s="324" t="e">
        <f>IF(R5="N/A","N/A",MAX(N5:O5)+VLOOKUP(J5,#REF!,2,FALSE))</f>
        <v>#REF!</v>
      </c>
      <c r="T5" s="319" t="e">
        <f t="shared" si="4"/>
        <v>#REF!</v>
      </c>
      <c r="U5" s="314" t="e">
        <f t="shared" si="5"/>
        <v>#REF!</v>
      </c>
      <c r="V5" s="317"/>
      <c r="W5" s="325"/>
      <c r="X5" s="326" t="e">
        <f t="shared" si="6"/>
        <v>#REF!</v>
      </c>
      <c r="Y5" s="314" t="e">
        <f t="shared" si="7"/>
        <v>#REF!</v>
      </c>
      <c r="AA5" s="327" t="e">
        <f t="shared" ref="AA5:AB5" si="11">AD5/25.4</f>
        <v>#REF!</v>
      </c>
      <c r="AB5" s="327" t="e">
        <f t="shared" si="11"/>
        <v>#REF!</v>
      </c>
      <c r="AD5" s="8" t="e">
        <f t="shared" ref="AD5:AE5" si="12">(ROUNDUP(((R3+4+1/8)+0.25)*25.4,0))-20</f>
        <v>#REF!</v>
      </c>
      <c r="AE5" s="8" t="e">
        <f t="shared" si="12"/>
        <v>#REF!</v>
      </c>
      <c r="AG5" s="328">
        <f>IF(AM5="",0,AM5)</f>
        <v>0</v>
      </c>
      <c r="AH5" s="329" t="e">
        <f>IF(AM5="",IF(AE5&gt;1230,AE5,AD5),IF(AE5&gt;1230,AE5,AD5)+AM5)</f>
        <v>#REF!</v>
      </c>
      <c r="AJ5" s="328" t="e">
        <f>AH5</f>
        <v>#REF!</v>
      </c>
      <c r="AK5" s="329" t="e">
        <f>AJ5</f>
        <v>#REF!</v>
      </c>
      <c r="AM5" s="328" t="str">
        <f t="shared" ref="AM5:AM6" si="13">IF(AN5="","",ROUND((AN5)*25.4,0))</f>
        <v/>
      </c>
    </row>
    <row r="6" spans="1:59" ht="15.75" customHeight="1" x14ac:dyDescent="0.4">
      <c r="AG6" s="330" t="e">
        <f>IF(AE5&gt;1230,AD5,AE5)+AM6</f>
        <v>#REF!</v>
      </c>
      <c r="AH6" s="306" t="e">
        <f>AG6</f>
        <v>#REF!</v>
      </c>
      <c r="AJ6" s="330">
        <v>0</v>
      </c>
      <c r="AK6" s="306">
        <v>1230</v>
      </c>
      <c r="AM6" s="330" t="str">
        <f t="shared" si="13"/>
        <v/>
      </c>
    </row>
    <row r="8" spans="1:59" ht="15.75" customHeight="1" x14ac:dyDescent="0.4">
      <c r="AA8" s="327" t="e">
        <f t="shared" ref="AA8:AB8" si="14">AD8/25.4</f>
        <v>#REF!</v>
      </c>
      <c r="AB8" s="327" t="e">
        <f t="shared" si="14"/>
        <v>#REF!</v>
      </c>
      <c r="AD8" s="8" t="e">
        <f t="shared" ref="AD8:AE8" si="15">(ROUNDUP(((R4+4+1/8)+0.25)*25.4,0))-20</f>
        <v>#REF!</v>
      </c>
      <c r="AE8" s="8" t="e">
        <f t="shared" si="15"/>
        <v>#REF!</v>
      </c>
      <c r="AG8" s="328">
        <f>IF(AM8="",0,AM8)</f>
        <v>547</v>
      </c>
      <c r="AH8" s="329" t="e">
        <f>IF(AM8="",IF(AE8&gt;1230,AE8,AD8),IF(AE8&gt;1230,AE8,AD8)+AM8)</f>
        <v>#REF!</v>
      </c>
      <c r="AJ8" s="328" t="e">
        <f>AH8</f>
        <v>#REF!</v>
      </c>
      <c r="AK8" s="329" t="e">
        <f>AJ8</f>
        <v>#REF!</v>
      </c>
      <c r="AM8" s="328">
        <f t="shared" ref="AM8:AM9" si="16">IF(AN8="","",ROUND((AN8)*25.4,0))</f>
        <v>547</v>
      </c>
      <c r="AN8" s="8">
        <f>547/25.4</f>
        <v>21.535433070866144</v>
      </c>
    </row>
    <row r="9" spans="1:59" ht="15.75" customHeight="1" x14ac:dyDescent="0.4">
      <c r="AG9" s="330" t="e">
        <f>IF(AE8&gt;1230,AD8,AE8)+AM9</f>
        <v>#REF!</v>
      </c>
      <c r="AH9" s="306" t="e">
        <f>AG9</f>
        <v>#REF!</v>
      </c>
      <c r="AJ9" s="330">
        <v>0</v>
      </c>
      <c r="AK9" s="306" t="e">
        <f>IF(AE8&lt;1230,1230,AD8)</f>
        <v>#REF!</v>
      </c>
      <c r="AM9" s="330" t="str">
        <f t="shared" si="16"/>
        <v/>
      </c>
    </row>
    <row r="11" spans="1:59" ht="15.75" customHeight="1" x14ac:dyDescent="0.4">
      <c r="AA11" s="327" t="e">
        <f t="shared" ref="AA11:AB11" si="17">AD11/25.4</f>
        <v>#REF!</v>
      </c>
      <c r="AB11" s="327" t="e">
        <f t="shared" si="17"/>
        <v>#REF!</v>
      </c>
      <c r="AD11" s="8" t="e">
        <f t="shared" ref="AD11:AE11" si="18">(ROUNDUP(((R5+4+1/8)+0.25)*25.4,0))-20</f>
        <v>#REF!</v>
      </c>
      <c r="AE11" s="8" t="e">
        <f t="shared" si="18"/>
        <v>#REF!</v>
      </c>
      <c r="AG11" s="328">
        <f>IF(AM11="",0,AM11)</f>
        <v>1235</v>
      </c>
      <c r="AH11" s="329" t="e">
        <f>IF(AM11="",IF(AE11&gt;1230,AE11,AD11),IF(AE11&gt;1230,AE11,AD11)+AM11)</f>
        <v>#REF!</v>
      </c>
      <c r="AJ11" s="328" t="e">
        <f>AH11</f>
        <v>#REF!</v>
      </c>
      <c r="AK11" s="329" t="e">
        <f>AJ11</f>
        <v>#REF!</v>
      </c>
      <c r="AM11" s="328">
        <f t="shared" ref="AM11:AM12" si="19">IF(AN11="","",ROUND((AN11)*25.4,0))</f>
        <v>1235</v>
      </c>
      <c r="AN11" s="8">
        <f>48+5/8</f>
        <v>48.625</v>
      </c>
    </row>
    <row r="12" spans="1:59" ht="15.75" customHeight="1" x14ac:dyDescent="0.4">
      <c r="AG12" s="330" t="e">
        <f>IF(AE11&gt;1230,AD11,AE11)+AM12</f>
        <v>#REF!</v>
      </c>
      <c r="AH12" s="306" t="e">
        <f>AG12</f>
        <v>#REF!</v>
      </c>
      <c r="AJ12" s="330">
        <v>0</v>
      </c>
      <c r="AK12" s="306" t="e">
        <f>IF(AE11&lt;1230,1230,AD11)</f>
        <v>#REF!</v>
      </c>
      <c r="AM12" s="330" t="str">
        <f t="shared" si="19"/>
        <v/>
      </c>
    </row>
    <row r="14" spans="1:59" ht="15.75" customHeight="1" x14ac:dyDescent="0.4">
      <c r="AA14" s="327">
        <f t="shared" ref="AA14:AB14" si="20">AD14/25.4</f>
        <v>3.6220472440944884</v>
      </c>
      <c r="AB14" s="327">
        <f t="shared" si="20"/>
        <v>3.6220472440944884</v>
      </c>
      <c r="AD14" s="8">
        <f t="shared" ref="AD14:AE14" si="21">(ROUNDUP(((R6+4+1/8)+0.25)*25.4,0))-20</f>
        <v>92</v>
      </c>
      <c r="AE14" s="8">
        <f t="shared" si="21"/>
        <v>92</v>
      </c>
      <c r="AG14" s="328">
        <f>IF(AM14="",0,AM14)</f>
        <v>0</v>
      </c>
      <c r="AH14" s="329">
        <f>IF(AM14="",IF(AE14&gt;1230,AE14,AD14),IF(AE14&gt;1230,AE14,AD14)+AM14)</f>
        <v>92</v>
      </c>
      <c r="AJ14" s="328">
        <f>AH14</f>
        <v>92</v>
      </c>
      <c r="AK14" s="329">
        <f>AJ14</f>
        <v>92</v>
      </c>
      <c r="AM14" s="328" t="str">
        <f t="shared" ref="AM14:AM15" si="22">IF(AN14="","",ROUND((AN14)*25.4,0))</f>
        <v/>
      </c>
    </row>
    <row r="15" spans="1:59" ht="15.75" customHeight="1" x14ac:dyDescent="0.4">
      <c r="AG15" s="330" t="e">
        <f>IF(AE14&gt;1230,AD14,AE14)+AM15</f>
        <v>#VALUE!</v>
      </c>
      <c r="AH15" s="306" t="e">
        <f>AG15</f>
        <v>#VALUE!</v>
      </c>
      <c r="AJ15" s="330">
        <v>0</v>
      </c>
      <c r="AK15" s="306">
        <f>IF(AE14&lt;1230,1230,AD14)</f>
        <v>1230</v>
      </c>
      <c r="AM15" s="330" t="str">
        <f t="shared" si="22"/>
        <v/>
      </c>
    </row>
    <row r="17" spans="27:39" ht="15.75" customHeight="1" x14ac:dyDescent="0.4">
      <c r="AA17" s="327">
        <f t="shared" ref="AA17:AB17" si="23">AD17/25.4</f>
        <v>3.6220472440944884</v>
      </c>
      <c r="AB17" s="327">
        <f t="shared" si="23"/>
        <v>3.6220472440944884</v>
      </c>
      <c r="AD17" s="8">
        <f t="shared" ref="AD17:AE17" si="24">(ROUNDUP(((R7+4+1/8)+0.25)*25.4,0))-20</f>
        <v>92</v>
      </c>
      <c r="AE17" s="8">
        <f t="shared" si="24"/>
        <v>92</v>
      </c>
      <c r="AG17" s="328">
        <f>IF(AM17="",0,AM17)</f>
        <v>0</v>
      </c>
      <c r="AH17" s="329">
        <f>IF(AM17="",IF(AE17&gt;1230,AE17,AD17),IF(AE17&gt;1230,AE17,AD17)+AM17)</f>
        <v>92</v>
      </c>
      <c r="AJ17" s="328">
        <f>AH17</f>
        <v>92</v>
      </c>
      <c r="AK17" s="329">
        <f>AJ17</f>
        <v>92</v>
      </c>
      <c r="AM17" s="328" t="str">
        <f t="shared" ref="AM17:AM18" si="25">IF(AN17="","",ROUND((AN17)*25.4,0))</f>
        <v/>
      </c>
    </row>
    <row r="18" spans="27:39" ht="15.75" customHeight="1" x14ac:dyDescent="0.4">
      <c r="AG18" s="330" t="e">
        <f>IF(AE17&gt;1230,AD17,AE17)+AM18</f>
        <v>#VALUE!</v>
      </c>
      <c r="AH18" s="306" t="e">
        <f>AG18</f>
        <v>#VALUE!</v>
      </c>
      <c r="AJ18" s="330">
        <v>0</v>
      </c>
      <c r="AK18" s="306">
        <f>IF(AE17&lt;1230,1230,AD17)</f>
        <v>1230</v>
      </c>
      <c r="AM18" s="330" t="str">
        <f t="shared" si="25"/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  <pageSetUpPr fitToPage="1"/>
  </sheetPr>
  <dimension ref="A1:Z971"/>
  <sheetViews>
    <sheetView workbookViewId="0"/>
  </sheetViews>
  <sheetFormatPr defaultColWidth="14.42578125" defaultRowHeight="15.75" customHeight="1" x14ac:dyDescent="0.4"/>
  <cols>
    <col min="1" max="1" width="19.5703125" customWidth="1"/>
    <col min="2" max="2" width="10.28515625" customWidth="1"/>
    <col min="3" max="3" width="66.85546875" customWidth="1"/>
  </cols>
  <sheetData>
    <row r="1" spans="1:26" ht="15.75" customHeight="1" x14ac:dyDescent="0.5">
      <c r="A1" s="331" t="s">
        <v>12</v>
      </c>
      <c r="B1" s="331" t="s">
        <v>1311</v>
      </c>
      <c r="C1" s="331" t="s">
        <v>1312</v>
      </c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</row>
    <row r="2" spans="1:26" ht="15.75" customHeight="1" x14ac:dyDescent="0.5">
      <c r="A2" s="332">
        <v>45346</v>
      </c>
      <c r="B2" s="333">
        <v>0.375</v>
      </c>
      <c r="C2" s="334" t="s">
        <v>1314</v>
      </c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</row>
    <row r="3" spans="1:26" ht="15.75" customHeight="1" x14ac:dyDescent="0.5">
      <c r="B3" s="333">
        <v>0.41666666666666669</v>
      </c>
      <c r="C3" s="334" t="s">
        <v>1315</v>
      </c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</row>
    <row r="4" spans="1:26" ht="15.75" customHeight="1" x14ac:dyDescent="0.5">
      <c r="B4" s="335">
        <v>0.79166666666666663</v>
      </c>
      <c r="C4" s="336" t="s">
        <v>1316</v>
      </c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</row>
    <row r="5" spans="1:26" ht="15.75" customHeight="1" x14ac:dyDescent="0.5">
      <c r="A5" s="337">
        <v>45347</v>
      </c>
      <c r="B5" s="338">
        <v>0.29166666666666669</v>
      </c>
      <c r="C5" s="339" t="s">
        <v>1317</v>
      </c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</row>
    <row r="6" spans="1:26" ht="15.75" customHeight="1" x14ac:dyDescent="0.5">
      <c r="A6" s="340"/>
      <c r="B6" s="341"/>
      <c r="C6" s="334" t="s">
        <v>1318</v>
      </c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</row>
    <row r="7" spans="1:26" ht="15.75" customHeight="1" x14ac:dyDescent="0.5">
      <c r="A7" s="307"/>
      <c r="B7" s="342"/>
      <c r="C7" s="336" t="s">
        <v>1319</v>
      </c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</row>
    <row r="8" spans="1:26" ht="15.75" customHeight="1" x14ac:dyDescent="0.5">
      <c r="A8" s="307"/>
      <c r="B8" s="342">
        <v>0.625</v>
      </c>
      <c r="C8" s="336" t="s">
        <v>1320</v>
      </c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</row>
    <row r="9" spans="1:26" ht="15.75" customHeight="1" x14ac:dyDescent="0.5">
      <c r="B9" s="335">
        <v>0.66666666666666663</v>
      </c>
      <c r="C9" s="336" t="s">
        <v>1321</v>
      </c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</row>
    <row r="10" spans="1:26" ht="15.75" customHeight="1" x14ac:dyDescent="0.5">
      <c r="A10" s="343">
        <v>45348</v>
      </c>
      <c r="B10" s="338">
        <v>0.29166666666666669</v>
      </c>
      <c r="C10" s="339" t="s">
        <v>1322</v>
      </c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</row>
    <row r="11" spans="1:26" ht="15.75" customHeight="1" x14ac:dyDescent="0.5">
      <c r="A11" s="330"/>
      <c r="B11" s="344"/>
      <c r="C11" s="345" t="s">
        <v>1323</v>
      </c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</row>
    <row r="12" spans="1:26" ht="15.75" customHeight="1" x14ac:dyDescent="0.5">
      <c r="A12" s="309"/>
      <c r="B12" s="333">
        <v>0.58333333333333337</v>
      </c>
      <c r="C12" s="334" t="s">
        <v>1324</v>
      </c>
      <c r="D12" s="72"/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</row>
    <row r="13" spans="1:26" ht="15.75" customHeight="1" x14ac:dyDescent="0.5">
      <c r="A13" s="72"/>
      <c r="B13" s="72"/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</row>
    <row r="14" spans="1:26" ht="15.75" customHeight="1" x14ac:dyDescent="0.5">
      <c r="A14" s="72"/>
      <c r="B14" s="72"/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</row>
    <row r="15" spans="1:26" ht="15.75" customHeight="1" x14ac:dyDescent="0.5">
      <c r="A15" s="72"/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</row>
    <row r="16" spans="1:26" ht="15.75" customHeight="1" x14ac:dyDescent="0.5">
      <c r="A16" s="72"/>
      <c r="B16" s="72"/>
      <c r="C16" s="72"/>
      <c r="D16" s="72"/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</row>
    <row r="17" spans="1:26" ht="15.75" customHeight="1" x14ac:dyDescent="0.5">
      <c r="A17" s="72"/>
      <c r="B17" s="72"/>
      <c r="C17" s="72"/>
      <c r="D17" s="72"/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</row>
    <row r="18" spans="1:26" ht="15.75" customHeight="1" x14ac:dyDescent="0.5">
      <c r="A18" s="72"/>
      <c r="B18" s="72"/>
      <c r="C18" s="72"/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</row>
    <row r="19" spans="1:26" ht="15.75" customHeight="1" x14ac:dyDescent="0.5">
      <c r="A19" s="72"/>
      <c r="B19" s="72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</row>
    <row r="20" spans="1:26" ht="15.75" customHeight="1" x14ac:dyDescent="0.5">
      <c r="A20" s="72"/>
      <c r="B20" s="72"/>
      <c r="C20" s="72"/>
      <c r="D20" s="72"/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</row>
    <row r="21" spans="1:26" ht="15.75" customHeight="1" x14ac:dyDescent="0.5">
      <c r="A21" s="72"/>
      <c r="B21" s="72"/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</row>
    <row r="22" spans="1:26" ht="15.75" customHeight="1" x14ac:dyDescent="0.5">
      <c r="A22" s="72"/>
      <c r="B22" s="72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</row>
    <row r="23" spans="1:26" ht="15.75" customHeight="1" x14ac:dyDescent="0.5">
      <c r="A23" s="72"/>
      <c r="B23" s="72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</row>
    <row r="24" spans="1:26" ht="15.75" customHeight="1" x14ac:dyDescent="0.5">
      <c r="A24" s="72"/>
      <c r="B24" s="72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</row>
    <row r="25" spans="1:26" ht="15.75" customHeight="1" x14ac:dyDescent="0.5">
      <c r="A25" s="72"/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</row>
    <row r="26" spans="1:26" ht="15.75" customHeight="1" x14ac:dyDescent="0.5">
      <c r="A26" s="72"/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</row>
    <row r="27" spans="1:26" ht="15.75" customHeight="1" x14ac:dyDescent="0.5">
      <c r="A27" s="72"/>
      <c r="B27" s="72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</row>
    <row r="28" spans="1:26" ht="15.75" customHeight="1" x14ac:dyDescent="0.5">
      <c r="A28" s="72"/>
      <c r="B28" s="72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</row>
    <row r="29" spans="1:26" ht="15.75" customHeight="1" x14ac:dyDescent="0.5">
      <c r="A29" s="72"/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</row>
    <row r="30" spans="1:26" x14ac:dyDescent="0.5">
      <c r="A30" s="72"/>
      <c r="B30" s="72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</row>
    <row r="31" spans="1:26" x14ac:dyDescent="0.5">
      <c r="A31" s="72"/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</row>
    <row r="32" spans="1:26" x14ac:dyDescent="0.5">
      <c r="A32" s="72"/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</row>
    <row r="33" spans="1:26" x14ac:dyDescent="0.5">
      <c r="A33" s="72"/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</row>
    <row r="34" spans="1:26" x14ac:dyDescent="0.5">
      <c r="A34" s="72"/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</row>
    <row r="35" spans="1:26" x14ac:dyDescent="0.5">
      <c r="A35" s="72"/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</row>
    <row r="36" spans="1:26" x14ac:dyDescent="0.5">
      <c r="A36" s="72"/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</row>
    <row r="37" spans="1:26" x14ac:dyDescent="0.5">
      <c r="A37" s="72"/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</row>
    <row r="38" spans="1:26" x14ac:dyDescent="0.5">
      <c r="A38" s="72"/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</row>
    <row r="39" spans="1:26" x14ac:dyDescent="0.5">
      <c r="A39" s="72"/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</row>
    <row r="40" spans="1:26" x14ac:dyDescent="0.5">
      <c r="A40" s="72"/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</row>
    <row r="41" spans="1:26" x14ac:dyDescent="0.5">
      <c r="A41" s="72"/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</row>
    <row r="42" spans="1:26" x14ac:dyDescent="0.5">
      <c r="A42" s="72"/>
      <c r="B42" s="72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</row>
    <row r="43" spans="1:26" x14ac:dyDescent="0.5">
      <c r="A43" s="72"/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</row>
    <row r="44" spans="1:26" x14ac:dyDescent="0.5">
      <c r="A44" s="72"/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</row>
    <row r="45" spans="1:26" x14ac:dyDescent="0.5">
      <c r="A45" s="72"/>
      <c r="B45" s="72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</row>
    <row r="46" spans="1:26" x14ac:dyDescent="0.5">
      <c r="A46" s="72"/>
      <c r="B46" s="72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</row>
    <row r="47" spans="1:26" x14ac:dyDescent="0.5">
      <c r="A47" s="72"/>
      <c r="B47" s="72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</row>
    <row r="48" spans="1:26" x14ac:dyDescent="0.5">
      <c r="A48" s="72"/>
      <c r="B48" s="72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</row>
    <row r="49" spans="1:26" x14ac:dyDescent="0.5">
      <c r="A49" s="72"/>
      <c r="B49" s="72"/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</row>
    <row r="50" spans="1:26" x14ac:dyDescent="0.5">
      <c r="A50" s="72"/>
      <c r="B50" s="72"/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</row>
    <row r="51" spans="1:26" x14ac:dyDescent="0.5">
      <c r="A51" s="72"/>
      <c r="B51" s="72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</row>
    <row r="52" spans="1:26" x14ac:dyDescent="0.5">
      <c r="A52" s="72"/>
      <c r="B52" s="72"/>
      <c r="C52" s="72"/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</row>
    <row r="53" spans="1:26" x14ac:dyDescent="0.5">
      <c r="A53" s="72"/>
      <c r="B53" s="72"/>
      <c r="C53" s="72"/>
      <c r="D53" s="72"/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</row>
    <row r="54" spans="1:26" x14ac:dyDescent="0.5">
      <c r="A54" s="72"/>
      <c r="B54" s="72"/>
      <c r="C54" s="72"/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</row>
    <row r="55" spans="1:26" x14ac:dyDescent="0.5">
      <c r="A55" s="72"/>
      <c r="B55" s="72"/>
      <c r="C55" s="72"/>
      <c r="D55" s="72"/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</row>
    <row r="56" spans="1:26" x14ac:dyDescent="0.5">
      <c r="A56" s="72"/>
      <c r="B56" s="72"/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</row>
    <row r="57" spans="1:26" x14ac:dyDescent="0.5">
      <c r="A57" s="72"/>
      <c r="B57" s="72"/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</row>
    <row r="58" spans="1:26" x14ac:dyDescent="0.5">
      <c r="A58" s="72"/>
      <c r="B58" s="72"/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</row>
    <row r="59" spans="1:26" x14ac:dyDescent="0.5">
      <c r="A59" s="72"/>
      <c r="B59" s="72"/>
      <c r="C59" s="72"/>
      <c r="D59" s="72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</row>
    <row r="60" spans="1:26" x14ac:dyDescent="0.5">
      <c r="A60" s="72"/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</row>
    <row r="61" spans="1:26" x14ac:dyDescent="0.5">
      <c r="A61" s="72"/>
      <c r="B61" s="72"/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</row>
    <row r="62" spans="1:26" x14ac:dyDescent="0.5">
      <c r="A62" s="72"/>
      <c r="B62" s="72"/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</row>
    <row r="63" spans="1:26" x14ac:dyDescent="0.5">
      <c r="A63" s="72"/>
      <c r="B63" s="72"/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</row>
    <row r="64" spans="1:26" x14ac:dyDescent="0.5">
      <c r="A64" s="72"/>
      <c r="B64" s="72"/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</row>
    <row r="65" spans="1:26" x14ac:dyDescent="0.5">
      <c r="A65" s="72"/>
      <c r="B65" s="72"/>
      <c r="C65" s="72"/>
      <c r="D65" s="72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</row>
    <row r="66" spans="1:26" x14ac:dyDescent="0.5">
      <c r="A66" s="72"/>
      <c r="B66" s="72"/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</row>
    <row r="67" spans="1:26" x14ac:dyDescent="0.5">
      <c r="A67" s="72"/>
      <c r="B67" s="72"/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</row>
    <row r="68" spans="1:26" x14ac:dyDescent="0.5">
      <c r="A68" s="72"/>
      <c r="B68" s="72"/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</row>
    <row r="69" spans="1:26" x14ac:dyDescent="0.5">
      <c r="A69" s="72"/>
      <c r="B69" s="72"/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</row>
    <row r="70" spans="1:26" x14ac:dyDescent="0.5">
      <c r="A70" s="72"/>
      <c r="B70" s="72"/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</row>
    <row r="71" spans="1:26" x14ac:dyDescent="0.5">
      <c r="A71" s="72"/>
      <c r="B71" s="72"/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</row>
    <row r="72" spans="1:26" x14ac:dyDescent="0.5">
      <c r="A72" s="72"/>
      <c r="B72" s="72"/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</row>
    <row r="73" spans="1:26" x14ac:dyDescent="0.5">
      <c r="A73" s="72"/>
      <c r="B73" s="72"/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</row>
    <row r="74" spans="1:26" x14ac:dyDescent="0.5">
      <c r="A74" s="72"/>
      <c r="B74" s="72"/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</row>
    <row r="75" spans="1:26" x14ac:dyDescent="0.5">
      <c r="A75" s="72"/>
      <c r="B75" s="72"/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</row>
    <row r="76" spans="1:26" x14ac:dyDescent="0.5">
      <c r="A76" s="72"/>
      <c r="B76" s="72"/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</row>
    <row r="77" spans="1:26" x14ac:dyDescent="0.5">
      <c r="A77" s="72"/>
      <c r="B77" s="72"/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</row>
    <row r="78" spans="1:26" x14ac:dyDescent="0.5">
      <c r="A78" s="72"/>
      <c r="B78" s="72"/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</row>
    <row r="79" spans="1:26" x14ac:dyDescent="0.5">
      <c r="A79" s="72"/>
      <c r="B79" s="72"/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</row>
    <row r="80" spans="1:26" x14ac:dyDescent="0.5">
      <c r="A80" s="72"/>
      <c r="B80" s="72"/>
      <c r="C80" s="72"/>
      <c r="D80" s="72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</row>
    <row r="81" spans="1:26" x14ac:dyDescent="0.5">
      <c r="A81" s="72"/>
      <c r="B81" s="72"/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</row>
    <row r="82" spans="1:26" x14ac:dyDescent="0.5">
      <c r="A82" s="72"/>
      <c r="B82" s="72"/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</row>
    <row r="83" spans="1:26" x14ac:dyDescent="0.5">
      <c r="A83" s="72"/>
      <c r="B83" s="72"/>
      <c r="C83" s="72"/>
      <c r="D83" s="72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</row>
    <row r="84" spans="1:26" x14ac:dyDescent="0.5">
      <c r="A84" s="72"/>
      <c r="B84" s="72"/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</row>
    <row r="85" spans="1:26" x14ac:dyDescent="0.5">
      <c r="A85" s="72"/>
      <c r="B85" s="72"/>
      <c r="C85" s="72"/>
      <c r="D85" s="72"/>
      <c r="E85" s="72"/>
      <c r="F85" s="72"/>
      <c r="G85" s="7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</row>
    <row r="86" spans="1:26" x14ac:dyDescent="0.5">
      <c r="A86" s="72"/>
      <c r="B86" s="72"/>
      <c r="C86" s="72"/>
      <c r="D86" s="72"/>
      <c r="E86" s="72"/>
      <c r="F86" s="72"/>
      <c r="G86" s="7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</row>
    <row r="87" spans="1:26" x14ac:dyDescent="0.5">
      <c r="A87" s="72"/>
      <c r="B87" s="72"/>
      <c r="C87" s="72"/>
      <c r="D87" s="72"/>
      <c r="E87" s="72"/>
      <c r="F87" s="72"/>
      <c r="G87" s="72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</row>
    <row r="88" spans="1:26" x14ac:dyDescent="0.5">
      <c r="A88" s="72"/>
      <c r="B88" s="72"/>
      <c r="C88" s="72"/>
      <c r="D88" s="72"/>
      <c r="E88" s="72"/>
      <c r="F88" s="72"/>
      <c r="G88" s="7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</row>
    <row r="89" spans="1:26" x14ac:dyDescent="0.5">
      <c r="A89" s="72"/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</row>
    <row r="90" spans="1:26" x14ac:dyDescent="0.5">
      <c r="A90" s="72"/>
      <c r="B90" s="72"/>
      <c r="C90" s="72"/>
      <c r="D90" s="72"/>
      <c r="E90" s="72"/>
      <c r="F90" s="72"/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</row>
    <row r="91" spans="1:26" x14ac:dyDescent="0.5">
      <c r="A91" s="72"/>
      <c r="B91" s="72"/>
      <c r="C91" s="72"/>
      <c r="D91" s="72"/>
      <c r="E91" s="72"/>
      <c r="F91" s="72"/>
      <c r="G91" s="72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</row>
    <row r="92" spans="1:26" x14ac:dyDescent="0.5">
      <c r="A92" s="72"/>
      <c r="B92" s="72"/>
      <c r="C92" s="72"/>
      <c r="D92" s="72"/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</row>
    <row r="93" spans="1:26" x14ac:dyDescent="0.5">
      <c r="A93" s="72"/>
      <c r="B93" s="72"/>
      <c r="C93" s="72"/>
      <c r="D93" s="72"/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</row>
    <row r="94" spans="1:26" x14ac:dyDescent="0.5">
      <c r="A94" s="72"/>
      <c r="B94" s="72"/>
      <c r="C94" s="72"/>
      <c r="D94" s="72"/>
      <c r="E94" s="72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</row>
    <row r="95" spans="1:26" x14ac:dyDescent="0.5">
      <c r="A95" s="72"/>
      <c r="B95" s="72"/>
      <c r="C95" s="72"/>
      <c r="D95" s="72"/>
      <c r="E95" s="72"/>
      <c r="F95" s="72"/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</row>
    <row r="96" spans="1:26" x14ac:dyDescent="0.5">
      <c r="A96" s="72"/>
      <c r="B96" s="72"/>
      <c r="C96" s="72"/>
      <c r="D96" s="72"/>
      <c r="E96" s="72"/>
      <c r="F96" s="72"/>
      <c r="G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</row>
    <row r="97" spans="1:26" x14ac:dyDescent="0.5">
      <c r="A97" s="72"/>
      <c r="B97" s="72"/>
      <c r="C97" s="72"/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</row>
    <row r="98" spans="1:26" x14ac:dyDescent="0.5">
      <c r="A98" s="72"/>
      <c r="B98" s="72"/>
      <c r="C98" s="72"/>
      <c r="D98" s="72"/>
      <c r="E98" s="72"/>
      <c r="F98" s="72"/>
      <c r="G98" s="72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</row>
    <row r="99" spans="1:26" x14ac:dyDescent="0.5">
      <c r="A99" s="72"/>
      <c r="B99" s="72"/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</row>
    <row r="100" spans="1:26" x14ac:dyDescent="0.5">
      <c r="A100" s="72"/>
      <c r="B100" s="72"/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</row>
    <row r="101" spans="1:26" x14ac:dyDescent="0.5">
      <c r="A101" s="72"/>
      <c r="B101" s="72"/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</row>
    <row r="102" spans="1:26" x14ac:dyDescent="0.5">
      <c r="A102" s="72"/>
      <c r="B102" s="72"/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</row>
    <row r="103" spans="1:26" x14ac:dyDescent="0.5">
      <c r="A103" s="72"/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</row>
    <row r="104" spans="1:26" x14ac:dyDescent="0.5">
      <c r="A104" s="72"/>
      <c r="B104" s="72"/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</row>
    <row r="105" spans="1:26" x14ac:dyDescent="0.5">
      <c r="A105" s="72"/>
      <c r="B105" s="72"/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</row>
    <row r="106" spans="1:26" x14ac:dyDescent="0.5">
      <c r="A106" s="72"/>
      <c r="B106" s="72"/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</row>
    <row r="107" spans="1:26" x14ac:dyDescent="0.5">
      <c r="A107" s="72"/>
      <c r="B107" s="72"/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</row>
    <row r="108" spans="1:26" x14ac:dyDescent="0.5">
      <c r="A108" s="72"/>
      <c r="B108" s="72"/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</row>
    <row r="109" spans="1:26" x14ac:dyDescent="0.5">
      <c r="A109" s="72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</row>
    <row r="110" spans="1:26" x14ac:dyDescent="0.5">
      <c r="A110" s="72"/>
      <c r="B110" s="72"/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</row>
    <row r="111" spans="1:26" x14ac:dyDescent="0.5">
      <c r="A111" s="72"/>
      <c r="B111" s="72"/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</row>
    <row r="112" spans="1:26" x14ac:dyDescent="0.5">
      <c r="A112" s="72"/>
      <c r="B112" s="72"/>
      <c r="C112" s="72"/>
      <c r="D112" s="72"/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</row>
    <row r="113" spans="1:26" x14ac:dyDescent="0.5">
      <c r="A113" s="72"/>
      <c r="B113" s="72"/>
      <c r="C113" s="72"/>
      <c r="D113" s="72"/>
      <c r="E113" s="72"/>
      <c r="F113" s="72"/>
      <c r="G113" s="72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</row>
    <row r="114" spans="1:26" x14ac:dyDescent="0.5">
      <c r="A114" s="72"/>
      <c r="B114" s="72"/>
      <c r="C114" s="72"/>
      <c r="D114" s="72"/>
      <c r="E114" s="72"/>
      <c r="F114" s="72"/>
      <c r="G114" s="72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</row>
    <row r="115" spans="1:26" x14ac:dyDescent="0.5">
      <c r="A115" s="72"/>
      <c r="B115" s="72"/>
      <c r="C115" s="72"/>
      <c r="D115" s="72"/>
      <c r="E115" s="72"/>
      <c r="F115" s="72"/>
      <c r="G115" s="72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</row>
    <row r="116" spans="1:26" x14ac:dyDescent="0.5">
      <c r="A116" s="72"/>
      <c r="B116" s="72"/>
      <c r="C116" s="72"/>
      <c r="D116" s="72"/>
      <c r="E116" s="72"/>
      <c r="F116" s="72"/>
      <c r="G116" s="72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</row>
    <row r="117" spans="1:26" x14ac:dyDescent="0.5">
      <c r="A117" s="72"/>
      <c r="B117" s="72"/>
      <c r="C117" s="72"/>
      <c r="D117" s="72"/>
      <c r="E117" s="72"/>
      <c r="F117" s="72"/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</row>
    <row r="118" spans="1:26" x14ac:dyDescent="0.5">
      <c r="A118" s="72"/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</row>
    <row r="119" spans="1:26" x14ac:dyDescent="0.5">
      <c r="A119" s="72"/>
      <c r="B119" s="72"/>
      <c r="C119" s="72"/>
      <c r="D119" s="72"/>
      <c r="E119" s="72"/>
      <c r="F119" s="72"/>
      <c r="G119" s="72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</row>
    <row r="120" spans="1:26" x14ac:dyDescent="0.5">
      <c r="A120" s="72"/>
      <c r="B120" s="72"/>
      <c r="C120" s="72"/>
      <c r="D120" s="72"/>
      <c r="E120" s="72"/>
      <c r="F120" s="72"/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</row>
    <row r="121" spans="1:26" x14ac:dyDescent="0.5">
      <c r="A121" s="72"/>
      <c r="B121" s="72"/>
      <c r="C121" s="72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</row>
    <row r="122" spans="1:26" x14ac:dyDescent="0.5">
      <c r="A122" s="72"/>
      <c r="B122" s="72"/>
      <c r="C122" s="72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</row>
    <row r="123" spans="1:26" x14ac:dyDescent="0.5">
      <c r="A123" s="72"/>
      <c r="B123" s="72"/>
      <c r="C123" s="72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</row>
    <row r="124" spans="1:26" x14ac:dyDescent="0.5">
      <c r="A124" s="72"/>
      <c r="B124" s="72"/>
      <c r="C124" s="72"/>
      <c r="D124" s="72"/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</row>
    <row r="125" spans="1:26" x14ac:dyDescent="0.5">
      <c r="A125" s="72"/>
      <c r="B125" s="72"/>
      <c r="C125" s="72"/>
      <c r="D125" s="72"/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</row>
    <row r="126" spans="1:26" x14ac:dyDescent="0.5">
      <c r="A126" s="72"/>
      <c r="B126" s="72"/>
      <c r="C126" s="72"/>
      <c r="D126" s="72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</row>
    <row r="127" spans="1:26" x14ac:dyDescent="0.5">
      <c r="A127" s="72"/>
      <c r="B127" s="72"/>
      <c r="C127" s="72"/>
      <c r="D127" s="72"/>
      <c r="E127" s="72"/>
      <c r="F127" s="72"/>
      <c r="G127" s="72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</row>
    <row r="128" spans="1:26" x14ac:dyDescent="0.5">
      <c r="A128" s="72"/>
      <c r="B128" s="72"/>
      <c r="C128" s="72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</row>
    <row r="129" spans="1:26" x14ac:dyDescent="0.5">
      <c r="A129" s="72"/>
      <c r="B129" s="72"/>
      <c r="C129" s="72"/>
      <c r="D129" s="72"/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</row>
    <row r="130" spans="1:26" x14ac:dyDescent="0.5">
      <c r="A130" s="72"/>
      <c r="B130" s="72"/>
      <c r="C130" s="72"/>
      <c r="D130" s="72"/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</row>
    <row r="131" spans="1:26" x14ac:dyDescent="0.5">
      <c r="A131" s="72"/>
      <c r="B131" s="72"/>
      <c r="C131" s="72"/>
      <c r="D131" s="72"/>
      <c r="E131" s="72"/>
      <c r="F131" s="72"/>
      <c r="G131" s="72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</row>
    <row r="132" spans="1:26" x14ac:dyDescent="0.5">
      <c r="A132" s="72"/>
      <c r="B132" s="72"/>
      <c r="C132" s="72"/>
      <c r="D132" s="72"/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</row>
    <row r="133" spans="1:26" x14ac:dyDescent="0.5">
      <c r="A133" s="72"/>
      <c r="B133" s="72"/>
      <c r="C133" s="72"/>
      <c r="D133" s="72"/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</row>
    <row r="134" spans="1:26" x14ac:dyDescent="0.5">
      <c r="A134" s="72"/>
      <c r="B134" s="72"/>
      <c r="C134" s="72"/>
      <c r="D134" s="72"/>
      <c r="E134" s="72"/>
      <c r="F134" s="72"/>
      <c r="G134" s="72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</row>
    <row r="135" spans="1:26" x14ac:dyDescent="0.5">
      <c r="A135" s="72"/>
      <c r="B135" s="72"/>
      <c r="C135" s="72"/>
      <c r="D135" s="72"/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</row>
    <row r="136" spans="1:26" x14ac:dyDescent="0.5">
      <c r="A136" s="72"/>
      <c r="B136" s="72"/>
      <c r="C136" s="72"/>
      <c r="D136" s="72"/>
      <c r="E136" s="72"/>
      <c r="F136" s="72"/>
      <c r="G136" s="72"/>
      <c r="H136" s="72"/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</row>
    <row r="137" spans="1:26" x14ac:dyDescent="0.5">
      <c r="A137" s="72"/>
      <c r="B137" s="72"/>
      <c r="C137" s="72"/>
      <c r="D137" s="72"/>
      <c r="E137" s="72"/>
      <c r="F137" s="72"/>
      <c r="G137" s="72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</row>
    <row r="138" spans="1:26" x14ac:dyDescent="0.5">
      <c r="A138" s="72"/>
      <c r="B138" s="72"/>
      <c r="C138" s="72"/>
      <c r="D138" s="72"/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</row>
    <row r="139" spans="1:26" x14ac:dyDescent="0.5">
      <c r="A139" s="72"/>
      <c r="B139" s="72"/>
      <c r="C139" s="72"/>
      <c r="D139" s="72"/>
      <c r="E139" s="72"/>
      <c r="F139" s="72"/>
      <c r="G139" s="72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</row>
    <row r="140" spans="1:26" x14ac:dyDescent="0.5">
      <c r="A140" s="72"/>
      <c r="B140" s="72"/>
      <c r="C140" s="72"/>
      <c r="D140" s="72"/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</row>
    <row r="141" spans="1:26" x14ac:dyDescent="0.5">
      <c r="A141" s="72"/>
      <c r="B141" s="72"/>
      <c r="C141" s="72"/>
      <c r="D141" s="72"/>
      <c r="E141" s="72"/>
      <c r="F141" s="72"/>
      <c r="G141" s="72"/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</row>
    <row r="142" spans="1:26" x14ac:dyDescent="0.5">
      <c r="A142" s="72"/>
      <c r="B142" s="72"/>
      <c r="C142" s="72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</row>
    <row r="143" spans="1:26" x14ac:dyDescent="0.5">
      <c r="A143" s="72"/>
      <c r="B143" s="72"/>
      <c r="C143" s="72"/>
      <c r="D143" s="72"/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</row>
    <row r="144" spans="1:26" x14ac:dyDescent="0.5">
      <c r="A144" s="72"/>
      <c r="B144" s="72"/>
      <c r="C144" s="72"/>
      <c r="D144" s="72"/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</row>
    <row r="145" spans="1:26" x14ac:dyDescent="0.5">
      <c r="A145" s="72"/>
      <c r="B145" s="72"/>
      <c r="C145" s="72"/>
      <c r="D145" s="72"/>
      <c r="E145" s="72"/>
      <c r="F145" s="72"/>
      <c r="G145" s="72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</row>
    <row r="146" spans="1:26" x14ac:dyDescent="0.5">
      <c r="A146" s="72"/>
      <c r="B146" s="72"/>
      <c r="C146" s="72"/>
      <c r="D146" s="72"/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</row>
    <row r="147" spans="1:26" x14ac:dyDescent="0.5">
      <c r="A147" s="72"/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</row>
    <row r="148" spans="1:26" x14ac:dyDescent="0.5">
      <c r="A148" s="72"/>
      <c r="B148" s="72"/>
      <c r="C148" s="72"/>
      <c r="D148" s="72"/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</row>
    <row r="149" spans="1:26" x14ac:dyDescent="0.5">
      <c r="A149" s="72"/>
      <c r="B149" s="72"/>
      <c r="C149" s="72"/>
      <c r="D149" s="72"/>
      <c r="E149" s="72"/>
      <c r="F149" s="72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</row>
    <row r="150" spans="1:26" x14ac:dyDescent="0.5">
      <c r="A150" s="72"/>
      <c r="B150" s="72"/>
      <c r="C150" s="72"/>
      <c r="D150" s="72"/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</row>
    <row r="151" spans="1:26" x14ac:dyDescent="0.5">
      <c r="A151" s="72"/>
      <c r="B151" s="72"/>
      <c r="C151" s="72"/>
      <c r="D151" s="72"/>
      <c r="E151" s="72"/>
      <c r="F151" s="72"/>
      <c r="G151" s="72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</row>
    <row r="152" spans="1:26" x14ac:dyDescent="0.5">
      <c r="A152" s="72"/>
      <c r="B152" s="72"/>
      <c r="C152" s="72"/>
      <c r="D152" s="72"/>
      <c r="E152" s="72"/>
      <c r="F152" s="72"/>
      <c r="G152" s="72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</row>
    <row r="153" spans="1:26" x14ac:dyDescent="0.5">
      <c r="A153" s="72"/>
      <c r="B153" s="72"/>
      <c r="C153" s="72"/>
      <c r="D153" s="72"/>
      <c r="E153" s="72"/>
      <c r="F153" s="72"/>
      <c r="G153" s="7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</row>
    <row r="154" spans="1:26" x14ac:dyDescent="0.5">
      <c r="A154" s="72"/>
      <c r="B154" s="72"/>
      <c r="C154" s="72"/>
      <c r="D154" s="72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</row>
    <row r="155" spans="1:26" x14ac:dyDescent="0.5">
      <c r="A155" s="72"/>
      <c r="B155" s="72"/>
      <c r="C155" s="72"/>
      <c r="D155" s="72"/>
      <c r="E155" s="72"/>
      <c r="F155" s="72"/>
      <c r="G155" s="72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</row>
    <row r="156" spans="1:26" x14ac:dyDescent="0.5">
      <c r="A156" s="72"/>
      <c r="B156" s="72"/>
      <c r="C156" s="72"/>
      <c r="D156" s="72"/>
      <c r="E156" s="72"/>
      <c r="F156" s="72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</row>
    <row r="157" spans="1:26" x14ac:dyDescent="0.5">
      <c r="A157" s="72"/>
      <c r="B157" s="72"/>
      <c r="C157" s="72"/>
      <c r="D157" s="72"/>
      <c r="E157" s="72"/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</row>
    <row r="158" spans="1:26" x14ac:dyDescent="0.5">
      <c r="A158" s="72"/>
      <c r="B158" s="72"/>
      <c r="C158" s="72"/>
      <c r="D158" s="72"/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</row>
    <row r="159" spans="1:26" x14ac:dyDescent="0.5">
      <c r="A159" s="72"/>
      <c r="B159" s="72"/>
      <c r="C159" s="72"/>
      <c r="D159" s="72"/>
      <c r="E159" s="72"/>
      <c r="F159" s="72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</row>
    <row r="160" spans="1:26" x14ac:dyDescent="0.5">
      <c r="A160" s="72"/>
      <c r="B160" s="72"/>
      <c r="C160" s="72"/>
      <c r="D160" s="72"/>
      <c r="E160" s="72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</row>
    <row r="161" spans="1:26" x14ac:dyDescent="0.5">
      <c r="A161" s="72"/>
      <c r="B161" s="72"/>
      <c r="C161" s="72"/>
      <c r="D161" s="72"/>
      <c r="E161" s="72"/>
      <c r="F161" s="72"/>
      <c r="G161" s="72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</row>
    <row r="162" spans="1:26" x14ac:dyDescent="0.5">
      <c r="A162" s="72"/>
      <c r="B162" s="72"/>
      <c r="C162" s="72"/>
      <c r="D162" s="72"/>
      <c r="E162" s="72"/>
      <c r="F162" s="72"/>
      <c r="G162" s="72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</row>
    <row r="163" spans="1:26" x14ac:dyDescent="0.5">
      <c r="A163" s="72"/>
      <c r="B163" s="72"/>
      <c r="C163" s="72"/>
      <c r="D163" s="72"/>
      <c r="E163" s="72"/>
      <c r="F163" s="72"/>
      <c r="G163" s="72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</row>
    <row r="164" spans="1:26" x14ac:dyDescent="0.5">
      <c r="A164" s="72"/>
      <c r="B164" s="72"/>
      <c r="C164" s="72"/>
      <c r="D164" s="72"/>
      <c r="E164" s="72"/>
      <c r="F164" s="72"/>
      <c r="G164" s="72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</row>
    <row r="165" spans="1:26" x14ac:dyDescent="0.5">
      <c r="A165" s="72"/>
      <c r="B165" s="72"/>
      <c r="C165" s="72"/>
      <c r="D165" s="72"/>
      <c r="E165" s="72"/>
      <c r="F165" s="72"/>
      <c r="G165" s="72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</row>
    <row r="166" spans="1:26" x14ac:dyDescent="0.5">
      <c r="A166" s="72"/>
      <c r="B166" s="72"/>
      <c r="C166" s="72"/>
      <c r="D166" s="72"/>
      <c r="E166" s="72"/>
      <c r="F166" s="72"/>
      <c r="G166" s="72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</row>
    <row r="167" spans="1:26" x14ac:dyDescent="0.5">
      <c r="A167" s="72"/>
      <c r="B167" s="72"/>
      <c r="C167" s="72"/>
      <c r="D167" s="72"/>
      <c r="E167" s="72"/>
      <c r="F167" s="72"/>
      <c r="G167" s="72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</row>
    <row r="168" spans="1:26" x14ac:dyDescent="0.5">
      <c r="A168" s="72"/>
      <c r="B168" s="72"/>
      <c r="C168" s="72"/>
      <c r="D168" s="72"/>
      <c r="E168" s="72"/>
      <c r="F168" s="72"/>
      <c r="G168" s="72"/>
      <c r="H168" s="72"/>
      <c r="I168" s="72"/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</row>
    <row r="169" spans="1:26" x14ac:dyDescent="0.5">
      <c r="A169" s="72"/>
      <c r="B169" s="72"/>
      <c r="C169" s="72"/>
      <c r="D169" s="72"/>
      <c r="E169" s="72"/>
      <c r="F169" s="72"/>
      <c r="G169" s="72"/>
      <c r="H169" s="72"/>
      <c r="I169" s="72"/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</row>
    <row r="170" spans="1:26" x14ac:dyDescent="0.5">
      <c r="A170" s="72"/>
      <c r="B170" s="72"/>
      <c r="C170" s="72"/>
      <c r="D170" s="72"/>
      <c r="E170" s="72"/>
      <c r="F170" s="72"/>
      <c r="G170" s="72"/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</row>
    <row r="171" spans="1:26" x14ac:dyDescent="0.5">
      <c r="A171" s="72"/>
      <c r="B171" s="72"/>
      <c r="C171" s="72"/>
      <c r="D171" s="72"/>
      <c r="E171" s="72"/>
      <c r="F171" s="72"/>
      <c r="G171" s="72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</row>
    <row r="172" spans="1:26" x14ac:dyDescent="0.5">
      <c r="A172" s="72"/>
      <c r="B172" s="72"/>
      <c r="C172" s="72"/>
      <c r="D172" s="72"/>
      <c r="E172" s="72"/>
      <c r="F172" s="72"/>
      <c r="G172" s="72"/>
      <c r="H172" s="72"/>
      <c r="I172" s="72"/>
      <c r="J172" s="72"/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</row>
    <row r="173" spans="1:26" x14ac:dyDescent="0.5">
      <c r="A173" s="72"/>
      <c r="B173" s="72"/>
      <c r="C173" s="72"/>
      <c r="D173" s="72"/>
      <c r="E173" s="72"/>
      <c r="F173" s="72"/>
      <c r="G173" s="72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</row>
    <row r="174" spans="1:26" x14ac:dyDescent="0.5">
      <c r="A174" s="72"/>
      <c r="B174" s="72"/>
      <c r="C174" s="72"/>
      <c r="D174" s="72"/>
      <c r="E174" s="72"/>
      <c r="F174" s="72"/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</row>
    <row r="175" spans="1:26" x14ac:dyDescent="0.5">
      <c r="A175" s="72"/>
      <c r="B175" s="72"/>
      <c r="C175" s="72"/>
      <c r="D175" s="72"/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</row>
    <row r="176" spans="1:26" x14ac:dyDescent="0.5">
      <c r="A176" s="72"/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</row>
    <row r="177" spans="1:26" x14ac:dyDescent="0.5">
      <c r="A177" s="72"/>
      <c r="B177" s="72"/>
      <c r="C177" s="72"/>
      <c r="D177" s="72"/>
      <c r="E177" s="72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</row>
    <row r="178" spans="1:26" x14ac:dyDescent="0.5">
      <c r="A178" s="72"/>
      <c r="B178" s="72"/>
      <c r="C178" s="72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</row>
    <row r="179" spans="1:26" x14ac:dyDescent="0.5">
      <c r="A179" s="72"/>
      <c r="B179" s="72"/>
      <c r="C179" s="72"/>
      <c r="D179" s="72"/>
      <c r="E179" s="72"/>
      <c r="F179" s="72"/>
      <c r="G179" s="72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</row>
    <row r="180" spans="1:26" x14ac:dyDescent="0.5">
      <c r="A180" s="72"/>
      <c r="B180" s="72"/>
      <c r="C180" s="72"/>
      <c r="D180" s="72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</row>
    <row r="181" spans="1:26" x14ac:dyDescent="0.5">
      <c r="A181" s="72"/>
      <c r="B181" s="72"/>
      <c r="C181" s="72"/>
      <c r="D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</row>
    <row r="182" spans="1:26" x14ac:dyDescent="0.5">
      <c r="A182" s="72"/>
      <c r="B182" s="72"/>
      <c r="C182" s="72"/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</row>
    <row r="183" spans="1:26" x14ac:dyDescent="0.5">
      <c r="A183" s="72"/>
      <c r="B183" s="72"/>
      <c r="C183" s="72"/>
      <c r="D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</row>
    <row r="184" spans="1:26" x14ac:dyDescent="0.5">
      <c r="A184" s="72"/>
      <c r="B184" s="72"/>
      <c r="C184" s="72"/>
      <c r="D184" s="72"/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</row>
    <row r="185" spans="1:26" x14ac:dyDescent="0.5">
      <c r="A185" s="72"/>
      <c r="B185" s="72"/>
      <c r="C185" s="72"/>
      <c r="D185" s="72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</row>
    <row r="186" spans="1:26" x14ac:dyDescent="0.5">
      <c r="A186" s="72"/>
      <c r="B186" s="72"/>
      <c r="C186" s="72"/>
      <c r="D186" s="72"/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</row>
    <row r="187" spans="1:26" x14ac:dyDescent="0.5">
      <c r="A187" s="72"/>
      <c r="B187" s="72"/>
      <c r="C187" s="72"/>
      <c r="D187" s="72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</row>
    <row r="188" spans="1:26" x14ac:dyDescent="0.5">
      <c r="A188" s="72"/>
      <c r="B188" s="72"/>
      <c r="C188" s="72"/>
      <c r="D188" s="72"/>
      <c r="E188" s="72"/>
      <c r="F188" s="72"/>
      <c r="G188" s="72"/>
      <c r="H188" s="72"/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</row>
    <row r="189" spans="1:26" x14ac:dyDescent="0.5">
      <c r="A189" s="72"/>
      <c r="B189" s="72"/>
      <c r="C189" s="72"/>
      <c r="D189" s="72"/>
      <c r="E189" s="72"/>
      <c r="F189" s="72"/>
      <c r="G189" s="72"/>
      <c r="H189" s="72"/>
      <c r="I189" s="72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</row>
    <row r="190" spans="1:26" x14ac:dyDescent="0.5">
      <c r="A190" s="72"/>
      <c r="B190" s="72"/>
      <c r="C190" s="72"/>
      <c r="D190" s="72"/>
      <c r="E190" s="72"/>
      <c r="F190" s="72"/>
      <c r="G190" s="72"/>
      <c r="H190" s="72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</row>
    <row r="191" spans="1:26" x14ac:dyDescent="0.5">
      <c r="A191" s="72"/>
      <c r="B191" s="72"/>
      <c r="C191" s="72"/>
      <c r="D191" s="72"/>
      <c r="E191" s="72"/>
      <c r="F191" s="72"/>
      <c r="G191" s="72"/>
      <c r="H191" s="72"/>
      <c r="I191" s="72"/>
      <c r="J191" s="72"/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</row>
    <row r="192" spans="1:26" x14ac:dyDescent="0.5">
      <c r="A192" s="72"/>
      <c r="B192" s="72"/>
      <c r="C192" s="72"/>
      <c r="D192" s="72"/>
      <c r="E192" s="72"/>
      <c r="F192" s="72"/>
      <c r="G192" s="72"/>
      <c r="H192" s="72"/>
      <c r="I192" s="72"/>
      <c r="J192" s="72"/>
      <c r="K192" s="72"/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</row>
    <row r="193" spans="1:26" x14ac:dyDescent="0.5">
      <c r="A193" s="72"/>
      <c r="B193" s="72"/>
      <c r="C193" s="72"/>
      <c r="D193" s="72"/>
      <c r="E193" s="72"/>
      <c r="F193" s="72"/>
      <c r="G193" s="72"/>
      <c r="H193" s="72"/>
      <c r="I193" s="72"/>
      <c r="J193" s="72"/>
      <c r="K193" s="72"/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</row>
    <row r="194" spans="1:26" x14ac:dyDescent="0.5">
      <c r="A194" s="72"/>
      <c r="B194" s="72"/>
      <c r="C194" s="72"/>
      <c r="D194" s="72"/>
      <c r="E194" s="72"/>
      <c r="F194" s="72"/>
      <c r="G194" s="72"/>
      <c r="H194" s="72"/>
      <c r="I194" s="72"/>
      <c r="J194" s="72"/>
      <c r="K194" s="72"/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</row>
    <row r="195" spans="1:26" x14ac:dyDescent="0.5">
      <c r="A195" s="72"/>
      <c r="B195" s="72"/>
      <c r="C195" s="72"/>
      <c r="D195" s="72"/>
      <c r="E195" s="72"/>
      <c r="F195" s="72"/>
      <c r="G195" s="72"/>
      <c r="H195" s="72"/>
      <c r="I195" s="72"/>
      <c r="J195" s="72"/>
      <c r="K195" s="72"/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</row>
    <row r="196" spans="1:26" x14ac:dyDescent="0.5">
      <c r="A196" s="72"/>
      <c r="B196" s="72"/>
      <c r="C196" s="72"/>
      <c r="D196" s="72"/>
      <c r="E196" s="72"/>
      <c r="F196" s="72"/>
      <c r="G196" s="72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</row>
    <row r="197" spans="1:26" x14ac:dyDescent="0.5">
      <c r="A197" s="72"/>
      <c r="B197" s="72"/>
      <c r="C197" s="72"/>
      <c r="D197" s="72"/>
      <c r="E197" s="72"/>
      <c r="F197" s="72"/>
      <c r="G197" s="72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</row>
    <row r="198" spans="1:26" x14ac:dyDescent="0.5">
      <c r="A198" s="72"/>
      <c r="B198" s="72"/>
      <c r="C198" s="72"/>
      <c r="D198" s="72"/>
      <c r="E198" s="72"/>
      <c r="F198" s="72"/>
      <c r="G198" s="72"/>
      <c r="H198" s="72"/>
      <c r="I198" s="72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</row>
    <row r="199" spans="1:26" x14ac:dyDescent="0.5">
      <c r="A199" s="72"/>
      <c r="B199" s="72"/>
      <c r="C199" s="72"/>
      <c r="D199" s="72"/>
      <c r="E199" s="72"/>
      <c r="F199" s="72"/>
      <c r="G199" s="72"/>
      <c r="H199" s="72"/>
      <c r="I199" s="72"/>
      <c r="J199" s="72"/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</row>
    <row r="200" spans="1:26" x14ac:dyDescent="0.5">
      <c r="A200" s="72"/>
      <c r="B200" s="72"/>
      <c r="C200" s="72"/>
      <c r="D200" s="72"/>
      <c r="E200" s="72"/>
      <c r="F200" s="72"/>
      <c r="G200" s="72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</row>
    <row r="201" spans="1:26" x14ac:dyDescent="0.5">
      <c r="A201" s="72"/>
      <c r="B201" s="72"/>
      <c r="C201" s="72"/>
      <c r="D201" s="72"/>
      <c r="E201" s="72"/>
      <c r="F201" s="72"/>
      <c r="G201" s="72"/>
      <c r="H201" s="72"/>
      <c r="I201" s="72"/>
      <c r="J201" s="72"/>
      <c r="K201" s="72"/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</row>
    <row r="202" spans="1:26" x14ac:dyDescent="0.5">
      <c r="A202" s="72"/>
      <c r="B202" s="72"/>
      <c r="C202" s="72"/>
      <c r="D202" s="72"/>
      <c r="E202" s="72"/>
      <c r="F202" s="72"/>
      <c r="G202" s="72"/>
      <c r="H202" s="72"/>
      <c r="I202" s="72"/>
      <c r="J202" s="72"/>
      <c r="K202" s="72"/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</row>
    <row r="203" spans="1:26" x14ac:dyDescent="0.5">
      <c r="A203" s="72"/>
      <c r="B203" s="72"/>
      <c r="C203" s="72"/>
      <c r="D203" s="72"/>
      <c r="E203" s="72"/>
      <c r="F203" s="72"/>
      <c r="G203" s="72"/>
      <c r="H203" s="72"/>
      <c r="I203" s="72"/>
      <c r="J203" s="72"/>
      <c r="K203" s="72"/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</row>
    <row r="204" spans="1:26" x14ac:dyDescent="0.5">
      <c r="A204" s="72"/>
      <c r="B204" s="72"/>
      <c r="C204" s="72"/>
      <c r="D204" s="72"/>
      <c r="E204" s="72"/>
      <c r="F204" s="72"/>
      <c r="G204" s="72"/>
      <c r="H204" s="72"/>
      <c r="I204" s="72"/>
      <c r="J204" s="72"/>
      <c r="K204" s="72"/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</row>
    <row r="205" spans="1:26" x14ac:dyDescent="0.5">
      <c r="A205" s="72"/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</row>
    <row r="206" spans="1:26" x14ac:dyDescent="0.5">
      <c r="A206" s="72"/>
      <c r="B206" s="72"/>
      <c r="C206" s="72"/>
      <c r="D206" s="72"/>
      <c r="E206" s="72"/>
      <c r="F206" s="72"/>
      <c r="G206" s="72"/>
      <c r="H206" s="72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</row>
    <row r="207" spans="1:26" x14ac:dyDescent="0.5">
      <c r="A207" s="72"/>
      <c r="B207" s="72"/>
      <c r="C207" s="72"/>
      <c r="D207" s="72"/>
      <c r="E207" s="72"/>
      <c r="F207" s="72"/>
      <c r="G207" s="72"/>
      <c r="H207" s="72"/>
      <c r="I207" s="72"/>
      <c r="J207" s="72"/>
      <c r="K207" s="72"/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</row>
    <row r="208" spans="1:26" x14ac:dyDescent="0.5">
      <c r="A208" s="72"/>
      <c r="B208" s="72"/>
      <c r="C208" s="72"/>
      <c r="D208" s="72"/>
      <c r="E208" s="72"/>
      <c r="F208" s="72"/>
      <c r="G208" s="72"/>
      <c r="H208" s="72"/>
      <c r="I208" s="72"/>
      <c r="J208" s="72"/>
      <c r="K208" s="72"/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</row>
    <row r="209" spans="1:26" x14ac:dyDescent="0.5">
      <c r="A209" s="72"/>
      <c r="B209" s="72"/>
      <c r="C209" s="72"/>
      <c r="D209" s="72"/>
      <c r="E209" s="72"/>
      <c r="F209" s="72"/>
      <c r="G209" s="72"/>
      <c r="H209" s="72"/>
      <c r="I209" s="72"/>
      <c r="J209" s="72"/>
      <c r="K209" s="72"/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</row>
    <row r="210" spans="1:26" x14ac:dyDescent="0.5">
      <c r="A210" s="72"/>
      <c r="B210" s="72"/>
      <c r="C210" s="72"/>
      <c r="D210" s="72"/>
      <c r="E210" s="72"/>
      <c r="F210" s="72"/>
      <c r="G210" s="72"/>
      <c r="H210" s="72"/>
      <c r="I210" s="72"/>
      <c r="J210" s="72"/>
      <c r="K210" s="72"/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</row>
    <row r="211" spans="1:26" x14ac:dyDescent="0.5">
      <c r="A211" s="72"/>
      <c r="B211" s="72"/>
      <c r="C211" s="72"/>
      <c r="D211" s="72"/>
      <c r="E211" s="72"/>
      <c r="F211" s="72"/>
      <c r="G211" s="72"/>
      <c r="H211" s="72"/>
      <c r="I211" s="72"/>
      <c r="J211" s="72"/>
      <c r="K211" s="72"/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</row>
    <row r="212" spans="1:26" x14ac:dyDescent="0.5">
      <c r="A212" s="72"/>
      <c r="B212" s="72"/>
      <c r="C212" s="72"/>
      <c r="D212" s="72"/>
      <c r="E212" s="72"/>
      <c r="F212" s="72"/>
      <c r="G212" s="72"/>
      <c r="H212" s="72"/>
      <c r="I212" s="72"/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</row>
    <row r="213" spans="1:26" x14ac:dyDescent="0.5">
      <c r="A213" s="72"/>
      <c r="B213" s="72"/>
      <c r="C213" s="72"/>
      <c r="D213" s="72"/>
      <c r="E213" s="72"/>
      <c r="F213" s="72"/>
      <c r="G213" s="72"/>
      <c r="H213" s="72"/>
      <c r="I213" s="72"/>
      <c r="J213" s="72"/>
      <c r="K213" s="72"/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</row>
    <row r="214" spans="1:26" x14ac:dyDescent="0.5">
      <c r="A214" s="72"/>
      <c r="B214" s="72"/>
      <c r="C214" s="72"/>
      <c r="D214" s="72"/>
      <c r="E214" s="72"/>
      <c r="F214" s="72"/>
      <c r="G214" s="72"/>
      <c r="H214" s="72"/>
      <c r="I214" s="72"/>
      <c r="J214" s="72"/>
      <c r="K214" s="72"/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</row>
    <row r="215" spans="1:26" x14ac:dyDescent="0.5">
      <c r="A215" s="72"/>
      <c r="B215" s="72"/>
      <c r="C215" s="72"/>
      <c r="D215" s="72"/>
      <c r="E215" s="72"/>
      <c r="F215" s="72"/>
      <c r="G215" s="72"/>
      <c r="H215" s="72"/>
      <c r="I215" s="72"/>
      <c r="J215" s="72"/>
      <c r="K215" s="72"/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</row>
    <row r="216" spans="1:26" x14ac:dyDescent="0.5">
      <c r="A216" s="72"/>
      <c r="B216" s="72"/>
      <c r="C216" s="72"/>
      <c r="D216" s="72"/>
      <c r="E216" s="72"/>
      <c r="F216" s="72"/>
      <c r="G216" s="72"/>
      <c r="H216" s="72"/>
      <c r="I216" s="72"/>
      <c r="J216" s="72"/>
      <c r="K216" s="72"/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</row>
    <row r="217" spans="1:26" x14ac:dyDescent="0.5">
      <c r="A217" s="72"/>
      <c r="B217" s="72"/>
      <c r="C217" s="72"/>
      <c r="D217" s="72"/>
      <c r="E217" s="72"/>
      <c r="F217" s="72"/>
      <c r="G217" s="72"/>
      <c r="H217" s="72"/>
      <c r="I217" s="72"/>
      <c r="J217" s="72"/>
      <c r="K217" s="72"/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</row>
    <row r="218" spans="1:26" x14ac:dyDescent="0.5">
      <c r="A218" s="72"/>
      <c r="B218" s="72"/>
      <c r="C218" s="72"/>
      <c r="D218" s="72"/>
      <c r="E218" s="72"/>
      <c r="F218" s="72"/>
      <c r="G218" s="72"/>
      <c r="H218" s="72"/>
      <c r="I218" s="72"/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</row>
    <row r="219" spans="1:26" x14ac:dyDescent="0.5">
      <c r="A219" s="72"/>
      <c r="B219" s="72"/>
      <c r="C219" s="72"/>
      <c r="D219" s="72"/>
      <c r="E219" s="72"/>
      <c r="F219" s="72"/>
      <c r="G219" s="72"/>
      <c r="H219" s="72"/>
      <c r="I219" s="72"/>
      <c r="J219" s="72"/>
      <c r="K219" s="72"/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</row>
    <row r="220" spans="1:26" x14ac:dyDescent="0.5">
      <c r="A220" s="72"/>
      <c r="B220" s="72"/>
      <c r="C220" s="72"/>
      <c r="D220" s="72"/>
      <c r="E220" s="72"/>
      <c r="F220" s="72"/>
      <c r="G220" s="72"/>
      <c r="H220" s="72"/>
      <c r="I220" s="72"/>
      <c r="J220" s="72"/>
      <c r="K220" s="72"/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</row>
    <row r="221" spans="1:26" x14ac:dyDescent="0.5">
      <c r="A221" s="72"/>
      <c r="B221" s="72"/>
      <c r="C221" s="72"/>
      <c r="D221" s="72"/>
      <c r="E221" s="72"/>
      <c r="F221" s="72"/>
      <c r="G221" s="72"/>
      <c r="H221" s="72"/>
      <c r="I221" s="72"/>
      <c r="J221" s="72"/>
      <c r="K221" s="72"/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</row>
    <row r="222" spans="1:26" x14ac:dyDescent="0.5">
      <c r="A222" s="72"/>
      <c r="B222" s="72"/>
      <c r="C222" s="72"/>
      <c r="D222" s="72"/>
      <c r="E222" s="72"/>
      <c r="F222" s="72"/>
      <c r="G222" s="72"/>
      <c r="H222" s="72"/>
      <c r="I222" s="72"/>
      <c r="J222" s="72"/>
      <c r="K222" s="72"/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</row>
    <row r="223" spans="1:26" x14ac:dyDescent="0.5">
      <c r="A223" s="72"/>
      <c r="B223" s="72"/>
      <c r="C223" s="72"/>
      <c r="D223" s="72"/>
      <c r="E223" s="72"/>
      <c r="F223" s="72"/>
      <c r="G223" s="72"/>
      <c r="H223" s="72"/>
      <c r="I223" s="72"/>
      <c r="J223" s="72"/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</row>
    <row r="224" spans="1:26" x14ac:dyDescent="0.5">
      <c r="A224" s="72"/>
      <c r="B224" s="72"/>
      <c r="C224" s="72"/>
      <c r="D224" s="72"/>
      <c r="E224" s="72"/>
      <c r="F224" s="72"/>
      <c r="G224" s="72"/>
      <c r="H224" s="72"/>
      <c r="I224" s="72"/>
      <c r="J224" s="72"/>
      <c r="K224" s="72"/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</row>
    <row r="225" spans="1:26" x14ac:dyDescent="0.5">
      <c r="A225" s="72"/>
      <c r="B225" s="72"/>
      <c r="C225" s="72"/>
      <c r="D225" s="72"/>
      <c r="E225" s="72"/>
      <c r="F225" s="72"/>
      <c r="G225" s="72"/>
      <c r="H225" s="72"/>
      <c r="I225" s="72"/>
      <c r="J225" s="72"/>
      <c r="K225" s="72"/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</row>
    <row r="226" spans="1:26" x14ac:dyDescent="0.5">
      <c r="A226" s="72"/>
      <c r="B226" s="72"/>
      <c r="C226" s="72"/>
      <c r="D226" s="72"/>
      <c r="E226" s="72"/>
      <c r="F226" s="72"/>
      <c r="G226" s="72"/>
      <c r="H226" s="72"/>
      <c r="I226" s="72"/>
      <c r="J226" s="72"/>
      <c r="K226" s="72"/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</row>
    <row r="227" spans="1:26" x14ac:dyDescent="0.5">
      <c r="A227" s="72"/>
      <c r="B227" s="72"/>
      <c r="C227" s="72"/>
      <c r="D227" s="72"/>
      <c r="E227" s="72"/>
      <c r="F227" s="72"/>
      <c r="G227" s="72"/>
      <c r="H227" s="72"/>
      <c r="I227" s="72"/>
      <c r="J227" s="72"/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</row>
    <row r="228" spans="1:26" x14ac:dyDescent="0.5">
      <c r="A228" s="72"/>
      <c r="B228" s="72"/>
      <c r="C228" s="72"/>
      <c r="D228" s="72"/>
      <c r="E228" s="72"/>
      <c r="F228" s="72"/>
      <c r="G228" s="72"/>
      <c r="H228" s="72"/>
      <c r="I228" s="72"/>
      <c r="J228" s="72"/>
      <c r="K228" s="72"/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</row>
    <row r="229" spans="1:26" x14ac:dyDescent="0.5">
      <c r="A229" s="72"/>
      <c r="B229" s="72"/>
      <c r="C229" s="72"/>
      <c r="D229" s="72"/>
      <c r="E229" s="72"/>
      <c r="F229" s="72"/>
      <c r="G229" s="72"/>
      <c r="H229" s="72"/>
      <c r="I229" s="72"/>
      <c r="J229" s="72"/>
      <c r="K229" s="72"/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</row>
    <row r="230" spans="1:26" x14ac:dyDescent="0.5">
      <c r="A230" s="72"/>
      <c r="B230" s="72"/>
      <c r="C230" s="72"/>
      <c r="D230" s="72"/>
      <c r="E230" s="72"/>
      <c r="F230" s="72"/>
      <c r="G230" s="72"/>
      <c r="H230" s="72"/>
      <c r="I230" s="72"/>
      <c r="J230" s="72"/>
      <c r="K230" s="72"/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</row>
    <row r="231" spans="1:26" x14ac:dyDescent="0.5">
      <c r="A231" s="72"/>
      <c r="B231" s="72"/>
      <c r="C231" s="72"/>
      <c r="D231" s="72"/>
      <c r="E231" s="72"/>
      <c r="F231" s="72"/>
      <c r="G231" s="72"/>
      <c r="H231" s="72"/>
      <c r="I231" s="72"/>
      <c r="J231" s="72"/>
      <c r="K231" s="72"/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</row>
    <row r="232" spans="1:26" x14ac:dyDescent="0.5">
      <c r="A232" s="72"/>
      <c r="B232" s="72"/>
      <c r="C232" s="72"/>
      <c r="D232" s="72"/>
      <c r="E232" s="72"/>
      <c r="F232" s="72"/>
      <c r="G232" s="72"/>
      <c r="H232" s="72"/>
      <c r="I232" s="72"/>
      <c r="J232" s="72"/>
      <c r="K232" s="72"/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</row>
    <row r="233" spans="1:26" x14ac:dyDescent="0.5">
      <c r="A233" s="72"/>
      <c r="B233" s="72"/>
      <c r="C233" s="72"/>
      <c r="D233" s="72"/>
      <c r="E233" s="72"/>
      <c r="F233" s="72"/>
      <c r="G233" s="72"/>
      <c r="H233" s="72"/>
      <c r="I233" s="72"/>
      <c r="J233" s="72"/>
      <c r="K233" s="72"/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</row>
    <row r="234" spans="1:26" x14ac:dyDescent="0.5">
      <c r="A234" s="72"/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</row>
    <row r="235" spans="1:26" x14ac:dyDescent="0.5">
      <c r="A235" s="72"/>
      <c r="B235" s="72"/>
      <c r="C235" s="72"/>
      <c r="D235" s="72"/>
      <c r="E235" s="72"/>
      <c r="F235" s="72"/>
      <c r="G235" s="72"/>
      <c r="H235" s="72"/>
      <c r="I235" s="72"/>
      <c r="J235" s="72"/>
      <c r="K235" s="72"/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</row>
    <row r="236" spans="1:26" x14ac:dyDescent="0.5">
      <c r="A236" s="72"/>
      <c r="B236" s="72"/>
      <c r="C236" s="72"/>
      <c r="D236" s="72"/>
      <c r="E236" s="72"/>
      <c r="F236" s="72"/>
      <c r="G236" s="72"/>
      <c r="H236" s="72"/>
      <c r="I236" s="72"/>
      <c r="J236" s="72"/>
      <c r="K236" s="72"/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</row>
    <row r="237" spans="1:26" x14ac:dyDescent="0.5">
      <c r="A237" s="72"/>
      <c r="B237" s="72"/>
      <c r="C237" s="72"/>
      <c r="D237" s="72"/>
      <c r="E237" s="72"/>
      <c r="F237" s="72"/>
      <c r="G237" s="72"/>
      <c r="H237" s="72"/>
      <c r="I237" s="72"/>
      <c r="J237" s="72"/>
      <c r="K237" s="72"/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</row>
    <row r="238" spans="1:26" x14ac:dyDescent="0.5">
      <c r="A238" s="72"/>
      <c r="B238" s="72"/>
      <c r="C238" s="72"/>
      <c r="D238" s="72"/>
      <c r="E238" s="72"/>
      <c r="F238" s="72"/>
      <c r="G238" s="72"/>
      <c r="H238" s="72"/>
      <c r="I238" s="72"/>
      <c r="J238" s="72"/>
      <c r="K238" s="72"/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</row>
    <row r="239" spans="1:26" x14ac:dyDescent="0.5">
      <c r="A239" s="72"/>
      <c r="B239" s="72"/>
      <c r="C239" s="72"/>
      <c r="D239" s="72"/>
      <c r="E239" s="72"/>
      <c r="F239" s="72"/>
      <c r="G239" s="72"/>
      <c r="H239" s="72"/>
      <c r="I239" s="72"/>
      <c r="J239" s="72"/>
      <c r="K239" s="72"/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</row>
    <row r="240" spans="1:26" x14ac:dyDescent="0.5">
      <c r="A240" s="72"/>
      <c r="B240" s="72"/>
      <c r="C240" s="72"/>
      <c r="D240" s="72"/>
      <c r="E240" s="72"/>
      <c r="F240" s="72"/>
      <c r="G240" s="72"/>
      <c r="H240" s="72"/>
      <c r="I240" s="72"/>
      <c r="J240" s="72"/>
      <c r="K240" s="72"/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</row>
    <row r="241" spans="1:26" x14ac:dyDescent="0.5">
      <c r="A241" s="72"/>
      <c r="B241" s="72"/>
      <c r="C241" s="72"/>
      <c r="D241" s="72"/>
      <c r="E241" s="72"/>
      <c r="F241" s="72"/>
      <c r="G241" s="72"/>
      <c r="H241" s="72"/>
      <c r="I241" s="72"/>
      <c r="J241" s="72"/>
      <c r="K241" s="72"/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</row>
    <row r="242" spans="1:26" x14ac:dyDescent="0.5">
      <c r="A242" s="72"/>
      <c r="B242" s="72"/>
      <c r="C242" s="72"/>
      <c r="D242" s="72"/>
      <c r="E242" s="72"/>
      <c r="F242" s="72"/>
      <c r="G242" s="72"/>
      <c r="H242" s="72"/>
      <c r="I242" s="72"/>
      <c r="J242" s="72"/>
      <c r="K242" s="72"/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</row>
    <row r="243" spans="1:26" x14ac:dyDescent="0.5">
      <c r="A243" s="72"/>
      <c r="B243" s="72"/>
      <c r="C243" s="72"/>
      <c r="D243" s="72"/>
      <c r="E243" s="72"/>
      <c r="F243" s="72"/>
      <c r="G243" s="72"/>
      <c r="H243" s="72"/>
      <c r="I243" s="72"/>
      <c r="J243" s="72"/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</row>
    <row r="244" spans="1:26" x14ac:dyDescent="0.5">
      <c r="A244" s="72"/>
      <c r="B244" s="72"/>
      <c r="C244" s="72"/>
      <c r="D244" s="72"/>
      <c r="E244" s="72"/>
      <c r="F244" s="72"/>
      <c r="G244" s="72"/>
      <c r="H244" s="72"/>
      <c r="I244" s="72"/>
      <c r="J244" s="72"/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</row>
    <row r="245" spans="1:26" x14ac:dyDescent="0.5">
      <c r="A245" s="72"/>
      <c r="B245" s="72"/>
      <c r="C245" s="72"/>
      <c r="D245" s="72"/>
      <c r="E245" s="72"/>
      <c r="F245" s="72"/>
      <c r="G245" s="72"/>
      <c r="H245" s="72"/>
      <c r="I245" s="72"/>
      <c r="J245" s="72"/>
      <c r="K245" s="72"/>
      <c r="L245" s="72"/>
      <c r="M245" s="72"/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</row>
    <row r="246" spans="1:26" x14ac:dyDescent="0.5">
      <c r="A246" s="72"/>
      <c r="B246" s="72"/>
      <c r="C246" s="72"/>
      <c r="D246" s="72"/>
      <c r="E246" s="72"/>
      <c r="F246" s="72"/>
      <c r="G246" s="72"/>
      <c r="H246" s="72"/>
      <c r="I246" s="72"/>
      <c r="J246" s="72"/>
      <c r="K246" s="72"/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</row>
    <row r="247" spans="1:26" x14ac:dyDescent="0.5">
      <c r="A247" s="72"/>
      <c r="B247" s="72"/>
      <c r="C247" s="72"/>
      <c r="D247" s="72"/>
      <c r="E247" s="72"/>
      <c r="F247" s="72"/>
      <c r="G247" s="72"/>
      <c r="H247" s="72"/>
      <c r="I247" s="72"/>
      <c r="J247" s="72"/>
      <c r="K247" s="72"/>
      <c r="L247" s="72"/>
      <c r="M247" s="72"/>
      <c r="N247" s="72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</row>
    <row r="248" spans="1:26" x14ac:dyDescent="0.5">
      <c r="A248" s="72"/>
      <c r="B248" s="72"/>
      <c r="C248" s="72"/>
      <c r="D248" s="72"/>
      <c r="E248" s="72"/>
      <c r="F248" s="72"/>
      <c r="G248" s="72"/>
      <c r="H248" s="72"/>
      <c r="I248" s="72"/>
      <c r="J248" s="72"/>
      <c r="K248" s="72"/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</row>
    <row r="249" spans="1:26" x14ac:dyDescent="0.5">
      <c r="A249" s="72"/>
      <c r="B249" s="72"/>
      <c r="C249" s="72"/>
      <c r="D249" s="72"/>
      <c r="E249" s="72"/>
      <c r="F249" s="72"/>
      <c r="G249" s="72"/>
      <c r="H249" s="72"/>
      <c r="I249" s="72"/>
      <c r="J249" s="72"/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</row>
    <row r="250" spans="1:26" x14ac:dyDescent="0.5">
      <c r="A250" s="72"/>
      <c r="B250" s="72"/>
      <c r="C250" s="72"/>
      <c r="D250" s="72"/>
      <c r="E250" s="72"/>
      <c r="F250" s="72"/>
      <c r="G250" s="72"/>
      <c r="H250" s="72"/>
      <c r="I250" s="72"/>
      <c r="J250" s="72"/>
      <c r="K250" s="72"/>
      <c r="L250" s="72"/>
      <c r="M250" s="72"/>
      <c r="N250" s="72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</row>
    <row r="251" spans="1:26" x14ac:dyDescent="0.5">
      <c r="A251" s="72"/>
      <c r="B251" s="72"/>
      <c r="C251" s="72"/>
      <c r="D251" s="72"/>
      <c r="E251" s="72"/>
      <c r="F251" s="72"/>
      <c r="G251" s="72"/>
      <c r="H251" s="72"/>
      <c r="I251" s="72"/>
      <c r="J251" s="72"/>
      <c r="K251" s="72"/>
      <c r="L251" s="72"/>
      <c r="M251" s="72"/>
      <c r="N251" s="72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</row>
    <row r="252" spans="1:26" x14ac:dyDescent="0.5">
      <c r="A252" s="72"/>
      <c r="B252" s="72"/>
      <c r="C252" s="72"/>
      <c r="D252" s="72"/>
      <c r="E252" s="72"/>
      <c r="F252" s="72"/>
      <c r="G252" s="72"/>
      <c r="H252" s="72"/>
      <c r="I252" s="72"/>
      <c r="J252" s="72"/>
      <c r="K252" s="72"/>
      <c r="L252" s="72"/>
      <c r="M252" s="72"/>
      <c r="N252" s="72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</row>
    <row r="253" spans="1:26" x14ac:dyDescent="0.5">
      <c r="A253" s="72"/>
      <c r="B253" s="72"/>
      <c r="C253" s="72"/>
      <c r="D253" s="72"/>
      <c r="E253" s="72"/>
      <c r="F253" s="72"/>
      <c r="G253" s="72"/>
      <c r="H253" s="72"/>
      <c r="I253" s="72"/>
      <c r="J253" s="72"/>
      <c r="K253" s="72"/>
      <c r="L253" s="72"/>
      <c r="M253" s="72"/>
      <c r="N253" s="72"/>
      <c r="O253" s="72"/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</row>
    <row r="254" spans="1:26" x14ac:dyDescent="0.5">
      <c r="A254" s="72"/>
      <c r="B254" s="72"/>
      <c r="C254" s="72"/>
      <c r="D254" s="72"/>
      <c r="E254" s="72"/>
      <c r="F254" s="72"/>
      <c r="G254" s="72"/>
      <c r="H254" s="72"/>
      <c r="I254" s="72"/>
      <c r="J254" s="72"/>
      <c r="K254" s="72"/>
      <c r="L254" s="72"/>
      <c r="M254" s="72"/>
      <c r="N254" s="72"/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</row>
    <row r="255" spans="1:26" x14ac:dyDescent="0.5">
      <c r="A255" s="72"/>
      <c r="B255" s="72"/>
      <c r="C255" s="72"/>
      <c r="D255" s="72"/>
      <c r="E255" s="72"/>
      <c r="F255" s="72"/>
      <c r="G255" s="72"/>
      <c r="H255" s="72"/>
      <c r="I255" s="72"/>
      <c r="J255" s="72"/>
      <c r="K255" s="72"/>
      <c r="L255" s="72"/>
      <c r="M255" s="72"/>
      <c r="N255" s="72"/>
      <c r="O255" s="72"/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</row>
    <row r="256" spans="1:26" x14ac:dyDescent="0.5">
      <c r="A256" s="72"/>
      <c r="B256" s="72"/>
      <c r="C256" s="72"/>
      <c r="D256" s="72"/>
      <c r="E256" s="72"/>
      <c r="F256" s="72"/>
      <c r="G256" s="72"/>
      <c r="H256" s="72"/>
      <c r="I256" s="72"/>
      <c r="J256" s="72"/>
      <c r="K256" s="72"/>
      <c r="L256" s="72"/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</row>
    <row r="257" spans="1:26" x14ac:dyDescent="0.5">
      <c r="A257" s="72"/>
      <c r="B257" s="72"/>
      <c r="C257" s="72"/>
      <c r="D257" s="72"/>
      <c r="E257" s="72"/>
      <c r="F257" s="72"/>
      <c r="G257" s="72"/>
      <c r="H257" s="72"/>
      <c r="I257" s="72"/>
      <c r="J257" s="72"/>
      <c r="K257" s="72"/>
      <c r="L257" s="72"/>
      <c r="M257" s="72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</row>
    <row r="258" spans="1:26" x14ac:dyDescent="0.5">
      <c r="A258" s="72"/>
      <c r="B258" s="72"/>
      <c r="C258" s="72"/>
      <c r="D258" s="72"/>
      <c r="E258" s="72"/>
      <c r="F258" s="72"/>
      <c r="G258" s="72"/>
      <c r="H258" s="72"/>
      <c r="I258" s="72"/>
      <c r="J258" s="72"/>
      <c r="K258" s="72"/>
      <c r="L258" s="72"/>
      <c r="M258" s="72"/>
      <c r="N258" s="72"/>
      <c r="O258" s="72"/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</row>
    <row r="259" spans="1:26" x14ac:dyDescent="0.5">
      <c r="A259" s="72"/>
      <c r="B259" s="72"/>
      <c r="C259" s="72"/>
      <c r="D259" s="72"/>
      <c r="E259" s="72"/>
      <c r="F259" s="72"/>
      <c r="G259" s="72"/>
      <c r="H259" s="72"/>
      <c r="I259" s="72"/>
      <c r="J259" s="72"/>
      <c r="K259" s="72"/>
      <c r="L259" s="72"/>
      <c r="M259" s="72"/>
      <c r="N259" s="72"/>
      <c r="O259" s="72"/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</row>
    <row r="260" spans="1:26" x14ac:dyDescent="0.5">
      <c r="A260" s="72"/>
      <c r="B260" s="72"/>
      <c r="C260" s="72"/>
      <c r="D260" s="72"/>
      <c r="E260" s="72"/>
      <c r="F260" s="72"/>
      <c r="G260" s="72"/>
      <c r="H260" s="72"/>
      <c r="I260" s="72"/>
      <c r="J260" s="72"/>
      <c r="K260" s="72"/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</row>
    <row r="261" spans="1:26" x14ac:dyDescent="0.5">
      <c r="A261" s="72"/>
      <c r="B261" s="72"/>
      <c r="C261" s="72"/>
      <c r="D261" s="72"/>
      <c r="E261" s="72"/>
      <c r="F261" s="72"/>
      <c r="G261" s="72"/>
      <c r="H261" s="72"/>
      <c r="I261" s="72"/>
      <c r="J261" s="72"/>
      <c r="K261" s="72"/>
      <c r="L261" s="72"/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</row>
    <row r="262" spans="1:26" x14ac:dyDescent="0.5">
      <c r="A262" s="72"/>
      <c r="B262" s="72"/>
      <c r="C262" s="72"/>
      <c r="D262" s="72"/>
      <c r="E262" s="72"/>
      <c r="F262" s="72"/>
      <c r="G262" s="72"/>
      <c r="H262" s="72"/>
      <c r="I262" s="72"/>
      <c r="J262" s="72"/>
      <c r="K262" s="72"/>
      <c r="L262" s="72"/>
      <c r="M262" s="72"/>
      <c r="N262" s="72"/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</row>
    <row r="263" spans="1:26" x14ac:dyDescent="0.5">
      <c r="A263" s="72"/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  <c r="P263" s="72"/>
      <c r="Q263" s="72"/>
      <c r="R263" s="72"/>
      <c r="S263" s="72"/>
      <c r="T263" s="72"/>
      <c r="U263" s="72"/>
      <c r="V263" s="72"/>
      <c r="W263" s="72"/>
      <c r="X263" s="72"/>
      <c r="Y263" s="72"/>
      <c r="Z263" s="72"/>
    </row>
    <row r="264" spans="1:26" x14ac:dyDescent="0.5">
      <c r="A264" s="72"/>
      <c r="B264" s="72"/>
      <c r="C264" s="72"/>
      <c r="D264" s="72"/>
      <c r="E264" s="72"/>
      <c r="F264" s="72"/>
      <c r="G264" s="72"/>
      <c r="H264" s="72"/>
      <c r="I264" s="72"/>
      <c r="J264" s="72"/>
      <c r="K264" s="72"/>
      <c r="L264" s="72"/>
      <c r="M264" s="72"/>
      <c r="N264" s="72"/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</row>
    <row r="265" spans="1:26" x14ac:dyDescent="0.5">
      <c r="A265" s="72"/>
      <c r="B265" s="72"/>
      <c r="C265" s="72"/>
      <c r="D265" s="72"/>
      <c r="E265" s="72"/>
      <c r="F265" s="72"/>
      <c r="G265" s="72"/>
      <c r="H265" s="72"/>
      <c r="I265" s="72"/>
      <c r="J265" s="72"/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</row>
    <row r="266" spans="1:26" x14ac:dyDescent="0.5">
      <c r="A266" s="72"/>
      <c r="B266" s="72"/>
      <c r="C266" s="72"/>
      <c r="D266" s="72"/>
      <c r="E266" s="72"/>
      <c r="F266" s="72"/>
      <c r="G266" s="72"/>
      <c r="H266" s="72"/>
      <c r="I266" s="72"/>
      <c r="J266" s="72"/>
      <c r="K266" s="72"/>
      <c r="L266" s="72"/>
      <c r="M266" s="72"/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</row>
    <row r="267" spans="1:26" x14ac:dyDescent="0.5">
      <c r="A267" s="72"/>
      <c r="B267" s="72"/>
      <c r="C267" s="72"/>
      <c r="D267" s="72"/>
      <c r="E267" s="72"/>
      <c r="F267" s="72"/>
      <c r="G267" s="72"/>
      <c r="H267" s="72"/>
      <c r="I267" s="72"/>
      <c r="J267" s="72"/>
      <c r="K267" s="72"/>
      <c r="L267" s="72"/>
      <c r="M267" s="72"/>
      <c r="N267" s="72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</row>
    <row r="268" spans="1:26" x14ac:dyDescent="0.5">
      <c r="A268" s="72"/>
      <c r="B268" s="72"/>
      <c r="C268" s="72"/>
      <c r="D268" s="72"/>
      <c r="E268" s="72"/>
      <c r="F268" s="72"/>
      <c r="G268" s="72"/>
      <c r="H268" s="72"/>
      <c r="I268" s="72"/>
      <c r="J268" s="72"/>
      <c r="K268" s="72"/>
      <c r="L268" s="72"/>
      <c r="M268" s="72"/>
      <c r="N268" s="72"/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</row>
    <row r="269" spans="1:26" x14ac:dyDescent="0.5">
      <c r="A269" s="72"/>
      <c r="B269" s="72"/>
      <c r="C269" s="72"/>
      <c r="D269" s="72"/>
      <c r="E269" s="72"/>
      <c r="F269" s="72"/>
      <c r="G269" s="72"/>
      <c r="H269" s="72"/>
      <c r="I269" s="72"/>
      <c r="J269" s="72"/>
      <c r="K269" s="72"/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</row>
    <row r="270" spans="1:26" x14ac:dyDescent="0.5">
      <c r="A270" s="72"/>
      <c r="B270" s="72"/>
      <c r="C270" s="72"/>
      <c r="D270" s="72"/>
      <c r="E270" s="72"/>
      <c r="F270" s="72"/>
      <c r="G270" s="72"/>
      <c r="H270" s="72"/>
      <c r="I270" s="72"/>
      <c r="J270" s="72"/>
      <c r="K270" s="72"/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</row>
    <row r="271" spans="1:26" x14ac:dyDescent="0.5">
      <c r="A271" s="72"/>
      <c r="B271" s="72"/>
      <c r="C271" s="72"/>
      <c r="D271" s="72"/>
      <c r="E271" s="72"/>
      <c r="F271" s="72"/>
      <c r="G271" s="72"/>
      <c r="H271" s="72"/>
      <c r="I271" s="72"/>
      <c r="J271" s="72"/>
      <c r="K271" s="72"/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</row>
    <row r="272" spans="1:26" x14ac:dyDescent="0.5">
      <c r="A272" s="72"/>
      <c r="B272" s="72"/>
      <c r="C272" s="72"/>
      <c r="D272" s="72"/>
      <c r="E272" s="72"/>
      <c r="F272" s="72"/>
      <c r="G272" s="72"/>
      <c r="H272" s="72"/>
      <c r="I272" s="72"/>
      <c r="J272" s="72"/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</row>
    <row r="273" spans="1:26" x14ac:dyDescent="0.5">
      <c r="A273" s="72"/>
      <c r="B273" s="72"/>
      <c r="C273" s="72"/>
      <c r="D273" s="72"/>
      <c r="E273" s="72"/>
      <c r="F273" s="72"/>
      <c r="G273" s="72"/>
      <c r="H273" s="72"/>
      <c r="I273" s="72"/>
      <c r="J273" s="72"/>
      <c r="K273" s="72"/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</row>
    <row r="274" spans="1:26" x14ac:dyDescent="0.5">
      <c r="A274" s="72"/>
      <c r="B274" s="72"/>
      <c r="C274" s="72"/>
      <c r="D274" s="72"/>
      <c r="E274" s="72"/>
      <c r="F274" s="72"/>
      <c r="G274" s="72"/>
      <c r="H274" s="72"/>
      <c r="I274" s="72"/>
      <c r="J274" s="72"/>
      <c r="K274" s="72"/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</row>
    <row r="275" spans="1:26" x14ac:dyDescent="0.5">
      <c r="A275" s="72"/>
      <c r="B275" s="72"/>
      <c r="C275" s="72"/>
      <c r="D275" s="72"/>
      <c r="E275" s="72"/>
      <c r="F275" s="72"/>
      <c r="G275" s="72"/>
      <c r="H275" s="72"/>
      <c r="I275" s="72"/>
      <c r="J275" s="72"/>
      <c r="K275" s="72"/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</row>
    <row r="276" spans="1:26" x14ac:dyDescent="0.5">
      <c r="A276" s="72"/>
      <c r="B276" s="72"/>
      <c r="C276" s="72"/>
      <c r="D276" s="72"/>
      <c r="E276" s="72"/>
      <c r="F276" s="72"/>
      <c r="G276" s="72"/>
      <c r="H276" s="72"/>
      <c r="I276" s="72"/>
      <c r="J276" s="72"/>
      <c r="K276" s="72"/>
      <c r="L276" s="72"/>
      <c r="M276" s="72"/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</row>
    <row r="277" spans="1:26" x14ac:dyDescent="0.5">
      <c r="A277" s="72"/>
      <c r="B277" s="72"/>
      <c r="C277" s="72"/>
      <c r="D277" s="72"/>
      <c r="E277" s="72"/>
      <c r="F277" s="72"/>
      <c r="G277" s="72"/>
      <c r="H277" s="72"/>
      <c r="I277" s="72"/>
      <c r="J277" s="72"/>
      <c r="K277" s="72"/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</row>
    <row r="278" spans="1:26" x14ac:dyDescent="0.5">
      <c r="A278" s="72"/>
      <c r="B278" s="72"/>
      <c r="C278" s="72"/>
      <c r="D278" s="72"/>
      <c r="E278" s="72"/>
      <c r="F278" s="72"/>
      <c r="G278" s="72"/>
      <c r="H278" s="72"/>
      <c r="I278" s="72"/>
      <c r="J278" s="72"/>
      <c r="K278" s="72"/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</row>
    <row r="279" spans="1:26" x14ac:dyDescent="0.5">
      <c r="A279" s="72"/>
      <c r="B279" s="72"/>
      <c r="C279" s="72"/>
      <c r="D279" s="72"/>
      <c r="E279" s="72"/>
      <c r="F279" s="72"/>
      <c r="G279" s="72"/>
      <c r="H279" s="72"/>
      <c r="I279" s="72"/>
      <c r="J279" s="72"/>
      <c r="K279" s="72"/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</row>
    <row r="280" spans="1:26" x14ac:dyDescent="0.5">
      <c r="A280" s="72"/>
      <c r="B280" s="72"/>
      <c r="C280" s="72"/>
      <c r="D280" s="72"/>
      <c r="E280" s="72"/>
      <c r="F280" s="72"/>
      <c r="G280" s="72"/>
      <c r="H280" s="72"/>
      <c r="I280" s="72"/>
      <c r="J280" s="72"/>
      <c r="K280" s="72"/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</row>
    <row r="281" spans="1:26" x14ac:dyDescent="0.5">
      <c r="A281" s="72"/>
      <c r="B281" s="72"/>
      <c r="C281" s="72"/>
      <c r="D281" s="72"/>
      <c r="E281" s="72"/>
      <c r="F281" s="72"/>
      <c r="G281" s="72"/>
      <c r="H281" s="72"/>
      <c r="I281" s="72"/>
      <c r="J281" s="72"/>
      <c r="K281" s="72"/>
      <c r="L281" s="72"/>
      <c r="M281" s="72"/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</row>
    <row r="282" spans="1:26" x14ac:dyDescent="0.5">
      <c r="A282" s="72"/>
      <c r="B282" s="72"/>
      <c r="C282" s="72"/>
      <c r="D282" s="72"/>
      <c r="E282" s="72"/>
      <c r="F282" s="72"/>
      <c r="G282" s="72"/>
      <c r="H282" s="72"/>
      <c r="I282" s="72"/>
      <c r="J282" s="72"/>
      <c r="K282" s="72"/>
      <c r="L282" s="72"/>
      <c r="M282" s="72"/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</row>
    <row r="283" spans="1:26" x14ac:dyDescent="0.5">
      <c r="A283" s="72"/>
      <c r="B283" s="72"/>
      <c r="C283" s="72"/>
      <c r="D283" s="72"/>
      <c r="E283" s="72"/>
      <c r="F283" s="72"/>
      <c r="G283" s="72"/>
      <c r="H283" s="72"/>
      <c r="I283" s="72"/>
      <c r="J283" s="72"/>
      <c r="K283" s="72"/>
      <c r="L283" s="72"/>
      <c r="M283" s="72"/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</row>
    <row r="284" spans="1:26" x14ac:dyDescent="0.5">
      <c r="A284" s="72"/>
      <c r="B284" s="72"/>
      <c r="C284" s="72"/>
      <c r="D284" s="72"/>
      <c r="E284" s="72"/>
      <c r="F284" s="72"/>
      <c r="G284" s="72"/>
      <c r="H284" s="72"/>
      <c r="I284" s="72"/>
      <c r="J284" s="72"/>
      <c r="K284" s="72"/>
      <c r="L284" s="72"/>
      <c r="M284" s="72"/>
      <c r="N284" s="72"/>
      <c r="O284" s="72"/>
      <c r="P284" s="72"/>
      <c r="Q284" s="72"/>
      <c r="R284" s="72"/>
      <c r="S284" s="72"/>
      <c r="T284" s="72"/>
      <c r="U284" s="72"/>
      <c r="V284" s="72"/>
      <c r="W284" s="72"/>
      <c r="X284" s="72"/>
      <c r="Y284" s="72"/>
      <c r="Z284" s="72"/>
    </row>
    <row r="285" spans="1:26" x14ac:dyDescent="0.5">
      <c r="A285" s="72"/>
      <c r="B285" s="72"/>
      <c r="C285" s="72"/>
      <c r="D285" s="72"/>
      <c r="E285" s="72"/>
      <c r="F285" s="72"/>
      <c r="G285" s="72"/>
      <c r="H285" s="72"/>
      <c r="I285" s="72"/>
      <c r="J285" s="72"/>
      <c r="K285" s="72"/>
      <c r="L285" s="72"/>
      <c r="M285" s="72"/>
      <c r="N285" s="72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</row>
    <row r="286" spans="1:26" x14ac:dyDescent="0.5">
      <c r="A286" s="72"/>
      <c r="B286" s="72"/>
      <c r="C286" s="72"/>
      <c r="D286" s="72"/>
      <c r="E286" s="72"/>
      <c r="F286" s="72"/>
      <c r="G286" s="72"/>
      <c r="H286" s="72"/>
      <c r="I286" s="72"/>
      <c r="J286" s="72"/>
      <c r="K286" s="72"/>
      <c r="L286" s="72"/>
      <c r="M286" s="72"/>
      <c r="N286" s="72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</row>
    <row r="287" spans="1:26" x14ac:dyDescent="0.5">
      <c r="A287" s="72"/>
      <c r="B287" s="72"/>
      <c r="C287" s="72"/>
      <c r="D287" s="72"/>
      <c r="E287" s="72"/>
      <c r="F287" s="72"/>
      <c r="G287" s="72"/>
      <c r="H287" s="72"/>
      <c r="I287" s="72"/>
      <c r="J287" s="72"/>
      <c r="K287" s="72"/>
      <c r="L287" s="72"/>
      <c r="M287" s="72"/>
      <c r="N287" s="72"/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</row>
    <row r="288" spans="1:26" x14ac:dyDescent="0.5">
      <c r="A288" s="72"/>
      <c r="B288" s="72"/>
      <c r="C288" s="72"/>
      <c r="D288" s="72"/>
      <c r="E288" s="72"/>
      <c r="F288" s="72"/>
      <c r="G288" s="72"/>
      <c r="H288" s="72"/>
      <c r="I288" s="72"/>
      <c r="J288" s="72"/>
      <c r="K288" s="72"/>
      <c r="L288" s="72"/>
      <c r="M288" s="72"/>
      <c r="N288" s="72"/>
      <c r="O288" s="72"/>
      <c r="P288" s="72"/>
      <c r="Q288" s="72"/>
      <c r="R288" s="72"/>
      <c r="S288" s="72"/>
      <c r="T288" s="72"/>
      <c r="U288" s="72"/>
      <c r="V288" s="72"/>
      <c r="W288" s="72"/>
      <c r="X288" s="72"/>
      <c r="Y288" s="72"/>
      <c r="Z288" s="72"/>
    </row>
    <row r="289" spans="1:26" x14ac:dyDescent="0.5">
      <c r="A289" s="72"/>
      <c r="B289" s="72"/>
      <c r="C289" s="72"/>
      <c r="D289" s="72"/>
      <c r="E289" s="72"/>
      <c r="F289" s="72"/>
      <c r="G289" s="72"/>
      <c r="H289" s="72"/>
      <c r="I289" s="72"/>
      <c r="J289" s="72"/>
      <c r="K289" s="72"/>
      <c r="L289" s="72"/>
      <c r="M289" s="72"/>
      <c r="N289" s="72"/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</row>
    <row r="290" spans="1:26" x14ac:dyDescent="0.5">
      <c r="A290" s="72"/>
      <c r="B290" s="72"/>
      <c r="C290" s="72"/>
      <c r="D290" s="72"/>
      <c r="E290" s="72"/>
      <c r="F290" s="72"/>
      <c r="G290" s="72"/>
      <c r="H290" s="72"/>
      <c r="I290" s="72"/>
      <c r="J290" s="72"/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</row>
    <row r="291" spans="1:26" x14ac:dyDescent="0.5">
      <c r="A291" s="72"/>
      <c r="B291" s="72"/>
      <c r="C291" s="72"/>
      <c r="D291" s="72"/>
      <c r="E291" s="72"/>
      <c r="F291" s="72"/>
      <c r="G291" s="72"/>
      <c r="H291" s="72"/>
      <c r="I291" s="72"/>
      <c r="J291" s="72"/>
      <c r="K291" s="72"/>
      <c r="L291" s="72"/>
      <c r="M291" s="72"/>
      <c r="N291" s="72"/>
      <c r="O291" s="72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</row>
    <row r="292" spans="1:26" x14ac:dyDescent="0.5">
      <c r="A292" s="72"/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</row>
    <row r="293" spans="1:26" x14ac:dyDescent="0.5">
      <c r="A293" s="72"/>
      <c r="B293" s="72"/>
      <c r="C293" s="72"/>
      <c r="D293" s="72"/>
      <c r="E293" s="72"/>
      <c r="F293" s="72"/>
      <c r="G293" s="72"/>
      <c r="H293" s="72"/>
      <c r="I293" s="72"/>
      <c r="J293" s="72"/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</row>
    <row r="294" spans="1:26" x14ac:dyDescent="0.5">
      <c r="A294" s="72"/>
      <c r="B294" s="72"/>
      <c r="C294" s="72"/>
      <c r="D294" s="72"/>
      <c r="E294" s="72"/>
      <c r="F294" s="72"/>
      <c r="G294" s="72"/>
      <c r="H294" s="72"/>
      <c r="I294" s="72"/>
      <c r="J294" s="72"/>
      <c r="K294" s="72"/>
      <c r="L294" s="72"/>
      <c r="M294" s="72"/>
      <c r="N294" s="72"/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</row>
    <row r="295" spans="1:26" x14ac:dyDescent="0.5">
      <c r="A295" s="72"/>
      <c r="B295" s="72"/>
      <c r="C295" s="72"/>
      <c r="D295" s="72"/>
      <c r="E295" s="72"/>
      <c r="F295" s="72"/>
      <c r="G295" s="72"/>
      <c r="H295" s="72"/>
      <c r="I295" s="72"/>
      <c r="J295" s="72"/>
      <c r="K295" s="72"/>
      <c r="L295" s="72"/>
      <c r="M295" s="72"/>
      <c r="N295" s="72"/>
      <c r="O295" s="72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</row>
    <row r="296" spans="1:26" x14ac:dyDescent="0.5">
      <c r="A296" s="72"/>
      <c r="B296" s="72"/>
      <c r="C296" s="72"/>
      <c r="D296" s="72"/>
      <c r="E296" s="72"/>
      <c r="F296" s="72"/>
      <c r="G296" s="72"/>
      <c r="H296" s="72"/>
      <c r="I296" s="72"/>
      <c r="J296" s="72"/>
      <c r="K296" s="72"/>
      <c r="L296" s="72"/>
      <c r="M296" s="72"/>
      <c r="N296" s="72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</row>
    <row r="297" spans="1:26" x14ac:dyDescent="0.5">
      <c r="A297" s="72"/>
      <c r="B297" s="72"/>
      <c r="C297" s="72"/>
      <c r="D297" s="72"/>
      <c r="E297" s="72"/>
      <c r="F297" s="72"/>
      <c r="G297" s="72"/>
      <c r="H297" s="72"/>
      <c r="I297" s="72"/>
      <c r="J297" s="72"/>
      <c r="K297" s="72"/>
      <c r="L297" s="72"/>
      <c r="M297" s="72"/>
      <c r="N297" s="72"/>
      <c r="O297" s="72"/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72"/>
    </row>
    <row r="298" spans="1:26" x14ac:dyDescent="0.5">
      <c r="A298" s="72"/>
      <c r="B298" s="72"/>
      <c r="C298" s="72"/>
      <c r="D298" s="72"/>
      <c r="E298" s="72"/>
      <c r="F298" s="72"/>
      <c r="G298" s="72"/>
      <c r="H298" s="72"/>
      <c r="I298" s="72"/>
      <c r="J298" s="72"/>
      <c r="K298" s="72"/>
      <c r="L298" s="72"/>
      <c r="M298" s="72"/>
      <c r="N298" s="72"/>
      <c r="O298" s="72"/>
      <c r="P298" s="72"/>
      <c r="Q298" s="72"/>
      <c r="R298" s="72"/>
      <c r="S298" s="72"/>
      <c r="T298" s="72"/>
      <c r="U298" s="72"/>
      <c r="V298" s="72"/>
      <c r="W298" s="72"/>
      <c r="X298" s="72"/>
      <c r="Y298" s="72"/>
      <c r="Z298" s="72"/>
    </row>
    <row r="299" spans="1:26" x14ac:dyDescent="0.5">
      <c r="A299" s="72"/>
      <c r="B299" s="72"/>
      <c r="C299" s="72"/>
      <c r="D299" s="72"/>
      <c r="E299" s="72"/>
      <c r="F299" s="72"/>
      <c r="G299" s="72"/>
      <c r="H299" s="72"/>
      <c r="I299" s="72"/>
      <c r="J299" s="72"/>
      <c r="K299" s="72"/>
      <c r="L299" s="72"/>
      <c r="M299" s="72"/>
      <c r="N299" s="72"/>
      <c r="O299" s="72"/>
      <c r="P299" s="72"/>
      <c r="Q299" s="72"/>
      <c r="R299" s="72"/>
      <c r="S299" s="72"/>
      <c r="T299" s="72"/>
      <c r="U299" s="72"/>
      <c r="V299" s="72"/>
      <c r="W299" s="72"/>
      <c r="X299" s="72"/>
      <c r="Y299" s="72"/>
      <c r="Z299" s="72"/>
    </row>
    <row r="300" spans="1:26" x14ac:dyDescent="0.5">
      <c r="A300" s="72"/>
      <c r="B300" s="72"/>
      <c r="C300" s="72"/>
      <c r="D300" s="72"/>
      <c r="E300" s="72"/>
      <c r="F300" s="72"/>
      <c r="G300" s="72"/>
      <c r="H300" s="72"/>
      <c r="I300" s="72"/>
      <c r="J300" s="72"/>
      <c r="K300" s="72"/>
      <c r="L300" s="72"/>
      <c r="M300" s="72"/>
      <c r="N300" s="72"/>
      <c r="O300" s="72"/>
      <c r="P300" s="72"/>
      <c r="Q300" s="72"/>
      <c r="R300" s="72"/>
      <c r="S300" s="72"/>
      <c r="T300" s="72"/>
      <c r="U300" s="72"/>
      <c r="V300" s="72"/>
      <c r="W300" s="72"/>
      <c r="X300" s="72"/>
      <c r="Y300" s="72"/>
      <c r="Z300" s="72"/>
    </row>
    <row r="301" spans="1:26" x14ac:dyDescent="0.5">
      <c r="A301" s="72"/>
      <c r="B301" s="72"/>
      <c r="C301" s="72"/>
      <c r="D301" s="72"/>
      <c r="E301" s="72"/>
      <c r="F301" s="72"/>
      <c r="G301" s="72"/>
      <c r="H301" s="72"/>
      <c r="I301" s="72"/>
      <c r="J301" s="72"/>
      <c r="K301" s="72"/>
      <c r="L301" s="72"/>
      <c r="M301" s="72"/>
      <c r="N301" s="72"/>
      <c r="O301" s="72"/>
      <c r="P301" s="72"/>
      <c r="Q301" s="72"/>
      <c r="R301" s="72"/>
      <c r="S301" s="72"/>
      <c r="T301" s="72"/>
      <c r="U301" s="72"/>
      <c r="V301" s="72"/>
      <c r="W301" s="72"/>
      <c r="X301" s="72"/>
      <c r="Y301" s="72"/>
      <c r="Z301" s="72"/>
    </row>
    <row r="302" spans="1:26" x14ac:dyDescent="0.5">
      <c r="A302" s="72"/>
      <c r="B302" s="72"/>
      <c r="C302" s="72"/>
      <c r="D302" s="72"/>
      <c r="E302" s="72"/>
      <c r="F302" s="72"/>
      <c r="G302" s="72"/>
      <c r="H302" s="72"/>
      <c r="I302" s="72"/>
      <c r="J302" s="72"/>
      <c r="K302" s="72"/>
      <c r="L302" s="72"/>
      <c r="M302" s="72"/>
      <c r="N302" s="72"/>
      <c r="O302" s="72"/>
      <c r="P302" s="72"/>
      <c r="Q302" s="72"/>
      <c r="R302" s="72"/>
      <c r="S302" s="72"/>
      <c r="T302" s="72"/>
      <c r="U302" s="72"/>
      <c r="V302" s="72"/>
      <c r="W302" s="72"/>
      <c r="X302" s="72"/>
      <c r="Y302" s="72"/>
      <c r="Z302" s="72"/>
    </row>
    <row r="303" spans="1:26" x14ac:dyDescent="0.5">
      <c r="A303" s="72"/>
      <c r="B303" s="72"/>
      <c r="C303" s="72"/>
      <c r="D303" s="72"/>
      <c r="E303" s="72"/>
      <c r="F303" s="72"/>
      <c r="G303" s="72"/>
      <c r="H303" s="72"/>
      <c r="I303" s="72"/>
      <c r="J303" s="72"/>
      <c r="K303" s="72"/>
      <c r="L303" s="72"/>
      <c r="M303" s="72"/>
      <c r="N303" s="72"/>
      <c r="O303" s="72"/>
      <c r="P303" s="72"/>
      <c r="Q303" s="72"/>
      <c r="R303" s="72"/>
      <c r="S303" s="72"/>
      <c r="T303" s="72"/>
      <c r="U303" s="72"/>
      <c r="V303" s="72"/>
      <c r="W303" s="72"/>
      <c r="X303" s="72"/>
      <c r="Y303" s="72"/>
      <c r="Z303" s="72"/>
    </row>
    <row r="304" spans="1:26" x14ac:dyDescent="0.5">
      <c r="A304" s="72"/>
      <c r="B304" s="72"/>
      <c r="C304" s="72"/>
      <c r="D304" s="72"/>
      <c r="E304" s="72"/>
      <c r="F304" s="72"/>
      <c r="G304" s="72"/>
      <c r="H304" s="72"/>
      <c r="I304" s="72"/>
      <c r="J304" s="72"/>
      <c r="K304" s="72"/>
      <c r="L304" s="72"/>
      <c r="M304" s="72"/>
      <c r="N304" s="72"/>
      <c r="O304" s="72"/>
      <c r="P304" s="72"/>
      <c r="Q304" s="72"/>
      <c r="R304" s="72"/>
      <c r="S304" s="72"/>
      <c r="T304" s="72"/>
      <c r="U304" s="72"/>
      <c r="V304" s="72"/>
      <c r="W304" s="72"/>
      <c r="X304" s="72"/>
      <c r="Y304" s="72"/>
      <c r="Z304" s="72"/>
    </row>
    <row r="305" spans="1:26" x14ac:dyDescent="0.5">
      <c r="A305" s="72"/>
      <c r="B305" s="72"/>
      <c r="C305" s="72"/>
      <c r="D305" s="72"/>
      <c r="E305" s="72"/>
      <c r="F305" s="72"/>
      <c r="G305" s="72"/>
      <c r="H305" s="72"/>
      <c r="I305" s="72"/>
      <c r="J305" s="72"/>
      <c r="K305" s="72"/>
      <c r="L305" s="72"/>
      <c r="M305" s="72"/>
      <c r="N305" s="72"/>
      <c r="O305" s="72"/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72"/>
    </row>
    <row r="306" spans="1:26" x14ac:dyDescent="0.5">
      <c r="A306" s="72"/>
      <c r="B306" s="72"/>
      <c r="C306" s="72"/>
      <c r="D306" s="72"/>
      <c r="E306" s="72"/>
      <c r="F306" s="72"/>
      <c r="G306" s="72"/>
      <c r="H306" s="72"/>
      <c r="I306" s="72"/>
      <c r="J306" s="72"/>
      <c r="K306" s="72"/>
      <c r="L306" s="72"/>
      <c r="M306" s="72"/>
      <c r="N306" s="72"/>
      <c r="O306" s="72"/>
      <c r="P306" s="72"/>
      <c r="Q306" s="72"/>
      <c r="R306" s="72"/>
      <c r="S306" s="72"/>
      <c r="T306" s="72"/>
      <c r="U306" s="72"/>
      <c r="V306" s="72"/>
      <c r="W306" s="72"/>
      <c r="X306" s="72"/>
      <c r="Y306" s="72"/>
      <c r="Z306" s="72"/>
    </row>
    <row r="307" spans="1:26" x14ac:dyDescent="0.5">
      <c r="A307" s="72"/>
      <c r="B307" s="72"/>
      <c r="C307" s="72"/>
      <c r="D307" s="72"/>
      <c r="E307" s="72"/>
      <c r="F307" s="72"/>
      <c r="G307" s="72"/>
      <c r="H307" s="72"/>
      <c r="I307" s="72"/>
      <c r="J307" s="72"/>
      <c r="K307" s="72"/>
      <c r="L307" s="72"/>
      <c r="M307" s="72"/>
      <c r="N307" s="72"/>
      <c r="O307" s="72"/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72"/>
    </row>
    <row r="308" spans="1:26" x14ac:dyDescent="0.5">
      <c r="A308" s="72"/>
      <c r="B308" s="72"/>
      <c r="C308" s="72"/>
      <c r="D308" s="72"/>
      <c r="E308" s="72"/>
      <c r="F308" s="72"/>
      <c r="G308" s="72"/>
      <c r="H308" s="72"/>
      <c r="I308" s="72"/>
      <c r="J308" s="72"/>
      <c r="K308" s="72"/>
      <c r="L308" s="72"/>
      <c r="M308" s="72"/>
      <c r="N308" s="72"/>
      <c r="O308" s="72"/>
      <c r="P308" s="72"/>
      <c r="Q308" s="72"/>
      <c r="R308" s="72"/>
      <c r="S308" s="72"/>
      <c r="T308" s="72"/>
      <c r="U308" s="72"/>
      <c r="V308" s="72"/>
      <c r="W308" s="72"/>
      <c r="X308" s="72"/>
      <c r="Y308" s="72"/>
      <c r="Z308" s="72"/>
    </row>
    <row r="309" spans="1:26" x14ac:dyDescent="0.5">
      <c r="A309" s="72"/>
      <c r="B309" s="72"/>
      <c r="C309" s="72"/>
      <c r="D309" s="72"/>
      <c r="E309" s="72"/>
      <c r="F309" s="72"/>
      <c r="G309" s="72"/>
      <c r="H309" s="72"/>
      <c r="I309" s="72"/>
      <c r="J309" s="72"/>
      <c r="K309" s="72"/>
      <c r="L309" s="72"/>
      <c r="M309" s="72"/>
      <c r="N309" s="72"/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</row>
    <row r="310" spans="1:26" x14ac:dyDescent="0.5">
      <c r="A310" s="72"/>
      <c r="B310" s="72"/>
      <c r="C310" s="72"/>
      <c r="D310" s="72"/>
      <c r="E310" s="72"/>
      <c r="F310" s="72"/>
      <c r="G310" s="72"/>
      <c r="H310" s="72"/>
      <c r="I310" s="72"/>
      <c r="J310" s="72"/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</row>
    <row r="311" spans="1:26" x14ac:dyDescent="0.5">
      <c r="A311" s="72"/>
      <c r="B311" s="72"/>
      <c r="C311" s="72"/>
      <c r="D311" s="72"/>
      <c r="E311" s="72"/>
      <c r="F311" s="72"/>
      <c r="G311" s="72"/>
      <c r="H311" s="72"/>
      <c r="I311" s="72"/>
      <c r="J311" s="72"/>
      <c r="K311" s="72"/>
      <c r="L311" s="72"/>
      <c r="M311" s="72"/>
      <c r="N311" s="72"/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</row>
    <row r="312" spans="1:26" x14ac:dyDescent="0.5">
      <c r="A312" s="72"/>
      <c r="B312" s="72"/>
      <c r="C312" s="72"/>
      <c r="D312" s="72"/>
      <c r="E312" s="72"/>
      <c r="F312" s="72"/>
      <c r="G312" s="72"/>
      <c r="H312" s="72"/>
      <c r="I312" s="72"/>
      <c r="J312" s="72"/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</row>
    <row r="313" spans="1:26" x14ac:dyDescent="0.5">
      <c r="A313" s="72"/>
      <c r="B313" s="72"/>
      <c r="C313" s="72"/>
      <c r="D313" s="72"/>
      <c r="E313" s="72"/>
      <c r="F313" s="72"/>
      <c r="G313" s="72"/>
      <c r="H313" s="72"/>
      <c r="I313" s="72"/>
      <c r="J313" s="72"/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</row>
    <row r="314" spans="1:26" x14ac:dyDescent="0.5">
      <c r="A314" s="72"/>
      <c r="B314" s="72"/>
      <c r="C314" s="72"/>
      <c r="D314" s="72"/>
      <c r="E314" s="72"/>
      <c r="F314" s="72"/>
      <c r="G314" s="72"/>
      <c r="H314" s="72"/>
      <c r="I314" s="72"/>
      <c r="J314" s="72"/>
      <c r="K314" s="72"/>
      <c r="L314" s="72"/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</row>
    <row r="315" spans="1:26" x14ac:dyDescent="0.5">
      <c r="A315" s="72"/>
      <c r="B315" s="72"/>
      <c r="C315" s="72"/>
      <c r="D315" s="72"/>
      <c r="E315" s="72"/>
      <c r="F315" s="72"/>
      <c r="G315" s="72"/>
      <c r="H315" s="72"/>
      <c r="I315" s="72"/>
      <c r="J315" s="72"/>
      <c r="K315" s="72"/>
      <c r="L315" s="72"/>
      <c r="M315" s="72"/>
      <c r="N315" s="72"/>
      <c r="O315" s="72"/>
      <c r="P315" s="72"/>
      <c r="Q315" s="72"/>
      <c r="R315" s="72"/>
      <c r="S315" s="72"/>
      <c r="T315" s="72"/>
      <c r="U315" s="72"/>
      <c r="V315" s="72"/>
      <c r="W315" s="72"/>
      <c r="X315" s="72"/>
      <c r="Y315" s="72"/>
      <c r="Z315" s="72"/>
    </row>
    <row r="316" spans="1:26" x14ac:dyDescent="0.5">
      <c r="A316" s="72"/>
      <c r="B316" s="72"/>
      <c r="C316" s="72"/>
      <c r="D316" s="72"/>
      <c r="E316" s="72"/>
      <c r="F316" s="72"/>
      <c r="G316" s="72"/>
      <c r="H316" s="72"/>
      <c r="I316" s="72"/>
      <c r="J316" s="72"/>
      <c r="K316" s="72"/>
      <c r="L316" s="72"/>
      <c r="M316" s="72"/>
      <c r="N316" s="72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</row>
    <row r="317" spans="1:26" x14ac:dyDescent="0.5">
      <c r="A317" s="72"/>
      <c r="B317" s="72"/>
      <c r="C317" s="72"/>
      <c r="D317" s="72"/>
      <c r="E317" s="72"/>
      <c r="F317" s="72"/>
      <c r="G317" s="72"/>
      <c r="H317" s="72"/>
      <c r="I317" s="72"/>
      <c r="J317" s="72"/>
      <c r="K317" s="72"/>
      <c r="L317" s="72"/>
      <c r="M317" s="72"/>
      <c r="N317" s="72"/>
      <c r="O317" s="72"/>
      <c r="P317" s="72"/>
      <c r="Q317" s="72"/>
      <c r="R317" s="72"/>
      <c r="S317" s="72"/>
      <c r="T317" s="72"/>
      <c r="U317" s="72"/>
      <c r="V317" s="72"/>
      <c r="W317" s="72"/>
      <c r="X317" s="72"/>
      <c r="Y317" s="72"/>
      <c r="Z317" s="72"/>
    </row>
    <row r="318" spans="1:26" x14ac:dyDescent="0.5">
      <c r="A318" s="72"/>
      <c r="B318" s="72"/>
      <c r="C318" s="72"/>
      <c r="D318" s="72"/>
      <c r="E318" s="72"/>
      <c r="F318" s="72"/>
      <c r="G318" s="72"/>
      <c r="H318" s="72"/>
      <c r="I318" s="72"/>
      <c r="J318" s="72"/>
      <c r="K318" s="72"/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</row>
    <row r="319" spans="1:26" x14ac:dyDescent="0.5">
      <c r="A319" s="72"/>
      <c r="B319" s="72"/>
      <c r="C319" s="72"/>
      <c r="D319" s="72"/>
      <c r="E319" s="72"/>
      <c r="F319" s="72"/>
      <c r="G319" s="72"/>
      <c r="H319" s="72"/>
      <c r="I319" s="72"/>
      <c r="J319" s="72"/>
      <c r="K319" s="72"/>
      <c r="L319" s="72"/>
      <c r="M319" s="72"/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</row>
    <row r="320" spans="1:26" x14ac:dyDescent="0.5">
      <c r="A320" s="72"/>
      <c r="B320" s="72"/>
      <c r="C320" s="72"/>
      <c r="D320" s="72"/>
      <c r="E320" s="72"/>
      <c r="F320" s="72"/>
      <c r="G320" s="72"/>
      <c r="H320" s="72"/>
      <c r="I320" s="72"/>
      <c r="J320" s="72"/>
      <c r="K320" s="72"/>
      <c r="L320" s="72"/>
      <c r="M320" s="72"/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</row>
    <row r="321" spans="1:26" x14ac:dyDescent="0.5">
      <c r="A321" s="72"/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</row>
    <row r="322" spans="1:26" x14ac:dyDescent="0.5">
      <c r="A322" s="72"/>
      <c r="B322" s="72"/>
      <c r="C322" s="72"/>
      <c r="D322" s="72"/>
      <c r="E322" s="72"/>
      <c r="F322" s="72"/>
      <c r="G322" s="72"/>
      <c r="H322" s="72"/>
      <c r="I322" s="72"/>
      <c r="J322" s="72"/>
      <c r="K322" s="72"/>
      <c r="L322" s="72"/>
      <c r="M322" s="72"/>
      <c r="N322" s="72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</row>
    <row r="323" spans="1:26" x14ac:dyDescent="0.5">
      <c r="A323" s="72"/>
      <c r="B323" s="72"/>
      <c r="C323" s="72"/>
      <c r="D323" s="72"/>
      <c r="E323" s="72"/>
      <c r="F323" s="72"/>
      <c r="G323" s="72"/>
      <c r="H323" s="72"/>
      <c r="I323" s="72"/>
      <c r="J323" s="72"/>
      <c r="K323" s="72"/>
      <c r="L323" s="72"/>
      <c r="M323" s="72"/>
      <c r="N323" s="72"/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</row>
    <row r="324" spans="1:26" x14ac:dyDescent="0.5">
      <c r="A324" s="72"/>
      <c r="B324" s="72"/>
      <c r="C324" s="72"/>
      <c r="D324" s="72"/>
      <c r="E324" s="72"/>
      <c r="F324" s="72"/>
      <c r="G324" s="72"/>
      <c r="H324" s="72"/>
      <c r="I324" s="72"/>
      <c r="J324" s="72"/>
      <c r="K324" s="72"/>
      <c r="L324" s="72"/>
      <c r="M324" s="72"/>
      <c r="N324" s="72"/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</row>
    <row r="325" spans="1:26" x14ac:dyDescent="0.5">
      <c r="A325" s="72"/>
      <c r="B325" s="72"/>
      <c r="C325" s="72"/>
      <c r="D325" s="72"/>
      <c r="E325" s="72"/>
      <c r="F325" s="72"/>
      <c r="G325" s="72"/>
      <c r="H325" s="72"/>
      <c r="I325" s="72"/>
      <c r="J325" s="72"/>
      <c r="K325" s="72"/>
      <c r="L325" s="72"/>
      <c r="M325" s="72"/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</row>
    <row r="326" spans="1:26" x14ac:dyDescent="0.5">
      <c r="A326" s="72"/>
      <c r="B326" s="72"/>
      <c r="C326" s="72"/>
      <c r="D326" s="72"/>
      <c r="E326" s="72"/>
      <c r="F326" s="72"/>
      <c r="G326" s="72"/>
      <c r="H326" s="72"/>
      <c r="I326" s="72"/>
      <c r="J326" s="72"/>
      <c r="K326" s="72"/>
      <c r="L326" s="72"/>
      <c r="M326" s="72"/>
      <c r="N326" s="72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</row>
    <row r="327" spans="1:26" x14ac:dyDescent="0.5">
      <c r="A327" s="72"/>
      <c r="B327" s="72"/>
      <c r="C327" s="72"/>
      <c r="D327" s="72"/>
      <c r="E327" s="72"/>
      <c r="F327" s="72"/>
      <c r="G327" s="72"/>
      <c r="H327" s="72"/>
      <c r="I327" s="72"/>
      <c r="J327" s="72"/>
      <c r="K327" s="72"/>
      <c r="L327" s="72"/>
      <c r="M327" s="72"/>
      <c r="N327" s="72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</row>
    <row r="328" spans="1:26" x14ac:dyDescent="0.5">
      <c r="A328" s="72"/>
      <c r="B328" s="72"/>
      <c r="C328" s="72"/>
      <c r="D328" s="72"/>
      <c r="E328" s="72"/>
      <c r="F328" s="72"/>
      <c r="G328" s="72"/>
      <c r="H328" s="72"/>
      <c r="I328" s="72"/>
      <c r="J328" s="72"/>
      <c r="K328" s="72"/>
      <c r="L328" s="72"/>
      <c r="M328" s="72"/>
      <c r="N328" s="72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</row>
    <row r="329" spans="1:26" x14ac:dyDescent="0.5">
      <c r="A329" s="72"/>
      <c r="B329" s="72"/>
      <c r="C329" s="72"/>
      <c r="D329" s="72"/>
      <c r="E329" s="72"/>
      <c r="F329" s="72"/>
      <c r="G329" s="72"/>
      <c r="H329" s="72"/>
      <c r="I329" s="72"/>
      <c r="J329" s="72"/>
      <c r="K329" s="72"/>
      <c r="L329" s="72"/>
      <c r="M329" s="72"/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</row>
    <row r="330" spans="1:26" x14ac:dyDescent="0.5">
      <c r="A330" s="72"/>
      <c r="B330" s="72"/>
      <c r="C330" s="72"/>
      <c r="D330" s="72"/>
      <c r="E330" s="72"/>
      <c r="F330" s="72"/>
      <c r="G330" s="72"/>
      <c r="H330" s="72"/>
      <c r="I330" s="72"/>
      <c r="J330" s="72"/>
      <c r="K330" s="72"/>
      <c r="L330" s="72"/>
      <c r="M330" s="72"/>
      <c r="N330" s="72"/>
      <c r="O330" s="72"/>
      <c r="P330" s="72"/>
      <c r="Q330" s="72"/>
      <c r="R330" s="72"/>
      <c r="S330" s="72"/>
      <c r="T330" s="72"/>
      <c r="U330" s="72"/>
      <c r="V330" s="72"/>
      <c r="W330" s="72"/>
      <c r="X330" s="72"/>
      <c r="Y330" s="72"/>
      <c r="Z330" s="72"/>
    </row>
    <row r="331" spans="1:26" x14ac:dyDescent="0.5">
      <c r="A331" s="72"/>
      <c r="B331" s="72"/>
      <c r="C331" s="72"/>
      <c r="D331" s="72"/>
      <c r="E331" s="72"/>
      <c r="F331" s="72"/>
      <c r="G331" s="72"/>
      <c r="H331" s="72"/>
      <c r="I331" s="72"/>
      <c r="J331" s="72"/>
      <c r="K331" s="72"/>
      <c r="L331" s="72"/>
      <c r="M331" s="72"/>
      <c r="N331" s="72"/>
      <c r="O331" s="72"/>
      <c r="P331" s="72"/>
      <c r="Q331" s="72"/>
      <c r="R331" s="72"/>
      <c r="S331" s="72"/>
      <c r="T331" s="72"/>
      <c r="U331" s="72"/>
      <c r="V331" s="72"/>
      <c r="W331" s="72"/>
      <c r="X331" s="72"/>
      <c r="Y331" s="72"/>
      <c r="Z331" s="72"/>
    </row>
    <row r="332" spans="1:26" x14ac:dyDescent="0.5">
      <c r="A332" s="72"/>
      <c r="B332" s="72"/>
      <c r="C332" s="72"/>
      <c r="D332" s="72"/>
      <c r="E332" s="72"/>
      <c r="F332" s="72"/>
      <c r="G332" s="72"/>
      <c r="H332" s="72"/>
      <c r="I332" s="72"/>
      <c r="J332" s="72"/>
      <c r="K332" s="72"/>
      <c r="L332" s="72"/>
      <c r="M332" s="72"/>
      <c r="N332" s="72"/>
      <c r="O332" s="72"/>
      <c r="P332" s="72"/>
      <c r="Q332" s="72"/>
      <c r="R332" s="72"/>
      <c r="S332" s="72"/>
      <c r="T332" s="72"/>
      <c r="U332" s="72"/>
      <c r="V332" s="72"/>
      <c r="W332" s="72"/>
      <c r="X332" s="72"/>
      <c r="Y332" s="72"/>
      <c r="Z332" s="72"/>
    </row>
    <row r="333" spans="1:26" x14ac:dyDescent="0.5">
      <c r="A333" s="72"/>
      <c r="B333" s="72"/>
      <c r="C333" s="72"/>
      <c r="D333" s="72"/>
      <c r="E333" s="72"/>
      <c r="F333" s="72"/>
      <c r="G333" s="72"/>
      <c r="H333" s="72"/>
      <c r="I333" s="72"/>
      <c r="J333" s="72"/>
      <c r="K333" s="72"/>
      <c r="L333" s="72"/>
      <c r="M333" s="72"/>
      <c r="N333" s="72"/>
      <c r="O333" s="72"/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</row>
    <row r="334" spans="1:26" x14ac:dyDescent="0.5">
      <c r="A334" s="72"/>
      <c r="B334" s="72"/>
      <c r="C334" s="72"/>
      <c r="D334" s="72"/>
      <c r="E334" s="72"/>
      <c r="F334" s="72"/>
      <c r="G334" s="72"/>
      <c r="H334" s="72"/>
      <c r="I334" s="72"/>
      <c r="J334" s="72"/>
      <c r="K334" s="72"/>
      <c r="L334" s="72"/>
      <c r="M334" s="72"/>
      <c r="N334" s="72"/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</row>
    <row r="335" spans="1:26" x14ac:dyDescent="0.5">
      <c r="A335" s="72"/>
      <c r="B335" s="72"/>
      <c r="C335" s="72"/>
      <c r="D335" s="72"/>
      <c r="E335" s="72"/>
      <c r="F335" s="72"/>
      <c r="G335" s="72"/>
      <c r="H335" s="72"/>
      <c r="I335" s="72"/>
      <c r="J335" s="72"/>
      <c r="K335" s="72"/>
      <c r="L335" s="72"/>
      <c r="M335" s="72"/>
      <c r="N335" s="72"/>
      <c r="O335" s="72"/>
      <c r="P335" s="72"/>
      <c r="Q335" s="72"/>
      <c r="R335" s="72"/>
      <c r="S335" s="72"/>
      <c r="T335" s="72"/>
      <c r="U335" s="72"/>
      <c r="V335" s="72"/>
      <c r="W335" s="72"/>
      <c r="X335" s="72"/>
      <c r="Y335" s="72"/>
      <c r="Z335" s="72"/>
    </row>
    <row r="336" spans="1:26" x14ac:dyDescent="0.5">
      <c r="A336" s="72"/>
      <c r="B336" s="72"/>
      <c r="C336" s="72"/>
      <c r="D336" s="72"/>
      <c r="E336" s="72"/>
      <c r="F336" s="72"/>
      <c r="G336" s="72"/>
      <c r="H336" s="72"/>
      <c r="I336" s="72"/>
      <c r="J336" s="72"/>
      <c r="K336" s="72"/>
      <c r="L336" s="72"/>
      <c r="M336" s="72"/>
      <c r="N336" s="72"/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</row>
    <row r="337" spans="1:26" x14ac:dyDescent="0.5">
      <c r="A337" s="72"/>
      <c r="B337" s="72"/>
      <c r="C337" s="72"/>
      <c r="D337" s="72"/>
      <c r="E337" s="72"/>
      <c r="F337" s="72"/>
      <c r="G337" s="72"/>
      <c r="H337" s="72"/>
      <c r="I337" s="72"/>
      <c r="J337" s="72"/>
      <c r="K337" s="72"/>
      <c r="L337" s="72"/>
      <c r="M337" s="72"/>
      <c r="N337" s="72"/>
      <c r="O337" s="72"/>
      <c r="P337" s="72"/>
      <c r="Q337" s="72"/>
      <c r="R337" s="72"/>
      <c r="S337" s="72"/>
      <c r="T337" s="72"/>
      <c r="U337" s="72"/>
      <c r="V337" s="72"/>
      <c r="W337" s="72"/>
      <c r="X337" s="72"/>
      <c r="Y337" s="72"/>
      <c r="Z337" s="72"/>
    </row>
    <row r="338" spans="1:26" x14ac:dyDescent="0.5">
      <c r="A338" s="72"/>
      <c r="B338" s="72"/>
      <c r="C338" s="72"/>
      <c r="D338" s="72"/>
      <c r="E338" s="72"/>
      <c r="F338" s="72"/>
      <c r="G338" s="72"/>
      <c r="H338" s="72"/>
      <c r="I338" s="72"/>
      <c r="J338" s="72"/>
      <c r="K338" s="72"/>
      <c r="L338" s="72"/>
      <c r="M338" s="72"/>
      <c r="N338" s="72"/>
      <c r="O338" s="72"/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72"/>
    </row>
    <row r="339" spans="1:26" x14ac:dyDescent="0.5">
      <c r="A339" s="72"/>
      <c r="B339" s="72"/>
      <c r="C339" s="72"/>
      <c r="D339" s="72"/>
      <c r="E339" s="72"/>
      <c r="F339" s="72"/>
      <c r="G339" s="72"/>
      <c r="H339" s="72"/>
      <c r="I339" s="72"/>
      <c r="J339" s="72"/>
      <c r="K339" s="72"/>
      <c r="L339" s="72"/>
      <c r="M339" s="72"/>
      <c r="N339" s="72"/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</row>
    <row r="340" spans="1:26" x14ac:dyDescent="0.5">
      <c r="A340" s="72"/>
      <c r="B340" s="72"/>
      <c r="C340" s="72"/>
      <c r="D340" s="72"/>
      <c r="E340" s="72"/>
      <c r="F340" s="72"/>
      <c r="G340" s="72"/>
      <c r="H340" s="72"/>
      <c r="I340" s="72"/>
      <c r="J340" s="72"/>
      <c r="K340" s="72"/>
      <c r="L340" s="72"/>
      <c r="M340" s="72"/>
      <c r="N340" s="72"/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</row>
    <row r="341" spans="1:26" x14ac:dyDescent="0.5">
      <c r="A341" s="72"/>
      <c r="B341" s="72"/>
      <c r="C341" s="72"/>
      <c r="D341" s="72"/>
      <c r="E341" s="72"/>
      <c r="F341" s="72"/>
      <c r="G341" s="72"/>
      <c r="H341" s="72"/>
      <c r="I341" s="72"/>
      <c r="J341" s="72"/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</row>
    <row r="342" spans="1:26" x14ac:dyDescent="0.5">
      <c r="A342" s="72"/>
      <c r="B342" s="72"/>
      <c r="C342" s="72"/>
      <c r="D342" s="72"/>
      <c r="E342" s="72"/>
      <c r="F342" s="72"/>
      <c r="G342" s="72"/>
      <c r="H342" s="72"/>
      <c r="I342" s="72"/>
      <c r="J342" s="72"/>
      <c r="K342" s="72"/>
      <c r="L342" s="72"/>
      <c r="M342" s="72"/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</row>
    <row r="343" spans="1:26" x14ac:dyDescent="0.5">
      <c r="A343" s="72"/>
      <c r="B343" s="72"/>
      <c r="C343" s="72"/>
      <c r="D343" s="72"/>
      <c r="E343" s="72"/>
      <c r="F343" s="72"/>
      <c r="G343" s="72"/>
      <c r="H343" s="72"/>
      <c r="I343" s="72"/>
      <c r="J343" s="72"/>
      <c r="K343" s="72"/>
      <c r="L343" s="72"/>
      <c r="M343" s="72"/>
      <c r="N343" s="72"/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</row>
    <row r="344" spans="1:26" x14ac:dyDescent="0.5">
      <c r="A344" s="72"/>
      <c r="B344" s="72"/>
      <c r="C344" s="72"/>
      <c r="D344" s="72"/>
      <c r="E344" s="72"/>
      <c r="F344" s="72"/>
      <c r="G344" s="72"/>
      <c r="H344" s="72"/>
      <c r="I344" s="72"/>
      <c r="J344" s="72"/>
      <c r="K344" s="72"/>
      <c r="L344" s="72"/>
      <c r="M344" s="72"/>
      <c r="N344" s="72"/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</row>
    <row r="345" spans="1:26" x14ac:dyDescent="0.5">
      <c r="A345" s="72"/>
      <c r="B345" s="72"/>
      <c r="C345" s="72"/>
      <c r="D345" s="72"/>
      <c r="E345" s="72"/>
      <c r="F345" s="72"/>
      <c r="G345" s="72"/>
      <c r="H345" s="72"/>
      <c r="I345" s="72"/>
      <c r="J345" s="72"/>
      <c r="K345" s="72"/>
      <c r="L345" s="72"/>
      <c r="M345" s="72"/>
      <c r="N345" s="72"/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</row>
    <row r="346" spans="1:26" x14ac:dyDescent="0.5">
      <c r="A346" s="72"/>
      <c r="B346" s="72"/>
      <c r="C346" s="72"/>
      <c r="D346" s="72"/>
      <c r="E346" s="72"/>
      <c r="F346" s="72"/>
      <c r="G346" s="72"/>
      <c r="H346" s="72"/>
      <c r="I346" s="72"/>
      <c r="J346" s="72"/>
      <c r="K346" s="72"/>
      <c r="L346" s="72"/>
      <c r="M346" s="72"/>
      <c r="N346" s="72"/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</row>
    <row r="347" spans="1:26" x14ac:dyDescent="0.5">
      <c r="A347" s="72"/>
      <c r="B347" s="72"/>
      <c r="C347" s="72"/>
      <c r="D347" s="72"/>
      <c r="E347" s="72"/>
      <c r="F347" s="72"/>
      <c r="G347" s="72"/>
      <c r="H347" s="72"/>
      <c r="I347" s="72"/>
      <c r="J347" s="72"/>
      <c r="K347" s="72"/>
      <c r="L347" s="72"/>
      <c r="M347" s="72"/>
      <c r="N347" s="72"/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</row>
    <row r="348" spans="1:26" x14ac:dyDescent="0.5">
      <c r="A348" s="72"/>
      <c r="B348" s="72"/>
      <c r="C348" s="72"/>
      <c r="D348" s="72"/>
      <c r="E348" s="72"/>
      <c r="F348" s="72"/>
      <c r="G348" s="72"/>
      <c r="H348" s="72"/>
      <c r="I348" s="72"/>
      <c r="J348" s="72"/>
      <c r="K348" s="72"/>
      <c r="L348" s="72"/>
      <c r="M348" s="72"/>
      <c r="N348" s="72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</row>
    <row r="349" spans="1:26" x14ac:dyDescent="0.5">
      <c r="A349" s="72"/>
      <c r="B349" s="72"/>
      <c r="C349" s="72"/>
      <c r="D349" s="72"/>
      <c r="E349" s="72"/>
      <c r="F349" s="72"/>
      <c r="G349" s="72"/>
      <c r="H349" s="72"/>
      <c r="I349" s="72"/>
      <c r="J349" s="72"/>
      <c r="K349" s="72"/>
      <c r="L349" s="72"/>
      <c r="M349" s="72"/>
      <c r="N349" s="72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</row>
    <row r="350" spans="1:26" x14ac:dyDescent="0.5">
      <c r="A350" s="72"/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  <c r="P350" s="72"/>
      <c r="Q350" s="72"/>
      <c r="R350" s="72"/>
      <c r="S350" s="72"/>
      <c r="T350" s="72"/>
      <c r="U350" s="72"/>
      <c r="V350" s="72"/>
      <c r="W350" s="72"/>
      <c r="X350" s="72"/>
      <c r="Y350" s="72"/>
      <c r="Z350" s="72"/>
    </row>
    <row r="351" spans="1:26" x14ac:dyDescent="0.5">
      <c r="A351" s="72"/>
      <c r="B351" s="72"/>
      <c r="C351" s="72"/>
      <c r="D351" s="72"/>
      <c r="E351" s="72"/>
      <c r="F351" s="72"/>
      <c r="G351" s="72"/>
      <c r="H351" s="72"/>
      <c r="I351" s="72"/>
      <c r="J351" s="72"/>
      <c r="K351" s="72"/>
      <c r="L351" s="72"/>
      <c r="M351" s="72"/>
      <c r="N351" s="72"/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</row>
    <row r="352" spans="1:26" x14ac:dyDescent="0.5">
      <c r="A352" s="72"/>
      <c r="B352" s="72"/>
      <c r="C352" s="72"/>
      <c r="D352" s="72"/>
      <c r="E352" s="72"/>
      <c r="F352" s="72"/>
      <c r="G352" s="72"/>
      <c r="H352" s="72"/>
      <c r="I352" s="72"/>
      <c r="J352" s="72"/>
      <c r="K352" s="72"/>
      <c r="L352" s="72"/>
      <c r="M352" s="72"/>
      <c r="N352" s="72"/>
      <c r="O352" s="72"/>
      <c r="P352" s="72"/>
      <c r="Q352" s="72"/>
      <c r="R352" s="72"/>
      <c r="S352" s="72"/>
      <c r="T352" s="72"/>
      <c r="U352" s="72"/>
      <c r="V352" s="72"/>
      <c r="W352" s="72"/>
      <c r="X352" s="72"/>
      <c r="Y352" s="72"/>
      <c r="Z352" s="72"/>
    </row>
    <row r="353" spans="1:26" x14ac:dyDescent="0.5">
      <c r="A353" s="72"/>
      <c r="B353" s="72"/>
      <c r="C353" s="72"/>
      <c r="D353" s="72"/>
      <c r="E353" s="72"/>
      <c r="F353" s="72"/>
      <c r="G353" s="72"/>
      <c r="H353" s="72"/>
      <c r="I353" s="72"/>
      <c r="J353" s="72"/>
      <c r="K353" s="72"/>
      <c r="L353" s="72"/>
      <c r="M353" s="72"/>
      <c r="N353" s="72"/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</row>
    <row r="354" spans="1:26" x14ac:dyDescent="0.5">
      <c r="A354" s="72"/>
      <c r="B354" s="72"/>
      <c r="C354" s="72"/>
      <c r="D354" s="72"/>
      <c r="E354" s="72"/>
      <c r="F354" s="72"/>
      <c r="G354" s="72"/>
      <c r="H354" s="72"/>
      <c r="I354" s="72"/>
      <c r="J354" s="72"/>
      <c r="K354" s="72"/>
      <c r="L354" s="72"/>
      <c r="M354" s="72"/>
      <c r="N354" s="72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</row>
    <row r="355" spans="1:26" x14ac:dyDescent="0.5">
      <c r="A355" s="72"/>
      <c r="B355" s="72"/>
      <c r="C355" s="72"/>
      <c r="D355" s="72"/>
      <c r="E355" s="72"/>
      <c r="F355" s="72"/>
      <c r="G355" s="72"/>
      <c r="H355" s="72"/>
      <c r="I355" s="72"/>
      <c r="J355" s="72"/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</row>
    <row r="356" spans="1:26" x14ac:dyDescent="0.5">
      <c r="A356" s="72"/>
      <c r="B356" s="72"/>
      <c r="C356" s="72"/>
      <c r="D356" s="72"/>
      <c r="E356" s="72"/>
      <c r="F356" s="72"/>
      <c r="G356" s="72"/>
      <c r="H356" s="72"/>
      <c r="I356" s="72"/>
      <c r="J356" s="72"/>
      <c r="K356" s="72"/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</row>
    <row r="357" spans="1:26" x14ac:dyDescent="0.5">
      <c r="A357" s="72"/>
      <c r="B357" s="72"/>
      <c r="C357" s="72"/>
      <c r="D357" s="72"/>
      <c r="E357" s="72"/>
      <c r="F357" s="72"/>
      <c r="G357" s="72"/>
      <c r="H357" s="72"/>
      <c r="I357" s="72"/>
      <c r="J357" s="72"/>
      <c r="K357" s="72"/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</row>
    <row r="358" spans="1:26" x14ac:dyDescent="0.5">
      <c r="A358" s="72"/>
      <c r="B358" s="72"/>
      <c r="C358" s="72"/>
      <c r="D358" s="72"/>
      <c r="E358" s="72"/>
      <c r="F358" s="72"/>
      <c r="G358" s="72"/>
      <c r="H358" s="72"/>
      <c r="I358" s="72"/>
      <c r="J358" s="72"/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</row>
    <row r="359" spans="1:26" x14ac:dyDescent="0.5">
      <c r="A359" s="72"/>
      <c r="B359" s="72"/>
      <c r="C359" s="72"/>
      <c r="D359" s="72"/>
      <c r="E359" s="72"/>
      <c r="F359" s="72"/>
      <c r="G359" s="72"/>
      <c r="H359" s="72"/>
      <c r="I359" s="72"/>
      <c r="J359" s="72"/>
      <c r="K359" s="72"/>
      <c r="L359" s="72"/>
      <c r="M359" s="72"/>
      <c r="N359" s="72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</row>
    <row r="360" spans="1:26" x14ac:dyDescent="0.5">
      <c r="A360" s="72"/>
      <c r="B360" s="72"/>
      <c r="C360" s="72"/>
      <c r="D360" s="72"/>
      <c r="E360" s="72"/>
      <c r="F360" s="72"/>
      <c r="G360" s="72"/>
      <c r="H360" s="72"/>
      <c r="I360" s="72"/>
      <c r="J360" s="72"/>
      <c r="K360" s="72"/>
      <c r="L360" s="72"/>
      <c r="M360" s="72"/>
      <c r="N360" s="72"/>
      <c r="O360" s="72"/>
      <c r="P360" s="72"/>
      <c r="Q360" s="72"/>
      <c r="R360" s="72"/>
      <c r="S360" s="72"/>
      <c r="T360" s="72"/>
      <c r="U360" s="72"/>
      <c r="V360" s="72"/>
      <c r="W360" s="72"/>
      <c r="X360" s="72"/>
      <c r="Y360" s="72"/>
      <c r="Z360" s="72"/>
    </row>
    <row r="361" spans="1:26" x14ac:dyDescent="0.5">
      <c r="A361" s="72"/>
      <c r="B361" s="72"/>
      <c r="C361" s="72"/>
      <c r="D361" s="72"/>
      <c r="E361" s="72"/>
      <c r="F361" s="72"/>
      <c r="G361" s="72"/>
      <c r="H361" s="72"/>
      <c r="I361" s="72"/>
      <c r="J361" s="72"/>
      <c r="K361" s="72"/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</row>
    <row r="362" spans="1:26" x14ac:dyDescent="0.5">
      <c r="A362" s="72"/>
      <c r="B362" s="72"/>
      <c r="C362" s="72"/>
      <c r="D362" s="72"/>
      <c r="E362" s="72"/>
      <c r="F362" s="72"/>
      <c r="G362" s="72"/>
      <c r="H362" s="72"/>
      <c r="I362" s="72"/>
      <c r="J362" s="72"/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</row>
    <row r="363" spans="1:26" x14ac:dyDescent="0.5">
      <c r="A363" s="72"/>
      <c r="B363" s="72"/>
      <c r="C363" s="72"/>
      <c r="D363" s="72"/>
      <c r="E363" s="72"/>
      <c r="F363" s="72"/>
      <c r="G363" s="72"/>
      <c r="H363" s="72"/>
      <c r="I363" s="72"/>
      <c r="J363" s="72"/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</row>
    <row r="364" spans="1:26" x14ac:dyDescent="0.5">
      <c r="A364" s="72"/>
      <c r="B364" s="72"/>
      <c r="C364" s="72"/>
      <c r="D364" s="72"/>
      <c r="E364" s="72"/>
      <c r="F364" s="72"/>
      <c r="G364" s="72"/>
      <c r="H364" s="72"/>
      <c r="I364" s="72"/>
      <c r="J364" s="72"/>
      <c r="K364" s="72"/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</row>
    <row r="365" spans="1:26" x14ac:dyDescent="0.5">
      <c r="A365" s="72"/>
      <c r="B365" s="72"/>
      <c r="C365" s="72"/>
      <c r="D365" s="72"/>
      <c r="E365" s="72"/>
      <c r="F365" s="72"/>
      <c r="G365" s="72"/>
      <c r="H365" s="72"/>
      <c r="I365" s="72"/>
      <c r="J365" s="72"/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</row>
    <row r="366" spans="1:26" x14ac:dyDescent="0.5">
      <c r="A366" s="72"/>
      <c r="B366" s="72"/>
      <c r="C366" s="72"/>
      <c r="D366" s="72"/>
      <c r="E366" s="72"/>
      <c r="F366" s="72"/>
      <c r="G366" s="72"/>
      <c r="H366" s="72"/>
      <c r="I366" s="72"/>
      <c r="J366" s="72"/>
      <c r="K366" s="72"/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</row>
    <row r="367" spans="1:26" x14ac:dyDescent="0.5">
      <c r="A367" s="72"/>
      <c r="B367" s="72"/>
      <c r="C367" s="72"/>
      <c r="D367" s="72"/>
      <c r="E367" s="72"/>
      <c r="F367" s="72"/>
      <c r="G367" s="72"/>
      <c r="H367" s="72"/>
      <c r="I367" s="72"/>
      <c r="J367" s="72"/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</row>
    <row r="368" spans="1:26" x14ac:dyDescent="0.5">
      <c r="A368" s="72"/>
      <c r="B368" s="72"/>
      <c r="C368" s="72"/>
      <c r="D368" s="72"/>
      <c r="E368" s="72"/>
      <c r="F368" s="72"/>
      <c r="G368" s="72"/>
      <c r="H368" s="72"/>
      <c r="I368" s="72"/>
      <c r="J368" s="72"/>
      <c r="K368" s="72"/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</row>
    <row r="369" spans="1:26" x14ac:dyDescent="0.5">
      <c r="A369" s="72"/>
      <c r="B369" s="72"/>
      <c r="C369" s="72"/>
      <c r="D369" s="72"/>
      <c r="E369" s="72"/>
      <c r="F369" s="72"/>
      <c r="G369" s="72"/>
      <c r="H369" s="72"/>
      <c r="I369" s="72"/>
      <c r="J369" s="72"/>
      <c r="K369" s="72"/>
      <c r="L369" s="72"/>
      <c r="M369" s="72"/>
      <c r="N369" s="72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</row>
    <row r="370" spans="1:26" x14ac:dyDescent="0.5">
      <c r="A370" s="72"/>
      <c r="B370" s="72"/>
      <c r="C370" s="72"/>
      <c r="D370" s="72"/>
      <c r="E370" s="72"/>
      <c r="F370" s="72"/>
      <c r="G370" s="72"/>
      <c r="H370" s="72"/>
      <c r="I370" s="72"/>
      <c r="J370" s="72"/>
      <c r="K370" s="72"/>
      <c r="L370" s="72"/>
      <c r="M370" s="72"/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</row>
    <row r="371" spans="1:26" x14ac:dyDescent="0.5">
      <c r="A371" s="72"/>
      <c r="B371" s="72"/>
      <c r="C371" s="72"/>
      <c r="D371" s="72"/>
      <c r="E371" s="72"/>
      <c r="F371" s="72"/>
      <c r="G371" s="72"/>
      <c r="H371" s="72"/>
      <c r="I371" s="72"/>
      <c r="J371" s="72"/>
      <c r="K371" s="72"/>
      <c r="L371" s="72"/>
      <c r="M371" s="72"/>
      <c r="N371" s="72"/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</row>
    <row r="372" spans="1:26" x14ac:dyDescent="0.5">
      <c r="A372" s="72"/>
      <c r="B372" s="72"/>
      <c r="C372" s="72"/>
      <c r="D372" s="72"/>
      <c r="E372" s="72"/>
      <c r="F372" s="72"/>
      <c r="G372" s="72"/>
      <c r="H372" s="72"/>
      <c r="I372" s="72"/>
      <c r="J372" s="72"/>
      <c r="K372" s="72"/>
      <c r="L372" s="72"/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</row>
    <row r="373" spans="1:26" x14ac:dyDescent="0.5">
      <c r="A373" s="72"/>
      <c r="B373" s="72"/>
      <c r="C373" s="72"/>
      <c r="D373" s="72"/>
      <c r="E373" s="72"/>
      <c r="F373" s="72"/>
      <c r="G373" s="72"/>
      <c r="H373" s="72"/>
      <c r="I373" s="72"/>
      <c r="J373" s="72"/>
      <c r="K373" s="72"/>
      <c r="L373" s="72"/>
      <c r="M373" s="72"/>
      <c r="N373" s="72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</row>
    <row r="374" spans="1:26" x14ac:dyDescent="0.5">
      <c r="A374" s="72"/>
      <c r="B374" s="72"/>
      <c r="C374" s="72"/>
      <c r="D374" s="72"/>
      <c r="E374" s="72"/>
      <c r="F374" s="72"/>
      <c r="G374" s="72"/>
      <c r="H374" s="72"/>
      <c r="I374" s="72"/>
      <c r="J374" s="72"/>
      <c r="K374" s="72"/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</row>
    <row r="375" spans="1:26" x14ac:dyDescent="0.5">
      <c r="A375" s="72"/>
      <c r="B375" s="72"/>
      <c r="C375" s="72"/>
      <c r="D375" s="72"/>
      <c r="E375" s="72"/>
      <c r="F375" s="72"/>
      <c r="G375" s="72"/>
      <c r="H375" s="72"/>
      <c r="I375" s="72"/>
      <c r="J375" s="72"/>
      <c r="K375" s="72"/>
      <c r="L375" s="72"/>
      <c r="M375" s="72"/>
      <c r="N375" s="72"/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</row>
    <row r="376" spans="1:26" x14ac:dyDescent="0.5">
      <c r="A376" s="72"/>
      <c r="B376" s="72"/>
      <c r="C376" s="72"/>
      <c r="D376" s="72"/>
      <c r="E376" s="72"/>
      <c r="F376" s="72"/>
      <c r="G376" s="72"/>
      <c r="H376" s="72"/>
      <c r="I376" s="72"/>
      <c r="J376" s="72"/>
      <c r="K376" s="72"/>
      <c r="L376" s="72"/>
      <c r="M376" s="72"/>
      <c r="N376" s="72"/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</row>
    <row r="377" spans="1:26" x14ac:dyDescent="0.5">
      <c r="A377" s="72"/>
      <c r="B377" s="72"/>
      <c r="C377" s="72"/>
      <c r="D377" s="72"/>
      <c r="E377" s="72"/>
      <c r="F377" s="72"/>
      <c r="G377" s="72"/>
      <c r="H377" s="72"/>
      <c r="I377" s="72"/>
      <c r="J377" s="72"/>
      <c r="K377" s="72"/>
      <c r="L377" s="72"/>
      <c r="M377" s="72"/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</row>
    <row r="378" spans="1:26" x14ac:dyDescent="0.5">
      <c r="A378" s="72"/>
      <c r="B378" s="72"/>
      <c r="C378" s="72"/>
      <c r="D378" s="72"/>
      <c r="E378" s="72"/>
      <c r="F378" s="72"/>
      <c r="G378" s="72"/>
      <c r="H378" s="72"/>
      <c r="I378" s="72"/>
      <c r="J378" s="72"/>
      <c r="K378" s="72"/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</row>
    <row r="379" spans="1:26" x14ac:dyDescent="0.5">
      <c r="A379" s="72"/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</row>
    <row r="380" spans="1:26" x14ac:dyDescent="0.5">
      <c r="A380" s="72"/>
      <c r="B380" s="72"/>
      <c r="C380" s="72"/>
      <c r="D380" s="72"/>
      <c r="E380" s="72"/>
      <c r="F380" s="72"/>
      <c r="G380" s="72"/>
      <c r="H380" s="72"/>
      <c r="I380" s="72"/>
      <c r="J380" s="72"/>
      <c r="K380" s="72"/>
      <c r="L380" s="72"/>
      <c r="M380" s="72"/>
      <c r="N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</row>
    <row r="381" spans="1:26" x14ac:dyDescent="0.5">
      <c r="A381" s="72"/>
      <c r="B381" s="72"/>
      <c r="C381" s="72"/>
      <c r="D381" s="72"/>
      <c r="E381" s="72"/>
      <c r="F381" s="72"/>
      <c r="G381" s="72"/>
      <c r="H381" s="72"/>
      <c r="I381" s="72"/>
      <c r="J381" s="72"/>
      <c r="K381" s="72"/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</row>
    <row r="382" spans="1:26" x14ac:dyDescent="0.5">
      <c r="A382" s="72"/>
      <c r="B382" s="72"/>
      <c r="C382" s="72"/>
      <c r="D382" s="72"/>
      <c r="E382" s="72"/>
      <c r="F382" s="72"/>
      <c r="G382" s="72"/>
      <c r="H382" s="72"/>
      <c r="I382" s="72"/>
      <c r="J382" s="72"/>
      <c r="K382" s="72"/>
      <c r="L382" s="72"/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</row>
    <row r="383" spans="1:26" x14ac:dyDescent="0.5">
      <c r="A383" s="72"/>
      <c r="B383" s="72"/>
      <c r="C383" s="72"/>
      <c r="D383" s="72"/>
      <c r="E383" s="72"/>
      <c r="F383" s="72"/>
      <c r="G383" s="72"/>
      <c r="H383" s="72"/>
      <c r="I383" s="72"/>
      <c r="J383" s="72"/>
      <c r="K383" s="72"/>
      <c r="L383" s="72"/>
      <c r="M383" s="72"/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</row>
    <row r="384" spans="1:26" x14ac:dyDescent="0.5">
      <c r="A384" s="72"/>
      <c r="B384" s="72"/>
      <c r="C384" s="72"/>
      <c r="D384" s="72"/>
      <c r="E384" s="72"/>
      <c r="F384" s="72"/>
      <c r="G384" s="72"/>
      <c r="H384" s="72"/>
      <c r="I384" s="72"/>
      <c r="J384" s="72"/>
      <c r="K384" s="72"/>
      <c r="L384" s="72"/>
      <c r="M384" s="72"/>
      <c r="N384" s="72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</row>
    <row r="385" spans="1:26" x14ac:dyDescent="0.5">
      <c r="A385" s="72"/>
      <c r="B385" s="72"/>
      <c r="C385" s="72"/>
      <c r="D385" s="72"/>
      <c r="E385" s="72"/>
      <c r="F385" s="72"/>
      <c r="G385" s="72"/>
      <c r="H385" s="72"/>
      <c r="I385" s="72"/>
      <c r="J385" s="72"/>
      <c r="K385" s="72"/>
      <c r="L385" s="72"/>
      <c r="M385" s="72"/>
      <c r="N385" s="72"/>
      <c r="O385" s="72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</row>
    <row r="386" spans="1:26" x14ac:dyDescent="0.5">
      <c r="A386" s="72"/>
      <c r="B386" s="72"/>
      <c r="C386" s="72"/>
      <c r="D386" s="72"/>
      <c r="E386" s="72"/>
      <c r="F386" s="72"/>
      <c r="G386" s="72"/>
      <c r="H386" s="72"/>
      <c r="I386" s="72"/>
      <c r="J386" s="72"/>
      <c r="K386" s="72"/>
      <c r="L386" s="72"/>
      <c r="M386" s="72"/>
      <c r="N386" s="72"/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</row>
    <row r="387" spans="1:26" x14ac:dyDescent="0.5">
      <c r="A387" s="72"/>
      <c r="B387" s="72"/>
      <c r="C387" s="72"/>
      <c r="D387" s="72"/>
      <c r="E387" s="72"/>
      <c r="F387" s="72"/>
      <c r="G387" s="72"/>
      <c r="H387" s="72"/>
      <c r="I387" s="72"/>
      <c r="J387" s="72"/>
      <c r="K387" s="72"/>
      <c r="L387" s="72"/>
      <c r="M387" s="72"/>
      <c r="N387" s="72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</row>
    <row r="388" spans="1:26" x14ac:dyDescent="0.5">
      <c r="A388" s="72"/>
      <c r="B388" s="72"/>
      <c r="C388" s="72"/>
      <c r="D388" s="72"/>
      <c r="E388" s="72"/>
      <c r="F388" s="72"/>
      <c r="G388" s="72"/>
      <c r="H388" s="72"/>
      <c r="I388" s="72"/>
      <c r="J388" s="72"/>
      <c r="K388" s="72"/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</row>
    <row r="389" spans="1:26" x14ac:dyDescent="0.5">
      <c r="A389" s="72"/>
      <c r="B389" s="72"/>
      <c r="C389" s="72"/>
      <c r="D389" s="72"/>
      <c r="E389" s="72"/>
      <c r="F389" s="72"/>
      <c r="G389" s="72"/>
      <c r="H389" s="72"/>
      <c r="I389" s="72"/>
      <c r="J389" s="72"/>
      <c r="K389" s="72"/>
      <c r="L389" s="72"/>
      <c r="M389" s="72"/>
      <c r="N389" s="72"/>
      <c r="O389" s="72"/>
      <c r="P389" s="72"/>
      <c r="Q389" s="72"/>
      <c r="R389" s="72"/>
      <c r="S389" s="72"/>
      <c r="T389" s="72"/>
      <c r="U389" s="72"/>
      <c r="V389" s="72"/>
      <c r="W389" s="72"/>
      <c r="X389" s="72"/>
      <c r="Y389" s="72"/>
      <c r="Z389" s="72"/>
    </row>
    <row r="390" spans="1:26" x14ac:dyDescent="0.5">
      <c r="A390" s="72"/>
      <c r="B390" s="72"/>
      <c r="C390" s="72"/>
      <c r="D390" s="72"/>
      <c r="E390" s="72"/>
      <c r="F390" s="72"/>
      <c r="G390" s="72"/>
      <c r="H390" s="72"/>
      <c r="I390" s="72"/>
      <c r="J390" s="72"/>
      <c r="K390" s="72"/>
      <c r="L390" s="72"/>
      <c r="M390" s="72"/>
      <c r="N390" s="72"/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/>
    </row>
    <row r="391" spans="1:26" x14ac:dyDescent="0.5">
      <c r="A391" s="72"/>
      <c r="B391" s="72"/>
      <c r="C391" s="72"/>
      <c r="D391" s="72"/>
      <c r="E391" s="72"/>
      <c r="F391" s="72"/>
      <c r="G391" s="72"/>
      <c r="H391" s="72"/>
      <c r="I391" s="72"/>
      <c r="J391" s="72"/>
      <c r="K391" s="72"/>
      <c r="L391" s="72"/>
      <c r="M391" s="72"/>
      <c r="N391" s="72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</row>
    <row r="392" spans="1:26" x14ac:dyDescent="0.5">
      <c r="A392" s="72"/>
      <c r="B392" s="72"/>
      <c r="C392" s="72"/>
      <c r="D392" s="72"/>
      <c r="E392" s="72"/>
      <c r="F392" s="72"/>
      <c r="G392" s="72"/>
      <c r="H392" s="72"/>
      <c r="I392" s="72"/>
      <c r="J392" s="72"/>
      <c r="K392" s="72"/>
      <c r="L392" s="72"/>
      <c r="M392" s="72"/>
      <c r="N392" s="72"/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</row>
    <row r="393" spans="1:26" x14ac:dyDescent="0.5">
      <c r="A393" s="72"/>
      <c r="B393" s="72"/>
      <c r="C393" s="72"/>
      <c r="D393" s="72"/>
      <c r="E393" s="72"/>
      <c r="F393" s="72"/>
      <c r="G393" s="72"/>
      <c r="H393" s="72"/>
      <c r="I393" s="72"/>
      <c r="J393" s="72"/>
      <c r="K393" s="72"/>
      <c r="L393" s="72"/>
      <c r="M393" s="72"/>
      <c r="N393" s="72"/>
      <c r="O393" s="72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</row>
    <row r="394" spans="1:26" x14ac:dyDescent="0.5">
      <c r="A394" s="72"/>
      <c r="B394" s="72"/>
      <c r="C394" s="72"/>
      <c r="D394" s="72"/>
      <c r="E394" s="72"/>
      <c r="F394" s="72"/>
      <c r="G394" s="72"/>
      <c r="H394" s="72"/>
      <c r="I394" s="72"/>
      <c r="J394" s="72"/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</row>
    <row r="395" spans="1:26" x14ac:dyDescent="0.5">
      <c r="A395" s="72"/>
      <c r="B395" s="72"/>
      <c r="C395" s="72"/>
      <c r="D395" s="72"/>
      <c r="E395" s="72"/>
      <c r="F395" s="72"/>
      <c r="G395" s="72"/>
      <c r="H395" s="72"/>
      <c r="I395" s="72"/>
      <c r="J395" s="72"/>
      <c r="K395" s="72"/>
      <c r="L395" s="72"/>
      <c r="M395" s="72"/>
      <c r="N395" s="72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</row>
    <row r="396" spans="1:26" x14ac:dyDescent="0.5">
      <c r="A396" s="72"/>
      <c r="B396" s="72"/>
      <c r="C396" s="72"/>
      <c r="D396" s="72"/>
      <c r="E396" s="72"/>
      <c r="F396" s="72"/>
      <c r="G396" s="72"/>
      <c r="H396" s="72"/>
      <c r="I396" s="72"/>
      <c r="J396" s="72"/>
      <c r="K396" s="72"/>
      <c r="L396" s="72"/>
      <c r="M396" s="72"/>
      <c r="N396" s="72"/>
      <c r="O396" s="72"/>
      <c r="P396" s="72"/>
      <c r="Q396" s="72"/>
      <c r="R396" s="72"/>
      <c r="S396" s="72"/>
      <c r="T396" s="72"/>
      <c r="U396" s="72"/>
      <c r="V396" s="72"/>
      <c r="W396" s="72"/>
      <c r="X396" s="72"/>
      <c r="Y396" s="72"/>
      <c r="Z396" s="72"/>
    </row>
    <row r="397" spans="1:26" x14ac:dyDescent="0.5">
      <c r="A397" s="72"/>
      <c r="B397" s="72"/>
      <c r="C397" s="72"/>
      <c r="D397" s="72"/>
      <c r="E397" s="72"/>
      <c r="F397" s="72"/>
      <c r="G397" s="72"/>
      <c r="H397" s="72"/>
      <c r="I397" s="72"/>
      <c r="J397" s="72"/>
      <c r="K397" s="72"/>
      <c r="L397" s="72"/>
      <c r="M397" s="72"/>
      <c r="N397" s="72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</row>
    <row r="398" spans="1:26" x14ac:dyDescent="0.5">
      <c r="A398" s="72"/>
      <c r="B398" s="72"/>
      <c r="C398" s="72"/>
      <c r="D398" s="72"/>
      <c r="E398" s="72"/>
      <c r="F398" s="72"/>
      <c r="G398" s="72"/>
      <c r="H398" s="72"/>
      <c r="I398" s="72"/>
      <c r="J398" s="72"/>
      <c r="K398" s="72"/>
      <c r="L398" s="72"/>
      <c r="M398" s="72"/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</row>
    <row r="399" spans="1:26" x14ac:dyDescent="0.5">
      <c r="A399" s="72"/>
      <c r="B399" s="72"/>
      <c r="C399" s="72"/>
      <c r="D399" s="72"/>
      <c r="E399" s="72"/>
      <c r="F399" s="72"/>
      <c r="G399" s="72"/>
      <c r="H399" s="72"/>
      <c r="I399" s="72"/>
      <c r="J399" s="72"/>
      <c r="K399" s="72"/>
      <c r="L399" s="72"/>
      <c r="M399" s="72"/>
      <c r="N399" s="72"/>
      <c r="O399" s="72"/>
      <c r="P399" s="72"/>
      <c r="Q399" s="72"/>
      <c r="R399" s="72"/>
      <c r="S399" s="72"/>
      <c r="T399" s="72"/>
      <c r="U399" s="72"/>
      <c r="V399" s="72"/>
      <c r="W399" s="72"/>
      <c r="X399" s="72"/>
      <c r="Y399" s="72"/>
      <c r="Z399" s="72"/>
    </row>
    <row r="400" spans="1:26" x14ac:dyDescent="0.5">
      <c r="A400" s="72"/>
      <c r="B400" s="72"/>
      <c r="C400" s="72"/>
      <c r="D400" s="72"/>
      <c r="E400" s="72"/>
      <c r="F400" s="72"/>
      <c r="G400" s="72"/>
      <c r="H400" s="72"/>
      <c r="I400" s="72"/>
      <c r="J400" s="72"/>
      <c r="K400" s="72"/>
      <c r="L400" s="72"/>
      <c r="M400" s="72"/>
      <c r="N400" s="72"/>
      <c r="O400" s="72"/>
      <c r="P400" s="72"/>
      <c r="Q400" s="72"/>
      <c r="R400" s="72"/>
      <c r="S400" s="72"/>
      <c r="T400" s="72"/>
      <c r="U400" s="72"/>
      <c r="V400" s="72"/>
      <c r="W400" s="72"/>
      <c r="X400" s="72"/>
      <c r="Y400" s="72"/>
      <c r="Z400" s="72"/>
    </row>
    <row r="401" spans="1:26" x14ac:dyDescent="0.5">
      <c r="A401" s="72"/>
      <c r="B401" s="72"/>
      <c r="C401" s="72"/>
      <c r="D401" s="72"/>
      <c r="E401" s="72"/>
      <c r="F401" s="72"/>
      <c r="G401" s="72"/>
      <c r="H401" s="72"/>
      <c r="I401" s="72"/>
      <c r="J401" s="72"/>
      <c r="K401" s="72"/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</row>
    <row r="402" spans="1:26" x14ac:dyDescent="0.5">
      <c r="A402" s="72"/>
      <c r="B402" s="72"/>
      <c r="C402" s="72"/>
      <c r="D402" s="72"/>
      <c r="E402" s="72"/>
      <c r="F402" s="72"/>
      <c r="G402" s="72"/>
      <c r="H402" s="72"/>
      <c r="I402" s="72"/>
      <c r="J402" s="72"/>
      <c r="K402" s="72"/>
      <c r="L402" s="72"/>
      <c r="M402" s="72"/>
      <c r="N402" s="72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</row>
    <row r="403" spans="1:26" x14ac:dyDescent="0.5">
      <c r="A403" s="72"/>
      <c r="B403" s="72"/>
      <c r="C403" s="72"/>
      <c r="D403" s="72"/>
      <c r="E403" s="72"/>
      <c r="F403" s="72"/>
      <c r="G403" s="72"/>
      <c r="H403" s="72"/>
      <c r="I403" s="72"/>
      <c r="J403" s="72"/>
      <c r="K403" s="72"/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</row>
    <row r="404" spans="1:26" x14ac:dyDescent="0.5">
      <c r="A404" s="72"/>
      <c r="B404" s="72"/>
      <c r="C404" s="72"/>
      <c r="D404" s="72"/>
      <c r="E404" s="72"/>
      <c r="F404" s="72"/>
      <c r="G404" s="72"/>
      <c r="H404" s="72"/>
      <c r="I404" s="72"/>
      <c r="J404" s="72"/>
      <c r="K404" s="72"/>
      <c r="L404" s="72"/>
      <c r="M404" s="72"/>
      <c r="N404" s="72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</row>
    <row r="405" spans="1:26" x14ac:dyDescent="0.5">
      <c r="A405" s="72"/>
      <c r="B405" s="72"/>
      <c r="C405" s="72"/>
      <c r="D405" s="72"/>
      <c r="E405" s="72"/>
      <c r="F405" s="72"/>
      <c r="G405" s="72"/>
      <c r="H405" s="72"/>
      <c r="I405" s="72"/>
      <c r="J405" s="72"/>
      <c r="K405" s="72"/>
      <c r="L405" s="72"/>
      <c r="M405" s="72"/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</row>
    <row r="406" spans="1:26" x14ac:dyDescent="0.5">
      <c r="A406" s="72"/>
      <c r="B406" s="72"/>
      <c r="C406" s="72"/>
      <c r="D406" s="72"/>
      <c r="E406" s="72"/>
      <c r="F406" s="72"/>
      <c r="G406" s="72"/>
      <c r="H406" s="72"/>
      <c r="I406" s="72"/>
      <c r="J406" s="72"/>
      <c r="K406" s="72"/>
      <c r="L406" s="72"/>
      <c r="M406" s="72"/>
      <c r="N406" s="72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</row>
    <row r="407" spans="1:26" x14ac:dyDescent="0.5">
      <c r="A407" s="72"/>
      <c r="B407" s="72"/>
      <c r="C407" s="72"/>
      <c r="D407" s="72"/>
      <c r="E407" s="72"/>
      <c r="F407" s="72"/>
      <c r="G407" s="72"/>
      <c r="H407" s="72"/>
      <c r="I407" s="72"/>
      <c r="J407" s="72"/>
      <c r="K407" s="72"/>
      <c r="L407" s="72"/>
      <c r="M407" s="72"/>
      <c r="N407" s="72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</row>
    <row r="408" spans="1:26" x14ac:dyDescent="0.5">
      <c r="A408" s="72"/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</row>
    <row r="409" spans="1:26" x14ac:dyDescent="0.5">
      <c r="A409" s="72"/>
      <c r="B409" s="72"/>
      <c r="C409" s="72"/>
      <c r="D409" s="72"/>
      <c r="E409" s="72"/>
      <c r="F409" s="72"/>
      <c r="G409" s="72"/>
      <c r="H409" s="72"/>
      <c r="I409" s="72"/>
      <c r="J409" s="72"/>
      <c r="K409" s="72"/>
      <c r="L409" s="72"/>
      <c r="M409" s="72"/>
      <c r="N409" s="72"/>
      <c r="O409" s="72"/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</row>
    <row r="410" spans="1:26" x14ac:dyDescent="0.5">
      <c r="A410" s="72"/>
      <c r="B410" s="72"/>
      <c r="C410" s="72"/>
      <c r="D410" s="72"/>
      <c r="E410" s="72"/>
      <c r="F410" s="72"/>
      <c r="G410" s="72"/>
      <c r="H410" s="72"/>
      <c r="I410" s="72"/>
      <c r="J410" s="72"/>
      <c r="K410" s="72"/>
      <c r="L410" s="72"/>
      <c r="M410" s="72"/>
      <c r="N410" s="72"/>
      <c r="O410" s="72"/>
      <c r="P410" s="72"/>
      <c r="Q410" s="72"/>
      <c r="R410" s="72"/>
      <c r="S410" s="72"/>
      <c r="T410" s="72"/>
      <c r="U410" s="72"/>
      <c r="V410" s="72"/>
      <c r="W410" s="72"/>
      <c r="X410" s="72"/>
      <c r="Y410" s="72"/>
      <c r="Z410" s="72"/>
    </row>
    <row r="411" spans="1:26" x14ac:dyDescent="0.5">
      <c r="A411" s="72"/>
      <c r="B411" s="72"/>
      <c r="C411" s="72"/>
      <c r="D411" s="72"/>
      <c r="E411" s="72"/>
      <c r="F411" s="72"/>
      <c r="G411" s="72"/>
      <c r="H411" s="72"/>
      <c r="I411" s="72"/>
      <c r="J411" s="72"/>
      <c r="K411" s="72"/>
      <c r="L411" s="72"/>
      <c r="M411" s="72"/>
      <c r="N411" s="72"/>
      <c r="O411" s="72"/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</row>
    <row r="412" spans="1:26" x14ac:dyDescent="0.5">
      <c r="A412" s="72"/>
      <c r="B412" s="72"/>
      <c r="C412" s="72"/>
      <c r="D412" s="72"/>
      <c r="E412" s="72"/>
      <c r="F412" s="72"/>
      <c r="G412" s="72"/>
      <c r="H412" s="72"/>
      <c r="I412" s="72"/>
      <c r="J412" s="72"/>
      <c r="K412" s="72"/>
      <c r="L412" s="72"/>
      <c r="M412" s="72"/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</row>
    <row r="413" spans="1:26" x14ac:dyDescent="0.5">
      <c r="A413" s="72"/>
      <c r="B413" s="72"/>
      <c r="C413" s="72"/>
      <c r="D413" s="72"/>
      <c r="E413" s="72"/>
      <c r="F413" s="72"/>
      <c r="G413" s="72"/>
      <c r="H413" s="72"/>
      <c r="I413" s="72"/>
      <c r="J413" s="72"/>
      <c r="K413" s="72"/>
      <c r="L413" s="72"/>
      <c r="M413" s="72"/>
      <c r="N413" s="72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</row>
    <row r="414" spans="1:26" x14ac:dyDescent="0.5">
      <c r="A414" s="72"/>
      <c r="B414" s="72"/>
      <c r="C414" s="72"/>
      <c r="D414" s="72"/>
      <c r="E414" s="72"/>
      <c r="F414" s="72"/>
      <c r="G414" s="72"/>
      <c r="H414" s="72"/>
      <c r="I414" s="72"/>
      <c r="J414" s="72"/>
      <c r="K414" s="72"/>
      <c r="L414" s="72"/>
      <c r="M414" s="72"/>
      <c r="N414" s="72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</row>
    <row r="415" spans="1:26" x14ac:dyDescent="0.5">
      <c r="A415" s="72"/>
      <c r="B415" s="72"/>
      <c r="C415" s="72"/>
      <c r="D415" s="72"/>
      <c r="E415" s="72"/>
      <c r="F415" s="72"/>
      <c r="G415" s="72"/>
      <c r="H415" s="72"/>
      <c r="I415" s="72"/>
      <c r="J415" s="72"/>
      <c r="K415" s="72"/>
      <c r="L415" s="72"/>
      <c r="M415" s="72"/>
      <c r="N415" s="72"/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</row>
    <row r="416" spans="1:26" x14ac:dyDescent="0.5">
      <c r="A416" s="72"/>
      <c r="B416" s="72"/>
      <c r="C416" s="72"/>
      <c r="D416" s="72"/>
      <c r="E416" s="72"/>
      <c r="F416" s="72"/>
      <c r="G416" s="72"/>
      <c r="H416" s="72"/>
      <c r="I416" s="72"/>
      <c r="J416" s="72"/>
      <c r="K416" s="72"/>
      <c r="L416" s="72"/>
      <c r="M416" s="72"/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</row>
    <row r="417" spans="1:26" x14ac:dyDescent="0.5">
      <c r="A417" s="72"/>
      <c r="B417" s="72"/>
      <c r="C417" s="72"/>
      <c r="D417" s="72"/>
      <c r="E417" s="72"/>
      <c r="F417" s="72"/>
      <c r="G417" s="72"/>
      <c r="H417" s="72"/>
      <c r="I417" s="72"/>
      <c r="J417" s="72"/>
      <c r="K417" s="72"/>
      <c r="L417" s="72"/>
      <c r="M417" s="72"/>
      <c r="N417" s="72"/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</row>
    <row r="418" spans="1:26" x14ac:dyDescent="0.5">
      <c r="A418" s="72"/>
      <c r="B418" s="72"/>
      <c r="C418" s="72"/>
      <c r="D418" s="72"/>
      <c r="E418" s="72"/>
      <c r="F418" s="72"/>
      <c r="G418" s="72"/>
      <c r="H418" s="72"/>
      <c r="I418" s="72"/>
      <c r="J418" s="72"/>
      <c r="K418" s="72"/>
      <c r="L418" s="72"/>
      <c r="M418" s="72"/>
      <c r="N418" s="72"/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</row>
    <row r="419" spans="1:26" x14ac:dyDescent="0.5">
      <c r="A419" s="72"/>
      <c r="B419" s="72"/>
      <c r="C419" s="72"/>
      <c r="D419" s="72"/>
      <c r="E419" s="72"/>
      <c r="F419" s="72"/>
      <c r="G419" s="72"/>
      <c r="H419" s="72"/>
      <c r="I419" s="72"/>
      <c r="J419" s="72"/>
      <c r="K419" s="72"/>
      <c r="L419" s="72"/>
      <c r="M419" s="72"/>
      <c r="N419" s="72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</row>
    <row r="420" spans="1:26" x14ac:dyDescent="0.5">
      <c r="A420" s="72"/>
      <c r="B420" s="72"/>
      <c r="C420" s="72"/>
      <c r="D420" s="72"/>
      <c r="E420" s="72"/>
      <c r="F420" s="72"/>
      <c r="G420" s="72"/>
      <c r="H420" s="72"/>
      <c r="I420" s="72"/>
      <c r="J420" s="72"/>
      <c r="K420" s="72"/>
      <c r="L420" s="72"/>
      <c r="M420" s="72"/>
      <c r="N420" s="72"/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</row>
    <row r="421" spans="1:26" x14ac:dyDescent="0.5">
      <c r="A421" s="72"/>
      <c r="B421" s="72"/>
      <c r="C421" s="72"/>
      <c r="D421" s="72"/>
      <c r="E421" s="72"/>
      <c r="F421" s="72"/>
      <c r="G421" s="72"/>
      <c r="H421" s="72"/>
      <c r="I421" s="72"/>
      <c r="J421" s="72"/>
      <c r="K421" s="72"/>
      <c r="L421" s="72"/>
      <c r="M421" s="72"/>
      <c r="N421" s="72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</row>
    <row r="422" spans="1:26" x14ac:dyDescent="0.5">
      <c r="A422" s="72"/>
      <c r="B422" s="72"/>
      <c r="C422" s="72"/>
      <c r="D422" s="72"/>
      <c r="E422" s="72"/>
      <c r="F422" s="72"/>
      <c r="G422" s="72"/>
      <c r="H422" s="72"/>
      <c r="I422" s="72"/>
      <c r="J422" s="72"/>
      <c r="K422" s="72"/>
      <c r="L422" s="72"/>
      <c r="M422" s="72"/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</row>
    <row r="423" spans="1:26" x14ac:dyDescent="0.5">
      <c r="A423" s="72"/>
      <c r="B423" s="72"/>
      <c r="C423" s="72"/>
      <c r="D423" s="72"/>
      <c r="E423" s="72"/>
      <c r="F423" s="72"/>
      <c r="G423" s="72"/>
      <c r="H423" s="72"/>
      <c r="I423" s="72"/>
      <c r="J423" s="72"/>
      <c r="K423" s="72"/>
      <c r="L423" s="72"/>
      <c r="M423" s="72"/>
      <c r="N423" s="72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</row>
    <row r="424" spans="1:26" x14ac:dyDescent="0.5">
      <c r="A424" s="72"/>
      <c r="B424" s="72"/>
      <c r="C424" s="72"/>
      <c r="D424" s="72"/>
      <c r="E424" s="72"/>
      <c r="F424" s="72"/>
      <c r="G424" s="72"/>
      <c r="H424" s="72"/>
      <c r="I424" s="72"/>
      <c r="J424" s="72"/>
      <c r="K424" s="72"/>
      <c r="L424" s="72"/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</row>
    <row r="425" spans="1:26" x14ac:dyDescent="0.5">
      <c r="A425" s="72"/>
      <c r="B425" s="72"/>
      <c r="C425" s="72"/>
      <c r="D425" s="72"/>
      <c r="E425" s="72"/>
      <c r="F425" s="72"/>
      <c r="G425" s="72"/>
      <c r="H425" s="72"/>
      <c r="I425" s="72"/>
      <c r="J425" s="72"/>
      <c r="K425" s="72"/>
      <c r="L425" s="72"/>
      <c r="M425" s="72"/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</row>
    <row r="426" spans="1:26" x14ac:dyDescent="0.5">
      <c r="A426" s="72"/>
      <c r="B426" s="72"/>
      <c r="C426" s="72"/>
      <c r="D426" s="72"/>
      <c r="E426" s="72"/>
      <c r="F426" s="72"/>
      <c r="G426" s="72"/>
      <c r="H426" s="72"/>
      <c r="I426" s="72"/>
      <c r="J426" s="72"/>
      <c r="K426" s="72"/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</row>
    <row r="427" spans="1:26" x14ac:dyDescent="0.5">
      <c r="A427" s="72"/>
      <c r="B427" s="72"/>
      <c r="C427" s="72"/>
      <c r="D427" s="72"/>
      <c r="E427" s="72"/>
      <c r="F427" s="72"/>
      <c r="G427" s="72"/>
      <c r="H427" s="72"/>
      <c r="I427" s="72"/>
      <c r="J427" s="72"/>
      <c r="K427" s="72"/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</row>
    <row r="428" spans="1:26" x14ac:dyDescent="0.5">
      <c r="A428" s="72"/>
      <c r="B428" s="72"/>
      <c r="C428" s="72"/>
      <c r="D428" s="72"/>
      <c r="E428" s="72"/>
      <c r="F428" s="72"/>
      <c r="G428" s="72"/>
      <c r="H428" s="72"/>
      <c r="I428" s="72"/>
      <c r="J428" s="72"/>
      <c r="K428" s="72"/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</row>
    <row r="429" spans="1:26" x14ac:dyDescent="0.5">
      <c r="A429" s="72"/>
      <c r="B429" s="72"/>
      <c r="C429" s="72"/>
      <c r="D429" s="72"/>
      <c r="E429" s="72"/>
      <c r="F429" s="72"/>
      <c r="G429" s="72"/>
      <c r="H429" s="72"/>
      <c r="I429" s="72"/>
      <c r="J429" s="72"/>
      <c r="K429" s="72"/>
      <c r="L429" s="72"/>
      <c r="M429" s="72"/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</row>
    <row r="430" spans="1:26" x14ac:dyDescent="0.5">
      <c r="A430" s="72"/>
      <c r="B430" s="72"/>
      <c r="C430" s="72"/>
      <c r="D430" s="72"/>
      <c r="E430" s="72"/>
      <c r="F430" s="72"/>
      <c r="G430" s="72"/>
      <c r="H430" s="72"/>
      <c r="I430" s="72"/>
      <c r="J430" s="72"/>
      <c r="K430" s="72"/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</row>
    <row r="431" spans="1:26" x14ac:dyDescent="0.5">
      <c r="A431" s="72"/>
      <c r="B431" s="72"/>
      <c r="C431" s="72"/>
      <c r="D431" s="72"/>
      <c r="E431" s="72"/>
      <c r="F431" s="72"/>
      <c r="G431" s="72"/>
      <c r="H431" s="72"/>
      <c r="I431" s="72"/>
      <c r="J431" s="72"/>
      <c r="K431" s="72"/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</row>
    <row r="432" spans="1:26" x14ac:dyDescent="0.5">
      <c r="A432" s="72"/>
      <c r="B432" s="72"/>
      <c r="C432" s="72"/>
      <c r="D432" s="72"/>
      <c r="E432" s="72"/>
      <c r="F432" s="72"/>
      <c r="G432" s="72"/>
      <c r="H432" s="72"/>
      <c r="I432" s="72"/>
      <c r="J432" s="72"/>
      <c r="K432" s="72"/>
      <c r="L432" s="72"/>
      <c r="M432" s="72"/>
      <c r="N432" s="72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</row>
    <row r="433" spans="1:26" x14ac:dyDescent="0.5">
      <c r="A433" s="72"/>
      <c r="B433" s="72"/>
      <c r="C433" s="72"/>
      <c r="D433" s="72"/>
      <c r="E433" s="72"/>
      <c r="F433" s="72"/>
      <c r="G433" s="72"/>
      <c r="H433" s="72"/>
      <c r="I433" s="72"/>
      <c r="J433" s="72"/>
      <c r="K433" s="72"/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</row>
    <row r="434" spans="1:26" x14ac:dyDescent="0.5">
      <c r="A434" s="72"/>
      <c r="B434" s="72"/>
      <c r="C434" s="72"/>
      <c r="D434" s="72"/>
      <c r="E434" s="72"/>
      <c r="F434" s="72"/>
      <c r="G434" s="72"/>
      <c r="H434" s="72"/>
      <c r="I434" s="72"/>
      <c r="J434" s="72"/>
      <c r="K434" s="72"/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</row>
    <row r="435" spans="1:26" x14ac:dyDescent="0.5">
      <c r="A435" s="72"/>
      <c r="B435" s="72"/>
      <c r="C435" s="72"/>
      <c r="D435" s="72"/>
      <c r="E435" s="72"/>
      <c r="F435" s="72"/>
      <c r="G435" s="72"/>
      <c r="H435" s="72"/>
      <c r="I435" s="72"/>
      <c r="J435" s="72"/>
      <c r="K435" s="72"/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</row>
    <row r="436" spans="1:26" x14ac:dyDescent="0.5">
      <c r="A436" s="72"/>
      <c r="B436" s="72"/>
      <c r="C436" s="72"/>
      <c r="D436" s="72"/>
      <c r="E436" s="72"/>
      <c r="F436" s="72"/>
      <c r="G436" s="72"/>
      <c r="H436" s="72"/>
      <c r="I436" s="72"/>
      <c r="J436" s="72"/>
      <c r="K436" s="72"/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</row>
    <row r="437" spans="1:26" x14ac:dyDescent="0.5">
      <c r="A437" s="72"/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</row>
    <row r="438" spans="1:26" x14ac:dyDescent="0.5">
      <c r="A438" s="72"/>
      <c r="B438" s="72"/>
      <c r="C438" s="72"/>
      <c r="D438" s="72"/>
      <c r="E438" s="72"/>
      <c r="F438" s="72"/>
      <c r="G438" s="72"/>
      <c r="H438" s="72"/>
      <c r="I438" s="72"/>
      <c r="J438" s="72"/>
      <c r="K438" s="72"/>
      <c r="L438" s="72"/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</row>
    <row r="439" spans="1:26" x14ac:dyDescent="0.5">
      <c r="A439" s="72"/>
      <c r="B439" s="72"/>
      <c r="C439" s="72"/>
      <c r="D439" s="72"/>
      <c r="E439" s="72"/>
      <c r="F439" s="72"/>
      <c r="G439" s="72"/>
      <c r="H439" s="72"/>
      <c r="I439" s="72"/>
      <c r="J439" s="72"/>
      <c r="K439" s="72"/>
      <c r="L439" s="72"/>
      <c r="M439" s="72"/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</row>
    <row r="440" spans="1:26" x14ac:dyDescent="0.5">
      <c r="A440" s="72"/>
      <c r="B440" s="72"/>
      <c r="C440" s="72"/>
      <c r="D440" s="72"/>
      <c r="E440" s="72"/>
      <c r="F440" s="72"/>
      <c r="G440" s="72"/>
      <c r="H440" s="72"/>
      <c r="I440" s="72"/>
      <c r="J440" s="72"/>
      <c r="K440" s="72"/>
      <c r="L440" s="72"/>
      <c r="M440" s="72"/>
      <c r="N440" s="72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</row>
    <row r="441" spans="1:26" x14ac:dyDescent="0.5">
      <c r="A441" s="72"/>
      <c r="B441" s="72"/>
      <c r="C441" s="72"/>
      <c r="D441" s="72"/>
      <c r="E441" s="72"/>
      <c r="F441" s="72"/>
      <c r="G441" s="72"/>
      <c r="H441" s="72"/>
      <c r="I441" s="72"/>
      <c r="J441" s="72"/>
      <c r="K441" s="72"/>
      <c r="L441" s="72"/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</row>
    <row r="442" spans="1:26" x14ac:dyDescent="0.5">
      <c r="A442" s="72"/>
      <c r="B442" s="72"/>
      <c r="C442" s="72"/>
      <c r="D442" s="72"/>
      <c r="E442" s="72"/>
      <c r="F442" s="72"/>
      <c r="G442" s="72"/>
      <c r="H442" s="72"/>
      <c r="I442" s="72"/>
      <c r="J442" s="72"/>
      <c r="K442" s="72"/>
      <c r="L442" s="72"/>
      <c r="M442" s="72"/>
      <c r="N442" s="72"/>
      <c r="O442" s="72"/>
      <c r="P442" s="72"/>
      <c r="Q442" s="72"/>
      <c r="R442" s="72"/>
      <c r="S442" s="72"/>
      <c r="T442" s="72"/>
      <c r="U442" s="72"/>
      <c r="V442" s="72"/>
      <c r="W442" s="72"/>
      <c r="X442" s="72"/>
      <c r="Y442" s="72"/>
      <c r="Z442" s="72"/>
    </row>
    <row r="443" spans="1:26" x14ac:dyDescent="0.5">
      <c r="A443" s="72"/>
      <c r="B443" s="72"/>
      <c r="C443" s="72"/>
      <c r="D443" s="72"/>
      <c r="E443" s="72"/>
      <c r="F443" s="72"/>
      <c r="G443" s="72"/>
      <c r="H443" s="72"/>
      <c r="I443" s="72"/>
      <c r="J443" s="72"/>
      <c r="K443" s="72"/>
      <c r="L443" s="72"/>
      <c r="M443" s="72"/>
      <c r="N443" s="72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</row>
    <row r="444" spans="1:26" x14ac:dyDescent="0.5">
      <c r="A444" s="72"/>
      <c r="B444" s="72"/>
      <c r="C444" s="72"/>
      <c r="D444" s="72"/>
      <c r="E444" s="72"/>
      <c r="F444" s="72"/>
      <c r="G444" s="72"/>
      <c r="H444" s="72"/>
      <c r="I444" s="72"/>
      <c r="J444" s="72"/>
      <c r="K444" s="72"/>
      <c r="L444" s="72"/>
      <c r="M444" s="72"/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</row>
    <row r="445" spans="1:26" x14ac:dyDescent="0.5">
      <c r="A445" s="72"/>
      <c r="B445" s="72"/>
      <c r="C445" s="72"/>
      <c r="D445" s="72"/>
      <c r="E445" s="72"/>
      <c r="F445" s="72"/>
      <c r="G445" s="72"/>
      <c r="H445" s="72"/>
      <c r="I445" s="72"/>
      <c r="J445" s="72"/>
      <c r="K445" s="72"/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</row>
    <row r="446" spans="1:26" x14ac:dyDescent="0.5">
      <c r="A446" s="72"/>
      <c r="B446" s="72"/>
      <c r="C446" s="72"/>
      <c r="D446" s="72"/>
      <c r="E446" s="72"/>
      <c r="F446" s="72"/>
      <c r="G446" s="72"/>
      <c r="H446" s="72"/>
      <c r="I446" s="72"/>
      <c r="J446" s="72"/>
      <c r="K446" s="72"/>
      <c r="L446" s="72"/>
      <c r="M446" s="72"/>
      <c r="N446" s="72"/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</row>
    <row r="447" spans="1:26" x14ac:dyDescent="0.5">
      <c r="A447" s="72"/>
      <c r="B447" s="72"/>
      <c r="C447" s="72"/>
      <c r="D447" s="72"/>
      <c r="E447" s="72"/>
      <c r="F447" s="72"/>
      <c r="G447" s="72"/>
      <c r="H447" s="72"/>
      <c r="I447" s="72"/>
      <c r="J447" s="72"/>
      <c r="K447" s="72"/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</row>
    <row r="448" spans="1:26" x14ac:dyDescent="0.5">
      <c r="A448" s="72"/>
      <c r="B448" s="72"/>
      <c r="C448" s="72"/>
      <c r="D448" s="72"/>
      <c r="E448" s="72"/>
      <c r="F448" s="72"/>
      <c r="G448" s="72"/>
      <c r="H448" s="72"/>
      <c r="I448" s="72"/>
      <c r="J448" s="72"/>
      <c r="K448" s="72"/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</row>
    <row r="449" spans="1:26" x14ac:dyDescent="0.5">
      <c r="A449" s="72"/>
      <c r="B449" s="72"/>
      <c r="C449" s="72"/>
      <c r="D449" s="72"/>
      <c r="E449" s="72"/>
      <c r="F449" s="72"/>
      <c r="G449" s="72"/>
      <c r="H449" s="72"/>
      <c r="I449" s="72"/>
      <c r="J449" s="72"/>
      <c r="K449" s="72"/>
      <c r="L449" s="72"/>
      <c r="M449" s="72"/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</row>
    <row r="450" spans="1:26" x14ac:dyDescent="0.5">
      <c r="A450" s="72"/>
      <c r="B450" s="72"/>
      <c r="C450" s="72"/>
      <c r="D450" s="72"/>
      <c r="E450" s="72"/>
      <c r="F450" s="72"/>
      <c r="G450" s="72"/>
      <c r="H450" s="72"/>
      <c r="I450" s="72"/>
      <c r="J450" s="72"/>
      <c r="K450" s="72"/>
      <c r="L450" s="72"/>
      <c r="M450" s="72"/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</row>
    <row r="451" spans="1:26" x14ac:dyDescent="0.5">
      <c r="A451" s="72"/>
      <c r="B451" s="72"/>
      <c r="C451" s="72"/>
      <c r="D451" s="72"/>
      <c r="E451" s="72"/>
      <c r="F451" s="72"/>
      <c r="G451" s="72"/>
      <c r="H451" s="72"/>
      <c r="I451" s="72"/>
      <c r="J451" s="72"/>
      <c r="K451" s="72"/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</row>
    <row r="452" spans="1:26" x14ac:dyDescent="0.5">
      <c r="A452" s="72"/>
      <c r="B452" s="72"/>
      <c r="C452" s="72"/>
      <c r="D452" s="72"/>
      <c r="E452" s="72"/>
      <c r="F452" s="72"/>
      <c r="G452" s="72"/>
      <c r="H452" s="72"/>
      <c r="I452" s="72"/>
      <c r="J452" s="72"/>
      <c r="K452" s="72"/>
      <c r="L452" s="72"/>
      <c r="M452" s="72"/>
      <c r="N452" s="72"/>
      <c r="O452" s="72"/>
      <c r="P452" s="72"/>
      <c r="Q452" s="72"/>
      <c r="R452" s="72"/>
      <c r="S452" s="72"/>
      <c r="T452" s="72"/>
      <c r="U452" s="72"/>
      <c r="V452" s="72"/>
      <c r="W452" s="72"/>
      <c r="X452" s="72"/>
      <c r="Y452" s="72"/>
      <c r="Z452" s="72"/>
    </row>
    <row r="453" spans="1:26" x14ac:dyDescent="0.5">
      <c r="A453" s="72"/>
      <c r="B453" s="72"/>
      <c r="C453" s="72"/>
      <c r="D453" s="72"/>
      <c r="E453" s="72"/>
      <c r="F453" s="72"/>
      <c r="G453" s="72"/>
      <c r="H453" s="72"/>
      <c r="I453" s="72"/>
      <c r="J453" s="72"/>
      <c r="K453" s="72"/>
      <c r="L453" s="72"/>
      <c r="M453" s="72"/>
      <c r="N453" s="72"/>
      <c r="O453" s="72"/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</row>
    <row r="454" spans="1:26" x14ac:dyDescent="0.5">
      <c r="A454" s="72"/>
      <c r="B454" s="72"/>
      <c r="C454" s="72"/>
      <c r="D454" s="72"/>
      <c r="E454" s="72"/>
      <c r="F454" s="72"/>
      <c r="G454" s="72"/>
      <c r="H454" s="72"/>
      <c r="I454" s="72"/>
      <c r="J454" s="72"/>
      <c r="K454" s="72"/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</row>
    <row r="455" spans="1:26" x14ac:dyDescent="0.5">
      <c r="A455" s="72"/>
      <c r="B455" s="72"/>
      <c r="C455" s="72"/>
      <c r="D455" s="72"/>
      <c r="E455" s="72"/>
      <c r="F455" s="72"/>
      <c r="G455" s="72"/>
      <c r="H455" s="72"/>
      <c r="I455" s="72"/>
      <c r="J455" s="72"/>
      <c r="K455" s="72"/>
      <c r="L455" s="72"/>
      <c r="M455" s="72"/>
      <c r="N455" s="72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</row>
    <row r="456" spans="1:26" x14ac:dyDescent="0.5">
      <c r="A456" s="72"/>
      <c r="B456" s="72"/>
      <c r="C456" s="72"/>
      <c r="D456" s="72"/>
      <c r="E456" s="72"/>
      <c r="F456" s="72"/>
      <c r="G456" s="72"/>
      <c r="H456" s="72"/>
      <c r="I456" s="72"/>
      <c r="J456" s="72"/>
      <c r="K456" s="72"/>
      <c r="L456" s="72"/>
      <c r="M456" s="72"/>
      <c r="N456" s="72"/>
      <c r="O456" s="72"/>
      <c r="P456" s="72"/>
      <c r="Q456" s="72"/>
      <c r="R456" s="72"/>
      <c r="S456" s="72"/>
      <c r="T456" s="72"/>
      <c r="U456" s="72"/>
      <c r="V456" s="72"/>
      <c r="W456" s="72"/>
      <c r="X456" s="72"/>
      <c r="Y456" s="72"/>
      <c r="Z456" s="72"/>
    </row>
    <row r="457" spans="1:26" x14ac:dyDescent="0.5">
      <c r="A457" s="72"/>
      <c r="B457" s="72"/>
      <c r="C457" s="72"/>
      <c r="D457" s="72"/>
      <c r="E457" s="72"/>
      <c r="F457" s="72"/>
      <c r="G457" s="72"/>
      <c r="H457" s="72"/>
      <c r="I457" s="72"/>
      <c r="J457" s="72"/>
      <c r="K457" s="72"/>
      <c r="L457" s="72"/>
      <c r="M457" s="72"/>
      <c r="N457" s="72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</row>
    <row r="458" spans="1:26" x14ac:dyDescent="0.5">
      <c r="A458" s="72"/>
      <c r="B458" s="72"/>
      <c r="C458" s="72"/>
      <c r="D458" s="72"/>
      <c r="E458" s="72"/>
      <c r="F458" s="72"/>
      <c r="G458" s="72"/>
      <c r="H458" s="72"/>
      <c r="I458" s="72"/>
      <c r="J458" s="72"/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</row>
    <row r="459" spans="1:26" x14ac:dyDescent="0.5">
      <c r="A459" s="72"/>
      <c r="B459" s="72"/>
      <c r="C459" s="72"/>
      <c r="D459" s="72"/>
      <c r="E459" s="72"/>
      <c r="F459" s="72"/>
      <c r="G459" s="72"/>
      <c r="H459" s="72"/>
      <c r="I459" s="72"/>
      <c r="J459" s="72"/>
      <c r="K459" s="72"/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</row>
    <row r="460" spans="1:26" x14ac:dyDescent="0.5">
      <c r="A460" s="72"/>
      <c r="B460" s="72"/>
      <c r="C460" s="72"/>
      <c r="D460" s="72"/>
      <c r="E460" s="72"/>
      <c r="F460" s="72"/>
      <c r="G460" s="72"/>
      <c r="H460" s="72"/>
      <c r="I460" s="72"/>
      <c r="J460" s="72"/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</row>
    <row r="461" spans="1:26" x14ac:dyDescent="0.5">
      <c r="A461" s="72"/>
      <c r="B461" s="72"/>
      <c r="C461" s="72"/>
      <c r="D461" s="72"/>
      <c r="E461" s="72"/>
      <c r="F461" s="72"/>
      <c r="G461" s="72"/>
      <c r="H461" s="72"/>
      <c r="I461" s="72"/>
      <c r="J461" s="72"/>
      <c r="K461" s="72"/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</row>
    <row r="462" spans="1:26" x14ac:dyDescent="0.5">
      <c r="A462" s="72"/>
      <c r="B462" s="72"/>
      <c r="C462" s="72"/>
      <c r="D462" s="72"/>
      <c r="E462" s="72"/>
      <c r="F462" s="72"/>
      <c r="G462" s="72"/>
      <c r="H462" s="72"/>
      <c r="I462" s="72"/>
      <c r="J462" s="72"/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</row>
    <row r="463" spans="1:26" x14ac:dyDescent="0.5">
      <c r="A463" s="72"/>
      <c r="B463" s="72"/>
      <c r="C463" s="72"/>
      <c r="D463" s="72"/>
      <c r="E463" s="72"/>
      <c r="F463" s="72"/>
      <c r="G463" s="72"/>
      <c r="H463" s="72"/>
      <c r="I463" s="72"/>
      <c r="J463" s="72"/>
      <c r="K463" s="72"/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</row>
    <row r="464" spans="1:26" x14ac:dyDescent="0.5">
      <c r="A464" s="72"/>
      <c r="B464" s="72"/>
      <c r="C464" s="72"/>
      <c r="D464" s="72"/>
      <c r="E464" s="72"/>
      <c r="F464" s="72"/>
      <c r="G464" s="72"/>
      <c r="H464" s="72"/>
      <c r="I464" s="72"/>
      <c r="J464" s="72"/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</row>
    <row r="465" spans="1:26" x14ac:dyDescent="0.5">
      <c r="A465" s="72"/>
      <c r="B465" s="72"/>
      <c r="C465" s="72"/>
      <c r="D465" s="72"/>
      <c r="E465" s="72"/>
      <c r="F465" s="72"/>
      <c r="G465" s="72"/>
      <c r="H465" s="72"/>
      <c r="I465" s="72"/>
      <c r="J465" s="72"/>
      <c r="K465" s="72"/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</row>
    <row r="466" spans="1:26" x14ac:dyDescent="0.5">
      <c r="A466" s="72"/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  <c r="P466" s="72"/>
      <c r="Q466" s="72"/>
      <c r="R466" s="72"/>
      <c r="S466" s="72"/>
      <c r="T466" s="72"/>
      <c r="U466" s="72"/>
      <c r="V466" s="72"/>
      <c r="W466" s="72"/>
      <c r="X466" s="72"/>
      <c r="Y466" s="72"/>
      <c r="Z466" s="72"/>
    </row>
    <row r="467" spans="1:26" x14ac:dyDescent="0.5">
      <c r="A467" s="72"/>
      <c r="B467" s="72"/>
      <c r="C467" s="72"/>
      <c r="D467" s="72"/>
      <c r="E467" s="72"/>
      <c r="F467" s="72"/>
      <c r="G467" s="72"/>
      <c r="H467" s="72"/>
      <c r="I467" s="72"/>
      <c r="J467" s="72"/>
      <c r="K467" s="72"/>
      <c r="L467" s="72"/>
      <c r="M467" s="72"/>
      <c r="N467" s="72"/>
      <c r="O467" s="72"/>
      <c r="P467" s="72"/>
      <c r="Q467" s="72"/>
      <c r="R467" s="72"/>
      <c r="S467" s="72"/>
      <c r="T467" s="72"/>
      <c r="U467" s="72"/>
      <c r="V467" s="72"/>
      <c r="W467" s="72"/>
      <c r="X467" s="72"/>
      <c r="Y467" s="72"/>
      <c r="Z467" s="72"/>
    </row>
    <row r="468" spans="1:26" x14ac:dyDescent="0.5">
      <c r="A468" s="72"/>
      <c r="B468" s="72"/>
      <c r="C468" s="72"/>
      <c r="D468" s="72"/>
      <c r="E468" s="72"/>
      <c r="F468" s="72"/>
      <c r="G468" s="72"/>
      <c r="H468" s="72"/>
      <c r="I468" s="72"/>
      <c r="J468" s="72"/>
      <c r="K468" s="72"/>
      <c r="L468" s="72"/>
      <c r="M468" s="72"/>
      <c r="N468" s="72"/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</row>
    <row r="469" spans="1:26" x14ac:dyDescent="0.5">
      <c r="A469" s="72"/>
      <c r="B469" s="72"/>
      <c r="C469" s="72"/>
      <c r="D469" s="72"/>
      <c r="E469" s="72"/>
      <c r="F469" s="72"/>
      <c r="G469" s="72"/>
      <c r="H469" s="72"/>
      <c r="I469" s="72"/>
      <c r="J469" s="72"/>
      <c r="K469" s="72"/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</row>
    <row r="470" spans="1:26" x14ac:dyDescent="0.5">
      <c r="A470" s="72"/>
      <c r="B470" s="72"/>
      <c r="C470" s="72"/>
      <c r="D470" s="72"/>
      <c r="E470" s="72"/>
      <c r="F470" s="72"/>
      <c r="G470" s="72"/>
      <c r="H470" s="72"/>
      <c r="I470" s="72"/>
      <c r="J470" s="72"/>
      <c r="K470" s="72"/>
      <c r="L470" s="72"/>
      <c r="M470" s="72"/>
      <c r="N470" s="72"/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</row>
    <row r="471" spans="1:26" x14ac:dyDescent="0.5">
      <c r="A471" s="72"/>
      <c r="B471" s="72"/>
      <c r="C471" s="72"/>
      <c r="D471" s="72"/>
      <c r="E471" s="72"/>
      <c r="F471" s="72"/>
      <c r="G471" s="72"/>
      <c r="H471" s="72"/>
      <c r="I471" s="72"/>
      <c r="J471" s="72"/>
      <c r="K471" s="72"/>
      <c r="L471" s="72"/>
      <c r="M471" s="72"/>
      <c r="N471" s="72"/>
      <c r="O471" s="72"/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</row>
    <row r="472" spans="1:26" x14ac:dyDescent="0.5">
      <c r="A472" s="72"/>
      <c r="B472" s="72"/>
      <c r="C472" s="72"/>
      <c r="D472" s="72"/>
      <c r="E472" s="72"/>
      <c r="F472" s="72"/>
      <c r="G472" s="72"/>
      <c r="H472" s="72"/>
      <c r="I472" s="72"/>
      <c r="J472" s="72"/>
      <c r="K472" s="72"/>
      <c r="L472" s="72"/>
      <c r="M472" s="72"/>
      <c r="N472" s="72"/>
      <c r="O472" s="72"/>
      <c r="P472" s="72"/>
      <c r="Q472" s="72"/>
      <c r="R472" s="72"/>
      <c r="S472" s="72"/>
      <c r="T472" s="72"/>
      <c r="U472" s="72"/>
      <c r="V472" s="72"/>
      <c r="W472" s="72"/>
      <c r="X472" s="72"/>
      <c r="Y472" s="72"/>
      <c r="Z472" s="72"/>
    </row>
    <row r="473" spans="1:26" x14ac:dyDescent="0.5">
      <c r="A473" s="72"/>
      <c r="B473" s="72"/>
      <c r="C473" s="72"/>
      <c r="D473" s="72"/>
      <c r="E473" s="72"/>
      <c r="F473" s="72"/>
      <c r="G473" s="72"/>
      <c r="H473" s="72"/>
      <c r="I473" s="72"/>
      <c r="J473" s="72"/>
      <c r="K473" s="72"/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</row>
    <row r="474" spans="1:26" x14ac:dyDescent="0.5">
      <c r="A474" s="72"/>
      <c r="B474" s="72"/>
      <c r="C474" s="72"/>
      <c r="D474" s="72"/>
      <c r="E474" s="72"/>
      <c r="F474" s="72"/>
      <c r="G474" s="72"/>
      <c r="H474" s="72"/>
      <c r="I474" s="72"/>
      <c r="J474" s="72"/>
      <c r="K474" s="72"/>
      <c r="L474" s="72"/>
      <c r="M474" s="72"/>
      <c r="N474" s="72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</row>
    <row r="475" spans="1:26" x14ac:dyDescent="0.5">
      <c r="A475" s="72"/>
      <c r="B475" s="72"/>
      <c r="C475" s="72"/>
      <c r="D475" s="72"/>
      <c r="E475" s="72"/>
      <c r="F475" s="72"/>
      <c r="G475" s="72"/>
      <c r="H475" s="72"/>
      <c r="I475" s="72"/>
      <c r="J475" s="72"/>
      <c r="K475" s="72"/>
      <c r="L475" s="72"/>
      <c r="M475" s="72"/>
      <c r="N475" s="72"/>
      <c r="O475" s="72"/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</row>
    <row r="476" spans="1:26" x14ac:dyDescent="0.5">
      <c r="A476" s="72"/>
      <c r="B476" s="72"/>
      <c r="C476" s="72"/>
      <c r="D476" s="72"/>
      <c r="E476" s="72"/>
      <c r="F476" s="72"/>
      <c r="G476" s="72"/>
      <c r="H476" s="72"/>
      <c r="I476" s="72"/>
      <c r="J476" s="72"/>
      <c r="K476" s="72"/>
      <c r="L476" s="72"/>
      <c r="M476" s="72"/>
      <c r="N476" s="72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</row>
    <row r="477" spans="1:26" x14ac:dyDescent="0.5">
      <c r="A477" s="72"/>
      <c r="B477" s="72"/>
      <c r="C477" s="72"/>
      <c r="D477" s="72"/>
      <c r="E477" s="72"/>
      <c r="F477" s="72"/>
      <c r="G477" s="72"/>
      <c r="H477" s="72"/>
      <c r="I477" s="72"/>
      <c r="J477" s="72"/>
      <c r="K477" s="72"/>
      <c r="L477" s="72"/>
      <c r="M477" s="72"/>
      <c r="N477" s="72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</row>
    <row r="478" spans="1:26" x14ac:dyDescent="0.5">
      <c r="A478" s="72"/>
      <c r="B478" s="72"/>
      <c r="C478" s="72"/>
      <c r="D478" s="72"/>
      <c r="E478" s="72"/>
      <c r="F478" s="72"/>
      <c r="G478" s="72"/>
      <c r="H478" s="72"/>
      <c r="I478" s="72"/>
      <c r="J478" s="72"/>
      <c r="K478" s="72"/>
      <c r="L478" s="72"/>
      <c r="M478" s="72"/>
      <c r="N478" s="72"/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</row>
    <row r="479" spans="1:26" x14ac:dyDescent="0.5">
      <c r="A479" s="72"/>
      <c r="B479" s="72"/>
      <c r="C479" s="72"/>
      <c r="D479" s="72"/>
      <c r="E479" s="72"/>
      <c r="F479" s="72"/>
      <c r="G479" s="72"/>
      <c r="H479" s="72"/>
      <c r="I479" s="72"/>
      <c r="J479" s="72"/>
      <c r="K479" s="72"/>
      <c r="L479" s="72"/>
      <c r="M479" s="72"/>
      <c r="N479" s="72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</row>
    <row r="480" spans="1:26" x14ac:dyDescent="0.5">
      <c r="A480" s="72"/>
      <c r="B480" s="72"/>
      <c r="C480" s="72"/>
      <c r="D480" s="72"/>
      <c r="E480" s="72"/>
      <c r="F480" s="72"/>
      <c r="G480" s="72"/>
      <c r="H480" s="72"/>
      <c r="I480" s="72"/>
      <c r="J480" s="72"/>
      <c r="K480" s="72"/>
      <c r="L480" s="72"/>
      <c r="M480" s="72"/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</row>
    <row r="481" spans="1:26" x14ac:dyDescent="0.5">
      <c r="A481" s="72"/>
      <c r="B481" s="72"/>
      <c r="C481" s="72"/>
      <c r="D481" s="72"/>
      <c r="E481" s="72"/>
      <c r="F481" s="72"/>
      <c r="G481" s="72"/>
      <c r="H481" s="72"/>
      <c r="I481" s="72"/>
      <c r="J481" s="72"/>
      <c r="K481" s="72"/>
      <c r="L481" s="72"/>
      <c r="M481" s="72"/>
      <c r="N481" s="72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</row>
    <row r="482" spans="1:26" x14ac:dyDescent="0.5">
      <c r="A482" s="72"/>
      <c r="B482" s="72"/>
      <c r="C482" s="72"/>
      <c r="D482" s="72"/>
      <c r="E482" s="72"/>
      <c r="F482" s="72"/>
      <c r="G482" s="72"/>
      <c r="H482" s="72"/>
      <c r="I482" s="72"/>
      <c r="J482" s="72"/>
      <c r="K482" s="72"/>
      <c r="L482" s="72"/>
      <c r="M482" s="72"/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</row>
    <row r="483" spans="1:26" x14ac:dyDescent="0.5">
      <c r="A483" s="72"/>
      <c r="B483" s="72"/>
      <c r="C483" s="72"/>
      <c r="D483" s="72"/>
      <c r="E483" s="72"/>
      <c r="F483" s="72"/>
      <c r="G483" s="72"/>
      <c r="H483" s="72"/>
      <c r="I483" s="72"/>
      <c r="J483" s="72"/>
      <c r="K483" s="72"/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</row>
    <row r="484" spans="1:26" x14ac:dyDescent="0.5">
      <c r="A484" s="72"/>
      <c r="B484" s="72"/>
      <c r="C484" s="72"/>
      <c r="D484" s="72"/>
      <c r="E484" s="72"/>
      <c r="F484" s="72"/>
      <c r="G484" s="72"/>
      <c r="H484" s="72"/>
      <c r="I484" s="72"/>
      <c r="J484" s="72"/>
      <c r="K484" s="72"/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</row>
    <row r="485" spans="1:26" x14ac:dyDescent="0.5">
      <c r="A485" s="72"/>
      <c r="B485" s="72"/>
      <c r="C485" s="72"/>
      <c r="D485" s="72"/>
      <c r="E485" s="72"/>
      <c r="F485" s="72"/>
      <c r="G485" s="72"/>
      <c r="H485" s="72"/>
      <c r="I485" s="72"/>
      <c r="J485" s="72"/>
      <c r="K485" s="72"/>
      <c r="L485" s="72"/>
      <c r="M485" s="72"/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</row>
    <row r="486" spans="1:26" x14ac:dyDescent="0.5">
      <c r="A486" s="72"/>
      <c r="B486" s="72"/>
      <c r="C486" s="72"/>
      <c r="D486" s="72"/>
      <c r="E486" s="72"/>
      <c r="F486" s="72"/>
      <c r="G486" s="72"/>
      <c r="H486" s="72"/>
      <c r="I486" s="72"/>
      <c r="J486" s="72"/>
      <c r="K486" s="72"/>
      <c r="L486" s="72"/>
      <c r="M486" s="72"/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</row>
    <row r="487" spans="1:26" x14ac:dyDescent="0.5">
      <c r="A487" s="72"/>
      <c r="B487" s="72"/>
      <c r="C487" s="72"/>
      <c r="D487" s="72"/>
      <c r="E487" s="72"/>
      <c r="F487" s="72"/>
      <c r="G487" s="72"/>
      <c r="H487" s="72"/>
      <c r="I487" s="72"/>
      <c r="J487" s="72"/>
      <c r="K487" s="72"/>
      <c r="L487" s="72"/>
      <c r="M487" s="72"/>
      <c r="N487" s="72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</row>
    <row r="488" spans="1:26" x14ac:dyDescent="0.5">
      <c r="A488" s="72"/>
      <c r="B488" s="72"/>
      <c r="C488" s="72"/>
      <c r="D488" s="72"/>
      <c r="E488" s="72"/>
      <c r="F488" s="72"/>
      <c r="G488" s="72"/>
      <c r="H488" s="72"/>
      <c r="I488" s="72"/>
      <c r="J488" s="72"/>
      <c r="K488" s="72"/>
      <c r="L488" s="72"/>
      <c r="M488" s="72"/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</row>
    <row r="489" spans="1:26" x14ac:dyDescent="0.5">
      <c r="A489" s="72"/>
      <c r="B489" s="72"/>
      <c r="C489" s="72"/>
      <c r="D489" s="72"/>
      <c r="E489" s="72"/>
      <c r="F489" s="72"/>
      <c r="G489" s="72"/>
      <c r="H489" s="72"/>
      <c r="I489" s="72"/>
      <c r="J489" s="72"/>
      <c r="K489" s="72"/>
      <c r="L489" s="72"/>
      <c r="M489" s="72"/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</row>
    <row r="490" spans="1:26" x14ac:dyDescent="0.5">
      <c r="A490" s="72"/>
      <c r="B490" s="72"/>
      <c r="C490" s="72"/>
      <c r="D490" s="72"/>
      <c r="E490" s="72"/>
      <c r="F490" s="72"/>
      <c r="G490" s="72"/>
      <c r="H490" s="72"/>
      <c r="I490" s="72"/>
      <c r="J490" s="72"/>
      <c r="K490" s="72"/>
      <c r="L490" s="72"/>
      <c r="M490" s="72"/>
      <c r="N490" s="72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</row>
    <row r="491" spans="1:26" x14ac:dyDescent="0.5">
      <c r="A491" s="72"/>
      <c r="B491" s="72"/>
      <c r="C491" s="72"/>
      <c r="D491" s="72"/>
      <c r="E491" s="72"/>
      <c r="F491" s="72"/>
      <c r="G491" s="72"/>
      <c r="H491" s="72"/>
      <c r="I491" s="72"/>
      <c r="J491" s="72"/>
      <c r="K491" s="72"/>
      <c r="L491" s="72"/>
      <c r="M491" s="72"/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</row>
    <row r="492" spans="1:26" x14ac:dyDescent="0.5">
      <c r="A492" s="72"/>
      <c r="B492" s="72"/>
      <c r="C492" s="72"/>
      <c r="D492" s="72"/>
      <c r="E492" s="72"/>
      <c r="F492" s="72"/>
      <c r="G492" s="72"/>
      <c r="H492" s="72"/>
      <c r="I492" s="72"/>
      <c r="J492" s="72"/>
      <c r="K492" s="72"/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</row>
    <row r="493" spans="1:26" x14ac:dyDescent="0.5">
      <c r="A493" s="72"/>
      <c r="B493" s="72"/>
      <c r="C493" s="72"/>
      <c r="D493" s="72"/>
      <c r="E493" s="72"/>
      <c r="F493" s="72"/>
      <c r="G493" s="72"/>
      <c r="H493" s="72"/>
      <c r="I493" s="72"/>
      <c r="J493" s="72"/>
      <c r="K493" s="72"/>
      <c r="L493" s="72"/>
      <c r="M493" s="72"/>
      <c r="N493" s="72"/>
      <c r="O493" s="72"/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</row>
    <row r="494" spans="1:26" x14ac:dyDescent="0.5">
      <c r="A494" s="72"/>
      <c r="B494" s="72"/>
      <c r="C494" s="72"/>
      <c r="D494" s="72"/>
      <c r="E494" s="72"/>
      <c r="F494" s="72"/>
      <c r="G494" s="72"/>
      <c r="H494" s="72"/>
      <c r="I494" s="72"/>
      <c r="J494" s="72"/>
      <c r="K494" s="72"/>
      <c r="L494" s="72"/>
      <c r="M494" s="72"/>
      <c r="N494" s="72"/>
      <c r="O494" s="72"/>
      <c r="P494" s="72"/>
      <c r="Q494" s="72"/>
      <c r="R494" s="72"/>
      <c r="S494" s="72"/>
      <c r="T494" s="72"/>
      <c r="U494" s="72"/>
      <c r="V494" s="72"/>
      <c r="W494" s="72"/>
      <c r="X494" s="72"/>
      <c r="Y494" s="72"/>
      <c r="Z494" s="72"/>
    </row>
    <row r="495" spans="1:26" x14ac:dyDescent="0.5">
      <c r="A495" s="72"/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</row>
    <row r="496" spans="1:26" x14ac:dyDescent="0.5">
      <c r="A496" s="72"/>
      <c r="B496" s="72"/>
      <c r="C496" s="72"/>
      <c r="D496" s="72"/>
      <c r="E496" s="72"/>
      <c r="F496" s="72"/>
      <c r="G496" s="72"/>
      <c r="H496" s="72"/>
      <c r="I496" s="72"/>
      <c r="J496" s="72"/>
      <c r="K496" s="72"/>
      <c r="L496" s="72"/>
      <c r="M496" s="72"/>
      <c r="N496" s="72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</row>
    <row r="497" spans="1:26" x14ac:dyDescent="0.5">
      <c r="A497" s="72"/>
      <c r="B497" s="72"/>
      <c r="C497" s="72"/>
      <c r="D497" s="72"/>
      <c r="E497" s="72"/>
      <c r="F497" s="72"/>
      <c r="G497" s="72"/>
      <c r="H497" s="72"/>
      <c r="I497" s="72"/>
      <c r="J497" s="72"/>
      <c r="K497" s="72"/>
      <c r="L497" s="72"/>
      <c r="M497" s="72"/>
      <c r="N497" s="72"/>
      <c r="O497" s="72"/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72"/>
    </row>
    <row r="498" spans="1:26" x14ac:dyDescent="0.5">
      <c r="A498" s="72"/>
      <c r="B498" s="72"/>
      <c r="C498" s="72"/>
      <c r="D498" s="72"/>
      <c r="E498" s="72"/>
      <c r="F498" s="72"/>
      <c r="G498" s="72"/>
      <c r="H498" s="72"/>
      <c r="I498" s="72"/>
      <c r="J498" s="72"/>
      <c r="K498" s="72"/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</row>
    <row r="499" spans="1:26" x14ac:dyDescent="0.5">
      <c r="A499" s="72"/>
      <c r="B499" s="72"/>
      <c r="C499" s="72"/>
      <c r="D499" s="72"/>
      <c r="E499" s="72"/>
      <c r="F499" s="72"/>
      <c r="G499" s="72"/>
      <c r="H499" s="72"/>
      <c r="I499" s="72"/>
      <c r="J499" s="72"/>
      <c r="K499" s="72"/>
      <c r="L499" s="72"/>
      <c r="M499" s="72"/>
      <c r="N499" s="72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</row>
    <row r="500" spans="1:26" x14ac:dyDescent="0.5">
      <c r="A500" s="72"/>
      <c r="B500" s="72"/>
      <c r="C500" s="72"/>
      <c r="D500" s="72"/>
      <c r="E500" s="72"/>
      <c r="F500" s="72"/>
      <c r="G500" s="72"/>
      <c r="H500" s="72"/>
      <c r="I500" s="72"/>
      <c r="J500" s="72"/>
      <c r="K500" s="72"/>
      <c r="L500" s="72"/>
      <c r="M500" s="72"/>
      <c r="N500" s="72"/>
      <c r="O500" s="72"/>
      <c r="P500" s="72"/>
      <c r="Q500" s="72"/>
      <c r="R500" s="72"/>
      <c r="S500" s="72"/>
      <c r="T500" s="72"/>
      <c r="U500" s="72"/>
      <c r="V500" s="72"/>
      <c r="W500" s="72"/>
      <c r="X500" s="72"/>
      <c r="Y500" s="72"/>
      <c r="Z500" s="72"/>
    </row>
    <row r="501" spans="1:26" x14ac:dyDescent="0.5">
      <c r="A501" s="72"/>
      <c r="B501" s="72"/>
      <c r="C501" s="72"/>
      <c r="D501" s="72"/>
      <c r="E501" s="72"/>
      <c r="F501" s="72"/>
      <c r="G501" s="72"/>
      <c r="H501" s="72"/>
      <c r="I501" s="72"/>
      <c r="J501" s="72"/>
      <c r="K501" s="72"/>
      <c r="L501" s="72"/>
      <c r="M501" s="72"/>
      <c r="N501" s="72"/>
      <c r="O501" s="72"/>
      <c r="P501" s="72"/>
      <c r="Q501" s="72"/>
      <c r="R501" s="72"/>
      <c r="S501" s="72"/>
      <c r="T501" s="72"/>
      <c r="U501" s="72"/>
      <c r="V501" s="72"/>
      <c r="W501" s="72"/>
      <c r="X501" s="72"/>
      <c r="Y501" s="72"/>
      <c r="Z501" s="72"/>
    </row>
    <row r="502" spans="1:26" x14ac:dyDescent="0.5">
      <c r="A502" s="72"/>
      <c r="B502" s="72"/>
      <c r="C502" s="72"/>
      <c r="D502" s="72"/>
      <c r="E502" s="72"/>
      <c r="F502" s="72"/>
      <c r="G502" s="72"/>
      <c r="H502" s="72"/>
      <c r="I502" s="72"/>
      <c r="J502" s="72"/>
      <c r="K502" s="72"/>
      <c r="L502" s="72"/>
      <c r="M502" s="72"/>
      <c r="N502" s="72"/>
      <c r="O502" s="72"/>
      <c r="P502" s="72"/>
      <c r="Q502" s="72"/>
      <c r="R502" s="72"/>
      <c r="S502" s="72"/>
      <c r="T502" s="72"/>
      <c r="U502" s="72"/>
      <c r="V502" s="72"/>
      <c r="W502" s="72"/>
      <c r="X502" s="72"/>
      <c r="Y502" s="72"/>
      <c r="Z502" s="72"/>
    </row>
    <row r="503" spans="1:26" x14ac:dyDescent="0.5">
      <c r="A503" s="72"/>
      <c r="B503" s="72"/>
      <c r="C503" s="72"/>
      <c r="D503" s="72"/>
      <c r="E503" s="72"/>
      <c r="F503" s="72"/>
      <c r="G503" s="72"/>
      <c r="H503" s="72"/>
      <c r="I503" s="72"/>
      <c r="J503" s="72"/>
      <c r="K503" s="72"/>
      <c r="L503" s="72"/>
      <c r="M503" s="72"/>
      <c r="N503" s="72"/>
      <c r="O503" s="72"/>
      <c r="P503" s="72"/>
      <c r="Q503" s="72"/>
      <c r="R503" s="72"/>
      <c r="S503" s="72"/>
      <c r="T503" s="72"/>
      <c r="U503" s="72"/>
      <c r="V503" s="72"/>
      <c r="W503" s="72"/>
      <c r="X503" s="72"/>
      <c r="Y503" s="72"/>
      <c r="Z503" s="72"/>
    </row>
    <row r="504" spans="1:26" x14ac:dyDescent="0.5">
      <c r="A504" s="72"/>
      <c r="B504" s="72"/>
      <c r="C504" s="72"/>
      <c r="D504" s="72"/>
      <c r="E504" s="72"/>
      <c r="F504" s="72"/>
      <c r="G504" s="72"/>
      <c r="H504" s="72"/>
      <c r="I504" s="72"/>
      <c r="J504" s="72"/>
      <c r="K504" s="72"/>
      <c r="L504" s="72"/>
      <c r="M504" s="72"/>
      <c r="N504" s="72"/>
      <c r="O504" s="72"/>
      <c r="P504" s="72"/>
      <c r="Q504" s="72"/>
      <c r="R504" s="72"/>
      <c r="S504" s="72"/>
      <c r="T504" s="72"/>
      <c r="U504" s="72"/>
      <c r="V504" s="72"/>
      <c r="W504" s="72"/>
      <c r="X504" s="72"/>
      <c r="Y504" s="72"/>
      <c r="Z504" s="72"/>
    </row>
    <row r="505" spans="1:26" x14ac:dyDescent="0.5">
      <c r="A505" s="72"/>
      <c r="B505" s="72"/>
      <c r="C505" s="72"/>
      <c r="D505" s="72"/>
      <c r="E505" s="72"/>
      <c r="F505" s="72"/>
      <c r="G505" s="72"/>
      <c r="H505" s="72"/>
      <c r="I505" s="72"/>
      <c r="J505" s="72"/>
      <c r="K505" s="72"/>
      <c r="L505" s="72"/>
      <c r="M505" s="72"/>
      <c r="N505" s="72"/>
      <c r="O505" s="72"/>
      <c r="P505" s="72"/>
      <c r="Q505" s="72"/>
      <c r="R505" s="72"/>
      <c r="S505" s="72"/>
      <c r="T505" s="72"/>
      <c r="U505" s="72"/>
      <c r="V505" s="72"/>
      <c r="W505" s="72"/>
      <c r="X505" s="72"/>
      <c r="Y505" s="72"/>
      <c r="Z505" s="72"/>
    </row>
    <row r="506" spans="1:26" x14ac:dyDescent="0.5">
      <c r="A506" s="72"/>
      <c r="B506" s="72"/>
      <c r="C506" s="72"/>
      <c r="D506" s="72"/>
      <c r="E506" s="72"/>
      <c r="F506" s="72"/>
      <c r="G506" s="72"/>
      <c r="H506" s="72"/>
      <c r="I506" s="72"/>
      <c r="J506" s="72"/>
      <c r="K506" s="72"/>
      <c r="L506" s="72"/>
      <c r="M506" s="72"/>
      <c r="N506" s="72"/>
      <c r="O506" s="72"/>
      <c r="P506" s="72"/>
      <c r="Q506" s="72"/>
      <c r="R506" s="72"/>
      <c r="S506" s="72"/>
      <c r="T506" s="72"/>
      <c r="U506" s="72"/>
      <c r="V506" s="72"/>
      <c r="W506" s="72"/>
      <c r="X506" s="72"/>
      <c r="Y506" s="72"/>
      <c r="Z506" s="72"/>
    </row>
    <row r="507" spans="1:26" x14ac:dyDescent="0.5">
      <c r="A507" s="72"/>
      <c r="B507" s="72"/>
      <c r="C507" s="72"/>
      <c r="D507" s="72"/>
      <c r="E507" s="72"/>
      <c r="F507" s="72"/>
      <c r="G507" s="72"/>
      <c r="H507" s="72"/>
      <c r="I507" s="72"/>
      <c r="J507" s="72"/>
      <c r="K507" s="72"/>
      <c r="L507" s="72"/>
      <c r="M507" s="72"/>
      <c r="N507" s="72"/>
      <c r="O507" s="72"/>
      <c r="P507" s="72"/>
      <c r="Q507" s="72"/>
      <c r="R507" s="72"/>
      <c r="S507" s="72"/>
      <c r="T507" s="72"/>
      <c r="U507" s="72"/>
      <c r="V507" s="72"/>
      <c r="W507" s="72"/>
      <c r="X507" s="72"/>
      <c r="Y507" s="72"/>
      <c r="Z507" s="72"/>
    </row>
    <row r="508" spans="1:26" x14ac:dyDescent="0.5">
      <c r="A508" s="72"/>
      <c r="B508" s="72"/>
      <c r="C508" s="72"/>
      <c r="D508" s="72"/>
      <c r="E508" s="72"/>
      <c r="F508" s="72"/>
      <c r="G508" s="72"/>
      <c r="H508" s="72"/>
      <c r="I508" s="72"/>
      <c r="J508" s="72"/>
      <c r="K508" s="72"/>
      <c r="L508" s="72"/>
      <c r="M508" s="72"/>
      <c r="N508" s="72"/>
      <c r="O508" s="72"/>
      <c r="P508" s="72"/>
      <c r="Q508" s="72"/>
      <c r="R508" s="72"/>
      <c r="S508" s="72"/>
      <c r="T508" s="72"/>
      <c r="U508" s="72"/>
      <c r="V508" s="72"/>
      <c r="W508" s="72"/>
      <c r="X508" s="72"/>
      <c r="Y508" s="72"/>
      <c r="Z508" s="72"/>
    </row>
    <row r="509" spans="1:26" x14ac:dyDescent="0.5">
      <c r="A509" s="72"/>
      <c r="B509" s="72"/>
      <c r="C509" s="72"/>
      <c r="D509" s="72"/>
      <c r="E509" s="72"/>
      <c r="F509" s="72"/>
      <c r="G509" s="72"/>
      <c r="H509" s="72"/>
      <c r="I509" s="72"/>
      <c r="J509" s="72"/>
      <c r="K509" s="72"/>
      <c r="L509" s="72"/>
      <c r="M509" s="72"/>
      <c r="N509" s="72"/>
      <c r="O509" s="72"/>
      <c r="P509" s="72"/>
      <c r="Q509" s="72"/>
      <c r="R509" s="72"/>
      <c r="S509" s="72"/>
      <c r="T509" s="72"/>
      <c r="U509" s="72"/>
      <c r="V509" s="72"/>
      <c r="W509" s="72"/>
      <c r="X509" s="72"/>
      <c r="Y509" s="72"/>
      <c r="Z509" s="72"/>
    </row>
    <row r="510" spans="1:26" x14ac:dyDescent="0.5">
      <c r="A510" s="72"/>
      <c r="B510" s="72"/>
      <c r="C510" s="72"/>
      <c r="D510" s="72"/>
      <c r="E510" s="72"/>
      <c r="F510" s="72"/>
      <c r="G510" s="72"/>
      <c r="H510" s="72"/>
      <c r="I510" s="72"/>
      <c r="J510" s="72"/>
      <c r="K510" s="72"/>
      <c r="L510" s="72"/>
      <c r="M510" s="72"/>
      <c r="N510" s="72"/>
      <c r="O510" s="72"/>
      <c r="P510" s="72"/>
      <c r="Q510" s="72"/>
      <c r="R510" s="72"/>
      <c r="S510" s="72"/>
      <c r="T510" s="72"/>
      <c r="U510" s="72"/>
      <c r="V510" s="72"/>
      <c r="W510" s="72"/>
      <c r="X510" s="72"/>
      <c r="Y510" s="72"/>
      <c r="Z510" s="72"/>
    </row>
    <row r="511" spans="1:26" x14ac:dyDescent="0.5">
      <c r="A511" s="72"/>
      <c r="B511" s="72"/>
      <c r="C511" s="72"/>
      <c r="D511" s="72"/>
      <c r="E511" s="72"/>
      <c r="F511" s="72"/>
      <c r="G511" s="72"/>
      <c r="H511" s="72"/>
      <c r="I511" s="72"/>
      <c r="J511" s="72"/>
      <c r="K511" s="72"/>
      <c r="L511" s="72"/>
      <c r="M511" s="72"/>
      <c r="N511" s="72"/>
      <c r="O511" s="72"/>
      <c r="P511" s="72"/>
      <c r="Q511" s="72"/>
      <c r="R511" s="72"/>
      <c r="S511" s="72"/>
      <c r="T511" s="72"/>
      <c r="U511" s="72"/>
      <c r="V511" s="72"/>
      <c r="W511" s="72"/>
      <c r="X511" s="72"/>
      <c r="Y511" s="72"/>
      <c r="Z511" s="72"/>
    </row>
    <row r="512" spans="1:26" x14ac:dyDescent="0.5">
      <c r="A512" s="72"/>
      <c r="B512" s="72"/>
      <c r="C512" s="72"/>
      <c r="D512" s="72"/>
      <c r="E512" s="72"/>
      <c r="F512" s="72"/>
      <c r="G512" s="72"/>
      <c r="H512" s="72"/>
      <c r="I512" s="72"/>
      <c r="J512" s="72"/>
      <c r="K512" s="72"/>
      <c r="L512" s="72"/>
      <c r="M512" s="72"/>
      <c r="N512" s="72"/>
      <c r="O512" s="72"/>
      <c r="P512" s="72"/>
      <c r="Q512" s="72"/>
      <c r="R512" s="72"/>
      <c r="S512" s="72"/>
      <c r="T512" s="72"/>
      <c r="U512" s="72"/>
      <c r="V512" s="72"/>
      <c r="W512" s="72"/>
      <c r="X512" s="72"/>
      <c r="Y512" s="72"/>
      <c r="Z512" s="72"/>
    </row>
    <row r="513" spans="1:26" x14ac:dyDescent="0.5">
      <c r="A513" s="72"/>
      <c r="B513" s="72"/>
      <c r="C513" s="72"/>
      <c r="D513" s="72"/>
      <c r="E513" s="72"/>
      <c r="F513" s="72"/>
      <c r="G513" s="72"/>
      <c r="H513" s="72"/>
      <c r="I513" s="72"/>
      <c r="J513" s="72"/>
      <c r="K513" s="72"/>
      <c r="L513" s="72"/>
      <c r="M513" s="72"/>
      <c r="N513" s="72"/>
      <c r="O513" s="72"/>
      <c r="P513" s="72"/>
      <c r="Q513" s="72"/>
      <c r="R513" s="72"/>
      <c r="S513" s="72"/>
      <c r="T513" s="72"/>
      <c r="U513" s="72"/>
      <c r="V513" s="72"/>
      <c r="W513" s="72"/>
      <c r="X513" s="72"/>
      <c r="Y513" s="72"/>
      <c r="Z513" s="72"/>
    </row>
    <row r="514" spans="1:26" x14ac:dyDescent="0.5">
      <c r="A514" s="72"/>
      <c r="B514" s="72"/>
      <c r="C514" s="72"/>
      <c r="D514" s="72"/>
      <c r="E514" s="72"/>
      <c r="F514" s="72"/>
      <c r="G514" s="72"/>
      <c r="H514" s="72"/>
      <c r="I514" s="72"/>
      <c r="J514" s="72"/>
      <c r="K514" s="72"/>
      <c r="L514" s="72"/>
      <c r="M514" s="72"/>
      <c r="N514" s="72"/>
      <c r="O514" s="72"/>
      <c r="P514" s="72"/>
      <c r="Q514" s="72"/>
      <c r="R514" s="72"/>
      <c r="S514" s="72"/>
      <c r="T514" s="72"/>
      <c r="U514" s="72"/>
      <c r="V514" s="72"/>
      <c r="W514" s="72"/>
      <c r="X514" s="72"/>
      <c r="Y514" s="72"/>
      <c r="Z514" s="72"/>
    </row>
    <row r="515" spans="1:26" x14ac:dyDescent="0.5">
      <c r="A515" s="72"/>
      <c r="B515" s="72"/>
      <c r="C515" s="72"/>
      <c r="D515" s="72"/>
      <c r="E515" s="72"/>
      <c r="F515" s="72"/>
      <c r="G515" s="72"/>
      <c r="H515" s="72"/>
      <c r="I515" s="72"/>
      <c r="J515" s="72"/>
      <c r="K515" s="72"/>
      <c r="L515" s="72"/>
      <c r="M515" s="72"/>
      <c r="N515" s="72"/>
      <c r="O515" s="72"/>
      <c r="P515" s="72"/>
      <c r="Q515" s="72"/>
      <c r="R515" s="72"/>
      <c r="S515" s="72"/>
      <c r="T515" s="72"/>
      <c r="U515" s="72"/>
      <c r="V515" s="72"/>
      <c r="W515" s="72"/>
      <c r="X515" s="72"/>
      <c r="Y515" s="72"/>
      <c r="Z515" s="72"/>
    </row>
    <row r="516" spans="1:26" x14ac:dyDescent="0.5">
      <c r="A516" s="72"/>
      <c r="B516" s="72"/>
      <c r="C516" s="72"/>
      <c r="D516" s="72"/>
      <c r="E516" s="72"/>
      <c r="F516" s="72"/>
      <c r="G516" s="72"/>
      <c r="H516" s="72"/>
      <c r="I516" s="72"/>
      <c r="J516" s="72"/>
      <c r="K516" s="72"/>
      <c r="L516" s="72"/>
      <c r="M516" s="72"/>
      <c r="N516" s="72"/>
      <c r="O516" s="72"/>
      <c r="P516" s="72"/>
      <c r="Q516" s="72"/>
      <c r="R516" s="72"/>
      <c r="S516" s="72"/>
      <c r="T516" s="72"/>
      <c r="U516" s="72"/>
      <c r="V516" s="72"/>
      <c r="W516" s="72"/>
      <c r="X516" s="72"/>
      <c r="Y516" s="72"/>
      <c r="Z516" s="72"/>
    </row>
    <row r="517" spans="1:26" x14ac:dyDescent="0.5">
      <c r="A517" s="72"/>
      <c r="B517" s="72"/>
      <c r="C517" s="72"/>
      <c r="D517" s="72"/>
      <c r="E517" s="72"/>
      <c r="F517" s="72"/>
      <c r="G517" s="72"/>
      <c r="H517" s="72"/>
      <c r="I517" s="72"/>
      <c r="J517" s="72"/>
      <c r="K517" s="72"/>
      <c r="L517" s="72"/>
      <c r="M517" s="72"/>
      <c r="N517" s="72"/>
      <c r="O517" s="72"/>
      <c r="P517" s="72"/>
      <c r="Q517" s="72"/>
      <c r="R517" s="72"/>
      <c r="S517" s="72"/>
      <c r="T517" s="72"/>
      <c r="U517" s="72"/>
      <c r="V517" s="72"/>
      <c r="W517" s="72"/>
      <c r="X517" s="72"/>
      <c r="Y517" s="72"/>
      <c r="Z517" s="72"/>
    </row>
    <row r="518" spans="1:26" x14ac:dyDescent="0.5">
      <c r="A518" s="72"/>
      <c r="B518" s="72"/>
      <c r="C518" s="72"/>
      <c r="D518" s="72"/>
      <c r="E518" s="72"/>
      <c r="F518" s="72"/>
      <c r="G518" s="72"/>
      <c r="H518" s="72"/>
      <c r="I518" s="72"/>
      <c r="J518" s="72"/>
      <c r="K518" s="72"/>
      <c r="L518" s="72"/>
      <c r="M518" s="72"/>
      <c r="N518" s="72"/>
      <c r="O518" s="72"/>
      <c r="P518" s="72"/>
      <c r="Q518" s="72"/>
      <c r="R518" s="72"/>
      <c r="S518" s="72"/>
      <c r="T518" s="72"/>
      <c r="U518" s="72"/>
      <c r="V518" s="72"/>
      <c r="W518" s="72"/>
      <c r="X518" s="72"/>
      <c r="Y518" s="72"/>
      <c r="Z518" s="72"/>
    </row>
    <row r="519" spans="1:26" x14ac:dyDescent="0.5">
      <c r="A519" s="72"/>
      <c r="B519" s="72"/>
      <c r="C519" s="72"/>
      <c r="D519" s="72"/>
      <c r="E519" s="72"/>
      <c r="F519" s="72"/>
      <c r="G519" s="72"/>
      <c r="H519" s="72"/>
      <c r="I519" s="72"/>
      <c r="J519" s="72"/>
      <c r="K519" s="72"/>
      <c r="L519" s="72"/>
      <c r="M519" s="72"/>
      <c r="N519" s="72"/>
      <c r="O519" s="72"/>
      <c r="P519" s="72"/>
      <c r="Q519" s="72"/>
      <c r="R519" s="72"/>
      <c r="S519" s="72"/>
      <c r="T519" s="72"/>
      <c r="U519" s="72"/>
      <c r="V519" s="72"/>
      <c r="W519" s="72"/>
      <c r="X519" s="72"/>
      <c r="Y519" s="72"/>
      <c r="Z519" s="72"/>
    </row>
    <row r="520" spans="1:26" x14ac:dyDescent="0.5">
      <c r="A520" s="72"/>
      <c r="B520" s="72"/>
      <c r="C520" s="72"/>
      <c r="D520" s="72"/>
      <c r="E520" s="72"/>
      <c r="F520" s="72"/>
      <c r="G520" s="72"/>
      <c r="H520" s="72"/>
      <c r="I520" s="72"/>
      <c r="J520" s="72"/>
      <c r="K520" s="72"/>
      <c r="L520" s="72"/>
      <c r="M520" s="72"/>
      <c r="N520" s="72"/>
      <c r="O520" s="72"/>
      <c r="P520" s="72"/>
      <c r="Q520" s="72"/>
      <c r="R520" s="72"/>
      <c r="S520" s="72"/>
      <c r="T520" s="72"/>
      <c r="U520" s="72"/>
      <c r="V520" s="72"/>
      <c r="W520" s="72"/>
      <c r="X520" s="72"/>
      <c r="Y520" s="72"/>
      <c r="Z520" s="72"/>
    </row>
    <row r="521" spans="1:26" x14ac:dyDescent="0.5">
      <c r="A521" s="72"/>
      <c r="B521" s="72"/>
      <c r="C521" s="72"/>
      <c r="D521" s="72"/>
      <c r="E521" s="72"/>
      <c r="F521" s="72"/>
      <c r="G521" s="72"/>
      <c r="H521" s="72"/>
      <c r="I521" s="72"/>
      <c r="J521" s="72"/>
      <c r="K521" s="72"/>
      <c r="L521" s="72"/>
      <c r="M521" s="72"/>
      <c r="N521" s="72"/>
      <c r="O521" s="72"/>
      <c r="P521" s="72"/>
      <c r="Q521" s="72"/>
      <c r="R521" s="72"/>
      <c r="S521" s="72"/>
      <c r="T521" s="72"/>
      <c r="U521" s="72"/>
      <c r="V521" s="72"/>
      <c r="W521" s="72"/>
      <c r="X521" s="72"/>
      <c r="Y521" s="72"/>
      <c r="Z521" s="72"/>
    </row>
    <row r="522" spans="1:26" x14ac:dyDescent="0.5">
      <c r="A522" s="72"/>
      <c r="B522" s="72"/>
      <c r="C522" s="72"/>
      <c r="D522" s="72"/>
      <c r="E522" s="72"/>
      <c r="F522" s="72"/>
      <c r="G522" s="72"/>
      <c r="H522" s="72"/>
      <c r="I522" s="72"/>
      <c r="J522" s="72"/>
      <c r="K522" s="72"/>
      <c r="L522" s="72"/>
      <c r="M522" s="72"/>
      <c r="N522" s="72"/>
      <c r="O522" s="72"/>
      <c r="P522" s="72"/>
      <c r="Q522" s="72"/>
      <c r="R522" s="72"/>
      <c r="S522" s="72"/>
      <c r="T522" s="72"/>
      <c r="U522" s="72"/>
      <c r="V522" s="72"/>
      <c r="W522" s="72"/>
      <c r="X522" s="72"/>
      <c r="Y522" s="72"/>
      <c r="Z522" s="72"/>
    </row>
    <row r="523" spans="1:26" x14ac:dyDescent="0.5">
      <c r="A523" s="72"/>
      <c r="B523" s="72"/>
      <c r="C523" s="72"/>
      <c r="D523" s="72"/>
      <c r="E523" s="72"/>
      <c r="F523" s="72"/>
      <c r="G523" s="72"/>
      <c r="H523" s="72"/>
      <c r="I523" s="72"/>
      <c r="J523" s="72"/>
      <c r="K523" s="72"/>
      <c r="L523" s="72"/>
      <c r="M523" s="72"/>
      <c r="N523" s="72"/>
      <c r="O523" s="72"/>
      <c r="P523" s="72"/>
      <c r="Q523" s="72"/>
      <c r="R523" s="72"/>
      <c r="S523" s="72"/>
      <c r="T523" s="72"/>
      <c r="U523" s="72"/>
      <c r="V523" s="72"/>
      <c r="W523" s="72"/>
      <c r="X523" s="72"/>
      <c r="Y523" s="72"/>
      <c r="Z523" s="72"/>
    </row>
    <row r="524" spans="1:26" x14ac:dyDescent="0.5">
      <c r="A524" s="72"/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  <c r="P524" s="72"/>
      <c r="Q524" s="72"/>
      <c r="R524" s="72"/>
      <c r="S524" s="72"/>
      <c r="T524" s="72"/>
      <c r="U524" s="72"/>
      <c r="V524" s="72"/>
      <c r="W524" s="72"/>
      <c r="X524" s="72"/>
      <c r="Y524" s="72"/>
      <c r="Z524" s="72"/>
    </row>
    <row r="525" spans="1:26" x14ac:dyDescent="0.5">
      <c r="A525" s="72"/>
      <c r="B525" s="72"/>
      <c r="C525" s="72"/>
      <c r="D525" s="72"/>
      <c r="E525" s="72"/>
      <c r="F525" s="72"/>
      <c r="G525" s="72"/>
      <c r="H525" s="72"/>
      <c r="I525" s="72"/>
      <c r="J525" s="72"/>
      <c r="K525" s="72"/>
      <c r="L525" s="72"/>
      <c r="M525" s="72"/>
      <c r="N525" s="72"/>
      <c r="O525" s="72"/>
      <c r="P525" s="72"/>
      <c r="Q525" s="72"/>
      <c r="R525" s="72"/>
      <c r="S525" s="72"/>
      <c r="T525" s="72"/>
      <c r="U525" s="72"/>
      <c r="V525" s="72"/>
      <c r="W525" s="72"/>
      <c r="X525" s="72"/>
      <c r="Y525" s="72"/>
      <c r="Z525" s="72"/>
    </row>
    <row r="526" spans="1:26" x14ac:dyDescent="0.5">
      <c r="A526" s="72"/>
      <c r="B526" s="72"/>
      <c r="C526" s="72"/>
      <c r="D526" s="72"/>
      <c r="E526" s="72"/>
      <c r="F526" s="72"/>
      <c r="G526" s="72"/>
      <c r="H526" s="72"/>
      <c r="I526" s="72"/>
      <c r="J526" s="72"/>
      <c r="K526" s="72"/>
      <c r="L526" s="72"/>
      <c r="M526" s="72"/>
      <c r="N526" s="72"/>
      <c r="O526" s="72"/>
      <c r="P526" s="72"/>
      <c r="Q526" s="72"/>
      <c r="R526" s="72"/>
      <c r="S526" s="72"/>
      <c r="T526" s="72"/>
      <c r="U526" s="72"/>
      <c r="V526" s="72"/>
      <c r="W526" s="72"/>
      <c r="X526" s="72"/>
      <c r="Y526" s="72"/>
      <c r="Z526" s="72"/>
    </row>
    <row r="527" spans="1:26" x14ac:dyDescent="0.5">
      <c r="A527" s="72"/>
      <c r="B527" s="72"/>
      <c r="C527" s="72"/>
      <c r="D527" s="72"/>
      <c r="E527" s="72"/>
      <c r="F527" s="72"/>
      <c r="G527" s="72"/>
      <c r="H527" s="72"/>
      <c r="I527" s="72"/>
      <c r="J527" s="72"/>
      <c r="K527" s="72"/>
      <c r="L527" s="72"/>
      <c r="M527" s="72"/>
      <c r="N527" s="72"/>
      <c r="O527" s="72"/>
      <c r="P527" s="72"/>
      <c r="Q527" s="72"/>
      <c r="R527" s="72"/>
      <c r="S527" s="72"/>
      <c r="T527" s="72"/>
      <c r="U527" s="72"/>
      <c r="V527" s="72"/>
      <c r="W527" s="72"/>
      <c r="X527" s="72"/>
      <c r="Y527" s="72"/>
      <c r="Z527" s="72"/>
    </row>
    <row r="528" spans="1:26" x14ac:dyDescent="0.5">
      <c r="A528" s="72"/>
      <c r="B528" s="72"/>
      <c r="C528" s="72"/>
      <c r="D528" s="72"/>
      <c r="E528" s="72"/>
      <c r="F528" s="72"/>
      <c r="G528" s="72"/>
      <c r="H528" s="72"/>
      <c r="I528" s="72"/>
      <c r="J528" s="72"/>
      <c r="K528" s="72"/>
      <c r="L528" s="72"/>
      <c r="M528" s="72"/>
      <c r="N528" s="72"/>
      <c r="O528" s="72"/>
      <c r="P528" s="72"/>
      <c r="Q528" s="72"/>
      <c r="R528" s="72"/>
      <c r="S528" s="72"/>
      <c r="T528" s="72"/>
      <c r="U528" s="72"/>
      <c r="V528" s="72"/>
      <c r="W528" s="72"/>
      <c r="X528" s="72"/>
      <c r="Y528" s="72"/>
      <c r="Z528" s="72"/>
    </row>
    <row r="529" spans="1:26" x14ac:dyDescent="0.5">
      <c r="A529" s="72"/>
      <c r="B529" s="72"/>
      <c r="C529" s="72"/>
      <c r="D529" s="72"/>
      <c r="E529" s="72"/>
      <c r="F529" s="72"/>
      <c r="G529" s="72"/>
      <c r="H529" s="72"/>
      <c r="I529" s="72"/>
      <c r="J529" s="72"/>
      <c r="K529" s="72"/>
      <c r="L529" s="72"/>
      <c r="M529" s="72"/>
      <c r="N529" s="72"/>
      <c r="O529" s="72"/>
      <c r="P529" s="72"/>
      <c r="Q529" s="72"/>
      <c r="R529" s="72"/>
      <c r="S529" s="72"/>
      <c r="T529" s="72"/>
      <c r="U529" s="72"/>
      <c r="V529" s="72"/>
      <c r="W529" s="72"/>
      <c r="X529" s="72"/>
      <c r="Y529" s="72"/>
      <c r="Z529" s="72"/>
    </row>
    <row r="530" spans="1:26" x14ac:dyDescent="0.5">
      <c r="A530" s="72"/>
      <c r="B530" s="72"/>
      <c r="C530" s="72"/>
      <c r="D530" s="72"/>
      <c r="E530" s="72"/>
      <c r="F530" s="72"/>
      <c r="G530" s="72"/>
      <c r="H530" s="72"/>
      <c r="I530" s="72"/>
      <c r="J530" s="72"/>
      <c r="K530" s="72"/>
      <c r="L530" s="72"/>
      <c r="M530" s="72"/>
      <c r="N530" s="72"/>
      <c r="O530" s="72"/>
      <c r="P530" s="72"/>
      <c r="Q530" s="72"/>
      <c r="R530" s="72"/>
      <c r="S530" s="72"/>
      <c r="T530" s="72"/>
      <c r="U530" s="72"/>
      <c r="V530" s="72"/>
      <c r="W530" s="72"/>
      <c r="X530" s="72"/>
      <c r="Y530" s="72"/>
      <c r="Z530" s="72"/>
    </row>
    <row r="531" spans="1:26" x14ac:dyDescent="0.5">
      <c r="A531" s="72"/>
      <c r="B531" s="72"/>
      <c r="C531" s="72"/>
      <c r="D531" s="72"/>
      <c r="E531" s="72"/>
      <c r="F531" s="72"/>
      <c r="G531" s="72"/>
      <c r="H531" s="72"/>
      <c r="I531" s="72"/>
      <c r="J531" s="72"/>
      <c r="K531" s="72"/>
      <c r="L531" s="72"/>
      <c r="M531" s="72"/>
      <c r="N531" s="72"/>
      <c r="O531" s="72"/>
      <c r="P531" s="72"/>
      <c r="Q531" s="72"/>
      <c r="R531" s="72"/>
      <c r="S531" s="72"/>
      <c r="T531" s="72"/>
      <c r="U531" s="72"/>
      <c r="V531" s="72"/>
      <c r="W531" s="72"/>
      <c r="X531" s="72"/>
      <c r="Y531" s="72"/>
      <c r="Z531" s="72"/>
    </row>
    <row r="532" spans="1:26" x14ac:dyDescent="0.5">
      <c r="A532" s="72"/>
      <c r="B532" s="72"/>
      <c r="C532" s="72"/>
      <c r="D532" s="72"/>
      <c r="E532" s="72"/>
      <c r="F532" s="72"/>
      <c r="G532" s="72"/>
      <c r="H532" s="72"/>
      <c r="I532" s="72"/>
      <c r="J532" s="72"/>
      <c r="K532" s="72"/>
      <c r="L532" s="72"/>
      <c r="M532" s="72"/>
      <c r="N532" s="72"/>
      <c r="O532" s="72"/>
      <c r="P532" s="72"/>
      <c r="Q532" s="72"/>
      <c r="R532" s="72"/>
      <c r="S532" s="72"/>
      <c r="T532" s="72"/>
      <c r="U532" s="72"/>
      <c r="V532" s="72"/>
      <c r="W532" s="72"/>
      <c r="X532" s="72"/>
      <c r="Y532" s="72"/>
      <c r="Z532" s="72"/>
    </row>
    <row r="533" spans="1:26" x14ac:dyDescent="0.5">
      <c r="A533" s="72"/>
      <c r="B533" s="72"/>
      <c r="C533" s="72"/>
      <c r="D533" s="72"/>
      <c r="E533" s="72"/>
      <c r="F533" s="72"/>
      <c r="G533" s="72"/>
      <c r="H533" s="72"/>
      <c r="I533" s="72"/>
      <c r="J533" s="72"/>
      <c r="K533" s="72"/>
      <c r="L533" s="72"/>
      <c r="M533" s="72"/>
      <c r="N533" s="72"/>
      <c r="O533" s="72"/>
      <c r="P533" s="72"/>
      <c r="Q533" s="72"/>
      <c r="R533" s="72"/>
      <c r="S533" s="72"/>
      <c r="T533" s="72"/>
      <c r="U533" s="72"/>
      <c r="V533" s="72"/>
      <c r="W533" s="72"/>
      <c r="X533" s="72"/>
      <c r="Y533" s="72"/>
      <c r="Z533" s="72"/>
    </row>
    <row r="534" spans="1:26" x14ac:dyDescent="0.5">
      <c r="A534" s="72"/>
      <c r="B534" s="72"/>
      <c r="C534" s="72"/>
      <c r="D534" s="72"/>
      <c r="E534" s="72"/>
      <c r="F534" s="72"/>
      <c r="G534" s="72"/>
      <c r="H534" s="72"/>
      <c r="I534" s="72"/>
      <c r="J534" s="72"/>
      <c r="K534" s="72"/>
      <c r="L534" s="72"/>
      <c r="M534" s="72"/>
      <c r="N534" s="72"/>
      <c r="O534" s="72"/>
      <c r="P534" s="72"/>
      <c r="Q534" s="72"/>
      <c r="R534" s="72"/>
      <c r="S534" s="72"/>
      <c r="T534" s="72"/>
      <c r="U534" s="72"/>
      <c r="V534" s="72"/>
      <c r="W534" s="72"/>
      <c r="X534" s="72"/>
      <c r="Y534" s="72"/>
      <c r="Z534" s="72"/>
    </row>
    <row r="535" spans="1:26" x14ac:dyDescent="0.5">
      <c r="A535" s="72"/>
      <c r="B535" s="72"/>
      <c r="C535" s="72"/>
      <c r="D535" s="72"/>
      <c r="E535" s="72"/>
      <c r="F535" s="72"/>
      <c r="G535" s="72"/>
      <c r="H535" s="72"/>
      <c r="I535" s="72"/>
      <c r="J535" s="72"/>
      <c r="K535" s="72"/>
      <c r="L535" s="72"/>
      <c r="M535" s="72"/>
      <c r="N535" s="72"/>
      <c r="O535" s="72"/>
      <c r="P535" s="72"/>
      <c r="Q535" s="72"/>
      <c r="R535" s="72"/>
      <c r="S535" s="72"/>
      <c r="T535" s="72"/>
      <c r="U535" s="72"/>
      <c r="V535" s="72"/>
      <c r="W535" s="72"/>
      <c r="X535" s="72"/>
      <c r="Y535" s="72"/>
      <c r="Z535" s="72"/>
    </row>
    <row r="536" spans="1:26" x14ac:dyDescent="0.5">
      <c r="A536" s="72"/>
      <c r="B536" s="72"/>
      <c r="C536" s="72"/>
      <c r="D536" s="72"/>
      <c r="E536" s="72"/>
      <c r="F536" s="72"/>
      <c r="G536" s="72"/>
      <c r="H536" s="72"/>
      <c r="I536" s="72"/>
      <c r="J536" s="72"/>
      <c r="K536" s="72"/>
      <c r="L536" s="72"/>
      <c r="M536" s="72"/>
      <c r="N536" s="72"/>
      <c r="O536" s="72"/>
      <c r="P536" s="72"/>
      <c r="Q536" s="72"/>
      <c r="R536" s="72"/>
      <c r="S536" s="72"/>
      <c r="T536" s="72"/>
      <c r="U536" s="72"/>
      <c r="V536" s="72"/>
      <c r="W536" s="72"/>
      <c r="X536" s="72"/>
      <c r="Y536" s="72"/>
      <c r="Z536" s="72"/>
    </row>
    <row r="537" spans="1:26" x14ac:dyDescent="0.5">
      <c r="A537" s="72"/>
      <c r="B537" s="72"/>
      <c r="C537" s="72"/>
      <c r="D537" s="72"/>
      <c r="E537" s="72"/>
      <c r="F537" s="72"/>
      <c r="G537" s="72"/>
      <c r="H537" s="72"/>
      <c r="I537" s="72"/>
      <c r="J537" s="72"/>
      <c r="K537" s="72"/>
      <c r="L537" s="72"/>
      <c r="M537" s="72"/>
      <c r="N537" s="72"/>
      <c r="O537" s="72"/>
      <c r="P537" s="72"/>
      <c r="Q537" s="72"/>
      <c r="R537" s="72"/>
      <c r="S537" s="72"/>
      <c r="T537" s="72"/>
      <c r="U537" s="72"/>
      <c r="V537" s="72"/>
      <c r="W537" s="72"/>
      <c r="X537" s="72"/>
      <c r="Y537" s="72"/>
      <c r="Z537" s="72"/>
    </row>
    <row r="538" spans="1:26" x14ac:dyDescent="0.5">
      <c r="A538" s="72"/>
      <c r="B538" s="72"/>
      <c r="C538" s="72"/>
      <c r="D538" s="72"/>
      <c r="E538" s="72"/>
      <c r="F538" s="72"/>
      <c r="G538" s="72"/>
      <c r="H538" s="72"/>
      <c r="I538" s="72"/>
      <c r="J538" s="72"/>
      <c r="K538" s="72"/>
      <c r="L538" s="72"/>
      <c r="M538" s="72"/>
      <c r="N538" s="72"/>
      <c r="O538" s="72"/>
      <c r="P538" s="72"/>
      <c r="Q538" s="72"/>
      <c r="R538" s="72"/>
      <c r="S538" s="72"/>
      <c r="T538" s="72"/>
      <c r="U538" s="72"/>
      <c r="V538" s="72"/>
      <c r="W538" s="72"/>
      <c r="X538" s="72"/>
      <c r="Y538" s="72"/>
      <c r="Z538" s="72"/>
    </row>
    <row r="539" spans="1:26" x14ac:dyDescent="0.5">
      <c r="A539" s="72"/>
      <c r="B539" s="72"/>
      <c r="C539" s="72"/>
      <c r="D539" s="72"/>
      <c r="E539" s="72"/>
      <c r="F539" s="72"/>
      <c r="G539" s="72"/>
      <c r="H539" s="72"/>
      <c r="I539" s="72"/>
      <c r="J539" s="72"/>
      <c r="K539" s="72"/>
      <c r="L539" s="72"/>
      <c r="M539" s="72"/>
      <c r="N539" s="72"/>
      <c r="O539" s="72"/>
      <c r="P539" s="72"/>
      <c r="Q539" s="72"/>
      <c r="R539" s="72"/>
      <c r="S539" s="72"/>
      <c r="T539" s="72"/>
      <c r="U539" s="72"/>
      <c r="V539" s="72"/>
      <c r="W539" s="72"/>
      <c r="X539" s="72"/>
      <c r="Y539" s="72"/>
      <c r="Z539" s="72"/>
    </row>
    <row r="540" spans="1:26" x14ac:dyDescent="0.5">
      <c r="A540" s="72"/>
      <c r="B540" s="72"/>
      <c r="C540" s="72"/>
      <c r="D540" s="72"/>
      <c r="E540" s="72"/>
      <c r="F540" s="72"/>
      <c r="G540" s="72"/>
      <c r="H540" s="72"/>
      <c r="I540" s="72"/>
      <c r="J540" s="72"/>
      <c r="K540" s="72"/>
      <c r="L540" s="72"/>
      <c r="M540" s="72"/>
      <c r="N540" s="72"/>
      <c r="O540" s="72"/>
      <c r="P540" s="72"/>
      <c r="Q540" s="72"/>
      <c r="R540" s="72"/>
      <c r="S540" s="72"/>
      <c r="T540" s="72"/>
      <c r="U540" s="72"/>
      <c r="V540" s="72"/>
      <c r="W540" s="72"/>
      <c r="X540" s="72"/>
      <c r="Y540" s="72"/>
      <c r="Z540" s="72"/>
    </row>
    <row r="541" spans="1:26" x14ac:dyDescent="0.5">
      <c r="A541" s="72"/>
      <c r="B541" s="72"/>
      <c r="C541" s="72"/>
      <c r="D541" s="72"/>
      <c r="E541" s="72"/>
      <c r="F541" s="72"/>
      <c r="G541" s="72"/>
      <c r="H541" s="72"/>
      <c r="I541" s="72"/>
      <c r="J541" s="72"/>
      <c r="K541" s="72"/>
      <c r="L541" s="72"/>
      <c r="M541" s="72"/>
      <c r="N541" s="72"/>
      <c r="O541" s="72"/>
      <c r="P541" s="72"/>
      <c r="Q541" s="72"/>
      <c r="R541" s="72"/>
      <c r="S541" s="72"/>
      <c r="T541" s="72"/>
      <c r="U541" s="72"/>
      <c r="V541" s="72"/>
      <c r="W541" s="72"/>
      <c r="X541" s="72"/>
      <c r="Y541" s="72"/>
      <c r="Z541" s="72"/>
    </row>
    <row r="542" spans="1:26" x14ac:dyDescent="0.5">
      <c r="A542" s="72"/>
      <c r="B542" s="72"/>
      <c r="C542" s="72"/>
      <c r="D542" s="72"/>
      <c r="E542" s="72"/>
      <c r="F542" s="72"/>
      <c r="G542" s="72"/>
      <c r="H542" s="72"/>
      <c r="I542" s="72"/>
      <c r="J542" s="72"/>
      <c r="K542" s="72"/>
      <c r="L542" s="72"/>
      <c r="M542" s="72"/>
      <c r="N542" s="72"/>
      <c r="O542" s="72"/>
      <c r="P542" s="72"/>
      <c r="Q542" s="72"/>
      <c r="R542" s="72"/>
      <c r="S542" s="72"/>
      <c r="T542" s="72"/>
      <c r="U542" s="72"/>
      <c r="V542" s="72"/>
      <c r="W542" s="72"/>
      <c r="X542" s="72"/>
      <c r="Y542" s="72"/>
      <c r="Z542" s="72"/>
    </row>
    <row r="543" spans="1:26" x14ac:dyDescent="0.5">
      <c r="A543" s="72"/>
      <c r="B543" s="72"/>
      <c r="C543" s="72"/>
      <c r="D543" s="72"/>
      <c r="E543" s="72"/>
      <c r="F543" s="72"/>
      <c r="G543" s="72"/>
      <c r="H543" s="72"/>
      <c r="I543" s="72"/>
      <c r="J543" s="72"/>
      <c r="K543" s="72"/>
      <c r="L543" s="72"/>
      <c r="M543" s="72"/>
      <c r="N543" s="72"/>
      <c r="O543" s="72"/>
      <c r="P543" s="72"/>
      <c r="Q543" s="72"/>
      <c r="R543" s="72"/>
      <c r="S543" s="72"/>
      <c r="T543" s="72"/>
      <c r="U543" s="72"/>
      <c r="V543" s="72"/>
      <c r="W543" s="72"/>
      <c r="X543" s="72"/>
      <c r="Y543" s="72"/>
      <c r="Z543" s="72"/>
    </row>
    <row r="544" spans="1:26" x14ac:dyDescent="0.5">
      <c r="A544" s="72"/>
      <c r="B544" s="72"/>
      <c r="C544" s="72"/>
      <c r="D544" s="72"/>
      <c r="E544" s="72"/>
      <c r="F544" s="72"/>
      <c r="G544" s="72"/>
      <c r="H544" s="72"/>
      <c r="I544" s="72"/>
      <c r="J544" s="72"/>
      <c r="K544" s="72"/>
      <c r="L544" s="72"/>
      <c r="M544" s="72"/>
      <c r="N544" s="72"/>
      <c r="O544" s="72"/>
      <c r="P544" s="72"/>
      <c r="Q544" s="72"/>
      <c r="R544" s="72"/>
      <c r="S544" s="72"/>
      <c r="T544" s="72"/>
      <c r="U544" s="72"/>
      <c r="V544" s="72"/>
      <c r="W544" s="72"/>
      <c r="X544" s="72"/>
      <c r="Y544" s="72"/>
      <c r="Z544" s="72"/>
    </row>
    <row r="545" spans="1:26" x14ac:dyDescent="0.5">
      <c r="A545" s="72"/>
      <c r="B545" s="72"/>
      <c r="C545" s="72"/>
      <c r="D545" s="72"/>
      <c r="E545" s="72"/>
      <c r="F545" s="72"/>
      <c r="G545" s="72"/>
      <c r="H545" s="72"/>
      <c r="I545" s="72"/>
      <c r="J545" s="72"/>
      <c r="K545" s="72"/>
      <c r="L545" s="72"/>
      <c r="M545" s="72"/>
      <c r="N545" s="72"/>
      <c r="O545" s="72"/>
      <c r="P545" s="72"/>
      <c r="Q545" s="72"/>
      <c r="R545" s="72"/>
      <c r="S545" s="72"/>
      <c r="T545" s="72"/>
      <c r="U545" s="72"/>
      <c r="V545" s="72"/>
      <c r="W545" s="72"/>
      <c r="X545" s="72"/>
      <c r="Y545" s="72"/>
      <c r="Z545" s="72"/>
    </row>
    <row r="546" spans="1:26" x14ac:dyDescent="0.5">
      <c r="A546" s="72"/>
      <c r="B546" s="72"/>
      <c r="C546" s="72"/>
      <c r="D546" s="72"/>
      <c r="E546" s="72"/>
      <c r="F546" s="72"/>
      <c r="G546" s="72"/>
      <c r="H546" s="72"/>
      <c r="I546" s="72"/>
      <c r="J546" s="72"/>
      <c r="K546" s="72"/>
      <c r="L546" s="72"/>
      <c r="M546" s="72"/>
      <c r="N546" s="72"/>
      <c r="O546" s="72"/>
      <c r="P546" s="72"/>
      <c r="Q546" s="72"/>
      <c r="R546" s="72"/>
      <c r="S546" s="72"/>
      <c r="T546" s="72"/>
      <c r="U546" s="72"/>
      <c r="V546" s="72"/>
      <c r="W546" s="72"/>
      <c r="X546" s="72"/>
      <c r="Y546" s="72"/>
      <c r="Z546" s="72"/>
    </row>
    <row r="547" spans="1:26" x14ac:dyDescent="0.5">
      <c r="A547" s="72"/>
      <c r="B547" s="72"/>
      <c r="C547" s="72"/>
      <c r="D547" s="72"/>
      <c r="E547" s="72"/>
      <c r="F547" s="72"/>
      <c r="G547" s="72"/>
      <c r="H547" s="72"/>
      <c r="I547" s="72"/>
      <c r="J547" s="72"/>
      <c r="K547" s="72"/>
      <c r="L547" s="72"/>
      <c r="M547" s="72"/>
      <c r="N547" s="72"/>
      <c r="O547" s="72"/>
      <c r="P547" s="72"/>
      <c r="Q547" s="72"/>
      <c r="R547" s="72"/>
      <c r="S547" s="72"/>
      <c r="T547" s="72"/>
      <c r="U547" s="72"/>
      <c r="V547" s="72"/>
      <c r="W547" s="72"/>
      <c r="X547" s="72"/>
      <c r="Y547" s="72"/>
      <c r="Z547" s="72"/>
    </row>
    <row r="548" spans="1:26" x14ac:dyDescent="0.5">
      <c r="A548" s="72"/>
      <c r="B548" s="72"/>
      <c r="C548" s="72"/>
      <c r="D548" s="72"/>
      <c r="E548" s="72"/>
      <c r="F548" s="72"/>
      <c r="G548" s="72"/>
      <c r="H548" s="72"/>
      <c r="I548" s="72"/>
      <c r="J548" s="72"/>
      <c r="K548" s="72"/>
      <c r="L548" s="72"/>
      <c r="M548" s="72"/>
      <c r="N548" s="72"/>
      <c r="O548" s="72"/>
      <c r="P548" s="72"/>
      <c r="Q548" s="72"/>
      <c r="R548" s="72"/>
      <c r="S548" s="72"/>
      <c r="T548" s="72"/>
      <c r="U548" s="72"/>
      <c r="V548" s="72"/>
      <c r="W548" s="72"/>
      <c r="X548" s="72"/>
      <c r="Y548" s="72"/>
      <c r="Z548" s="72"/>
    </row>
    <row r="549" spans="1:26" x14ac:dyDescent="0.5">
      <c r="A549" s="72"/>
      <c r="B549" s="72"/>
      <c r="C549" s="72"/>
      <c r="D549" s="72"/>
      <c r="E549" s="72"/>
      <c r="F549" s="72"/>
      <c r="G549" s="72"/>
      <c r="H549" s="72"/>
      <c r="I549" s="72"/>
      <c r="J549" s="72"/>
      <c r="K549" s="72"/>
      <c r="L549" s="72"/>
      <c r="M549" s="72"/>
      <c r="N549" s="72"/>
      <c r="O549" s="72"/>
      <c r="P549" s="72"/>
      <c r="Q549" s="72"/>
      <c r="R549" s="72"/>
      <c r="S549" s="72"/>
      <c r="T549" s="72"/>
      <c r="U549" s="72"/>
      <c r="V549" s="72"/>
      <c r="W549" s="72"/>
      <c r="X549" s="72"/>
      <c r="Y549" s="72"/>
      <c r="Z549" s="72"/>
    </row>
    <row r="550" spans="1:26" x14ac:dyDescent="0.5">
      <c r="A550" s="72"/>
      <c r="B550" s="72"/>
      <c r="C550" s="72"/>
      <c r="D550" s="72"/>
      <c r="E550" s="72"/>
      <c r="F550" s="72"/>
      <c r="G550" s="72"/>
      <c r="H550" s="72"/>
      <c r="I550" s="72"/>
      <c r="J550" s="72"/>
      <c r="K550" s="72"/>
      <c r="L550" s="72"/>
      <c r="M550" s="72"/>
      <c r="N550" s="72"/>
      <c r="O550" s="72"/>
      <c r="P550" s="72"/>
      <c r="Q550" s="72"/>
      <c r="R550" s="72"/>
      <c r="S550" s="72"/>
      <c r="T550" s="72"/>
      <c r="U550" s="72"/>
      <c r="V550" s="72"/>
      <c r="W550" s="72"/>
      <c r="X550" s="72"/>
      <c r="Y550" s="72"/>
      <c r="Z550" s="72"/>
    </row>
    <row r="551" spans="1:26" x14ac:dyDescent="0.5">
      <c r="A551" s="72"/>
      <c r="B551" s="72"/>
      <c r="C551" s="72"/>
      <c r="D551" s="72"/>
      <c r="E551" s="72"/>
      <c r="F551" s="72"/>
      <c r="G551" s="72"/>
      <c r="H551" s="72"/>
      <c r="I551" s="72"/>
      <c r="J551" s="72"/>
      <c r="K551" s="72"/>
      <c r="L551" s="72"/>
      <c r="M551" s="72"/>
      <c r="N551" s="72"/>
      <c r="O551" s="72"/>
      <c r="P551" s="72"/>
      <c r="Q551" s="72"/>
      <c r="R551" s="72"/>
      <c r="S551" s="72"/>
      <c r="T551" s="72"/>
      <c r="U551" s="72"/>
      <c r="V551" s="72"/>
      <c r="W551" s="72"/>
      <c r="X551" s="72"/>
      <c r="Y551" s="72"/>
      <c r="Z551" s="72"/>
    </row>
    <row r="552" spans="1:26" x14ac:dyDescent="0.5">
      <c r="A552" s="72"/>
      <c r="B552" s="72"/>
      <c r="C552" s="72"/>
      <c r="D552" s="72"/>
      <c r="E552" s="72"/>
      <c r="F552" s="72"/>
      <c r="G552" s="72"/>
      <c r="H552" s="72"/>
      <c r="I552" s="72"/>
      <c r="J552" s="72"/>
      <c r="K552" s="72"/>
      <c r="L552" s="72"/>
      <c r="M552" s="72"/>
      <c r="N552" s="72"/>
      <c r="O552" s="72"/>
      <c r="P552" s="72"/>
      <c r="Q552" s="72"/>
      <c r="R552" s="72"/>
      <c r="S552" s="72"/>
      <c r="T552" s="72"/>
      <c r="U552" s="72"/>
      <c r="V552" s="72"/>
      <c r="W552" s="72"/>
      <c r="X552" s="72"/>
      <c r="Y552" s="72"/>
      <c r="Z552" s="72"/>
    </row>
    <row r="553" spans="1:26" x14ac:dyDescent="0.5">
      <c r="A553" s="72"/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  <c r="P553" s="72"/>
      <c r="Q553" s="72"/>
      <c r="R553" s="72"/>
      <c r="S553" s="72"/>
      <c r="T553" s="72"/>
      <c r="U553" s="72"/>
      <c r="V553" s="72"/>
      <c r="W553" s="72"/>
      <c r="X553" s="72"/>
      <c r="Y553" s="72"/>
      <c r="Z553" s="72"/>
    </row>
    <row r="554" spans="1:26" x14ac:dyDescent="0.5">
      <c r="A554" s="72"/>
      <c r="B554" s="72"/>
      <c r="C554" s="72"/>
      <c r="D554" s="72"/>
      <c r="E554" s="72"/>
      <c r="F554" s="72"/>
      <c r="G554" s="72"/>
      <c r="H554" s="72"/>
      <c r="I554" s="72"/>
      <c r="J554" s="72"/>
      <c r="K554" s="72"/>
      <c r="L554" s="72"/>
      <c r="M554" s="72"/>
      <c r="N554" s="72"/>
      <c r="O554" s="72"/>
      <c r="P554" s="72"/>
      <c r="Q554" s="72"/>
      <c r="R554" s="72"/>
      <c r="S554" s="72"/>
      <c r="T554" s="72"/>
      <c r="U554" s="72"/>
      <c r="V554" s="72"/>
      <c r="W554" s="72"/>
      <c r="X554" s="72"/>
      <c r="Y554" s="72"/>
      <c r="Z554" s="72"/>
    </row>
    <row r="555" spans="1:26" x14ac:dyDescent="0.5">
      <c r="A555" s="72"/>
      <c r="B555" s="72"/>
      <c r="C555" s="72"/>
      <c r="D555" s="72"/>
      <c r="E555" s="72"/>
      <c r="F555" s="72"/>
      <c r="G555" s="72"/>
      <c r="H555" s="72"/>
      <c r="I555" s="72"/>
      <c r="J555" s="72"/>
      <c r="K555" s="72"/>
      <c r="L555" s="72"/>
      <c r="M555" s="72"/>
      <c r="N555" s="72"/>
      <c r="O555" s="72"/>
      <c r="P555" s="72"/>
      <c r="Q555" s="72"/>
      <c r="R555" s="72"/>
      <c r="S555" s="72"/>
      <c r="T555" s="72"/>
      <c r="U555" s="72"/>
      <c r="V555" s="72"/>
      <c r="W555" s="72"/>
      <c r="X555" s="72"/>
      <c r="Y555" s="72"/>
      <c r="Z555" s="72"/>
    </row>
    <row r="556" spans="1:26" x14ac:dyDescent="0.5">
      <c r="A556" s="72"/>
      <c r="B556" s="72"/>
      <c r="C556" s="72"/>
      <c r="D556" s="72"/>
      <c r="E556" s="72"/>
      <c r="F556" s="72"/>
      <c r="G556" s="72"/>
      <c r="H556" s="72"/>
      <c r="I556" s="72"/>
      <c r="J556" s="72"/>
      <c r="K556" s="72"/>
      <c r="L556" s="72"/>
      <c r="M556" s="72"/>
      <c r="N556" s="72"/>
      <c r="O556" s="72"/>
      <c r="P556" s="72"/>
      <c r="Q556" s="72"/>
      <c r="R556" s="72"/>
      <c r="S556" s="72"/>
      <c r="T556" s="72"/>
      <c r="U556" s="72"/>
      <c r="V556" s="72"/>
      <c r="W556" s="72"/>
      <c r="X556" s="72"/>
      <c r="Y556" s="72"/>
      <c r="Z556" s="72"/>
    </row>
    <row r="557" spans="1:26" x14ac:dyDescent="0.5">
      <c r="A557" s="72"/>
      <c r="B557" s="72"/>
      <c r="C557" s="72"/>
      <c r="D557" s="72"/>
      <c r="E557" s="72"/>
      <c r="F557" s="72"/>
      <c r="G557" s="72"/>
      <c r="H557" s="72"/>
      <c r="I557" s="72"/>
      <c r="J557" s="72"/>
      <c r="K557" s="72"/>
      <c r="L557" s="72"/>
      <c r="M557" s="72"/>
      <c r="N557" s="72"/>
      <c r="O557" s="72"/>
      <c r="P557" s="72"/>
      <c r="Q557" s="72"/>
      <c r="R557" s="72"/>
      <c r="S557" s="72"/>
      <c r="T557" s="72"/>
      <c r="U557" s="72"/>
      <c r="V557" s="72"/>
      <c r="W557" s="72"/>
      <c r="X557" s="72"/>
      <c r="Y557" s="72"/>
      <c r="Z557" s="72"/>
    </row>
    <row r="558" spans="1:26" x14ac:dyDescent="0.5">
      <c r="A558" s="72"/>
      <c r="B558" s="72"/>
      <c r="C558" s="72"/>
      <c r="D558" s="72"/>
      <c r="E558" s="72"/>
      <c r="F558" s="72"/>
      <c r="G558" s="72"/>
      <c r="H558" s="72"/>
      <c r="I558" s="72"/>
      <c r="J558" s="72"/>
      <c r="K558" s="72"/>
      <c r="L558" s="72"/>
      <c r="M558" s="72"/>
      <c r="N558" s="72"/>
      <c r="O558" s="72"/>
      <c r="P558" s="72"/>
      <c r="Q558" s="72"/>
      <c r="R558" s="72"/>
      <c r="S558" s="72"/>
      <c r="T558" s="72"/>
      <c r="U558" s="72"/>
      <c r="V558" s="72"/>
      <c r="W558" s="72"/>
      <c r="X558" s="72"/>
      <c r="Y558" s="72"/>
      <c r="Z558" s="72"/>
    </row>
    <row r="559" spans="1:26" x14ac:dyDescent="0.5">
      <c r="A559" s="72"/>
      <c r="B559" s="72"/>
      <c r="C559" s="72"/>
      <c r="D559" s="72"/>
      <c r="E559" s="72"/>
      <c r="F559" s="72"/>
      <c r="G559" s="72"/>
      <c r="H559" s="72"/>
      <c r="I559" s="72"/>
      <c r="J559" s="72"/>
      <c r="K559" s="72"/>
      <c r="L559" s="72"/>
      <c r="M559" s="72"/>
      <c r="N559" s="72"/>
      <c r="O559" s="72"/>
      <c r="P559" s="72"/>
      <c r="Q559" s="72"/>
      <c r="R559" s="72"/>
      <c r="S559" s="72"/>
      <c r="T559" s="72"/>
      <c r="U559" s="72"/>
      <c r="V559" s="72"/>
      <c r="W559" s="72"/>
      <c r="X559" s="72"/>
      <c r="Y559" s="72"/>
      <c r="Z559" s="72"/>
    </row>
    <row r="560" spans="1:26" x14ac:dyDescent="0.5">
      <c r="A560" s="72"/>
      <c r="B560" s="72"/>
      <c r="C560" s="72"/>
      <c r="D560" s="72"/>
      <c r="E560" s="72"/>
      <c r="F560" s="72"/>
      <c r="G560" s="72"/>
      <c r="H560" s="72"/>
      <c r="I560" s="72"/>
      <c r="J560" s="72"/>
      <c r="K560" s="72"/>
      <c r="L560" s="72"/>
      <c r="M560" s="72"/>
      <c r="N560" s="72"/>
      <c r="O560" s="72"/>
      <c r="P560" s="72"/>
      <c r="Q560" s="72"/>
      <c r="R560" s="72"/>
      <c r="S560" s="72"/>
      <c r="T560" s="72"/>
      <c r="U560" s="72"/>
      <c r="V560" s="72"/>
      <c r="W560" s="72"/>
      <c r="X560" s="72"/>
      <c r="Y560" s="72"/>
      <c r="Z560" s="72"/>
    </row>
    <row r="561" spans="1:26" x14ac:dyDescent="0.5">
      <c r="A561" s="72"/>
      <c r="B561" s="72"/>
      <c r="C561" s="72"/>
      <c r="D561" s="72"/>
      <c r="E561" s="72"/>
      <c r="F561" s="72"/>
      <c r="G561" s="72"/>
      <c r="H561" s="72"/>
      <c r="I561" s="72"/>
      <c r="J561" s="72"/>
      <c r="K561" s="72"/>
      <c r="L561" s="72"/>
      <c r="M561" s="72"/>
      <c r="N561" s="72"/>
      <c r="O561" s="72"/>
      <c r="P561" s="72"/>
      <c r="Q561" s="72"/>
      <c r="R561" s="72"/>
      <c r="S561" s="72"/>
      <c r="T561" s="72"/>
      <c r="U561" s="72"/>
      <c r="V561" s="72"/>
      <c r="W561" s="72"/>
      <c r="X561" s="72"/>
      <c r="Y561" s="72"/>
      <c r="Z561" s="72"/>
    </row>
    <row r="562" spans="1:26" x14ac:dyDescent="0.5">
      <c r="A562" s="72"/>
      <c r="B562" s="72"/>
      <c r="C562" s="72"/>
      <c r="D562" s="72"/>
      <c r="E562" s="72"/>
      <c r="F562" s="72"/>
      <c r="G562" s="72"/>
      <c r="H562" s="72"/>
      <c r="I562" s="72"/>
      <c r="J562" s="72"/>
      <c r="K562" s="72"/>
      <c r="L562" s="72"/>
      <c r="M562" s="72"/>
      <c r="N562" s="72"/>
      <c r="O562" s="72"/>
      <c r="P562" s="72"/>
      <c r="Q562" s="72"/>
      <c r="R562" s="72"/>
      <c r="S562" s="72"/>
      <c r="T562" s="72"/>
      <c r="U562" s="72"/>
      <c r="V562" s="72"/>
      <c r="W562" s="72"/>
      <c r="X562" s="72"/>
      <c r="Y562" s="72"/>
      <c r="Z562" s="72"/>
    </row>
    <row r="563" spans="1:26" x14ac:dyDescent="0.5">
      <c r="A563" s="72"/>
      <c r="B563" s="72"/>
      <c r="C563" s="72"/>
      <c r="D563" s="72"/>
      <c r="E563" s="72"/>
      <c r="F563" s="72"/>
      <c r="G563" s="72"/>
      <c r="H563" s="72"/>
      <c r="I563" s="72"/>
      <c r="J563" s="72"/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</row>
    <row r="564" spans="1:26" x14ac:dyDescent="0.5">
      <c r="A564" s="72"/>
      <c r="B564" s="72"/>
      <c r="C564" s="72"/>
      <c r="D564" s="72"/>
      <c r="E564" s="72"/>
      <c r="F564" s="72"/>
      <c r="G564" s="72"/>
      <c r="H564" s="72"/>
      <c r="I564" s="72"/>
      <c r="J564" s="72"/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</row>
    <row r="565" spans="1:26" x14ac:dyDescent="0.5">
      <c r="A565" s="72"/>
      <c r="B565" s="72"/>
      <c r="C565" s="72"/>
      <c r="D565" s="72"/>
      <c r="E565" s="72"/>
      <c r="F565" s="72"/>
      <c r="G565" s="72"/>
      <c r="H565" s="72"/>
      <c r="I565" s="72"/>
      <c r="J565" s="72"/>
      <c r="K565" s="72"/>
      <c r="L565" s="72"/>
      <c r="M565" s="72"/>
      <c r="N565" s="72"/>
      <c r="O565" s="72"/>
      <c r="P565" s="72"/>
      <c r="Q565" s="72"/>
      <c r="R565" s="72"/>
      <c r="S565" s="72"/>
      <c r="T565" s="72"/>
      <c r="U565" s="72"/>
      <c r="V565" s="72"/>
      <c r="W565" s="72"/>
      <c r="X565" s="72"/>
      <c r="Y565" s="72"/>
      <c r="Z565" s="72"/>
    </row>
    <row r="566" spans="1:26" x14ac:dyDescent="0.5">
      <c r="A566" s="72"/>
      <c r="B566" s="72"/>
      <c r="C566" s="72"/>
      <c r="D566" s="72"/>
      <c r="E566" s="72"/>
      <c r="F566" s="72"/>
      <c r="G566" s="72"/>
      <c r="H566" s="72"/>
      <c r="I566" s="72"/>
      <c r="J566" s="72"/>
      <c r="K566" s="72"/>
      <c r="L566" s="72"/>
      <c r="M566" s="72"/>
      <c r="N566" s="72"/>
      <c r="O566" s="72"/>
      <c r="P566" s="72"/>
      <c r="Q566" s="72"/>
      <c r="R566" s="72"/>
      <c r="S566" s="72"/>
      <c r="T566" s="72"/>
      <c r="U566" s="72"/>
      <c r="V566" s="72"/>
      <c r="W566" s="72"/>
      <c r="X566" s="72"/>
      <c r="Y566" s="72"/>
      <c r="Z566" s="72"/>
    </row>
    <row r="567" spans="1:26" x14ac:dyDescent="0.5">
      <c r="A567" s="72"/>
      <c r="B567" s="72"/>
      <c r="C567" s="72"/>
      <c r="D567" s="72"/>
      <c r="E567" s="72"/>
      <c r="F567" s="72"/>
      <c r="G567" s="72"/>
      <c r="H567" s="72"/>
      <c r="I567" s="72"/>
      <c r="J567" s="72"/>
      <c r="K567" s="72"/>
      <c r="L567" s="72"/>
      <c r="M567" s="72"/>
      <c r="N567" s="72"/>
      <c r="O567" s="72"/>
      <c r="P567" s="72"/>
      <c r="Q567" s="72"/>
      <c r="R567" s="72"/>
      <c r="S567" s="72"/>
      <c r="T567" s="72"/>
      <c r="U567" s="72"/>
      <c r="V567" s="72"/>
      <c r="W567" s="72"/>
      <c r="X567" s="72"/>
      <c r="Y567" s="72"/>
      <c r="Z567" s="72"/>
    </row>
    <row r="568" spans="1:26" x14ac:dyDescent="0.5">
      <c r="A568" s="72"/>
      <c r="B568" s="72"/>
      <c r="C568" s="72"/>
      <c r="D568" s="72"/>
      <c r="E568" s="72"/>
      <c r="F568" s="72"/>
      <c r="G568" s="72"/>
      <c r="H568" s="72"/>
      <c r="I568" s="72"/>
      <c r="J568" s="72"/>
      <c r="K568" s="72"/>
      <c r="L568" s="72"/>
      <c r="M568" s="72"/>
      <c r="N568" s="72"/>
      <c r="O568" s="72"/>
      <c r="P568" s="72"/>
      <c r="Q568" s="72"/>
      <c r="R568" s="72"/>
      <c r="S568" s="72"/>
      <c r="T568" s="72"/>
      <c r="U568" s="72"/>
      <c r="V568" s="72"/>
      <c r="W568" s="72"/>
      <c r="X568" s="72"/>
      <c r="Y568" s="72"/>
      <c r="Z568" s="72"/>
    </row>
    <row r="569" spans="1:26" x14ac:dyDescent="0.5">
      <c r="A569" s="72"/>
      <c r="B569" s="72"/>
      <c r="C569" s="72"/>
      <c r="D569" s="72"/>
      <c r="E569" s="72"/>
      <c r="F569" s="72"/>
      <c r="G569" s="72"/>
      <c r="H569" s="72"/>
      <c r="I569" s="72"/>
      <c r="J569" s="72"/>
      <c r="K569" s="72"/>
      <c r="L569" s="72"/>
      <c r="M569" s="72"/>
      <c r="N569" s="72"/>
      <c r="O569" s="72"/>
      <c r="P569" s="72"/>
      <c r="Q569" s="72"/>
      <c r="R569" s="72"/>
      <c r="S569" s="72"/>
      <c r="T569" s="72"/>
      <c r="U569" s="72"/>
      <c r="V569" s="72"/>
      <c r="W569" s="72"/>
      <c r="X569" s="72"/>
      <c r="Y569" s="72"/>
      <c r="Z569" s="72"/>
    </row>
    <row r="570" spans="1:26" x14ac:dyDescent="0.5">
      <c r="A570" s="72"/>
      <c r="B570" s="72"/>
      <c r="C570" s="72"/>
      <c r="D570" s="72"/>
      <c r="E570" s="72"/>
      <c r="F570" s="72"/>
      <c r="G570" s="72"/>
      <c r="H570" s="72"/>
      <c r="I570" s="72"/>
      <c r="J570" s="72"/>
      <c r="K570" s="72"/>
      <c r="L570" s="72"/>
      <c r="M570" s="72"/>
      <c r="N570" s="72"/>
      <c r="O570" s="72"/>
      <c r="P570" s="72"/>
      <c r="Q570" s="72"/>
      <c r="R570" s="72"/>
      <c r="S570" s="72"/>
      <c r="T570" s="72"/>
      <c r="U570" s="72"/>
      <c r="V570" s="72"/>
      <c r="W570" s="72"/>
      <c r="X570" s="72"/>
      <c r="Y570" s="72"/>
      <c r="Z570" s="72"/>
    </row>
    <row r="571" spans="1:26" x14ac:dyDescent="0.5">
      <c r="A571" s="72"/>
      <c r="B571" s="72"/>
      <c r="C571" s="72"/>
      <c r="D571" s="72"/>
      <c r="E571" s="72"/>
      <c r="F571" s="72"/>
      <c r="G571" s="72"/>
      <c r="H571" s="72"/>
      <c r="I571" s="72"/>
      <c r="J571" s="72"/>
      <c r="K571" s="72"/>
      <c r="L571" s="72"/>
      <c r="M571" s="72"/>
      <c r="N571" s="72"/>
      <c r="O571" s="72"/>
      <c r="P571" s="72"/>
      <c r="Q571" s="72"/>
      <c r="R571" s="72"/>
      <c r="S571" s="72"/>
      <c r="T571" s="72"/>
      <c r="U571" s="72"/>
      <c r="V571" s="72"/>
      <c r="W571" s="72"/>
      <c r="X571" s="72"/>
      <c r="Y571" s="72"/>
      <c r="Z571" s="72"/>
    </row>
    <row r="572" spans="1:26" x14ac:dyDescent="0.5">
      <c r="A572" s="72"/>
      <c r="B572" s="72"/>
      <c r="C572" s="72"/>
      <c r="D572" s="72"/>
      <c r="E572" s="72"/>
      <c r="F572" s="72"/>
      <c r="G572" s="72"/>
      <c r="H572" s="72"/>
      <c r="I572" s="72"/>
      <c r="J572" s="72"/>
      <c r="K572" s="72"/>
      <c r="L572" s="72"/>
      <c r="M572" s="72"/>
      <c r="N572" s="72"/>
      <c r="O572" s="72"/>
      <c r="P572" s="72"/>
      <c r="Q572" s="72"/>
      <c r="R572" s="72"/>
      <c r="S572" s="72"/>
      <c r="T572" s="72"/>
      <c r="U572" s="72"/>
      <c r="V572" s="72"/>
      <c r="W572" s="72"/>
      <c r="X572" s="72"/>
      <c r="Y572" s="72"/>
      <c r="Z572" s="72"/>
    </row>
    <row r="573" spans="1:26" x14ac:dyDescent="0.5">
      <c r="A573" s="72"/>
      <c r="B573" s="72"/>
      <c r="C573" s="72"/>
      <c r="D573" s="72"/>
      <c r="E573" s="72"/>
      <c r="F573" s="72"/>
      <c r="G573" s="72"/>
      <c r="H573" s="72"/>
      <c r="I573" s="72"/>
      <c r="J573" s="72"/>
      <c r="K573" s="72"/>
      <c r="L573" s="72"/>
      <c r="M573" s="72"/>
      <c r="N573" s="72"/>
      <c r="O573" s="72"/>
      <c r="P573" s="72"/>
      <c r="Q573" s="72"/>
      <c r="R573" s="72"/>
      <c r="S573" s="72"/>
      <c r="T573" s="72"/>
      <c r="U573" s="72"/>
      <c r="V573" s="72"/>
      <c r="W573" s="72"/>
      <c r="X573" s="72"/>
      <c r="Y573" s="72"/>
      <c r="Z573" s="72"/>
    </row>
    <row r="574" spans="1:26" x14ac:dyDescent="0.5">
      <c r="A574" s="72"/>
      <c r="B574" s="72"/>
      <c r="C574" s="72"/>
      <c r="D574" s="72"/>
      <c r="E574" s="72"/>
      <c r="F574" s="72"/>
      <c r="G574" s="72"/>
      <c r="H574" s="72"/>
      <c r="I574" s="72"/>
      <c r="J574" s="72"/>
      <c r="K574" s="72"/>
      <c r="L574" s="72"/>
      <c r="M574" s="72"/>
      <c r="N574" s="72"/>
      <c r="O574" s="72"/>
      <c r="P574" s="72"/>
      <c r="Q574" s="72"/>
      <c r="R574" s="72"/>
      <c r="S574" s="72"/>
      <c r="T574" s="72"/>
      <c r="U574" s="72"/>
      <c r="V574" s="72"/>
      <c r="W574" s="72"/>
      <c r="X574" s="72"/>
      <c r="Y574" s="72"/>
      <c r="Z574" s="72"/>
    </row>
    <row r="575" spans="1:26" x14ac:dyDescent="0.5">
      <c r="A575" s="72"/>
      <c r="B575" s="72"/>
      <c r="C575" s="72"/>
      <c r="D575" s="72"/>
      <c r="E575" s="72"/>
      <c r="F575" s="72"/>
      <c r="G575" s="72"/>
      <c r="H575" s="72"/>
      <c r="I575" s="72"/>
      <c r="J575" s="72"/>
      <c r="K575" s="72"/>
      <c r="L575" s="72"/>
      <c r="M575" s="72"/>
      <c r="N575" s="72"/>
      <c r="O575" s="72"/>
      <c r="P575" s="72"/>
      <c r="Q575" s="72"/>
      <c r="R575" s="72"/>
      <c r="S575" s="72"/>
      <c r="T575" s="72"/>
      <c r="U575" s="72"/>
      <c r="V575" s="72"/>
      <c r="W575" s="72"/>
      <c r="X575" s="72"/>
      <c r="Y575" s="72"/>
      <c r="Z575" s="72"/>
    </row>
    <row r="576" spans="1:26" x14ac:dyDescent="0.5">
      <c r="A576" s="72"/>
      <c r="B576" s="72"/>
      <c r="C576" s="72"/>
      <c r="D576" s="72"/>
      <c r="E576" s="72"/>
      <c r="F576" s="72"/>
      <c r="G576" s="72"/>
      <c r="H576" s="72"/>
      <c r="I576" s="72"/>
      <c r="J576" s="72"/>
      <c r="K576" s="72"/>
      <c r="L576" s="72"/>
      <c r="M576" s="72"/>
      <c r="N576" s="72"/>
      <c r="O576" s="72"/>
      <c r="P576" s="72"/>
      <c r="Q576" s="72"/>
      <c r="R576" s="72"/>
      <c r="S576" s="72"/>
      <c r="T576" s="72"/>
      <c r="U576" s="72"/>
      <c r="V576" s="72"/>
      <c r="W576" s="72"/>
      <c r="X576" s="72"/>
      <c r="Y576" s="72"/>
      <c r="Z576" s="72"/>
    </row>
    <row r="577" spans="1:26" x14ac:dyDescent="0.5">
      <c r="A577" s="72"/>
      <c r="B577" s="72"/>
      <c r="C577" s="72"/>
      <c r="D577" s="72"/>
      <c r="E577" s="72"/>
      <c r="F577" s="72"/>
      <c r="G577" s="72"/>
      <c r="H577" s="72"/>
      <c r="I577" s="72"/>
      <c r="J577" s="72"/>
      <c r="K577" s="72"/>
      <c r="L577" s="72"/>
      <c r="M577" s="72"/>
      <c r="N577" s="72"/>
      <c r="O577" s="72"/>
      <c r="P577" s="72"/>
      <c r="Q577" s="72"/>
      <c r="R577" s="72"/>
      <c r="S577" s="72"/>
      <c r="T577" s="72"/>
      <c r="U577" s="72"/>
      <c r="V577" s="72"/>
      <c r="W577" s="72"/>
      <c r="X577" s="72"/>
      <c r="Y577" s="72"/>
      <c r="Z577" s="72"/>
    </row>
    <row r="578" spans="1:26" x14ac:dyDescent="0.5">
      <c r="A578" s="72"/>
      <c r="B578" s="72"/>
      <c r="C578" s="72"/>
      <c r="D578" s="72"/>
      <c r="E578" s="72"/>
      <c r="F578" s="72"/>
      <c r="G578" s="72"/>
      <c r="H578" s="72"/>
      <c r="I578" s="72"/>
      <c r="J578" s="72"/>
      <c r="K578" s="72"/>
      <c r="L578" s="72"/>
      <c r="M578" s="72"/>
      <c r="N578" s="72"/>
      <c r="O578" s="72"/>
      <c r="P578" s="72"/>
      <c r="Q578" s="72"/>
      <c r="R578" s="72"/>
      <c r="S578" s="72"/>
      <c r="T578" s="72"/>
      <c r="U578" s="72"/>
      <c r="V578" s="72"/>
      <c r="W578" s="72"/>
      <c r="X578" s="72"/>
      <c r="Y578" s="72"/>
      <c r="Z578" s="72"/>
    </row>
    <row r="579" spans="1:26" x14ac:dyDescent="0.5">
      <c r="A579" s="72"/>
      <c r="B579" s="72"/>
      <c r="C579" s="72"/>
      <c r="D579" s="72"/>
      <c r="E579" s="72"/>
      <c r="F579" s="72"/>
      <c r="G579" s="72"/>
      <c r="H579" s="72"/>
      <c r="I579" s="72"/>
      <c r="J579" s="72"/>
      <c r="K579" s="72"/>
      <c r="L579" s="72"/>
      <c r="M579" s="72"/>
      <c r="N579" s="72"/>
      <c r="O579" s="72"/>
      <c r="P579" s="72"/>
      <c r="Q579" s="72"/>
      <c r="R579" s="72"/>
      <c r="S579" s="72"/>
      <c r="T579" s="72"/>
      <c r="U579" s="72"/>
      <c r="V579" s="72"/>
      <c r="W579" s="72"/>
      <c r="X579" s="72"/>
      <c r="Y579" s="72"/>
      <c r="Z579" s="72"/>
    </row>
    <row r="580" spans="1:26" x14ac:dyDescent="0.5">
      <c r="A580" s="72"/>
      <c r="B580" s="72"/>
      <c r="C580" s="72"/>
      <c r="D580" s="72"/>
      <c r="E580" s="72"/>
      <c r="F580" s="72"/>
      <c r="G580" s="72"/>
      <c r="H580" s="72"/>
      <c r="I580" s="72"/>
      <c r="J580" s="72"/>
      <c r="K580" s="72"/>
      <c r="L580" s="72"/>
      <c r="M580" s="72"/>
      <c r="N580" s="72"/>
      <c r="O580" s="72"/>
      <c r="P580" s="72"/>
      <c r="Q580" s="72"/>
      <c r="R580" s="72"/>
      <c r="S580" s="72"/>
      <c r="T580" s="72"/>
      <c r="U580" s="72"/>
      <c r="V580" s="72"/>
      <c r="W580" s="72"/>
      <c r="X580" s="72"/>
      <c r="Y580" s="72"/>
      <c r="Z580" s="72"/>
    </row>
    <row r="581" spans="1:26" x14ac:dyDescent="0.5">
      <c r="A581" s="72"/>
      <c r="B581" s="72"/>
      <c r="C581" s="72"/>
      <c r="D581" s="72"/>
      <c r="E581" s="72"/>
      <c r="F581" s="72"/>
      <c r="G581" s="72"/>
      <c r="H581" s="72"/>
      <c r="I581" s="72"/>
      <c r="J581" s="72"/>
      <c r="K581" s="72"/>
      <c r="L581" s="72"/>
      <c r="M581" s="72"/>
      <c r="N581" s="72"/>
      <c r="O581" s="72"/>
      <c r="P581" s="72"/>
      <c r="Q581" s="72"/>
      <c r="R581" s="72"/>
      <c r="S581" s="72"/>
      <c r="T581" s="72"/>
      <c r="U581" s="72"/>
      <c r="V581" s="72"/>
      <c r="W581" s="72"/>
      <c r="X581" s="72"/>
      <c r="Y581" s="72"/>
      <c r="Z581" s="72"/>
    </row>
    <row r="582" spans="1:26" x14ac:dyDescent="0.5">
      <c r="A582" s="72"/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  <c r="P582" s="72"/>
      <c r="Q582" s="72"/>
      <c r="R582" s="72"/>
      <c r="S582" s="72"/>
      <c r="T582" s="72"/>
      <c r="U582" s="72"/>
      <c r="V582" s="72"/>
      <c r="W582" s="72"/>
      <c r="X582" s="72"/>
      <c r="Y582" s="72"/>
      <c r="Z582" s="72"/>
    </row>
    <row r="583" spans="1:26" x14ac:dyDescent="0.5">
      <c r="A583" s="72"/>
      <c r="B583" s="72"/>
      <c r="C583" s="72"/>
      <c r="D583" s="72"/>
      <c r="E583" s="72"/>
      <c r="F583" s="72"/>
      <c r="G583" s="72"/>
      <c r="H583" s="72"/>
      <c r="I583" s="72"/>
      <c r="J583" s="72"/>
      <c r="K583" s="72"/>
      <c r="L583" s="72"/>
      <c r="M583" s="72"/>
      <c r="N583" s="72"/>
      <c r="O583" s="72"/>
      <c r="P583" s="72"/>
      <c r="Q583" s="72"/>
      <c r="R583" s="72"/>
      <c r="S583" s="72"/>
      <c r="T583" s="72"/>
      <c r="U583" s="72"/>
      <c r="V583" s="72"/>
      <c r="W583" s="72"/>
      <c r="X583" s="72"/>
      <c r="Y583" s="72"/>
      <c r="Z583" s="72"/>
    </row>
    <row r="584" spans="1:26" x14ac:dyDescent="0.5">
      <c r="A584" s="72"/>
      <c r="B584" s="72"/>
      <c r="C584" s="72"/>
      <c r="D584" s="72"/>
      <c r="E584" s="72"/>
      <c r="F584" s="72"/>
      <c r="G584" s="72"/>
      <c r="H584" s="72"/>
      <c r="I584" s="72"/>
      <c r="J584" s="72"/>
      <c r="K584" s="72"/>
      <c r="L584" s="72"/>
      <c r="M584" s="72"/>
      <c r="N584" s="72"/>
      <c r="O584" s="72"/>
      <c r="P584" s="72"/>
      <c r="Q584" s="72"/>
      <c r="R584" s="72"/>
      <c r="S584" s="72"/>
      <c r="T584" s="72"/>
      <c r="U584" s="72"/>
      <c r="V584" s="72"/>
      <c r="W584" s="72"/>
      <c r="X584" s="72"/>
      <c r="Y584" s="72"/>
      <c r="Z584" s="72"/>
    </row>
    <row r="585" spans="1:26" x14ac:dyDescent="0.5">
      <c r="A585" s="72"/>
      <c r="B585" s="72"/>
      <c r="C585" s="72"/>
      <c r="D585" s="72"/>
      <c r="E585" s="72"/>
      <c r="F585" s="72"/>
      <c r="G585" s="72"/>
      <c r="H585" s="72"/>
      <c r="I585" s="72"/>
      <c r="J585" s="72"/>
      <c r="K585" s="72"/>
      <c r="L585" s="72"/>
      <c r="M585" s="72"/>
      <c r="N585" s="72"/>
      <c r="O585" s="72"/>
      <c r="P585" s="72"/>
      <c r="Q585" s="72"/>
      <c r="R585" s="72"/>
      <c r="S585" s="72"/>
      <c r="T585" s="72"/>
      <c r="U585" s="72"/>
      <c r="V585" s="72"/>
      <c r="W585" s="72"/>
      <c r="X585" s="72"/>
      <c r="Y585" s="72"/>
      <c r="Z585" s="72"/>
    </row>
    <row r="586" spans="1:26" x14ac:dyDescent="0.5">
      <c r="A586" s="72"/>
      <c r="B586" s="72"/>
      <c r="C586" s="72"/>
      <c r="D586" s="72"/>
      <c r="E586" s="72"/>
      <c r="F586" s="72"/>
      <c r="G586" s="72"/>
      <c r="H586" s="72"/>
      <c r="I586" s="72"/>
      <c r="J586" s="72"/>
      <c r="K586" s="72"/>
      <c r="L586" s="72"/>
      <c r="M586" s="72"/>
      <c r="N586" s="72"/>
      <c r="O586" s="72"/>
      <c r="P586" s="72"/>
      <c r="Q586" s="72"/>
      <c r="R586" s="72"/>
      <c r="S586" s="72"/>
      <c r="T586" s="72"/>
      <c r="U586" s="72"/>
      <c r="V586" s="72"/>
      <c r="W586" s="72"/>
      <c r="X586" s="72"/>
      <c r="Y586" s="72"/>
      <c r="Z586" s="72"/>
    </row>
    <row r="587" spans="1:26" x14ac:dyDescent="0.5">
      <c r="A587" s="72"/>
      <c r="B587" s="72"/>
      <c r="C587" s="72"/>
      <c r="D587" s="72"/>
      <c r="E587" s="72"/>
      <c r="F587" s="72"/>
      <c r="G587" s="72"/>
      <c r="H587" s="72"/>
      <c r="I587" s="72"/>
      <c r="J587" s="72"/>
      <c r="K587" s="72"/>
      <c r="L587" s="72"/>
      <c r="M587" s="72"/>
      <c r="N587" s="72"/>
      <c r="O587" s="72"/>
      <c r="P587" s="72"/>
      <c r="Q587" s="72"/>
      <c r="R587" s="72"/>
      <c r="S587" s="72"/>
      <c r="T587" s="72"/>
      <c r="U587" s="72"/>
      <c r="V587" s="72"/>
      <c r="W587" s="72"/>
      <c r="X587" s="72"/>
      <c r="Y587" s="72"/>
      <c r="Z587" s="72"/>
    </row>
    <row r="588" spans="1:26" x14ac:dyDescent="0.5">
      <c r="A588" s="72"/>
      <c r="B588" s="72"/>
      <c r="C588" s="72"/>
      <c r="D588" s="72"/>
      <c r="E588" s="72"/>
      <c r="F588" s="72"/>
      <c r="G588" s="72"/>
      <c r="H588" s="72"/>
      <c r="I588" s="72"/>
      <c r="J588" s="72"/>
      <c r="K588" s="72"/>
      <c r="L588" s="72"/>
      <c r="M588" s="72"/>
      <c r="N588" s="72"/>
      <c r="O588" s="72"/>
      <c r="P588" s="72"/>
      <c r="Q588" s="72"/>
      <c r="R588" s="72"/>
      <c r="S588" s="72"/>
      <c r="T588" s="72"/>
      <c r="U588" s="72"/>
      <c r="V588" s="72"/>
      <c r="W588" s="72"/>
      <c r="X588" s="72"/>
      <c r="Y588" s="72"/>
      <c r="Z588" s="72"/>
    </row>
    <row r="589" spans="1:26" x14ac:dyDescent="0.5">
      <c r="A589" s="72"/>
      <c r="B589" s="72"/>
      <c r="C589" s="72"/>
      <c r="D589" s="72"/>
      <c r="E589" s="72"/>
      <c r="F589" s="72"/>
      <c r="G589" s="72"/>
      <c r="H589" s="72"/>
      <c r="I589" s="72"/>
      <c r="J589" s="72"/>
      <c r="K589" s="72"/>
      <c r="L589" s="72"/>
      <c r="M589" s="72"/>
      <c r="N589" s="72"/>
      <c r="O589" s="72"/>
      <c r="P589" s="72"/>
      <c r="Q589" s="72"/>
      <c r="R589" s="72"/>
      <c r="S589" s="72"/>
      <c r="T589" s="72"/>
      <c r="U589" s="72"/>
      <c r="V589" s="72"/>
      <c r="W589" s="72"/>
      <c r="X589" s="72"/>
      <c r="Y589" s="72"/>
      <c r="Z589" s="72"/>
    </row>
    <row r="590" spans="1:26" x14ac:dyDescent="0.5">
      <c r="A590" s="72"/>
      <c r="B590" s="72"/>
      <c r="C590" s="72"/>
      <c r="D590" s="72"/>
      <c r="E590" s="72"/>
      <c r="F590" s="72"/>
      <c r="G590" s="72"/>
      <c r="H590" s="72"/>
      <c r="I590" s="72"/>
      <c r="J590" s="72"/>
      <c r="K590" s="72"/>
      <c r="L590" s="72"/>
      <c r="M590" s="72"/>
      <c r="N590" s="72"/>
      <c r="O590" s="72"/>
      <c r="P590" s="72"/>
      <c r="Q590" s="72"/>
      <c r="R590" s="72"/>
      <c r="S590" s="72"/>
      <c r="T590" s="72"/>
      <c r="U590" s="72"/>
      <c r="V590" s="72"/>
      <c r="W590" s="72"/>
      <c r="X590" s="72"/>
      <c r="Y590" s="72"/>
      <c r="Z590" s="72"/>
    </row>
    <row r="591" spans="1:26" x14ac:dyDescent="0.5">
      <c r="A591" s="72"/>
      <c r="B591" s="72"/>
      <c r="C591" s="72"/>
      <c r="D591" s="72"/>
      <c r="E591" s="72"/>
      <c r="F591" s="72"/>
      <c r="G591" s="72"/>
      <c r="H591" s="72"/>
      <c r="I591" s="72"/>
      <c r="J591" s="72"/>
      <c r="K591" s="72"/>
      <c r="L591" s="72"/>
      <c r="M591" s="72"/>
      <c r="N591" s="72"/>
      <c r="O591" s="72"/>
      <c r="P591" s="72"/>
      <c r="Q591" s="72"/>
      <c r="R591" s="72"/>
      <c r="S591" s="72"/>
      <c r="T591" s="72"/>
      <c r="U591" s="72"/>
      <c r="V591" s="72"/>
      <c r="W591" s="72"/>
      <c r="X591" s="72"/>
      <c r="Y591" s="72"/>
      <c r="Z591" s="72"/>
    </row>
    <row r="592" spans="1:26" x14ac:dyDescent="0.5">
      <c r="A592" s="72"/>
      <c r="B592" s="72"/>
      <c r="C592" s="72"/>
      <c r="D592" s="72"/>
      <c r="E592" s="72"/>
      <c r="F592" s="72"/>
      <c r="G592" s="72"/>
      <c r="H592" s="72"/>
      <c r="I592" s="72"/>
      <c r="J592" s="72"/>
      <c r="K592" s="72"/>
      <c r="L592" s="72"/>
      <c r="M592" s="72"/>
      <c r="N592" s="72"/>
      <c r="O592" s="72"/>
      <c r="P592" s="72"/>
      <c r="Q592" s="72"/>
      <c r="R592" s="72"/>
      <c r="S592" s="72"/>
      <c r="T592" s="72"/>
      <c r="U592" s="72"/>
      <c r="V592" s="72"/>
      <c r="W592" s="72"/>
      <c r="X592" s="72"/>
      <c r="Y592" s="72"/>
      <c r="Z592" s="72"/>
    </row>
    <row r="593" spans="1:26" x14ac:dyDescent="0.5">
      <c r="A593" s="72"/>
      <c r="B593" s="72"/>
      <c r="C593" s="72"/>
      <c r="D593" s="72"/>
      <c r="E593" s="72"/>
      <c r="F593" s="72"/>
      <c r="G593" s="72"/>
      <c r="H593" s="72"/>
      <c r="I593" s="72"/>
      <c r="J593" s="72"/>
      <c r="K593" s="72"/>
      <c r="L593" s="72"/>
      <c r="M593" s="72"/>
      <c r="N593" s="72"/>
      <c r="O593" s="72"/>
      <c r="P593" s="72"/>
      <c r="Q593" s="72"/>
      <c r="R593" s="72"/>
      <c r="S593" s="72"/>
      <c r="T593" s="72"/>
      <c r="U593" s="72"/>
      <c r="V593" s="72"/>
      <c r="W593" s="72"/>
      <c r="X593" s="72"/>
      <c r="Y593" s="72"/>
      <c r="Z593" s="72"/>
    </row>
    <row r="594" spans="1:26" x14ac:dyDescent="0.5">
      <c r="A594" s="72"/>
      <c r="B594" s="72"/>
      <c r="C594" s="72"/>
      <c r="D594" s="72"/>
      <c r="E594" s="72"/>
      <c r="F594" s="72"/>
      <c r="G594" s="72"/>
      <c r="H594" s="72"/>
      <c r="I594" s="72"/>
      <c r="J594" s="72"/>
      <c r="K594" s="72"/>
      <c r="L594" s="72"/>
      <c r="M594" s="72"/>
      <c r="N594" s="72"/>
      <c r="O594" s="72"/>
      <c r="P594" s="72"/>
      <c r="Q594" s="72"/>
      <c r="R594" s="72"/>
      <c r="S594" s="72"/>
      <c r="T594" s="72"/>
      <c r="U594" s="72"/>
      <c r="V594" s="72"/>
      <c r="W594" s="72"/>
      <c r="X594" s="72"/>
      <c r="Y594" s="72"/>
      <c r="Z594" s="72"/>
    </row>
    <row r="595" spans="1:26" x14ac:dyDescent="0.5">
      <c r="A595" s="72"/>
      <c r="B595" s="72"/>
      <c r="C595" s="72"/>
      <c r="D595" s="72"/>
      <c r="E595" s="72"/>
      <c r="F595" s="72"/>
      <c r="G595" s="72"/>
      <c r="H595" s="72"/>
      <c r="I595" s="72"/>
      <c r="J595" s="72"/>
      <c r="K595" s="72"/>
      <c r="L595" s="72"/>
      <c r="M595" s="72"/>
      <c r="N595" s="72"/>
      <c r="O595" s="72"/>
      <c r="P595" s="72"/>
      <c r="Q595" s="72"/>
      <c r="R595" s="72"/>
      <c r="S595" s="72"/>
      <c r="T595" s="72"/>
      <c r="U595" s="72"/>
      <c r="V595" s="72"/>
      <c r="W595" s="72"/>
      <c r="X595" s="72"/>
      <c r="Y595" s="72"/>
      <c r="Z595" s="72"/>
    </row>
    <row r="596" spans="1:26" x14ac:dyDescent="0.5">
      <c r="A596" s="72"/>
      <c r="B596" s="72"/>
      <c r="C596" s="72"/>
      <c r="D596" s="72"/>
      <c r="E596" s="72"/>
      <c r="F596" s="72"/>
      <c r="G596" s="72"/>
      <c r="H596" s="72"/>
      <c r="I596" s="72"/>
      <c r="J596" s="72"/>
      <c r="K596" s="72"/>
      <c r="L596" s="72"/>
      <c r="M596" s="72"/>
      <c r="N596" s="72"/>
      <c r="O596" s="72"/>
      <c r="P596" s="72"/>
      <c r="Q596" s="72"/>
      <c r="R596" s="72"/>
      <c r="S596" s="72"/>
      <c r="T596" s="72"/>
      <c r="U596" s="72"/>
      <c r="V596" s="72"/>
      <c r="W596" s="72"/>
      <c r="X596" s="72"/>
      <c r="Y596" s="72"/>
      <c r="Z596" s="72"/>
    </row>
    <row r="597" spans="1:26" x14ac:dyDescent="0.5">
      <c r="A597" s="72"/>
      <c r="B597" s="72"/>
      <c r="C597" s="72"/>
      <c r="D597" s="72"/>
      <c r="E597" s="72"/>
      <c r="F597" s="72"/>
      <c r="G597" s="72"/>
      <c r="H597" s="72"/>
      <c r="I597" s="72"/>
      <c r="J597" s="72"/>
      <c r="K597" s="72"/>
      <c r="L597" s="72"/>
      <c r="M597" s="72"/>
      <c r="N597" s="72"/>
      <c r="O597" s="72"/>
      <c r="P597" s="72"/>
      <c r="Q597" s="72"/>
      <c r="R597" s="72"/>
      <c r="S597" s="72"/>
      <c r="T597" s="72"/>
      <c r="U597" s="72"/>
      <c r="V597" s="72"/>
      <c r="W597" s="72"/>
      <c r="X597" s="72"/>
      <c r="Y597" s="72"/>
      <c r="Z597" s="72"/>
    </row>
    <row r="598" spans="1:26" x14ac:dyDescent="0.5">
      <c r="A598" s="72"/>
      <c r="B598" s="72"/>
      <c r="C598" s="72"/>
      <c r="D598" s="72"/>
      <c r="E598" s="72"/>
      <c r="F598" s="72"/>
      <c r="G598" s="72"/>
      <c r="H598" s="72"/>
      <c r="I598" s="72"/>
      <c r="J598" s="72"/>
      <c r="K598" s="72"/>
      <c r="L598" s="72"/>
      <c r="M598" s="72"/>
      <c r="N598" s="72"/>
      <c r="O598" s="72"/>
      <c r="P598" s="72"/>
      <c r="Q598" s="72"/>
      <c r="R598" s="72"/>
      <c r="S598" s="72"/>
      <c r="T598" s="72"/>
      <c r="U598" s="72"/>
      <c r="V598" s="72"/>
      <c r="W598" s="72"/>
      <c r="X598" s="72"/>
      <c r="Y598" s="72"/>
      <c r="Z598" s="72"/>
    </row>
    <row r="599" spans="1:26" x14ac:dyDescent="0.5">
      <c r="A599" s="72"/>
      <c r="B599" s="72"/>
      <c r="C599" s="72"/>
      <c r="D599" s="72"/>
      <c r="E599" s="72"/>
      <c r="F599" s="72"/>
      <c r="G599" s="72"/>
      <c r="H599" s="72"/>
      <c r="I599" s="72"/>
      <c r="J599" s="72"/>
      <c r="K599" s="72"/>
      <c r="L599" s="72"/>
      <c r="M599" s="72"/>
      <c r="N599" s="72"/>
      <c r="O599" s="72"/>
      <c r="P599" s="72"/>
      <c r="Q599" s="72"/>
      <c r="R599" s="72"/>
      <c r="S599" s="72"/>
      <c r="T599" s="72"/>
      <c r="U599" s="72"/>
      <c r="V599" s="72"/>
      <c r="W599" s="72"/>
      <c r="X599" s="72"/>
      <c r="Y599" s="72"/>
      <c r="Z599" s="72"/>
    </row>
    <row r="600" spans="1:26" x14ac:dyDescent="0.5">
      <c r="A600" s="72"/>
      <c r="B600" s="72"/>
      <c r="C600" s="72"/>
      <c r="D600" s="72"/>
      <c r="E600" s="72"/>
      <c r="F600" s="72"/>
      <c r="G600" s="72"/>
      <c r="H600" s="72"/>
      <c r="I600" s="72"/>
      <c r="J600" s="72"/>
      <c r="K600" s="72"/>
      <c r="L600" s="72"/>
      <c r="M600" s="72"/>
      <c r="N600" s="72"/>
      <c r="O600" s="72"/>
      <c r="P600" s="72"/>
      <c r="Q600" s="72"/>
      <c r="R600" s="72"/>
      <c r="S600" s="72"/>
      <c r="T600" s="72"/>
      <c r="U600" s="72"/>
      <c r="V600" s="72"/>
      <c r="W600" s="72"/>
      <c r="X600" s="72"/>
      <c r="Y600" s="72"/>
      <c r="Z600" s="72"/>
    </row>
    <row r="601" spans="1:26" x14ac:dyDescent="0.5">
      <c r="A601" s="72"/>
      <c r="B601" s="72"/>
      <c r="C601" s="72"/>
      <c r="D601" s="72"/>
      <c r="E601" s="72"/>
      <c r="F601" s="72"/>
      <c r="G601" s="72"/>
      <c r="H601" s="72"/>
      <c r="I601" s="72"/>
      <c r="J601" s="72"/>
      <c r="K601" s="72"/>
      <c r="L601" s="72"/>
      <c r="M601" s="72"/>
      <c r="N601" s="72"/>
      <c r="O601" s="72"/>
      <c r="P601" s="72"/>
      <c r="Q601" s="72"/>
      <c r="R601" s="72"/>
      <c r="S601" s="72"/>
      <c r="T601" s="72"/>
      <c r="U601" s="72"/>
      <c r="V601" s="72"/>
      <c r="W601" s="72"/>
      <c r="X601" s="72"/>
      <c r="Y601" s="72"/>
      <c r="Z601" s="72"/>
    </row>
    <row r="602" spans="1:26" x14ac:dyDescent="0.5">
      <c r="A602" s="72"/>
      <c r="B602" s="72"/>
      <c r="C602" s="72"/>
      <c r="D602" s="72"/>
      <c r="E602" s="72"/>
      <c r="F602" s="72"/>
      <c r="G602" s="72"/>
      <c r="H602" s="72"/>
      <c r="I602" s="72"/>
      <c r="J602" s="72"/>
      <c r="K602" s="72"/>
      <c r="L602" s="72"/>
      <c r="M602" s="72"/>
      <c r="N602" s="72"/>
      <c r="O602" s="72"/>
      <c r="P602" s="72"/>
      <c r="Q602" s="72"/>
      <c r="R602" s="72"/>
      <c r="S602" s="72"/>
      <c r="T602" s="72"/>
      <c r="U602" s="72"/>
      <c r="V602" s="72"/>
      <c r="W602" s="72"/>
      <c r="X602" s="72"/>
      <c r="Y602" s="72"/>
      <c r="Z602" s="72"/>
    </row>
    <row r="603" spans="1:26" x14ac:dyDescent="0.5">
      <c r="A603" s="72"/>
      <c r="B603" s="72"/>
      <c r="C603" s="72"/>
      <c r="D603" s="72"/>
      <c r="E603" s="72"/>
      <c r="F603" s="72"/>
      <c r="G603" s="72"/>
      <c r="H603" s="72"/>
      <c r="I603" s="72"/>
      <c r="J603" s="72"/>
      <c r="K603" s="72"/>
      <c r="L603" s="72"/>
      <c r="M603" s="72"/>
      <c r="N603" s="72"/>
      <c r="O603" s="72"/>
      <c r="P603" s="72"/>
      <c r="Q603" s="72"/>
      <c r="R603" s="72"/>
      <c r="S603" s="72"/>
      <c r="T603" s="72"/>
      <c r="U603" s="72"/>
      <c r="V603" s="72"/>
      <c r="W603" s="72"/>
      <c r="X603" s="72"/>
      <c r="Y603" s="72"/>
      <c r="Z603" s="72"/>
    </row>
    <row r="604" spans="1:26" x14ac:dyDescent="0.5">
      <c r="A604" s="72"/>
      <c r="B604" s="72"/>
      <c r="C604" s="72"/>
      <c r="D604" s="72"/>
      <c r="E604" s="72"/>
      <c r="F604" s="72"/>
      <c r="G604" s="72"/>
      <c r="H604" s="72"/>
      <c r="I604" s="72"/>
      <c r="J604" s="72"/>
      <c r="K604" s="72"/>
      <c r="L604" s="72"/>
      <c r="M604" s="72"/>
      <c r="N604" s="72"/>
      <c r="O604" s="72"/>
      <c r="P604" s="72"/>
      <c r="Q604" s="72"/>
      <c r="R604" s="72"/>
      <c r="S604" s="72"/>
      <c r="T604" s="72"/>
      <c r="U604" s="72"/>
      <c r="V604" s="72"/>
      <c r="W604" s="72"/>
      <c r="X604" s="72"/>
      <c r="Y604" s="72"/>
      <c r="Z604" s="72"/>
    </row>
    <row r="605" spans="1:26" x14ac:dyDescent="0.5">
      <c r="A605" s="72"/>
      <c r="B605" s="72"/>
      <c r="C605" s="72"/>
      <c r="D605" s="72"/>
      <c r="E605" s="72"/>
      <c r="F605" s="72"/>
      <c r="G605" s="72"/>
      <c r="H605" s="72"/>
      <c r="I605" s="72"/>
      <c r="J605" s="72"/>
      <c r="K605" s="72"/>
      <c r="L605" s="72"/>
      <c r="M605" s="72"/>
      <c r="N605" s="72"/>
      <c r="O605" s="72"/>
      <c r="P605" s="72"/>
      <c r="Q605" s="72"/>
      <c r="R605" s="72"/>
      <c r="S605" s="72"/>
      <c r="T605" s="72"/>
      <c r="U605" s="72"/>
      <c r="V605" s="72"/>
      <c r="W605" s="72"/>
      <c r="X605" s="72"/>
      <c r="Y605" s="72"/>
      <c r="Z605" s="72"/>
    </row>
    <row r="606" spans="1:26" x14ac:dyDescent="0.5">
      <c r="A606" s="72"/>
      <c r="B606" s="72"/>
      <c r="C606" s="72"/>
      <c r="D606" s="72"/>
      <c r="E606" s="72"/>
      <c r="F606" s="72"/>
      <c r="G606" s="72"/>
      <c r="H606" s="72"/>
      <c r="I606" s="72"/>
      <c r="J606" s="72"/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</row>
    <row r="607" spans="1:26" x14ac:dyDescent="0.5">
      <c r="A607" s="72"/>
      <c r="B607" s="72"/>
      <c r="C607" s="72"/>
      <c r="D607" s="72"/>
      <c r="E607" s="72"/>
      <c r="F607" s="72"/>
      <c r="G607" s="72"/>
      <c r="H607" s="72"/>
      <c r="I607" s="72"/>
      <c r="J607" s="72"/>
      <c r="K607" s="72"/>
      <c r="L607" s="72"/>
      <c r="M607" s="72"/>
      <c r="N607" s="72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</row>
    <row r="608" spans="1:26" x14ac:dyDescent="0.5">
      <c r="A608" s="72"/>
      <c r="B608" s="72"/>
      <c r="C608" s="72"/>
      <c r="D608" s="72"/>
      <c r="E608" s="72"/>
      <c r="F608" s="72"/>
      <c r="G608" s="72"/>
      <c r="H608" s="72"/>
      <c r="I608" s="72"/>
      <c r="J608" s="72"/>
      <c r="K608" s="72"/>
      <c r="L608" s="72"/>
      <c r="M608" s="72"/>
      <c r="N608" s="72"/>
      <c r="O608" s="72"/>
      <c r="P608" s="72"/>
      <c r="Q608" s="72"/>
      <c r="R608" s="72"/>
      <c r="S608" s="72"/>
      <c r="T608" s="72"/>
      <c r="U608" s="72"/>
      <c r="V608" s="72"/>
      <c r="W608" s="72"/>
      <c r="X608" s="72"/>
      <c r="Y608" s="72"/>
      <c r="Z608" s="72"/>
    </row>
    <row r="609" spans="1:26" x14ac:dyDescent="0.5">
      <c r="A609" s="72"/>
      <c r="B609" s="72"/>
      <c r="C609" s="72"/>
      <c r="D609" s="72"/>
      <c r="E609" s="72"/>
      <c r="F609" s="72"/>
      <c r="G609" s="72"/>
      <c r="H609" s="72"/>
      <c r="I609" s="72"/>
      <c r="J609" s="72"/>
      <c r="K609" s="72"/>
      <c r="L609" s="72"/>
      <c r="M609" s="72"/>
      <c r="N609" s="72"/>
      <c r="O609" s="72"/>
      <c r="P609" s="72"/>
      <c r="Q609" s="72"/>
      <c r="R609" s="72"/>
      <c r="S609" s="72"/>
      <c r="T609" s="72"/>
      <c r="U609" s="72"/>
      <c r="V609" s="72"/>
      <c r="W609" s="72"/>
      <c r="X609" s="72"/>
      <c r="Y609" s="72"/>
      <c r="Z609" s="72"/>
    </row>
    <row r="610" spans="1:26" x14ac:dyDescent="0.5">
      <c r="A610" s="72"/>
      <c r="B610" s="72"/>
      <c r="C610" s="72"/>
      <c r="D610" s="72"/>
      <c r="E610" s="72"/>
      <c r="F610" s="72"/>
      <c r="G610" s="72"/>
      <c r="H610" s="72"/>
      <c r="I610" s="72"/>
      <c r="J610" s="72"/>
      <c r="K610" s="72"/>
      <c r="L610" s="72"/>
      <c r="M610" s="72"/>
      <c r="N610" s="72"/>
      <c r="O610" s="72"/>
      <c r="P610" s="72"/>
      <c r="Q610" s="72"/>
      <c r="R610" s="72"/>
      <c r="S610" s="72"/>
      <c r="T610" s="72"/>
      <c r="U610" s="72"/>
      <c r="V610" s="72"/>
      <c r="W610" s="72"/>
      <c r="X610" s="72"/>
      <c r="Y610" s="72"/>
      <c r="Z610" s="72"/>
    </row>
    <row r="611" spans="1:26" x14ac:dyDescent="0.5">
      <c r="A611" s="72"/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  <c r="P611" s="72"/>
      <c r="Q611" s="72"/>
      <c r="R611" s="72"/>
      <c r="S611" s="72"/>
      <c r="T611" s="72"/>
      <c r="U611" s="72"/>
      <c r="V611" s="72"/>
      <c r="W611" s="72"/>
      <c r="X611" s="72"/>
      <c r="Y611" s="72"/>
      <c r="Z611" s="72"/>
    </row>
    <row r="612" spans="1:26" x14ac:dyDescent="0.5">
      <c r="A612" s="72"/>
      <c r="B612" s="72"/>
      <c r="C612" s="72"/>
      <c r="D612" s="72"/>
      <c r="E612" s="72"/>
      <c r="F612" s="72"/>
      <c r="G612" s="72"/>
      <c r="H612" s="72"/>
      <c r="I612" s="72"/>
      <c r="J612" s="72"/>
      <c r="K612" s="72"/>
      <c r="L612" s="72"/>
      <c r="M612" s="72"/>
      <c r="N612" s="72"/>
      <c r="O612" s="72"/>
      <c r="P612" s="72"/>
      <c r="Q612" s="72"/>
      <c r="R612" s="72"/>
      <c r="S612" s="72"/>
      <c r="T612" s="72"/>
      <c r="U612" s="72"/>
      <c r="V612" s="72"/>
      <c r="W612" s="72"/>
      <c r="X612" s="72"/>
      <c r="Y612" s="72"/>
      <c r="Z612" s="72"/>
    </row>
    <row r="613" spans="1:26" x14ac:dyDescent="0.5">
      <c r="A613" s="72"/>
      <c r="B613" s="72"/>
      <c r="C613" s="72"/>
      <c r="D613" s="72"/>
      <c r="E613" s="72"/>
      <c r="F613" s="72"/>
      <c r="G613" s="72"/>
      <c r="H613" s="72"/>
      <c r="I613" s="72"/>
      <c r="J613" s="72"/>
      <c r="K613" s="72"/>
      <c r="L613" s="72"/>
      <c r="M613" s="72"/>
      <c r="N613" s="72"/>
      <c r="O613" s="72"/>
      <c r="P613" s="72"/>
      <c r="Q613" s="72"/>
      <c r="R613" s="72"/>
      <c r="S613" s="72"/>
      <c r="T613" s="72"/>
      <c r="U613" s="72"/>
      <c r="V613" s="72"/>
      <c r="W613" s="72"/>
      <c r="X613" s="72"/>
      <c r="Y613" s="72"/>
      <c r="Z613" s="72"/>
    </row>
    <row r="614" spans="1:26" x14ac:dyDescent="0.5">
      <c r="A614" s="72"/>
      <c r="B614" s="72"/>
      <c r="C614" s="72"/>
      <c r="D614" s="72"/>
      <c r="E614" s="72"/>
      <c r="F614" s="72"/>
      <c r="G614" s="72"/>
      <c r="H614" s="72"/>
      <c r="I614" s="72"/>
      <c r="J614" s="72"/>
      <c r="K614" s="72"/>
      <c r="L614" s="72"/>
      <c r="M614" s="72"/>
      <c r="N614" s="72"/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</row>
    <row r="615" spans="1:26" x14ac:dyDescent="0.5">
      <c r="A615" s="72"/>
      <c r="B615" s="72"/>
      <c r="C615" s="72"/>
      <c r="D615" s="72"/>
      <c r="E615" s="72"/>
      <c r="F615" s="72"/>
      <c r="G615" s="72"/>
      <c r="H615" s="72"/>
      <c r="I615" s="72"/>
      <c r="J615" s="72"/>
      <c r="K615" s="72"/>
      <c r="L615" s="72"/>
      <c r="M615" s="72"/>
      <c r="N615" s="72"/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72"/>
    </row>
    <row r="616" spans="1:26" x14ac:dyDescent="0.5">
      <c r="A616" s="72"/>
      <c r="B616" s="72"/>
      <c r="C616" s="72"/>
      <c r="D616" s="72"/>
      <c r="E616" s="72"/>
      <c r="F616" s="72"/>
      <c r="G616" s="72"/>
      <c r="H616" s="72"/>
      <c r="I616" s="72"/>
      <c r="J616" s="72"/>
      <c r="K616" s="72"/>
      <c r="L616" s="72"/>
      <c r="M616" s="72"/>
      <c r="N616" s="72"/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</row>
    <row r="617" spans="1:26" x14ac:dyDescent="0.5">
      <c r="A617" s="72"/>
      <c r="B617" s="72"/>
      <c r="C617" s="72"/>
      <c r="D617" s="72"/>
      <c r="E617" s="72"/>
      <c r="F617" s="72"/>
      <c r="G617" s="72"/>
      <c r="H617" s="72"/>
      <c r="I617" s="72"/>
      <c r="J617" s="72"/>
      <c r="K617" s="72"/>
      <c r="L617" s="72"/>
      <c r="M617" s="72"/>
      <c r="N617" s="72"/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</row>
    <row r="618" spans="1:26" x14ac:dyDescent="0.5">
      <c r="A618" s="72"/>
      <c r="B618" s="72"/>
      <c r="C618" s="72"/>
      <c r="D618" s="72"/>
      <c r="E618" s="72"/>
      <c r="F618" s="72"/>
      <c r="G618" s="72"/>
      <c r="H618" s="72"/>
      <c r="I618" s="72"/>
      <c r="J618" s="72"/>
      <c r="K618" s="72"/>
      <c r="L618" s="72"/>
      <c r="M618" s="72"/>
      <c r="N618" s="72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</row>
    <row r="619" spans="1:26" x14ac:dyDescent="0.5">
      <c r="A619" s="72"/>
      <c r="B619" s="72"/>
      <c r="C619" s="72"/>
      <c r="D619" s="72"/>
      <c r="E619" s="72"/>
      <c r="F619" s="72"/>
      <c r="G619" s="72"/>
      <c r="H619" s="72"/>
      <c r="I619" s="72"/>
      <c r="J619" s="72"/>
      <c r="K619" s="72"/>
      <c r="L619" s="72"/>
      <c r="M619" s="72"/>
      <c r="N619" s="72"/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</row>
    <row r="620" spans="1:26" x14ac:dyDescent="0.5">
      <c r="A620" s="72"/>
      <c r="B620" s="72"/>
      <c r="C620" s="72"/>
      <c r="D620" s="72"/>
      <c r="E620" s="72"/>
      <c r="F620" s="72"/>
      <c r="G620" s="72"/>
      <c r="H620" s="72"/>
      <c r="I620" s="72"/>
      <c r="J620" s="72"/>
      <c r="K620" s="72"/>
      <c r="L620" s="72"/>
      <c r="M620" s="72"/>
      <c r="N620" s="72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</row>
    <row r="621" spans="1:26" x14ac:dyDescent="0.5">
      <c r="A621" s="72"/>
      <c r="B621" s="72"/>
      <c r="C621" s="72"/>
      <c r="D621" s="72"/>
      <c r="E621" s="72"/>
      <c r="F621" s="72"/>
      <c r="G621" s="72"/>
      <c r="H621" s="72"/>
      <c r="I621" s="72"/>
      <c r="J621" s="72"/>
      <c r="K621" s="72"/>
      <c r="L621" s="72"/>
      <c r="M621" s="72"/>
      <c r="N621" s="72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</row>
    <row r="622" spans="1:26" x14ac:dyDescent="0.5">
      <c r="A622" s="72"/>
      <c r="B622" s="72"/>
      <c r="C622" s="72"/>
      <c r="D622" s="72"/>
      <c r="E622" s="72"/>
      <c r="F622" s="72"/>
      <c r="G622" s="72"/>
      <c r="H622" s="72"/>
      <c r="I622" s="72"/>
      <c r="J622" s="72"/>
      <c r="K622" s="72"/>
      <c r="L622" s="72"/>
      <c r="M622" s="72"/>
      <c r="N622" s="72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</row>
    <row r="623" spans="1:26" x14ac:dyDescent="0.5">
      <c r="A623" s="72"/>
      <c r="B623" s="72"/>
      <c r="C623" s="72"/>
      <c r="D623" s="72"/>
      <c r="E623" s="72"/>
      <c r="F623" s="72"/>
      <c r="G623" s="72"/>
      <c r="H623" s="72"/>
      <c r="I623" s="72"/>
      <c r="J623" s="72"/>
      <c r="K623" s="72"/>
      <c r="L623" s="72"/>
      <c r="M623" s="72"/>
      <c r="N623" s="72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</row>
    <row r="624" spans="1:26" x14ac:dyDescent="0.5">
      <c r="A624" s="72"/>
      <c r="B624" s="72"/>
      <c r="C624" s="72"/>
      <c r="D624" s="72"/>
      <c r="E624" s="72"/>
      <c r="F624" s="72"/>
      <c r="G624" s="72"/>
      <c r="H624" s="72"/>
      <c r="I624" s="72"/>
      <c r="J624" s="72"/>
      <c r="K624" s="72"/>
      <c r="L624" s="72"/>
      <c r="M624" s="72"/>
      <c r="N624" s="72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</row>
    <row r="625" spans="1:26" x14ac:dyDescent="0.5">
      <c r="A625" s="72"/>
      <c r="B625" s="72"/>
      <c r="C625" s="72"/>
      <c r="D625" s="72"/>
      <c r="E625" s="72"/>
      <c r="F625" s="72"/>
      <c r="G625" s="72"/>
      <c r="H625" s="72"/>
      <c r="I625" s="72"/>
      <c r="J625" s="72"/>
      <c r="K625" s="72"/>
      <c r="L625" s="72"/>
      <c r="M625" s="72"/>
      <c r="N625" s="72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</row>
    <row r="626" spans="1:26" x14ac:dyDescent="0.5">
      <c r="A626" s="72"/>
      <c r="B626" s="72"/>
      <c r="C626" s="72"/>
      <c r="D626" s="72"/>
      <c r="E626" s="72"/>
      <c r="F626" s="72"/>
      <c r="G626" s="72"/>
      <c r="H626" s="72"/>
      <c r="I626" s="72"/>
      <c r="J626" s="72"/>
      <c r="K626" s="72"/>
      <c r="L626" s="72"/>
      <c r="M626" s="72"/>
      <c r="N626" s="72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</row>
    <row r="627" spans="1:26" x14ac:dyDescent="0.5">
      <c r="A627" s="72"/>
      <c r="B627" s="72"/>
      <c r="C627" s="72"/>
      <c r="D627" s="72"/>
      <c r="E627" s="72"/>
      <c r="F627" s="72"/>
      <c r="G627" s="72"/>
      <c r="H627" s="72"/>
      <c r="I627" s="72"/>
      <c r="J627" s="72"/>
      <c r="K627" s="72"/>
      <c r="L627" s="72"/>
      <c r="M627" s="72"/>
      <c r="N627" s="72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</row>
    <row r="628" spans="1:26" x14ac:dyDescent="0.5">
      <c r="A628" s="72"/>
      <c r="B628" s="72"/>
      <c r="C628" s="72"/>
      <c r="D628" s="72"/>
      <c r="E628" s="72"/>
      <c r="F628" s="72"/>
      <c r="G628" s="72"/>
      <c r="H628" s="72"/>
      <c r="I628" s="72"/>
      <c r="J628" s="72"/>
      <c r="K628" s="72"/>
      <c r="L628" s="72"/>
      <c r="M628" s="72"/>
      <c r="N628" s="72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</row>
    <row r="629" spans="1:26" x14ac:dyDescent="0.5">
      <c r="A629" s="72"/>
      <c r="B629" s="72"/>
      <c r="C629" s="72"/>
      <c r="D629" s="72"/>
      <c r="E629" s="72"/>
      <c r="F629" s="72"/>
      <c r="G629" s="72"/>
      <c r="H629" s="72"/>
      <c r="I629" s="72"/>
      <c r="J629" s="72"/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</row>
    <row r="630" spans="1:26" x14ac:dyDescent="0.5">
      <c r="A630" s="72"/>
      <c r="B630" s="72"/>
      <c r="C630" s="72"/>
      <c r="D630" s="72"/>
      <c r="E630" s="72"/>
      <c r="F630" s="72"/>
      <c r="G630" s="72"/>
      <c r="H630" s="72"/>
      <c r="I630" s="72"/>
      <c r="J630" s="72"/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</row>
    <row r="631" spans="1:26" x14ac:dyDescent="0.5">
      <c r="A631" s="72"/>
      <c r="B631" s="72"/>
      <c r="C631" s="72"/>
      <c r="D631" s="72"/>
      <c r="E631" s="72"/>
      <c r="F631" s="72"/>
      <c r="G631" s="72"/>
      <c r="H631" s="72"/>
      <c r="I631" s="72"/>
      <c r="J631" s="72"/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</row>
    <row r="632" spans="1:26" x14ac:dyDescent="0.5">
      <c r="A632" s="72"/>
      <c r="B632" s="72"/>
      <c r="C632" s="72"/>
      <c r="D632" s="72"/>
      <c r="E632" s="72"/>
      <c r="F632" s="72"/>
      <c r="G632" s="72"/>
      <c r="H632" s="72"/>
      <c r="I632" s="72"/>
      <c r="J632" s="72"/>
      <c r="K632" s="72"/>
      <c r="L632" s="72"/>
      <c r="M632" s="72"/>
      <c r="N632" s="72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</row>
    <row r="633" spans="1:26" x14ac:dyDescent="0.5">
      <c r="A633" s="72"/>
      <c r="B633" s="72"/>
      <c r="C633" s="72"/>
      <c r="D633" s="72"/>
      <c r="E633" s="72"/>
      <c r="F633" s="72"/>
      <c r="G633" s="72"/>
      <c r="H633" s="72"/>
      <c r="I633" s="72"/>
      <c r="J633" s="72"/>
      <c r="K633" s="72"/>
      <c r="L633" s="72"/>
      <c r="M633" s="72"/>
      <c r="N633" s="72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</row>
    <row r="634" spans="1:26" x14ac:dyDescent="0.5">
      <c r="A634" s="72"/>
      <c r="B634" s="72"/>
      <c r="C634" s="72"/>
      <c r="D634" s="72"/>
      <c r="E634" s="72"/>
      <c r="F634" s="72"/>
      <c r="G634" s="72"/>
      <c r="H634" s="72"/>
      <c r="I634" s="72"/>
      <c r="J634" s="72"/>
      <c r="K634" s="72"/>
      <c r="L634" s="72"/>
      <c r="M634" s="72"/>
      <c r="N634" s="72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</row>
    <row r="635" spans="1:26" x14ac:dyDescent="0.5">
      <c r="A635" s="72"/>
      <c r="B635" s="72"/>
      <c r="C635" s="72"/>
      <c r="D635" s="72"/>
      <c r="E635" s="72"/>
      <c r="F635" s="72"/>
      <c r="G635" s="72"/>
      <c r="H635" s="72"/>
      <c r="I635" s="72"/>
      <c r="J635" s="72"/>
      <c r="K635" s="72"/>
      <c r="L635" s="72"/>
      <c r="M635" s="72"/>
      <c r="N635" s="72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</row>
    <row r="636" spans="1:26" x14ac:dyDescent="0.5">
      <c r="A636" s="72"/>
      <c r="B636" s="72"/>
      <c r="C636" s="72"/>
      <c r="D636" s="72"/>
      <c r="E636" s="72"/>
      <c r="F636" s="72"/>
      <c r="G636" s="72"/>
      <c r="H636" s="72"/>
      <c r="I636" s="72"/>
      <c r="J636" s="72"/>
      <c r="K636" s="72"/>
      <c r="L636" s="72"/>
      <c r="M636" s="72"/>
      <c r="N636" s="72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</row>
    <row r="637" spans="1:26" x14ac:dyDescent="0.5">
      <c r="A637" s="72"/>
      <c r="B637" s="72"/>
      <c r="C637" s="72"/>
      <c r="D637" s="72"/>
      <c r="E637" s="72"/>
      <c r="F637" s="72"/>
      <c r="G637" s="72"/>
      <c r="H637" s="72"/>
      <c r="I637" s="72"/>
      <c r="J637" s="72"/>
      <c r="K637" s="72"/>
      <c r="L637" s="72"/>
      <c r="M637" s="72"/>
      <c r="N637" s="72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</row>
    <row r="638" spans="1:26" x14ac:dyDescent="0.5">
      <c r="A638" s="72"/>
      <c r="B638" s="72"/>
      <c r="C638" s="72"/>
      <c r="D638" s="72"/>
      <c r="E638" s="72"/>
      <c r="F638" s="72"/>
      <c r="G638" s="72"/>
      <c r="H638" s="72"/>
      <c r="I638" s="72"/>
      <c r="J638" s="72"/>
      <c r="K638" s="72"/>
      <c r="L638" s="72"/>
      <c r="M638" s="72"/>
      <c r="N638" s="72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</row>
    <row r="639" spans="1:26" x14ac:dyDescent="0.5">
      <c r="A639" s="72"/>
      <c r="B639" s="72"/>
      <c r="C639" s="72"/>
      <c r="D639" s="72"/>
      <c r="E639" s="72"/>
      <c r="F639" s="72"/>
      <c r="G639" s="72"/>
      <c r="H639" s="72"/>
      <c r="I639" s="72"/>
      <c r="J639" s="72"/>
      <c r="K639" s="72"/>
      <c r="L639" s="72"/>
      <c r="M639" s="72"/>
      <c r="N639" s="72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</row>
    <row r="640" spans="1:26" x14ac:dyDescent="0.5">
      <c r="A640" s="72"/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</row>
    <row r="641" spans="1:26" x14ac:dyDescent="0.5">
      <c r="A641" s="72"/>
      <c r="B641" s="72"/>
      <c r="C641" s="72"/>
      <c r="D641" s="72"/>
      <c r="E641" s="72"/>
      <c r="F641" s="72"/>
      <c r="G641" s="72"/>
      <c r="H641" s="72"/>
      <c r="I641" s="72"/>
      <c r="J641" s="72"/>
      <c r="K641" s="72"/>
      <c r="L641" s="72"/>
      <c r="M641" s="72"/>
      <c r="N641" s="72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</row>
    <row r="642" spans="1:26" x14ac:dyDescent="0.5">
      <c r="A642" s="72"/>
      <c r="B642" s="72"/>
      <c r="C642" s="72"/>
      <c r="D642" s="72"/>
      <c r="E642" s="72"/>
      <c r="F642" s="72"/>
      <c r="G642" s="72"/>
      <c r="H642" s="72"/>
      <c r="I642" s="72"/>
      <c r="J642" s="72"/>
      <c r="K642" s="72"/>
      <c r="L642" s="72"/>
      <c r="M642" s="72"/>
      <c r="N642" s="72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</row>
    <row r="643" spans="1:26" x14ac:dyDescent="0.5">
      <c r="A643" s="72"/>
      <c r="B643" s="72"/>
      <c r="C643" s="72"/>
      <c r="D643" s="72"/>
      <c r="E643" s="72"/>
      <c r="F643" s="72"/>
      <c r="G643" s="72"/>
      <c r="H643" s="72"/>
      <c r="I643" s="72"/>
      <c r="J643" s="72"/>
      <c r="K643" s="72"/>
      <c r="L643" s="72"/>
      <c r="M643" s="72"/>
      <c r="N643" s="72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</row>
    <row r="644" spans="1:26" x14ac:dyDescent="0.5">
      <c r="A644" s="72"/>
      <c r="B644" s="72"/>
      <c r="C644" s="72"/>
      <c r="D644" s="72"/>
      <c r="E644" s="72"/>
      <c r="F644" s="72"/>
      <c r="G644" s="72"/>
      <c r="H644" s="72"/>
      <c r="I644" s="72"/>
      <c r="J644" s="72"/>
      <c r="K644" s="72"/>
      <c r="L644" s="72"/>
      <c r="M644" s="72"/>
      <c r="N644" s="72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</row>
    <row r="645" spans="1:26" x14ac:dyDescent="0.5">
      <c r="A645" s="72"/>
      <c r="B645" s="72"/>
      <c r="C645" s="72"/>
      <c r="D645" s="72"/>
      <c r="E645" s="72"/>
      <c r="F645" s="72"/>
      <c r="G645" s="72"/>
      <c r="H645" s="72"/>
      <c r="I645" s="72"/>
      <c r="J645" s="72"/>
      <c r="K645" s="72"/>
      <c r="L645" s="72"/>
      <c r="M645" s="72"/>
      <c r="N645" s="72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</row>
    <row r="646" spans="1:26" x14ac:dyDescent="0.5">
      <c r="A646" s="72"/>
      <c r="B646" s="72"/>
      <c r="C646" s="72"/>
      <c r="D646" s="72"/>
      <c r="E646" s="72"/>
      <c r="F646" s="72"/>
      <c r="G646" s="72"/>
      <c r="H646" s="72"/>
      <c r="I646" s="72"/>
      <c r="J646" s="72"/>
      <c r="K646" s="72"/>
      <c r="L646" s="72"/>
      <c r="M646" s="72"/>
      <c r="N646" s="72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</row>
    <row r="647" spans="1:26" x14ac:dyDescent="0.5">
      <c r="A647" s="72"/>
      <c r="B647" s="72"/>
      <c r="C647" s="72"/>
      <c r="D647" s="72"/>
      <c r="E647" s="72"/>
      <c r="F647" s="72"/>
      <c r="G647" s="72"/>
      <c r="H647" s="72"/>
      <c r="I647" s="72"/>
      <c r="J647" s="72"/>
      <c r="K647" s="72"/>
      <c r="L647" s="72"/>
      <c r="M647" s="72"/>
      <c r="N647" s="72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</row>
    <row r="648" spans="1:26" x14ac:dyDescent="0.5">
      <c r="A648" s="72"/>
      <c r="B648" s="72"/>
      <c r="C648" s="72"/>
      <c r="D648" s="72"/>
      <c r="E648" s="72"/>
      <c r="F648" s="72"/>
      <c r="G648" s="72"/>
      <c r="H648" s="72"/>
      <c r="I648" s="72"/>
      <c r="J648" s="72"/>
      <c r="K648" s="72"/>
      <c r="L648" s="72"/>
      <c r="M648" s="72"/>
      <c r="N648" s="72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</row>
    <row r="649" spans="1:26" x14ac:dyDescent="0.5">
      <c r="A649" s="72"/>
      <c r="B649" s="72"/>
      <c r="C649" s="72"/>
      <c r="D649" s="72"/>
      <c r="E649" s="72"/>
      <c r="F649" s="72"/>
      <c r="G649" s="72"/>
      <c r="H649" s="72"/>
      <c r="I649" s="72"/>
      <c r="J649" s="72"/>
      <c r="K649" s="72"/>
      <c r="L649" s="72"/>
      <c r="M649" s="72"/>
      <c r="N649" s="72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</row>
    <row r="650" spans="1:26" x14ac:dyDescent="0.5">
      <c r="A650" s="72"/>
      <c r="B650" s="72"/>
      <c r="C650" s="72"/>
      <c r="D650" s="72"/>
      <c r="E650" s="72"/>
      <c r="F650" s="72"/>
      <c r="G650" s="72"/>
      <c r="H650" s="72"/>
      <c r="I650" s="72"/>
      <c r="J650" s="72"/>
      <c r="K650" s="72"/>
      <c r="L650" s="72"/>
      <c r="M650" s="72"/>
      <c r="N650" s="72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</row>
    <row r="651" spans="1:26" x14ac:dyDescent="0.5">
      <c r="A651" s="72"/>
      <c r="B651" s="72"/>
      <c r="C651" s="72"/>
      <c r="D651" s="72"/>
      <c r="E651" s="72"/>
      <c r="F651" s="72"/>
      <c r="G651" s="72"/>
      <c r="H651" s="72"/>
      <c r="I651" s="72"/>
      <c r="J651" s="72"/>
      <c r="K651" s="72"/>
      <c r="L651" s="72"/>
      <c r="M651" s="72"/>
      <c r="N651" s="72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</row>
    <row r="652" spans="1:26" x14ac:dyDescent="0.5">
      <c r="A652" s="72"/>
      <c r="B652" s="72"/>
      <c r="C652" s="72"/>
      <c r="D652" s="72"/>
      <c r="E652" s="72"/>
      <c r="F652" s="72"/>
      <c r="G652" s="72"/>
      <c r="H652" s="72"/>
      <c r="I652" s="72"/>
      <c r="J652" s="72"/>
      <c r="K652" s="72"/>
      <c r="L652" s="72"/>
      <c r="M652" s="72"/>
      <c r="N652" s="72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</row>
    <row r="653" spans="1:26" x14ac:dyDescent="0.5">
      <c r="A653" s="72"/>
      <c r="B653" s="72"/>
      <c r="C653" s="72"/>
      <c r="D653" s="72"/>
      <c r="E653" s="72"/>
      <c r="F653" s="72"/>
      <c r="G653" s="72"/>
      <c r="H653" s="72"/>
      <c r="I653" s="72"/>
      <c r="J653" s="72"/>
      <c r="K653" s="72"/>
      <c r="L653" s="72"/>
      <c r="M653" s="72"/>
      <c r="N653" s="72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</row>
    <row r="654" spans="1:26" x14ac:dyDescent="0.5">
      <c r="A654" s="72"/>
      <c r="B654" s="72"/>
      <c r="C654" s="72"/>
      <c r="D654" s="72"/>
      <c r="E654" s="72"/>
      <c r="F654" s="72"/>
      <c r="G654" s="72"/>
      <c r="H654" s="72"/>
      <c r="I654" s="72"/>
      <c r="J654" s="72"/>
      <c r="K654" s="72"/>
      <c r="L654" s="72"/>
      <c r="M654" s="72"/>
      <c r="N654" s="72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</row>
    <row r="655" spans="1:26" x14ac:dyDescent="0.5">
      <c r="A655" s="72"/>
      <c r="B655" s="72"/>
      <c r="C655" s="72"/>
      <c r="D655" s="72"/>
      <c r="E655" s="72"/>
      <c r="F655" s="72"/>
      <c r="G655" s="72"/>
      <c r="H655" s="72"/>
      <c r="I655" s="72"/>
      <c r="J655" s="72"/>
      <c r="K655" s="72"/>
      <c r="L655" s="72"/>
      <c r="M655" s="72"/>
      <c r="N655" s="72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</row>
    <row r="656" spans="1:26" x14ac:dyDescent="0.5">
      <c r="A656" s="72"/>
      <c r="B656" s="72"/>
      <c r="C656" s="72"/>
      <c r="D656" s="72"/>
      <c r="E656" s="72"/>
      <c r="F656" s="72"/>
      <c r="G656" s="72"/>
      <c r="H656" s="72"/>
      <c r="I656" s="72"/>
      <c r="J656" s="72"/>
      <c r="K656" s="72"/>
      <c r="L656" s="72"/>
      <c r="M656" s="72"/>
      <c r="N656" s="72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</row>
    <row r="657" spans="1:26" x14ac:dyDescent="0.5">
      <c r="A657" s="72"/>
      <c r="B657" s="72"/>
      <c r="C657" s="72"/>
      <c r="D657" s="72"/>
      <c r="E657" s="72"/>
      <c r="F657" s="72"/>
      <c r="G657" s="72"/>
      <c r="H657" s="72"/>
      <c r="I657" s="72"/>
      <c r="J657" s="72"/>
      <c r="K657" s="72"/>
      <c r="L657" s="72"/>
      <c r="M657" s="72"/>
      <c r="N657" s="72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</row>
    <row r="658" spans="1:26" x14ac:dyDescent="0.5">
      <c r="A658" s="72"/>
      <c r="B658" s="72"/>
      <c r="C658" s="72"/>
      <c r="D658" s="72"/>
      <c r="E658" s="72"/>
      <c r="F658" s="72"/>
      <c r="G658" s="72"/>
      <c r="H658" s="72"/>
      <c r="I658" s="72"/>
      <c r="J658" s="72"/>
      <c r="K658" s="72"/>
      <c r="L658" s="72"/>
      <c r="M658" s="72"/>
      <c r="N658" s="72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</row>
    <row r="659" spans="1:26" x14ac:dyDescent="0.5">
      <c r="A659" s="72"/>
      <c r="B659" s="72"/>
      <c r="C659" s="72"/>
      <c r="D659" s="72"/>
      <c r="E659" s="72"/>
      <c r="F659" s="72"/>
      <c r="G659" s="72"/>
      <c r="H659" s="72"/>
      <c r="I659" s="72"/>
      <c r="J659" s="72"/>
      <c r="K659" s="72"/>
      <c r="L659" s="72"/>
      <c r="M659" s="72"/>
      <c r="N659" s="72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</row>
    <row r="660" spans="1:26" x14ac:dyDescent="0.5">
      <c r="A660" s="72"/>
      <c r="B660" s="72"/>
      <c r="C660" s="72"/>
      <c r="D660" s="72"/>
      <c r="E660" s="72"/>
      <c r="F660" s="72"/>
      <c r="G660" s="72"/>
      <c r="H660" s="72"/>
      <c r="I660" s="72"/>
      <c r="J660" s="72"/>
      <c r="K660" s="72"/>
      <c r="L660" s="72"/>
      <c r="M660" s="72"/>
      <c r="N660" s="72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</row>
    <row r="661" spans="1:26" x14ac:dyDescent="0.5">
      <c r="A661" s="72"/>
      <c r="B661" s="72"/>
      <c r="C661" s="72"/>
      <c r="D661" s="72"/>
      <c r="E661" s="72"/>
      <c r="F661" s="72"/>
      <c r="G661" s="72"/>
      <c r="H661" s="72"/>
      <c r="I661" s="72"/>
      <c r="J661" s="72"/>
      <c r="K661" s="72"/>
      <c r="L661" s="72"/>
      <c r="M661" s="72"/>
      <c r="N661" s="72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</row>
    <row r="662" spans="1:26" x14ac:dyDescent="0.5">
      <c r="A662" s="72"/>
      <c r="B662" s="72"/>
      <c r="C662" s="72"/>
      <c r="D662" s="72"/>
      <c r="E662" s="72"/>
      <c r="F662" s="72"/>
      <c r="G662" s="72"/>
      <c r="H662" s="72"/>
      <c r="I662" s="72"/>
      <c r="J662" s="72"/>
      <c r="K662" s="72"/>
      <c r="L662" s="72"/>
      <c r="M662" s="72"/>
      <c r="N662" s="72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</row>
    <row r="663" spans="1:26" x14ac:dyDescent="0.5">
      <c r="A663" s="72"/>
      <c r="B663" s="72"/>
      <c r="C663" s="72"/>
      <c r="D663" s="72"/>
      <c r="E663" s="72"/>
      <c r="F663" s="72"/>
      <c r="G663" s="72"/>
      <c r="H663" s="72"/>
      <c r="I663" s="72"/>
      <c r="J663" s="72"/>
      <c r="K663" s="72"/>
      <c r="L663" s="72"/>
      <c r="M663" s="72"/>
      <c r="N663" s="72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</row>
    <row r="664" spans="1:26" x14ac:dyDescent="0.5">
      <c r="A664" s="72"/>
      <c r="B664" s="72"/>
      <c r="C664" s="72"/>
      <c r="D664" s="72"/>
      <c r="E664" s="72"/>
      <c r="F664" s="72"/>
      <c r="G664" s="72"/>
      <c r="H664" s="72"/>
      <c r="I664" s="72"/>
      <c r="J664" s="72"/>
      <c r="K664" s="72"/>
      <c r="L664" s="72"/>
      <c r="M664" s="72"/>
      <c r="N664" s="72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</row>
    <row r="665" spans="1:26" x14ac:dyDescent="0.5">
      <c r="A665" s="72"/>
      <c r="B665" s="72"/>
      <c r="C665" s="72"/>
      <c r="D665" s="72"/>
      <c r="E665" s="72"/>
      <c r="F665" s="72"/>
      <c r="G665" s="72"/>
      <c r="H665" s="72"/>
      <c r="I665" s="72"/>
      <c r="J665" s="72"/>
      <c r="K665" s="72"/>
      <c r="L665" s="72"/>
      <c r="M665" s="72"/>
      <c r="N665" s="72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</row>
    <row r="666" spans="1:26" x14ac:dyDescent="0.5">
      <c r="A666" s="72"/>
      <c r="B666" s="72"/>
      <c r="C666" s="72"/>
      <c r="D666" s="72"/>
      <c r="E666" s="72"/>
      <c r="F666" s="72"/>
      <c r="G666" s="72"/>
      <c r="H666" s="72"/>
      <c r="I666" s="72"/>
      <c r="J666" s="72"/>
      <c r="K666" s="72"/>
      <c r="L666" s="72"/>
      <c r="M666" s="72"/>
      <c r="N666" s="72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</row>
    <row r="667" spans="1:26" x14ac:dyDescent="0.5">
      <c r="A667" s="72"/>
      <c r="B667" s="72"/>
      <c r="C667" s="72"/>
      <c r="D667" s="72"/>
      <c r="E667" s="72"/>
      <c r="F667" s="72"/>
      <c r="G667" s="72"/>
      <c r="H667" s="72"/>
      <c r="I667" s="72"/>
      <c r="J667" s="72"/>
      <c r="K667" s="72"/>
      <c r="L667" s="72"/>
      <c r="M667" s="72"/>
      <c r="N667" s="72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</row>
    <row r="668" spans="1:26" x14ac:dyDescent="0.5">
      <c r="A668" s="72"/>
      <c r="B668" s="72"/>
      <c r="C668" s="72"/>
      <c r="D668" s="72"/>
      <c r="E668" s="72"/>
      <c r="F668" s="72"/>
      <c r="G668" s="72"/>
      <c r="H668" s="72"/>
      <c r="I668" s="72"/>
      <c r="J668" s="72"/>
      <c r="K668" s="72"/>
      <c r="L668" s="72"/>
      <c r="M668" s="72"/>
      <c r="N668" s="72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</row>
    <row r="669" spans="1:26" x14ac:dyDescent="0.5">
      <c r="A669" s="72"/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</row>
    <row r="670" spans="1:26" x14ac:dyDescent="0.5">
      <c r="A670" s="72"/>
      <c r="B670" s="72"/>
      <c r="C670" s="72"/>
      <c r="D670" s="72"/>
      <c r="E670" s="72"/>
      <c r="F670" s="72"/>
      <c r="G670" s="72"/>
      <c r="H670" s="72"/>
      <c r="I670" s="72"/>
      <c r="J670" s="72"/>
      <c r="K670" s="72"/>
      <c r="L670" s="72"/>
      <c r="M670" s="72"/>
      <c r="N670" s="72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</row>
    <row r="671" spans="1:26" x14ac:dyDescent="0.5">
      <c r="A671" s="72"/>
      <c r="B671" s="72"/>
      <c r="C671" s="72"/>
      <c r="D671" s="72"/>
      <c r="E671" s="72"/>
      <c r="F671" s="72"/>
      <c r="G671" s="72"/>
      <c r="H671" s="72"/>
      <c r="I671" s="72"/>
      <c r="J671" s="72"/>
      <c r="K671" s="72"/>
      <c r="L671" s="72"/>
      <c r="M671" s="72"/>
      <c r="N671" s="72"/>
      <c r="O671" s="72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</row>
    <row r="672" spans="1:26" x14ac:dyDescent="0.5">
      <c r="A672" s="72"/>
      <c r="B672" s="72"/>
      <c r="C672" s="72"/>
      <c r="D672" s="72"/>
      <c r="E672" s="72"/>
      <c r="F672" s="72"/>
      <c r="G672" s="72"/>
      <c r="H672" s="72"/>
      <c r="I672" s="72"/>
      <c r="J672" s="72"/>
      <c r="K672" s="72"/>
      <c r="L672" s="72"/>
      <c r="M672" s="72"/>
      <c r="N672" s="72"/>
      <c r="O672" s="72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</row>
    <row r="673" spans="1:26" x14ac:dyDescent="0.5">
      <c r="A673" s="72"/>
      <c r="B673" s="72"/>
      <c r="C673" s="72"/>
      <c r="D673" s="72"/>
      <c r="E673" s="72"/>
      <c r="F673" s="72"/>
      <c r="G673" s="72"/>
      <c r="H673" s="72"/>
      <c r="I673" s="72"/>
      <c r="J673" s="72"/>
      <c r="K673" s="72"/>
      <c r="L673" s="72"/>
      <c r="M673" s="72"/>
      <c r="N673" s="72"/>
      <c r="O673" s="72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</row>
    <row r="674" spans="1:26" x14ac:dyDescent="0.5">
      <c r="A674" s="72"/>
      <c r="B674" s="72"/>
      <c r="C674" s="72"/>
      <c r="D674" s="72"/>
      <c r="E674" s="72"/>
      <c r="F674" s="72"/>
      <c r="G674" s="72"/>
      <c r="H674" s="72"/>
      <c r="I674" s="72"/>
      <c r="J674" s="72"/>
      <c r="K674" s="72"/>
      <c r="L674" s="72"/>
      <c r="M674" s="72"/>
      <c r="N674" s="72"/>
      <c r="O674" s="72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</row>
    <row r="675" spans="1:26" x14ac:dyDescent="0.5">
      <c r="A675" s="72"/>
      <c r="B675" s="72"/>
      <c r="C675" s="72"/>
      <c r="D675" s="72"/>
      <c r="E675" s="72"/>
      <c r="F675" s="72"/>
      <c r="G675" s="72"/>
      <c r="H675" s="72"/>
      <c r="I675" s="72"/>
      <c r="J675" s="72"/>
      <c r="K675" s="72"/>
      <c r="L675" s="72"/>
      <c r="M675" s="72"/>
      <c r="N675" s="72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</row>
    <row r="676" spans="1:26" x14ac:dyDescent="0.5">
      <c r="A676" s="72"/>
      <c r="B676" s="72"/>
      <c r="C676" s="72"/>
      <c r="D676" s="72"/>
      <c r="E676" s="72"/>
      <c r="F676" s="72"/>
      <c r="G676" s="72"/>
      <c r="H676" s="72"/>
      <c r="I676" s="72"/>
      <c r="J676" s="72"/>
      <c r="K676" s="72"/>
      <c r="L676" s="72"/>
      <c r="M676" s="72"/>
      <c r="N676" s="72"/>
      <c r="O676" s="72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</row>
    <row r="677" spans="1:26" x14ac:dyDescent="0.5">
      <c r="A677" s="72"/>
      <c r="B677" s="72"/>
      <c r="C677" s="72"/>
      <c r="D677" s="72"/>
      <c r="E677" s="72"/>
      <c r="F677" s="72"/>
      <c r="G677" s="72"/>
      <c r="H677" s="72"/>
      <c r="I677" s="72"/>
      <c r="J677" s="72"/>
      <c r="K677" s="72"/>
      <c r="L677" s="72"/>
      <c r="M677" s="72"/>
      <c r="N677" s="72"/>
      <c r="O677" s="72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</row>
    <row r="678" spans="1:26" x14ac:dyDescent="0.5">
      <c r="A678" s="72"/>
      <c r="B678" s="72"/>
      <c r="C678" s="72"/>
      <c r="D678" s="72"/>
      <c r="E678" s="72"/>
      <c r="F678" s="72"/>
      <c r="G678" s="72"/>
      <c r="H678" s="72"/>
      <c r="I678" s="72"/>
      <c r="J678" s="72"/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</row>
    <row r="679" spans="1:26" x14ac:dyDescent="0.5">
      <c r="A679" s="72"/>
      <c r="B679" s="72"/>
      <c r="C679" s="72"/>
      <c r="D679" s="72"/>
      <c r="E679" s="72"/>
      <c r="F679" s="72"/>
      <c r="G679" s="72"/>
      <c r="H679" s="72"/>
      <c r="I679" s="72"/>
      <c r="J679" s="72"/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</row>
    <row r="680" spans="1:26" x14ac:dyDescent="0.5">
      <c r="A680" s="72"/>
      <c r="B680" s="72"/>
      <c r="C680" s="72"/>
      <c r="D680" s="72"/>
      <c r="E680" s="72"/>
      <c r="F680" s="72"/>
      <c r="G680" s="72"/>
      <c r="H680" s="72"/>
      <c r="I680" s="72"/>
      <c r="J680" s="72"/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</row>
    <row r="681" spans="1:26" x14ac:dyDescent="0.5">
      <c r="A681" s="72"/>
      <c r="B681" s="72"/>
      <c r="C681" s="72"/>
      <c r="D681" s="72"/>
      <c r="E681" s="72"/>
      <c r="F681" s="72"/>
      <c r="G681" s="72"/>
      <c r="H681" s="72"/>
      <c r="I681" s="72"/>
      <c r="J681" s="72"/>
      <c r="K681" s="72"/>
      <c r="L681" s="72"/>
      <c r="M681" s="72"/>
      <c r="N681" s="72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</row>
    <row r="682" spans="1:26" x14ac:dyDescent="0.5">
      <c r="A682" s="72"/>
      <c r="B682" s="72"/>
      <c r="C682" s="72"/>
      <c r="D682" s="72"/>
      <c r="E682" s="72"/>
      <c r="F682" s="72"/>
      <c r="G682" s="72"/>
      <c r="H682" s="72"/>
      <c r="I682" s="72"/>
      <c r="J682" s="72"/>
      <c r="K682" s="72"/>
      <c r="L682" s="72"/>
      <c r="M682" s="72"/>
      <c r="N682" s="72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</row>
    <row r="683" spans="1:26" x14ac:dyDescent="0.5">
      <c r="A683" s="72"/>
      <c r="B683" s="72"/>
      <c r="C683" s="72"/>
      <c r="D683" s="72"/>
      <c r="E683" s="72"/>
      <c r="F683" s="72"/>
      <c r="G683" s="72"/>
      <c r="H683" s="72"/>
      <c r="I683" s="72"/>
      <c r="J683" s="72"/>
      <c r="K683" s="72"/>
      <c r="L683" s="72"/>
      <c r="M683" s="72"/>
      <c r="N683" s="72"/>
      <c r="O683" s="72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</row>
    <row r="684" spans="1:26" x14ac:dyDescent="0.5">
      <c r="A684" s="72"/>
      <c r="B684" s="72"/>
      <c r="C684" s="72"/>
      <c r="D684" s="72"/>
      <c r="E684" s="72"/>
      <c r="F684" s="72"/>
      <c r="G684" s="72"/>
      <c r="H684" s="72"/>
      <c r="I684" s="72"/>
      <c r="J684" s="72"/>
      <c r="K684" s="72"/>
      <c r="L684" s="72"/>
      <c r="M684" s="72"/>
      <c r="N684" s="72"/>
      <c r="O684" s="72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</row>
    <row r="685" spans="1:26" x14ac:dyDescent="0.5">
      <c r="A685" s="72"/>
      <c r="B685" s="72"/>
      <c r="C685" s="72"/>
      <c r="D685" s="72"/>
      <c r="E685" s="72"/>
      <c r="F685" s="72"/>
      <c r="G685" s="72"/>
      <c r="H685" s="72"/>
      <c r="I685" s="72"/>
      <c r="J685" s="72"/>
      <c r="K685" s="72"/>
      <c r="L685" s="72"/>
      <c r="M685" s="72"/>
      <c r="N685" s="72"/>
      <c r="O685" s="72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</row>
    <row r="686" spans="1:26" x14ac:dyDescent="0.5">
      <c r="A686" s="72"/>
      <c r="B686" s="72"/>
      <c r="C686" s="72"/>
      <c r="D686" s="72"/>
      <c r="E686" s="72"/>
      <c r="F686" s="72"/>
      <c r="G686" s="72"/>
      <c r="H686" s="72"/>
      <c r="I686" s="72"/>
      <c r="J686" s="72"/>
      <c r="K686" s="72"/>
      <c r="L686" s="72"/>
      <c r="M686" s="72"/>
      <c r="N686" s="72"/>
      <c r="O686" s="72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</row>
    <row r="687" spans="1:26" x14ac:dyDescent="0.5">
      <c r="A687" s="72"/>
      <c r="B687" s="72"/>
      <c r="C687" s="72"/>
      <c r="D687" s="72"/>
      <c r="E687" s="72"/>
      <c r="F687" s="72"/>
      <c r="G687" s="72"/>
      <c r="H687" s="72"/>
      <c r="I687" s="72"/>
      <c r="J687" s="72"/>
      <c r="K687" s="72"/>
      <c r="L687" s="72"/>
      <c r="M687" s="72"/>
      <c r="N687" s="72"/>
      <c r="O687" s="72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</row>
    <row r="688" spans="1:26" x14ac:dyDescent="0.5">
      <c r="A688" s="72"/>
      <c r="B688" s="72"/>
      <c r="C688" s="72"/>
      <c r="D688" s="72"/>
      <c r="E688" s="72"/>
      <c r="F688" s="72"/>
      <c r="G688" s="72"/>
      <c r="H688" s="72"/>
      <c r="I688" s="72"/>
      <c r="J688" s="72"/>
      <c r="K688" s="72"/>
      <c r="L688" s="72"/>
      <c r="M688" s="72"/>
      <c r="N688" s="72"/>
      <c r="O688" s="72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</row>
    <row r="689" spans="1:26" x14ac:dyDescent="0.5">
      <c r="A689" s="72"/>
      <c r="B689" s="72"/>
      <c r="C689" s="72"/>
      <c r="D689" s="72"/>
      <c r="E689" s="72"/>
      <c r="F689" s="72"/>
      <c r="G689" s="72"/>
      <c r="H689" s="72"/>
      <c r="I689" s="72"/>
      <c r="J689" s="72"/>
      <c r="K689" s="72"/>
      <c r="L689" s="72"/>
      <c r="M689" s="72"/>
      <c r="N689" s="72"/>
      <c r="O689" s="72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</row>
    <row r="690" spans="1:26" x14ac:dyDescent="0.5">
      <c r="A690" s="72"/>
      <c r="B690" s="72"/>
      <c r="C690" s="72"/>
      <c r="D690" s="72"/>
      <c r="E690" s="72"/>
      <c r="F690" s="72"/>
      <c r="G690" s="72"/>
      <c r="H690" s="72"/>
      <c r="I690" s="72"/>
      <c r="J690" s="72"/>
      <c r="K690" s="72"/>
      <c r="L690" s="72"/>
      <c r="M690" s="72"/>
      <c r="N690" s="72"/>
      <c r="O690" s="72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</row>
    <row r="691" spans="1:26" x14ac:dyDescent="0.5">
      <c r="A691" s="72"/>
      <c r="B691" s="72"/>
      <c r="C691" s="72"/>
      <c r="D691" s="72"/>
      <c r="E691" s="72"/>
      <c r="F691" s="72"/>
      <c r="G691" s="72"/>
      <c r="H691" s="72"/>
      <c r="I691" s="72"/>
      <c r="J691" s="72"/>
      <c r="K691" s="72"/>
      <c r="L691" s="72"/>
      <c r="M691" s="72"/>
      <c r="N691" s="72"/>
      <c r="O691" s="72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</row>
    <row r="692" spans="1:26" x14ac:dyDescent="0.5">
      <c r="A692" s="72"/>
      <c r="B692" s="72"/>
      <c r="C692" s="72"/>
      <c r="D692" s="72"/>
      <c r="E692" s="72"/>
      <c r="F692" s="72"/>
      <c r="G692" s="72"/>
      <c r="H692" s="72"/>
      <c r="I692" s="72"/>
      <c r="J692" s="72"/>
      <c r="K692" s="72"/>
      <c r="L692" s="72"/>
      <c r="M692" s="72"/>
      <c r="N692" s="72"/>
      <c r="O692" s="72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</row>
    <row r="693" spans="1:26" x14ac:dyDescent="0.5">
      <c r="A693" s="72"/>
      <c r="B693" s="72"/>
      <c r="C693" s="72"/>
      <c r="D693" s="72"/>
      <c r="E693" s="72"/>
      <c r="F693" s="72"/>
      <c r="G693" s="72"/>
      <c r="H693" s="72"/>
      <c r="I693" s="72"/>
      <c r="J693" s="72"/>
      <c r="K693" s="72"/>
      <c r="L693" s="72"/>
      <c r="M693" s="72"/>
      <c r="N693" s="72"/>
      <c r="O693" s="72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</row>
    <row r="694" spans="1:26" x14ac:dyDescent="0.5">
      <c r="A694" s="72"/>
      <c r="B694" s="72"/>
      <c r="C694" s="72"/>
      <c r="D694" s="72"/>
      <c r="E694" s="72"/>
      <c r="F694" s="72"/>
      <c r="G694" s="72"/>
      <c r="H694" s="72"/>
      <c r="I694" s="72"/>
      <c r="J694" s="72"/>
      <c r="K694" s="72"/>
      <c r="L694" s="72"/>
      <c r="M694" s="72"/>
      <c r="N694" s="72"/>
      <c r="O694" s="72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</row>
    <row r="695" spans="1:26" x14ac:dyDescent="0.5">
      <c r="A695" s="72"/>
      <c r="B695" s="72"/>
      <c r="C695" s="72"/>
      <c r="D695" s="72"/>
      <c r="E695" s="72"/>
      <c r="F695" s="72"/>
      <c r="G695" s="72"/>
      <c r="H695" s="72"/>
      <c r="I695" s="72"/>
      <c r="J695" s="72"/>
      <c r="K695" s="72"/>
      <c r="L695" s="72"/>
      <c r="M695" s="72"/>
      <c r="N695" s="72"/>
      <c r="O695" s="72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</row>
    <row r="696" spans="1:26" x14ac:dyDescent="0.5">
      <c r="A696" s="72"/>
      <c r="B696" s="72"/>
      <c r="C696" s="72"/>
      <c r="D696" s="72"/>
      <c r="E696" s="72"/>
      <c r="F696" s="72"/>
      <c r="G696" s="72"/>
      <c r="H696" s="72"/>
      <c r="I696" s="72"/>
      <c r="J696" s="72"/>
      <c r="K696" s="72"/>
      <c r="L696" s="72"/>
      <c r="M696" s="72"/>
      <c r="N696" s="72"/>
      <c r="O696" s="72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</row>
    <row r="697" spans="1:26" x14ac:dyDescent="0.5">
      <c r="A697" s="72"/>
      <c r="B697" s="72"/>
      <c r="C697" s="72"/>
      <c r="D697" s="72"/>
      <c r="E697" s="72"/>
      <c r="F697" s="72"/>
      <c r="G697" s="72"/>
      <c r="H697" s="72"/>
      <c r="I697" s="72"/>
      <c r="J697" s="72"/>
      <c r="K697" s="72"/>
      <c r="L697" s="72"/>
      <c r="M697" s="72"/>
      <c r="N697" s="72"/>
      <c r="O697" s="72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</row>
    <row r="698" spans="1:26" x14ac:dyDescent="0.5">
      <c r="A698" s="72"/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</row>
    <row r="699" spans="1:26" x14ac:dyDescent="0.5">
      <c r="A699" s="72"/>
      <c r="B699" s="72"/>
      <c r="C699" s="72"/>
      <c r="D699" s="72"/>
      <c r="E699" s="72"/>
      <c r="F699" s="72"/>
      <c r="G699" s="72"/>
      <c r="H699" s="72"/>
      <c r="I699" s="72"/>
      <c r="J699" s="72"/>
      <c r="K699" s="72"/>
      <c r="L699" s="72"/>
      <c r="M699" s="72"/>
      <c r="N699" s="72"/>
      <c r="O699" s="72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</row>
    <row r="700" spans="1:26" x14ac:dyDescent="0.5">
      <c r="A700" s="72"/>
      <c r="B700" s="72"/>
      <c r="C700" s="72"/>
      <c r="D700" s="72"/>
      <c r="E700" s="72"/>
      <c r="F700" s="72"/>
      <c r="G700" s="72"/>
      <c r="H700" s="72"/>
      <c r="I700" s="72"/>
      <c r="J700" s="72"/>
      <c r="K700" s="72"/>
      <c r="L700" s="72"/>
      <c r="M700" s="72"/>
      <c r="N700" s="72"/>
      <c r="O700" s="72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</row>
    <row r="701" spans="1:26" x14ac:dyDescent="0.5">
      <c r="A701" s="72"/>
      <c r="B701" s="72"/>
      <c r="C701" s="72"/>
      <c r="D701" s="72"/>
      <c r="E701" s="72"/>
      <c r="F701" s="72"/>
      <c r="G701" s="72"/>
      <c r="H701" s="72"/>
      <c r="I701" s="72"/>
      <c r="J701" s="72"/>
      <c r="K701" s="72"/>
      <c r="L701" s="72"/>
      <c r="M701" s="72"/>
      <c r="N701" s="72"/>
      <c r="O701" s="72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</row>
    <row r="702" spans="1:26" x14ac:dyDescent="0.5">
      <c r="A702" s="72"/>
      <c r="B702" s="72"/>
      <c r="C702" s="72"/>
      <c r="D702" s="72"/>
      <c r="E702" s="72"/>
      <c r="F702" s="72"/>
      <c r="G702" s="72"/>
      <c r="H702" s="72"/>
      <c r="I702" s="72"/>
      <c r="J702" s="72"/>
      <c r="K702" s="72"/>
      <c r="L702" s="72"/>
      <c r="M702" s="72"/>
      <c r="N702" s="72"/>
      <c r="O702" s="72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</row>
    <row r="703" spans="1:26" x14ac:dyDescent="0.5">
      <c r="A703" s="72"/>
      <c r="B703" s="72"/>
      <c r="C703" s="72"/>
      <c r="D703" s="72"/>
      <c r="E703" s="72"/>
      <c r="F703" s="72"/>
      <c r="G703" s="72"/>
      <c r="H703" s="72"/>
      <c r="I703" s="72"/>
      <c r="J703" s="72"/>
      <c r="K703" s="72"/>
      <c r="L703" s="72"/>
      <c r="M703" s="72"/>
      <c r="N703" s="72"/>
      <c r="O703" s="72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</row>
    <row r="704" spans="1:26" x14ac:dyDescent="0.5">
      <c r="A704" s="72"/>
      <c r="B704" s="72"/>
      <c r="C704" s="72"/>
      <c r="D704" s="72"/>
      <c r="E704" s="72"/>
      <c r="F704" s="72"/>
      <c r="G704" s="72"/>
      <c r="H704" s="72"/>
      <c r="I704" s="72"/>
      <c r="J704" s="72"/>
      <c r="K704" s="72"/>
      <c r="L704" s="72"/>
      <c r="M704" s="72"/>
      <c r="N704" s="72"/>
      <c r="O704" s="72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</row>
    <row r="705" spans="1:26" x14ac:dyDescent="0.5">
      <c r="A705" s="72"/>
      <c r="B705" s="72"/>
      <c r="C705" s="72"/>
      <c r="D705" s="72"/>
      <c r="E705" s="72"/>
      <c r="F705" s="72"/>
      <c r="G705" s="72"/>
      <c r="H705" s="72"/>
      <c r="I705" s="72"/>
      <c r="J705" s="72"/>
      <c r="K705" s="72"/>
      <c r="L705" s="72"/>
      <c r="M705" s="72"/>
      <c r="N705" s="72"/>
      <c r="O705" s="72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</row>
    <row r="706" spans="1:26" x14ac:dyDescent="0.5">
      <c r="A706" s="72"/>
      <c r="B706" s="72"/>
      <c r="C706" s="72"/>
      <c r="D706" s="72"/>
      <c r="E706" s="72"/>
      <c r="F706" s="72"/>
      <c r="G706" s="72"/>
      <c r="H706" s="72"/>
      <c r="I706" s="72"/>
      <c r="J706" s="72"/>
      <c r="K706" s="72"/>
      <c r="L706" s="72"/>
      <c r="M706" s="72"/>
      <c r="N706" s="72"/>
      <c r="O706" s="72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</row>
    <row r="707" spans="1:26" x14ac:dyDescent="0.5">
      <c r="A707" s="72"/>
      <c r="B707" s="72"/>
      <c r="C707" s="72"/>
      <c r="D707" s="72"/>
      <c r="E707" s="72"/>
      <c r="F707" s="72"/>
      <c r="G707" s="72"/>
      <c r="H707" s="72"/>
      <c r="I707" s="72"/>
      <c r="J707" s="72"/>
      <c r="K707" s="72"/>
      <c r="L707" s="72"/>
      <c r="M707" s="72"/>
      <c r="N707" s="72"/>
      <c r="O707" s="72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</row>
    <row r="708" spans="1:26" x14ac:dyDescent="0.5">
      <c r="A708" s="72"/>
      <c r="B708" s="72"/>
      <c r="C708" s="72"/>
      <c r="D708" s="72"/>
      <c r="E708" s="72"/>
      <c r="F708" s="72"/>
      <c r="G708" s="72"/>
      <c r="H708" s="72"/>
      <c r="I708" s="72"/>
      <c r="J708" s="72"/>
      <c r="K708" s="72"/>
      <c r="L708" s="72"/>
      <c r="M708" s="72"/>
      <c r="N708" s="72"/>
      <c r="O708" s="72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</row>
    <row r="709" spans="1:26" x14ac:dyDescent="0.5">
      <c r="A709" s="72"/>
      <c r="B709" s="72"/>
      <c r="C709" s="72"/>
      <c r="D709" s="72"/>
      <c r="E709" s="72"/>
      <c r="F709" s="72"/>
      <c r="G709" s="72"/>
      <c r="H709" s="72"/>
      <c r="I709" s="72"/>
      <c r="J709" s="72"/>
      <c r="K709" s="72"/>
      <c r="L709" s="72"/>
      <c r="M709" s="72"/>
      <c r="N709" s="72"/>
      <c r="O709" s="72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</row>
    <row r="710" spans="1:26" x14ac:dyDescent="0.5">
      <c r="A710" s="72"/>
      <c r="B710" s="72"/>
      <c r="C710" s="72"/>
      <c r="D710" s="72"/>
      <c r="E710" s="72"/>
      <c r="F710" s="72"/>
      <c r="G710" s="72"/>
      <c r="H710" s="72"/>
      <c r="I710" s="72"/>
      <c r="J710" s="72"/>
      <c r="K710" s="72"/>
      <c r="L710" s="72"/>
      <c r="M710" s="72"/>
      <c r="N710" s="72"/>
      <c r="O710" s="72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</row>
    <row r="711" spans="1:26" x14ac:dyDescent="0.5">
      <c r="A711" s="72"/>
      <c r="B711" s="72"/>
      <c r="C711" s="72"/>
      <c r="D711" s="72"/>
      <c r="E711" s="72"/>
      <c r="F711" s="72"/>
      <c r="G711" s="72"/>
      <c r="H711" s="72"/>
      <c r="I711" s="72"/>
      <c r="J711" s="72"/>
      <c r="K711" s="72"/>
      <c r="L711" s="72"/>
      <c r="M711" s="72"/>
      <c r="N711" s="72"/>
      <c r="O711" s="72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</row>
    <row r="712" spans="1:26" x14ac:dyDescent="0.5">
      <c r="A712" s="72"/>
      <c r="B712" s="72"/>
      <c r="C712" s="72"/>
      <c r="D712" s="72"/>
      <c r="E712" s="72"/>
      <c r="F712" s="72"/>
      <c r="G712" s="72"/>
      <c r="H712" s="72"/>
      <c r="I712" s="72"/>
      <c r="J712" s="72"/>
      <c r="K712" s="72"/>
      <c r="L712" s="72"/>
      <c r="M712" s="72"/>
      <c r="N712" s="72"/>
      <c r="O712" s="72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</row>
    <row r="713" spans="1:26" x14ac:dyDescent="0.5">
      <c r="A713" s="72"/>
      <c r="B713" s="72"/>
      <c r="C713" s="72"/>
      <c r="D713" s="72"/>
      <c r="E713" s="72"/>
      <c r="F713" s="72"/>
      <c r="G713" s="72"/>
      <c r="H713" s="72"/>
      <c r="I713" s="72"/>
      <c r="J713" s="72"/>
      <c r="K713" s="72"/>
      <c r="L713" s="72"/>
      <c r="M713" s="72"/>
      <c r="N713" s="72"/>
      <c r="O713" s="72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</row>
    <row r="714" spans="1:26" x14ac:dyDescent="0.5">
      <c r="A714" s="72"/>
      <c r="B714" s="72"/>
      <c r="C714" s="72"/>
      <c r="D714" s="72"/>
      <c r="E714" s="72"/>
      <c r="F714" s="72"/>
      <c r="G714" s="72"/>
      <c r="H714" s="72"/>
      <c r="I714" s="72"/>
      <c r="J714" s="72"/>
      <c r="K714" s="72"/>
      <c r="L714" s="72"/>
      <c r="M714" s="72"/>
      <c r="N714" s="72"/>
      <c r="O714" s="72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</row>
    <row r="715" spans="1:26" x14ac:dyDescent="0.5">
      <c r="A715" s="72"/>
      <c r="B715" s="72"/>
      <c r="C715" s="72"/>
      <c r="D715" s="72"/>
      <c r="E715" s="72"/>
      <c r="F715" s="72"/>
      <c r="G715" s="72"/>
      <c r="H715" s="72"/>
      <c r="I715" s="72"/>
      <c r="J715" s="72"/>
      <c r="K715" s="72"/>
      <c r="L715" s="72"/>
      <c r="M715" s="72"/>
      <c r="N715" s="72"/>
      <c r="O715" s="72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</row>
    <row r="716" spans="1:26" x14ac:dyDescent="0.5">
      <c r="A716" s="72"/>
      <c r="B716" s="72"/>
      <c r="C716" s="72"/>
      <c r="D716" s="72"/>
      <c r="E716" s="72"/>
      <c r="F716" s="72"/>
      <c r="G716" s="72"/>
      <c r="H716" s="72"/>
      <c r="I716" s="72"/>
      <c r="J716" s="72"/>
      <c r="K716" s="72"/>
      <c r="L716" s="72"/>
      <c r="M716" s="72"/>
      <c r="N716" s="72"/>
      <c r="O716" s="72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</row>
    <row r="717" spans="1:26" x14ac:dyDescent="0.5">
      <c r="A717" s="72"/>
      <c r="B717" s="72"/>
      <c r="C717" s="72"/>
      <c r="D717" s="72"/>
      <c r="E717" s="72"/>
      <c r="F717" s="72"/>
      <c r="G717" s="72"/>
      <c r="H717" s="72"/>
      <c r="I717" s="72"/>
      <c r="J717" s="72"/>
      <c r="K717" s="72"/>
      <c r="L717" s="72"/>
      <c r="M717" s="72"/>
      <c r="N717" s="72"/>
      <c r="O717" s="72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</row>
    <row r="718" spans="1:26" x14ac:dyDescent="0.5">
      <c r="A718" s="72"/>
      <c r="B718" s="72"/>
      <c r="C718" s="72"/>
      <c r="D718" s="72"/>
      <c r="E718" s="72"/>
      <c r="F718" s="72"/>
      <c r="G718" s="72"/>
      <c r="H718" s="72"/>
      <c r="I718" s="72"/>
      <c r="J718" s="72"/>
      <c r="K718" s="72"/>
      <c r="L718" s="72"/>
      <c r="M718" s="72"/>
      <c r="N718" s="72"/>
      <c r="O718" s="72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</row>
    <row r="719" spans="1:26" x14ac:dyDescent="0.5">
      <c r="A719" s="72"/>
      <c r="B719" s="72"/>
      <c r="C719" s="72"/>
      <c r="D719" s="72"/>
      <c r="E719" s="72"/>
      <c r="F719" s="72"/>
      <c r="G719" s="72"/>
      <c r="H719" s="72"/>
      <c r="I719" s="72"/>
      <c r="J719" s="72"/>
      <c r="K719" s="72"/>
      <c r="L719" s="72"/>
      <c r="M719" s="72"/>
      <c r="N719" s="72"/>
      <c r="O719" s="72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</row>
    <row r="720" spans="1:26" x14ac:dyDescent="0.5">
      <c r="A720" s="72"/>
      <c r="B720" s="72"/>
      <c r="C720" s="72"/>
      <c r="D720" s="72"/>
      <c r="E720" s="72"/>
      <c r="F720" s="72"/>
      <c r="G720" s="72"/>
      <c r="H720" s="72"/>
      <c r="I720" s="72"/>
      <c r="J720" s="72"/>
      <c r="K720" s="72"/>
      <c r="L720" s="72"/>
      <c r="M720" s="72"/>
      <c r="N720" s="72"/>
      <c r="O720" s="72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</row>
    <row r="721" spans="1:26" x14ac:dyDescent="0.5">
      <c r="A721" s="72"/>
      <c r="B721" s="72"/>
      <c r="C721" s="72"/>
      <c r="D721" s="72"/>
      <c r="E721" s="72"/>
      <c r="F721" s="72"/>
      <c r="G721" s="72"/>
      <c r="H721" s="72"/>
      <c r="I721" s="72"/>
      <c r="J721" s="72"/>
      <c r="K721" s="72"/>
      <c r="L721" s="72"/>
      <c r="M721" s="72"/>
      <c r="N721" s="72"/>
      <c r="O721" s="72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</row>
    <row r="722" spans="1:26" x14ac:dyDescent="0.5">
      <c r="A722" s="72"/>
      <c r="B722" s="72"/>
      <c r="C722" s="72"/>
      <c r="D722" s="72"/>
      <c r="E722" s="72"/>
      <c r="F722" s="72"/>
      <c r="G722" s="72"/>
      <c r="H722" s="72"/>
      <c r="I722" s="72"/>
      <c r="J722" s="72"/>
      <c r="K722" s="72"/>
      <c r="L722" s="72"/>
      <c r="M722" s="72"/>
      <c r="N722" s="72"/>
      <c r="O722" s="72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</row>
    <row r="723" spans="1:26" x14ac:dyDescent="0.5">
      <c r="A723" s="72"/>
      <c r="B723" s="72"/>
      <c r="C723" s="72"/>
      <c r="D723" s="72"/>
      <c r="E723" s="72"/>
      <c r="F723" s="72"/>
      <c r="G723" s="72"/>
      <c r="H723" s="72"/>
      <c r="I723" s="72"/>
      <c r="J723" s="72"/>
      <c r="K723" s="72"/>
      <c r="L723" s="72"/>
      <c r="M723" s="72"/>
      <c r="N723" s="72"/>
      <c r="O723" s="72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</row>
    <row r="724" spans="1:26" x14ac:dyDescent="0.5">
      <c r="A724" s="72"/>
      <c r="B724" s="72"/>
      <c r="C724" s="72"/>
      <c r="D724" s="72"/>
      <c r="E724" s="72"/>
      <c r="F724" s="72"/>
      <c r="G724" s="72"/>
      <c r="H724" s="72"/>
      <c r="I724" s="72"/>
      <c r="J724" s="72"/>
      <c r="K724" s="72"/>
      <c r="L724" s="72"/>
      <c r="M724" s="72"/>
      <c r="N724" s="72"/>
      <c r="O724" s="72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</row>
    <row r="725" spans="1:26" x14ac:dyDescent="0.5">
      <c r="A725" s="72"/>
      <c r="B725" s="72"/>
      <c r="C725" s="72"/>
      <c r="D725" s="72"/>
      <c r="E725" s="72"/>
      <c r="F725" s="72"/>
      <c r="G725" s="72"/>
      <c r="H725" s="72"/>
      <c r="I725" s="72"/>
      <c r="J725" s="72"/>
      <c r="K725" s="72"/>
      <c r="L725" s="72"/>
      <c r="M725" s="72"/>
      <c r="N725" s="72"/>
      <c r="O725" s="72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</row>
    <row r="726" spans="1:26" x14ac:dyDescent="0.5">
      <c r="A726" s="72"/>
      <c r="B726" s="72"/>
      <c r="C726" s="72"/>
      <c r="D726" s="72"/>
      <c r="E726" s="72"/>
      <c r="F726" s="72"/>
      <c r="G726" s="72"/>
      <c r="H726" s="72"/>
      <c r="I726" s="72"/>
      <c r="J726" s="72"/>
      <c r="K726" s="72"/>
      <c r="L726" s="72"/>
      <c r="M726" s="72"/>
      <c r="N726" s="72"/>
      <c r="O726" s="72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</row>
    <row r="727" spans="1:26" x14ac:dyDescent="0.5">
      <c r="A727" s="72"/>
      <c r="B727" s="72"/>
      <c r="C727" s="72"/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</row>
    <row r="728" spans="1:26" x14ac:dyDescent="0.5">
      <c r="A728" s="72"/>
      <c r="B728" s="72"/>
      <c r="C728" s="72"/>
      <c r="D728" s="72"/>
      <c r="E728" s="72"/>
      <c r="F728" s="72"/>
      <c r="G728" s="72"/>
      <c r="H728" s="72"/>
      <c r="I728" s="72"/>
      <c r="J728" s="72"/>
      <c r="K728" s="72"/>
      <c r="L728" s="72"/>
      <c r="M728" s="72"/>
      <c r="N728" s="72"/>
      <c r="O728" s="72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</row>
    <row r="729" spans="1:26" x14ac:dyDescent="0.5">
      <c r="A729" s="72"/>
      <c r="B729" s="72"/>
      <c r="C729" s="72"/>
      <c r="D729" s="72"/>
      <c r="E729" s="72"/>
      <c r="F729" s="72"/>
      <c r="G729" s="72"/>
      <c r="H729" s="72"/>
      <c r="I729" s="72"/>
      <c r="J729" s="72"/>
      <c r="K729" s="72"/>
      <c r="L729" s="72"/>
      <c r="M729" s="72"/>
      <c r="N729" s="72"/>
      <c r="O729" s="72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</row>
    <row r="730" spans="1:26" x14ac:dyDescent="0.5">
      <c r="A730" s="72"/>
      <c r="B730" s="72"/>
      <c r="C730" s="72"/>
      <c r="D730" s="72"/>
      <c r="E730" s="72"/>
      <c r="F730" s="72"/>
      <c r="G730" s="72"/>
      <c r="H730" s="72"/>
      <c r="I730" s="72"/>
      <c r="J730" s="72"/>
      <c r="K730" s="72"/>
      <c r="L730" s="72"/>
      <c r="M730" s="72"/>
      <c r="N730" s="72"/>
      <c r="O730" s="72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</row>
    <row r="731" spans="1:26" x14ac:dyDescent="0.5">
      <c r="A731" s="72"/>
      <c r="B731" s="72"/>
      <c r="C731" s="72"/>
      <c r="D731" s="72"/>
      <c r="E731" s="72"/>
      <c r="F731" s="72"/>
      <c r="G731" s="72"/>
      <c r="H731" s="72"/>
      <c r="I731" s="72"/>
      <c r="J731" s="72"/>
      <c r="K731" s="72"/>
      <c r="L731" s="72"/>
      <c r="M731" s="72"/>
      <c r="N731" s="72"/>
      <c r="O731" s="72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</row>
    <row r="732" spans="1:26" x14ac:dyDescent="0.5">
      <c r="A732" s="72"/>
      <c r="B732" s="72"/>
      <c r="C732" s="72"/>
      <c r="D732" s="72"/>
      <c r="E732" s="72"/>
      <c r="F732" s="72"/>
      <c r="G732" s="72"/>
      <c r="H732" s="72"/>
      <c r="I732" s="72"/>
      <c r="J732" s="72"/>
      <c r="K732" s="72"/>
      <c r="L732" s="72"/>
      <c r="M732" s="72"/>
      <c r="N732" s="72"/>
      <c r="O732" s="72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</row>
    <row r="733" spans="1:26" x14ac:dyDescent="0.5">
      <c r="A733" s="72"/>
      <c r="B733" s="72"/>
      <c r="C733" s="72"/>
      <c r="D733" s="72"/>
      <c r="E733" s="72"/>
      <c r="F733" s="72"/>
      <c r="G733" s="72"/>
      <c r="H733" s="72"/>
      <c r="I733" s="72"/>
      <c r="J733" s="72"/>
      <c r="K733" s="72"/>
      <c r="L733" s="72"/>
      <c r="M733" s="72"/>
      <c r="N733" s="72"/>
      <c r="O733" s="72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</row>
    <row r="734" spans="1:26" x14ac:dyDescent="0.5">
      <c r="A734" s="72"/>
      <c r="B734" s="72"/>
      <c r="C734" s="72"/>
      <c r="D734" s="72"/>
      <c r="E734" s="72"/>
      <c r="F734" s="72"/>
      <c r="G734" s="72"/>
      <c r="H734" s="72"/>
      <c r="I734" s="72"/>
      <c r="J734" s="72"/>
      <c r="K734" s="72"/>
      <c r="L734" s="72"/>
      <c r="M734" s="72"/>
      <c r="N734" s="72"/>
      <c r="O734" s="72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</row>
    <row r="735" spans="1:26" x14ac:dyDescent="0.5">
      <c r="A735" s="72"/>
      <c r="B735" s="72"/>
      <c r="C735" s="72"/>
      <c r="D735" s="72"/>
      <c r="E735" s="72"/>
      <c r="F735" s="72"/>
      <c r="G735" s="72"/>
      <c r="H735" s="72"/>
      <c r="I735" s="72"/>
      <c r="J735" s="72"/>
      <c r="K735" s="72"/>
      <c r="L735" s="72"/>
      <c r="M735" s="72"/>
      <c r="N735" s="72"/>
      <c r="O735" s="72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</row>
    <row r="736" spans="1:26" x14ac:dyDescent="0.5">
      <c r="A736" s="72"/>
      <c r="B736" s="72"/>
      <c r="C736" s="72"/>
      <c r="D736" s="72"/>
      <c r="E736" s="72"/>
      <c r="F736" s="72"/>
      <c r="G736" s="72"/>
      <c r="H736" s="72"/>
      <c r="I736" s="72"/>
      <c r="J736" s="72"/>
      <c r="K736" s="72"/>
      <c r="L736" s="72"/>
      <c r="M736" s="72"/>
      <c r="N736" s="72"/>
      <c r="O736" s="72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</row>
    <row r="737" spans="1:26" x14ac:dyDescent="0.5">
      <c r="A737" s="72"/>
      <c r="B737" s="72"/>
      <c r="C737" s="72"/>
      <c r="D737" s="72"/>
      <c r="E737" s="72"/>
      <c r="F737" s="72"/>
      <c r="G737" s="72"/>
      <c r="H737" s="72"/>
      <c r="I737" s="72"/>
      <c r="J737" s="72"/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</row>
    <row r="738" spans="1:26" x14ac:dyDescent="0.5">
      <c r="A738" s="72"/>
      <c r="B738" s="72"/>
      <c r="C738" s="72"/>
      <c r="D738" s="72"/>
      <c r="E738" s="72"/>
      <c r="F738" s="72"/>
      <c r="G738" s="72"/>
      <c r="H738" s="72"/>
      <c r="I738" s="72"/>
      <c r="J738" s="72"/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</row>
    <row r="739" spans="1:26" x14ac:dyDescent="0.5">
      <c r="A739" s="72"/>
      <c r="B739" s="72"/>
      <c r="C739" s="72"/>
      <c r="D739" s="72"/>
      <c r="E739" s="72"/>
      <c r="F739" s="72"/>
      <c r="G739" s="72"/>
      <c r="H739" s="72"/>
      <c r="I739" s="72"/>
      <c r="J739" s="72"/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</row>
    <row r="740" spans="1:26" x14ac:dyDescent="0.5">
      <c r="A740" s="72"/>
      <c r="B740" s="72"/>
      <c r="C740" s="72"/>
      <c r="D740" s="72"/>
      <c r="E740" s="72"/>
      <c r="F740" s="72"/>
      <c r="G740" s="72"/>
      <c r="H740" s="72"/>
      <c r="I740" s="72"/>
      <c r="J740" s="72"/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</row>
    <row r="741" spans="1:26" x14ac:dyDescent="0.5">
      <c r="A741" s="72"/>
      <c r="B741" s="72"/>
      <c r="C741" s="72"/>
      <c r="D741" s="72"/>
      <c r="E741" s="72"/>
      <c r="F741" s="72"/>
      <c r="G741" s="72"/>
      <c r="H741" s="72"/>
      <c r="I741" s="72"/>
      <c r="J741" s="72"/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</row>
    <row r="742" spans="1:26" x14ac:dyDescent="0.5">
      <c r="A742" s="72"/>
      <c r="B742" s="72"/>
      <c r="C742" s="72"/>
      <c r="D742" s="72"/>
      <c r="E742" s="72"/>
      <c r="F742" s="72"/>
      <c r="G742" s="72"/>
      <c r="H742" s="72"/>
      <c r="I742" s="72"/>
      <c r="J742" s="72"/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</row>
    <row r="743" spans="1:26" x14ac:dyDescent="0.5">
      <c r="A743" s="72"/>
      <c r="B743" s="72"/>
      <c r="C743" s="72"/>
      <c r="D743" s="72"/>
      <c r="E743" s="72"/>
      <c r="F743" s="72"/>
      <c r="G743" s="72"/>
      <c r="H743" s="72"/>
      <c r="I743" s="72"/>
      <c r="J743" s="72"/>
      <c r="K743" s="72"/>
      <c r="L743" s="72"/>
      <c r="M743" s="72"/>
      <c r="N743" s="72"/>
      <c r="O743" s="72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</row>
    <row r="744" spans="1:26" x14ac:dyDescent="0.5">
      <c r="A744" s="72"/>
      <c r="B744" s="72"/>
      <c r="C744" s="72"/>
      <c r="D744" s="72"/>
      <c r="E744" s="72"/>
      <c r="F744" s="72"/>
      <c r="G744" s="72"/>
      <c r="H744" s="72"/>
      <c r="I744" s="72"/>
      <c r="J744" s="72"/>
      <c r="K744" s="72"/>
      <c r="L744" s="72"/>
      <c r="M744" s="72"/>
      <c r="N744" s="72"/>
      <c r="O744" s="72"/>
      <c r="P744" s="72"/>
      <c r="Q744" s="72"/>
      <c r="R744" s="72"/>
      <c r="S744" s="72"/>
      <c r="T744" s="72"/>
      <c r="U744" s="72"/>
      <c r="V744" s="72"/>
      <c r="W744" s="72"/>
      <c r="X744" s="72"/>
      <c r="Y744" s="72"/>
      <c r="Z744" s="72"/>
    </row>
    <row r="745" spans="1:26" x14ac:dyDescent="0.5">
      <c r="A745" s="72"/>
      <c r="B745" s="72"/>
      <c r="C745" s="72"/>
      <c r="D745" s="72"/>
      <c r="E745" s="72"/>
      <c r="F745" s="72"/>
      <c r="G745" s="72"/>
      <c r="H745" s="72"/>
      <c r="I745" s="72"/>
      <c r="J745" s="72"/>
      <c r="K745" s="72"/>
      <c r="L745" s="72"/>
      <c r="M745" s="72"/>
      <c r="N745" s="72"/>
      <c r="O745" s="72"/>
      <c r="P745" s="72"/>
      <c r="Q745" s="72"/>
      <c r="R745" s="72"/>
      <c r="S745" s="72"/>
      <c r="T745" s="72"/>
      <c r="U745" s="72"/>
      <c r="V745" s="72"/>
      <c r="W745" s="72"/>
      <c r="X745" s="72"/>
      <c r="Y745" s="72"/>
      <c r="Z745" s="72"/>
    </row>
    <row r="746" spans="1:26" x14ac:dyDescent="0.5">
      <c r="A746" s="72"/>
      <c r="B746" s="72"/>
      <c r="C746" s="72"/>
      <c r="D746" s="72"/>
      <c r="E746" s="72"/>
      <c r="F746" s="72"/>
      <c r="G746" s="72"/>
      <c r="H746" s="72"/>
      <c r="I746" s="72"/>
      <c r="J746" s="72"/>
      <c r="K746" s="72"/>
      <c r="L746" s="72"/>
      <c r="M746" s="72"/>
      <c r="N746" s="72"/>
      <c r="O746" s="72"/>
      <c r="P746" s="72"/>
      <c r="Q746" s="72"/>
      <c r="R746" s="72"/>
      <c r="S746" s="72"/>
      <c r="T746" s="72"/>
      <c r="U746" s="72"/>
      <c r="V746" s="72"/>
      <c r="W746" s="72"/>
      <c r="X746" s="72"/>
      <c r="Y746" s="72"/>
      <c r="Z746" s="72"/>
    </row>
    <row r="747" spans="1:26" x14ac:dyDescent="0.5">
      <c r="A747" s="72"/>
      <c r="B747" s="72"/>
      <c r="C747" s="72"/>
      <c r="D747" s="72"/>
      <c r="E747" s="72"/>
      <c r="F747" s="72"/>
      <c r="G747" s="72"/>
      <c r="H747" s="72"/>
      <c r="I747" s="72"/>
      <c r="J747" s="72"/>
      <c r="K747" s="72"/>
      <c r="L747" s="72"/>
      <c r="M747" s="72"/>
      <c r="N747" s="72"/>
      <c r="O747" s="72"/>
      <c r="P747" s="72"/>
      <c r="Q747" s="72"/>
      <c r="R747" s="72"/>
      <c r="S747" s="72"/>
      <c r="T747" s="72"/>
      <c r="U747" s="72"/>
      <c r="V747" s="72"/>
      <c r="W747" s="72"/>
      <c r="X747" s="72"/>
      <c r="Y747" s="72"/>
      <c r="Z747" s="72"/>
    </row>
    <row r="748" spans="1:26" x14ac:dyDescent="0.5">
      <c r="A748" s="72"/>
      <c r="B748" s="72"/>
      <c r="C748" s="72"/>
      <c r="D748" s="72"/>
      <c r="E748" s="72"/>
      <c r="F748" s="72"/>
      <c r="G748" s="72"/>
      <c r="H748" s="72"/>
      <c r="I748" s="72"/>
      <c r="J748" s="72"/>
      <c r="K748" s="72"/>
      <c r="L748" s="72"/>
      <c r="M748" s="72"/>
      <c r="N748" s="72"/>
      <c r="O748" s="72"/>
      <c r="P748" s="72"/>
      <c r="Q748" s="72"/>
      <c r="R748" s="72"/>
      <c r="S748" s="72"/>
      <c r="T748" s="72"/>
      <c r="U748" s="72"/>
      <c r="V748" s="72"/>
      <c r="W748" s="72"/>
      <c r="X748" s="72"/>
      <c r="Y748" s="72"/>
      <c r="Z748" s="72"/>
    </row>
    <row r="749" spans="1:26" x14ac:dyDescent="0.5">
      <c r="A749" s="72"/>
      <c r="B749" s="72"/>
      <c r="C749" s="72"/>
      <c r="D749" s="72"/>
      <c r="E749" s="72"/>
      <c r="F749" s="72"/>
      <c r="G749" s="72"/>
      <c r="H749" s="72"/>
      <c r="I749" s="72"/>
      <c r="J749" s="72"/>
      <c r="K749" s="72"/>
      <c r="L749" s="72"/>
      <c r="M749" s="72"/>
      <c r="N749" s="72"/>
      <c r="O749" s="72"/>
      <c r="P749" s="72"/>
      <c r="Q749" s="72"/>
      <c r="R749" s="72"/>
      <c r="S749" s="72"/>
      <c r="T749" s="72"/>
      <c r="U749" s="72"/>
      <c r="V749" s="72"/>
      <c r="W749" s="72"/>
      <c r="X749" s="72"/>
      <c r="Y749" s="72"/>
      <c r="Z749" s="72"/>
    </row>
    <row r="750" spans="1:26" x14ac:dyDescent="0.5">
      <c r="A750" s="72"/>
      <c r="B750" s="72"/>
      <c r="C750" s="72"/>
      <c r="D750" s="72"/>
      <c r="E750" s="72"/>
      <c r="F750" s="72"/>
      <c r="G750" s="72"/>
      <c r="H750" s="72"/>
      <c r="I750" s="72"/>
      <c r="J750" s="72"/>
      <c r="K750" s="72"/>
      <c r="L750" s="72"/>
      <c r="M750" s="72"/>
      <c r="N750" s="72"/>
      <c r="O750" s="72"/>
      <c r="P750" s="72"/>
      <c r="Q750" s="72"/>
      <c r="R750" s="72"/>
      <c r="S750" s="72"/>
      <c r="T750" s="72"/>
      <c r="U750" s="72"/>
      <c r="V750" s="72"/>
      <c r="W750" s="72"/>
      <c r="X750" s="72"/>
      <c r="Y750" s="72"/>
      <c r="Z750" s="72"/>
    </row>
    <row r="751" spans="1:26" x14ac:dyDescent="0.5">
      <c r="A751" s="72"/>
      <c r="B751" s="72"/>
      <c r="C751" s="72"/>
      <c r="D751" s="72"/>
      <c r="E751" s="72"/>
      <c r="F751" s="72"/>
      <c r="G751" s="72"/>
      <c r="H751" s="72"/>
      <c r="I751" s="72"/>
      <c r="J751" s="72"/>
      <c r="K751" s="72"/>
      <c r="L751" s="72"/>
      <c r="M751" s="72"/>
      <c r="N751" s="72"/>
      <c r="O751" s="72"/>
      <c r="P751" s="72"/>
      <c r="Q751" s="72"/>
      <c r="R751" s="72"/>
      <c r="S751" s="72"/>
      <c r="T751" s="72"/>
      <c r="U751" s="72"/>
      <c r="V751" s="72"/>
      <c r="W751" s="72"/>
      <c r="X751" s="72"/>
      <c r="Y751" s="72"/>
      <c r="Z751" s="72"/>
    </row>
    <row r="752" spans="1:26" x14ac:dyDescent="0.5">
      <c r="A752" s="72"/>
      <c r="B752" s="72"/>
      <c r="C752" s="72"/>
      <c r="D752" s="72"/>
      <c r="E752" s="72"/>
      <c r="F752" s="72"/>
      <c r="G752" s="72"/>
      <c r="H752" s="72"/>
      <c r="I752" s="72"/>
      <c r="J752" s="72"/>
      <c r="K752" s="72"/>
      <c r="L752" s="72"/>
      <c r="M752" s="72"/>
      <c r="N752" s="72"/>
      <c r="O752" s="72"/>
      <c r="P752" s="72"/>
      <c r="Q752" s="72"/>
      <c r="R752" s="72"/>
      <c r="S752" s="72"/>
      <c r="T752" s="72"/>
      <c r="U752" s="72"/>
      <c r="V752" s="72"/>
      <c r="W752" s="72"/>
      <c r="X752" s="72"/>
      <c r="Y752" s="72"/>
      <c r="Z752" s="72"/>
    </row>
    <row r="753" spans="1:26" x14ac:dyDescent="0.5">
      <c r="A753" s="72"/>
      <c r="B753" s="72"/>
      <c r="C753" s="72"/>
      <c r="D753" s="72"/>
      <c r="E753" s="72"/>
      <c r="F753" s="72"/>
      <c r="G753" s="72"/>
      <c r="H753" s="72"/>
      <c r="I753" s="72"/>
      <c r="J753" s="72"/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  <c r="V753" s="72"/>
      <c r="W753" s="72"/>
      <c r="X753" s="72"/>
      <c r="Y753" s="72"/>
      <c r="Z753" s="72"/>
    </row>
    <row r="754" spans="1:26" x14ac:dyDescent="0.5">
      <c r="A754" s="72"/>
      <c r="B754" s="72"/>
      <c r="C754" s="72"/>
      <c r="D754" s="72"/>
      <c r="E754" s="72"/>
      <c r="F754" s="72"/>
      <c r="G754" s="72"/>
      <c r="H754" s="72"/>
      <c r="I754" s="72"/>
      <c r="J754" s="72"/>
      <c r="K754" s="72"/>
      <c r="L754" s="72"/>
      <c r="M754" s="72"/>
      <c r="N754" s="72"/>
      <c r="O754" s="72"/>
      <c r="P754" s="72"/>
      <c r="Q754" s="72"/>
      <c r="R754" s="72"/>
      <c r="S754" s="72"/>
      <c r="T754" s="72"/>
      <c r="U754" s="72"/>
      <c r="V754" s="72"/>
      <c r="W754" s="72"/>
      <c r="X754" s="72"/>
      <c r="Y754" s="72"/>
      <c r="Z754" s="72"/>
    </row>
    <row r="755" spans="1:26" x14ac:dyDescent="0.5">
      <c r="A755" s="72"/>
      <c r="B755" s="72"/>
      <c r="C755" s="72"/>
      <c r="D755" s="72"/>
      <c r="E755" s="72"/>
      <c r="F755" s="72"/>
      <c r="G755" s="72"/>
      <c r="H755" s="72"/>
      <c r="I755" s="72"/>
      <c r="J755" s="72"/>
      <c r="K755" s="72"/>
      <c r="L755" s="72"/>
      <c r="M755" s="72"/>
      <c r="N755" s="72"/>
      <c r="O755" s="72"/>
      <c r="P755" s="72"/>
      <c r="Q755" s="72"/>
      <c r="R755" s="72"/>
      <c r="S755" s="72"/>
      <c r="T755" s="72"/>
      <c r="U755" s="72"/>
      <c r="V755" s="72"/>
      <c r="W755" s="72"/>
      <c r="X755" s="72"/>
      <c r="Y755" s="72"/>
      <c r="Z755" s="72"/>
    </row>
    <row r="756" spans="1:26" x14ac:dyDescent="0.5">
      <c r="A756" s="72"/>
      <c r="B756" s="72"/>
      <c r="C756" s="72"/>
      <c r="D756" s="72"/>
      <c r="E756" s="72"/>
      <c r="F756" s="72"/>
      <c r="G756" s="72"/>
      <c r="H756" s="72"/>
      <c r="I756" s="72"/>
      <c r="J756" s="72"/>
      <c r="K756" s="72"/>
      <c r="L756" s="72"/>
      <c r="M756" s="72"/>
      <c r="N756" s="72"/>
      <c r="O756" s="72"/>
      <c r="P756" s="72"/>
      <c r="Q756" s="72"/>
      <c r="R756" s="72"/>
      <c r="S756" s="72"/>
      <c r="T756" s="72"/>
      <c r="U756" s="72"/>
      <c r="V756" s="72"/>
      <c r="W756" s="72"/>
      <c r="X756" s="72"/>
      <c r="Y756" s="72"/>
      <c r="Z756" s="72"/>
    </row>
    <row r="757" spans="1:26" x14ac:dyDescent="0.5">
      <c r="A757" s="72"/>
      <c r="B757" s="72"/>
      <c r="C757" s="72"/>
      <c r="D757" s="72"/>
      <c r="E757" s="72"/>
      <c r="F757" s="72"/>
      <c r="G757" s="72"/>
      <c r="H757" s="72"/>
      <c r="I757" s="72"/>
      <c r="J757" s="72"/>
      <c r="K757" s="72"/>
      <c r="L757" s="72"/>
      <c r="M757" s="72"/>
      <c r="N757" s="72"/>
      <c r="O757" s="72"/>
      <c r="P757" s="72"/>
      <c r="Q757" s="72"/>
      <c r="R757" s="72"/>
      <c r="S757" s="72"/>
      <c r="T757" s="72"/>
      <c r="U757" s="72"/>
      <c r="V757" s="72"/>
      <c r="W757" s="72"/>
      <c r="X757" s="72"/>
      <c r="Y757" s="72"/>
      <c r="Z757" s="72"/>
    </row>
    <row r="758" spans="1:26" x14ac:dyDescent="0.5">
      <c r="A758" s="72"/>
      <c r="B758" s="72"/>
      <c r="C758" s="72"/>
      <c r="D758" s="72"/>
      <c r="E758" s="72"/>
      <c r="F758" s="72"/>
      <c r="G758" s="72"/>
      <c r="H758" s="72"/>
      <c r="I758" s="72"/>
      <c r="J758" s="72"/>
      <c r="K758" s="72"/>
      <c r="L758" s="72"/>
      <c r="M758" s="72"/>
      <c r="N758" s="72"/>
      <c r="O758" s="72"/>
      <c r="P758" s="72"/>
      <c r="Q758" s="72"/>
      <c r="R758" s="72"/>
      <c r="S758" s="72"/>
      <c r="T758" s="72"/>
      <c r="U758" s="72"/>
      <c r="V758" s="72"/>
      <c r="W758" s="72"/>
      <c r="X758" s="72"/>
      <c r="Y758" s="72"/>
      <c r="Z758" s="72"/>
    </row>
    <row r="759" spans="1:26" x14ac:dyDescent="0.5">
      <c r="A759" s="72"/>
      <c r="B759" s="72"/>
      <c r="C759" s="72"/>
      <c r="D759" s="72"/>
      <c r="E759" s="72"/>
      <c r="F759" s="72"/>
      <c r="G759" s="72"/>
      <c r="H759" s="72"/>
      <c r="I759" s="72"/>
      <c r="J759" s="72"/>
      <c r="K759" s="72"/>
      <c r="L759" s="72"/>
      <c r="M759" s="72"/>
      <c r="N759" s="72"/>
      <c r="O759" s="72"/>
      <c r="P759" s="72"/>
      <c r="Q759" s="72"/>
      <c r="R759" s="72"/>
      <c r="S759" s="72"/>
      <c r="T759" s="72"/>
      <c r="U759" s="72"/>
      <c r="V759" s="72"/>
      <c r="W759" s="72"/>
      <c r="X759" s="72"/>
      <c r="Y759" s="72"/>
      <c r="Z759" s="72"/>
    </row>
    <row r="760" spans="1:26" x14ac:dyDescent="0.5">
      <c r="A760" s="72"/>
      <c r="B760" s="72"/>
      <c r="C760" s="72"/>
      <c r="D760" s="72"/>
      <c r="E760" s="72"/>
      <c r="F760" s="72"/>
      <c r="G760" s="72"/>
      <c r="H760" s="72"/>
      <c r="I760" s="72"/>
      <c r="J760" s="72"/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72"/>
      <c r="Z760" s="72"/>
    </row>
    <row r="761" spans="1:26" x14ac:dyDescent="0.5">
      <c r="A761" s="72"/>
      <c r="B761" s="72"/>
      <c r="C761" s="72"/>
      <c r="D761" s="72"/>
      <c r="E761" s="72"/>
      <c r="F761" s="72"/>
      <c r="G761" s="72"/>
      <c r="H761" s="72"/>
      <c r="I761" s="72"/>
      <c r="J761" s="72"/>
      <c r="K761" s="72"/>
      <c r="L761" s="72"/>
      <c r="M761" s="72"/>
      <c r="N761" s="72"/>
      <c r="O761" s="72"/>
      <c r="P761" s="72"/>
      <c r="Q761" s="72"/>
      <c r="R761" s="72"/>
      <c r="S761" s="72"/>
      <c r="T761" s="72"/>
      <c r="U761" s="72"/>
      <c r="V761" s="72"/>
      <c r="W761" s="72"/>
      <c r="X761" s="72"/>
      <c r="Y761" s="72"/>
      <c r="Z761" s="72"/>
    </row>
    <row r="762" spans="1:26" x14ac:dyDescent="0.5">
      <c r="A762" s="72"/>
      <c r="B762" s="72"/>
      <c r="C762" s="72"/>
      <c r="D762" s="72"/>
      <c r="E762" s="72"/>
      <c r="F762" s="72"/>
      <c r="G762" s="72"/>
      <c r="H762" s="72"/>
      <c r="I762" s="72"/>
      <c r="J762" s="72"/>
      <c r="K762" s="72"/>
      <c r="L762" s="72"/>
      <c r="M762" s="72"/>
      <c r="N762" s="72"/>
      <c r="O762" s="72"/>
      <c r="P762" s="72"/>
      <c r="Q762" s="72"/>
      <c r="R762" s="72"/>
      <c r="S762" s="72"/>
      <c r="T762" s="72"/>
      <c r="U762" s="72"/>
      <c r="V762" s="72"/>
      <c r="W762" s="72"/>
      <c r="X762" s="72"/>
      <c r="Y762" s="72"/>
      <c r="Z762" s="72"/>
    </row>
    <row r="763" spans="1:26" x14ac:dyDescent="0.5">
      <c r="A763" s="72"/>
      <c r="B763" s="72"/>
      <c r="C763" s="72"/>
      <c r="D763" s="72"/>
      <c r="E763" s="72"/>
      <c r="F763" s="72"/>
      <c r="G763" s="72"/>
      <c r="H763" s="72"/>
      <c r="I763" s="72"/>
      <c r="J763" s="72"/>
      <c r="K763" s="72"/>
      <c r="L763" s="72"/>
      <c r="M763" s="72"/>
      <c r="N763" s="72"/>
      <c r="O763" s="72"/>
      <c r="P763" s="72"/>
      <c r="Q763" s="72"/>
      <c r="R763" s="72"/>
      <c r="S763" s="72"/>
      <c r="T763" s="72"/>
      <c r="U763" s="72"/>
      <c r="V763" s="72"/>
      <c r="W763" s="72"/>
      <c r="X763" s="72"/>
      <c r="Y763" s="72"/>
      <c r="Z763" s="72"/>
    </row>
    <row r="764" spans="1:26" x14ac:dyDescent="0.5">
      <c r="A764" s="72"/>
      <c r="B764" s="72"/>
      <c r="C764" s="72"/>
      <c r="D764" s="72"/>
      <c r="E764" s="72"/>
      <c r="F764" s="72"/>
      <c r="G764" s="72"/>
      <c r="H764" s="72"/>
      <c r="I764" s="72"/>
      <c r="J764" s="72"/>
      <c r="K764" s="72"/>
      <c r="L764" s="72"/>
      <c r="M764" s="72"/>
      <c r="N764" s="72"/>
      <c r="O764" s="72"/>
      <c r="P764" s="72"/>
      <c r="Q764" s="72"/>
      <c r="R764" s="72"/>
      <c r="S764" s="72"/>
      <c r="T764" s="72"/>
      <c r="U764" s="72"/>
      <c r="V764" s="72"/>
      <c r="W764" s="72"/>
      <c r="X764" s="72"/>
      <c r="Y764" s="72"/>
      <c r="Z764" s="72"/>
    </row>
    <row r="765" spans="1:26" x14ac:dyDescent="0.5">
      <c r="A765" s="72"/>
      <c r="B765" s="72"/>
      <c r="C765" s="72"/>
      <c r="D765" s="72"/>
      <c r="E765" s="72"/>
      <c r="F765" s="72"/>
      <c r="G765" s="72"/>
      <c r="H765" s="72"/>
      <c r="I765" s="72"/>
      <c r="J765" s="72"/>
      <c r="K765" s="72"/>
      <c r="L765" s="72"/>
      <c r="M765" s="72"/>
      <c r="N765" s="72"/>
      <c r="O765" s="72"/>
      <c r="P765" s="72"/>
      <c r="Q765" s="72"/>
      <c r="R765" s="72"/>
      <c r="S765" s="72"/>
      <c r="T765" s="72"/>
      <c r="U765" s="72"/>
      <c r="V765" s="72"/>
      <c r="W765" s="72"/>
      <c r="X765" s="72"/>
      <c r="Y765" s="72"/>
      <c r="Z765" s="72"/>
    </row>
    <row r="766" spans="1:26" x14ac:dyDescent="0.5">
      <c r="A766" s="72"/>
      <c r="B766" s="72"/>
      <c r="C766" s="72"/>
      <c r="D766" s="72"/>
      <c r="E766" s="72"/>
      <c r="F766" s="72"/>
      <c r="G766" s="72"/>
      <c r="H766" s="72"/>
      <c r="I766" s="72"/>
      <c r="J766" s="72"/>
      <c r="K766" s="72"/>
      <c r="L766" s="72"/>
      <c r="M766" s="72"/>
      <c r="N766" s="72"/>
      <c r="O766" s="72"/>
      <c r="P766" s="72"/>
      <c r="Q766" s="72"/>
      <c r="R766" s="72"/>
      <c r="S766" s="72"/>
      <c r="T766" s="72"/>
      <c r="U766" s="72"/>
      <c r="V766" s="72"/>
      <c r="W766" s="72"/>
      <c r="X766" s="72"/>
      <c r="Y766" s="72"/>
      <c r="Z766" s="72"/>
    </row>
    <row r="767" spans="1:26" x14ac:dyDescent="0.5">
      <c r="A767" s="72"/>
      <c r="B767" s="72"/>
      <c r="C767" s="72"/>
      <c r="D767" s="72"/>
      <c r="E767" s="72"/>
      <c r="F767" s="72"/>
      <c r="G767" s="72"/>
      <c r="H767" s="72"/>
      <c r="I767" s="72"/>
      <c r="J767" s="72"/>
      <c r="K767" s="72"/>
      <c r="L767" s="72"/>
      <c r="M767" s="72"/>
      <c r="N767" s="72"/>
      <c r="O767" s="72"/>
      <c r="P767" s="72"/>
      <c r="Q767" s="72"/>
      <c r="R767" s="72"/>
      <c r="S767" s="72"/>
      <c r="T767" s="72"/>
      <c r="U767" s="72"/>
      <c r="V767" s="72"/>
      <c r="W767" s="72"/>
      <c r="X767" s="72"/>
      <c r="Y767" s="72"/>
      <c r="Z767" s="72"/>
    </row>
    <row r="768" spans="1:26" x14ac:dyDescent="0.5">
      <c r="A768" s="72"/>
      <c r="B768" s="72"/>
      <c r="C768" s="72"/>
      <c r="D768" s="72"/>
      <c r="E768" s="72"/>
      <c r="F768" s="72"/>
      <c r="G768" s="72"/>
      <c r="H768" s="72"/>
      <c r="I768" s="72"/>
      <c r="J768" s="72"/>
      <c r="K768" s="72"/>
      <c r="L768" s="72"/>
      <c r="M768" s="72"/>
      <c r="N768" s="72"/>
      <c r="O768" s="72"/>
      <c r="P768" s="72"/>
      <c r="Q768" s="72"/>
      <c r="R768" s="72"/>
      <c r="S768" s="72"/>
      <c r="T768" s="72"/>
      <c r="U768" s="72"/>
      <c r="V768" s="72"/>
      <c r="W768" s="72"/>
      <c r="X768" s="72"/>
      <c r="Y768" s="72"/>
      <c r="Z768" s="72"/>
    </row>
    <row r="769" spans="1:26" x14ac:dyDescent="0.5">
      <c r="A769" s="72"/>
      <c r="B769" s="72"/>
      <c r="C769" s="72"/>
      <c r="D769" s="72"/>
      <c r="E769" s="72"/>
      <c r="F769" s="72"/>
      <c r="G769" s="72"/>
      <c r="H769" s="72"/>
      <c r="I769" s="72"/>
      <c r="J769" s="72"/>
      <c r="K769" s="72"/>
      <c r="L769" s="72"/>
      <c r="M769" s="72"/>
      <c r="N769" s="72"/>
      <c r="O769" s="72"/>
      <c r="P769" s="72"/>
      <c r="Q769" s="72"/>
      <c r="R769" s="72"/>
      <c r="S769" s="72"/>
      <c r="T769" s="72"/>
      <c r="U769" s="72"/>
      <c r="V769" s="72"/>
      <c r="W769" s="72"/>
      <c r="X769" s="72"/>
      <c r="Y769" s="72"/>
      <c r="Z769" s="72"/>
    </row>
    <row r="770" spans="1:26" x14ac:dyDescent="0.5">
      <c r="A770" s="72"/>
      <c r="B770" s="72"/>
      <c r="C770" s="72"/>
      <c r="D770" s="72"/>
      <c r="E770" s="72"/>
      <c r="F770" s="72"/>
      <c r="G770" s="72"/>
      <c r="H770" s="72"/>
      <c r="I770" s="72"/>
      <c r="J770" s="72"/>
      <c r="K770" s="72"/>
      <c r="L770" s="72"/>
      <c r="M770" s="72"/>
      <c r="N770" s="72"/>
      <c r="O770" s="72"/>
      <c r="P770" s="72"/>
      <c r="Q770" s="72"/>
      <c r="R770" s="72"/>
      <c r="S770" s="72"/>
      <c r="T770" s="72"/>
      <c r="U770" s="72"/>
      <c r="V770" s="72"/>
      <c r="W770" s="72"/>
      <c r="X770" s="72"/>
      <c r="Y770" s="72"/>
      <c r="Z770" s="72"/>
    </row>
    <row r="771" spans="1:26" x14ac:dyDescent="0.5">
      <c r="A771" s="72"/>
      <c r="B771" s="72"/>
      <c r="C771" s="72"/>
      <c r="D771" s="72"/>
      <c r="E771" s="72"/>
      <c r="F771" s="72"/>
      <c r="G771" s="72"/>
      <c r="H771" s="72"/>
      <c r="I771" s="72"/>
      <c r="J771" s="72"/>
      <c r="K771" s="72"/>
      <c r="L771" s="72"/>
      <c r="M771" s="72"/>
      <c r="N771" s="72"/>
      <c r="O771" s="72"/>
      <c r="P771" s="72"/>
      <c r="Q771" s="72"/>
      <c r="R771" s="72"/>
      <c r="S771" s="72"/>
      <c r="T771" s="72"/>
      <c r="U771" s="72"/>
      <c r="V771" s="72"/>
      <c r="W771" s="72"/>
      <c r="X771" s="72"/>
      <c r="Y771" s="72"/>
      <c r="Z771" s="72"/>
    </row>
    <row r="772" spans="1:26" x14ac:dyDescent="0.5">
      <c r="A772" s="72"/>
      <c r="B772" s="72"/>
      <c r="C772" s="72"/>
      <c r="D772" s="72"/>
      <c r="E772" s="72"/>
      <c r="F772" s="72"/>
      <c r="G772" s="72"/>
      <c r="H772" s="72"/>
      <c r="I772" s="72"/>
      <c r="J772" s="72"/>
      <c r="K772" s="72"/>
      <c r="L772" s="72"/>
      <c r="M772" s="72"/>
      <c r="N772" s="72"/>
      <c r="O772" s="72"/>
      <c r="P772" s="72"/>
      <c r="Q772" s="72"/>
      <c r="R772" s="72"/>
      <c r="S772" s="72"/>
      <c r="T772" s="72"/>
      <c r="U772" s="72"/>
      <c r="V772" s="72"/>
      <c r="W772" s="72"/>
      <c r="X772" s="72"/>
      <c r="Y772" s="72"/>
      <c r="Z772" s="72"/>
    </row>
    <row r="773" spans="1:26" x14ac:dyDescent="0.5">
      <c r="A773" s="72"/>
      <c r="B773" s="72"/>
      <c r="C773" s="72"/>
      <c r="D773" s="72"/>
      <c r="E773" s="72"/>
      <c r="F773" s="72"/>
      <c r="G773" s="72"/>
      <c r="H773" s="72"/>
      <c r="I773" s="72"/>
      <c r="J773" s="72"/>
      <c r="K773" s="72"/>
      <c r="L773" s="72"/>
      <c r="M773" s="72"/>
      <c r="N773" s="72"/>
      <c r="O773" s="72"/>
      <c r="P773" s="72"/>
      <c r="Q773" s="72"/>
      <c r="R773" s="72"/>
      <c r="S773" s="72"/>
      <c r="T773" s="72"/>
      <c r="U773" s="72"/>
      <c r="V773" s="72"/>
      <c r="W773" s="72"/>
      <c r="X773" s="72"/>
      <c r="Y773" s="72"/>
      <c r="Z773" s="72"/>
    </row>
    <row r="774" spans="1:26" x14ac:dyDescent="0.5">
      <c r="A774" s="72"/>
      <c r="B774" s="72"/>
      <c r="C774" s="72"/>
      <c r="D774" s="72"/>
      <c r="E774" s="72"/>
      <c r="F774" s="72"/>
      <c r="G774" s="72"/>
      <c r="H774" s="72"/>
      <c r="I774" s="72"/>
      <c r="J774" s="72"/>
      <c r="K774" s="72"/>
      <c r="L774" s="72"/>
      <c r="M774" s="72"/>
      <c r="N774" s="72"/>
      <c r="O774" s="72"/>
      <c r="P774" s="72"/>
      <c r="Q774" s="72"/>
      <c r="R774" s="72"/>
      <c r="S774" s="72"/>
      <c r="T774" s="72"/>
      <c r="U774" s="72"/>
      <c r="V774" s="72"/>
      <c r="W774" s="72"/>
      <c r="X774" s="72"/>
      <c r="Y774" s="72"/>
      <c r="Z774" s="72"/>
    </row>
    <row r="775" spans="1:26" x14ac:dyDescent="0.5">
      <c r="A775" s="72"/>
      <c r="B775" s="72"/>
      <c r="C775" s="72"/>
      <c r="D775" s="72"/>
      <c r="E775" s="72"/>
      <c r="F775" s="72"/>
      <c r="G775" s="72"/>
      <c r="H775" s="72"/>
      <c r="I775" s="72"/>
      <c r="J775" s="72"/>
      <c r="K775" s="72"/>
      <c r="L775" s="72"/>
      <c r="M775" s="72"/>
      <c r="N775" s="72"/>
      <c r="O775" s="72"/>
      <c r="P775" s="72"/>
      <c r="Q775" s="72"/>
      <c r="R775" s="72"/>
      <c r="S775" s="72"/>
      <c r="T775" s="72"/>
      <c r="U775" s="72"/>
      <c r="V775" s="72"/>
      <c r="W775" s="72"/>
      <c r="X775" s="72"/>
      <c r="Y775" s="72"/>
      <c r="Z775" s="72"/>
    </row>
    <row r="776" spans="1:26" x14ac:dyDescent="0.5">
      <c r="A776" s="72"/>
      <c r="B776" s="72"/>
      <c r="C776" s="72"/>
      <c r="D776" s="72"/>
      <c r="E776" s="72"/>
      <c r="F776" s="72"/>
      <c r="G776" s="72"/>
      <c r="H776" s="72"/>
      <c r="I776" s="72"/>
      <c r="J776" s="72"/>
      <c r="K776" s="72"/>
      <c r="L776" s="72"/>
      <c r="M776" s="72"/>
      <c r="N776" s="72"/>
      <c r="O776" s="72"/>
      <c r="P776" s="72"/>
      <c r="Q776" s="72"/>
      <c r="R776" s="72"/>
      <c r="S776" s="72"/>
      <c r="T776" s="72"/>
      <c r="U776" s="72"/>
      <c r="V776" s="72"/>
      <c r="W776" s="72"/>
      <c r="X776" s="72"/>
      <c r="Y776" s="72"/>
      <c r="Z776" s="72"/>
    </row>
    <row r="777" spans="1:26" x14ac:dyDescent="0.5">
      <c r="A777" s="72"/>
      <c r="B777" s="72"/>
      <c r="C777" s="72"/>
      <c r="D777" s="72"/>
      <c r="E777" s="72"/>
      <c r="F777" s="72"/>
      <c r="G777" s="72"/>
      <c r="H777" s="72"/>
      <c r="I777" s="72"/>
      <c r="J777" s="72"/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  <c r="V777" s="72"/>
      <c r="W777" s="72"/>
      <c r="X777" s="72"/>
      <c r="Y777" s="72"/>
      <c r="Z777" s="72"/>
    </row>
    <row r="778" spans="1:26" x14ac:dyDescent="0.5">
      <c r="A778" s="72"/>
      <c r="B778" s="72"/>
      <c r="C778" s="72"/>
      <c r="D778" s="72"/>
      <c r="E778" s="72"/>
      <c r="F778" s="72"/>
      <c r="G778" s="72"/>
      <c r="H778" s="72"/>
      <c r="I778" s="72"/>
      <c r="J778" s="72"/>
      <c r="K778" s="72"/>
      <c r="L778" s="72"/>
      <c r="M778" s="72"/>
      <c r="N778" s="72"/>
      <c r="O778" s="72"/>
      <c r="P778" s="72"/>
      <c r="Q778" s="72"/>
      <c r="R778" s="72"/>
      <c r="S778" s="72"/>
      <c r="T778" s="72"/>
      <c r="U778" s="72"/>
      <c r="V778" s="72"/>
      <c r="W778" s="72"/>
      <c r="X778" s="72"/>
      <c r="Y778" s="72"/>
      <c r="Z778" s="72"/>
    </row>
    <row r="779" spans="1:26" x14ac:dyDescent="0.5">
      <c r="A779" s="72"/>
      <c r="B779" s="72"/>
      <c r="C779" s="72"/>
      <c r="D779" s="72"/>
      <c r="E779" s="72"/>
      <c r="F779" s="72"/>
      <c r="G779" s="72"/>
      <c r="H779" s="72"/>
      <c r="I779" s="72"/>
      <c r="J779" s="72"/>
      <c r="K779" s="72"/>
      <c r="L779" s="72"/>
      <c r="M779" s="72"/>
      <c r="N779" s="72"/>
      <c r="O779" s="72"/>
      <c r="P779" s="72"/>
      <c r="Q779" s="72"/>
      <c r="R779" s="72"/>
      <c r="S779" s="72"/>
      <c r="T779" s="72"/>
      <c r="U779" s="72"/>
      <c r="V779" s="72"/>
      <c r="W779" s="72"/>
      <c r="X779" s="72"/>
      <c r="Y779" s="72"/>
      <c r="Z779" s="72"/>
    </row>
    <row r="780" spans="1:26" x14ac:dyDescent="0.5">
      <c r="A780" s="72"/>
      <c r="B780" s="72"/>
      <c r="C780" s="72"/>
      <c r="D780" s="72"/>
      <c r="E780" s="72"/>
      <c r="F780" s="72"/>
      <c r="G780" s="72"/>
      <c r="H780" s="72"/>
      <c r="I780" s="72"/>
      <c r="J780" s="72"/>
      <c r="K780" s="72"/>
      <c r="L780" s="72"/>
      <c r="M780" s="72"/>
      <c r="N780" s="72"/>
      <c r="O780" s="72"/>
      <c r="P780" s="72"/>
      <c r="Q780" s="72"/>
      <c r="R780" s="72"/>
      <c r="S780" s="72"/>
      <c r="T780" s="72"/>
      <c r="U780" s="72"/>
      <c r="V780" s="72"/>
      <c r="W780" s="72"/>
      <c r="X780" s="72"/>
      <c r="Y780" s="72"/>
      <c r="Z780" s="72"/>
    </row>
    <row r="781" spans="1:26" x14ac:dyDescent="0.5">
      <c r="A781" s="72"/>
      <c r="B781" s="72"/>
      <c r="C781" s="72"/>
      <c r="D781" s="72"/>
      <c r="E781" s="72"/>
      <c r="F781" s="72"/>
      <c r="G781" s="72"/>
      <c r="H781" s="72"/>
      <c r="I781" s="72"/>
      <c r="J781" s="72"/>
      <c r="K781" s="72"/>
      <c r="L781" s="72"/>
      <c r="M781" s="72"/>
      <c r="N781" s="72"/>
      <c r="O781" s="72"/>
      <c r="P781" s="72"/>
      <c r="Q781" s="72"/>
      <c r="R781" s="72"/>
      <c r="S781" s="72"/>
      <c r="T781" s="72"/>
      <c r="U781" s="72"/>
      <c r="V781" s="72"/>
      <c r="W781" s="72"/>
      <c r="X781" s="72"/>
      <c r="Y781" s="72"/>
      <c r="Z781" s="72"/>
    </row>
    <row r="782" spans="1:26" x14ac:dyDescent="0.5">
      <c r="A782" s="72"/>
      <c r="B782" s="72"/>
      <c r="C782" s="72"/>
      <c r="D782" s="72"/>
      <c r="E782" s="72"/>
      <c r="F782" s="72"/>
      <c r="G782" s="72"/>
      <c r="H782" s="72"/>
      <c r="I782" s="72"/>
      <c r="J782" s="72"/>
      <c r="K782" s="72"/>
      <c r="L782" s="72"/>
      <c r="M782" s="72"/>
      <c r="N782" s="72"/>
      <c r="O782" s="72"/>
      <c r="P782" s="72"/>
      <c r="Q782" s="72"/>
      <c r="R782" s="72"/>
      <c r="S782" s="72"/>
      <c r="T782" s="72"/>
      <c r="U782" s="72"/>
      <c r="V782" s="72"/>
      <c r="W782" s="72"/>
      <c r="X782" s="72"/>
      <c r="Y782" s="72"/>
      <c r="Z782" s="72"/>
    </row>
    <row r="783" spans="1:26" x14ac:dyDescent="0.5">
      <c r="A783" s="72"/>
      <c r="B783" s="72"/>
      <c r="C783" s="72"/>
      <c r="D783" s="72"/>
      <c r="E783" s="72"/>
      <c r="F783" s="72"/>
      <c r="G783" s="72"/>
      <c r="H783" s="72"/>
      <c r="I783" s="72"/>
      <c r="J783" s="72"/>
      <c r="K783" s="72"/>
      <c r="L783" s="72"/>
      <c r="M783" s="72"/>
      <c r="N783" s="72"/>
      <c r="O783" s="72"/>
      <c r="P783" s="72"/>
      <c r="Q783" s="72"/>
      <c r="R783" s="72"/>
      <c r="S783" s="72"/>
      <c r="T783" s="72"/>
      <c r="U783" s="72"/>
      <c r="V783" s="72"/>
      <c r="W783" s="72"/>
      <c r="X783" s="72"/>
      <c r="Y783" s="72"/>
      <c r="Z783" s="72"/>
    </row>
    <row r="784" spans="1:26" x14ac:dyDescent="0.5">
      <c r="A784" s="72"/>
      <c r="B784" s="72"/>
      <c r="C784" s="72"/>
      <c r="D784" s="72"/>
      <c r="E784" s="72"/>
      <c r="F784" s="72"/>
      <c r="G784" s="72"/>
      <c r="H784" s="72"/>
      <c r="I784" s="72"/>
      <c r="J784" s="72"/>
      <c r="K784" s="72"/>
      <c r="L784" s="72"/>
      <c r="M784" s="72"/>
      <c r="N784" s="72"/>
      <c r="O784" s="72"/>
      <c r="P784" s="72"/>
      <c r="Q784" s="72"/>
      <c r="R784" s="72"/>
      <c r="S784" s="72"/>
      <c r="T784" s="72"/>
      <c r="U784" s="72"/>
      <c r="V784" s="72"/>
      <c r="W784" s="72"/>
      <c r="X784" s="72"/>
      <c r="Y784" s="72"/>
      <c r="Z784" s="72"/>
    </row>
    <row r="785" spans="1:26" x14ac:dyDescent="0.5">
      <c r="A785" s="72"/>
      <c r="B785" s="72"/>
      <c r="C785" s="72"/>
      <c r="D785" s="72"/>
      <c r="E785" s="72"/>
      <c r="F785" s="72"/>
      <c r="G785" s="72"/>
      <c r="H785" s="72"/>
      <c r="I785" s="72"/>
      <c r="J785" s="72"/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  <c r="V785" s="72"/>
      <c r="W785" s="72"/>
      <c r="X785" s="72"/>
      <c r="Y785" s="72"/>
      <c r="Z785" s="72"/>
    </row>
    <row r="786" spans="1:26" x14ac:dyDescent="0.5">
      <c r="A786" s="72"/>
      <c r="B786" s="72"/>
      <c r="C786" s="72"/>
      <c r="D786" s="72"/>
      <c r="E786" s="72"/>
      <c r="F786" s="72"/>
      <c r="G786" s="72"/>
      <c r="H786" s="72"/>
      <c r="I786" s="72"/>
      <c r="J786" s="72"/>
      <c r="K786" s="72"/>
      <c r="L786" s="72"/>
      <c r="M786" s="72"/>
      <c r="N786" s="72"/>
      <c r="O786" s="72"/>
      <c r="P786" s="72"/>
      <c r="Q786" s="72"/>
      <c r="R786" s="72"/>
      <c r="S786" s="72"/>
      <c r="T786" s="72"/>
      <c r="U786" s="72"/>
      <c r="V786" s="72"/>
      <c r="W786" s="72"/>
      <c r="X786" s="72"/>
      <c r="Y786" s="72"/>
      <c r="Z786" s="72"/>
    </row>
    <row r="787" spans="1:26" x14ac:dyDescent="0.5">
      <c r="A787" s="72"/>
      <c r="B787" s="72"/>
      <c r="C787" s="72"/>
      <c r="D787" s="72"/>
      <c r="E787" s="72"/>
      <c r="F787" s="72"/>
      <c r="G787" s="72"/>
      <c r="H787" s="72"/>
      <c r="I787" s="72"/>
      <c r="J787" s="72"/>
      <c r="K787" s="72"/>
      <c r="L787" s="72"/>
      <c r="M787" s="72"/>
      <c r="N787" s="72"/>
      <c r="O787" s="72"/>
      <c r="P787" s="72"/>
      <c r="Q787" s="72"/>
      <c r="R787" s="72"/>
      <c r="S787" s="72"/>
      <c r="T787" s="72"/>
      <c r="U787" s="72"/>
      <c r="V787" s="72"/>
      <c r="W787" s="72"/>
      <c r="X787" s="72"/>
      <c r="Y787" s="72"/>
      <c r="Z787" s="72"/>
    </row>
    <row r="788" spans="1:26" x14ac:dyDescent="0.5">
      <c r="A788" s="72"/>
      <c r="B788" s="72"/>
      <c r="C788" s="72"/>
      <c r="D788" s="72"/>
      <c r="E788" s="72"/>
      <c r="F788" s="72"/>
      <c r="G788" s="72"/>
      <c r="H788" s="72"/>
      <c r="I788" s="72"/>
      <c r="J788" s="72"/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</row>
    <row r="789" spans="1:26" x14ac:dyDescent="0.5">
      <c r="A789" s="72"/>
      <c r="B789" s="72"/>
      <c r="C789" s="72"/>
      <c r="D789" s="72"/>
      <c r="E789" s="72"/>
      <c r="F789" s="72"/>
      <c r="G789" s="72"/>
      <c r="H789" s="72"/>
      <c r="I789" s="72"/>
      <c r="J789" s="72"/>
      <c r="K789" s="72"/>
      <c r="L789" s="72"/>
      <c r="M789" s="72"/>
      <c r="N789" s="72"/>
      <c r="O789" s="72"/>
      <c r="P789" s="72"/>
      <c r="Q789" s="72"/>
      <c r="R789" s="72"/>
      <c r="S789" s="72"/>
      <c r="T789" s="72"/>
      <c r="U789" s="72"/>
      <c r="V789" s="72"/>
      <c r="W789" s="72"/>
      <c r="X789" s="72"/>
      <c r="Y789" s="72"/>
      <c r="Z789" s="72"/>
    </row>
    <row r="790" spans="1:26" x14ac:dyDescent="0.5">
      <c r="A790" s="72"/>
      <c r="B790" s="72"/>
      <c r="C790" s="72"/>
      <c r="D790" s="72"/>
      <c r="E790" s="72"/>
      <c r="F790" s="72"/>
      <c r="G790" s="72"/>
      <c r="H790" s="72"/>
      <c r="I790" s="72"/>
      <c r="J790" s="72"/>
      <c r="K790" s="72"/>
      <c r="L790" s="72"/>
      <c r="M790" s="72"/>
      <c r="N790" s="72"/>
      <c r="O790" s="72"/>
      <c r="P790" s="72"/>
      <c r="Q790" s="72"/>
      <c r="R790" s="72"/>
      <c r="S790" s="72"/>
      <c r="T790" s="72"/>
      <c r="U790" s="72"/>
      <c r="V790" s="72"/>
      <c r="W790" s="72"/>
      <c r="X790" s="72"/>
      <c r="Y790" s="72"/>
      <c r="Z790" s="72"/>
    </row>
    <row r="791" spans="1:26" x14ac:dyDescent="0.5">
      <c r="A791" s="72"/>
      <c r="B791" s="72"/>
      <c r="C791" s="72"/>
      <c r="D791" s="72"/>
      <c r="E791" s="72"/>
      <c r="F791" s="72"/>
      <c r="G791" s="72"/>
      <c r="H791" s="72"/>
      <c r="I791" s="72"/>
      <c r="J791" s="72"/>
      <c r="K791" s="72"/>
      <c r="L791" s="72"/>
      <c r="M791" s="72"/>
      <c r="N791" s="72"/>
      <c r="O791" s="72"/>
      <c r="P791" s="72"/>
      <c r="Q791" s="72"/>
      <c r="R791" s="72"/>
      <c r="S791" s="72"/>
      <c r="T791" s="72"/>
      <c r="U791" s="72"/>
      <c r="V791" s="72"/>
      <c r="W791" s="72"/>
      <c r="X791" s="72"/>
      <c r="Y791" s="72"/>
      <c r="Z791" s="72"/>
    </row>
    <row r="792" spans="1:26" x14ac:dyDescent="0.5">
      <c r="A792" s="72"/>
      <c r="B792" s="72"/>
      <c r="C792" s="72"/>
      <c r="D792" s="72"/>
      <c r="E792" s="72"/>
      <c r="F792" s="72"/>
      <c r="G792" s="72"/>
      <c r="H792" s="72"/>
      <c r="I792" s="72"/>
      <c r="J792" s="72"/>
      <c r="K792" s="72"/>
      <c r="L792" s="72"/>
      <c r="M792" s="72"/>
      <c r="N792" s="72"/>
      <c r="O792" s="72"/>
      <c r="P792" s="72"/>
      <c r="Q792" s="72"/>
      <c r="R792" s="72"/>
      <c r="S792" s="72"/>
      <c r="T792" s="72"/>
      <c r="U792" s="72"/>
      <c r="V792" s="72"/>
      <c r="W792" s="72"/>
      <c r="X792" s="72"/>
      <c r="Y792" s="72"/>
      <c r="Z792" s="72"/>
    </row>
    <row r="793" spans="1:26" x14ac:dyDescent="0.5">
      <c r="A793" s="72"/>
      <c r="B793" s="72"/>
      <c r="C793" s="72"/>
      <c r="D793" s="72"/>
      <c r="E793" s="72"/>
      <c r="F793" s="72"/>
      <c r="G793" s="72"/>
      <c r="H793" s="72"/>
      <c r="I793" s="72"/>
      <c r="J793" s="72"/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  <c r="Z793" s="72"/>
    </row>
    <row r="794" spans="1:26" x14ac:dyDescent="0.5">
      <c r="A794" s="72"/>
      <c r="B794" s="72"/>
      <c r="C794" s="72"/>
      <c r="D794" s="72"/>
      <c r="E794" s="72"/>
      <c r="F794" s="72"/>
      <c r="G794" s="72"/>
      <c r="H794" s="72"/>
      <c r="I794" s="72"/>
      <c r="J794" s="72"/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</row>
    <row r="795" spans="1:26" x14ac:dyDescent="0.5">
      <c r="A795" s="72"/>
      <c r="B795" s="72"/>
      <c r="C795" s="72"/>
      <c r="D795" s="72"/>
      <c r="E795" s="72"/>
      <c r="F795" s="72"/>
      <c r="G795" s="72"/>
      <c r="H795" s="72"/>
      <c r="I795" s="72"/>
      <c r="J795" s="72"/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</row>
    <row r="796" spans="1:26" x14ac:dyDescent="0.5">
      <c r="A796" s="72"/>
      <c r="B796" s="72"/>
      <c r="C796" s="72"/>
      <c r="D796" s="72"/>
      <c r="E796" s="72"/>
      <c r="F796" s="72"/>
      <c r="G796" s="72"/>
      <c r="H796" s="72"/>
      <c r="I796" s="72"/>
      <c r="J796" s="72"/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</row>
    <row r="797" spans="1:26" x14ac:dyDescent="0.5">
      <c r="A797" s="72"/>
      <c r="B797" s="72"/>
      <c r="C797" s="72"/>
      <c r="D797" s="72"/>
      <c r="E797" s="72"/>
      <c r="F797" s="72"/>
      <c r="G797" s="72"/>
      <c r="H797" s="72"/>
      <c r="I797" s="72"/>
      <c r="J797" s="72"/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</row>
    <row r="798" spans="1:26" x14ac:dyDescent="0.5">
      <c r="A798" s="72"/>
      <c r="B798" s="72"/>
      <c r="C798" s="72"/>
      <c r="D798" s="72"/>
      <c r="E798" s="72"/>
      <c r="F798" s="72"/>
      <c r="G798" s="72"/>
      <c r="H798" s="72"/>
      <c r="I798" s="72"/>
      <c r="J798" s="72"/>
      <c r="K798" s="72"/>
      <c r="L798" s="72"/>
      <c r="M798" s="72"/>
      <c r="N798" s="72"/>
      <c r="O798" s="72"/>
      <c r="P798" s="72"/>
      <c r="Q798" s="72"/>
      <c r="R798" s="72"/>
      <c r="S798" s="72"/>
      <c r="T798" s="72"/>
      <c r="U798" s="72"/>
      <c r="V798" s="72"/>
      <c r="W798" s="72"/>
      <c r="X798" s="72"/>
      <c r="Y798" s="72"/>
      <c r="Z798" s="72"/>
    </row>
    <row r="799" spans="1:26" x14ac:dyDescent="0.5">
      <c r="A799" s="72"/>
      <c r="B799" s="72"/>
      <c r="C799" s="72"/>
      <c r="D799" s="72"/>
      <c r="E799" s="72"/>
      <c r="F799" s="72"/>
      <c r="G799" s="72"/>
      <c r="H799" s="72"/>
      <c r="I799" s="72"/>
      <c r="J799" s="72"/>
      <c r="K799" s="72"/>
      <c r="L799" s="72"/>
      <c r="M799" s="72"/>
      <c r="N799" s="72"/>
      <c r="O799" s="72"/>
      <c r="P799" s="72"/>
      <c r="Q799" s="72"/>
      <c r="R799" s="72"/>
      <c r="S799" s="72"/>
      <c r="T799" s="72"/>
      <c r="U799" s="72"/>
      <c r="V799" s="72"/>
      <c r="W799" s="72"/>
      <c r="X799" s="72"/>
      <c r="Y799" s="72"/>
      <c r="Z799" s="72"/>
    </row>
    <row r="800" spans="1:26" x14ac:dyDescent="0.5">
      <c r="A800" s="72"/>
      <c r="B800" s="72"/>
      <c r="C800" s="72"/>
      <c r="D800" s="72"/>
      <c r="E800" s="72"/>
      <c r="F800" s="72"/>
      <c r="G800" s="72"/>
      <c r="H800" s="72"/>
      <c r="I800" s="72"/>
      <c r="J800" s="72"/>
      <c r="K800" s="72"/>
      <c r="L800" s="72"/>
      <c r="M800" s="72"/>
      <c r="N800" s="72"/>
      <c r="O800" s="72"/>
      <c r="P800" s="72"/>
      <c r="Q800" s="72"/>
      <c r="R800" s="72"/>
      <c r="S800" s="72"/>
      <c r="T800" s="72"/>
      <c r="U800" s="72"/>
      <c r="V800" s="72"/>
      <c r="W800" s="72"/>
      <c r="X800" s="72"/>
      <c r="Y800" s="72"/>
      <c r="Z800" s="72"/>
    </row>
    <row r="801" spans="1:26" x14ac:dyDescent="0.5">
      <c r="A801" s="72"/>
      <c r="B801" s="72"/>
      <c r="C801" s="72"/>
      <c r="D801" s="72"/>
      <c r="E801" s="72"/>
      <c r="F801" s="72"/>
      <c r="G801" s="72"/>
      <c r="H801" s="72"/>
      <c r="I801" s="72"/>
      <c r="J801" s="72"/>
      <c r="K801" s="72"/>
      <c r="L801" s="72"/>
      <c r="M801" s="72"/>
      <c r="N801" s="72"/>
      <c r="O801" s="72"/>
      <c r="P801" s="72"/>
      <c r="Q801" s="72"/>
      <c r="R801" s="72"/>
      <c r="S801" s="72"/>
      <c r="T801" s="72"/>
      <c r="U801" s="72"/>
      <c r="V801" s="72"/>
      <c r="W801" s="72"/>
      <c r="X801" s="72"/>
      <c r="Y801" s="72"/>
      <c r="Z801" s="72"/>
    </row>
    <row r="802" spans="1:26" x14ac:dyDescent="0.5">
      <c r="A802" s="72"/>
      <c r="B802" s="72"/>
      <c r="C802" s="72"/>
      <c r="D802" s="72"/>
      <c r="E802" s="72"/>
      <c r="F802" s="72"/>
      <c r="G802" s="72"/>
      <c r="H802" s="72"/>
      <c r="I802" s="72"/>
      <c r="J802" s="72"/>
      <c r="K802" s="72"/>
      <c r="L802" s="72"/>
      <c r="M802" s="72"/>
      <c r="N802" s="72"/>
      <c r="O802" s="72"/>
      <c r="P802" s="72"/>
      <c r="Q802" s="72"/>
      <c r="R802" s="72"/>
      <c r="S802" s="72"/>
      <c r="T802" s="72"/>
      <c r="U802" s="72"/>
      <c r="V802" s="72"/>
      <c r="W802" s="72"/>
      <c r="X802" s="72"/>
      <c r="Y802" s="72"/>
      <c r="Z802" s="72"/>
    </row>
    <row r="803" spans="1:26" x14ac:dyDescent="0.5">
      <c r="A803" s="72"/>
      <c r="B803" s="72"/>
      <c r="C803" s="72"/>
      <c r="D803" s="72"/>
      <c r="E803" s="72"/>
      <c r="F803" s="72"/>
      <c r="G803" s="72"/>
      <c r="H803" s="72"/>
      <c r="I803" s="72"/>
      <c r="J803" s="72"/>
      <c r="K803" s="72"/>
      <c r="L803" s="72"/>
      <c r="M803" s="72"/>
      <c r="N803" s="72"/>
      <c r="O803" s="72"/>
      <c r="P803" s="72"/>
      <c r="Q803" s="72"/>
      <c r="R803" s="72"/>
      <c r="S803" s="72"/>
      <c r="T803" s="72"/>
      <c r="U803" s="72"/>
      <c r="V803" s="72"/>
      <c r="W803" s="72"/>
      <c r="X803" s="72"/>
      <c r="Y803" s="72"/>
      <c r="Z803" s="72"/>
    </row>
    <row r="804" spans="1:26" x14ac:dyDescent="0.5">
      <c r="A804" s="72"/>
      <c r="B804" s="72"/>
      <c r="C804" s="72"/>
      <c r="D804" s="72"/>
      <c r="E804" s="72"/>
      <c r="F804" s="72"/>
      <c r="G804" s="72"/>
      <c r="H804" s="72"/>
      <c r="I804" s="72"/>
      <c r="J804" s="72"/>
      <c r="K804" s="72"/>
      <c r="L804" s="72"/>
      <c r="M804" s="72"/>
      <c r="N804" s="72"/>
      <c r="O804" s="72"/>
      <c r="P804" s="72"/>
      <c r="Q804" s="72"/>
      <c r="R804" s="72"/>
      <c r="S804" s="72"/>
      <c r="T804" s="72"/>
      <c r="U804" s="72"/>
      <c r="V804" s="72"/>
      <c r="W804" s="72"/>
      <c r="X804" s="72"/>
      <c r="Y804" s="72"/>
      <c r="Z804" s="72"/>
    </row>
    <row r="805" spans="1:26" x14ac:dyDescent="0.5">
      <c r="A805" s="72"/>
      <c r="B805" s="72"/>
      <c r="C805" s="72"/>
      <c r="D805" s="72"/>
      <c r="E805" s="72"/>
      <c r="F805" s="72"/>
      <c r="G805" s="72"/>
      <c r="H805" s="72"/>
      <c r="I805" s="72"/>
      <c r="J805" s="72"/>
      <c r="K805" s="72"/>
      <c r="L805" s="72"/>
      <c r="M805" s="72"/>
      <c r="N805" s="72"/>
      <c r="O805" s="72"/>
      <c r="P805" s="72"/>
      <c r="Q805" s="72"/>
      <c r="R805" s="72"/>
      <c r="S805" s="72"/>
      <c r="T805" s="72"/>
      <c r="U805" s="72"/>
      <c r="V805" s="72"/>
      <c r="W805" s="72"/>
      <c r="X805" s="72"/>
      <c r="Y805" s="72"/>
      <c r="Z805" s="72"/>
    </row>
    <row r="806" spans="1:26" x14ac:dyDescent="0.5">
      <c r="A806" s="72"/>
      <c r="B806" s="72"/>
      <c r="C806" s="72"/>
      <c r="D806" s="72"/>
      <c r="E806" s="72"/>
      <c r="F806" s="72"/>
      <c r="G806" s="72"/>
      <c r="H806" s="72"/>
      <c r="I806" s="72"/>
      <c r="J806" s="72"/>
      <c r="K806" s="72"/>
      <c r="L806" s="72"/>
      <c r="M806" s="72"/>
      <c r="N806" s="72"/>
      <c r="O806" s="72"/>
      <c r="P806" s="72"/>
      <c r="Q806" s="72"/>
      <c r="R806" s="72"/>
      <c r="S806" s="72"/>
      <c r="T806" s="72"/>
      <c r="U806" s="72"/>
      <c r="V806" s="72"/>
      <c r="W806" s="72"/>
      <c r="X806" s="72"/>
      <c r="Y806" s="72"/>
      <c r="Z806" s="72"/>
    </row>
    <row r="807" spans="1:26" x14ac:dyDescent="0.5">
      <c r="A807" s="72"/>
      <c r="B807" s="72"/>
      <c r="C807" s="72"/>
      <c r="D807" s="72"/>
      <c r="E807" s="72"/>
      <c r="F807" s="72"/>
      <c r="G807" s="72"/>
      <c r="H807" s="72"/>
      <c r="I807" s="72"/>
      <c r="J807" s="72"/>
      <c r="K807" s="72"/>
      <c r="L807" s="72"/>
      <c r="M807" s="72"/>
      <c r="N807" s="72"/>
      <c r="O807" s="72"/>
      <c r="P807" s="72"/>
      <c r="Q807" s="72"/>
      <c r="R807" s="72"/>
      <c r="S807" s="72"/>
      <c r="T807" s="72"/>
      <c r="U807" s="72"/>
      <c r="V807" s="72"/>
      <c r="W807" s="72"/>
      <c r="X807" s="72"/>
      <c r="Y807" s="72"/>
      <c r="Z807" s="72"/>
    </row>
    <row r="808" spans="1:26" x14ac:dyDescent="0.5">
      <c r="A808" s="72"/>
      <c r="B808" s="72"/>
      <c r="C808" s="72"/>
      <c r="D808" s="72"/>
      <c r="E808" s="72"/>
      <c r="F808" s="72"/>
      <c r="G808" s="72"/>
      <c r="H808" s="72"/>
      <c r="I808" s="72"/>
      <c r="J808" s="72"/>
      <c r="K808" s="72"/>
      <c r="L808" s="72"/>
      <c r="M808" s="72"/>
      <c r="N808" s="72"/>
      <c r="O808" s="72"/>
      <c r="P808" s="72"/>
      <c r="Q808" s="72"/>
      <c r="R808" s="72"/>
      <c r="S808" s="72"/>
      <c r="T808" s="72"/>
      <c r="U808" s="72"/>
      <c r="V808" s="72"/>
      <c r="W808" s="72"/>
      <c r="X808" s="72"/>
      <c r="Y808" s="72"/>
      <c r="Z808" s="72"/>
    </row>
    <row r="809" spans="1:26" x14ac:dyDescent="0.5">
      <c r="A809" s="72"/>
      <c r="B809" s="72"/>
      <c r="C809" s="72"/>
      <c r="D809" s="72"/>
      <c r="E809" s="72"/>
      <c r="F809" s="72"/>
      <c r="G809" s="72"/>
      <c r="H809" s="72"/>
      <c r="I809" s="72"/>
      <c r="J809" s="72"/>
      <c r="K809" s="72"/>
      <c r="L809" s="72"/>
      <c r="M809" s="72"/>
      <c r="N809" s="72"/>
      <c r="O809" s="72"/>
      <c r="P809" s="72"/>
      <c r="Q809" s="72"/>
      <c r="R809" s="72"/>
      <c r="S809" s="72"/>
      <c r="T809" s="72"/>
      <c r="U809" s="72"/>
      <c r="V809" s="72"/>
      <c r="W809" s="72"/>
      <c r="X809" s="72"/>
      <c r="Y809" s="72"/>
      <c r="Z809" s="72"/>
    </row>
    <row r="810" spans="1:26" x14ac:dyDescent="0.5">
      <c r="A810" s="72"/>
      <c r="B810" s="72"/>
      <c r="C810" s="72"/>
      <c r="D810" s="72"/>
      <c r="E810" s="72"/>
      <c r="F810" s="72"/>
      <c r="G810" s="72"/>
      <c r="H810" s="72"/>
      <c r="I810" s="72"/>
      <c r="J810" s="72"/>
      <c r="K810" s="72"/>
      <c r="L810" s="72"/>
      <c r="M810" s="72"/>
      <c r="N810" s="72"/>
      <c r="O810" s="72"/>
      <c r="P810" s="72"/>
      <c r="Q810" s="72"/>
      <c r="R810" s="72"/>
      <c r="S810" s="72"/>
      <c r="T810" s="72"/>
      <c r="U810" s="72"/>
      <c r="V810" s="72"/>
      <c r="W810" s="72"/>
      <c r="X810" s="72"/>
      <c r="Y810" s="72"/>
      <c r="Z810" s="72"/>
    </row>
    <row r="811" spans="1:26" x14ac:dyDescent="0.5">
      <c r="A811" s="72"/>
      <c r="B811" s="72"/>
      <c r="C811" s="72"/>
      <c r="D811" s="72"/>
      <c r="E811" s="72"/>
      <c r="F811" s="72"/>
      <c r="G811" s="72"/>
      <c r="H811" s="72"/>
      <c r="I811" s="72"/>
      <c r="J811" s="72"/>
      <c r="K811" s="72"/>
      <c r="L811" s="72"/>
      <c r="M811" s="72"/>
      <c r="N811" s="72"/>
      <c r="O811" s="72"/>
      <c r="P811" s="72"/>
      <c r="Q811" s="72"/>
      <c r="R811" s="72"/>
      <c r="S811" s="72"/>
      <c r="T811" s="72"/>
      <c r="U811" s="72"/>
      <c r="V811" s="72"/>
      <c r="W811" s="72"/>
      <c r="X811" s="72"/>
      <c r="Y811" s="72"/>
      <c r="Z811" s="72"/>
    </row>
    <row r="812" spans="1:26" x14ac:dyDescent="0.5">
      <c r="A812" s="72"/>
      <c r="B812" s="72"/>
      <c r="C812" s="72"/>
      <c r="D812" s="72"/>
      <c r="E812" s="72"/>
      <c r="F812" s="72"/>
      <c r="G812" s="72"/>
      <c r="H812" s="72"/>
      <c r="I812" s="72"/>
      <c r="J812" s="72"/>
      <c r="K812" s="72"/>
      <c r="L812" s="72"/>
      <c r="M812" s="72"/>
      <c r="N812" s="72"/>
      <c r="O812" s="72"/>
      <c r="P812" s="72"/>
      <c r="Q812" s="72"/>
      <c r="R812" s="72"/>
      <c r="S812" s="72"/>
      <c r="T812" s="72"/>
      <c r="U812" s="72"/>
      <c r="V812" s="72"/>
      <c r="W812" s="72"/>
      <c r="X812" s="72"/>
      <c r="Y812" s="72"/>
      <c r="Z812" s="72"/>
    </row>
    <row r="813" spans="1:26" x14ac:dyDescent="0.5">
      <c r="A813" s="72"/>
      <c r="B813" s="72"/>
      <c r="C813" s="72"/>
      <c r="D813" s="72"/>
      <c r="E813" s="72"/>
      <c r="F813" s="72"/>
      <c r="G813" s="72"/>
      <c r="H813" s="72"/>
      <c r="I813" s="72"/>
      <c r="J813" s="72"/>
      <c r="K813" s="72"/>
      <c r="L813" s="72"/>
      <c r="M813" s="72"/>
      <c r="N813" s="72"/>
      <c r="O813" s="72"/>
      <c r="P813" s="72"/>
      <c r="Q813" s="72"/>
      <c r="R813" s="72"/>
      <c r="S813" s="72"/>
      <c r="T813" s="72"/>
      <c r="U813" s="72"/>
      <c r="V813" s="72"/>
      <c r="W813" s="72"/>
      <c r="X813" s="72"/>
      <c r="Y813" s="72"/>
      <c r="Z813" s="72"/>
    </row>
    <row r="814" spans="1:26" x14ac:dyDescent="0.5">
      <c r="A814" s="72"/>
      <c r="B814" s="72"/>
      <c r="C814" s="72"/>
      <c r="D814" s="72"/>
      <c r="E814" s="72"/>
      <c r="F814" s="72"/>
      <c r="G814" s="72"/>
      <c r="H814" s="72"/>
      <c r="I814" s="72"/>
      <c r="J814" s="72"/>
      <c r="K814" s="72"/>
      <c r="L814" s="72"/>
      <c r="M814" s="72"/>
      <c r="N814" s="72"/>
      <c r="O814" s="72"/>
      <c r="P814" s="72"/>
      <c r="Q814" s="72"/>
      <c r="R814" s="72"/>
      <c r="S814" s="72"/>
      <c r="T814" s="72"/>
      <c r="U814" s="72"/>
      <c r="V814" s="72"/>
      <c r="W814" s="72"/>
      <c r="X814" s="72"/>
      <c r="Y814" s="72"/>
      <c r="Z814" s="72"/>
    </row>
    <row r="815" spans="1:26" x14ac:dyDescent="0.5">
      <c r="A815" s="72"/>
      <c r="B815" s="72"/>
      <c r="C815" s="72"/>
      <c r="D815" s="72"/>
      <c r="E815" s="72"/>
      <c r="F815" s="72"/>
      <c r="G815" s="72"/>
      <c r="H815" s="72"/>
      <c r="I815" s="72"/>
      <c r="J815" s="72"/>
      <c r="K815" s="72"/>
      <c r="L815" s="72"/>
      <c r="M815" s="72"/>
      <c r="N815" s="72"/>
      <c r="O815" s="72"/>
      <c r="P815" s="72"/>
      <c r="Q815" s="72"/>
      <c r="R815" s="72"/>
      <c r="S815" s="72"/>
      <c r="T815" s="72"/>
      <c r="U815" s="72"/>
      <c r="V815" s="72"/>
      <c r="W815" s="72"/>
      <c r="X815" s="72"/>
      <c r="Y815" s="72"/>
      <c r="Z815" s="72"/>
    </row>
    <row r="816" spans="1:26" x14ac:dyDescent="0.5">
      <c r="A816" s="72"/>
      <c r="B816" s="72"/>
      <c r="C816" s="72"/>
      <c r="D816" s="72"/>
      <c r="E816" s="72"/>
      <c r="F816" s="72"/>
      <c r="G816" s="72"/>
      <c r="H816" s="72"/>
      <c r="I816" s="72"/>
      <c r="J816" s="72"/>
      <c r="K816" s="72"/>
      <c r="L816" s="72"/>
      <c r="M816" s="72"/>
      <c r="N816" s="72"/>
      <c r="O816" s="72"/>
      <c r="P816" s="72"/>
      <c r="Q816" s="72"/>
      <c r="R816" s="72"/>
      <c r="S816" s="72"/>
      <c r="T816" s="72"/>
      <c r="U816" s="72"/>
      <c r="V816" s="72"/>
      <c r="W816" s="72"/>
      <c r="X816" s="72"/>
      <c r="Y816" s="72"/>
      <c r="Z816" s="72"/>
    </row>
    <row r="817" spans="1:26" x14ac:dyDescent="0.5">
      <c r="A817" s="72"/>
      <c r="B817" s="72"/>
      <c r="C817" s="72"/>
      <c r="D817" s="72"/>
      <c r="E817" s="72"/>
      <c r="F817" s="72"/>
      <c r="G817" s="72"/>
      <c r="H817" s="72"/>
      <c r="I817" s="72"/>
      <c r="J817" s="72"/>
      <c r="K817" s="72"/>
      <c r="L817" s="72"/>
      <c r="M817" s="72"/>
      <c r="N817" s="72"/>
      <c r="O817" s="72"/>
      <c r="P817" s="72"/>
      <c r="Q817" s="72"/>
      <c r="R817" s="72"/>
      <c r="S817" s="72"/>
      <c r="T817" s="72"/>
      <c r="U817" s="72"/>
      <c r="V817" s="72"/>
      <c r="W817" s="72"/>
      <c r="X817" s="72"/>
      <c r="Y817" s="72"/>
      <c r="Z817" s="72"/>
    </row>
    <row r="818" spans="1:26" x14ac:dyDescent="0.5">
      <c r="A818" s="72"/>
      <c r="B818" s="72"/>
      <c r="C818" s="72"/>
      <c r="D818" s="72"/>
      <c r="E818" s="72"/>
      <c r="F818" s="72"/>
      <c r="G818" s="72"/>
      <c r="H818" s="72"/>
      <c r="I818" s="72"/>
      <c r="J818" s="72"/>
      <c r="K818" s="72"/>
      <c r="L818" s="72"/>
      <c r="M818" s="72"/>
      <c r="N818" s="72"/>
      <c r="O818" s="72"/>
      <c r="P818" s="72"/>
      <c r="Q818" s="72"/>
      <c r="R818" s="72"/>
      <c r="S818" s="72"/>
      <c r="T818" s="72"/>
      <c r="U818" s="72"/>
      <c r="V818" s="72"/>
      <c r="W818" s="72"/>
      <c r="X818" s="72"/>
      <c r="Y818" s="72"/>
      <c r="Z818" s="72"/>
    </row>
    <row r="819" spans="1:26" x14ac:dyDescent="0.5">
      <c r="A819" s="72"/>
      <c r="B819" s="72"/>
      <c r="C819" s="72"/>
      <c r="D819" s="72"/>
      <c r="E819" s="72"/>
      <c r="F819" s="72"/>
      <c r="G819" s="72"/>
      <c r="H819" s="72"/>
      <c r="I819" s="72"/>
      <c r="J819" s="72"/>
      <c r="K819" s="72"/>
      <c r="L819" s="72"/>
      <c r="M819" s="72"/>
      <c r="N819" s="72"/>
      <c r="O819" s="72"/>
      <c r="P819" s="72"/>
      <c r="Q819" s="72"/>
      <c r="R819" s="72"/>
      <c r="S819" s="72"/>
      <c r="T819" s="72"/>
      <c r="U819" s="72"/>
      <c r="V819" s="72"/>
      <c r="W819" s="72"/>
      <c r="X819" s="72"/>
      <c r="Y819" s="72"/>
      <c r="Z819" s="72"/>
    </row>
    <row r="820" spans="1:26" x14ac:dyDescent="0.5">
      <c r="A820" s="72"/>
      <c r="B820" s="72"/>
      <c r="C820" s="72"/>
      <c r="D820" s="72"/>
      <c r="E820" s="72"/>
      <c r="F820" s="72"/>
      <c r="G820" s="72"/>
      <c r="H820" s="72"/>
      <c r="I820" s="72"/>
      <c r="J820" s="72"/>
      <c r="K820" s="72"/>
      <c r="L820" s="72"/>
      <c r="M820" s="72"/>
      <c r="N820" s="72"/>
      <c r="O820" s="72"/>
      <c r="P820" s="72"/>
      <c r="Q820" s="72"/>
      <c r="R820" s="72"/>
      <c r="S820" s="72"/>
      <c r="T820" s="72"/>
      <c r="U820" s="72"/>
      <c r="V820" s="72"/>
      <c r="W820" s="72"/>
      <c r="X820" s="72"/>
      <c r="Y820" s="72"/>
      <c r="Z820" s="72"/>
    </row>
    <row r="821" spans="1:26" x14ac:dyDescent="0.5">
      <c r="A821" s="72"/>
      <c r="B821" s="72"/>
      <c r="C821" s="72"/>
      <c r="D821" s="72"/>
      <c r="E821" s="72"/>
      <c r="F821" s="72"/>
      <c r="G821" s="72"/>
      <c r="H821" s="72"/>
      <c r="I821" s="72"/>
      <c r="J821" s="72"/>
      <c r="K821" s="72"/>
      <c r="L821" s="72"/>
      <c r="M821" s="72"/>
      <c r="N821" s="72"/>
      <c r="O821" s="72"/>
      <c r="P821" s="72"/>
      <c r="Q821" s="72"/>
      <c r="R821" s="72"/>
      <c r="S821" s="72"/>
      <c r="T821" s="72"/>
      <c r="U821" s="72"/>
      <c r="V821" s="72"/>
      <c r="W821" s="72"/>
      <c r="X821" s="72"/>
      <c r="Y821" s="72"/>
      <c r="Z821" s="72"/>
    </row>
    <row r="822" spans="1:26" x14ac:dyDescent="0.5">
      <c r="A822" s="72"/>
      <c r="B822" s="72"/>
      <c r="C822" s="72"/>
      <c r="D822" s="72"/>
      <c r="E822" s="72"/>
      <c r="F822" s="72"/>
      <c r="G822" s="72"/>
      <c r="H822" s="72"/>
      <c r="I822" s="72"/>
      <c r="J822" s="72"/>
      <c r="K822" s="72"/>
      <c r="L822" s="72"/>
      <c r="M822" s="72"/>
      <c r="N822" s="72"/>
      <c r="O822" s="72"/>
      <c r="P822" s="72"/>
      <c r="Q822" s="72"/>
      <c r="R822" s="72"/>
      <c r="S822" s="72"/>
      <c r="T822" s="72"/>
      <c r="U822" s="72"/>
      <c r="V822" s="72"/>
      <c r="W822" s="72"/>
      <c r="X822" s="72"/>
      <c r="Y822" s="72"/>
      <c r="Z822" s="72"/>
    </row>
    <row r="823" spans="1:26" x14ac:dyDescent="0.5">
      <c r="A823" s="72"/>
      <c r="B823" s="72"/>
      <c r="C823" s="72"/>
      <c r="D823" s="72"/>
      <c r="E823" s="72"/>
      <c r="F823" s="72"/>
      <c r="G823" s="72"/>
      <c r="H823" s="72"/>
      <c r="I823" s="72"/>
      <c r="J823" s="72"/>
      <c r="K823" s="72"/>
      <c r="L823" s="72"/>
      <c r="M823" s="72"/>
      <c r="N823" s="72"/>
      <c r="O823" s="72"/>
      <c r="P823" s="72"/>
      <c r="Q823" s="72"/>
      <c r="R823" s="72"/>
      <c r="S823" s="72"/>
      <c r="T823" s="72"/>
      <c r="U823" s="72"/>
      <c r="V823" s="72"/>
      <c r="W823" s="72"/>
      <c r="X823" s="72"/>
      <c r="Y823" s="72"/>
      <c r="Z823" s="72"/>
    </row>
    <row r="824" spans="1:26" x14ac:dyDescent="0.5">
      <c r="A824" s="72"/>
      <c r="B824" s="72"/>
      <c r="C824" s="72"/>
      <c r="D824" s="72"/>
      <c r="E824" s="72"/>
      <c r="F824" s="72"/>
      <c r="G824" s="72"/>
      <c r="H824" s="72"/>
      <c r="I824" s="72"/>
      <c r="J824" s="72"/>
      <c r="K824" s="72"/>
      <c r="L824" s="72"/>
      <c r="M824" s="72"/>
      <c r="N824" s="72"/>
      <c r="O824" s="72"/>
      <c r="P824" s="72"/>
      <c r="Q824" s="72"/>
      <c r="R824" s="72"/>
      <c r="S824" s="72"/>
      <c r="T824" s="72"/>
      <c r="U824" s="72"/>
      <c r="V824" s="72"/>
      <c r="W824" s="72"/>
      <c r="X824" s="72"/>
      <c r="Y824" s="72"/>
      <c r="Z824" s="72"/>
    </row>
    <row r="825" spans="1:26" x14ac:dyDescent="0.5">
      <c r="A825" s="72"/>
      <c r="B825" s="72"/>
      <c r="C825" s="72"/>
      <c r="D825" s="72"/>
      <c r="E825" s="72"/>
      <c r="F825" s="72"/>
      <c r="G825" s="72"/>
      <c r="H825" s="72"/>
      <c r="I825" s="72"/>
      <c r="J825" s="72"/>
      <c r="K825" s="72"/>
      <c r="L825" s="72"/>
      <c r="M825" s="72"/>
      <c r="N825" s="72"/>
      <c r="O825" s="72"/>
      <c r="P825" s="72"/>
      <c r="Q825" s="72"/>
      <c r="R825" s="72"/>
      <c r="S825" s="72"/>
      <c r="T825" s="72"/>
      <c r="U825" s="72"/>
      <c r="V825" s="72"/>
      <c r="W825" s="72"/>
      <c r="X825" s="72"/>
      <c r="Y825" s="72"/>
      <c r="Z825" s="72"/>
    </row>
    <row r="826" spans="1:26" x14ac:dyDescent="0.5">
      <c r="A826" s="72"/>
      <c r="B826" s="72"/>
      <c r="C826" s="72"/>
      <c r="D826" s="72"/>
      <c r="E826" s="72"/>
      <c r="F826" s="72"/>
      <c r="G826" s="72"/>
      <c r="H826" s="72"/>
      <c r="I826" s="72"/>
      <c r="J826" s="72"/>
      <c r="K826" s="72"/>
      <c r="L826" s="72"/>
      <c r="M826" s="72"/>
      <c r="N826" s="72"/>
      <c r="O826" s="72"/>
      <c r="P826" s="72"/>
      <c r="Q826" s="72"/>
      <c r="R826" s="72"/>
      <c r="S826" s="72"/>
      <c r="T826" s="72"/>
      <c r="U826" s="72"/>
      <c r="V826" s="72"/>
      <c r="W826" s="72"/>
      <c r="X826" s="72"/>
      <c r="Y826" s="72"/>
      <c r="Z826" s="72"/>
    </row>
    <row r="827" spans="1:26" x14ac:dyDescent="0.5">
      <c r="A827" s="72"/>
      <c r="B827" s="72"/>
      <c r="C827" s="72"/>
      <c r="D827" s="72"/>
      <c r="E827" s="72"/>
      <c r="F827" s="72"/>
      <c r="G827" s="72"/>
      <c r="H827" s="72"/>
      <c r="I827" s="72"/>
      <c r="J827" s="72"/>
      <c r="K827" s="72"/>
      <c r="L827" s="72"/>
      <c r="M827" s="72"/>
      <c r="N827" s="72"/>
      <c r="O827" s="72"/>
      <c r="P827" s="72"/>
      <c r="Q827" s="72"/>
      <c r="R827" s="72"/>
      <c r="S827" s="72"/>
      <c r="T827" s="72"/>
      <c r="U827" s="72"/>
      <c r="V827" s="72"/>
      <c r="W827" s="72"/>
      <c r="X827" s="72"/>
      <c r="Y827" s="72"/>
      <c r="Z827" s="72"/>
    </row>
    <row r="828" spans="1:26" x14ac:dyDescent="0.5">
      <c r="A828" s="72"/>
      <c r="B828" s="72"/>
      <c r="C828" s="72"/>
      <c r="D828" s="72"/>
      <c r="E828" s="72"/>
      <c r="F828" s="72"/>
      <c r="G828" s="72"/>
      <c r="H828" s="72"/>
      <c r="I828" s="72"/>
      <c r="J828" s="72"/>
      <c r="K828" s="72"/>
      <c r="L828" s="72"/>
      <c r="M828" s="72"/>
      <c r="N828" s="72"/>
      <c r="O828" s="72"/>
      <c r="P828" s="72"/>
      <c r="Q828" s="72"/>
      <c r="R828" s="72"/>
      <c r="S828" s="72"/>
      <c r="T828" s="72"/>
      <c r="U828" s="72"/>
      <c r="V828" s="72"/>
      <c r="W828" s="72"/>
      <c r="X828" s="72"/>
      <c r="Y828" s="72"/>
      <c r="Z828" s="72"/>
    </row>
    <row r="829" spans="1:26" x14ac:dyDescent="0.5">
      <c r="A829" s="72"/>
      <c r="B829" s="72"/>
      <c r="C829" s="72"/>
      <c r="D829" s="72"/>
      <c r="E829" s="72"/>
      <c r="F829" s="72"/>
      <c r="G829" s="72"/>
      <c r="H829" s="72"/>
      <c r="I829" s="72"/>
      <c r="J829" s="72"/>
      <c r="K829" s="72"/>
      <c r="L829" s="72"/>
      <c r="M829" s="72"/>
      <c r="N829" s="72"/>
      <c r="O829" s="72"/>
      <c r="P829" s="72"/>
      <c r="Q829" s="72"/>
      <c r="R829" s="72"/>
      <c r="S829" s="72"/>
      <c r="T829" s="72"/>
      <c r="U829" s="72"/>
      <c r="V829" s="72"/>
      <c r="W829" s="72"/>
      <c r="X829" s="72"/>
      <c r="Y829" s="72"/>
      <c r="Z829" s="72"/>
    </row>
    <row r="830" spans="1:26" x14ac:dyDescent="0.5">
      <c r="A830" s="72"/>
      <c r="B830" s="72"/>
      <c r="C830" s="72"/>
      <c r="D830" s="72"/>
      <c r="E830" s="72"/>
      <c r="F830" s="72"/>
      <c r="G830" s="72"/>
      <c r="H830" s="72"/>
      <c r="I830" s="72"/>
      <c r="J830" s="72"/>
      <c r="K830" s="72"/>
      <c r="L830" s="72"/>
      <c r="M830" s="72"/>
      <c r="N830" s="72"/>
      <c r="O830" s="72"/>
      <c r="P830" s="72"/>
      <c r="Q830" s="72"/>
      <c r="R830" s="72"/>
      <c r="S830" s="72"/>
      <c r="T830" s="72"/>
      <c r="U830" s="72"/>
      <c r="V830" s="72"/>
      <c r="W830" s="72"/>
      <c r="X830" s="72"/>
      <c r="Y830" s="72"/>
      <c r="Z830" s="72"/>
    </row>
    <row r="831" spans="1:26" x14ac:dyDescent="0.5">
      <c r="A831" s="72"/>
      <c r="B831" s="72"/>
      <c r="C831" s="72"/>
      <c r="D831" s="72"/>
      <c r="E831" s="72"/>
      <c r="F831" s="72"/>
      <c r="G831" s="72"/>
      <c r="H831" s="72"/>
      <c r="I831" s="72"/>
      <c r="J831" s="72"/>
      <c r="K831" s="72"/>
      <c r="L831" s="72"/>
      <c r="M831" s="72"/>
      <c r="N831" s="72"/>
      <c r="O831" s="72"/>
      <c r="P831" s="72"/>
      <c r="Q831" s="72"/>
      <c r="R831" s="72"/>
      <c r="S831" s="72"/>
      <c r="T831" s="72"/>
      <c r="U831" s="72"/>
      <c r="V831" s="72"/>
      <c r="W831" s="72"/>
      <c r="X831" s="72"/>
      <c r="Y831" s="72"/>
      <c r="Z831" s="72"/>
    </row>
    <row r="832" spans="1:26" x14ac:dyDescent="0.5">
      <c r="A832" s="72"/>
      <c r="B832" s="72"/>
      <c r="C832" s="72"/>
      <c r="D832" s="72"/>
      <c r="E832" s="72"/>
      <c r="F832" s="72"/>
      <c r="G832" s="72"/>
      <c r="H832" s="72"/>
      <c r="I832" s="72"/>
      <c r="J832" s="72"/>
      <c r="K832" s="72"/>
      <c r="L832" s="72"/>
      <c r="M832" s="72"/>
      <c r="N832" s="72"/>
      <c r="O832" s="72"/>
      <c r="P832" s="72"/>
      <c r="Q832" s="72"/>
      <c r="R832" s="72"/>
      <c r="S832" s="72"/>
      <c r="T832" s="72"/>
      <c r="U832" s="72"/>
      <c r="V832" s="72"/>
      <c r="W832" s="72"/>
      <c r="X832" s="72"/>
      <c r="Y832" s="72"/>
      <c r="Z832" s="72"/>
    </row>
    <row r="833" spans="1:26" x14ac:dyDescent="0.5">
      <c r="A833" s="72"/>
      <c r="B833" s="72"/>
      <c r="C833" s="72"/>
      <c r="D833" s="72"/>
      <c r="E833" s="72"/>
      <c r="F833" s="72"/>
      <c r="G833" s="72"/>
      <c r="H833" s="72"/>
      <c r="I833" s="72"/>
      <c r="J833" s="72"/>
      <c r="K833" s="72"/>
      <c r="L833" s="72"/>
      <c r="M833" s="72"/>
      <c r="N833" s="72"/>
      <c r="O833" s="72"/>
      <c r="P833" s="72"/>
      <c r="Q833" s="72"/>
      <c r="R833" s="72"/>
      <c r="S833" s="72"/>
      <c r="T833" s="72"/>
      <c r="U833" s="72"/>
      <c r="V833" s="72"/>
      <c r="W833" s="72"/>
      <c r="X833" s="72"/>
      <c r="Y833" s="72"/>
      <c r="Z833" s="72"/>
    </row>
    <row r="834" spans="1:26" x14ac:dyDescent="0.5">
      <c r="A834" s="72"/>
      <c r="B834" s="72"/>
      <c r="C834" s="72"/>
      <c r="D834" s="72"/>
      <c r="E834" s="72"/>
      <c r="F834" s="72"/>
      <c r="G834" s="72"/>
      <c r="H834" s="72"/>
      <c r="I834" s="72"/>
      <c r="J834" s="72"/>
      <c r="K834" s="72"/>
      <c r="L834" s="72"/>
      <c r="M834" s="72"/>
      <c r="N834" s="72"/>
      <c r="O834" s="72"/>
      <c r="P834" s="72"/>
      <c r="Q834" s="72"/>
      <c r="R834" s="72"/>
      <c r="S834" s="72"/>
      <c r="T834" s="72"/>
      <c r="U834" s="72"/>
      <c r="V834" s="72"/>
      <c r="W834" s="72"/>
      <c r="X834" s="72"/>
      <c r="Y834" s="72"/>
      <c r="Z834" s="72"/>
    </row>
    <row r="835" spans="1:26" x14ac:dyDescent="0.5">
      <c r="A835" s="72"/>
      <c r="B835" s="72"/>
      <c r="C835" s="72"/>
      <c r="D835" s="72"/>
      <c r="E835" s="72"/>
      <c r="F835" s="72"/>
      <c r="G835" s="72"/>
      <c r="H835" s="72"/>
      <c r="I835" s="72"/>
      <c r="J835" s="72"/>
      <c r="K835" s="72"/>
      <c r="L835" s="72"/>
      <c r="M835" s="72"/>
      <c r="N835" s="72"/>
      <c r="O835" s="72"/>
      <c r="P835" s="72"/>
      <c r="Q835" s="72"/>
      <c r="R835" s="72"/>
      <c r="S835" s="72"/>
      <c r="T835" s="72"/>
      <c r="U835" s="72"/>
      <c r="V835" s="72"/>
      <c r="W835" s="72"/>
      <c r="X835" s="72"/>
      <c r="Y835" s="72"/>
      <c r="Z835" s="72"/>
    </row>
    <row r="836" spans="1:26" x14ac:dyDescent="0.5">
      <c r="A836" s="72"/>
      <c r="B836" s="72"/>
      <c r="C836" s="72"/>
      <c r="D836" s="72"/>
      <c r="E836" s="72"/>
      <c r="F836" s="72"/>
      <c r="G836" s="72"/>
      <c r="H836" s="72"/>
      <c r="I836" s="72"/>
      <c r="J836" s="72"/>
      <c r="K836" s="72"/>
      <c r="L836" s="72"/>
      <c r="M836" s="72"/>
      <c r="N836" s="72"/>
      <c r="O836" s="72"/>
      <c r="P836" s="72"/>
      <c r="Q836" s="72"/>
      <c r="R836" s="72"/>
      <c r="S836" s="72"/>
      <c r="T836" s="72"/>
      <c r="U836" s="72"/>
      <c r="V836" s="72"/>
      <c r="W836" s="72"/>
      <c r="X836" s="72"/>
      <c r="Y836" s="72"/>
      <c r="Z836" s="72"/>
    </row>
    <row r="837" spans="1:26" x14ac:dyDescent="0.5">
      <c r="A837" s="72"/>
      <c r="B837" s="72"/>
      <c r="C837" s="72"/>
      <c r="D837" s="72"/>
      <c r="E837" s="72"/>
      <c r="F837" s="72"/>
      <c r="G837" s="72"/>
      <c r="H837" s="72"/>
      <c r="I837" s="72"/>
      <c r="J837" s="72"/>
      <c r="K837" s="72"/>
      <c r="L837" s="72"/>
      <c r="M837" s="72"/>
      <c r="N837" s="72"/>
      <c r="O837" s="72"/>
      <c r="P837" s="72"/>
      <c r="Q837" s="72"/>
      <c r="R837" s="72"/>
      <c r="S837" s="72"/>
      <c r="T837" s="72"/>
      <c r="U837" s="72"/>
      <c r="V837" s="72"/>
      <c r="W837" s="72"/>
      <c r="X837" s="72"/>
      <c r="Y837" s="72"/>
      <c r="Z837" s="72"/>
    </row>
    <row r="838" spans="1:26" x14ac:dyDescent="0.5">
      <c r="A838" s="72"/>
      <c r="B838" s="72"/>
      <c r="C838" s="72"/>
      <c r="D838" s="72"/>
      <c r="E838" s="72"/>
      <c r="F838" s="72"/>
      <c r="G838" s="72"/>
      <c r="H838" s="72"/>
      <c r="I838" s="72"/>
      <c r="J838" s="72"/>
      <c r="K838" s="72"/>
      <c r="L838" s="72"/>
      <c r="M838" s="72"/>
      <c r="N838" s="72"/>
      <c r="O838" s="72"/>
      <c r="P838" s="72"/>
      <c r="Q838" s="72"/>
      <c r="R838" s="72"/>
      <c r="S838" s="72"/>
      <c r="T838" s="72"/>
      <c r="U838" s="72"/>
      <c r="V838" s="72"/>
      <c r="W838" s="72"/>
      <c r="X838" s="72"/>
      <c r="Y838" s="72"/>
      <c r="Z838" s="72"/>
    </row>
    <row r="839" spans="1:26" x14ac:dyDescent="0.5">
      <c r="A839" s="72"/>
      <c r="B839" s="72"/>
      <c r="C839" s="72"/>
      <c r="D839" s="72"/>
      <c r="E839" s="72"/>
      <c r="F839" s="72"/>
      <c r="G839" s="72"/>
      <c r="H839" s="72"/>
      <c r="I839" s="72"/>
      <c r="J839" s="72"/>
      <c r="K839" s="72"/>
      <c r="L839" s="72"/>
      <c r="M839" s="72"/>
      <c r="N839" s="72"/>
      <c r="O839" s="72"/>
      <c r="P839" s="72"/>
      <c r="Q839" s="72"/>
      <c r="R839" s="72"/>
      <c r="S839" s="72"/>
      <c r="T839" s="72"/>
      <c r="U839" s="72"/>
      <c r="V839" s="72"/>
      <c r="W839" s="72"/>
      <c r="X839" s="72"/>
      <c r="Y839" s="72"/>
      <c r="Z839" s="72"/>
    </row>
    <row r="840" spans="1:26" x14ac:dyDescent="0.5">
      <c r="A840" s="72"/>
      <c r="B840" s="72"/>
      <c r="C840" s="72"/>
      <c r="D840" s="72"/>
      <c r="E840" s="72"/>
      <c r="F840" s="72"/>
      <c r="G840" s="72"/>
      <c r="H840" s="72"/>
      <c r="I840" s="72"/>
      <c r="J840" s="72"/>
      <c r="K840" s="72"/>
      <c r="L840" s="72"/>
      <c r="M840" s="72"/>
      <c r="N840" s="72"/>
      <c r="O840" s="72"/>
      <c r="P840" s="72"/>
      <c r="Q840" s="72"/>
      <c r="R840" s="72"/>
      <c r="S840" s="72"/>
      <c r="T840" s="72"/>
      <c r="U840" s="72"/>
      <c r="V840" s="72"/>
      <c r="W840" s="72"/>
      <c r="X840" s="72"/>
      <c r="Y840" s="72"/>
      <c r="Z840" s="72"/>
    </row>
    <row r="841" spans="1:26" x14ac:dyDescent="0.5">
      <c r="A841" s="72"/>
      <c r="B841" s="72"/>
      <c r="C841" s="72"/>
      <c r="D841" s="72"/>
      <c r="E841" s="72"/>
      <c r="F841" s="72"/>
      <c r="G841" s="72"/>
      <c r="H841" s="72"/>
      <c r="I841" s="72"/>
      <c r="J841" s="72"/>
      <c r="K841" s="72"/>
      <c r="L841" s="72"/>
      <c r="M841" s="72"/>
      <c r="N841" s="72"/>
      <c r="O841" s="72"/>
      <c r="P841" s="72"/>
      <c r="Q841" s="72"/>
      <c r="R841" s="72"/>
      <c r="S841" s="72"/>
      <c r="T841" s="72"/>
      <c r="U841" s="72"/>
      <c r="V841" s="72"/>
      <c r="W841" s="72"/>
      <c r="X841" s="72"/>
      <c r="Y841" s="72"/>
      <c r="Z841" s="72"/>
    </row>
    <row r="842" spans="1:26" x14ac:dyDescent="0.5">
      <c r="A842" s="72"/>
      <c r="B842" s="72"/>
      <c r="C842" s="72"/>
      <c r="D842" s="72"/>
      <c r="E842" s="72"/>
      <c r="F842" s="72"/>
      <c r="G842" s="72"/>
      <c r="H842" s="72"/>
      <c r="I842" s="72"/>
      <c r="J842" s="72"/>
      <c r="K842" s="72"/>
      <c r="L842" s="72"/>
      <c r="M842" s="72"/>
      <c r="N842" s="72"/>
      <c r="O842" s="72"/>
      <c r="P842" s="72"/>
      <c r="Q842" s="72"/>
      <c r="R842" s="72"/>
      <c r="S842" s="72"/>
      <c r="T842" s="72"/>
      <c r="U842" s="72"/>
      <c r="V842" s="72"/>
      <c r="W842" s="72"/>
      <c r="X842" s="72"/>
      <c r="Y842" s="72"/>
      <c r="Z842" s="72"/>
    </row>
    <row r="843" spans="1:26" x14ac:dyDescent="0.5">
      <c r="A843" s="72"/>
      <c r="B843" s="72"/>
      <c r="C843" s="72"/>
      <c r="D843" s="72"/>
      <c r="E843" s="72"/>
      <c r="F843" s="72"/>
      <c r="G843" s="72"/>
      <c r="H843" s="72"/>
      <c r="I843" s="72"/>
      <c r="J843" s="72"/>
      <c r="K843" s="72"/>
      <c r="L843" s="72"/>
      <c r="M843" s="72"/>
      <c r="N843" s="72"/>
      <c r="O843" s="72"/>
      <c r="P843" s="72"/>
      <c r="Q843" s="72"/>
      <c r="R843" s="72"/>
      <c r="S843" s="72"/>
      <c r="T843" s="72"/>
      <c r="U843" s="72"/>
      <c r="V843" s="72"/>
      <c r="W843" s="72"/>
      <c r="X843" s="72"/>
      <c r="Y843" s="72"/>
      <c r="Z843" s="72"/>
    </row>
    <row r="844" spans="1:26" x14ac:dyDescent="0.5">
      <c r="A844" s="72"/>
      <c r="B844" s="72"/>
      <c r="C844" s="72"/>
      <c r="D844" s="72"/>
      <c r="E844" s="72"/>
      <c r="F844" s="72"/>
      <c r="G844" s="72"/>
      <c r="H844" s="72"/>
      <c r="I844" s="72"/>
      <c r="J844" s="72"/>
      <c r="K844" s="72"/>
      <c r="L844" s="72"/>
      <c r="M844" s="72"/>
      <c r="N844" s="72"/>
      <c r="O844" s="72"/>
      <c r="P844" s="72"/>
      <c r="Q844" s="72"/>
      <c r="R844" s="72"/>
      <c r="S844" s="72"/>
      <c r="T844" s="72"/>
      <c r="U844" s="72"/>
      <c r="V844" s="72"/>
      <c r="W844" s="72"/>
      <c r="X844" s="72"/>
      <c r="Y844" s="72"/>
      <c r="Z844" s="72"/>
    </row>
    <row r="845" spans="1:26" x14ac:dyDescent="0.5">
      <c r="A845" s="72"/>
      <c r="B845" s="72"/>
      <c r="C845" s="72"/>
      <c r="D845" s="72"/>
      <c r="E845" s="72"/>
      <c r="F845" s="72"/>
      <c r="G845" s="72"/>
      <c r="H845" s="72"/>
      <c r="I845" s="72"/>
      <c r="J845" s="72"/>
      <c r="K845" s="72"/>
      <c r="L845" s="72"/>
      <c r="M845" s="72"/>
      <c r="N845" s="72"/>
      <c r="O845" s="72"/>
      <c r="P845" s="72"/>
      <c r="Q845" s="72"/>
      <c r="R845" s="72"/>
      <c r="S845" s="72"/>
      <c r="T845" s="72"/>
      <c r="U845" s="72"/>
      <c r="V845" s="72"/>
      <c r="W845" s="72"/>
      <c r="X845" s="72"/>
      <c r="Y845" s="72"/>
      <c r="Z845" s="72"/>
    </row>
    <row r="846" spans="1:26" x14ac:dyDescent="0.5">
      <c r="A846" s="72"/>
      <c r="B846" s="72"/>
      <c r="C846" s="72"/>
      <c r="D846" s="72"/>
      <c r="E846" s="72"/>
      <c r="F846" s="72"/>
      <c r="G846" s="72"/>
      <c r="H846" s="72"/>
      <c r="I846" s="72"/>
      <c r="J846" s="72"/>
      <c r="K846" s="72"/>
      <c r="L846" s="72"/>
      <c r="M846" s="72"/>
      <c r="N846" s="72"/>
      <c r="O846" s="72"/>
      <c r="P846" s="72"/>
      <c r="Q846" s="72"/>
      <c r="R846" s="72"/>
      <c r="S846" s="72"/>
      <c r="T846" s="72"/>
      <c r="U846" s="72"/>
      <c r="V846" s="72"/>
      <c r="W846" s="72"/>
      <c r="X846" s="72"/>
      <c r="Y846" s="72"/>
      <c r="Z846" s="72"/>
    </row>
    <row r="847" spans="1:26" x14ac:dyDescent="0.5">
      <c r="A847" s="72"/>
      <c r="B847" s="72"/>
      <c r="C847" s="72"/>
      <c r="D847" s="72"/>
      <c r="E847" s="72"/>
      <c r="F847" s="72"/>
      <c r="G847" s="72"/>
      <c r="H847" s="72"/>
      <c r="I847" s="72"/>
      <c r="J847" s="72"/>
      <c r="K847" s="72"/>
      <c r="L847" s="72"/>
      <c r="M847" s="72"/>
      <c r="N847" s="72"/>
      <c r="O847" s="72"/>
      <c r="P847" s="72"/>
      <c r="Q847" s="72"/>
      <c r="R847" s="72"/>
      <c r="S847" s="72"/>
      <c r="T847" s="72"/>
      <c r="U847" s="72"/>
      <c r="V847" s="72"/>
      <c r="W847" s="72"/>
      <c r="X847" s="72"/>
      <c r="Y847" s="72"/>
      <c r="Z847" s="72"/>
    </row>
    <row r="848" spans="1:26" x14ac:dyDescent="0.5">
      <c r="A848" s="72"/>
      <c r="B848" s="72"/>
      <c r="C848" s="72"/>
      <c r="D848" s="72"/>
      <c r="E848" s="72"/>
      <c r="F848" s="72"/>
      <c r="G848" s="72"/>
      <c r="H848" s="72"/>
      <c r="I848" s="72"/>
      <c r="J848" s="72"/>
      <c r="K848" s="72"/>
      <c r="L848" s="72"/>
      <c r="M848" s="72"/>
      <c r="N848" s="72"/>
      <c r="O848" s="72"/>
      <c r="P848" s="72"/>
      <c r="Q848" s="72"/>
      <c r="R848" s="72"/>
      <c r="S848" s="72"/>
      <c r="T848" s="72"/>
      <c r="U848" s="72"/>
      <c r="V848" s="72"/>
      <c r="W848" s="72"/>
      <c r="X848" s="72"/>
      <c r="Y848" s="72"/>
      <c r="Z848" s="72"/>
    </row>
    <row r="849" spans="1:26" x14ac:dyDescent="0.5">
      <c r="A849" s="72"/>
      <c r="B849" s="72"/>
      <c r="C849" s="72"/>
      <c r="D849" s="72"/>
      <c r="E849" s="72"/>
      <c r="F849" s="72"/>
      <c r="G849" s="72"/>
      <c r="H849" s="72"/>
      <c r="I849" s="72"/>
      <c r="J849" s="72"/>
      <c r="K849" s="72"/>
      <c r="L849" s="72"/>
      <c r="M849" s="72"/>
      <c r="N849" s="72"/>
      <c r="O849" s="72"/>
      <c r="P849" s="72"/>
      <c r="Q849" s="72"/>
      <c r="R849" s="72"/>
      <c r="S849" s="72"/>
      <c r="T849" s="72"/>
      <c r="U849" s="72"/>
      <c r="V849" s="72"/>
      <c r="W849" s="72"/>
      <c r="X849" s="72"/>
      <c r="Y849" s="72"/>
      <c r="Z849" s="72"/>
    </row>
    <row r="850" spans="1:26" x14ac:dyDescent="0.5">
      <c r="A850" s="72"/>
      <c r="B850" s="72"/>
      <c r="C850" s="72"/>
      <c r="D850" s="72"/>
      <c r="E850" s="72"/>
      <c r="F850" s="72"/>
      <c r="G850" s="72"/>
      <c r="H850" s="72"/>
      <c r="I850" s="72"/>
      <c r="J850" s="72"/>
      <c r="K850" s="72"/>
      <c r="L850" s="72"/>
      <c r="M850" s="72"/>
      <c r="N850" s="72"/>
      <c r="O850" s="72"/>
      <c r="P850" s="72"/>
      <c r="Q850" s="72"/>
      <c r="R850" s="72"/>
      <c r="S850" s="72"/>
      <c r="T850" s="72"/>
      <c r="U850" s="72"/>
      <c r="V850" s="72"/>
      <c r="W850" s="72"/>
      <c r="X850" s="72"/>
      <c r="Y850" s="72"/>
      <c r="Z850" s="72"/>
    </row>
    <row r="851" spans="1:26" x14ac:dyDescent="0.5">
      <c r="A851" s="72"/>
      <c r="B851" s="72"/>
      <c r="C851" s="72"/>
      <c r="D851" s="72"/>
      <c r="E851" s="72"/>
      <c r="F851" s="72"/>
      <c r="G851" s="72"/>
      <c r="H851" s="72"/>
      <c r="I851" s="72"/>
      <c r="J851" s="72"/>
      <c r="K851" s="72"/>
      <c r="L851" s="72"/>
      <c r="M851" s="72"/>
      <c r="N851" s="72"/>
      <c r="O851" s="72"/>
      <c r="P851" s="72"/>
      <c r="Q851" s="72"/>
      <c r="R851" s="72"/>
      <c r="S851" s="72"/>
      <c r="T851" s="72"/>
      <c r="U851" s="72"/>
      <c r="V851" s="72"/>
      <c r="W851" s="72"/>
      <c r="X851" s="72"/>
      <c r="Y851" s="72"/>
      <c r="Z851" s="72"/>
    </row>
    <row r="852" spans="1:26" x14ac:dyDescent="0.5">
      <c r="A852" s="72"/>
      <c r="B852" s="72"/>
      <c r="C852" s="72"/>
      <c r="D852" s="72"/>
      <c r="E852" s="72"/>
      <c r="F852" s="72"/>
      <c r="G852" s="72"/>
      <c r="H852" s="72"/>
      <c r="I852" s="72"/>
      <c r="J852" s="72"/>
      <c r="K852" s="72"/>
      <c r="L852" s="72"/>
      <c r="M852" s="72"/>
      <c r="N852" s="72"/>
      <c r="O852" s="72"/>
      <c r="P852" s="72"/>
      <c r="Q852" s="72"/>
      <c r="R852" s="72"/>
      <c r="S852" s="72"/>
      <c r="T852" s="72"/>
      <c r="U852" s="72"/>
      <c r="V852" s="72"/>
      <c r="W852" s="72"/>
      <c r="X852" s="72"/>
      <c r="Y852" s="72"/>
      <c r="Z852" s="72"/>
    </row>
    <row r="853" spans="1:26" x14ac:dyDescent="0.5">
      <c r="A853" s="72"/>
      <c r="B853" s="72"/>
      <c r="C853" s="72"/>
      <c r="D853" s="72"/>
      <c r="E853" s="72"/>
      <c r="F853" s="72"/>
      <c r="G853" s="72"/>
      <c r="H853" s="72"/>
      <c r="I853" s="72"/>
      <c r="J853" s="72"/>
      <c r="K853" s="72"/>
      <c r="L853" s="72"/>
      <c r="M853" s="72"/>
      <c r="N853" s="72"/>
      <c r="O853" s="72"/>
      <c r="P853" s="72"/>
      <c r="Q853" s="72"/>
      <c r="R853" s="72"/>
      <c r="S853" s="72"/>
      <c r="T853" s="72"/>
      <c r="U853" s="72"/>
      <c r="V853" s="72"/>
      <c r="W853" s="72"/>
      <c r="X853" s="72"/>
      <c r="Y853" s="72"/>
      <c r="Z853" s="72"/>
    </row>
    <row r="854" spans="1:26" x14ac:dyDescent="0.5">
      <c r="A854" s="72"/>
      <c r="B854" s="72"/>
      <c r="C854" s="72"/>
      <c r="D854" s="72"/>
      <c r="E854" s="72"/>
      <c r="F854" s="72"/>
      <c r="G854" s="72"/>
      <c r="H854" s="72"/>
      <c r="I854" s="72"/>
      <c r="J854" s="72"/>
      <c r="K854" s="72"/>
      <c r="L854" s="72"/>
      <c r="M854" s="72"/>
      <c r="N854" s="72"/>
      <c r="O854" s="72"/>
      <c r="P854" s="72"/>
      <c r="Q854" s="72"/>
      <c r="R854" s="72"/>
      <c r="S854" s="72"/>
      <c r="T854" s="72"/>
      <c r="U854" s="72"/>
      <c r="V854" s="72"/>
      <c r="W854" s="72"/>
      <c r="X854" s="72"/>
      <c r="Y854" s="72"/>
      <c r="Z854" s="72"/>
    </row>
    <row r="855" spans="1:26" x14ac:dyDescent="0.5">
      <c r="A855" s="72"/>
      <c r="B855" s="72"/>
      <c r="C855" s="72"/>
      <c r="D855" s="72"/>
      <c r="E855" s="72"/>
      <c r="F855" s="72"/>
      <c r="G855" s="72"/>
      <c r="H855" s="72"/>
      <c r="I855" s="72"/>
      <c r="J855" s="72"/>
      <c r="K855" s="72"/>
      <c r="L855" s="72"/>
      <c r="M855" s="72"/>
      <c r="N855" s="72"/>
      <c r="O855" s="72"/>
      <c r="P855" s="72"/>
      <c r="Q855" s="72"/>
      <c r="R855" s="72"/>
      <c r="S855" s="72"/>
      <c r="T855" s="72"/>
      <c r="U855" s="72"/>
      <c r="V855" s="72"/>
      <c r="W855" s="72"/>
      <c r="X855" s="72"/>
      <c r="Y855" s="72"/>
      <c r="Z855" s="72"/>
    </row>
    <row r="856" spans="1:26" x14ac:dyDescent="0.5">
      <c r="A856" s="72"/>
      <c r="B856" s="72"/>
      <c r="C856" s="72"/>
      <c r="D856" s="72"/>
      <c r="E856" s="72"/>
      <c r="F856" s="72"/>
      <c r="G856" s="72"/>
      <c r="H856" s="72"/>
      <c r="I856" s="72"/>
      <c r="J856" s="72"/>
      <c r="K856" s="72"/>
      <c r="L856" s="72"/>
      <c r="M856" s="72"/>
      <c r="N856" s="72"/>
      <c r="O856" s="72"/>
      <c r="P856" s="72"/>
      <c r="Q856" s="72"/>
      <c r="R856" s="72"/>
      <c r="S856" s="72"/>
      <c r="T856" s="72"/>
      <c r="U856" s="72"/>
      <c r="V856" s="72"/>
      <c r="W856" s="72"/>
      <c r="X856" s="72"/>
      <c r="Y856" s="72"/>
      <c r="Z856" s="72"/>
    </row>
    <row r="857" spans="1:26" x14ac:dyDescent="0.5">
      <c r="A857" s="72"/>
      <c r="B857" s="72"/>
      <c r="C857" s="72"/>
      <c r="D857" s="72"/>
      <c r="E857" s="72"/>
      <c r="F857" s="72"/>
      <c r="G857" s="72"/>
      <c r="H857" s="72"/>
      <c r="I857" s="72"/>
      <c r="J857" s="72"/>
      <c r="K857" s="72"/>
      <c r="L857" s="72"/>
      <c r="M857" s="72"/>
      <c r="N857" s="72"/>
      <c r="O857" s="72"/>
      <c r="P857" s="72"/>
      <c r="Q857" s="72"/>
      <c r="R857" s="72"/>
      <c r="S857" s="72"/>
      <c r="T857" s="72"/>
      <c r="U857" s="72"/>
      <c r="V857" s="72"/>
      <c r="W857" s="72"/>
      <c r="X857" s="72"/>
      <c r="Y857" s="72"/>
      <c r="Z857" s="72"/>
    </row>
    <row r="858" spans="1:26" x14ac:dyDescent="0.5">
      <c r="A858" s="72"/>
      <c r="B858" s="72"/>
      <c r="C858" s="72"/>
      <c r="D858" s="72"/>
      <c r="E858" s="72"/>
      <c r="F858" s="72"/>
      <c r="G858" s="72"/>
      <c r="H858" s="72"/>
      <c r="I858" s="72"/>
      <c r="J858" s="72"/>
      <c r="K858" s="72"/>
      <c r="L858" s="72"/>
      <c r="M858" s="72"/>
      <c r="N858" s="72"/>
      <c r="O858" s="72"/>
      <c r="P858" s="72"/>
      <c r="Q858" s="72"/>
      <c r="R858" s="72"/>
      <c r="S858" s="72"/>
      <c r="T858" s="72"/>
      <c r="U858" s="72"/>
      <c r="V858" s="72"/>
      <c r="W858" s="72"/>
      <c r="X858" s="72"/>
      <c r="Y858" s="72"/>
      <c r="Z858" s="72"/>
    </row>
    <row r="859" spans="1:26" x14ac:dyDescent="0.5">
      <c r="A859" s="72"/>
      <c r="B859" s="72"/>
      <c r="C859" s="72"/>
      <c r="D859" s="72"/>
      <c r="E859" s="72"/>
      <c r="F859" s="72"/>
      <c r="G859" s="72"/>
      <c r="H859" s="72"/>
      <c r="I859" s="72"/>
      <c r="J859" s="72"/>
      <c r="K859" s="72"/>
      <c r="L859" s="72"/>
      <c r="M859" s="72"/>
      <c r="N859" s="72"/>
      <c r="O859" s="72"/>
      <c r="P859" s="72"/>
      <c r="Q859" s="72"/>
      <c r="R859" s="72"/>
      <c r="S859" s="72"/>
      <c r="T859" s="72"/>
      <c r="U859" s="72"/>
      <c r="V859" s="72"/>
      <c r="W859" s="72"/>
      <c r="X859" s="72"/>
      <c r="Y859" s="72"/>
      <c r="Z859" s="72"/>
    </row>
    <row r="860" spans="1:26" x14ac:dyDescent="0.5">
      <c r="A860" s="72"/>
      <c r="B860" s="72"/>
      <c r="C860" s="72"/>
      <c r="D860" s="72"/>
      <c r="E860" s="72"/>
      <c r="F860" s="72"/>
      <c r="G860" s="72"/>
      <c r="H860" s="72"/>
      <c r="I860" s="72"/>
      <c r="J860" s="72"/>
      <c r="K860" s="72"/>
      <c r="L860" s="72"/>
      <c r="M860" s="72"/>
      <c r="N860" s="72"/>
      <c r="O860" s="72"/>
      <c r="P860" s="72"/>
      <c r="Q860" s="72"/>
      <c r="R860" s="72"/>
      <c r="S860" s="72"/>
      <c r="T860" s="72"/>
      <c r="U860" s="72"/>
      <c r="V860" s="72"/>
      <c r="W860" s="72"/>
      <c r="X860" s="72"/>
      <c r="Y860" s="72"/>
      <c r="Z860" s="72"/>
    </row>
    <row r="861" spans="1:26" x14ac:dyDescent="0.5">
      <c r="A861" s="72"/>
      <c r="B861" s="72"/>
      <c r="C861" s="72"/>
      <c r="D861" s="72"/>
      <c r="E861" s="72"/>
      <c r="F861" s="72"/>
      <c r="G861" s="72"/>
      <c r="H861" s="72"/>
      <c r="I861" s="72"/>
      <c r="J861" s="72"/>
      <c r="K861" s="72"/>
      <c r="L861" s="72"/>
      <c r="M861" s="72"/>
      <c r="N861" s="72"/>
      <c r="O861" s="72"/>
      <c r="P861" s="72"/>
      <c r="Q861" s="72"/>
      <c r="R861" s="72"/>
      <c r="S861" s="72"/>
      <c r="T861" s="72"/>
      <c r="U861" s="72"/>
      <c r="V861" s="72"/>
      <c r="W861" s="72"/>
      <c r="X861" s="72"/>
      <c r="Y861" s="72"/>
      <c r="Z861" s="72"/>
    </row>
    <row r="862" spans="1:26" x14ac:dyDescent="0.5">
      <c r="A862" s="72"/>
      <c r="B862" s="72"/>
      <c r="C862" s="72"/>
      <c r="D862" s="72"/>
      <c r="E862" s="72"/>
      <c r="F862" s="72"/>
      <c r="G862" s="72"/>
      <c r="H862" s="72"/>
      <c r="I862" s="72"/>
      <c r="J862" s="72"/>
      <c r="K862" s="72"/>
      <c r="L862" s="72"/>
      <c r="M862" s="72"/>
      <c r="N862" s="72"/>
      <c r="O862" s="72"/>
      <c r="P862" s="72"/>
      <c r="Q862" s="72"/>
      <c r="R862" s="72"/>
      <c r="S862" s="72"/>
      <c r="T862" s="72"/>
      <c r="U862" s="72"/>
      <c r="V862" s="72"/>
      <c r="W862" s="72"/>
      <c r="X862" s="72"/>
      <c r="Y862" s="72"/>
      <c r="Z862" s="72"/>
    </row>
    <row r="863" spans="1:26" x14ac:dyDescent="0.5">
      <c r="A863" s="72"/>
      <c r="B863" s="72"/>
      <c r="C863" s="72"/>
      <c r="D863" s="72"/>
      <c r="E863" s="72"/>
      <c r="F863" s="72"/>
      <c r="G863" s="72"/>
      <c r="H863" s="72"/>
      <c r="I863" s="72"/>
      <c r="J863" s="72"/>
      <c r="K863" s="72"/>
      <c r="L863" s="72"/>
      <c r="M863" s="72"/>
      <c r="N863" s="72"/>
      <c r="O863" s="72"/>
      <c r="P863" s="72"/>
      <c r="Q863" s="72"/>
      <c r="R863" s="72"/>
      <c r="S863" s="72"/>
      <c r="T863" s="72"/>
      <c r="U863" s="72"/>
      <c r="V863" s="72"/>
      <c r="W863" s="72"/>
      <c r="X863" s="72"/>
      <c r="Y863" s="72"/>
      <c r="Z863" s="72"/>
    </row>
    <row r="864" spans="1:26" x14ac:dyDescent="0.5">
      <c r="A864" s="72"/>
      <c r="B864" s="72"/>
      <c r="C864" s="72"/>
      <c r="D864" s="72"/>
      <c r="E864" s="72"/>
      <c r="F864" s="72"/>
      <c r="G864" s="72"/>
      <c r="H864" s="72"/>
      <c r="I864" s="72"/>
      <c r="J864" s="72"/>
      <c r="K864" s="72"/>
      <c r="L864" s="72"/>
      <c r="M864" s="72"/>
      <c r="N864" s="72"/>
      <c r="O864" s="72"/>
      <c r="P864" s="72"/>
      <c r="Q864" s="72"/>
      <c r="R864" s="72"/>
      <c r="S864" s="72"/>
      <c r="T864" s="72"/>
      <c r="U864" s="72"/>
      <c r="V864" s="72"/>
      <c r="W864" s="72"/>
      <c r="X864" s="72"/>
      <c r="Y864" s="72"/>
      <c r="Z864" s="72"/>
    </row>
    <row r="865" spans="1:26" x14ac:dyDescent="0.5">
      <c r="A865" s="72"/>
      <c r="B865" s="72"/>
      <c r="C865" s="72"/>
      <c r="D865" s="72"/>
      <c r="E865" s="72"/>
      <c r="F865" s="72"/>
      <c r="G865" s="72"/>
      <c r="H865" s="72"/>
      <c r="I865" s="72"/>
      <c r="J865" s="72"/>
      <c r="K865" s="72"/>
      <c r="L865" s="72"/>
      <c r="M865" s="72"/>
      <c r="N865" s="72"/>
      <c r="O865" s="72"/>
      <c r="P865" s="72"/>
      <c r="Q865" s="72"/>
      <c r="R865" s="72"/>
      <c r="S865" s="72"/>
      <c r="T865" s="72"/>
      <c r="U865" s="72"/>
      <c r="V865" s="72"/>
      <c r="W865" s="72"/>
      <c r="X865" s="72"/>
      <c r="Y865" s="72"/>
      <c r="Z865" s="72"/>
    </row>
    <row r="866" spans="1:26" x14ac:dyDescent="0.5">
      <c r="A866" s="72"/>
      <c r="B866" s="72"/>
      <c r="C866" s="72"/>
      <c r="D866" s="72"/>
      <c r="E866" s="72"/>
      <c r="F866" s="72"/>
      <c r="G866" s="72"/>
      <c r="H866" s="72"/>
      <c r="I866" s="72"/>
      <c r="J866" s="72"/>
      <c r="K866" s="72"/>
      <c r="L866" s="72"/>
      <c r="M866" s="72"/>
      <c r="N866" s="72"/>
      <c r="O866" s="72"/>
      <c r="P866" s="72"/>
      <c r="Q866" s="72"/>
      <c r="R866" s="72"/>
      <c r="S866" s="72"/>
      <c r="T866" s="72"/>
      <c r="U866" s="72"/>
      <c r="V866" s="72"/>
      <c r="W866" s="72"/>
      <c r="X866" s="72"/>
      <c r="Y866" s="72"/>
      <c r="Z866" s="72"/>
    </row>
    <row r="867" spans="1:26" x14ac:dyDescent="0.5">
      <c r="A867" s="72"/>
      <c r="B867" s="72"/>
      <c r="C867" s="72"/>
      <c r="D867" s="72"/>
      <c r="E867" s="72"/>
      <c r="F867" s="72"/>
      <c r="G867" s="72"/>
      <c r="H867" s="72"/>
      <c r="I867" s="72"/>
      <c r="J867" s="72"/>
      <c r="K867" s="72"/>
      <c r="L867" s="72"/>
      <c r="M867" s="72"/>
      <c r="N867" s="72"/>
      <c r="O867" s="72"/>
      <c r="P867" s="72"/>
      <c r="Q867" s="72"/>
      <c r="R867" s="72"/>
      <c r="S867" s="72"/>
      <c r="T867" s="72"/>
      <c r="U867" s="72"/>
      <c r="V867" s="72"/>
      <c r="W867" s="72"/>
      <c r="X867" s="72"/>
      <c r="Y867" s="72"/>
      <c r="Z867" s="72"/>
    </row>
    <row r="868" spans="1:26" x14ac:dyDescent="0.5">
      <c r="A868" s="72"/>
      <c r="B868" s="72"/>
      <c r="C868" s="72"/>
      <c r="D868" s="72"/>
      <c r="E868" s="72"/>
      <c r="F868" s="72"/>
      <c r="G868" s="72"/>
      <c r="H868" s="72"/>
      <c r="I868" s="72"/>
      <c r="J868" s="72"/>
      <c r="K868" s="72"/>
      <c r="L868" s="72"/>
      <c r="M868" s="72"/>
      <c r="N868" s="72"/>
      <c r="O868" s="72"/>
      <c r="P868" s="72"/>
      <c r="Q868" s="72"/>
      <c r="R868" s="72"/>
      <c r="S868" s="72"/>
      <c r="T868" s="72"/>
      <c r="U868" s="72"/>
      <c r="V868" s="72"/>
      <c r="W868" s="72"/>
      <c r="X868" s="72"/>
      <c r="Y868" s="72"/>
      <c r="Z868" s="72"/>
    </row>
    <row r="869" spans="1:26" x14ac:dyDescent="0.5">
      <c r="A869" s="72"/>
      <c r="B869" s="72"/>
      <c r="C869" s="72"/>
      <c r="D869" s="72"/>
      <c r="E869" s="72"/>
      <c r="F869" s="72"/>
      <c r="G869" s="72"/>
      <c r="H869" s="72"/>
      <c r="I869" s="72"/>
      <c r="J869" s="72"/>
      <c r="K869" s="72"/>
      <c r="L869" s="72"/>
      <c r="M869" s="72"/>
      <c r="N869" s="72"/>
      <c r="O869" s="72"/>
      <c r="P869" s="72"/>
      <c r="Q869" s="72"/>
      <c r="R869" s="72"/>
      <c r="S869" s="72"/>
      <c r="T869" s="72"/>
      <c r="U869" s="72"/>
      <c r="V869" s="72"/>
      <c r="W869" s="72"/>
      <c r="X869" s="72"/>
      <c r="Y869" s="72"/>
      <c r="Z869" s="72"/>
    </row>
    <row r="870" spans="1:26" x14ac:dyDescent="0.5">
      <c r="A870" s="72"/>
      <c r="B870" s="72"/>
      <c r="C870" s="72"/>
      <c r="D870" s="72"/>
      <c r="E870" s="72"/>
      <c r="F870" s="72"/>
      <c r="G870" s="72"/>
      <c r="H870" s="72"/>
      <c r="I870" s="72"/>
      <c r="J870" s="72"/>
      <c r="K870" s="72"/>
      <c r="L870" s="72"/>
      <c r="M870" s="72"/>
      <c r="N870" s="72"/>
      <c r="O870" s="72"/>
      <c r="P870" s="72"/>
      <c r="Q870" s="72"/>
      <c r="R870" s="72"/>
      <c r="S870" s="72"/>
      <c r="T870" s="72"/>
      <c r="U870" s="72"/>
      <c r="V870" s="72"/>
      <c r="W870" s="72"/>
      <c r="X870" s="72"/>
      <c r="Y870" s="72"/>
      <c r="Z870" s="72"/>
    </row>
    <row r="871" spans="1:26" x14ac:dyDescent="0.5">
      <c r="A871" s="72"/>
      <c r="B871" s="72"/>
      <c r="C871" s="72"/>
      <c r="D871" s="72"/>
      <c r="E871" s="72"/>
      <c r="F871" s="72"/>
      <c r="G871" s="72"/>
      <c r="H871" s="72"/>
      <c r="I871" s="72"/>
      <c r="J871" s="72"/>
      <c r="K871" s="72"/>
      <c r="L871" s="72"/>
      <c r="M871" s="72"/>
      <c r="N871" s="72"/>
      <c r="O871" s="72"/>
      <c r="P871" s="72"/>
      <c r="Q871" s="72"/>
      <c r="R871" s="72"/>
      <c r="S871" s="72"/>
      <c r="T871" s="72"/>
      <c r="U871" s="72"/>
      <c r="V871" s="72"/>
      <c r="W871" s="72"/>
      <c r="X871" s="72"/>
      <c r="Y871" s="72"/>
      <c r="Z871" s="72"/>
    </row>
    <row r="872" spans="1:26" x14ac:dyDescent="0.5">
      <c r="A872" s="72"/>
      <c r="B872" s="72"/>
      <c r="C872" s="72"/>
      <c r="D872" s="72"/>
      <c r="E872" s="72"/>
      <c r="F872" s="72"/>
      <c r="G872" s="72"/>
      <c r="H872" s="72"/>
      <c r="I872" s="72"/>
      <c r="J872" s="72"/>
      <c r="K872" s="72"/>
      <c r="L872" s="72"/>
      <c r="M872" s="72"/>
      <c r="N872" s="72"/>
      <c r="O872" s="72"/>
      <c r="P872" s="72"/>
      <c r="Q872" s="72"/>
      <c r="R872" s="72"/>
      <c r="S872" s="72"/>
      <c r="T872" s="72"/>
      <c r="U872" s="72"/>
      <c r="V872" s="72"/>
      <c r="W872" s="72"/>
      <c r="X872" s="72"/>
      <c r="Y872" s="72"/>
      <c r="Z872" s="72"/>
    </row>
    <row r="873" spans="1:26" x14ac:dyDescent="0.5">
      <c r="A873" s="72"/>
      <c r="B873" s="72"/>
      <c r="C873" s="72"/>
      <c r="D873" s="72"/>
      <c r="E873" s="72"/>
      <c r="F873" s="72"/>
      <c r="G873" s="72"/>
      <c r="H873" s="72"/>
      <c r="I873" s="72"/>
      <c r="J873" s="72"/>
      <c r="K873" s="72"/>
      <c r="L873" s="72"/>
      <c r="M873" s="72"/>
      <c r="N873" s="72"/>
      <c r="O873" s="72"/>
      <c r="P873" s="72"/>
      <c r="Q873" s="72"/>
      <c r="R873" s="72"/>
      <c r="S873" s="72"/>
      <c r="T873" s="72"/>
      <c r="U873" s="72"/>
      <c r="V873" s="72"/>
      <c r="W873" s="72"/>
      <c r="X873" s="72"/>
      <c r="Y873" s="72"/>
      <c r="Z873" s="72"/>
    </row>
    <row r="874" spans="1:26" x14ac:dyDescent="0.5">
      <c r="A874" s="72"/>
      <c r="B874" s="72"/>
      <c r="C874" s="72"/>
      <c r="D874" s="72"/>
      <c r="E874" s="72"/>
      <c r="F874" s="72"/>
      <c r="G874" s="72"/>
      <c r="H874" s="72"/>
      <c r="I874" s="72"/>
      <c r="J874" s="72"/>
      <c r="K874" s="72"/>
      <c r="L874" s="72"/>
      <c r="M874" s="72"/>
      <c r="N874" s="72"/>
      <c r="O874" s="72"/>
      <c r="P874" s="72"/>
      <c r="Q874" s="72"/>
      <c r="R874" s="72"/>
      <c r="S874" s="72"/>
      <c r="T874" s="72"/>
      <c r="U874" s="72"/>
      <c r="V874" s="72"/>
      <c r="W874" s="72"/>
      <c r="X874" s="72"/>
      <c r="Y874" s="72"/>
      <c r="Z874" s="72"/>
    </row>
    <row r="875" spans="1:26" x14ac:dyDescent="0.5">
      <c r="A875" s="72"/>
      <c r="B875" s="72"/>
      <c r="C875" s="72"/>
      <c r="D875" s="72"/>
      <c r="E875" s="72"/>
      <c r="F875" s="72"/>
      <c r="G875" s="72"/>
      <c r="H875" s="72"/>
      <c r="I875" s="72"/>
      <c r="J875" s="72"/>
      <c r="K875" s="72"/>
      <c r="L875" s="72"/>
      <c r="M875" s="72"/>
      <c r="N875" s="72"/>
      <c r="O875" s="72"/>
      <c r="P875" s="72"/>
      <c r="Q875" s="72"/>
      <c r="R875" s="72"/>
      <c r="S875" s="72"/>
      <c r="T875" s="72"/>
      <c r="U875" s="72"/>
      <c r="V875" s="72"/>
      <c r="W875" s="72"/>
      <c r="X875" s="72"/>
      <c r="Y875" s="72"/>
      <c r="Z875" s="72"/>
    </row>
    <row r="876" spans="1:26" x14ac:dyDescent="0.5">
      <c r="A876" s="72"/>
      <c r="B876" s="72"/>
      <c r="C876" s="72"/>
      <c r="D876" s="72"/>
      <c r="E876" s="72"/>
      <c r="F876" s="72"/>
      <c r="G876" s="72"/>
      <c r="H876" s="72"/>
      <c r="I876" s="72"/>
      <c r="J876" s="72"/>
      <c r="K876" s="72"/>
      <c r="L876" s="72"/>
      <c r="M876" s="72"/>
      <c r="N876" s="72"/>
      <c r="O876" s="72"/>
      <c r="P876" s="72"/>
      <c r="Q876" s="72"/>
      <c r="R876" s="72"/>
      <c r="S876" s="72"/>
      <c r="T876" s="72"/>
      <c r="U876" s="72"/>
      <c r="V876" s="72"/>
      <c r="W876" s="72"/>
      <c r="X876" s="72"/>
      <c r="Y876" s="72"/>
      <c r="Z876" s="72"/>
    </row>
    <row r="877" spans="1:26" x14ac:dyDescent="0.5">
      <c r="A877" s="72"/>
      <c r="B877" s="72"/>
      <c r="C877" s="72"/>
      <c r="D877" s="72"/>
      <c r="E877" s="72"/>
      <c r="F877" s="72"/>
      <c r="G877" s="72"/>
      <c r="H877" s="72"/>
      <c r="I877" s="72"/>
      <c r="J877" s="72"/>
      <c r="K877" s="72"/>
      <c r="L877" s="72"/>
      <c r="M877" s="72"/>
      <c r="N877" s="72"/>
      <c r="O877" s="72"/>
      <c r="P877" s="72"/>
      <c r="Q877" s="72"/>
      <c r="R877" s="72"/>
      <c r="S877" s="72"/>
      <c r="T877" s="72"/>
      <c r="U877" s="72"/>
      <c r="V877" s="72"/>
      <c r="W877" s="72"/>
      <c r="X877" s="72"/>
      <c r="Y877" s="72"/>
      <c r="Z877" s="72"/>
    </row>
    <row r="878" spans="1:26" x14ac:dyDescent="0.5">
      <c r="A878" s="72"/>
      <c r="B878" s="72"/>
      <c r="C878" s="72"/>
      <c r="D878" s="72"/>
      <c r="E878" s="72"/>
      <c r="F878" s="72"/>
      <c r="G878" s="72"/>
      <c r="H878" s="72"/>
      <c r="I878" s="72"/>
      <c r="J878" s="72"/>
      <c r="K878" s="72"/>
      <c r="L878" s="72"/>
      <c r="M878" s="72"/>
      <c r="N878" s="72"/>
      <c r="O878" s="72"/>
      <c r="P878" s="72"/>
      <c r="Q878" s="72"/>
      <c r="R878" s="72"/>
      <c r="S878" s="72"/>
      <c r="T878" s="72"/>
      <c r="U878" s="72"/>
      <c r="V878" s="72"/>
      <c r="W878" s="72"/>
      <c r="X878" s="72"/>
      <c r="Y878" s="72"/>
      <c r="Z878" s="72"/>
    </row>
    <row r="879" spans="1:26" x14ac:dyDescent="0.5">
      <c r="A879" s="72"/>
      <c r="B879" s="72"/>
      <c r="C879" s="72"/>
      <c r="D879" s="72"/>
      <c r="E879" s="72"/>
      <c r="F879" s="72"/>
      <c r="G879" s="72"/>
      <c r="H879" s="72"/>
      <c r="I879" s="72"/>
      <c r="J879" s="72"/>
      <c r="K879" s="72"/>
      <c r="L879" s="72"/>
      <c r="M879" s="72"/>
      <c r="N879" s="72"/>
      <c r="O879" s="72"/>
      <c r="P879" s="72"/>
      <c r="Q879" s="72"/>
      <c r="R879" s="72"/>
      <c r="S879" s="72"/>
      <c r="T879" s="72"/>
      <c r="U879" s="72"/>
      <c r="V879" s="72"/>
      <c r="W879" s="72"/>
      <c r="X879" s="72"/>
      <c r="Y879" s="72"/>
      <c r="Z879" s="72"/>
    </row>
    <row r="880" spans="1:26" x14ac:dyDescent="0.5">
      <c r="A880" s="72"/>
      <c r="B880" s="72"/>
      <c r="C880" s="72"/>
      <c r="D880" s="72"/>
      <c r="E880" s="72"/>
      <c r="F880" s="72"/>
      <c r="G880" s="72"/>
      <c r="H880" s="72"/>
      <c r="I880" s="72"/>
      <c r="J880" s="72"/>
      <c r="K880" s="72"/>
      <c r="L880" s="72"/>
      <c r="M880" s="72"/>
      <c r="N880" s="72"/>
      <c r="O880" s="72"/>
      <c r="P880" s="72"/>
      <c r="Q880" s="72"/>
      <c r="R880" s="72"/>
      <c r="S880" s="72"/>
      <c r="T880" s="72"/>
      <c r="U880" s="72"/>
      <c r="V880" s="72"/>
      <c r="W880" s="72"/>
      <c r="X880" s="72"/>
      <c r="Y880" s="72"/>
      <c r="Z880" s="72"/>
    </row>
    <row r="881" spans="1:26" x14ac:dyDescent="0.5">
      <c r="A881" s="72"/>
      <c r="B881" s="72"/>
      <c r="C881" s="72"/>
      <c r="D881" s="72"/>
      <c r="E881" s="72"/>
      <c r="F881" s="72"/>
      <c r="G881" s="72"/>
      <c r="H881" s="72"/>
      <c r="I881" s="72"/>
      <c r="J881" s="72"/>
      <c r="K881" s="72"/>
      <c r="L881" s="72"/>
      <c r="M881" s="72"/>
      <c r="N881" s="72"/>
      <c r="O881" s="72"/>
      <c r="P881" s="72"/>
      <c r="Q881" s="72"/>
      <c r="R881" s="72"/>
      <c r="S881" s="72"/>
      <c r="T881" s="72"/>
      <c r="U881" s="72"/>
      <c r="V881" s="72"/>
      <c r="W881" s="72"/>
      <c r="X881" s="72"/>
      <c r="Y881" s="72"/>
      <c r="Z881" s="72"/>
    </row>
    <row r="882" spans="1:26" x14ac:dyDescent="0.5">
      <c r="A882" s="72"/>
      <c r="B882" s="72"/>
      <c r="C882" s="72"/>
      <c r="D882" s="72"/>
      <c r="E882" s="72"/>
      <c r="F882" s="72"/>
      <c r="G882" s="72"/>
      <c r="H882" s="72"/>
      <c r="I882" s="72"/>
      <c r="J882" s="72"/>
      <c r="K882" s="72"/>
      <c r="L882" s="72"/>
      <c r="M882" s="72"/>
      <c r="N882" s="72"/>
      <c r="O882" s="72"/>
      <c r="P882" s="72"/>
      <c r="Q882" s="72"/>
      <c r="R882" s="72"/>
      <c r="S882" s="72"/>
      <c r="T882" s="72"/>
      <c r="U882" s="72"/>
      <c r="V882" s="72"/>
      <c r="W882" s="72"/>
      <c r="X882" s="72"/>
      <c r="Y882" s="72"/>
      <c r="Z882" s="72"/>
    </row>
    <row r="883" spans="1:26" x14ac:dyDescent="0.5">
      <c r="A883" s="72"/>
      <c r="B883" s="72"/>
      <c r="C883" s="72"/>
      <c r="D883" s="72"/>
      <c r="E883" s="72"/>
      <c r="F883" s="72"/>
      <c r="G883" s="72"/>
      <c r="H883" s="72"/>
      <c r="I883" s="72"/>
      <c r="J883" s="72"/>
      <c r="K883" s="72"/>
      <c r="L883" s="72"/>
      <c r="M883" s="72"/>
      <c r="N883" s="72"/>
      <c r="O883" s="72"/>
      <c r="P883" s="72"/>
      <c r="Q883" s="72"/>
      <c r="R883" s="72"/>
      <c r="S883" s="72"/>
      <c r="T883" s="72"/>
      <c r="U883" s="72"/>
      <c r="V883" s="72"/>
      <c r="W883" s="72"/>
      <c r="X883" s="72"/>
      <c r="Y883" s="72"/>
      <c r="Z883" s="72"/>
    </row>
    <row r="884" spans="1:26" x14ac:dyDescent="0.5">
      <c r="A884" s="72"/>
      <c r="B884" s="72"/>
      <c r="C884" s="72"/>
      <c r="D884" s="72"/>
      <c r="E884" s="72"/>
      <c r="F884" s="72"/>
      <c r="G884" s="72"/>
      <c r="H884" s="72"/>
      <c r="I884" s="72"/>
      <c r="J884" s="72"/>
      <c r="K884" s="72"/>
      <c r="L884" s="72"/>
      <c r="M884" s="72"/>
      <c r="N884" s="72"/>
      <c r="O884" s="72"/>
      <c r="P884" s="72"/>
      <c r="Q884" s="72"/>
      <c r="R884" s="72"/>
      <c r="S884" s="72"/>
      <c r="T884" s="72"/>
      <c r="U884" s="72"/>
      <c r="V884" s="72"/>
      <c r="W884" s="72"/>
      <c r="X884" s="72"/>
      <c r="Y884" s="72"/>
      <c r="Z884" s="72"/>
    </row>
    <row r="885" spans="1:26" x14ac:dyDescent="0.5">
      <c r="A885" s="72"/>
      <c r="B885" s="72"/>
      <c r="C885" s="72"/>
      <c r="D885" s="72"/>
      <c r="E885" s="72"/>
      <c r="F885" s="72"/>
      <c r="G885" s="72"/>
      <c r="H885" s="72"/>
      <c r="I885" s="72"/>
      <c r="J885" s="72"/>
      <c r="K885" s="72"/>
      <c r="L885" s="72"/>
      <c r="M885" s="72"/>
      <c r="N885" s="72"/>
      <c r="O885" s="72"/>
      <c r="P885" s="72"/>
      <c r="Q885" s="72"/>
      <c r="R885" s="72"/>
      <c r="S885" s="72"/>
      <c r="T885" s="72"/>
      <c r="U885" s="72"/>
      <c r="V885" s="72"/>
      <c r="W885" s="72"/>
      <c r="X885" s="72"/>
      <c r="Y885" s="72"/>
      <c r="Z885" s="72"/>
    </row>
    <row r="886" spans="1:26" x14ac:dyDescent="0.5">
      <c r="A886" s="72"/>
      <c r="B886" s="72"/>
      <c r="C886" s="72"/>
      <c r="D886" s="72"/>
      <c r="E886" s="72"/>
      <c r="F886" s="72"/>
      <c r="G886" s="72"/>
      <c r="H886" s="72"/>
      <c r="I886" s="72"/>
      <c r="J886" s="72"/>
      <c r="K886" s="72"/>
      <c r="L886" s="72"/>
      <c r="M886" s="72"/>
      <c r="N886" s="72"/>
      <c r="O886" s="72"/>
      <c r="P886" s="72"/>
      <c r="Q886" s="72"/>
      <c r="R886" s="72"/>
      <c r="S886" s="72"/>
      <c r="T886" s="72"/>
      <c r="U886" s="72"/>
      <c r="V886" s="72"/>
      <c r="W886" s="72"/>
      <c r="X886" s="72"/>
      <c r="Y886" s="72"/>
      <c r="Z886" s="72"/>
    </row>
    <row r="887" spans="1:26" x14ac:dyDescent="0.5">
      <c r="A887" s="72"/>
      <c r="B887" s="72"/>
      <c r="C887" s="72"/>
      <c r="D887" s="72"/>
      <c r="E887" s="72"/>
      <c r="F887" s="72"/>
      <c r="G887" s="72"/>
      <c r="H887" s="72"/>
      <c r="I887" s="72"/>
      <c r="J887" s="72"/>
      <c r="K887" s="72"/>
      <c r="L887" s="72"/>
      <c r="M887" s="72"/>
      <c r="N887" s="72"/>
      <c r="O887" s="72"/>
      <c r="P887" s="72"/>
      <c r="Q887" s="72"/>
      <c r="R887" s="72"/>
      <c r="S887" s="72"/>
      <c r="T887" s="72"/>
      <c r="U887" s="72"/>
      <c r="V887" s="72"/>
      <c r="W887" s="72"/>
      <c r="X887" s="72"/>
      <c r="Y887" s="72"/>
      <c r="Z887" s="72"/>
    </row>
    <row r="888" spans="1:26" x14ac:dyDescent="0.5">
      <c r="A888" s="72"/>
      <c r="B888" s="72"/>
      <c r="C888" s="72"/>
      <c r="D888" s="72"/>
      <c r="E888" s="72"/>
      <c r="F888" s="72"/>
      <c r="G888" s="72"/>
      <c r="H888" s="72"/>
      <c r="I888" s="72"/>
      <c r="J888" s="72"/>
      <c r="K888" s="72"/>
      <c r="L888" s="72"/>
      <c r="M888" s="72"/>
      <c r="N888" s="72"/>
      <c r="O888" s="72"/>
      <c r="P888" s="72"/>
      <c r="Q888" s="72"/>
      <c r="R888" s="72"/>
      <c r="S888" s="72"/>
      <c r="T888" s="72"/>
      <c r="U888" s="72"/>
      <c r="V888" s="72"/>
      <c r="W888" s="72"/>
      <c r="X888" s="72"/>
      <c r="Y888" s="72"/>
      <c r="Z888" s="72"/>
    </row>
    <row r="889" spans="1:26" x14ac:dyDescent="0.5">
      <c r="A889" s="72"/>
      <c r="B889" s="72"/>
      <c r="C889" s="72"/>
      <c r="D889" s="72"/>
      <c r="E889" s="72"/>
      <c r="F889" s="72"/>
      <c r="G889" s="72"/>
      <c r="H889" s="72"/>
      <c r="I889" s="72"/>
      <c r="J889" s="72"/>
      <c r="K889" s="72"/>
      <c r="L889" s="72"/>
      <c r="M889" s="72"/>
      <c r="N889" s="72"/>
      <c r="O889" s="72"/>
      <c r="P889" s="72"/>
      <c r="Q889" s="72"/>
      <c r="R889" s="72"/>
      <c r="S889" s="72"/>
      <c r="T889" s="72"/>
      <c r="U889" s="72"/>
      <c r="V889" s="72"/>
      <c r="W889" s="72"/>
      <c r="X889" s="72"/>
      <c r="Y889" s="72"/>
      <c r="Z889" s="72"/>
    </row>
    <row r="890" spans="1:26" x14ac:dyDescent="0.5">
      <c r="A890" s="72"/>
      <c r="B890" s="72"/>
      <c r="C890" s="72"/>
      <c r="D890" s="72"/>
      <c r="E890" s="72"/>
      <c r="F890" s="72"/>
      <c r="G890" s="72"/>
      <c r="H890" s="72"/>
      <c r="I890" s="72"/>
      <c r="J890" s="72"/>
      <c r="K890" s="72"/>
      <c r="L890" s="72"/>
      <c r="M890" s="72"/>
      <c r="N890" s="72"/>
      <c r="O890" s="72"/>
      <c r="P890" s="72"/>
      <c r="Q890" s="72"/>
      <c r="R890" s="72"/>
      <c r="S890" s="72"/>
      <c r="T890" s="72"/>
      <c r="U890" s="72"/>
      <c r="V890" s="72"/>
      <c r="W890" s="72"/>
      <c r="X890" s="72"/>
      <c r="Y890" s="72"/>
      <c r="Z890" s="72"/>
    </row>
    <row r="891" spans="1:26" x14ac:dyDescent="0.5">
      <c r="A891" s="72"/>
      <c r="B891" s="72"/>
      <c r="C891" s="72"/>
      <c r="D891" s="72"/>
      <c r="E891" s="72"/>
      <c r="F891" s="72"/>
      <c r="G891" s="72"/>
      <c r="H891" s="72"/>
      <c r="I891" s="72"/>
      <c r="J891" s="72"/>
      <c r="K891" s="72"/>
      <c r="L891" s="72"/>
      <c r="M891" s="72"/>
      <c r="N891" s="72"/>
      <c r="O891" s="72"/>
      <c r="P891" s="72"/>
      <c r="Q891" s="72"/>
      <c r="R891" s="72"/>
      <c r="S891" s="72"/>
      <c r="T891" s="72"/>
      <c r="U891" s="72"/>
      <c r="V891" s="72"/>
      <c r="W891" s="72"/>
      <c r="X891" s="72"/>
      <c r="Y891" s="72"/>
      <c r="Z891" s="72"/>
    </row>
    <row r="892" spans="1:26" x14ac:dyDescent="0.5">
      <c r="A892" s="72"/>
      <c r="B892" s="72"/>
      <c r="C892" s="72"/>
      <c r="D892" s="72"/>
      <c r="E892" s="72"/>
      <c r="F892" s="72"/>
      <c r="G892" s="72"/>
      <c r="H892" s="72"/>
      <c r="I892" s="72"/>
      <c r="J892" s="72"/>
      <c r="K892" s="72"/>
      <c r="L892" s="72"/>
      <c r="M892" s="72"/>
      <c r="N892" s="72"/>
      <c r="O892" s="72"/>
      <c r="P892" s="72"/>
      <c r="Q892" s="72"/>
      <c r="R892" s="72"/>
      <c r="S892" s="72"/>
      <c r="T892" s="72"/>
      <c r="U892" s="72"/>
      <c r="V892" s="72"/>
      <c r="W892" s="72"/>
      <c r="X892" s="72"/>
      <c r="Y892" s="72"/>
      <c r="Z892" s="72"/>
    </row>
    <row r="893" spans="1:26" x14ac:dyDescent="0.5">
      <c r="A893" s="72"/>
      <c r="B893" s="72"/>
      <c r="C893" s="72"/>
      <c r="D893" s="72"/>
      <c r="E893" s="72"/>
      <c r="F893" s="72"/>
      <c r="G893" s="72"/>
      <c r="H893" s="72"/>
      <c r="I893" s="72"/>
      <c r="J893" s="72"/>
      <c r="K893" s="72"/>
      <c r="L893" s="72"/>
      <c r="M893" s="72"/>
      <c r="N893" s="72"/>
      <c r="O893" s="72"/>
      <c r="P893" s="72"/>
      <c r="Q893" s="72"/>
      <c r="R893" s="72"/>
      <c r="S893" s="72"/>
      <c r="T893" s="72"/>
      <c r="U893" s="72"/>
      <c r="V893" s="72"/>
      <c r="W893" s="72"/>
      <c r="X893" s="72"/>
      <c r="Y893" s="72"/>
      <c r="Z893" s="72"/>
    </row>
    <row r="894" spans="1:26" x14ac:dyDescent="0.5">
      <c r="A894" s="72"/>
      <c r="B894" s="72"/>
      <c r="C894" s="72"/>
      <c r="D894" s="72"/>
      <c r="E894" s="72"/>
      <c r="F894" s="72"/>
      <c r="G894" s="72"/>
      <c r="H894" s="72"/>
      <c r="I894" s="72"/>
      <c r="J894" s="72"/>
      <c r="K894" s="72"/>
      <c r="L894" s="72"/>
      <c r="M894" s="72"/>
      <c r="N894" s="72"/>
      <c r="O894" s="72"/>
      <c r="P894" s="72"/>
      <c r="Q894" s="72"/>
      <c r="R894" s="72"/>
      <c r="S894" s="72"/>
      <c r="T894" s="72"/>
      <c r="U894" s="72"/>
      <c r="V894" s="72"/>
      <c r="W894" s="72"/>
      <c r="X894" s="72"/>
      <c r="Y894" s="72"/>
      <c r="Z894" s="72"/>
    </row>
    <row r="895" spans="1:26" x14ac:dyDescent="0.5">
      <c r="A895" s="72"/>
      <c r="B895" s="72"/>
      <c r="C895" s="72"/>
      <c r="D895" s="72"/>
      <c r="E895" s="72"/>
      <c r="F895" s="72"/>
      <c r="G895" s="72"/>
      <c r="H895" s="72"/>
      <c r="I895" s="72"/>
      <c r="J895" s="72"/>
      <c r="K895" s="72"/>
      <c r="L895" s="72"/>
      <c r="M895" s="72"/>
      <c r="N895" s="72"/>
      <c r="O895" s="72"/>
      <c r="P895" s="72"/>
      <c r="Q895" s="72"/>
      <c r="R895" s="72"/>
      <c r="S895" s="72"/>
      <c r="T895" s="72"/>
      <c r="U895" s="72"/>
      <c r="V895" s="72"/>
      <c r="W895" s="72"/>
      <c r="X895" s="72"/>
      <c r="Y895" s="72"/>
      <c r="Z895" s="72"/>
    </row>
    <row r="896" spans="1:26" x14ac:dyDescent="0.5">
      <c r="A896" s="72"/>
      <c r="B896" s="72"/>
      <c r="C896" s="72"/>
      <c r="D896" s="72"/>
      <c r="E896" s="72"/>
      <c r="F896" s="72"/>
      <c r="G896" s="72"/>
      <c r="H896" s="72"/>
      <c r="I896" s="72"/>
      <c r="J896" s="72"/>
      <c r="K896" s="72"/>
      <c r="L896" s="72"/>
      <c r="M896" s="72"/>
      <c r="N896" s="72"/>
      <c r="O896" s="72"/>
      <c r="P896" s="72"/>
      <c r="Q896" s="72"/>
      <c r="R896" s="72"/>
      <c r="S896" s="72"/>
      <c r="T896" s="72"/>
      <c r="U896" s="72"/>
      <c r="V896" s="72"/>
      <c r="W896" s="72"/>
      <c r="X896" s="72"/>
      <c r="Y896" s="72"/>
      <c r="Z896" s="72"/>
    </row>
    <row r="897" spans="1:26" x14ac:dyDescent="0.5">
      <c r="A897" s="72"/>
      <c r="B897" s="72"/>
      <c r="C897" s="72"/>
      <c r="D897" s="72"/>
      <c r="E897" s="72"/>
      <c r="F897" s="72"/>
      <c r="G897" s="72"/>
      <c r="H897" s="72"/>
      <c r="I897" s="72"/>
      <c r="J897" s="72"/>
      <c r="K897" s="72"/>
      <c r="L897" s="72"/>
      <c r="M897" s="72"/>
      <c r="N897" s="72"/>
      <c r="O897" s="72"/>
      <c r="P897" s="72"/>
      <c r="Q897" s="72"/>
      <c r="R897" s="72"/>
      <c r="S897" s="72"/>
      <c r="T897" s="72"/>
      <c r="U897" s="72"/>
      <c r="V897" s="72"/>
      <c r="W897" s="72"/>
      <c r="X897" s="72"/>
      <c r="Y897" s="72"/>
      <c r="Z897" s="72"/>
    </row>
    <row r="898" spans="1:26" x14ac:dyDescent="0.5">
      <c r="A898" s="72"/>
      <c r="B898" s="72"/>
      <c r="C898" s="72"/>
      <c r="D898" s="72"/>
      <c r="E898" s="72"/>
      <c r="F898" s="72"/>
      <c r="G898" s="72"/>
      <c r="H898" s="72"/>
      <c r="I898" s="72"/>
      <c r="J898" s="72"/>
      <c r="K898" s="72"/>
      <c r="L898" s="72"/>
      <c r="M898" s="72"/>
      <c r="N898" s="72"/>
      <c r="O898" s="72"/>
      <c r="P898" s="72"/>
      <c r="Q898" s="72"/>
      <c r="R898" s="72"/>
      <c r="S898" s="72"/>
      <c r="T898" s="72"/>
      <c r="U898" s="72"/>
      <c r="V898" s="72"/>
      <c r="W898" s="72"/>
      <c r="X898" s="72"/>
      <c r="Y898" s="72"/>
      <c r="Z898" s="72"/>
    </row>
    <row r="899" spans="1:26" x14ac:dyDescent="0.5">
      <c r="A899" s="72"/>
      <c r="B899" s="72"/>
      <c r="C899" s="72"/>
      <c r="D899" s="72"/>
      <c r="E899" s="72"/>
      <c r="F899" s="72"/>
      <c r="G899" s="72"/>
      <c r="H899" s="72"/>
      <c r="I899" s="72"/>
      <c r="J899" s="72"/>
      <c r="K899" s="72"/>
      <c r="L899" s="72"/>
      <c r="M899" s="72"/>
      <c r="N899" s="72"/>
      <c r="O899" s="72"/>
      <c r="P899" s="72"/>
      <c r="Q899" s="72"/>
      <c r="R899" s="72"/>
      <c r="S899" s="72"/>
      <c r="T899" s="72"/>
      <c r="U899" s="72"/>
      <c r="V899" s="72"/>
      <c r="W899" s="72"/>
      <c r="X899" s="72"/>
      <c r="Y899" s="72"/>
      <c r="Z899" s="72"/>
    </row>
    <row r="900" spans="1:26" x14ac:dyDescent="0.5">
      <c r="A900" s="72"/>
      <c r="B900" s="72"/>
      <c r="C900" s="72"/>
      <c r="D900" s="72"/>
      <c r="E900" s="72"/>
      <c r="F900" s="72"/>
      <c r="G900" s="72"/>
      <c r="H900" s="72"/>
      <c r="I900" s="72"/>
      <c r="J900" s="72"/>
      <c r="K900" s="72"/>
      <c r="L900" s="72"/>
      <c r="M900" s="72"/>
      <c r="N900" s="72"/>
      <c r="O900" s="72"/>
      <c r="P900" s="72"/>
      <c r="Q900" s="72"/>
      <c r="R900" s="72"/>
      <c r="S900" s="72"/>
      <c r="T900" s="72"/>
      <c r="U900" s="72"/>
      <c r="V900" s="72"/>
      <c r="W900" s="72"/>
      <c r="X900" s="72"/>
      <c r="Y900" s="72"/>
      <c r="Z900" s="72"/>
    </row>
    <row r="901" spans="1:26" x14ac:dyDescent="0.5">
      <c r="A901" s="72"/>
      <c r="B901" s="72"/>
      <c r="C901" s="72"/>
      <c r="D901" s="72"/>
      <c r="E901" s="72"/>
      <c r="F901" s="72"/>
      <c r="G901" s="72"/>
      <c r="H901" s="72"/>
      <c r="I901" s="72"/>
      <c r="J901" s="72"/>
      <c r="K901" s="72"/>
      <c r="L901" s="72"/>
      <c r="M901" s="72"/>
      <c r="N901" s="72"/>
      <c r="O901" s="72"/>
      <c r="P901" s="72"/>
      <c r="Q901" s="72"/>
      <c r="R901" s="72"/>
      <c r="S901" s="72"/>
      <c r="T901" s="72"/>
      <c r="U901" s="72"/>
      <c r="V901" s="72"/>
      <c r="W901" s="72"/>
      <c r="X901" s="72"/>
      <c r="Y901" s="72"/>
      <c r="Z901" s="72"/>
    </row>
    <row r="902" spans="1:26" x14ac:dyDescent="0.5">
      <c r="A902" s="72"/>
      <c r="B902" s="72"/>
      <c r="C902" s="72"/>
      <c r="D902" s="72"/>
      <c r="E902" s="72"/>
      <c r="F902" s="72"/>
      <c r="G902" s="72"/>
      <c r="H902" s="72"/>
      <c r="I902" s="72"/>
      <c r="J902" s="72"/>
      <c r="K902" s="72"/>
      <c r="L902" s="72"/>
      <c r="M902" s="72"/>
      <c r="N902" s="72"/>
      <c r="O902" s="72"/>
      <c r="P902" s="72"/>
      <c r="Q902" s="72"/>
      <c r="R902" s="72"/>
      <c r="S902" s="72"/>
      <c r="T902" s="72"/>
      <c r="U902" s="72"/>
      <c r="V902" s="72"/>
      <c r="W902" s="72"/>
      <c r="X902" s="72"/>
      <c r="Y902" s="72"/>
      <c r="Z902" s="72"/>
    </row>
    <row r="903" spans="1:26" x14ac:dyDescent="0.5">
      <c r="A903" s="72"/>
      <c r="B903" s="72"/>
      <c r="C903" s="72"/>
      <c r="D903" s="72"/>
      <c r="E903" s="72"/>
      <c r="F903" s="72"/>
      <c r="G903" s="72"/>
      <c r="H903" s="72"/>
      <c r="I903" s="72"/>
      <c r="J903" s="72"/>
      <c r="K903" s="72"/>
      <c r="L903" s="72"/>
      <c r="M903" s="72"/>
      <c r="N903" s="72"/>
      <c r="O903" s="72"/>
      <c r="P903" s="72"/>
      <c r="Q903" s="72"/>
      <c r="R903" s="72"/>
      <c r="S903" s="72"/>
      <c r="T903" s="72"/>
      <c r="U903" s="72"/>
      <c r="V903" s="72"/>
      <c r="W903" s="72"/>
      <c r="X903" s="72"/>
      <c r="Y903" s="72"/>
      <c r="Z903" s="72"/>
    </row>
    <row r="904" spans="1:26" x14ac:dyDescent="0.5">
      <c r="A904" s="72"/>
      <c r="B904" s="72"/>
      <c r="C904" s="72"/>
      <c r="D904" s="72"/>
      <c r="E904" s="72"/>
      <c r="F904" s="72"/>
      <c r="G904" s="72"/>
      <c r="H904" s="72"/>
      <c r="I904" s="72"/>
      <c r="J904" s="72"/>
      <c r="K904" s="72"/>
      <c r="L904" s="72"/>
      <c r="M904" s="72"/>
      <c r="N904" s="72"/>
      <c r="O904" s="72"/>
      <c r="P904" s="72"/>
      <c r="Q904" s="72"/>
      <c r="R904" s="72"/>
      <c r="S904" s="72"/>
      <c r="T904" s="72"/>
      <c r="U904" s="72"/>
      <c r="V904" s="72"/>
      <c r="W904" s="72"/>
      <c r="X904" s="72"/>
      <c r="Y904" s="72"/>
      <c r="Z904" s="72"/>
    </row>
    <row r="905" spans="1:26" x14ac:dyDescent="0.5">
      <c r="A905" s="72"/>
      <c r="B905" s="72"/>
      <c r="C905" s="72"/>
      <c r="D905" s="72"/>
      <c r="E905" s="72"/>
      <c r="F905" s="72"/>
      <c r="G905" s="72"/>
      <c r="H905" s="72"/>
      <c r="I905" s="72"/>
      <c r="J905" s="72"/>
      <c r="K905" s="72"/>
      <c r="L905" s="72"/>
      <c r="M905" s="72"/>
      <c r="N905" s="72"/>
      <c r="O905" s="72"/>
      <c r="P905" s="72"/>
      <c r="Q905" s="72"/>
      <c r="R905" s="72"/>
      <c r="S905" s="72"/>
      <c r="T905" s="72"/>
      <c r="U905" s="72"/>
      <c r="V905" s="72"/>
      <c r="W905" s="72"/>
      <c r="X905" s="72"/>
      <c r="Y905" s="72"/>
      <c r="Z905" s="72"/>
    </row>
    <row r="906" spans="1:26" x14ac:dyDescent="0.5">
      <c r="A906" s="72"/>
      <c r="B906" s="72"/>
      <c r="C906" s="72"/>
      <c r="D906" s="72"/>
      <c r="E906" s="72"/>
      <c r="F906" s="72"/>
      <c r="G906" s="72"/>
      <c r="H906" s="72"/>
      <c r="I906" s="72"/>
      <c r="J906" s="72"/>
      <c r="K906" s="72"/>
      <c r="L906" s="72"/>
      <c r="M906" s="72"/>
      <c r="N906" s="72"/>
      <c r="O906" s="72"/>
      <c r="P906" s="72"/>
      <c r="Q906" s="72"/>
      <c r="R906" s="72"/>
      <c r="S906" s="72"/>
      <c r="T906" s="72"/>
      <c r="U906" s="72"/>
      <c r="V906" s="72"/>
      <c r="W906" s="72"/>
      <c r="X906" s="72"/>
      <c r="Y906" s="72"/>
      <c r="Z906" s="72"/>
    </row>
    <row r="907" spans="1:26" x14ac:dyDescent="0.5">
      <c r="A907" s="72"/>
      <c r="B907" s="72"/>
      <c r="C907" s="72"/>
      <c r="D907" s="72"/>
      <c r="E907" s="72"/>
      <c r="F907" s="72"/>
      <c r="G907" s="72"/>
      <c r="H907" s="72"/>
      <c r="I907" s="72"/>
      <c r="J907" s="72"/>
      <c r="K907" s="72"/>
      <c r="L907" s="72"/>
      <c r="M907" s="72"/>
      <c r="N907" s="72"/>
      <c r="O907" s="72"/>
      <c r="P907" s="72"/>
      <c r="Q907" s="72"/>
      <c r="R907" s="72"/>
      <c r="S907" s="72"/>
      <c r="T907" s="72"/>
      <c r="U907" s="72"/>
      <c r="V907" s="72"/>
      <c r="W907" s="72"/>
      <c r="X907" s="72"/>
      <c r="Y907" s="72"/>
      <c r="Z907" s="72"/>
    </row>
    <row r="908" spans="1:26" x14ac:dyDescent="0.5">
      <c r="A908" s="72"/>
      <c r="B908" s="72"/>
      <c r="C908" s="72"/>
      <c r="D908" s="72"/>
      <c r="E908" s="72"/>
      <c r="F908" s="72"/>
      <c r="G908" s="72"/>
      <c r="H908" s="72"/>
      <c r="I908" s="72"/>
      <c r="J908" s="72"/>
      <c r="K908" s="72"/>
      <c r="L908" s="72"/>
      <c r="M908" s="72"/>
      <c r="N908" s="72"/>
      <c r="O908" s="72"/>
      <c r="P908" s="72"/>
      <c r="Q908" s="72"/>
      <c r="R908" s="72"/>
      <c r="S908" s="72"/>
      <c r="T908" s="72"/>
      <c r="U908" s="72"/>
      <c r="V908" s="72"/>
      <c r="W908" s="72"/>
      <c r="X908" s="72"/>
      <c r="Y908" s="72"/>
      <c r="Z908" s="72"/>
    </row>
    <row r="909" spans="1:26" x14ac:dyDescent="0.5">
      <c r="A909" s="72"/>
      <c r="B909" s="72"/>
      <c r="C909" s="72"/>
      <c r="D909" s="72"/>
      <c r="E909" s="72"/>
      <c r="F909" s="72"/>
      <c r="G909" s="72"/>
      <c r="H909" s="72"/>
      <c r="I909" s="72"/>
      <c r="J909" s="72"/>
      <c r="K909" s="72"/>
      <c r="L909" s="72"/>
      <c r="M909" s="72"/>
      <c r="N909" s="72"/>
      <c r="O909" s="72"/>
      <c r="P909" s="72"/>
      <c r="Q909" s="72"/>
      <c r="R909" s="72"/>
      <c r="S909" s="72"/>
      <c r="T909" s="72"/>
      <c r="U909" s="72"/>
      <c r="V909" s="72"/>
      <c r="W909" s="72"/>
      <c r="X909" s="72"/>
      <c r="Y909" s="72"/>
      <c r="Z909" s="72"/>
    </row>
    <row r="910" spans="1:26" x14ac:dyDescent="0.5">
      <c r="A910" s="72"/>
      <c r="B910" s="72"/>
      <c r="C910" s="72"/>
      <c r="D910" s="72"/>
      <c r="E910" s="72"/>
      <c r="F910" s="72"/>
      <c r="G910" s="72"/>
      <c r="H910" s="72"/>
      <c r="I910" s="72"/>
      <c r="J910" s="72"/>
      <c r="K910" s="72"/>
      <c r="L910" s="72"/>
      <c r="M910" s="72"/>
      <c r="N910" s="72"/>
      <c r="O910" s="72"/>
      <c r="P910" s="72"/>
      <c r="Q910" s="72"/>
      <c r="R910" s="72"/>
      <c r="S910" s="72"/>
      <c r="T910" s="72"/>
      <c r="U910" s="72"/>
      <c r="V910" s="72"/>
      <c r="W910" s="72"/>
      <c r="X910" s="72"/>
      <c r="Y910" s="72"/>
      <c r="Z910" s="72"/>
    </row>
    <row r="911" spans="1:26" x14ac:dyDescent="0.5">
      <c r="A911" s="72"/>
      <c r="B911" s="72"/>
      <c r="C911" s="72"/>
      <c r="D911" s="72"/>
      <c r="E911" s="72"/>
      <c r="F911" s="72"/>
      <c r="G911" s="72"/>
      <c r="H911" s="72"/>
      <c r="I911" s="72"/>
      <c r="J911" s="72"/>
      <c r="K911" s="72"/>
      <c r="L911" s="72"/>
      <c r="M911" s="72"/>
      <c r="N911" s="72"/>
      <c r="O911" s="72"/>
      <c r="P911" s="72"/>
      <c r="Q911" s="72"/>
      <c r="R911" s="72"/>
      <c r="S911" s="72"/>
      <c r="T911" s="72"/>
      <c r="U911" s="72"/>
      <c r="V911" s="72"/>
      <c r="W911" s="72"/>
      <c r="X911" s="72"/>
      <c r="Y911" s="72"/>
      <c r="Z911" s="72"/>
    </row>
    <row r="912" spans="1:26" x14ac:dyDescent="0.5">
      <c r="A912" s="72"/>
      <c r="B912" s="72"/>
      <c r="C912" s="72"/>
      <c r="D912" s="72"/>
      <c r="E912" s="72"/>
      <c r="F912" s="72"/>
      <c r="G912" s="72"/>
      <c r="H912" s="72"/>
      <c r="I912" s="72"/>
      <c r="J912" s="72"/>
      <c r="K912" s="72"/>
      <c r="L912" s="72"/>
      <c r="M912" s="72"/>
      <c r="N912" s="72"/>
      <c r="O912" s="72"/>
      <c r="P912" s="72"/>
      <c r="Q912" s="72"/>
      <c r="R912" s="72"/>
      <c r="S912" s="72"/>
      <c r="T912" s="72"/>
      <c r="U912" s="72"/>
      <c r="V912" s="72"/>
      <c r="W912" s="72"/>
      <c r="X912" s="72"/>
      <c r="Y912" s="72"/>
      <c r="Z912" s="72"/>
    </row>
    <row r="913" spans="1:26" x14ac:dyDescent="0.5">
      <c r="A913" s="72"/>
      <c r="B913" s="72"/>
      <c r="C913" s="72"/>
      <c r="D913" s="72"/>
      <c r="E913" s="72"/>
      <c r="F913" s="72"/>
      <c r="G913" s="72"/>
      <c r="H913" s="72"/>
      <c r="I913" s="72"/>
      <c r="J913" s="72"/>
      <c r="K913" s="72"/>
      <c r="L913" s="72"/>
      <c r="M913" s="72"/>
      <c r="N913" s="72"/>
      <c r="O913" s="72"/>
      <c r="P913" s="72"/>
      <c r="Q913" s="72"/>
      <c r="R913" s="72"/>
      <c r="S913" s="72"/>
      <c r="T913" s="72"/>
      <c r="U913" s="72"/>
      <c r="V913" s="72"/>
      <c r="W913" s="72"/>
      <c r="X913" s="72"/>
      <c r="Y913" s="72"/>
      <c r="Z913" s="72"/>
    </row>
    <row r="914" spans="1:26" x14ac:dyDescent="0.5">
      <c r="A914" s="72"/>
      <c r="B914" s="72"/>
      <c r="C914" s="72"/>
      <c r="D914" s="72"/>
      <c r="E914" s="72"/>
      <c r="F914" s="72"/>
      <c r="G914" s="72"/>
      <c r="H914" s="72"/>
      <c r="I914" s="72"/>
      <c r="J914" s="72"/>
      <c r="K914" s="72"/>
      <c r="L914" s="72"/>
      <c r="M914" s="72"/>
      <c r="N914" s="72"/>
      <c r="O914" s="72"/>
      <c r="P914" s="72"/>
      <c r="Q914" s="72"/>
      <c r="R914" s="72"/>
      <c r="S914" s="72"/>
      <c r="T914" s="72"/>
      <c r="U914" s="72"/>
      <c r="V914" s="72"/>
      <c r="W914" s="72"/>
      <c r="X914" s="72"/>
      <c r="Y914" s="72"/>
      <c r="Z914" s="72"/>
    </row>
    <row r="915" spans="1:26" x14ac:dyDescent="0.5">
      <c r="A915" s="72"/>
      <c r="B915" s="72"/>
      <c r="C915" s="72"/>
      <c r="D915" s="72"/>
      <c r="E915" s="72"/>
      <c r="F915" s="72"/>
      <c r="G915" s="72"/>
      <c r="H915" s="72"/>
      <c r="I915" s="72"/>
      <c r="J915" s="72"/>
      <c r="K915" s="72"/>
      <c r="L915" s="72"/>
      <c r="M915" s="72"/>
      <c r="N915" s="72"/>
      <c r="O915" s="72"/>
      <c r="P915" s="72"/>
      <c r="Q915" s="72"/>
      <c r="R915" s="72"/>
      <c r="S915" s="72"/>
      <c r="T915" s="72"/>
      <c r="U915" s="72"/>
      <c r="V915" s="72"/>
      <c r="W915" s="72"/>
      <c r="X915" s="72"/>
      <c r="Y915" s="72"/>
      <c r="Z915" s="72"/>
    </row>
    <row r="916" spans="1:26" x14ac:dyDescent="0.5">
      <c r="A916" s="72"/>
      <c r="B916" s="72"/>
      <c r="C916" s="72"/>
      <c r="D916" s="72"/>
      <c r="E916" s="72"/>
      <c r="F916" s="72"/>
      <c r="G916" s="72"/>
      <c r="H916" s="72"/>
      <c r="I916" s="72"/>
      <c r="J916" s="72"/>
      <c r="K916" s="72"/>
      <c r="L916" s="72"/>
      <c r="M916" s="72"/>
      <c r="N916" s="72"/>
      <c r="O916" s="72"/>
      <c r="P916" s="72"/>
      <c r="Q916" s="72"/>
      <c r="R916" s="72"/>
      <c r="S916" s="72"/>
      <c r="T916" s="72"/>
      <c r="U916" s="72"/>
      <c r="V916" s="72"/>
      <c r="W916" s="72"/>
      <c r="X916" s="72"/>
      <c r="Y916" s="72"/>
      <c r="Z916" s="72"/>
    </row>
    <row r="917" spans="1:26" x14ac:dyDescent="0.5">
      <c r="A917" s="72"/>
      <c r="B917" s="72"/>
      <c r="C917" s="72"/>
      <c r="D917" s="72"/>
      <c r="E917" s="72"/>
      <c r="F917" s="72"/>
      <c r="G917" s="72"/>
      <c r="H917" s="72"/>
      <c r="I917" s="72"/>
      <c r="J917" s="72"/>
      <c r="K917" s="72"/>
      <c r="L917" s="72"/>
      <c r="M917" s="72"/>
      <c r="N917" s="72"/>
      <c r="O917" s="72"/>
      <c r="P917" s="72"/>
      <c r="Q917" s="72"/>
      <c r="R917" s="72"/>
      <c r="S917" s="72"/>
      <c r="T917" s="72"/>
      <c r="U917" s="72"/>
      <c r="V917" s="72"/>
      <c r="W917" s="72"/>
      <c r="X917" s="72"/>
      <c r="Y917" s="72"/>
      <c r="Z917" s="72"/>
    </row>
    <row r="918" spans="1:26" x14ac:dyDescent="0.5">
      <c r="A918" s="72"/>
      <c r="B918" s="72"/>
      <c r="C918" s="72"/>
      <c r="D918" s="72"/>
      <c r="E918" s="72"/>
      <c r="F918" s="72"/>
      <c r="G918" s="72"/>
      <c r="H918" s="72"/>
      <c r="I918" s="72"/>
      <c r="J918" s="72"/>
      <c r="K918" s="72"/>
      <c r="L918" s="72"/>
      <c r="M918" s="72"/>
      <c r="N918" s="72"/>
      <c r="O918" s="72"/>
      <c r="P918" s="72"/>
      <c r="Q918" s="72"/>
      <c r="R918" s="72"/>
      <c r="S918" s="72"/>
      <c r="T918" s="72"/>
      <c r="U918" s="72"/>
      <c r="V918" s="72"/>
      <c r="W918" s="72"/>
      <c r="X918" s="72"/>
      <c r="Y918" s="72"/>
      <c r="Z918" s="72"/>
    </row>
    <row r="919" spans="1:26" x14ac:dyDescent="0.5">
      <c r="A919" s="72"/>
      <c r="B919" s="72"/>
      <c r="C919" s="72"/>
      <c r="D919" s="72"/>
      <c r="E919" s="72"/>
      <c r="F919" s="72"/>
      <c r="G919" s="72"/>
      <c r="H919" s="72"/>
      <c r="I919" s="72"/>
      <c r="J919" s="72"/>
      <c r="K919" s="72"/>
      <c r="L919" s="72"/>
      <c r="M919" s="72"/>
      <c r="N919" s="72"/>
      <c r="O919" s="72"/>
      <c r="P919" s="72"/>
      <c r="Q919" s="72"/>
      <c r="R919" s="72"/>
      <c r="S919" s="72"/>
      <c r="T919" s="72"/>
      <c r="U919" s="72"/>
      <c r="V919" s="72"/>
      <c r="W919" s="72"/>
      <c r="X919" s="72"/>
      <c r="Y919" s="72"/>
      <c r="Z919" s="72"/>
    </row>
    <row r="920" spans="1:26" x14ac:dyDescent="0.5">
      <c r="A920" s="72"/>
      <c r="B920" s="72"/>
      <c r="C920" s="72"/>
      <c r="D920" s="72"/>
      <c r="E920" s="72"/>
      <c r="F920" s="72"/>
      <c r="G920" s="72"/>
      <c r="H920" s="72"/>
      <c r="I920" s="72"/>
      <c r="J920" s="72"/>
      <c r="K920" s="72"/>
      <c r="L920" s="72"/>
      <c r="M920" s="72"/>
      <c r="N920" s="72"/>
      <c r="O920" s="72"/>
      <c r="P920" s="72"/>
      <c r="Q920" s="72"/>
      <c r="R920" s="72"/>
      <c r="S920" s="72"/>
      <c r="T920" s="72"/>
      <c r="U920" s="72"/>
      <c r="V920" s="72"/>
      <c r="W920" s="72"/>
      <c r="X920" s="72"/>
      <c r="Y920" s="72"/>
      <c r="Z920" s="72"/>
    </row>
    <row r="921" spans="1:26" x14ac:dyDescent="0.5">
      <c r="A921" s="72"/>
      <c r="B921" s="72"/>
      <c r="C921" s="72"/>
      <c r="D921" s="72"/>
      <c r="E921" s="72"/>
      <c r="F921" s="72"/>
      <c r="G921" s="72"/>
      <c r="H921" s="72"/>
      <c r="I921" s="72"/>
      <c r="J921" s="72"/>
      <c r="K921" s="72"/>
      <c r="L921" s="72"/>
      <c r="M921" s="72"/>
      <c r="N921" s="72"/>
      <c r="O921" s="72"/>
      <c r="P921" s="72"/>
      <c r="Q921" s="72"/>
      <c r="R921" s="72"/>
      <c r="S921" s="72"/>
      <c r="T921" s="72"/>
      <c r="U921" s="72"/>
      <c r="V921" s="72"/>
      <c r="W921" s="72"/>
      <c r="X921" s="72"/>
      <c r="Y921" s="72"/>
      <c r="Z921" s="72"/>
    </row>
    <row r="922" spans="1:26" x14ac:dyDescent="0.5">
      <c r="A922" s="72"/>
      <c r="B922" s="72"/>
      <c r="C922" s="72"/>
      <c r="D922" s="72"/>
      <c r="E922" s="72"/>
      <c r="F922" s="72"/>
      <c r="G922" s="72"/>
      <c r="H922" s="72"/>
      <c r="I922" s="72"/>
      <c r="J922" s="72"/>
      <c r="K922" s="72"/>
      <c r="L922" s="72"/>
      <c r="M922" s="72"/>
      <c r="N922" s="72"/>
      <c r="O922" s="72"/>
      <c r="P922" s="72"/>
      <c r="Q922" s="72"/>
      <c r="R922" s="72"/>
      <c r="S922" s="72"/>
      <c r="T922" s="72"/>
      <c r="U922" s="72"/>
      <c r="V922" s="72"/>
      <c r="W922" s="72"/>
      <c r="X922" s="72"/>
      <c r="Y922" s="72"/>
      <c r="Z922" s="72"/>
    </row>
    <row r="923" spans="1:26" x14ac:dyDescent="0.5">
      <c r="A923" s="72"/>
      <c r="B923" s="72"/>
      <c r="C923" s="72"/>
      <c r="D923" s="72"/>
      <c r="E923" s="72"/>
      <c r="F923" s="72"/>
      <c r="G923" s="72"/>
      <c r="H923" s="72"/>
      <c r="I923" s="72"/>
      <c r="J923" s="72"/>
      <c r="K923" s="72"/>
      <c r="L923" s="72"/>
      <c r="M923" s="72"/>
      <c r="N923" s="72"/>
      <c r="O923" s="72"/>
      <c r="P923" s="72"/>
      <c r="Q923" s="72"/>
      <c r="R923" s="72"/>
      <c r="S923" s="72"/>
      <c r="T923" s="72"/>
      <c r="U923" s="72"/>
      <c r="V923" s="72"/>
      <c r="W923" s="72"/>
      <c r="X923" s="72"/>
      <c r="Y923" s="72"/>
      <c r="Z923" s="72"/>
    </row>
    <row r="924" spans="1:26" x14ac:dyDescent="0.5">
      <c r="A924" s="72"/>
      <c r="B924" s="72"/>
      <c r="C924" s="72"/>
      <c r="D924" s="72"/>
      <c r="E924" s="72"/>
      <c r="F924" s="72"/>
      <c r="G924" s="72"/>
      <c r="H924" s="72"/>
      <c r="I924" s="72"/>
      <c r="J924" s="72"/>
      <c r="K924" s="72"/>
      <c r="L924" s="72"/>
      <c r="M924" s="72"/>
      <c r="N924" s="72"/>
      <c r="O924" s="72"/>
      <c r="P924" s="72"/>
      <c r="Q924" s="72"/>
      <c r="R924" s="72"/>
      <c r="S924" s="72"/>
      <c r="T924" s="72"/>
      <c r="U924" s="72"/>
      <c r="V924" s="72"/>
      <c r="W924" s="72"/>
      <c r="X924" s="72"/>
      <c r="Y924" s="72"/>
      <c r="Z924" s="72"/>
    </row>
    <row r="925" spans="1:26" x14ac:dyDescent="0.5">
      <c r="A925" s="72"/>
      <c r="B925" s="72"/>
      <c r="C925" s="72"/>
      <c r="D925" s="72"/>
      <c r="E925" s="72"/>
      <c r="F925" s="72"/>
      <c r="G925" s="72"/>
      <c r="H925" s="72"/>
      <c r="I925" s="72"/>
      <c r="J925" s="72"/>
      <c r="K925" s="72"/>
      <c r="L925" s="72"/>
      <c r="M925" s="72"/>
      <c r="N925" s="72"/>
      <c r="O925" s="72"/>
      <c r="P925" s="72"/>
      <c r="Q925" s="72"/>
      <c r="R925" s="72"/>
      <c r="S925" s="72"/>
      <c r="T925" s="72"/>
      <c r="U925" s="72"/>
      <c r="V925" s="72"/>
      <c r="W925" s="72"/>
      <c r="X925" s="72"/>
      <c r="Y925" s="72"/>
      <c r="Z925" s="72"/>
    </row>
    <row r="926" spans="1:26" x14ac:dyDescent="0.5">
      <c r="A926" s="72"/>
      <c r="B926" s="72"/>
      <c r="C926" s="72"/>
      <c r="D926" s="72"/>
      <c r="E926" s="72"/>
      <c r="F926" s="72"/>
      <c r="G926" s="72"/>
      <c r="H926" s="72"/>
      <c r="I926" s="72"/>
      <c r="J926" s="72"/>
      <c r="K926" s="72"/>
      <c r="L926" s="72"/>
      <c r="M926" s="72"/>
      <c r="N926" s="72"/>
      <c r="O926" s="72"/>
      <c r="P926" s="72"/>
      <c r="Q926" s="72"/>
      <c r="R926" s="72"/>
      <c r="S926" s="72"/>
      <c r="T926" s="72"/>
      <c r="U926" s="72"/>
      <c r="V926" s="72"/>
      <c r="W926" s="72"/>
      <c r="X926" s="72"/>
      <c r="Y926" s="72"/>
      <c r="Z926" s="72"/>
    </row>
    <row r="927" spans="1:26" x14ac:dyDescent="0.5">
      <c r="A927" s="72"/>
      <c r="B927" s="72"/>
      <c r="C927" s="72"/>
      <c r="D927" s="72"/>
      <c r="E927" s="72"/>
      <c r="F927" s="72"/>
      <c r="G927" s="72"/>
      <c r="H927" s="72"/>
      <c r="I927" s="72"/>
      <c r="J927" s="72"/>
      <c r="K927" s="72"/>
      <c r="L927" s="72"/>
      <c r="M927" s="72"/>
      <c r="N927" s="72"/>
      <c r="O927" s="72"/>
      <c r="P927" s="72"/>
      <c r="Q927" s="72"/>
      <c r="R927" s="72"/>
      <c r="S927" s="72"/>
      <c r="T927" s="72"/>
      <c r="U927" s="72"/>
      <c r="V927" s="72"/>
      <c r="W927" s="72"/>
      <c r="X927" s="72"/>
      <c r="Y927" s="72"/>
      <c r="Z927" s="72"/>
    </row>
    <row r="928" spans="1:26" x14ac:dyDescent="0.5">
      <c r="A928" s="72"/>
      <c r="B928" s="72"/>
      <c r="C928" s="72"/>
      <c r="D928" s="72"/>
      <c r="E928" s="72"/>
      <c r="F928" s="72"/>
      <c r="G928" s="72"/>
      <c r="H928" s="72"/>
      <c r="I928" s="72"/>
      <c r="J928" s="72"/>
      <c r="K928" s="72"/>
      <c r="L928" s="72"/>
      <c r="M928" s="72"/>
      <c r="N928" s="72"/>
      <c r="O928" s="72"/>
      <c r="P928" s="72"/>
      <c r="Q928" s="72"/>
      <c r="R928" s="72"/>
      <c r="S928" s="72"/>
      <c r="T928" s="72"/>
      <c r="U928" s="72"/>
      <c r="V928" s="72"/>
      <c r="W928" s="72"/>
      <c r="X928" s="72"/>
      <c r="Y928" s="72"/>
      <c r="Z928" s="72"/>
    </row>
    <row r="929" spans="1:26" x14ac:dyDescent="0.5">
      <c r="A929" s="72"/>
      <c r="B929" s="72"/>
      <c r="C929" s="72"/>
      <c r="D929" s="72"/>
      <c r="E929" s="72"/>
      <c r="F929" s="72"/>
      <c r="G929" s="72"/>
      <c r="H929" s="72"/>
      <c r="I929" s="72"/>
      <c r="J929" s="72"/>
      <c r="K929" s="72"/>
      <c r="L929" s="72"/>
      <c r="M929" s="72"/>
      <c r="N929" s="72"/>
      <c r="O929" s="72"/>
      <c r="P929" s="72"/>
      <c r="Q929" s="72"/>
      <c r="R929" s="72"/>
      <c r="S929" s="72"/>
      <c r="T929" s="72"/>
      <c r="U929" s="72"/>
      <c r="V929" s="72"/>
      <c r="W929" s="72"/>
      <c r="X929" s="72"/>
      <c r="Y929" s="72"/>
      <c r="Z929" s="72"/>
    </row>
    <row r="930" spans="1:26" x14ac:dyDescent="0.5">
      <c r="A930" s="72"/>
      <c r="B930" s="72"/>
      <c r="C930" s="72"/>
      <c r="D930" s="72"/>
      <c r="E930" s="72"/>
      <c r="F930" s="72"/>
      <c r="G930" s="72"/>
      <c r="H930" s="72"/>
      <c r="I930" s="72"/>
      <c r="J930" s="72"/>
      <c r="K930" s="72"/>
      <c r="L930" s="72"/>
      <c r="M930" s="72"/>
      <c r="N930" s="72"/>
      <c r="O930" s="72"/>
      <c r="P930" s="72"/>
      <c r="Q930" s="72"/>
      <c r="R930" s="72"/>
      <c r="S930" s="72"/>
      <c r="T930" s="72"/>
      <c r="U930" s="72"/>
      <c r="V930" s="72"/>
      <c r="W930" s="72"/>
      <c r="X930" s="72"/>
      <c r="Y930" s="72"/>
      <c r="Z930" s="72"/>
    </row>
    <row r="931" spans="1:26" x14ac:dyDescent="0.5">
      <c r="A931" s="72"/>
      <c r="B931" s="72"/>
      <c r="C931" s="72"/>
      <c r="D931" s="72"/>
      <c r="E931" s="72"/>
      <c r="F931" s="72"/>
      <c r="G931" s="72"/>
      <c r="H931" s="72"/>
      <c r="I931" s="72"/>
      <c r="J931" s="72"/>
      <c r="K931" s="72"/>
      <c r="L931" s="72"/>
      <c r="M931" s="72"/>
      <c r="N931" s="72"/>
      <c r="O931" s="72"/>
      <c r="P931" s="72"/>
      <c r="Q931" s="72"/>
      <c r="R931" s="72"/>
      <c r="S931" s="72"/>
      <c r="T931" s="72"/>
      <c r="U931" s="72"/>
      <c r="V931" s="72"/>
      <c r="W931" s="72"/>
      <c r="X931" s="72"/>
      <c r="Y931" s="72"/>
      <c r="Z931" s="72"/>
    </row>
    <row r="932" spans="1:26" x14ac:dyDescent="0.5">
      <c r="A932" s="72"/>
      <c r="B932" s="72"/>
      <c r="C932" s="72"/>
      <c r="D932" s="72"/>
      <c r="E932" s="72"/>
      <c r="F932" s="72"/>
      <c r="G932" s="72"/>
      <c r="H932" s="72"/>
      <c r="I932" s="72"/>
      <c r="J932" s="72"/>
      <c r="K932" s="72"/>
      <c r="L932" s="72"/>
      <c r="M932" s="72"/>
      <c r="N932" s="72"/>
      <c r="O932" s="72"/>
      <c r="P932" s="72"/>
      <c r="Q932" s="72"/>
      <c r="R932" s="72"/>
      <c r="S932" s="72"/>
      <c r="T932" s="72"/>
      <c r="U932" s="72"/>
      <c r="V932" s="72"/>
      <c r="W932" s="72"/>
      <c r="X932" s="72"/>
      <c r="Y932" s="72"/>
      <c r="Z932" s="72"/>
    </row>
    <row r="933" spans="1:26" x14ac:dyDescent="0.5">
      <c r="A933" s="72"/>
      <c r="B933" s="72"/>
      <c r="C933" s="72"/>
      <c r="D933" s="72"/>
      <c r="E933" s="72"/>
      <c r="F933" s="72"/>
      <c r="G933" s="72"/>
      <c r="H933" s="72"/>
      <c r="I933" s="72"/>
      <c r="J933" s="72"/>
      <c r="K933" s="72"/>
      <c r="L933" s="72"/>
      <c r="M933" s="72"/>
      <c r="N933" s="72"/>
      <c r="O933" s="72"/>
      <c r="P933" s="72"/>
      <c r="Q933" s="72"/>
      <c r="R933" s="72"/>
      <c r="S933" s="72"/>
      <c r="T933" s="72"/>
      <c r="U933" s="72"/>
      <c r="V933" s="72"/>
      <c r="W933" s="72"/>
      <c r="X933" s="72"/>
      <c r="Y933" s="72"/>
      <c r="Z933" s="72"/>
    </row>
    <row r="934" spans="1:26" x14ac:dyDescent="0.5">
      <c r="A934" s="72"/>
      <c r="B934" s="72"/>
      <c r="C934" s="72"/>
      <c r="D934" s="72"/>
      <c r="E934" s="72"/>
      <c r="F934" s="72"/>
      <c r="G934" s="72"/>
      <c r="H934" s="72"/>
      <c r="I934" s="72"/>
      <c r="J934" s="72"/>
      <c r="K934" s="72"/>
      <c r="L934" s="72"/>
      <c r="M934" s="72"/>
      <c r="N934" s="72"/>
      <c r="O934" s="72"/>
      <c r="P934" s="72"/>
      <c r="Q934" s="72"/>
      <c r="R934" s="72"/>
      <c r="S934" s="72"/>
      <c r="T934" s="72"/>
      <c r="U934" s="72"/>
      <c r="V934" s="72"/>
      <c r="W934" s="72"/>
      <c r="X934" s="72"/>
      <c r="Y934" s="72"/>
      <c r="Z934" s="72"/>
    </row>
    <row r="935" spans="1:26" x14ac:dyDescent="0.5">
      <c r="A935" s="72"/>
      <c r="B935" s="72"/>
      <c r="C935" s="72"/>
      <c r="D935" s="72"/>
      <c r="E935" s="72"/>
      <c r="F935" s="72"/>
      <c r="G935" s="72"/>
      <c r="H935" s="72"/>
      <c r="I935" s="72"/>
      <c r="J935" s="72"/>
      <c r="K935" s="72"/>
      <c r="L935" s="72"/>
      <c r="M935" s="72"/>
      <c r="N935" s="72"/>
      <c r="O935" s="72"/>
      <c r="P935" s="72"/>
      <c r="Q935" s="72"/>
      <c r="R935" s="72"/>
      <c r="S935" s="72"/>
      <c r="T935" s="72"/>
      <c r="U935" s="72"/>
      <c r="V935" s="72"/>
      <c r="W935" s="72"/>
      <c r="X935" s="72"/>
      <c r="Y935" s="72"/>
      <c r="Z935" s="72"/>
    </row>
    <row r="936" spans="1:26" x14ac:dyDescent="0.5">
      <c r="A936" s="72"/>
      <c r="B936" s="72"/>
      <c r="C936" s="72"/>
      <c r="D936" s="72"/>
      <c r="E936" s="72"/>
      <c r="F936" s="72"/>
      <c r="G936" s="72"/>
      <c r="H936" s="72"/>
      <c r="I936" s="72"/>
      <c r="J936" s="72"/>
      <c r="K936" s="72"/>
      <c r="L936" s="72"/>
      <c r="M936" s="72"/>
      <c r="N936" s="72"/>
      <c r="O936" s="72"/>
      <c r="P936" s="72"/>
      <c r="Q936" s="72"/>
      <c r="R936" s="72"/>
      <c r="S936" s="72"/>
      <c r="T936" s="72"/>
      <c r="U936" s="72"/>
      <c r="V936" s="72"/>
      <c r="W936" s="72"/>
      <c r="X936" s="72"/>
      <c r="Y936" s="72"/>
      <c r="Z936" s="72"/>
    </row>
    <row r="937" spans="1:26" x14ac:dyDescent="0.5">
      <c r="A937" s="72"/>
      <c r="B937" s="72"/>
      <c r="C937" s="72"/>
      <c r="D937" s="72"/>
      <c r="E937" s="72"/>
      <c r="F937" s="72"/>
      <c r="G937" s="72"/>
      <c r="H937" s="72"/>
      <c r="I937" s="72"/>
      <c r="J937" s="72"/>
      <c r="K937" s="72"/>
      <c r="L937" s="72"/>
      <c r="M937" s="72"/>
      <c r="N937" s="72"/>
      <c r="O937" s="72"/>
      <c r="P937" s="72"/>
      <c r="Q937" s="72"/>
      <c r="R937" s="72"/>
      <c r="S937" s="72"/>
      <c r="T937" s="72"/>
      <c r="U937" s="72"/>
      <c r="V937" s="72"/>
      <c r="W937" s="72"/>
      <c r="X937" s="72"/>
      <c r="Y937" s="72"/>
      <c r="Z937" s="72"/>
    </row>
    <row r="938" spans="1:26" x14ac:dyDescent="0.5">
      <c r="A938" s="72"/>
      <c r="B938" s="72"/>
      <c r="C938" s="72"/>
      <c r="D938" s="72"/>
      <c r="E938" s="72"/>
      <c r="F938" s="72"/>
      <c r="G938" s="72"/>
      <c r="H938" s="72"/>
      <c r="I938" s="72"/>
      <c r="J938" s="72"/>
      <c r="K938" s="72"/>
      <c r="L938" s="72"/>
      <c r="M938" s="72"/>
      <c r="N938" s="72"/>
      <c r="O938" s="72"/>
      <c r="P938" s="72"/>
      <c r="Q938" s="72"/>
      <c r="R938" s="72"/>
      <c r="S938" s="72"/>
      <c r="T938" s="72"/>
      <c r="U938" s="72"/>
      <c r="V938" s="72"/>
      <c r="W938" s="72"/>
      <c r="X938" s="72"/>
      <c r="Y938" s="72"/>
      <c r="Z938" s="72"/>
    </row>
    <row r="939" spans="1:26" x14ac:dyDescent="0.5">
      <c r="A939" s="72"/>
      <c r="B939" s="72"/>
      <c r="C939" s="72"/>
      <c r="D939" s="72"/>
      <c r="E939" s="72"/>
      <c r="F939" s="72"/>
      <c r="G939" s="72"/>
      <c r="H939" s="72"/>
      <c r="I939" s="72"/>
      <c r="J939" s="72"/>
      <c r="K939" s="72"/>
      <c r="L939" s="72"/>
      <c r="M939" s="72"/>
      <c r="N939" s="72"/>
      <c r="O939" s="72"/>
      <c r="P939" s="72"/>
      <c r="Q939" s="72"/>
      <c r="R939" s="72"/>
      <c r="S939" s="72"/>
      <c r="T939" s="72"/>
      <c r="U939" s="72"/>
      <c r="V939" s="72"/>
      <c r="W939" s="72"/>
      <c r="X939" s="72"/>
      <c r="Y939" s="72"/>
      <c r="Z939" s="72"/>
    </row>
    <row r="940" spans="1:26" x14ac:dyDescent="0.5">
      <c r="A940" s="72"/>
      <c r="B940" s="72"/>
      <c r="C940" s="72"/>
      <c r="D940" s="72"/>
      <c r="E940" s="72"/>
      <c r="F940" s="72"/>
      <c r="G940" s="72"/>
      <c r="H940" s="72"/>
      <c r="I940" s="72"/>
      <c r="J940" s="72"/>
      <c r="K940" s="72"/>
      <c r="L940" s="72"/>
      <c r="M940" s="72"/>
      <c r="N940" s="72"/>
      <c r="O940" s="72"/>
      <c r="P940" s="72"/>
      <c r="Q940" s="72"/>
      <c r="R940" s="72"/>
      <c r="S940" s="72"/>
      <c r="T940" s="72"/>
      <c r="U940" s="72"/>
      <c r="V940" s="72"/>
      <c r="W940" s="72"/>
      <c r="X940" s="72"/>
      <c r="Y940" s="72"/>
      <c r="Z940" s="72"/>
    </row>
    <row r="941" spans="1:26" x14ac:dyDescent="0.5">
      <c r="A941" s="72"/>
      <c r="B941" s="72"/>
      <c r="C941" s="72"/>
      <c r="D941" s="72"/>
      <c r="E941" s="72"/>
      <c r="F941" s="72"/>
      <c r="G941" s="72"/>
      <c r="H941" s="72"/>
      <c r="I941" s="72"/>
      <c r="J941" s="72"/>
      <c r="K941" s="72"/>
      <c r="L941" s="72"/>
      <c r="M941" s="72"/>
      <c r="N941" s="72"/>
      <c r="O941" s="72"/>
      <c r="P941" s="72"/>
      <c r="Q941" s="72"/>
      <c r="R941" s="72"/>
      <c r="S941" s="72"/>
      <c r="T941" s="72"/>
      <c r="U941" s="72"/>
      <c r="V941" s="72"/>
      <c r="W941" s="72"/>
      <c r="X941" s="72"/>
      <c r="Y941" s="72"/>
      <c r="Z941" s="72"/>
    </row>
    <row r="942" spans="1:26" x14ac:dyDescent="0.5">
      <c r="A942" s="72"/>
      <c r="B942" s="72"/>
      <c r="C942" s="72"/>
      <c r="D942" s="72"/>
      <c r="E942" s="72"/>
      <c r="F942" s="72"/>
      <c r="G942" s="72"/>
      <c r="H942" s="72"/>
      <c r="I942" s="72"/>
      <c r="J942" s="72"/>
      <c r="K942" s="72"/>
      <c r="L942" s="72"/>
      <c r="M942" s="72"/>
      <c r="N942" s="72"/>
      <c r="O942" s="72"/>
      <c r="P942" s="72"/>
      <c r="Q942" s="72"/>
      <c r="R942" s="72"/>
      <c r="S942" s="72"/>
      <c r="T942" s="72"/>
      <c r="U942" s="72"/>
      <c r="V942" s="72"/>
      <c r="W942" s="72"/>
      <c r="X942" s="72"/>
      <c r="Y942" s="72"/>
      <c r="Z942" s="72"/>
    </row>
    <row r="943" spans="1:26" x14ac:dyDescent="0.5">
      <c r="A943" s="72"/>
      <c r="B943" s="72"/>
      <c r="C943" s="72"/>
      <c r="D943" s="72"/>
      <c r="E943" s="72"/>
      <c r="F943" s="72"/>
      <c r="G943" s="72"/>
      <c r="H943" s="72"/>
      <c r="I943" s="72"/>
      <c r="J943" s="72"/>
      <c r="K943" s="72"/>
      <c r="L943" s="72"/>
      <c r="M943" s="72"/>
      <c r="N943" s="72"/>
      <c r="O943" s="72"/>
      <c r="P943" s="72"/>
      <c r="Q943" s="72"/>
      <c r="R943" s="72"/>
      <c r="S943" s="72"/>
      <c r="T943" s="72"/>
      <c r="U943" s="72"/>
      <c r="V943" s="72"/>
      <c r="W943" s="72"/>
      <c r="X943" s="72"/>
      <c r="Y943" s="72"/>
      <c r="Z943" s="72"/>
    </row>
    <row r="944" spans="1:26" x14ac:dyDescent="0.5">
      <c r="A944" s="72"/>
      <c r="B944" s="72"/>
      <c r="C944" s="72"/>
      <c r="D944" s="72"/>
      <c r="E944" s="72"/>
      <c r="F944" s="72"/>
      <c r="G944" s="72"/>
      <c r="H944" s="72"/>
      <c r="I944" s="72"/>
      <c r="J944" s="72"/>
      <c r="K944" s="72"/>
      <c r="L944" s="72"/>
      <c r="M944" s="72"/>
      <c r="N944" s="72"/>
      <c r="O944" s="72"/>
      <c r="P944" s="72"/>
      <c r="Q944" s="72"/>
      <c r="R944" s="72"/>
      <c r="S944" s="72"/>
      <c r="T944" s="72"/>
      <c r="U944" s="72"/>
      <c r="V944" s="72"/>
      <c r="W944" s="72"/>
      <c r="X944" s="72"/>
      <c r="Y944" s="72"/>
      <c r="Z944" s="72"/>
    </row>
    <row r="945" spans="1:26" x14ac:dyDescent="0.5">
      <c r="A945" s="72"/>
      <c r="B945" s="72"/>
      <c r="C945" s="72"/>
      <c r="D945" s="72"/>
      <c r="E945" s="72"/>
      <c r="F945" s="72"/>
      <c r="G945" s="72"/>
      <c r="H945" s="72"/>
      <c r="I945" s="72"/>
      <c r="J945" s="72"/>
      <c r="K945" s="72"/>
      <c r="L945" s="72"/>
      <c r="M945" s="72"/>
      <c r="N945" s="72"/>
      <c r="O945" s="72"/>
      <c r="P945" s="72"/>
      <c r="Q945" s="72"/>
      <c r="R945" s="72"/>
      <c r="S945" s="72"/>
      <c r="T945" s="72"/>
      <c r="U945" s="72"/>
      <c r="V945" s="72"/>
      <c r="W945" s="72"/>
      <c r="X945" s="72"/>
      <c r="Y945" s="72"/>
      <c r="Z945" s="72"/>
    </row>
    <row r="946" spans="1:26" x14ac:dyDescent="0.5">
      <c r="A946" s="72"/>
      <c r="B946" s="72"/>
      <c r="C946" s="72"/>
      <c r="D946" s="72"/>
      <c r="E946" s="72"/>
      <c r="F946" s="72"/>
      <c r="G946" s="72"/>
      <c r="H946" s="72"/>
      <c r="I946" s="72"/>
      <c r="J946" s="72"/>
      <c r="K946" s="72"/>
      <c r="L946" s="72"/>
      <c r="M946" s="72"/>
      <c r="N946" s="72"/>
      <c r="O946" s="72"/>
      <c r="P946" s="72"/>
      <c r="Q946" s="72"/>
      <c r="R946" s="72"/>
      <c r="S946" s="72"/>
      <c r="T946" s="72"/>
      <c r="U946" s="72"/>
      <c r="V946" s="72"/>
      <c r="W946" s="72"/>
      <c r="X946" s="72"/>
      <c r="Y946" s="72"/>
      <c r="Z946" s="72"/>
    </row>
    <row r="947" spans="1:26" x14ac:dyDescent="0.5">
      <c r="A947" s="72"/>
      <c r="B947" s="72"/>
      <c r="C947" s="72"/>
      <c r="D947" s="72"/>
      <c r="E947" s="72"/>
      <c r="F947" s="72"/>
      <c r="G947" s="72"/>
      <c r="H947" s="72"/>
      <c r="I947" s="72"/>
      <c r="J947" s="72"/>
      <c r="K947" s="72"/>
      <c r="L947" s="72"/>
      <c r="M947" s="72"/>
      <c r="N947" s="72"/>
      <c r="O947" s="72"/>
      <c r="P947" s="72"/>
      <c r="Q947" s="72"/>
      <c r="R947" s="72"/>
      <c r="S947" s="72"/>
      <c r="T947" s="72"/>
      <c r="U947" s="72"/>
      <c r="V947" s="72"/>
      <c r="W947" s="72"/>
      <c r="X947" s="72"/>
      <c r="Y947" s="72"/>
      <c r="Z947" s="72"/>
    </row>
    <row r="948" spans="1:26" x14ac:dyDescent="0.5">
      <c r="A948" s="72"/>
      <c r="B948" s="72"/>
      <c r="C948" s="72"/>
      <c r="D948" s="72"/>
      <c r="E948" s="72"/>
      <c r="F948" s="72"/>
      <c r="G948" s="72"/>
      <c r="H948" s="72"/>
      <c r="I948" s="72"/>
      <c r="J948" s="72"/>
      <c r="K948" s="72"/>
      <c r="L948" s="72"/>
      <c r="M948" s="72"/>
      <c r="N948" s="72"/>
      <c r="O948" s="72"/>
      <c r="P948" s="72"/>
      <c r="Q948" s="72"/>
      <c r="R948" s="72"/>
      <c r="S948" s="72"/>
      <c r="T948" s="72"/>
      <c r="U948" s="72"/>
      <c r="V948" s="72"/>
      <c r="W948" s="72"/>
      <c r="X948" s="72"/>
      <c r="Y948" s="72"/>
      <c r="Z948" s="72"/>
    </row>
    <row r="949" spans="1:26" x14ac:dyDescent="0.5">
      <c r="A949" s="72"/>
      <c r="B949" s="72"/>
      <c r="C949" s="72"/>
      <c r="D949" s="72"/>
      <c r="E949" s="72"/>
      <c r="F949" s="72"/>
      <c r="G949" s="72"/>
      <c r="H949" s="72"/>
      <c r="I949" s="72"/>
      <c r="J949" s="72"/>
      <c r="K949" s="72"/>
      <c r="L949" s="72"/>
      <c r="M949" s="72"/>
      <c r="N949" s="72"/>
      <c r="O949" s="72"/>
      <c r="P949" s="72"/>
      <c r="Q949" s="72"/>
      <c r="R949" s="72"/>
      <c r="S949" s="72"/>
      <c r="T949" s="72"/>
      <c r="U949" s="72"/>
      <c r="V949" s="72"/>
      <c r="W949" s="72"/>
      <c r="X949" s="72"/>
      <c r="Y949" s="72"/>
      <c r="Z949" s="72"/>
    </row>
    <row r="950" spans="1:26" x14ac:dyDescent="0.5">
      <c r="A950" s="72"/>
      <c r="B950" s="72"/>
      <c r="C950" s="72"/>
      <c r="D950" s="72"/>
      <c r="E950" s="72"/>
      <c r="F950" s="72"/>
      <c r="G950" s="72"/>
      <c r="H950" s="72"/>
      <c r="I950" s="72"/>
      <c r="J950" s="72"/>
      <c r="K950" s="72"/>
      <c r="L950" s="72"/>
      <c r="M950" s="72"/>
      <c r="N950" s="72"/>
      <c r="O950" s="72"/>
      <c r="P950" s="72"/>
      <c r="Q950" s="72"/>
      <c r="R950" s="72"/>
      <c r="S950" s="72"/>
      <c r="T950" s="72"/>
      <c r="U950" s="72"/>
      <c r="V950" s="72"/>
      <c r="W950" s="72"/>
      <c r="X950" s="72"/>
      <c r="Y950" s="72"/>
      <c r="Z950" s="72"/>
    </row>
    <row r="951" spans="1:26" x14ac:dyDescent="0.5">
      <c r="A951" s="72"/>
      <c r="B951" s="72"/>
      <c r="C951" s="72"/>
      <c r="D951" s="72"/>
      <c r="E951" s="72"/>
      <c r="F951" s="72"/>
      <c r="G951" s="72"/>
      <c r="H951" s="72"/>
      <c r="I951" s="72"/>
      <c r="J951" s="72"/>
      <c r="K951" s="72"/>
      <c r="L951" s="72"/>
      <c r="M951" s="72"/>
      <c r="N951" s="72"/>
      <c r="O951" s="72"/>
      <c r="P951" s="72"/>
      <c r="Q951" s="72"/>
      <c r="R951" s="72"/>
      <c r="S951" s="72"/>
      <c r="T951" s="72"/>
      <c r="U951" s="72"/>
      <c r="V951" s="72"/>
      <c r="W951" s="72"/>
      <c r="X951" s="72"/>
      <c r="Y951" s="72"/>
      <c r="Z951" s="72"/>
    </row>
    <row r="952" spans="1:26" x14ac:dyDescent="0.5">
      <c r="A952" s="72"/>
      <c r="B952" s="72"/>
      <c r="C952" s="72"/>
      <c r="D952" s="72"/>
      <c r="E952" s="72"/>
      <c r="F952" s="72"/>
      <c r="G952" s="72"/>
      <c r="H952" s="72"/>
      <c r="I952" s="72"/>
      <c r="J952" s="72"/>
      <c r="K952" s="72"/>
      <c r="L952" s="72"/>
      <c r="M952" s="72"/>
      <c r="N952" s="72"/>
      <c r="O952" s="72"/>
      <c r="P952" s="72"/>
      <c r="Q952" s="72"/>
      <c r="R952" s="72"/>
      <c r="S952" s="72"/>
      <c r="T952" s="72"/>
      <c r="U952" s="72"/>
      <c r="V952" s="72"/>
      <c r="W952" s="72"/>
      <c r="X952" s="72"/>
      <c r="Y952" s="72"/>
      <c r="Z952" s="72"/>
    </row>
    <row r="953" spans="1:26" x14ac:dyDescent="0.5">
      <c r="A953" s="72"/>
      <c r="B953" s="72"/>
      <c r="C953" s="72"/>
      <c r="D953" s="72"/>
      <c r="E953" s="72"/>
      <c r="F953" s="72"/>
      <c r="G953" s="72"/>
      <c r="H953" s="72"/>
      <c r="I953" s="72"/>
      <c r="J953" s="72"/>
      <c r="K953" s="72"/>
      <c r="L953" s="72"/>
      <c r="M953" s="72"/>
      <c r="N953" s="72"/>
      <c r="O953" s="72"/>
      <c r="P953" s="72"/>
      <c r="Q953" s="72"/>
      <c r="R953" s="72"/>
      <c r="S953" s="72"/>
      <c r="T953" s="72"/>
      <c r="U953" s="72"/>
      <c r="V953" s="72"/>
      <c r="W953" s="72"/>
      <c r="X953" s="72"/>
      <c r="Y953" s="72"/>
      <c r="Z953" s="72"/>
    </row>
    <row r="954" spans="1:26" x14ac:dyDescent="0.5">
      <c r="A954" s="72"/>
      <c r="B954" s="72"/>
      <c r="C954" s="72"/>
      <c r="D954" s="72"/>
      <c r="E954" s="72"/>
      <c r="F954" s="72"/>
      <c r="G954" s="72"/>
      <c r="H954" s="72"/>
      <c r="I954" s="72"/>
      <c r="J954" s="72"/>
      <c r="K954" s="72"/>
      <c r="L954" s="72"/>
      <c r="M954" s="72"/>
      <c r="N954" s="72"/>
      <c r="O954" s="72"/>
      <c r="P954" s="72"/>
      <c r="Q954" s="72"/>
      <c r="R954" s="72"/>
      <c r="S954" s="72"/>
      <c r="T954" s="72"/>
      <c r="U954" s="72"/>
      <c r="V954" s="72"/>
      <c r="W954" s="72"/>
      <c r="X954" s="72"/>
      <c r="Y954" s="72"/>
      <c r="Z954" s="72"/>
    </row>
    <row r="955" spans="1:26" x14ac:dyDescent="0.5">
      <c r="A955" s="72"/>
      <c r="B955" s="72"/>
      <c r="C955" s="72"/>
      <c r="D955" s="72"/>
      <c r="E955" s="72"/>
      <c r="F955" s="72"/>
      <c r="G955" s="72"/>
      <c r="H955" s="72"/>
      <c r="I955" s="72"/>
      <c r="J955" s="72"/>
      <c r="K955" s="72"/>
      <c r="L955" s="72"/>
      <c r="M955" s="72"/>
      <c r="N955" s="72"/>
      <c r="O955" s="72"/>
      <c r="P955" s="72"/>
      <c r="Q955" s="72"/>
      <c r="R955" s="72"/>
      <c r="S955" s="72"/>
      <c r="T955" s="72"/>
      <c r="U955" s="72"/>
      <c r="V955" s="72"/>
      <c r="W955" s="72"/>
      <c r="X955" s="72"/>
      <c r="Y955" s="72"/>
      <c r="Z955" s="72"/>
    </row>
    <row r="956" spans="1:26" x14ac:dyDescent="0.5">
      <c r="A956" s="72"/>
      <c r="B956" s="72"/>
      <c r="C956" s="72"/>
      <c r="D956" s="72"/>
      <c r="E956" s="72"/>
      <c r="F956" s="72"/>
      <c r="G956" s="72"/>
      <c r="H956" s="72"/>
      <c r="I956" s="72"/>
      <c r="J956" s="72"/>
      <c r="K956" s="72"/>
      <c r="L956" s="72"/>
      <c r="M956" s="72"/>
      <c r="N956" s="72"/>
      <c r="O956" s="72"/>
      <c r="P956" s="72"/>
      <c r="Q956" s="72"/>
      <c r="R956" s="72"/>
      <c r="S956" s="72"/>
      <c r="T956" s="72"/>
      <c r="U956" s="72"/>
      <c r="V956" s="72"/>
      <c r="W956" s="72"/>
      <c r="X956" s="72"/>
      <c r="Y956" s="72"/>
      <c r="Z956" s="72"/>
    </row>
    <row r="957" spans="1:26" x14ac:dyDescent="0.5">
      <c r="A957" s="72"/>
      <c r="B957" s="72"/>
      <c r="C957" s="72"/>
      <c r="D957" s="72"/>
      <c r="E957" s="72"/>
      <c r="F957" s="72"/>
      <c r="G957" s="72"/>
      <c r="H957" s="72"/>
      <c r="I957" s="72"/>
      <c r="J957" s="72"/>
      <c r="K957" s="72"/>
      <c r="L957" s="72"/>
      <c r="M957" s="72"/>
      <c r="N957" s="72"/>
      <c r="O957" s="72"/>
      <c r="P957" s="72"/>
      <c r="Q957" s="72"/>
      <c r="R957" s="72"/>
      <c r="S957" s="72"/>
      <c r="T957" s="72"/>
      <c r="U957" s="72"/>
      <c r="V957" s="72"/>
      <c r="W957" s="72"/>
      <c r="X957" s="72"/>
      <c r="Y957" s="72"/>
      <c r="Z957" s="72"/>
    </row>
    <row r="958" spans="1:26" x14ac:dyDescent="0.5">
      <c r="A958" s="72"/>
      <c r="B958" s="72"/>
      <c r="C958" s="72"/>
      <c r="D958" s="72"/>
      <c r="E958" s="72"/>
      <c r="F958" s="72"/>
      <c r="G958" s="72"/>
      <c r="H958" s="72"/>
      <c r="I958" s="72"/>
      <c r="J958" s="72"/>
      <c r="K958" s="72"/>
      <c r="L958" s="72"/>
      <c r="M958" s="72"/>
      <c r="N958" s="72"/>
      <c r="O958" s="72"/>
      <c r="P958" s="72"/>
      <c r="Q958" s="72"/>
      <c r="R958" s="72"/>
      <c r="S958" s="72"/>
      <c r="T958" s="72"/>
      <c r="U958" s="72"/>
      <c r="V958" s="72"/>
      <c r="W958" s="72"/>
      <c r="X958" s="72"/>
      <c r="Y958" s="72"/>
      <c r="Z958" s="72"/>
    </row>
    <row r="959" spans="1:26" x14ac:dyDescent="0.5">
      <c r="A959" s="72"/>
      <c r="B959" s="72"/>
      <c r="C959" s="72"/>
      <c r="D959" s="72"/>
      <c r="E959" s="72"/>
      <c r="F959" s="72"/>
      <c r="G959" s="72"/>
      <c r="H959" s="72"/>
      <c r="I959" s="72"/>
      <c r="J959" s="72"/>
      <c r="K959" s="72"/>
      <c r="L959" s="72"/>
      <c r="M959" s="72"/>
      <c r="N959" s="72"/>
      <c r="O959" s="72"/>
      <c r="P959" s="72"/>
      <c r="Q959" s="72"/>
      <c r="R959" s="72"/>
      <c r="S959" s="72"/>
      <c r="T959" s="72"/>
      <c r="U959" s="72"/>
      <c r="V959" s="72"/>
      <c r="W959" s="72"/>
      <c r="X959" s="72"/>
      <c r="Y959" s="72"/>
      <c r="Z959" s="72"/>
    </row>
    <row r="960" spans="1:26" x14ac:dyDescent="0.5">
      <c r="A960" s="72"/>
      <c r="B960" s="72"/>
      <c r="C960" s="72"/>
      <c r="D960" s="72"/>
      <c r="E960" s="72"/>
      <c r="F960" s="72"/>
      <c r="G960" s="72"/>
      <c r="H960" s="72"/>
      <c r="I960" s="72"/>
      <c r="J960" s="72"/>
      <c r="K960" s="72"/>
      <c r="L960" s="72"/>
      <c r="M960" s="72"/>
      <c r="N960" s="72"/>
      <c r="O960" s="72"/>
      <c r="P960" s="72"/>
      <c r="Q960" s="72"/>
      <c r="R960" s="72"/>
      <c r="S960" s="72"/>
      <c r="T960" s="72"/>
      <c r="U960" s="72"/>
      <c r="V960" s="72"/>
      <c r="W960" s="72"/>
      <c r="X960" s="72"/>
      <c r="Y960" s="72"/>
      <c r="Z960" s="72"/>
    </row>
    <row r="961" spans="1:26" x14ac:dyDescent="0.5">
      <c r="A961" s="72"/>
      <c r="B961" s="72"/>
      <c r="C961" s="72"/>
      <c r="D961" s="72"/>
      <c r="E961" s="72"/>
      <c r="F961" s="72"/>
      <c r="G961" s="72"/>
      <c r="H961" s="72"/>
      <c r="I961" s="72"/>
      <c r="J961" s="72"/>
      <c r="K961" s="72"/>
      <c r="L961" s="72"/>
      <c r="M961" s="72"/>
      <c r="N961" s="72"/>
      <c r="O961" s="72"/>
      <c r="P961" s="72"/>
      <c r="Q961" s="72"/>
      <c r="R961" s="72"/>
      <c r="S961" s="72"/>
      <c r="T961" s="72"/>
      <c r="U961" s="72"/>
      <c r="V961" s="72"/>
      <c r="W961" s="72"/>
      <c r="X961" s="72"/>
      <c r="Y961" s="72"/>
      <c r="Z961" s="72"/>
    </row>
    <row r="962" spans="1:26" x14ac:dyDescent="0.5">
      <c r="A962" s="72"/>
      <c r="B962" s="72"/>
      <c r="C962" s="72"/>
      <c r="D962" s="72"/>
      <c r="E962" s="72"/>
      <c r="F962" s="72"/>
      <c r="G962" s="72"/>
      <c r="H962" s="72"/>
      <c r="I962" s="72"/>
      <c r="J962" s="72"/>
      <c r="K962" s="72"/>
      <c r="L962" s="72"/>
      <c r="M962" s="72"/>
      <c r="N962" s="72"/>
      <c r="O962" s="72"/>
      <c r="P962" s="72"/>
      <c r="Q962" s="72"/>
      <c r="R962" s="72"/>
      <c r="S962" s="72"/>
      <c r="T962" s="72"/>
      <c r="U962" s="72"/>
      <c r="V962" s="72"/>
      <c r="W962" s="72"/>
      <c r="X962" s="72"/>
      <c r="Y962" s="72"/>
      <c r="Z962" s="72"/>
    </row>
    <row r="963" spans="1:26" x14ac:dyDescent="0.5">
      <c r="A963" s="72"/>
      <c r="B963" s="72"/>
      <c r="C963" s="72"/>
      <c r="D963" s="72"/>
      <c r="E963" s="72"/>
      <c r="F963" s="72"/>
      <c r="G963" s="72"/>
      <c r="H963" s="72"/>
      <c r="I963" s="72"/>
      <c r="J963" s="72"/>
      <c r="K963" s="72"/>
      <c r="L963" s="72"/>
      <c r="M963" s="72"/>
      <c r="N963" s="72"/>
      <c r="O963" s="72"/>
      <c r="P963" s="72"/>
      <c r="Q963" s="72"/>
      <c r="R963" s="72"/>
      <c r="S963" s="72"/>
      <c r="T963" s="72"/>
      <c r="U963" s="72"/>
      <c r="V963" s="72"/>
      <c r="W963" s="72"/>
      <c r="X963" s="72"/>
      <c r="Y963" s="72"/>
      <c r="Z963" s="72"/>
    </row>
    <row r="964" spans="1:26" x14ac:dyDescent="0.5">
      <c r="A964" s="72"/>
      <c r="B964" s="72"/>
      <c r="C964" s="72"/>
      <c r="D964" s="72"/>
      <c r="E964" s="72"/>
      <c r="F964" s="72"/>
      <c r="G964" s="72"/>
      <c r="H964" s="72"/>
      <c r="I964" s="72"/>
      <c r="J964" s="72"/>
      <c r="K964" s="72"/>
      <c r="L964" s="72"/>
      <c r="M964" s="72"/>
      <c r="N964" s="72"/>
      <c r="O964" s="72"/>
      <c r="P964" s="72"/>
      <c r="Q964" s="72"/>
      <c r="R964" s="72"/>
      <c r="S964" s="72"/>
      <c r="T964" s="72"/>
      <c r="U964" s="72"/>
      <c r="V964" s="72"/>
      <c r="W964" s="72"/>
      <c r="X964" s="72"/>
      <c r="Y964" s="72"/>
      <c r="Z964" s="72"/>
    </row>
    <row r="965" spans="1:26" x14ac:dyDescent="0.5">
      <c r="A965" s="72"/>
      <c r="B965" s="72"/>
      <c r="C965" s="72"/>
      <c r="D965" s="72"/>
      <c r="E965" s="72"/>
      <c r="F965" s="72"/>
      <c r="G965" s="72"/>
      <c r="H965" s="72"/>
      <c r="I965" s="72"/>
      <c r="J965" s="72"/>
      <c r="K965" s="72"/>
      <c r="L965" s="72"/>
      <c r="M965" s="72"/>
      <c r="N965" s="72"/>
      <c r="O965" s="72"/>
      <c r="P965" s="72"/>
      <c r="Q965" s="72"/>
      <c r="R965" s="72"/>
      <c r="S965" s="72"/>
      <c r="T965" s="72"/>
      <c r="U965" s="72"/>
      <c r="V965" s="72"/>
      <c r="W965" s="72"/>
      <c r="X965" s="72"/>
      <c r="Y965" s="72"/>
      <c r="Z965" s="72"/>
    </row>
    <row r="966" spans="1:26" x14ac:dyDescent="0.5">
      <c r="A966" s="72"/>
      <c r="B966" s="72"/>
      <c r="C966" s="72"/>
      <c r="D966" s="72"/>
      <c r="E966" s="72"/>
      <c r="F966" s="72"/>
      <c r="G966" s="72"/>
      <c r="H966" s="72"/>
      <c r="I966" s="72"/>
      <c r="J966" s="72"/>
      <c r="K966" s="72"/>
      <c r="L966" s="72"/>
      <c r="M966" s="72"/>
      <c r="N966" s="72"/>
      <c r="O966" s="72"/>
      <c r="P966" s="72"/>
      <c r="Q966" s="72"/>
      <c r="R966" s="72"/>
      <c r="S966" s="72"/>
      <c r="T966" s="72"/>
      <c r="U966" s="72"/>
      <c r="V966" s="72"/>
      <c r="W966" s="72"/>
      <c r="X966" s="72"/>
      <c r="Y966" s="72"/>
      <c r="Z966" s="72"/>
    </row>
    <row r="967" spans="1:26" x14ac:dyDescent="0.5">
      <c r="A967" s="72"/>
      <c r="B967" s="72"/>
      <c r="C967" s="72"/>
      <c r="D967" s="72"/>
      <c r="E967" s="72"/>
      <c r="F967" s="72"/>
      <c r="G967" s="72"/>
      <c r="H967" s="72"/>
      <c r="I967" s="72"/>
      <c r="J967" s="72"/>
      <c r="K967" s="72"/>
      <c r="L967" s="72"/>
      <c r="M967" s="72"/>
      <c r="N967" s="72"/>
      <c r="O967" s="72"/>
      <c r="P967" s="72"/>
      <c r="Q967" s="72"/>
      <c r="R967" s="72"/>
      <c r="S967" s="72"/>
      <c r="T967" s="72"/>
      <c r="U967" s="72"/>
      <c r="V967" s="72"/>
      <c r="W967" s="72"/>
      <c r="X967" s="72"/>
      <c r="Y967" s="72"/>
      <c r="Z967" s="72"/>
    </row>
    <row r="968" spans="1:26" x14ac:dyDescent="0.5">
      <c r="A968" s="72"/>
      <c r="B968" s="72"/>
      <c r="C968" s="72"/>
      <c r="D968" s="72"/>
      <c r="E968" s="72"/>
      <c r="F968" s="72"/>
      <c r="G968" s="72"/>
      <c r="H968" s="72"/>
      <c r="I968" s="72"/>
      <c r="J968" s="72"/>
      <c r="K968" s="72"/>
      <c r="L968" s="72"/>
      <c r="M968" s="72"/>
      <c r="N968" s="72"/>
      <c r="O968" s="72"/>
      <c r="P968" s="72"/>
      <c r="Q968" s="72"/>
      <c r="R968" s="72"/>
      <c r="S968" s="72"/>
      <c r="T968" s="72"/>
      <c r="U968" s="72"/>
      <c r="V968" s="72"/>
      <c r="W968" s="72"/>
      <c r="X968" s="72"/>
      <c r="Y968" s="72"/>
      <c r="Z968" s="72"/>
    </row>
    <row r="969" spans="1:26" x14ac:dyDescent="0.5">
      <c r="A969" s="72"/>
      <c r="B969" s="72"/>
      <c r="C969" s="72"/>
      <c r="D969" s="72"/>
      <c r="E969" s="72"/>
      <c r="F969" s="72"/>
      <c r="G969" s="72"/>
      <c r="H969" s="72"/>
      <c r="I969" s="72"/>
      <c r="J969" s="72"/>
      <c r="K969" s="72"/>
      <c r="L969" s="72"/>
      <c r="M969" s="72"/>
      <c r="N969" s="72"/>
      <c r="O969" s="72"/>
      <c r="P969" s="72"/>
      <c r="Q969" s="72"/>
      <c r="R969" s="72"/>
      <c r="S969" s="72"/>
      <c r="T969" s="72"/>
      <c r="U969" s="72"/>
      <c r="V969" s="72"/>
      <c r="W969" s="72"/>
      <c r="X969" s="72"/>
      <c r="Y969" s="72"/>
      <c r="Z969" s="72"/>
    </row>
    <row r="970" spans="1:26" x14ac:dyDescent="0.5">
      <c r="A970" s="72"/>
      <c r="B970" s="72"/>
      <c r="C970" s="72"/>
      <c r="D970" s="72"/>
      <c r="E970" s="72"/>
      <c r="F970" s="72"/>
      <c r="G970" s="72"/>
      <c r="H970" s="72"/>
      <c r="I970" s="72"/>
      <c r="J970" s="72"/>
      <c r="K970" s="72"/>
      <c r="L970" s="72"/>
      <c r="M970" s="72"/>
      <c r="N970" s="72"/>
      <c r="O970" s="72"/>
      <c r="P970" s="72"/>
      <c r="Q970" s="72"/>
      <c r="R970" s="72"/>
      <c r="S970" s="72"/>
      <c r="T970" s="72"/>
      <c r="U970" s="72"/>
      <c r="V970" s="72"/>
      <c r="W970" s="72"/>
      <c r="X970" s="72"/>
      <c r="Y970" s="72"/>
      <c r="Z970" s="72"/>
    </row>
    <row r="971" spans="1:26" x14ac:dyDescent="0.5">
      <c r="A971" s="72"/>
      <c r="B971" s="72"/>
      <c r="C971" s="72"/>
      <c r="D971" s="72"/>
      <c r="E971" s="72"/>
      <c r="F971" s="72"/>
      <c r="G971" s="72"/>
      <c r="H971" s="72"/>
      <c r="I971" s="72"/>
      <c r="J971" s="72"/>
      <c r="K971" s="72"/>
      <c r="L971" s="72"/>
      <c r="M971" s="72"/>
      <c r="N971" s="72"/>
      <c r="O971" s="72"/>
      <c r="P971" s="72"/>
      <c r="Q971" s="72"/>
      <c r="R971" s="72"/>
      <c r="S971" s="72"/>
      <c r="T971" s="72"/>
      <c r="U971" s="72"/>
      <c r="V971" s="72"/>
      <c r="W971" s="72"/>
      <c r="X971" s="72"/>
      <c r="Y971" s="72"/>
      <c r="Z971" s="72"/>
    </row>
  </sheetData>
  <printOptions horizontalCentered="1" gridLines="1"/>
  <pageMargins left="0.7" right="0.7" top="0.75" bottom="0.75" header="0" footer="0"/>
  <pageSetup pageOrder="overThenDown" orientation="portrait" cellComments="atEnd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  <pageSetUpPr fitToPage="1"/>
  </sheetPr>
  <dimension ref="A1:AE22"/>
  <sheetViews>
    <sheetView workbookViewId="0"/>
  </sheetViews>
  <sheetFormatPr defaultColWidth="14.42578125" defaultRowHeight="15.75" customHeight="1" x14ac:dyDescent="0.4"/>
  <cols>
    <col min="1" max="1" width="37.85546875" customWidth="1"/>
    <col min="2" max="2" width="33" customWidth="1"/>
    <col min="3" max="3" width="13.42578125" customWidth="1"/>
    <col min="4" max="4" width="12" customWidth="1"/>
  </cols>
  <sheetData>
    <row r="1" spans="1:31" ht="15.75" customHeight="1" x14ac:dyDescent="0.65">
      <c r="A1" s="271" t="s">
        <v>2</v>
      </c>
      <c r="B1" s="271" t="s">
        <v>1386</v>
      </c>
      <c r="C1" s="271" t="s">
        <v>20</v>
      </c>
      <c r="D1" s="271" t="s">
        <v>11</v>
      </c>
      <c r="E1" s="353"/>
      <c r="F1" s="353"/>
      <c r="G1" s="353"/>
      <c r="I1" s="354"/>
      <c r="J1" s="21"/>
      <c r="R1" s="19"/>
      <c r="S1" s="19"/>
      <c r="W1" s="13"/>
      <c r="Z1" s="19"/>
      <c r="AC1" s="355"/>
    </row>
    <row r="2" spans="1:31" ht="15.75" customHeight="1" x14ac:dyDescent="0.65">
      <c r="A2" s="356" t="str">
        <f t="shared" ref="A2:D2" si="0">M2</f>
        <v>Marie Felix</v>
      </c>
      <c r="B2" s="356" t="str">
        <f t="shared" si="0"/>
        <v>Sunflower Blues</v>
      </c>
      <c r="C2" s="356" t="str">
        <f t="shared" si="0"/>
        <v>12 x 12</v>
      </c>
      <c r="D2" s="356" t="str">
        <f t="shared" si="0"/>
        <v>Gold EH</v>
      </c>
      <c r="E2" s="353"/>
      <c r="F2" s="353"/>
      <c r="G2" s="353">
        <v>45271</v>
      </c>
      <c r="H2" s="8">
        <v>5</v>
      </c>
      <c r="I2" s="354"/>
      <c r="J2" s="21">
        <v>45257</v>
      </c>
      <c r="K2" s="8" t="s">
        <v>1387</v>
      </c>
      <c r="L2" s="8">
        <v>3</v>
      </c>
      <c r="M2" s="8" t="s">
        <v>1050</v>
      </c>
      <c r="N2" s="8" t="s">
        <v>1388</v>
      </c>
      <c r="O2" s="8" t="s">
        <v>57</v>
      </c>
      <c r="P2" s="8" t="s">
        <v>53</v>
      </c>
      <c r="Q2" s="8">
        <v>1</v>
      </c>
      <c r="R2" s="19">
        <v>600</v>
      </c>
      <c r="S2" s="19">
        <v>0</v>
      </c>
      <c r="T2" s="8">
        <v>12</v>
      </c>
      <c r="U2" s="8">
        <v>12</v>
      </c>
      <c r="V2" s="8" t="s">
        <v>241</v>
      </c>
      <c r="W2" s="13">
        <v>144</v>
      </c>
      <c r="X2" s="8">
        <v>13.5625</v>
      </c>
      <c r="Y2" s="8">
        <v>13.5625</v>
      </c>
      <c r="Z2" s="19" t="s">
        <v>1389</v>
      </c>
      <c r="AA2" s="8">
        <v>69</v>
      </c>
      <c r="AC2" s="355">
        <v>9.1527777777777791E-2</v>
      </c>
      <c r="AE2" s="8" t="s">
        <v>41</v>
      </c>
    </row>
    <row r="3" spans="1:31" ht="15.75" customHeight="1" x14ac:dyDescent="0.65">
      <c r="A3" s="356" t="str">
        <f t="shared" ref="A3:D3" si="1">M3</f>
        <v>Scott &amp; Kitty Williams</v>
      </c>
      <c r="B3" s="356" t="str">
        <f t="shared" si="1"/>
        <v>Ocotillos and Blooms</v>
      </c>
      <c r="C3" s="356" t="str">
        <f t="shared" si="1"/>
        <v>36 x 46</v>
      </c>
      <c r="D3" s="356" t="str">
        <f t="shared" si="1"/>
        <v>Gold EH</v>
      </c>
      <c r="E3" s="353"/>
      <c r="F3" s="353"/>
      <c r="G3" s="353">
        <v>45273</v>
      </c>
      <c r="H3" s="8">
        <v>7</v>
      </c>
      <c r="I3" s="354"/>
      <c r="J3" s="21">
        <v>45259</v>
      </c>
      <c r="K3" s="8" t="s">
        <v>1390</v>
      </c>
      <c r="L3" s="8">
        <v>3</v>
      </c>
      <c r="M3" s="8" t="s">
        <v>1391</v>
      </c>
      <c r="N3" s="8" t="s">
        <v>313</v>
      </c>
      <c r="O3" s="8" t="s">
        <v>284</v>
      </c>
      <c r="P3" s="8" t="s">
        <v>53</v>
      </c>
      <c r="Q3" s="8">
        <v>5</v>
      </c>
      <c r="R3" s="19">
        <v>3150</v>
      </c>
      <c r="S3" s="19" t="s">
        <v>1289</v>
      </c>
      <c r="T3" s="8">
        <v>36</v>
      </c>
      <c r="U3" s="8">
        <v>46</v>
      </c>
      <c r="V3" s="8" t="s">
        <v>604</v>
      </c>
      <c r="W3" s="13">
        <v>1656</v>
      </c>
      <c r="X3" s="8">
        <v>37.5625</v>
      </c>
      <c r="Y3" s="8">
        <v>47.5625</v>
      </c>
      <c r="Z3" s="8" t="s">
        <v>1392</v>
      </c>
      <c r="AA3" s="8">
        <v>151</v>
      </c>
      <c r="AC3" s="355">
        <v>8.5694444444444448E-2</v>
      </c>
      <c r="AD3" s="355"/>
      <c r="AE3" s="8" t="s">
        <v>41</v>
      </c>
    </row>
    <row r="4" spans="1:31" ht="15.75" customHeight="1" x14ac:dyDescent="0.65">
      <c r="A4" s="356" t="str">
        <f t="shared" ref="A4:D4" si="2">M4</f>
        <v>Scott &amp; Kitty Williams</v>
      </c>
      <c r="B4" s="356" t="str">
        <f t="shared" si="2"/>
        <v>Lake La Quinta Sunrise</v>
      </c>
      <c r="C4" s="356" t="str">
        <f t="shared" si="2"/>
        <v>29 x 38</v>
      </c>
      <c r="D4" s="356" t="str">
        <f t="shared" si="2"/>
        <v>Gold EH</v>
      </c>
      <c r="E4" s="353"/>
      <c r="F4" s="353"/>
      <c r="G4" s="353">
        <v>45273</v>
      </c>
      <c r="H4" s="8">
        <v>7</v>
      </c>
      <c r="I4" s="354"/>
      <c r="J4" s="21">
        <v>45259</v>
      </c>
      <c r="K4" s="8" t="s">
        <v>1390</v>
      </c>
      <c r="L4" s="8">
        <v>3</v>
      </c>
      <c r="M4" s="8" t="s">
        <v>1391</v>
      </c>
      <c r="N4" s="8" t="s">
        <v>499</v>
      </c>
      <c r="O4" s="8" t="s">
        <v>340</v>
      </c>
      <c r="P4" s="8" t="s">
        <v>53</v>
      </c>
      <c r="Q4" s="8">
        <v>23</v>
      </c>
      <c r="R4" s="19">
        <v>3150</v>
      </c>
      <c r="S4" s="19" t="s">
        <v>1289</v>
      </c>
      <c r="T4" s="8">
        <v>29</v>
      </c>
      <c r="U4" s="8">
        <v>38</v>
      </c>
      <c r="V4" s="8" t="s">
        <v>604</v>
      </c>
      <c r="W4" s="13">
        <v>1102</v>
      </c>
      <c r="X4" s="8">
        <v>30.5625</v>
      </c>
      <c r="Y4" s="8">
        <v>39.5625</v>
      </c>
      <c r="Z4" s="8" t="s">
        <v>1393</v>
      </c>
      <c r="AA4" s="8">
        <v>129</v>
      </c>
      <c r="AC4" s="355">
        <v>8.5694444444444448E-2</v>
      </c>
      <c r="AD4" s="355"/>
      <c r="AE4" s="8" t="s">
        <v>41</v>
      </c>
    </row>
    <row r="5" spans="1:31" ht="15.75" customHeight="1" x14ac:dyDescent="0.65">
      <c r="A5" s="356" t="str">
        <f t="shared" ref="A5:D5" si="3">M5</f>
        <v>Linda Van Gelder</v>
      </c>
      <c r="B5" s="356" t="str">
        <f t="shared" si="3"/>
        <v>Radiant Sky</v>
      </c>
      <c r="C5" s="356" t="str">
        <f t="shared" si="3"/>
        <v>32 x 48</v>
      </c>
      <c r="D5" s="356" t="str">
        <f t="shared" si="3"/>
        <v>Gold EH</v>
      </c>
      <c r="E5" s="353"/>
      <c r="F5" s="353"/>
      <c r="G5" s="353">
        <v>45274</v>
      </c>
      <c r="H5" s="8">
        <v>8</v>
      </c>
      <c r="I5" s="354"/>
      <c r="J5" s="21">
        <v>45260</v>
      </c>
      <c r="K5" s="8" t="s">
        <v>1387</v>
      </c>
      <c r="L5" s="8">
        <v>3</v>
      </c>
      <c r="M5" s="8" t="s">
        <v>1394</v>
      </c>
      <c r="N5" s="8" t="s">
        <v>432</v>
      </c>
      <c r="O5" s="8" t="s">
        <v>225</v>
      </c>
      <c r="P5" s="8" t="s">
        <v>53</v>
      </c>
      <c r="Q5" s="8">
        <v>9</v>
      </c>
      <c r="R5" s="19">
        <v>3300</v>
      </c>
      <c r="S5" s="19" t="s">
        <v>1289</v>
      </c>
      <c r="T5" s="8">
        <v>32</v>
      </c>
      <c r="U5" s="8">
        <v>48</v>
      </c>
      <c r="V5" s="8" t="s">
        <v>241</v>
      </c>
      <c r="W5" s="13">
        <v>1536</v>
      </c>
      <c r="X5" s="8">
        <v>33.5625</v>
      </c>
      <c r="Y5" s="8">
        <v>49.5625</v>
      </c>
      <c r="Z5" s="19" t="s">
        <v>1395</v>
      </c>
      <c r="AA5" s="8">
        <v>145</v>
      </c>
      <c r="AC5" s="355">
        <v>9.1527777777777791E-2</v>
      </c>
      <c r="AE5" s="8" t="s">
        <v>41</v>
      </c>
    </row>
    <row r="6" spans="1:31" ht="15.75" customHeight="1" x14ac:dyDescent="0.65">
      <c r="A6" s="356" t="str">
        <f t="shared" ref="A6:D6" si="4">M6</f>
        <v>Linda Van Gelder</v>
      </c>
      <c r="B6" s="356" t="str">
        <f t="shared" si="4"/>
        <v>January Reflections</v>
      </c>
      <c r="C6" s="356" t="str">
        <f t="shared" si="4"/>
        <v>30 x 40</v>
      </c>
      <c r="D6" s="356" t="str">
        <f t="shared" si="4"/>
        <v>Gold EH</v>
      </c>
      <c r="E6" s="353"/>
      <c r="F6" s="353"/>
      <c r="G6" s="353">
        <v>45274</v>
      </c>
      <c r="H6" s="8">
        <v>8</v>
      </c>
      <c r="I6" s="354"/>
      <c r="J6" s="21">
        <v>45260</v>
      </c>
      <c r="K6" s="8" t="s">
        <v>1387</v>
      </c>
      <c r="L6" s="8">
        <v>3</v>
      </c>
      <c r="M6" s="8" t="s">
        <v>1394</v>
      </c>
      <c r="N6" s="8" t="s">
        <v>1396</v>
      </c>
      <c r="O6" s="8" t="s">
        <v>114</v>
      </c>
      <c r="P6" s="8" t="s">
        <v>53</v>
      </c>
      <c r="Q6" s="8">
        <v>2</v>
      </c>
      <c r="R6" s="19">
        <v>2625</v>
      </c>
      <c r="S6" s="19" t="s">
        <v>1289</v>
      </c>
      <c r="T6" s="8">
        <v>30</v>
      </c>
      <c r="U6" s="8">
        <v>40</v>
      </c>
      <c r="V6" s="8" t="s">
        <v>241</v>
      </c>
      <c r="W6" s="13">
        <v>1200</v>
      </c>
      <c r="X6" s="8">
        <v>31.5625</v>
      </c>
      <c r="Y6" s="8">
        <v>41.5625</v>
      </c>
      <c r="Z6" s="19" t="s">
        <v>1397</v>
      </c>
      <c r="AA6" s="8">
        <v>133</v>
      </c>
      <c r="AC6" s="355">
        <v>9.1527777777777791E-2</v>
      </c>
      <c r="AE6" s="8" t="s">
        <v>41</v>
      </c>
    </row>
    <row r="7" spans="1:31" ht="15.75" customHeight="1" x14ac:dyDescent="0.65">
      <c r="A7" s="356" t="str">
        <f t="shared" ref="A7:D7" si="5">M7</f>
        <v>Arleen Anderson</v>
      </c>
      <c r="B7" s="356" t="str">
        <f t="shared" si="5"/>
        <v>Aspen Hues</v>
      </c>
      <c r="C7" s="356" t="str">
        <f t="shared" si="5"/>
        <v>29 x 38</v>
      </c>
      <c r="D7" s="356" t="str">
        <f t="shared" si="5"/>
        <v>Gold EH</v>
      </c>
      <c r="E7" s="353"/>
      <c r="F7" s="353"/>
      <c r="G7" s="353">
        <v>45275</v>
      </c>
      <c r="H7" s="8">
        <v>9</v>
      </c>
      <c r="I7" s="354"/>
      <c r="J7" s="21">
        <v>45261</v>
      </c>
      <c r="K7" s="8" t="s">
        <v>1387</v>
      </c>
      <c r="L7" s="8">
        <v>3</v>
      </c>
      <c r="M7" s="8" t="s">
        <v>764</v>
      </c>
      <c r="N7" s="8" t="s">
        <v>439</v>
      </c>
      <c r="O7" s="8" t="s">
        <v>340</v>
      </c>
      <c r="P7" s="8" t="s">
        <v>53</v>
      </c>
      <c r="Q7" s="8">
        <v>1</v>
      </c>
      <c r="R7" s="19">
        <v>3200</v>
      </c>
      <c r="S7" s="19">
        <v>0</v>
      </c>
      <c r="T7" s="8">
        <v>29</v>
      </c>
      <c r="U7" s="8">
        <v>38</v>
      </c>
      <c r="V7" s="8" t="s">
        <v>241</v>
      </c>
      <c r="W7" s="13">
        <v>1102</v>
      </c>
      <c r="X7" s="8">
        <v>30.5625</v>
      </c>
      <c r="Y7" s="8">
        <v>39.5625</v>
      </c>
      <c r="Z7" s="19" t="s">
        <v>1393</v>
      </c>
      <c r="AA7" s="8">
        <v>129</v>
      </c>
      <c r="AC7" s="355">
        <v>9.1527777777777791E-2</v>
      </c>
      <c r="AE7" s="8" t="s">
        <v>41</v>
      </c>
    </row>
    <row r="8" spans="1:31" ht="15.75" customHeight="1" x14ac:dyDescent="0.65">
      <c r="A8" s="356" t="str">
        <f t="shared" ref="A8:D8" si="6">M8</f>
        <v>Elizabeth McCann</v>
      </c>
      <c r="B8" s="356" t="str">
        <f t="shared" si="6"/>
        <v>Hills of Dawn</v>
      </c>
      <c r="C8" s="356" t="str">
        <f t="shared" si="6"/>
        <v>27 x 40</v>
      </c>
      <c r="D8" s="356" t="str">
        <f t="shared" si="6"/>
        <v>Silver EH</v>
      </c>
      <c r="E8" s="353"/>
      <c r="F8" s="353"/>
      <c r="G8" s="353">
        <v>45275</v>
      </c>
      <c r="H8" s="8">
        <v>9</v>
      </c>
      <c r="I8" s="354"/>
      <c r="J8" s="21">
        <v>45261</v>
      </c>
      <c r="K8" s="8" t="s">
        <v>1398</v>
      </c>
      <c r="L8" s="8">
        <v>2</v>
      </c>
      <c r="M8" s="8" t="s">
        <v>435</v>
      </c>
      <c r="N8" s="8" t="s">
        <v>400</v>
      </c>
      <c r="O8" s="8" t="s">
        <v>92</v>
      </c>
      <c r="P8" s="8" t="s">
        <v>40</v>
      </c>
      <c r="Q8" s="8">
        <v>2</v>
      </c>
      <c r="R8" s="19">
        <v>2325</v>
      </c>
      <c r="S8" s="19" t="s">
        <v>1289</v>
      </c>
      <c r="T8" s="8">
        <v>27</v>
      </c>
      <c r="U8" s="8">
        <v>40</v>
      </c>
      <c r="V8" s="8" t="s">
        <v>241</v>
      </c>
      <c r="W8" s="13">
        <v>1080</v>
      </c>
      <c r="X8" s="8">
        <v>28.5625</v>
      </c>
      <c r="Y8" s="8">
        <v>41.5625</v>
      </c>
      <c r="Z8" s="19" t="s">
        <v>1399</v>
      </c>
      <c r="AA8" s="8">
        <v>127</v>
      </c>
      <c r="AC8" s="355">
        <v>9.1527777777777791E-2</v>
      </c>
      <c r="AE8" s="8" t="s">
        <v>41</v>
      </c>
    </row>
    <row r="9" spans="1:31" ht="15.75" customHeight="1" x14ac:dyDescent="0.65">
      <c r="A9" s="356" t="str">
        <f t="shared" ref="A9:D9" si="7">M9</f>
        <v>Elizabeth McCann</v>
      </c>
      <c r="B9" s="356" t="str">
        <f t="shared" si="7"/>
        <v>Winding Blooms</v>
      </c>
      <c r="C9" s="356" t="str">
        <f t="shared" si="7"/>
        <v>8 x 16</v>
      </c>
      <c r="D9" s="356" t="str">
        <f t="shared" si="7"/>
        <v>Silver EH</v>
      </c>
      <c r="E9" s="353"/>
      <c r="F9" s="353"/>
      <c r="G9" s="353">
        <v>45275</v>
      </c>
      <c r="H9" s="8">
        <v>9</v>
      </c>
      <c r="I9" s="354"/>
      <c r="J9" s="21">
        <v>45261</v>
      </c>
      <c r="K9" s="8" t="s">
        <v>1398</v>
      </c>
      <c r="L9" s="8">
        <v>2</v>
      </c>
      <c r="M9" s="8" t="s">
        <v>435</v>
      </c>
      <c r="N9" s="8" t="s">
        <v>1400</v>
      </c>
      <c r="O9" s="8" t="s">
        <v>389</v>
      </c>
      <c r="P9" s="8" t="s">
        <v>40</v>
      </c>
      <c r="Q9" s="8">
        <v>1</v>
      </c>
      <c r="R9" s="19">
        <v>525</v>
      </c>
      <c r="S9" s="19" t="s">
        <v>1289</v>
      </c>
      <c r="T9" s="8">
        <v>8</v>
      </c>
      <c r="U9" s="8">
        <v>16</v>
      </c>
      <c r="V9" s="8" t="s">
        <v>241</v>
      </c>
      <c r="W9" s="13">
        <v>128</v>
      </c>
      <c r="X9" s="8">
        <v>9.5625</v>
      </c>
      <c r="Y9" s="8">
        <v>17.5625</v>
      </c>
      <c r="Z9" s="19" t="s">
        <v>1401</v>
      </c>
      <c r="AA9" s="8">
        <v>65</v>
      </c>
      <c r="AC9" s="355">
        <v>9.1527777777777791E-2</v>
      </c>
      <c r="AE9" s="8" t="s">
        <v>41</v>
      </c>
    </row>
    <row r="10" spans="1:31" ht="15.75" customHeight="1" x14ac:dyDescent="0.65">
      <c r="A10" s="356">
        <f t="shared" ref="A10:D10" si="8">M10</f>
        <v>0</v>
      </c>
      <c r="B10" s="356">
        <f t="shared" si="8"/>
        <v>0</v>
      </c>
      <c r="C10" s="356">
        <f t="shared" si="8"/>
        <v>0</v>
      </c>
      <c r="D10" s="356">
        <f t="shared" si="8"/>
        <v>0</v>
      </c>
      <c r="E10" s="353"/>
      <c r="F10" s="353"/>
      <c r="G10" s="353"/>
      <c r="I10" s="354"/>
      <c r="J10" s="21"/>
      <c r="R10" s="19"/>
      <c r="S10" s="19"/>
      <c r="W10" s="13"/>
      <c r="Z10" s="19"/>
      <c r="AC10" s="355"/>
    </row>
    <row r="11" spans="1:31" ht="15.75" customHeight="1" x14ac:dyDescent="0.65">
      <c r="A11" s="356" t="str">
        <f t="shared" ref="A11:D11" si="9">M11</f>
        <v>Jessica Greer</v>
      </c>
      <c r="B11" s="356" t="str">
        <f t="shared" si="9"/>
        <v>Cypress Water</v>
      </c>
      <c r="C11" s="356" t="str">
        <f t="shared" si="9"/>
        <v>36 x 36</v>
      </c>
      <c r="D11" s="356" t="str">
        <f t="shared" si="9"/>
        <v>Black</v>
      </c>
      <c r="E11" s="353"/>
      <c r="F11" s="353"/>
      <c r="G11" s="353">
        <v>45275</v>
      </c>
      <c r="H11" s="8">
        <v>9</v>
      </c>
      <c r="I11" s="354"/>
      <c r="J11" s="21">
        <v>45261</v>
      </c>
      <c r="K11" s="8" t="s">
        <v>1402</v>
      </c>
      <c r="L11" s="8">
        <v>2</v>
      </c>
      <c r="M11" s="8" t="s">
        <v>1403</v>
      </c>
      <c r="N11" s="8" t="s">
        <v>1404</v>
      </c>
      <c r="O11" s="8" t="s">
        <v>282</v>
      </c>
      <c r="P11" s="8" t="s">
        <v>1</v>
      </c>
      <c r="Q11" s="8">
        <v>3</v>
      </c>
      <c r="R11" s="19">
        <v>2775</v>
      </c>
      <c r="S11" s="19">
        <v>0</v>
      </c>
      <c r="T11" s="8">
        <v>36</v>
      </c>
      <c r="U11" s="8">
        <v>36</v>
      </c>
      <c r="V11" s="8" t="s">
        <v>241</v>
      </c>
      <c r="W11" s="13">
        <v>1296</v>
      </c>
      <c r="X11" s="8">
        <v>37.375</v>
      </c>
      <c r="Y11" s="8">
        <v>37.375</v>
      </c>
      <c r="Z11" s="19" t="s">
        <v>1190</v>
      </c>
      <c r="AA11" s="8">
        <v>141</v>
      </c>
      <c r="AC11" s="355">
        <v>9.1527777777777791E-2</v>
      </c>
      <c r="AE11" s="8" t="s">
        <v>41</v>
      </c>
    </row>
    <row r="12" spans="1:31" ht="15.75" customHeight="1" x14ac:dyDescent="0.65">
      <c r="A12" s="356" t="str">
        <f t="shared" ref="A12:D12" si="10">M12</f>
        <v>Linda and Gary  Wallmark</v>
      </c>
      <c r="B12" s="356" t="str">
        <f t="shared" si="10"/>
        <v>Crystal Grove II</v>
      </c>
      <c r="C12" s="356" t="str">
        <f t="shared" si="10"/>
        <v>36 x 48</v>
      </c>
      <c r="D12" s="356" t="str">
        <f t="shared" si="10"/>
        <v>Black</v>
      </c>
      <c r="E12" s="353"/>
      <c r="F12" s="353"/>
      <c r="G12" s="353">
        <v>45275</v>
      </c>
      <c r="H12" s="8">
        <v>9</v>
      </c>
      <c r="I12" s="354"/>
      <c r="J12" s="21">
        <v>45261</v>
      </c>
      <c r="K12" s="8" t="s">
        <v>1390</v>
      </c>
      <c r="L12" s="8">
        <v>3</v>
      </c>
      <c r="M12" s="8" t="s">
        <v>1406</v>
      </c>
      <c r="N12" s="8" t="s">
        <v>1407</v>
      </c>
      <c r="O12" s="8" t="s">
        <v>124</v>
      </c>
      <c r="P12" s="8" t="s">
        <v>1</v>
      </c>
      <c r="Q12" s="8">
        <v>0</v>
      </c>
      <c r="R12" s="19">
        <v>2325</v>
      </c>
      <c r="S12" s="19">
        <v>0</v>
      </c>
      <c r="T12" s="8">
        <v>36</v>
      </c>
      <c r="U12" s="8">
        <v>48</v>
      </c>
      <c r="V12" s="8" t="s">
        <v>1408</v>
      </c>
      <c r="W12" s="13">
        <v>1728</v>
      </c>
      <c r="X12" s="8">
        <v>37.375</v>
      </c>
      <c r="Y12" s="8">
        <v>49.375</v>
      </c>
      <c r="Z12" s="19" t="s">
        <v>1409</v>
      </c>
      <c r="AA12" s="8">
        <v>153</v>
      </c>
      <c r="AC12" s="355">
        <v>8.3888888888888888E-2</v>
      </c>
      <c r="AE12" s="8" t="s">
        <v>41</v>
      </c>
    </row>
    <row r="13" spans="1:31" ht="15.75" customHeight="1" x14ac:dyDescent="0.65">
      <c r="A13" s="356" t="str">
        <f t="shared" ref="A13:D13" si="11">M13</f>
        <v>Kathy   Sinz</v>
      </c>
      <c r="B13" s="356" t="str">
        <f t="shared" si="11"/>
        <v>The Path</v>
      </c>
      <c r="C13" s="356" t="str">
        <f t="shared" si="11"/>
        <v>22 x 32</v>
      </c>
      <c r="D13" s="356" t="str">
        <f t="shared" si="11"/>
        <v>Black</v>
      </c>
      <c r="E13" s="353"/>
      <c r="F13" s="353"/>
      <c r="G13" s="353">
        <v>45282</v>
      </c>
      <c r="H13" s="8">
        <v>16</v>
      </c>
      <c r="I13" s="354"/>
      <c r="J13" s="21">
        <v>45268</v>
      </c>
      <c r="K13" s="8" t="s">
        <v>1390</v>
      </c>
      <c r="L13" s="8">
        <v>3</v>
      </c>
      <c r="M13" s="8" t="s">
        <v>1410</v>
      </c>
      <c r="N13" s="8" t="s">
        <v>249</v>
      </c>
      <c r="O13" s="8" t="s">
        <v>234</v>
      </c>
      <c r="P13" s="8" t="s">
        <v>1</v>
      </c>
      <c r="Q13" s="8">
        <v>0</v>
      </c>
      <c r="R13" s="19">
        <v>1700</v>
      </c>
      <c r="S13" s="19">
        <v>0</v>
      </c>
      <c r="T13" s="8">
        <v>22</v>
      </c>
      <c r="U13" s="8">
        <v>32</v>
      </c>
      <c r="V13" s="8" t="s">
        <v>1408</v>
      </c>
      <c r="W13" s="13">
        <v>704</v>
      </c>
      <c r="X13" s="8">
        <v>23.375</v>
      </c>
      <c r="Y13" s="8">
        <v>33.375</v>
      </c>
      <c r="Z13" s="19" t="s">
        <v>1307</v>
      </c>
      <c r="AA13" s="8">
        <v>109</v>
      </c>
      <c r="AC13" s="355">
        <v>8.3888888888888888E-2</v>
      </c>
      <c r="AE13" s="8" t="s">
        <v>41</v>
      </c>
    </row>
    <row r="14" spans="1:31" ht="15.75" customHeight="1" x14ac:dyDescent="0.65">
      <c r="A14" s="356" t="str">
        <f t="shared" ref="A14:D14" si="12">M14</f>
        <v>Richard McLean</v>
      </c>
      <c r="B14" s="356" t="str">
        <f t="shared" si="12"/>
        <v>Crystal Aspen</v>
      </c>
      <c r="C14" s="356" t="str">
        <f t="shared" si="12"/>
        <v>24 x 36</v>
      </c>
      <c r="D14" s="356" t="str">
        <f t="shared" si="12"/>
        <v>Gold</v>
      </c>
      <c r="E14" s="353"/>
      <c r="F14" s="353"/>
      <c r="G14" s="353">
        <v>45274</v>
      </c>
      <c r="H14" s="8">
        <v>8</v>
      </c>
      <c r="I14" s="354"/>
      <c r="J14" s="21">
        <v>45260</v>
      </c>
      <c r="K14" s="8" t="s">
        <v>1411</v>
      </c>
      <c r="L14" s="8">
        <v>2</v>
      </c>
      <c r="M14" s="8" t="s">
        <v>1412</v>
      </c>
      <c r="N14" s="8" t="s">
        <v>545</v>
      </c>
      <c r="O14" s="8" t="s">
        <v>119</v>
      </c>
      <c r="P14" s="8" t="s">
        <v>51</v>
      </c>
      <c r="Q14" s="8">
        <v>0</v>
      </c>
      <c r="R14" s="19">
        <v>1500</v>
      </c>
      <c r="S14" s="19" t="s">
        <v>1289</v>
      </c>
      <c r="T14" s="8">
        <v>24</v>
      </c>
      <c r="U14" s="8">
        <v>36</v>
      </c>
      <c r="V14" s="8" t="s">
        <v>1408</v>
      </c>
      <c r="W14" s="13">
        <v>864</v>
      </c>
      <c r="X14" s="8">
        <v>25.375</v>
      </c>
      <c r="Y14" s="8">
        <v>37.375</v>
      </c>
      <c r="Z14" s="19" t="s">
        <v>1168</v>
      </c>
      <c r="AA14" s="8">
        <v>117</v>
      </c>
      <c r="AC14" s="355">
        <v>8.3888888888888888E-2</v>
      </c>
      <c r="AE14" s="8" t="s">
        <v>41</v>
      </c>
    </row>
    <row r="15" spans="1:31" ht="15.75" customHeight="1" x14ac:dyDescent="0.65">
      <c r="A15" s="356" t="str">
        <f t="shared" ref="A15:D15" si="13">M15</f>
        <v>Richard McLean</v>
      </c>
      <c r="B15" s="356" t="str">
        <f t="shared" si="13"/>
        <v>Grand Canyon</v>
      </c>
      <c r="C15" s="356" t="str">
        <f t="shared" si="13"/>
        <v>29 x 36</v>
      </c>
      <c r="D15" s="356" t="str">
        <f t="shared" si="13"/>
        <v>Gold</v>
      </c>
      <c r="E15" s="353"/>
      <c r="F15" s="353"/>
      <c r="G15" s="353">
        <v>45274</v>
      </c>
      <c r="H15" s="8">
        <v>8</v>
      </c>
      <c r="I15" s="354"/>
      <c r="J15" s="21">
        <v>45260</v>
      </c>
      <c r="K15" s="8" t="s">
        <v>1411</v>
      </c>
      <c r="L15" s="8">
        <v>2</v>
      </c>
      <c r="M15" s="8" t="s">
        <v>1412</v>
      </c>
      <c r="N15" s="8" t="s">
        <v>1367</v>
      </c>
      <c r="O15" s="8" t="s">
        <v>339</v>
      </c>
      <c r="P15" s="8" t="s">
        <v>51</v>
      </c>
      <c r="Q15" s="8">
        <v>0</v>
      </c>
      <c r="R15" s="19">
        <v>1425</v>
      </c>
      <c r="S15" s="19" t="s">
        <v>1289</v>
      </c>
      <c r="T15" s="8">
        <v>29</v>
      </c>
      <c r="U15" s="8">
        <v>36</v>
      </c>
      <c r="V15" s="8" t="s">
        <v>1408</v>
      </c>
      <c r="W15" s="13">
        <v>1044</v>
      </c>
      <c r="X15" s="8">
        <v>30.375</v>
      </c>
      <c r="Y15" s="8">
        <v>37.375</v>
      </c>
      <c r="Z15" s="19" t="s">
        <v>1339</v>
      </c>
      <c r="AA15" s="8">
        <v>127</v>
      </c>
      <c r="AC15" s="355">
        <v>8.3888888888888888E-2</v>
      </c>
      <c r="AE15" s="8" t="s">
        <v>41</v>
      </c>
    </row>
    <row r="16" spans="1:31" ht="15.75" customHeight="1" x14ac:dyDescent="0.65">
      <c r="A16" s="356" t="str">
        <f t="shared" ref="A16:D16" si="14">M16</f>
        <v>Sean Petteway</v>
      </c>
      <c r="B16" s="356" t="str">
        <f t="shared" si="14"/>
        <v>Sunflower Fields</v>
      </c>
      <c r="C16" s="356" t="str">
        <f t="shared" si="14"/>
        <v>8 x 16</v>
      </c>
      <c r="D16" s="356" t="str">
        <f t="shared" si="14"/>
        <v>Gold</v>
      </c>
      <c r="E16" s="353"/>
      <c r="F16" s="353"/>
      <c r="G16" s="353">
        <v>45282</v>
      </c>
      <c r="H16" s="8">
        <v>16</v>
      </c>
      <c r="I16" s="354"/>
      <c r="J16" s="21">
        <v>45268</v>
      </c>
      <c r="K16" s="8" t="s">
        <v>1414</v>
      </c>
      <c r="L16" s="8">
        <v>2</v>
      </c>
      <c r="M16" s="8" t="s">
        <v>1415</v>
      </c>
      <c r="N16" s="8" t="s">
        <v>1340</v>
      </c>
      <c r="O16" s="8" t="s">
        <v>389</v>
      </c>
      <c r="P16" s="8" t="s">
        <v>51</v>
      </c>
      <c r="Q16" s="8">
        <v>0</v>
      </c>
      <c r="R16" s="19">
        <v>450</v>
      </c>
      <c r="S16" s="19">
        <v>0</v>
      </c>
      <c r="T16" s="8">
        <v>8</v>
      </c>
      <c r="U16" s="8">
        <v>16</v>
      </c>
      <c r="V16" s="8" t="s">
        <v>1408</v>
      </c>
      <c r="W16" s="13">
        <v>128</v>
      </c>
      <c r="X16" s="8">
        <v>9.375</v>
      </c>
      <c r="Y16" s="8">
        <v>17.375</v>
      </c>
      <c r="Z16" s="19" t="s">
        <v>1416</v>
      </c>
      <c r="AA16" s="8">
        <v>65</v>
      </c>
      <c r="AC16" s="355">
        <v>8.3888888888888888E-2</v>
      </c>
      <c r="AE16" s="8" t="s">
        <v>41</v>
      </c>
    </row>
    <row r="17" spans="1:31" ht="15.75" customHeight="1" x14ac:dyDescent="0.65">
      <c r="A17" s="356" t="str">
        <f t="shared" ref="A17:D17" si="15">M17</f>
        <v>Kathy  Sinz</v>
      </c>
      <c r="B17" s="356" t="str">
        <f t="shared" si="15"/>
        <v>Purple Irises</v>
      </c>
      <c r="C17" s="356" t="str">
        <f t="shared" si="15"/>
        <v>12 x 12</v>
      </c>
      <c r="D17" s="356" t="str">
        <f t="shared" si="15"/>
        <v>Gold</v>
      </c>
      <c r="E17" s="353"/>
      <c r="F17" s="353"/>
      <c r="G17" s="353">
        <v>45273</v>
      </c>
      <c r="H17" s="8">
        <v>7</v>
      </c>
      <c r="I17" s="354"/>
      <c r="J17" s="21">
        <v>45259</v>
      </c>
      <c r="K17" s="8" t="s">
        <v>1390</v>
      </c>
      <c r="L17" s="8">
        <v>3</v>
      </c>
      <c r="M17" s="8" t="s">
        <v>1417</v>
      </c>
      <c r="N17" s="8" t="s">
        <v>1418</v>
      </c>
      <c r="O17" s="8" t="s">
        <v>57</v>
      </c>
      <c r="P17" s="8" t="s">
        <v>51</v>
      </c>
      <c r="Q17" s="8">
        <v>0</v>
      </c>
      <c r="R17" s="19">
        <v>525</v>
      </c>
      <c r="S17" s="19" t="s">
        <v>1289</v>
      </c>
      <c r="T17" s="8">
        <v>12</v>
      </c>
      <c r="U17" s="8">
        <v>12</v>
      </c>
      <c r="V17" s="8" t="s">
        <v>1408</v>
      </c>
      <c r="W17" s="13">
        <v>144</v>
      </c>
      <c r="X17" s="8">
        <v>13.375</v>
      </c>
      <c r="Y17" s="8">
        <v>13.375</v>
      </c>
      <c r="Z17" s="19" t="s">
        <v>1288</v>
      </c>
      <c r="AA17" s="8">
        <v>69</v>
      </c>
      <c r="AC17" s="355">
        <v>7.1388888888888891E-2</v>
      </c>
      <c r="AE17" s="8" t="s">
        <v>986</v>
      </c>
    </row>
    <row r="18" spans="1:31" ht="15.75" customHeight="1" x14ac:dyDescent="0.65">
      <c r="A18" s="356" t="str">
        <f t="shared" ref="A18:D18" si="16">M18</f>
        <v>Lisa Lengtat</v>
      </c>
      <c r="B18" s="356" t="str">
        <f t="shared" si="16"/>
        <v>Coastal Poppies II</v>
      </c>
      <c r="C18" s="356" t="str">
        <f t="shared" si="16"/>
        <v>30 x 48</v>
      </c>
      <c r="D18" s="356" t="str">
        <f t="shared" si="16"/>
        <v>Gold</v>
      </c>
      <c r="E18" s="353"/>
      <c r="F18" s="353"/>
      <c r="G18" s="353">
        <v>45275</v>
      </c>
      <c r="H18" s="8">
        <v>9</v>
      </c>
      <c r="I18" s="354"/>
      <c r="J18" s="21">
        <v>45261</v>
      </c>
      <c r="K18" s="8" t="s">
        <v>1387</v>
      </c>
      <c r="L18" s="8">
        <v>3</v>
      </c>
      <c r="M18" s="8" t="s">
        <v>1419</v>
      </c>
      <c r="N18" s="8" t="s">
        <v>459</v>
      </c>
      <c r="O18" s="8" t="s">
        <v>61</v>
      </c>
      <c r="P18" s="8" t="s">
        <v>51</v>
      </c>
      <c r="Q18" s="8">
        <v>0</v>
      </c>
      <c r="R18" s="19">
        <v>1950</v>
      </c>
      <c r="S18" s="19" t="s">
        <v>1289</v>
      </c>
      <c r="T18" s="8">
        <v>30</v>
      </c>
      <c r="U18" s="8">
        <v>48</v>
      </c>
      <c r="V18" s="8" t="s">
        <v>1408</v>
      </c>
      <c r="W18" s="13">
        <v>1440</v>
      </c>
      <c r="X18" s="8">
        <v>31.375</v>
      </c>
      <c r="Y18" s="8">
        <v>49.375</v>
      </c>
      <c r="Z18" s="19" t="s">
        <v>1420</v>
      </c>
      <c r="AA18" s="8">
        <v>141</v>
      </c>
      <c r="AC18" s="355">
        <v>8.3888888888888888E-2</v>
      </c>
      <c r="AE18" s="8" t="s">
        <v>41</v>
      </c>
    </row>
    <row r="19" spans="1:31" ht="15.75" customHeight="1" x14ac:dyDescent="0.65">
      <c r="A19" s="356" t="str">
        <f t="shared" ref="A19:D19" si="17">M19</f>
        <v>Elaine Anthonise</v>
      </c>
      <c r="B19" s="356" t="str">
        <f t="shared" si="17"/>
        <v>Ocotillos and Blooms</v>
      </c>
      <c r="C19" s="356" t="str">
        <f t="shared" si="17"/>
        <v>29 x 37</v>
      </c>
      <c r="D19" s="356" t="str">
        <f t="shared" si="17"/>
        <v>Gold</v>
      </c>
      <c r="E19" s="353"/>
      <c r="F19" s="353"/>
      <c r="G19" s="353">
        <v>45276</v>
      </c>
      <c r="H19" s="8">
        <v>10</v>
      </c>
      <c r="I19" s="354"/>
      <c r="J19" s="21">
        <v>45262</v>
      </c>
      <c r="K19" s="8" t="s">
        <v>1421</v>
      </c>
      <c r="L19" s="8">
        <v>3</v>
      </c>
      <c r="M19" s="8" t="s">
        <v>1422</v>
      </c>
      <c r="N19" s="8" t="s">
        <v>313</v>
      </c>
      <c r="O19" s="8" t="s">
        <v>275</v>
      </c>
      <c r="P19" s="8" t="s">
        <v>51</v>
      </c>
      <c r="Q19" s="8">
        <v>0</v>
      </c>
      <c r="R19" s="19">
        <v>1500</v>
      </c>
      <c r="S19" s="19">
        <v>0</v>
      </c>
      <c r="T19" s="8">
        <v>29</v>
      </c>
      <c r="U19" s="8">
        <v>37</v>
      </c>
      <c r="V19" s="8" t="s">
        <v>1408</v>
      </c>
      <c r="W19" s="13">
        <v>1073</v>
      </c>
      <c r="X19" s="8">
        <v>30.375</v>
      </c>
      <c r="Y19" s="8">
        <v>38.375</v>
      </c>
      <c r="Z19" s="19" t="s">
        <v>1423</v>
      </c>
      <c r="AA19" s="8">
        <v>128</v>
      </c>
      <c r="AC19" s="355">
        <v>8.3888888888888888E-2</v>
      </c>
      <c r="AE19" s="8" t="s">
        <v>41</v>
      </c>
    </row>
    <row r="20" spans="1:31" ht="15.75" customHeight="1" x14ac:dyDescent="0.65">
      <c r="A20" s="356" t="str">
        <f t="shared" ref="A20:D20" si="18">M20</f>
        <v>Scott Henggeler</v>
      </c>
      <c r="B20" s="356" t="str">
        <f t="shared" si="18"/>
        <v>Palm Vista</v>
      </c>
      <c r="C20" s="356" t="str">
        <f t="shared" si="18"/>
        <v>50 x 70</v>
      </c>
      <c r="D20" s="356" t="str">
        <f t="shared" si="18"/>
        <v>Gold</v>
      </c>
      <c r="E20" s="353"/>
      <c r="F20" s="353"/>
      <c r="G20" s="353">
        <v>45279</v>
      </c>
      <c r="H20" s="8">
        <v>13</v>
      </c>
      <c r="I20" s="354"/>
      <c r="J20" s="21">
        <v>45265</v>
      </c>
      <c r="K20" s="8" t="s">
        <v>1387</v>
      </c>
      <c r="L20" s="8">
        <v>3</v>
      </c>
      <c r="M20" s="8" t="s">
        <v>1424</v>
      </c>
      <c r="N20" s="8" t="s">
        <v>1373</v>
      </c>
      <c r="O20" s="8" t="s">
        <v>388</v>
      </c>
      <c r="P20" s="8" t="s">
        <v>51</v>
      </c>
      <c r="Q20" s="8">
        <v>0</v>
      </c>
      <c r="R20" s="19">
        <v>5925</v>
      </c>
      <c r="S20" s="19">
        <v>0</v>
      </c>
      <c r="T20" s="8">
        <v>50</v>
      </c>
      <c r="U20" s="8">
        <v>70</v>
      </c>
      <c r="V20" s="8" t="s">
        <v>1408</v>
      </c>
      <c r="W20" s="13">
        <v>3500</v>
      </c>
      <c r="X20" s="8">
        <v>51.375</v>
      </c>
      <c r="Y20" s="8">
        <v>71.375</v>
      </c>
      <c r="Z20" s="19" t="s">
        <v>1425</v>
      </c>
      <c r="AA20" s="8">
        <v>203</v>
      </c>
      <c r="AC20" s="355">
        <v>0.28375</v>
      </c>
      <c r="AE20" s="8" t="s">
        <v>384</v>
      </c>
    </row>
    <row r="21" spans="1:31" ht="15.75" customHeight="1" x14ac:dyDescent="0.65">
      <c r="A21" s="356" t="str">
        <f t="shared" ref="A21:D21" si="19">M21</f>
        <v>Marc Wilmes-Reitz</v>
      </c>
      <c r="B21" s="356" t="str">
        <f t="shared" si="19"/>
        <v>Cypress Radiance</v>
      </c>
      <c r="C21" s="356" t="str">
        <f t="shared" si="19"/>
        <v>36 x 60</v>
      </c>
      <c r="D21" s="356" t="str">
        <f t="shared" si="19"/>
        <v>Gold</v>
      </c>
      <c r="E21" s="353"/>
      <c r="F21" s="353"/>
      <c r="G21" s="353">
        <v>45281</v>
      </c>
      <c r="H21" s="8">
        <v>15</v>
      </c>
      <c r="I21" s="354"/>
      <c r="J21" s="21">
        <v>45267</v>
      </c>
      <c r="K21" s="8" t="s">
        <v>1387</v>
      </c>
      <c r="L21" s="8">
        <v>3</v>
      </c>
      <c r="M21" s="8" t="s">
        <v>1426</v>
      </c>
      <c r="N21" s="8" t="s">
        <v>1292</v>
      </c>
      <c r="O21" s="8" t="s">
        <v>185</v>
      </c>
      <c r="P21" s="8" t="s">
        <v>51</v>
      </c>
      <c r="Q21" s="8">
        <v>0</v>
      </c>
      <c r="R21" s="19">
        <v>4125</v>
      </c>
      <c r="S21" s="19">
        <v>0</v>
      </c>
      <c r="T21" s="8">
        <v>36</v>
      </c>
      <c r="U21" s="8">
        <v>60</v>
      </c>
      <c r="V21" s="8" t="s">
        <v>1408</v>
      </c>
      <c r="W21" s="13">
        <v>2160</v>
      </c>
      <c r="X21" s="8">
        <v>37.375</v>
      </c>
      <c r="Y21" s="8">
        <v>61.375</v>
      </c>
      <c r="Z21" s="19" t="s">
        <v>1303</v>
      </c>
      <c r="AA21" s="8">
        <v>165</v>
      </c>
      <c r="AC21" s="355">
        <v>8.3888888888888888E-2</v>
      </c>
      <c r="AE21" s="8" t="s">
        <v>41</v>
      </c>
    </row>
    <row r="22" spans="1:31" ht="15.75" customHeight="1" x14ac:dyDescent="0.65">
      <c r="A22" s="356" t="str">
        <f t="shared" ref="A22:D22" si="20">M22</f>
        <v>Max and Janette  Nardoni</v>
      </c>
      <c r="B22" s="356" t="str">
        <f t="shared" si="20"/>
        <v>La Quinta Sky</v>
      </c>
      <c r="C22" s="356" t="str">
        <f t="shared" si="20"/>
        <v>36 x 60</v>
      </c>
      <c r="D22" s="356" t="str">
        <f t="shared" si="20"/>
        <v>Silver</v>
      </c>
      <c r="E22" s="353"/>
      <c r="F22" s="353"/>
      <c r="G22" s="353">
        <v>45276</v>
      </c>
      <c r="H22" s="8">
        <v>10</v>
      </c>
      <c r="I22" s="354"/>
      <c r="J22" s="21">
        <v>45262</v>
      </c>
      <c r="K22" s="8" t="s">
        <v>1390</v>
      </c>
      <c r="L22" s="8">
        <v>3</v>
      </c>
      <c r="M22" s="8" t="s">
        <v>1427</v>
      </c>
      <c r="N22" s="8" t="s">
        <v>1428</v>
      </c>
      <c r="O22" s="8" t="s">
        <v>185</v>
      </c>
      <c r="P22" s="8" t="s">
        <v>58</v>
      </c>
      <c r="Q22" s="8">
        <v>0</v>
      </c>
      <c r="R22" s="19">
        <v>5500</v>
      </c>
      <c r="S22" s="19">
        <v>0</v>
      </c>
      <c r="T22" s="8">
        <v>36</v>
      </c>
      <c r="U22" s="8">
        <v>60</v>
      </c>
      <c r="V22" s="8" t="s">
        <v>1408</v>
      </c>
      <c r="W22" s="13">
        <v>2160</v>
      </c>
      <c r="X22" s="8">
        <v>37.375</v>
      </c>
      <c r="Y22" s="8">
        <v>61.375</v>
      </c>
      <c r="Z22" s="19" t="s">
        <v>1303</v>
      </c>
      <c r="AA22" s="8">
        <v>165</v>
      </c>
      <c r="AC22" s="355">
        <v>7.1388888888888891E-2</v>
      </c>
      <c r="AE22" s="8" t="s">
        <v>986</v>
      </c>
    </row>
  </sheetData>
  <printOptions horizontalCentered="1" gridLines="1"/>
  <pageMargins left="0.7" right="0.7" top="0.75" bottom="0.75" header="0" footer="0"/>
  <pageSetup fitToHeight="0" pageOrder="overThenDown" orientation="portrait" cellComments="atEnd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E2053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.75" customHeight="1" x14ac:dyDescent="0.4"/>
  <cols>
    <col min="1" max="1" width="21.7109375" customWidth="1"/>
    <col min="2" max="2" width="44.140625" customWidth="1"/>
    <col min="3" max="3" width="41.7109375" customWidth="1"/>
    <col min="4" max="4" width="9.85546875" customWidth="1"/>
    <col min="5" max="5" width="13" customWidth="1"/>
  </cols>
  <sheetData>
    <row r="1" spans="1:5" ht="15.75" customHeight="1" x14ac:dyDescent="0.5">
      <c r="A1" s="357" t="s">
        <v>12</v>
      </c>
      <c r="B1" s="5" t="s">
        <v>2</v>
      </c>
      <c r="C1" s="5" t="s">
        <v>1010</v>
      </c>
      <c r="D1" s="358" t="s">
        <v>20</v>
      </c>
      <c r="E1" s="358" t="s">
        <v>4</v>
      </c>
    </row>
    <row r="2" spans="1:5" x14ac:dyDescent="0.45">
      <c r="A2" s="359">
        <v>44840</v>
      </c>
      <c r="B2" s="6" t="s">
        <v>402</v>
      </c>
      <c r="C2" s="12" t="s">
        <v>931</v>
      </c>
      <c r="D2" s="360"/>
      <c r="E2" s="360">
        <v>255</v>
      </c>
    </row>
    <row r="3" spans="1:5" x14ac:dyDescent="0.45">
      <c r="A3" s="359">
        <v>44840</v>
      </c>
      <c r="B3" s="6" t="s">
        <v>1430</v>
      </c>
      <c r="C3" s="12" t="s">
        <v>545</v>
      </c>
      <c r="D3" s="360"/>
      <c r="E3" s="360">
        <v>770</v>
      </c>
    </row>
    <row r="4" spans="1:5" x14ac:dyDescent="0.45">
      <c r="A4" s="359">
        <v>44842</v>
      </c>
      <c r="B4" s="6" t="s">
        <v>1431</v>
      </c>
      <c r="C4" s="6" t="s">
        <v>1056</v>
      </c>
      <c r="D4" s="361"/>
      <c r="E4" s="361">
        <v>0</v>
      </c>
    </row>
    <row r="5" spans="1:5" x14ac:dyDescent="0.45">
      <c r="A5" s="359">
        <v>44842</v>
      </c>
      <c r="B5" s="6" t="s">
        <v>1432</v>
      </c>
      <c r="C5" s="6" t="s">
        <v>1219</v>
      </c>
      <c r="D5" s="361"/>
      <c r="E5" s="361">
        <v>1111</v>
      </c>
    </row>
    <row r="6" spans="1:5" x14ac:dyDescent="0.45">
      <c r="A6" s="359">
        <v>44842</v>
      </c>
      <c r="B6" s="6" t="s">
        <v>1432</v>
      </c>
      <c r="C6" s="6" t="s">
        <v>1219</v>
      </c>
      <c r="D6" s="361"/>
      <c r="E6" s="361">
        <v>1111</v>
      </c>
    </row>
    <row r="7" spans="1:5" x14ac:dyDescent="0.45">
      <c r="A7" s="359">
        <v>44842</v>
      </c>
      <c r="B7" s="6" t="s">
        <v>1432</v>
      </c>
      <c r="C7" s="6" t="s">
        <v>1219</v>
      </c>
      <c r="D7" s="361"/>
      <c r="E7" s="361">
        <v>1111</v>
      </c>
    </row>
    <row r="8" spans="1:5" x14ac:dyDescent="0.45">
      <c r="A8" s="359">
        <v>44842</v>
      </c>
      <c r="B8" s="6" t="s">
        <v>1432</v>
      </c>
      <c r="C8" s="6" t="s">
        <v>1350</v>
      </c>
      <c r="D8" s="361"/>
      <c r="E8" s="361">
        <v>305</v>
      </c>
    </row>
    <row r="9" spans="1:5" x14ac:dyDescent="0.45">
      <c r="A9" s="359">
        <v>44842</v>
      </c>
      <c r="B9" s="6" t="s">
        <v>1432</v>
      </c>
      <c r="C9" s="6" t="s">
        <v>1350</v>
      </c>
      <c r="D9" s="361"/>
      <c r="E9" s="361">
        <v>305</v>
      </c>
    </row>
    <row r="10" spans="1:5" x14ac:dyDescent="0.45">
      <c r="A10" s="359">
        <v>44842</v>
      </c>
      <c r="B10" s="6" t="s">
        <v>1432</v>
      </c>
      <c r="C10" s="6" t="s">
        <v>1350</v>
      </c>
      <c r="D10" s="361"/>
      <c r="E10" s="361">
        <v>305</v>
      </c>
    </row>
    <row r="11" spans="1:5" x14ac:dyDescent="0.45">
      <c r="A11" s="359">
        <v>44842</v>
      </c>
      <c r="B11" s="6" t="s">
        <v>1432</v>
      </c>
      <c r="C11" s="6" t="s">
        <v>433</v>
      </c>
      <c r="D11" s="360"/>
      <c r="E11" s="360">
        <v>380</v>
      </c>
    </row>
    <row r="12" spans="1:5" x14ac:dyDescent="0.45">
      <c r="A12" s="359">
        <v>44842</v>
      </c>
      <c r="B12" s="6" t="s">
        <v>1432</v>
      </c>
      <c r="C12" s="6" t="s">
        <v>433</v>
      </c>
      <c r="D12" s="360"/>
      <c r="E12" s="360">
        <v>380</v>
      </c>
    </row>
    <row r="13" spans="1:5" x14ac:dyDescent="0.45">
      <c r="A13" s="359">
        <v>44842</v>
      </c>
      <c r="B13" s="6" t="s">
        <v>1432</v>
      </c>
      <c r="C13" s="6" t="s">
        <v>433</v>
      </c>
      <c r="D13" s="360"/>
      <c r="E13" s="360">
        <v>380</v>
      </c>
    </row>
    <row r="14" spans="1:5" x14ac:dyDescent="0.45">
      <c r="A14" s="359">
        <v>44842</v>
      </c>
      <c r="B14" s="6" t="s">
        <v>1433</v>
      </c>
      <c r="C14" s="12" t="s">
        <v>1434</v>
      </c>
      <c r="D14" s="360"/>
      <c r="E14" s="360">
        <v>225.25</v>
      </c>
    </row>
    <row r="15" spans="1:5" x14ac:dyDescent="0.45">
      <c r="A15" s="359">
        <v>44842</v>
      </c>
      <c r="B15" s="6" t="s">
        <v>1435</v>
      </c>
      <c r="C15" s="12" t="s">
        <v>827</v>
      </c>
      <c r="D15" s="360"/>
      <c r="E15" s="360">
        <v>276.25</v>
      </c>
    </row>
    <row r="16" spans="1:5" x14ac:dyDescent="0.45">
      <c r="A16" s="359">
        <v>44842</v>
      </c>
      <c r="B16" s="6" t="s">
        <v>1436</v>
      </c>
      <c r="C16" s="12" t="s">
        <v>1437</v>
      </c>
      <c r="D16" s="360"/>
      <c r="E16" s="360">
        <v>331.5</v>
      </c>
    </row>
    <row r="17" spans="1:5" x14ac:dyDescent="0.45">
      <c r="A17" s="359">
        <v>44842</v>
      </c>
      <c r="B17" s="6" t="s">
        <v>1438</v>
      </c>
      <c r="C17" s="12" t="s">
        <v>959</v>
      </c>
      <c r="D17" s="360"/>
      <c r="E17" s="360">
        <v>680</v>
      </c>
    </row>
    <row r="18" spans="1:5" x14ac:dyDescent="0.45">
      <c r="A18" s="359">
        <v>44842</v>
      </c>
      <c r="B18" s="6" t="s">
        <v>1439</v>
      </c>
      <c r="C18" s="12" t="s">
        <v>953</v>
      </c>
      <c r="D18" s="360"/>
      <c r="E18" s="360">
        <v>2300</v>
      </c>
    </row>
    <row r="19" spans="1:5" x14ac:dyDescent="0.45">
      <c r="A19" s="359">
        <v>44842</v>
      </c>
      <c r="B19" s="6" t="s">
        <v>460</v>
      </c>
      <c r="C19" s="12" t="s">
        <v>1440</v>
      </c>
      <c r="D19" s="360"/>
      <c r="E19" s="360">
        <v>605</v>
      </c>
    </row>
    <row r="20" spans="1:5" x14ac:dyDescent="0.45">
      <c r="A20" s="359">
        <v>44842</v>
      </c>
      <c r="B20" s="6" t="s">
        <v>1441</v>
      </c>
      <c r="C20" s="12" t="s">
        <v>445</v>
      </c>
      <c r="D20" s="360"/>
      <c r="E20" s="360">
        <v>1100.75</v>
      </c>
    </row>
    <row r="21" spans="1:5" x14ac:dyDescent="0.45">
      <c r="A21" s="359">
        <v>44842</v>
      </c>
      <c r="B21" s="6" t="s">
        <v>1441</v>
      </c>
      <c r="C21" s="12" t="s">
        <v>433</v>
      </c>
      <c r="D21" s="360"/>
      <c r="E21" s="360">
        <v>531.25</v>
      </c>
    </row>
    <row r="22" spans="1:5" x14ac:dyDescent="0.45">
      <c r="A22" s="359">
        <v>44842</v>
      </c>
      <c r="B22" s="6" t="s">
        <v>1442</v>
      </c>
      <c r="C22" s="12" t="s">
        <v>1155</v>
      </c>
      <c r="D22" s="360"/>
      <c r="E22" s="360">
        <v>820</v>
      </c>
    </row>
    <row r="23" spans="1:5" x14ac:dyDescent="0.45">
      <c r="A23" s="359">
        <v>44842</v>
      </c>
      <c r="B23" s="6" t="s">
        <v>1442</v>
      </c>
      <c r="C23" s="12" t="s">
        <v>1437</v>
      </c>
      <c r="D23" s="360"/>
      <c r="E23" s="360">
        <v>820</v>
      </c>
    </row>
    <row r="24" spans="1:5" x14ac:dyDescent="0.45">
      <c r="A24" s="359">
        <v>44842</v>
      </c>
      <c r="B24" s="6" t="s">
        <v>1443</v>
      </c>
      <c r="C24" s="12" t="s">
        <v>1444</v>
      </c>
      <c r="D24" s="360"/>
      <c r="E24" s="360">
        <v>331.5</v>
      </c>
    </row>
    <row r="25" spans="1:5" x14ac:dyDescent="0.45">
      <c r="A25" s="359">
        <v>44842</v>
      </c>
      <c r="B25" s="6" t="s">
        <v>1445</v>
      </c>
      <c r="C25" s="12" t="s">
        <v>962</v>
      </c>
      <c r="D25" s="360"/>
      <c r="E25" s="360">
        <v>230</v>
      </c>
    </row>
    <row r="26" spans="1:5" x14ac:dyDescent="0.45">
      <c r="A26" s="359">
        <v>44842</v>
      </c>
      <c r="B26" s="6" t="s">
        <v>1446</v>
      </c>
      <c r="C26" s="12" t="s">
        <v>917</v>
      </c>
      <c r="D26" s="360"/>
      <c r="E26" s="360">
        <v>981.75</v>
      </c>
    </row>
    <row r="27" spans="1:5" x14ac:dyDescent="0.45">
      <c r="A27" s="359">
        <v>44842</v>
      </c>
      <c r="B27" s="6" t="s">
        <v>1447</v>
      </c>
      <c r="C27" s="12" t="s">
        <v>432</v>
      </c>
      <c r="D27" s="360"/>
      <c r="E27" s="360">
        <v>561</v>
      </c>
    </row>
    <row r="28" spans="1:5" x14ac:dyDescent="0.45">
      <c r="A28" s="359">
        <v>44842</v>
      </c>
      <c r="B28" s="6" t="s">
        <v>1448</v>
      </c>
      <c r="C28" s="12" t="s">
        <v>955</v>
      </c>
      <c r="D28" s="360"/>
      <c r="E28" s="360">
        <v>505.75</v>
      </c>
    </row>
    <row r="29" spans="1:5" x14ac:dyDescent="0.45">
      <c r="A29" s="359">
        <v>44842</v>
      </c>
      <c r="B29" s="6" t="s">
        <v>1449</v>
      </c>
      <c r="C29" s="12" t="s">
        <v>1450</v>
      </c>
      <c r="D29" s="360"/>
      <c r="E29" s="360">
        <v>782</v>
      </c>
    </row>
    <row r="30" spans="1:5" x14ac:dyDescent="0.45">
      <c r="A30" s="359">
        <v>44842</v>
      </c>
      <c r="B30" s="6" t="s">
        <v>1451</v>
      </c>
      <c r="C30" s="12" t="s">
        <v>1269</v>
      </c>
      <c r="D30" s="360"/>
      <c r="E30" s="360">
        <v>595</v>
      </c>
    </row>
    <row r="31" spans="1:5" x14ac:dyDescent="0.45">
      <c r="A31" s="359">
        <v>44842</v>
      </c>
      <c r="B31" s="6" t="s">
        <v>1452</v>
      </c>
      <c r="C31" s="12" t="s">
        <v>831</v>
      </c>
      <c r="D31" s="360"/>
      <c r="E31" s="360">
        <v>450</v>
      </c>
    </row>
    <row r="32" spans="1:5" ht="17.25" x14ac:dyDescent="0.45">
      <c r="A32" s="359">
        <v>44842</v>
      </c>
      <c r="B32" s="6" t="s">
        <v>1453</v>
      </c>
      <c r="C32" s="12" t="s">
        <v>432</v>
      </c>
      <c r="D32" s="360"/>
      <c r="E32" s="360">
        <v>408</v>
      </c>
    </row>
    <row r="33" spans="1:5" ht="17.25" x14ac:dyDescent="0.45">
      <c r="A33" s="359">
        <v>44842</v>
      </c>
      <c r="B33" s="6" t="s">
        <v>1454</v>
      </c>
      <c r="C33" s="12" t="s">
        <v>708</v>
      </c>
      <c r="D33" s="360"/>
      <c r="E33" s="360">
        <v>900</v>
      </c>
    </row>
    <row r="34" spans="1:5" ht="17.25" x14ac:dyDescent="0.45">
      <c r="A34" s="359">
        <v>44842</v>
      </c>
      <c r="B34" s="6" t="s">
        <v>1455</v>
      </c>
      <c r="C34" s="12" t="s">
        <v>1456</v>
      </c>
      <c r="D34" s="360"/>
      <c r="E34" s="360">
        <v>663</v>
      </c>
    </row>
    <row r="35" spans="1:5" ht="17.25" x14ac:dyDescent="0.45">
      <c r="A35" s="359">
        <v>44842</v>
      </c>
      <c r="B35" s="6" t="s">
        <v>922</v>
      </c>
      <c r="C35" s="12" t="s">
        <v>1434</v>
      </c>
      <c r="D35" s="360"/>
      <c r="E35" s="360">
        <v>595</v>
      </c>
    </row>
    <row r="36" spans="1:5" ht="17.25" x14ac:dyDescent="0.45">
      <c r="A36" s="359">
        <v>44842</v>
      </c>
      <c r="B36" s="6" t="s">
        <v>1457</v>
      </c>
      <c r="C36" s="6" t="s">
        <v>1458</v>
      </c>
      <c r="D36" s="361"/>
      <c r="E36" s="361">
        <v>952</v>
      </c>
    </row>
    <row r="37" spans="1:5" ht="17.25" x14ac:dyDescent="0.45">
      <c r="A37" s="359">
        <v>44842</v>
      </c>
      <c r="B37" s="6" t="s">
        <v>1457</v>
      </c>
      <c r="C37" s="6" t="s">
        <v>912</v>
      </c>
      <c r="D37" s="361"/>
      <c r="E37" s="361">
        <v>888.25</v>
      </c>
    </row>
    <row r="38" spans="1:5" ht="17.25" x14ac:dyDescent="0.45">
      <c r="A38" s="359">
        <v>44842</v>
      </c>
      <c r="B38" s="6" t="s">
        <v>1363</v>
      </c>
      <c r="C38" s="6" t="s">
        <v>1459</v>
      </c>
      <c r="D38" s="361"/>
      <c r="E38" s="361">
        <v>520</v>
      </c>
    </row>
    <row r="39" spans="1:5" ht="17.25" x14ac:dyDescent="0.45">
      <c r="A39" s="359">
        <v>44842</v>
      </c>
      <c r="B39" s="6" t="s">
        <v>1460</v>
      </c>
      <c r="C39" s="6" t="s">
        <v>454</v>
      </c>
      <c r="D39" s="361"/>
      <c r="E39" s="361">
        <v>484.5</v>
      </c>
    </row>
    <row r="40" spans="1:5" ht="17.25" x14ac:dyDescent="0.45">
      <c r="A40" s="359">
        <v>44842</v>
      </c>
      <c r="B40" s="6" t="s">
        <v>1452</v>
      </c>
      <c r="C40" s="6" t="s">
        <v>1461</v>
      </c>
      <c r="D40" s="361"/>
      <c r="E40" s="361">
        <v>520</v>
      </c>
    </row>
    <row r="41" spans="1:5" ht="17.25" x14ac:dyDescent="0.45">
      <c r="A41" s="359">
        <v>44842</v>
      </c>
      <c r="B41" s="6" t="s">
        <v>1462</v>
      </c>
      <c r="C41" s="12" t="s">
        <v>1434</v>
      </c>
      <c r="D41" s="360"/>
      <c r="E41" s="360">
        <v>1000</v>
      </c>
    </row>
    <row r="42" spans="1:5" ht="17.25" x14ac:dyDescent="0.45">
      <c r="A42" s="362">
        <v>44842</v>
      </c>
      <c r="B42" s="6" t="s">
        <v>1463</v>
      </c>
      <c r="C42" s="6" t="s">
        <v>1464</v>
      </c>
      <c r="D42" s="361"/>
      <c r="E42" s="361">
        <v>5200</v>
      </c>
    </row>
    <row r="43" spans="1:5" ht="17.25" x14ac:dyDescent="0.45">
      <c r="A43" s="359">
        <v>44842</v>
      </c>
      <c r="B43" s="6" t="s">
        <v>1356</v>
      </c>
      <c r="C43" s="12" t="s">
        <v>1465</v>
      </c>
      <c r="D43" s="360"/>
      <c r="E43" s="360">
        <v>595</v>
      </c>
    </row>
    <row r="44" spans="1:5" ht="17.25" x14ac:dyDescent="0.45">
      <c r="A44" s="359">
        <v>44842</v>
      </c>
      <c r="B44" s="6" t="s">
        <v>1356</v>
      </c>
      <c r="C44" s="12" t="s">
        <v>965</v>
      </c>
      <c r="D44" s="360"/>
      <c r="E44" s="360">
        <v>595</v>
      </c>
    </row>
    <row r="45" spans="1:5" ht="17.25" x14ac:dyDescent="0.45">
      <c r="A45" s="359">
        <v>44842</v>
      </c>
      <c r="B45" s="6" t="s">
        <v>410</v>
      </c>
      <c r="C45" s="12" t="s">
        <v>320</v>
      </c>
      <c r="D45" s="360"/>
      <c r="E45" s="360">
        <v>1530</v>
      </c>
    </row>
    <row r="46" spans="1:5" ht="17.25" x14ac:dyDescent="0.45">
      <c r="A46" s="359">
        <v>44842</v>
      </c>
      <c r="B46" s="6" t="s">
        <v>1466</v>
      </c>
      <c r="C46" s="12" t="s">
        <v>1467</v>
      </c>
      <c r="D46" s="360"/>
      <c r="E46" s="360">
        <v>425</v>
      </c>
    </row>
    <row r="47" spans="1:5" ht="17.25" x14ac:dyDescent="0.45">
      <c r="A47" s="359">
        <v>44846</v>
      </c>
      <c r="B47" s="6" t="s">
        <v>1468</v>
      </c>
      <c r="C47" s="12" t="s">
        <v>1375</v>
      </c>
      <c r="D47" s="360"/>
      <c r="E47" s="360">
        <v>3485</v>
      </c>
    </row>
    <row r="48" spans="1:5" ht="17.25" x14ac:dyDescent="0.45">
      <c r="A48" s="359">
        <v>44846</v>
      </c>
      <c r="B48" s="6" t="s">
        <v>1469</v>
      </c>
      <c r="C48" s="12" t="s">
        <v>625</v>
      </c>
      <c r="D48" s="360"/>
      <c r="E48" s="360">
        <v>1900</v>
      </c>
    </row>
    <row r="49" spans="1:5" ht="17.25" x14ac:dyDescent="0.45">
      <c r="A49" s="359">
        <v>44846</v>
      </c>
      <c r="B49" s="6" t="s">
        <v>1470</v>
      </c>
      <c r="C49" s="12" t="s">
        <v>1035</v>
      </c>
      <c r="D49" s="360"/>
      <c r="E49" s="360">
        <v>1530</v>
      </c>
    </row>
    <row r="50" spans="1:5" ht="17.25" x14ac:dyDescent="0.45">
      <c r="A50" s="359">
        <v>44846</v>
      </c>
      <c r="B50" s="6" t="s">
        <v>1471</v>
      </c>
      <c r="C50" s="12" t="s">
        <v>534</v>
      </c>
      <c r="D50" s="360"/>
      <c r="E50" s="360">
        <v>3700</v>
      </c>
    </row>
    <row r="51" spans="1:5" ht="17.25" x14ac:dyDescent="0.45">
      <c r="A51" s="359">
        <v>44846</v>
      </c>
      <c r="B51" s="6" t="s">
        <v>1472</v>
      </c>
      <c r="C51" s="12" t="s">
        <v>1459</v>
      </c>
      <c r="D51" s="360"/>
      <c r="E51" s="360">
        <v>0</v>
      </c>
    </row>
    <row r="52" spans="1:5" ht="17.25" x14ac:dyDescent="0.45">
      <c r="A52" s="359">
        <v>44846</v>
      </c>
      <c r="B52" s="6" t="s">
        <v>1472</v>
      </c>
      <c r="C52" s="12" t="s">
        <v>476</v>
      </c>
      <c r="D52" s="360"/>
      <c r="E52" s="360">
        <v>0</v>
      </c>
    </row>
    <row r="53" spans="1:5" ht="17.25" x14ac:dyDescent="0.45">
      <c r="A53" s="363">
        <v>44846</v>
      </c>
      <c r="B53" s="364" t="s">
        <v>1472</v>
      </c>
      <c r="C53" s="365" t="s">
        <v>455</v>
      </c>
      <c r="D53" s="366"/>
      <c r="E53" s="366">
        <v>0</v>
      </c>
    </row>
    <row r="54" spans="1:5" ht="17.25" x14ac:dyDescent="0.45">
      <c r="A54" s="359">
        <v>44847</v>
      </c>
      <c r="B54" s="6" t="s">
        <v>1473</v>
      </c>
      <c r="C54" s="12" t="s">
        <v>610</v>
      </c>
      <c r="D54" s="360"/>
      <c r="E54" s="360">
        <v>4500</v>
      </c>
    </row>
    <row r="55" spans="1:5" ht="17.25" x14ac:dyDescent="0.45">
      <c r="A55" s="359">
        <v>44847</v>
      </c>
      <c r="B55" s="6" t="s">
        <v>1474</v>
      </c>
      <c r="C55" s="12" t="s">
        <v>1355</v>
      </c>
      <c r="D55" s="360"/>
      <c r="E55" s="360">
        <v>1100</v>
      </c>
    </row>
    <row r="56" spans="1:5" ht="17.25" x14ac:dyDescent="0.45">
      <c r="A56" s="359">
        <v>44847</v>
      </c>
      <c r="B56" s="6" t="s">
        <v>1472</v>
      </c>
      <c r="C56" s="12" t="s">
        <v>1338</v>
      </c>
      <c r="D56" s="360"/>
      <c r="E56" s="360">
        <v>0</v>
      </c>
    </row>
    <row r="57" spans="1:5" ht="17.25" x14ac:dyDescent="0.45">
      <c r="A57" s="359">
        <v>44847</v>
      </c>
      <c r="B57" s="6" t="s">
        <v>1474</v>
      </c>
      <c r="C57" s="12" t="s">
        <v>240</v>
      </c>
      <c r="D57" s="360"/>
      <c r="E57" s="360">
        <v>5200</v>
      </c>
    </row>
    <row r="58" spans="1:5" ht="17.25" x14ac:dyDescent="0.45">
      <c r="A58" s="359">
        <v>44848</v>
      </c>
      <c r="B58" s="6" t="s">
        <v>1475</v>
      </c>
      <c r="C58" s="12" t="s">
        <v>660</v>
      </c>
      <c r="D58" s="360"/>
      <c r="E58" s="360">
        <v>495</v>
      </c>
    </row>
    <row r="59" spans="1:5" ht="17.25" x14ac:dyDescent="0.45">
      <c r="A59" s="359">
        <v>44848</v>
      </c>
      <c r="B59" s="6" t="s">
        <v>1475</v>
      </c>
      <c r="C59" s="12" t="s">
        <v>1032</v>
      </c>
      <c r="D59" s="360"/>
      <c r="E59" s="360">
        <v>485</v>
      </c>
    </row>
    <row r="60" spans="1:5" ht="17.25" x14ac:dyDescent="0.45">
      <c r="A60" s="359">
        <v>44849</v>
      </c>
      <c r="B60" s="6" t="s">
        <v>1476</v>
      </c>
      <c r="C60" s="12" t="s">
        <v>308</v>
      </c>
      <c r="D60" s="360"/>
      <c r="E60" s="360">
        <v>2700</v>
      </c>
    </row>
    <row r="61" spans="1:5" ht="17.25" x14ac:dyDescent="0.45">
      <c r="A61" s="359">
        <v>44849</v>
      </c>
      <c r="B61" s="6" t="s">
        <v>1469</v>
      </c>
      <c r="C61" s="12" t="s">
        <v>948</v>
      </c>
      <c r="D61" s="360"/>
      <c r="E61" s="360">
        <v>2200</v>
      </c>
    </row>
    <row r="62" spans="1:5" ht="17.25" x14ac:dyDescent="0.45">
      <c r="A62" s="359">
        <v>44849</v>
      </c>
      <c r="B62" s="6" t="s">
        <v>1469</v>
      </c>
      <c r="C62" s="12" t="s">
        <v>1056</v>
      </c>
      <c r="D62" s="360"/>
      <c r="E62" s="360">
        <v>4900</v>
      </c>
    </row>
    <row r="63" spans="1:5" ht="17.25" x14ac:dyDescent="0.45">
      <c r="A63" s="359">
        <v>44852</v>
      </c>
      <c r="B63" s="6" t="s">
        <v>1475</v>
      </c>
      <c r="C63" s="12" t="s">
        <v>1056</v>
      </c>
      <c r="D63" s="360"/>
      <c r="E63" s="360">
        <v>1800</v>
      </c>
    </row>
    <row r="64" spans="1:5" ht="17.25" x14ac:dyDescent="0.45">
      <c r="A64" s="359">
        <v>44852</v>
      </c>
      <c r="B64" s="6" t="s">
        <v>1469</v>
      </c>
      <c r="C64" s="12" t="s">
        <v>1477</v>
      </c>
      <c r="D64" s="360"/>
      <c r="E64" s="360">
        <v>3500</v>
      </c>
    </row>
    <row r="65" spans="1:5" ht="17.25" x14ac:dyDescent="0.45">
      <c r="A65" s="359">
        <v>44852</v>
      </c>
      <c r="B65" s="6" t="s">
        <v>1478</v>
      </c>
      <c r="C65" s="12" t="s">
        <v>1479</v>
      </c>
      <c r="D65" s="360"/>
      <c r="E65" s="360">
        <v>1700</v>
      </c>
    </row>
    <row r="66" spans="1:5" ht="17.25" x14ac:dyDescent="0.45">
      <c r="A66" s="359">
        <v>44853</v>
      </c>
      <c r="B66" s="6" t="s">
        <v>1480</v>
      </c>
      <c r="C66" s="12" t="s">
        <v>1481</v>
      </c>
      <c r="D66" s="360"/>
      <c r="E66" s="360">
        <v>5300</v>
      </c>
    </row>
    <row r="67" spans="1:5" ht="17.25" x14ac:dyDescent="0.45">
      <c r="A67" s="363">
        <v>44853</v>
      </c>
      <c r="B67" s="364" t="s">
        <v>1474</v>
      </c>
      <c r="C67" s="365" t="s">
        <v>908</v>
      </c>
      <c r="D67" s="366"/>
      <c r="E67" s="366">
        <v>1500</v>
      </c>
    </row>
    <row r="68" spans="1:5" ht="17.25" x14ac:dyDescent="0.45">
      <c r="A68" s="359">
        <v>44854</v>
      </c>
      <c r="B68" s="6" t="s">
        <v>1482</v>
      </c>
      <c r="C68" s="12" t="s">
        <v>831</v>
      </c>
      <c r="D68" s="360"/>
      <c r="E68" s="360">
        <v>4420</v>
      </c>
    </row>
    <row r="69" spans="1:5" ht="17.25" x14ac:dyDescent="0.45">
      <c r="A69" s="359">
        <v>44854</v>
      </c>
      <c r="B69" s="6" t="s">
        <v>1472</v>
      </c>
      <c r="C69" s="12" t="s">
        <v>1350</v>
      </c>
      <c r="D69" s="360"/>
      <c r="E69" s="360">
        <v>0</v>
      </c>
    </row>
    <row r="70" spans="1:5" ht="17.25" x14ac:dyDescent="0.45">
      <c r="A70" s="359">
        <v>44854</v>
      </c>
      <c r="B70" s="6" t="s">
        <v>1472</v>
      </c>
      <c r="C70" s="12" t="s">
        <v>1349</v>
      </c>
      <c r="D70" s="360"/>
      <c r="E70" s="360">
        <v>0</v>
      </c>
    </row>
    <row r="71" spans="1:5" ht="17.25" x14ac:dyDescent="0.45">
      <c r="A71" s="359">
        <v>44854</v>
      </c>
      <c r="B71" s="6" t="s">
        <v>1472</v>
      </c>
      <c r="C71" s="12" t="s">
        <v>1434</v>
      </c>
      <c r="D71" s="360"/>
      <c r="E71" s="360">
        <v>0</v>
      </c>
    </row>
    <row r="72" spans="1:5" ht="17.25" x14ac:dyDescent="0.45">
      <c r="A72" s="359">
        <v>44854</v>
      </c>
      <c r="B72" s="6" t="s">
        <v>1483</v>
      </c>
      <c r="C72" s="6" t="s">
        <v>1484</v>
      </c>
      <c r="D72" s="360"/>
      <c r="E72" s="360">
        <v>490</v>
      </c>
    </row>
    <row r="73" spans="1:5" ht="17.25" x14ac:dyDescent="0.45">
      <c r="A73" s="359">
        <v>44854</v>
      </c>
      <c r="B73" s="6" t="s">
        <v>1485</v>
      </c>
      <c r="C73" s="6" t="s">
        <v>1486</v>
      </c>
      <c r="D73" s="360"/>
      <c r="E73" s="360">
        <v>0</v>
      </c>
    </row>
    <row r="74" spans="1:5" ht="17.25" x14ac:dyDescent="0.45">
      <c r="A74" s="359">
        <v>44854</v>
      </c>
      <c r="B74" s="6" t="s">
        <v>1487</v>
      </c>
      <c r="C74" s="6" t="s">
        <v>1488</v>
      </c>
      <c r="D74" s="360"/>
      <c r="E74" s="360">
        <v>720</v>
      </c>
    </row>
    <row r="75" spans="1:5" ht="17.25" x14ac:dyDescent="0.45">
      <c r="A75" s="359">
        <v>44854</v>
      </c>
      <c r="B75" s="6" t="s">
        <v>1489</v>
      </c>
      <c r="C75" s="6" t="s">
        <v>545</v>
      </c>
      <c r="D75" s="360"/>
      <c r="E75" s="360">
        <v>680</v>
      </c>
    </row>
    <row r="76" spans="1:5" ht="17.25" x14ac:dyDescent="0.45">
      <c r="A76" s="359">
        <v>44854</v>
      </c>
      <c r="B76" s="6" t="s">
        <v>1485</v>
      </c>
      <c r="C76" s="6" t="s">
        <v>1490</v>
      </c>
      <c r="D76" s="360"/>
      <c r="E76" s="360">
        <v>0</v>
      </c>
    </row>
    <row r="77" spans="1:5" ht="17.25" x14ac:dyDescent="0.45">
      <c r="A77" s="359">
        <v>44854</v>
      </c>
      <c r="B77" s="6" t="s">
        <v>1491</v>
      </c>
      <c r="C77" s="6" t="s">
        <v>1492</v>
      </c>
      <c r="D77" s="360"/>
      <c r="E77" s="360">
        <v>735.25</v>
      </c>
    </row>
    <row r="78" spans="1:5" ht="17.25" x14ac:dyDescent="0.45">
      <c r="A78" s="359">
        <v>44854</v>
      </c>
      <c r="B78" s="6" t="s">
        <v>1489</v>
      </c>
      <c r="C78" s="6" t="s">
        <v>915</v>
      </c>
      <c r="D78" s="360"/>
      <c r="E78" s="360">
        <v>680</v>
      </c>
    </row>
    <row r="79" spans="1:5" ht="17.25" x14ac:dyDescent="0.45">
      <c r="A79" s="359">
        <v>44854</v>
      </c>
      <c r="B79" s="6" t="s">
        <v>1493</v>
      </c>
      <c r="C79" s="6" t="s">
        <v>915</v>
      </c>
      <c r="D79" s="360"/>
      <c r="E79" s="360">
        <v>680</v>
      </c>
    </row>
    <row r="80" spans="1:5" ht="17.25" x14ac:dyDescent="0.45">
      <c r="A80" s="359">
        <v>44854</v>
      </c>
      <c r="B80" s="6" t="s">
        <v>1489</v>
      </c>
      <c r="C80" s="6" t="s">
        <v>1494</v>
      </c>
      <c r="D80" s="360"/>
      <c r="E80" s="360">
        <v>695</v>
      </c>
    </row>
    <row r="81" spans="1:5" ht="17.25" x14ac:dyDescent="0.45">
      <c r="A81" s="359">
        <v>44854</v>
      </c>
      <c r="B81" s="6" t="s">
        <v>1495</v>
      </c>
      <c r="C81" s="6" t="s">
        <v>445</v>
      </c>
      <c r="D81" s="360"/>
      <c r="E81" s="360">
        <v>600</v>
      </c>
    </row>
    <row r="82" spans="1:5" ht="17.25" x14ac:dyDescent="0.45">
      <c r="A82" s="359">
        <v>44855</v>
      </c>
      <c r="B82" s="6" t="s">
        <v>890</v>
      </c>
      <c r="C82" s="12" t="s">
        <v>424</v>
      </c>
      <c r="D82" s="360"/>
      <c r="E82" s="360">
        <v>1955</v>
      </c>
    </row>
    <row r="83" spans="1:5" ht="17.25" x14ac:dyDescent="0.45">
      <c r="A83" s="359">
        <v>44855</v>
      </c>
      <c r="B83" s="6" t="s">
        <v>1474</v>
      </c>
      <c r="C83" s="12" t="s">
        <v>948</v>
      </c>
      <c r="D83" s="360"/>
      <c r="E83" s="360">
        <v>1700</v>
      </c>
    </row>
    <row r="84" spans="1:5" ht="17.25" x14ac:dyDescent="0.45">
      <c r="A84" s="359">
        <v>44855</v>
      </c>
      <c r="B84" s="6" t="s">
        <v>1496</v>
      </c>
      <c r="C84" s="12" t="s">
        <v>529</v>
      </c>
      <c r="D84" s="360"/>
      <c r="E84" s="360">
        <v>4900</v>
      </c>
    </row>
    <row r="85" spans="1:5" ht="17.25" x14ac:dyDescent="0.45">
      <c r="A85" s="359">
        <v>44856</v>
      </c>
      <c r="B85" s="6" t="s">
        <v>1472</v>
      </c>
      <c r="C85" s="6" t="s">
        <v>545</v>
      </c>
      <c r="D85" s="360"/>
      <c r="E85" s="360">
        <v>0</v>
      </c>
    </row>
    <row r="86" spans="1:5" ht="17.25" x14ac:dyDescent="0.45">
      <c r="A86" s="359">
        <v>44856</v>
      </c>
      <c r="B86" s="6" t="s">
        <v>1472</v>
      </c>
      <c r="C86" s="6" t="s">
        <v>424</v>
      </c>
      <c r="D86" s="360"/>
      <c r="E86" s="360">
        <v>0</v>
      </c>
    </row>
    <row r="87" spans="1:5" ht="17.25" x14ac:dyDescent="0.45">
      <c r="A87" s="359">
        <v>44856</v>
      </c>
      <c r="B87" s="6" t="s">
        <v>1472</v>
      </c>
      <c r="C87" s="6" t="s">
        <v>424</v>
      </c>
      <c r="D87" s="360"/>
      <c r="E87" s="360">
        <v>0</v>
      </c>
    </row>
    <row r="88" spans="1:5" ht="17.25" x14ac:dyDescent="0.45">
      <c r="A88" s="359">
        <v>44856</v>
      </c>
      <c r="B88" s="6" t="s">
        <v>1472</v>
      </c>
      <c r="C88" s="6" t="s">
        <v>424</v>
      </c>
      <c r="D88" s="360"/>
      <c r="E88" s="360">
        <v>0</v>
      </c>
    </row>
    <row r="89" spans="1:5" ht="17.25" x14ac:dyDescent="0.45">
      <c r="A89" s="359">
        <v>44856</v>
      </c>
      <c r="B89" s="6" t="s">
        <v>1472</v>
      </c>
      <c r="C89" s="6" t="s">
        <v>1216</v>
      </c>
      <c r="D89" s="360"/>
      <c r="E89" s="360">
        <v>0</v>
      </c>
    </row>
    <row r="90" spans="1:5" ht="17.25" x14ac:dyDescent="0.45">
      <c r="A90" s="359">
        <v>44856</v>
      </c>
      <c r="B90" s="6" t="s">
        <v>1472</v>
      </c>
      <c r="C90" s="6" t="s">
        <v>1359</v>
      </c>
      <c r="D90" s="360"/>
      <c r="E90" s="360">
        <v>0</v>
      </c>
    </row>
    <row r="91" spans="1:5" ht="17.25" x14ac:dyDescent="0.45">
      <c r="A91" s="359">
        <v>44858</v>
      </c>
      <c r="B91" s="6" t="s">
        <v>1499</v>
      </c>
      <c r="C91" s="6" t="s">
        <v>1337</v>
      </c>
      <c r="D91" s="360"/>
      <c r="E91" s="360">
        <v>1955</v>
      </c>
    </row>
    <row r="92" spans="1:5" ht="17.25" x14ac:dyDescent="0.45">
      <c r="A92" s="359">
        <v>44858</v>
      </c>
      <c r="B92" s="6" t="s">
        <v>1500</v>
      </c>
      <c r="C92" s="6" t="s">
        <v>476</v>
      </c>
      <c r="D92" s="360"/>
      <c r="E92" s="360">
        <v>1785</v>
      </c>
    </row>
    <row r="93" spans="1:5" ht="17.25" x14ac:dyDescent="0.45">
      <c r="A93" s="359">
        <v>44858</v>
      </c>
      <c r="B93" s="6" t="s">
        <v>1472</v>
      </c>
      <c r="C93" s="6" t="s">
        <v>499</v>
      </c>
      <c r="D93" s="360"/>
      <c r="E93" s="360">
        <v>0</v>
      </c>
    </row>
    <row r="94" spans="1:5" ht="17.25" x14ac:dyDescent="0.45">
      <c r="A94" s="359">
        <v>44858</v>
      </c>
      <c r="B94" s="6" t="s">
        <v>1472</v>
      </c>
      <c r="C94" s="6" t="s">
        <v>1377</v>
      </c>
      <c r="D94" s="360"/>
      <c r="E94" s="360">
        <v>0</v>
      </c>
    </row>
    <row r="95" spans="1:5" ht="17.25" x14ac:dyDescent="0.45">
      <c r="A95" s="359">
        <v>44858</v>
      </c>
      <c r="B95" s="6" t="s">
        <v>1501</v>
      </c>
      <c r="C95" s="6" t="s">
        <v>831</v>
      </c>
      <c r="D95" s="360"/>
      <c r="E95" s="360">
        <v>1530</v>
      </c>
    </row>
    <row r="96" spans="1:5" ht="17.25" x14ac:dyDescent="0.45">
      <c r="A96" s="359">
        <v>44859</v>
      </c>
      <c r="B96" s="6" t="s">
        <v>1502</v>
      </c>
      <c r="C96" s="6" t="s">
        <v>1199</v>
      </c>
      <c r="D96" s="360"/>
      <c r="E96" s="360">
        <v>480</v>
      </c>
    </row>
    <row r="97" spans="1:5" ht="17.25" x14ac:dyDescent="0.45">
      <c r="A97" s="359">
        <v>44859</v>
      </c>
      <c r="B97" s="6" t="s">
        <v>1431</v>
      </c>
      <c r="C97" s="6" t="s">
        <v>1503</v>
      </c>
      <c r="D97" s="360"/>
      <c r="E97" s="360">
        <v>2000</v>
      </c>
    </row>
    <row r="98" spans="1:5" ht="17.25" x14ac:dyDescent="0.45">
      <c r="A98" s="359">
        <v>44859</v>
      </c>
      <c r="B98" s="6" t="s">
        <v>1431</v>
      </c>
      <c r="C98" s="6" t="s">
        <v>1181</v>
      </c>
      <c r="D98" s="360"/>
      <c r="E98" s="360">
        <v>700</v>
      </c>
    </row>
    <row r="99" spans="1:5" ht="17.25" x14ac:dyDescent="0.45">
      <c r="A99" s="359">
        <v>44859</v>
      </c>
      <c r="B99" s="6" t="s">
        <v>1504</v>
      </c>
      <c r="C99" s="6" t="s">
        <v>1376</v>
      </c>
      <c r="D99" s="360"/>
      <c r="E99" s="360">
        <v>0</v>
      </c>
    </row>
    <row r="100" spans="1:5" ht="17.25" x14ac:dyDescent="0.45">
      <c r="A100" s="359">
        <v>44859</v>
      </c>
      <c r="B100" s="6" t="s">
        <v>1505</v>
      </c>
      <c r="C100" s="6" t="s">
        <v>1367</v>
      </c>
      <c r="D100" s="360"/>
      <c r="E100" s="360">
        <v>1700</v>
      </c>
    </row>
    <row r="101" spans="1:5" ht="17.25" x14ac:dyDescent="0.45">
      <c r="A101" s="359">
        <v>44861</v>
      </c>
      <c r="B101" s="6" t="s">
        <v>1506</v>
      </c>
      <c r="C101" s="6" t="s">
        <v>786</v>
      </c>
      <c r="D101" s="360"/>
      <c r="E101" s="360">
        <v>2040</v>
      </c>
    </row>
    <row r="102" spans="1:5" ht="17.25" x14ac:dyDescent="0.45">
      <c r="A102" s="359">
        <v>44861</v>
      </c>
      <c r="B102" s="6" t="s">
        <v>1507</v>
      </c>
      <c r="C102" s="6" t="s">
        <v>202</v>
      </c>
      <c r="D102" s="360"/>
      <c r="E102" s="360">
        <v>3700</v>
      </c>
    </row>
    <row r="103" spans="1:5" ht="17.25" x14ac:dyDescent="0.45">
      <c r="A103" s="359">
        <v>44861</v>
      </c>
      <c r="B103" s="6" t="s">
        <v>1508</v>
      </c>
      <c r="C103" s="6" t="s">
        <v>831</v>
      </c>
      <c r="D103" s="360"/>
      <c r="E103" s="360">
        <v>3300</v>
      </c>
    </row>
    <row r="104" spans="1:5" ht="17.25" x14ac:dyDescent="0.45">
      <c r="A104" s="363">
        <v>44861</v>
      </c>
      <c r="B104" s="364" t="s">
        <v>1502</v>
      </c>
      <c r="C104" s="364" t="s">
        <v>1509</v>
      </c>
      <c r="D104" s="366"/>
      <c r="E104" s="366">
        <v>800</v>
      </c>
    </row>
    <row r="105" spans="1:5" ht="17.25" x14ac:dyDescent="0.45">
      <c r="A105" s="359">
        <v>44866</v>
      </c>
      <c r="B105" s="6" t="s">
        <v>1510</v>
      </c>
      <c r="C105" s="6" t="s">
        <v>1337</v>
      </c>
      <c r="D105" s="360"/>
      <c r="E105" s="360">
        <v>3700</v>
      </c>
    </row>
    <row r="106" spans="1:5" ht="17.25" x14ac:dyDescent="0.45">
      <c r="A106" s="359">
        <v>44866</v>
      </c>
      <c r="B106" s="6" t="s">
        <v>1511</v>
      </c>
      <c r="C106" s="6" t="s">
        <v>320</v>
      </c>
      <c r="D106" s="360"/>
      <c r="E106" s="360">
        <v>2805</v>
      </c>
    </row>
    <row r="107" spans="1:5" ht="17.25" x14ac:dyDescent="0.45">
      <c r="A107" s="359">
        <v>44866</v>
      </c>
      <c r="B107" s="6" t="s">
        <v>1512</v>
      </c>
      <c r="C107" s="6" t="s">
        <v>841</v>
      </c>
      <c r="D107" s="360"/>
      <c r="E107" s="360">
        <v>259.25</v>
      </c>
    </row>
    <row r="108" spans="1:5" ht="17.25" x14ac:dyDescent="0.45">
      <c r="A108" s="359">
        <v>44866</v>
      </c>
      <c r="B108" s="6" t="s">
        <v>1513</v>
      </c>
      <c r="C108" s="6" t="s">
        <v>1514</v>
      </c>
      <c r="D108" s="360"/>
      <c r="E108" s="360">
        <v>157.25</v>
      </c>
    </row>
    <row r="109" spans="1:5" ht="17.25" x14ac:dyDescent="0.45">
      <c r="A109" s="359">
        <v>44866</v>
      </c>
      <c r="B109" s="6" t="s">
        <v>1515</v>
      </c>
      <c r="C109" s="6" t="s">
        <v>1516</v>
      </c>
      <c r="D109" s="360"/>
      <c r="E109" s="360">
        <v>750</v>
      </c>
    </row>
    <row r="110" spans="1:5" ht="17.25" x14ac:dyDescent="0.45">
      <c r="A110" s="359">
        <v>44866</v>
      </c>
      <c r="B110" s="6" t="s">
        <v>1517</v>
      </c>
      <c r="C110" s="6" t="s">
        <v>472</v>
      </c>
      <c r="D110" s="360"/>
      <c r="E110" s="360">
        <v>420.75</v>
      </c>
    </row>
    <row r="111" spans="1:5" ht="17.25" x14ac:dyDescent="0.45">
      <c r="A111" s="359">
        <v>44866</v>
      </c>
      <c r="B111" s="6" t="s">
        <v>1515</v>
      </c>
      <c r="C111" s="6" t="s">
        <v>955</v>
      </c>
      <c r="D111" s="360"/>
      <c r="E111" s="360">
        <v>595</v>
      </c>
    </row>
    <row r="112" spans="1:5" ht="17.25" x14ac:dyDescent="0.45">
      <c r="A112" s="359">
        <v>44866</v>
      </c>
      <c r="B112" s="6" t="s">
        <v>1515</v>
      </c>
      <c r="C112" s="6" t="s">
        <v>1518</v>
      </c>
      <c r="D112" s="360"/>
      <c r="E112" s="360">
        <v>575</v>
      </c>
    </row>
    <row r="113" spans="1:5" ht="17.25" x14ac:dyDescent="0.45">
      <c r="A113" s="359">
        <v>44866</v>
      </c>
      <c r="B113" s="6" t="s">
        <v>1519</v>
      </c>
      <c r="C113" s="6" t="s">
        <v>912</v>
      </c>
      <c r="D113" s="360"/>
      <c r="E113" s="360">
        <v>569</v>
      </c>
    </row>
    <row r="114" spans="1:5" ht="17.25" x14ac:dyDescent="0.45">
      <c r="A114" s="359">
        <v>44866</v>
      </c>
      <c r="B114" s="6" t="s">
        <v>1520</v>
      </c>
      <c r="C114" s="6" t="s">
        <v>445</v>
      </c>
      <c r="D114" s="360"/>
      <c r="E114" s="360">
        <v>0</v>
      </c>
    </row>
    <row r="115" spans="1:5" ht="17.25" x14ac:dyDescent="0.45">
      <c r="A115" s="359">
        <v>44866</v>
      </c>
      <c r="B115" s="6" t="s">
        <v>1522</v>
      </c>
      <c r="C115" s="6" t="s">
        <v>415</v>
      </c>
      <c r="D115" s="360"/>
      <c r="E115" s="360">
        <v>399.5</v>
      </c>
    </row>
    <row r="116" spans="1:5" ht="17.25" x14ac:dyDescent="0.45">
      <c r="A116" s="359">
        <v>44866</v>
      </c>
      <c r="B116" s="6" t="s">
        <v>1522</v>
      </c>
      <c r="C116" s="6" t="s">
        <v>900</v>
      </c>
      <c r="D116" s="360"/>
      <c r="E116" s="360">
        <v>459</v>
      </c>
    </row>
    <row r="117" spans="1:5" ht="17.25" x14ac:dyDescent="0.45">
      <c r="A117" s="359">
        <v>44866</v>
      </c>
      <c r="B117" s="6" t="s">
        <v>1523</v>
      </c>
      <c r="C117" s="6" t="s">
        <v>1477</v>
      </c>
      <c r="D117" s="360"/>
      <c r="E117" s="360">
        <v>369.75</v>
      </c>
    </row>
    <row r="118" spans="1:5" ht="17.25" x14ac:dyDescent="0.45">
      <c r="A118" s="359">
        <v>44866</v>
      </c>
      <c r="B118" s="6" t="s">
        <v>1524</v>
      </c>
      <c r="C118" s="6" t="s">
        <v>912</v>
      </c>
      <c r="D118" s="360"/>
      <c r="E118" s="360">
        <v>195.5</v>
      </c>
    </row>
    <row r="119" spans="1:5" ht="17.25" x14ac:dyDescent="0.45">
      <c r="A119" s="359">
        <v>44866</v>
      </c>
      <c r="B119" s="6" t="s">
        <v>1525</v>
      </c>
      <c r="C119" s="6" t="s">
        <v>459</v>
      </c>
      <c r="D119" s="360"/>
      <c r="E119" s="360">
        <v>480</v>
      </c>
    </row>
    <row r="120" spans="1:5" ht="17.25" x14ac:dyDescent="0.45">
      <c r="A120" s="359">
        <v>44866</v>
      </c>
      <c r="B120" s="6" t="s">
        <v>1515</v>
      </c>
      <c r="C120" s="6" t="s">
        <v>1097</v>
      </c>
      <c r="D120" s="360"/>
      <c r="E120" s="360">
        <v>750</v>
      </c>
    </row>
    <row r="121" spans="1:5" ht="17.25" x14ac:dyDescent="0.45">
      <c r="A121" s="359">
        <v>44866</v>
      </c>
      <c r="B121" s="6" t="s">
        <v>1526</v>
      </c>
      <c r="C121" s="6" t="s">
        <v>864</v>
      </c>
      <c r="D121" s="360"/>
      <c r="E121" s="360">
        <v>605</v>
      </c>
    </row>
    <row r="122" spans="1:5" ht="17.25" x14ac:dyDescent="0.45">
      <c r="A122" s="359">
        <v>44866</v>
      </c>
      <c r="B122" s="6" t="s">
        <v>1194</v>
      </c>
      <c r="C122" s="6" t="s">
        <v>946</v>
      </c>
      <c r="D122" s="360"/>
      <c r="E122" s="360">
        <v>331.5</v>
      </c>
    </row>
    <row r="123" spans="1:5" ht="17.25" x14ac:dyDescent="0.45">
      <c r="A123" s="359">
        <v>44866</v>
      </c>
      <c r="B123" s="6" t="s">
        <v>1196</v>
      </c>
      <c r="C123" s="6" t="s">
        <v>931</v>
      </c>
      <c r="D123" s="360"/>
      <c r="E123" s="360">
        <v>365.5</v>
      </c>
    </row>
    <row r="124" spans="1:5" ht="17.25" x14ac:dyDescent="0.45">
      <c r="A124" s="359">
        <v>44866</v>
      </c>
      <c r="B124" s="6" t="s">
        <v>1512</v>
      </c>
      <c r="C124" s="6" t="s">
        <v>1375</v>
      </c>
      <c r="D124" s="360"/>
      <c r="E124" s="360">
        <v>238</v>
      </c>
    </row>
    <row r="125" spans="1:5" ht="17.25" x14ac:dyDescent="0.45">
      <c r="A125" s="359">
        <v>44866</v>
      </c>
      <c r="B125" s="6" t="s">
        <v>1527</v>
      </c>
      <c r="C125" s="6" t="s">
        <v>1528</v>
      </c>
      <c r="D125" s="360"/>
      <c r="E125" s="360">
        <v>915</v>
      </c>
    </row>
    <row r="126" spans="1:5" ht="17.25" x14ac:dyDescent="0.45">
      <c r="A126" s="359">
        <v>44866</v>
      </c>
      <c r="B126" s="6" t="s">
        <v>1512</v>
      </c>
      <c r="C126" s="6" t="s">
        <v>1357</v>
      </c>
      <c r="D126" s="360"/>
      <c r="E126" s="360">
        <v>480.25</v>
      </c>
    </row>
    <row r="127" spans="1:5" ht="17.25" x14ac:dyDescent="0.45">
      <c r="A127" s="359">
        <v>44866</v>
      </c>
      <c r="B127" s="6" t="s">
        <v>1515</v>
      </c>
      <c r="C127" s="6" t="s">
        <v>1529</v>
      </c>
      <c r="D127" s="360"/>
      <c r="E127" s="360">
        <v>1730</v>
      </c>
    </row>
    <row r="128" spans="1:5" ht="17.25" x14ac:dyDescent="0.45">
      <c r="A128" s="359">
        <v>44867</v>
      </c>
      <c r="B128" s="6" t="s">
        <v>1530</v>
      </c>
      <c r="C128" s="6" t="s">
        <v>476</v>
      </c>
      <c r="D128" s="360"/>
      <c r="E128" s="360">
        <v>1785</v>
      </c>
    </row>
    <row r="129" spans="1:5" ht="17.25" x14ac:dyDescent="0.45">
      <c r="A129" s="359">
        <v>44867</v>
      </c>
      <c r="B129" s="6" t="s">
        <v>1531</v>
      </c>
      <c r="C129" s="6" t="s">
        <v>1219</v>
      </c>
      <c r="D129" s="360"/>
      <c r="E129" s="360">
        <v>7300</v>
      </c>
    </row>
    <row r="130" spans="1:5" ht="17.25" x14ac:dyDescent="0.45">
      <c r="A130" s="359">
        <v>44867</v>
      </c>
      <c r="B130" s="6" t="s">
        <v>1014</v>
      </c>
      <c r="C130" s="6" t="s">
        <v>483</v>
      </c>
      <c r="D130" s="360"/>
      <c r="E130" s="360">
        <v>3315</v>
      </c>
    </row>
    <row r="131" spans="1:5" ht="17.25" x14ac:dyDescent="0.45">
      <c r="A131" s="359">
        <v>44867</v>
      </c>
      <c r="B131" s="6" t="s">
        <v>1532</v>
      </c>
      <c r="C131" s="6" t="s">
        <v>948</v>
      </c>
      <c r="D131" s="360"/>
      <c r="E131" s="360" t="s">
        <v>1533</v>
      </c>
    </row>
    <row r="132" spans="1:5" ht="17.25" x14ac:dyDescent="0.45">
      <c r="A132" s="367">
        <v>44868</v>
      </c>
      <c r="B132" s="368" t="s">
        <v>1534</v>
      </c>
      <c r="C132" s="368" t="s">
        <v>615</v>
      </c>
      <c r="D132" s="369"/>
      <c r="E132" s="369">
        <v>2550</v>
      </c>
    </row>
    <row r="133" spans="1:5" ht="17.25" x14ac:dyDescent="0.45">
      <c r="A133" s="359">
        <v>44868</v>
      </c>
      <c r="B133" s="6" t="s">
        <v>1535</v>
      </c>
      <c r="C133" s="6" t="s">
        <v>74</v>
      </c>
      <c r="D133" s="360"/>
      <c r="E133" s="360">
        <v>2210</v>
      </c>
    </row>
    <row r="134" spans="1:5" ht="17.25" x14ac:dyDescent="0.45">
      <c r="A134" s="359">
        <v>44868</v>
      </c>
      <c r="B134" s="6" t="s">
        <v>1536</v>
      </c>
      <c r="C134" s="6" t="s">
        <v>588</v>
      </c>
      <c r="D134" s="360"/>
      <c r="E134" s="360">
        <v>1785</v>
      </c>
    </row>
    <row r="135" spans="1:5" ht="17.25" x14ac:dyDescent="0.45">
      <c r="A135" s="359">
        <v>44868</v>
      </c>
      <c r="B135" s="6" t="s">
        <v>1356</v>
      </c>
      <c r="C135" s="6" t="s">
        <v>1243</v>
      </c>
      <c r="D135" s="360"/>
      <c r="E135" s="360">
        <v>595</v>
      </c>
    </row>
    <row r="136" spans="1:5" ht="17.25" x14ac:dyDescent="0.45">
      <c r="A136" s="359">
        <v>44870</v>
      </c>
      <c r="B136" s="6" t="s">
        <v>1537</v>
      </c>
      <c r="C136" s="6" t="s">
        <v>1538</v>
      </c>
      <c r="D136" s="360"/>
      <c r="E136" s="360">
        <v>3225</v>
      </c>
    </row>
    <row r="137" spans="1:5" ht="17.25" x14ac:dyDescent="0.45">
      <c r="A137" s="359">
        <v>44870</v>
      </c>
      <c r="B137" s="6" t="s">
        <v>1539</v>
      </c>
      <c r="C137" s="6" t="s">
        <v>831</v>
      </c>
      <c r="D137" s="360"/>
      <c r="E137" s="360">
        <v>2100</v>
      </c>
    </row>
    <row r="138" spans="1:5" ht="17.25" x14ac:dyDescent="0.45">
      <c r="A138" s="359">
        <v>44870</v>
      </c>
      <c r="B138" s="6" t="s">
        <v>1540</v>
      </c>
      <c r="C138" s="6" t="s">
        <v>1337</v>
      </c>
      <c r="D138" s="360"/>
      <c r="E138" s="360" t="s">
        <v>1533</v>
      </c>
    </row>
    <row r="139" spans="1:5" ht="17.25" x14ac:dyDescent="0.45">
      <c r="A139" s="359">
        <v>44870</v>
      </c>
      <c r="B139" s="6" t="s">
        <v>1541</v>
      </c>
      <c r="C139" s="6" t="s">
        <v>940</v>
      </c>
      <c r="D139" s="360"/>
      <c r="E139" s="360">
        <v>582.25</v>
      </c>
    </row>
    <row r="140" spans="1:5" ht="17.25" x14ac:dyDescent="0.45">
      <c r="A140" s="359">
        <v>44870</v>
      </c>
      <c r="B140" s="6" t="s">
        <v>1542</v>
      </c>
      <c r="C140" s="6" t="s">
        <v>1543</v>
      </c>
      <c r="D140" s="360"/>
      <c r="E140" s="360">
        <v>658.75</v>
      </c>
    </row>
    <row r="141" spans="1:5" ht="17.25" x14ac:dyDescent="0.45">
      <c r="A141" s="359">
        <v>44870</v>
      </c>
      <c r="B141" s="6" t="s">
        <v>1544</v>
      </c>
      <c r="C141" s="6" t="s">
        <v>430</v>
      </c>
      <c r="D141" s="360"/>
      <c r="E141" s="360">
        <v>620.5</v>
      </c>
    </row>
    <row r="142" spans="1:5" ht="17.25" x14ac:dyDescent="0.45">
      <c r="A142" s="359">
        <v>44870</v>
      </c>
      <c r="B142" s="6" t="s">
        <v>1545</v>
      </c>
      <c r="C142" s="6" t="s">
        <v>454</v>
      </c>
      <c r="D142" s="360"/>
      <c r="E142" s="360">
        <v>305</v>
      </c>
    </row>
    <row r="143" spans="1:5" ht="17.25" x14ac:dyDescent="0.45">
      <c r="A143" s="359">
        <v>44870</v>
      </c>
      <c r="B143" s="6" t="s">
        <v>1546</v>
      </c>
      <c r="C143" s="6" t="s">
        <v>446</v>
      </c>
      <c r="D143" s="360"/>
      <c r="E143" s="360">
        <v>803.25</v>
      </c>
    </row>
    <row r="144" spans="1:5" ht="17.25" x14ac:dyDescent="0.45">
      <c r="A144" s="359">
        <v>44870</v>
      </c>
      <c r="B144" s="6" t="s">
        <v>1548</v>
      </c>
      <c r="C144" s="6" t="s">
        <v>969</v>
      </c>
      <c r="D144" s="360"/>
      <c r="E144" s="360">
        <v>191.67</v>
      </c>
    </row>
    <row r="145" spans="1:5" ht="17.25" x14ac:dyDescent="0.45">
      <c r="A145" s="359">
        <v>44870</v>
      </c>
      <c r="B145" s="6" t="s">
        <v>1548</v>
      </c>
      <c r="C145" s="6" t="s">
        <v>1549</v>
      </c>
      <c r="D145" s="360"/>
      <c r="E145" s="360">
        <v>191.67</v>
      </c>
    </row>
    <row r="146" spans="1:5" ht="17.25" x14ac:dyDescent="0.45">
      <c r="A146" s="359">
        <v>44870</v>
      </c>
      <c r="B146" s="6" t="s">
        <v>1550</v>
      </c>
      <c r="C146" s="6" t="s">
        <v>1333</v>
      </c>
      <c r="D146" s="360"/>
      <c r="E146" s="360">
        <v>220</v>
      </c>
    </row>
    <row r="147" spans="1:5" ht="17.25" x14ac:dyDescent="0.45">
      <c r="A147" s="359">
        <v>44870</v>
      </c>
      <c r="B147" s="6" t="s">
        <v>1548</v>
      </c>
      <c r="C147" s="6" t="s">
        <v>438</v>
      </c>
      <c r="D147" s="360"/>
      <c r="E147" s="360">
        <v>191.67</v>
      </c>
    </row>
    <row r="148" spans="1:5" ht="17.25" x14ac:dyDescent="0.45">
      <c r="A148" s="359">
        <v>44870</v>
      </c>
      <c r="B148" s="6" t="s">
        <v>1551</v>
      </c>
      <c r="C148" s="6" t="s">
        <v>529</v>
      </c>
      <c r="D148" s="360"/>
      <c r="E148" s="360">
        <v>620.5</v>
      </c>
    </row>
    <row r="149" spans="1:5" ht="17.25" x14ac:dyDescent="0.45">
      <c r="A149" s="359">
        <v>44870</v>
      </c>
      <c r="B149" s="6" t="s">
        <v>1552</v>
      </c>
      <c r="C149" s="6" t="s">
        <v>1216</v>
      </c>
      <c r="D149" s="360"/>
      <c r="E149" s="360">
        <v>455</v>
      </c>
    </row>
    <row r="150" spans="1:5" ht="17.25" x14ac:dyDescent="0.45">
      <c r="A150" s="359">
        <v>44870</v>
      </c>
      <c r="B150" s="6" t="s">
        <v>1553</v>
      </c>
      <c r="C150" s="6" t="s">
        <v>1269</v>
      </c>
      <c r="D150" s="360"/>
      <c r="E150" s="360">
        <v>718.25</v>
      </c>
    </row>
    <row r="151" spans="1:5" ht="17.25" x14ac:dyDescent="0.45">
      <c r="A151" s="359">
        <v>44870</v>
      </c>
      <c r="B151" s="6" t="s">
        <v>1554</v>
      </c>
      <c r="C151" s="6" t="s">
        <v>1555</v>
      </c>
      <c r="D151" s="360"/>
      <c r="E151" s="360">
        <v>416.5</v>
      </c>
    </row>
    <row r="152" spans="1:5" ht="17.25" x14ac:dyDescent="0.45">
      <c r="A152" s="359">
        <v>44870</v>
      </c>
      <c r="B152" s="6" t="s">
        <v>1546</v>
      </c>
      <c r="C152" s="6" t="s">
        <v>1556</v>
      </c>
      <c r="D152" s="360"/>
      <c r="E152" s="360">
        <v>828.75</v>
      </c>
    </row>
    <row r="153" spans="1:5" ht="17.25" x14ac:dyDescent="0.45">
      <c r="A153" s="359">
        <v>44873</v>
      </c>
      <c r="B153" s="6" t="s">
        <v>1469</v>
      </c>
      <c r="C153" s="6" t="s">
        <v>1008</v>
      </c>
      <c r="D153" s="360"/>
      <c r="E153" s="360">
        <v>3500</v>
      </c>
    </row>
    <row r="154" spans="1:5" ht="17.25" x14ac:dyDescent="0.45">
      <c r="A154" s="359">
        <v>44873</v>
      </c>
      <c r="B154" s="6" t="s">
        <v>1557</v>
      </c>
      <c r="C154" s="6" t="s">
        <v>528</v>
      </c>
      <c r="D154" s="360"/>
      <c r="E154" s="360">
        <v>1530</v>
      </c>
    </row>
    <row r="155" spans="1:5" ht="17.25" x14ac:dyDescent="0.45">
      <c r="A155" s="359">
        <v>44873</v>
      </c>
      <c r="B155" s="6" t="s">
        <v>1469</v>
      </c>
      <c r="C155" s="6" t="s">
        <v>1350</v>
      </c>
      <c r="D155" s="360"/>
      <c r="E155" s="360">
        <v>700</v>
      </c>
    </row>
    <row r="156" spans="1:5" ht="17.25" x14ac:dyDescent="0.45">
      <c r="A156" s="359">
        <v>44874</v>
      </c>
      <c r="B156" s="6" t="s">
        <v>1558</v>
      </c>
      <c r="C156" s="6" t="s">
        <v>806</v>
      </c>
      <c r="D156" s="360"/>
      <c r="E156" s="360">
        <v>4900</v>
      </c>
    </row>
    <row r="157" spans="1:5" ht="17.25" x14ac:dyDescent="0.45">
      <c r="A157" s="359">
        <v>44874</v>
      </c>
      <c r="B157" s="6" t="s">
        <v>1559</v>
      </c>
      <c r="C157" s="6" t="s">
        <v>969</v>
      </c>
      <c r="D157" s="360"/>
      <c r="E157" s="360">
        <v>380</v>
      </c>
    </row>
    <row r="158" spans="1:5" ht="17.25" x14ac:dyDescent="0.45">
      <c r="A158" s="367">
        <v>44875</v>
      </c>
      <c r="B158" s="368" t="s">
        <v>1537</v>
      </c>
      <c r="C158" s="368" t="s">
        <v>1560</v>
      </c>
      <c r="D158" s="369"/>
      <c r="E158" s="369" t="s">
        <v>1533</v>
      </c>
    </row>
    <row r="159" spans="1:5" ht="17.25" x14ac:dyDescent="0.45">
      <c r="A159" s="359">
        <v>44875</v>
      </c>
      <c r="B159" s="6" t="s">
        <v>1561</v>
      </c>
      <c r="C159" s="6" t="s">
        <v>184</v>
      </c>
      <c r="D159" s="360"/>
      <c r="E159" s="360">
        <v>935</v>
      </c>
    </row>
    <row r="160" spans="1:5" ht="17.25" x14ac:dyDescent="0.45">
      <c r="A160" s="359">
        <v>44875</v>
      </c>
      <c r="B160" s="6" t="s">
        <v>1536</v>
      </c>
      <c r="C160" s="6" t="s">
        <v>591</v>
      </c>
      <c r="D160" s="360"/>
      <c r="E160" s="360">
        <v>2900</v>
      </c>
    </row>
    <row r="161" spans="1:5" ht="17.25" x14ac:dyDescent="0.45">
      <c r="A161" s="359">
        <v>44876</v>
      </c>
      <c r="B161" s="6" t="s">
        <v>1562</v>
      </c>
      <c r="C161" s="6" t="s">
        <v>1375</v>
      </c>
      <c r="D161" s="360"/>
      <c r="E161" s="360">
        <v>1500</v>
      </c>
    </row>
    <row r="162" spans="1:5" ht="17.25" x14ac:dyDescent="0.45">
      <c r="A162" s="359">
        <v>44876</v>
      </c>
      <c r="B162" s="6" t="s">
        <v>1563</v>
      </c>
      <c r="C162" s="6" t="s">
        <v>923</v>
      </c>
      <c r="D162" s="360"/>
      <c r="E162" s="360">
        <v>1000</v>
      </c>
    </row>
    <row r="163" spans="1:5" ht="17.25" x14ac:dyDescent="0.45">
      <c r="A163" s="359">
        <v>44876</v>
      </c>
      <c r="B163" s="6" t="s">
        <v>1564</v>
      </c>
      <c r="C163" s="6" t="s">
        <v>1369</v>
      </c>
      <c r="D163" s="360"/>
      <c r="E163" s="360">
        <v>800</v>
      </c>
    </row>
    <row r="164" spans="1:5" ht="17.25" x14ac:dyDescent="0.45">
      <c r="A164" s="359">
        <v>44877</v>
      </c>
      <c r="B164" s="6" t="s">
        <v>1565</v>
      </c>
      <c r="C164" s="6" t="s">
        <v>1349</v>
      </c>
      <c r="D164" s="360"/>
      <c r="E164" s="360">
        <v>700</v>
      </c>
    </row>
    <row r="165" spans="1:5" ht="17.25" x14ac:dyDescent="0.45">
      <c r="A165" s="359">
        <v>44877</v>
      </c>
      <c r="B165" s="6" t="s">
        <v>1566</v>
      </c>
      <c r="C165" s="6" t="s">
        <v>1486</v>
      </c>
      <c r="D165" s="360"/>
      <c r="E165" s="360">
        <v>760</v>
      </c>
    </row>
    <row r="166" spans="1:5" ht="17.25" x14ac:dyDescent="0.45">
      <c r="A166" s="359">
        <v>44877</v>
      </c>
      <c r="B166" s="6" t="s">
        <v>1491</v>
      </c>
      <c r="C166" s="6" t="s">
        <v>1492</v>
      </c>
      <c r="D166" s="360"/>
      <c r="E166" s="360" t="s">
        <v>1533</v>
      </c>
    </row>
    <row r="167" spans="1:5" ht="17.25" x14ac:dyDescent="0.45">
      <c r="A167" s="359">
        <v>44877</v>
      </c>
      <c r="B167" s="6" t="s">
        <v>1567</v>
      </c>
      <c r="C167" s="6" t="s">
        <v>445</v>
      </c>
      <c r="D167" s="360"/>
      <c r="E167" s="360">
        <v>765</v>
      </c>
    </row>
    <row r="168" spans="1:5" ht="17.25" x14ac:dyDescent="0.45">
      <c r="A168" s="363">
        <v>44881</v>
      </c>
      <c r="B168" s="364" t="s">
        <v>1568</v>
      </c>
      <c r="C168" s="364" t="s">
        <v>308</v>
      </c>
      <c r="D168" s="366"/>
      <c r="E168" s="366">
        <v>2550</v>
      </c>
    </row>
    <row r="169" spans="1:5" ht="17.25" x14ac:dyDescent="0.45">
      <c r="A169" s="359">
        <v>44883</v>
      </c>
      <c r="B169" s="6" t="s">
        <v>1569</v>
      </c>
      <c r="C169" s="6" t="s">
        <v>1486</v>
      </c>
      <c r="D169" s="360"/>
      <c r="E169" s="360">
        <v>1100</v>
      </c>
    </row>
    <row r="170" spans="1:5" ht="17.25" x14ac:dyDescent="0.45">
      <c r="A170" s="359">
        <v>44883</v>
      </c>
      <c r="B170" s="6" t="s">
        <v>1570</v>
      </c>
      <c r="C170" s="6" t="s">
        <v>488</v>
      </c>
      <c r="D170" s="360"/>
      <c r="E170" s="360">
        <v>4400</v>
      </c>
    </row>
    <row r="171" spans="1:5" ht="17.25" x14ac:dyDescent="0.45">
      <c r="A171" s="359">
        <v>44883</v>
      </c>
      <c r="B171" s="6" t="s">
        <v>1571</v>
      </c>
      <c r="C171" s="6" t="s">
        <v>1509</v>
      </c>
      <c r="D171" s="360"/>
      <c r="E171" s="360">
        <v>2125</v>
      </c>
    </row>
    <row r="172" spans="1:5" ht="17.25" x14ac:dyDescent="0.45">
      <c r="A172" s="359">
        <v>44883</v>
      </c>
      <c r="B172" s="6" t="s">
        <v>966</v>
      </c>
      <c r="C172" s="6" t="s">
        <v>927</v>
      </c>
      <c r="D172" s="360"/>
      <c r="E172" s="360">
        <v>355</v>
      </c>
    </row>
    <row r="173" spans="1:5" ht="17.25" x14ac:dyDescent="0.45">
      <c r="A173" s="359">
        <v>44883</v>
      </c>
      <c r="B173" s="6" t="s">
        <v>966</v>
      </c>
      <c r="C173" s="6" t="s">
        <v>1572</v>
      </c>
      <c r="D173" s="360"/>
      <c r="E173" s="360">
        <v>345</v>
      </c>
    </row>
    <row r="174" spans="1:5" ht="17.25" x14ac:dyDescent="0.45">
      <c r="A174" s="359">
        <v>44883</v>
      </c>
      <c r="B174" s="6" t="s">
        <v>1573</v>
      </c>
      <c r="C174" s="6" t="s">
        <v>1340</v>
      </c>
      <c r="D174" s="360"/>
      <c r="E174" s="360">
        <v>610</v>
      </c>
    </row>
    <row r="175" spans="1:5" ht="17.25" x14ac:dyDescent="0.45">
      <c r="A175" s="359">
        <v>44883</v>
      </c>
      <c r="B175" s="6" t="s">
        <v>1574</v>
      </c>
      <c r="C175" s="6" t="s">
        <v>1575</v>
      </c>
      <c r="D175" s="360"/>
      <c r="E175" s="360">
        <v>514.25</v>
      </c>
    </row>
    <row r="176" spans="1:5" ht="17.25" x14ac:dyDescent="0.45">
      <c r="A176" s="359">
        <v>44883</v>
      </c>
      <c r="B176" s="6" t="s">
        <v>1574</v>
      </c>
      <c r="C176" s="6" t="s">
        <v>445</v>
      </c>
      <c r="D176" s="360"/>
      <c r="E176" s="360">
        <v>510</v>
      </c>
    </row>
    <row r="177" spans="1:5" ht="17.25" x14ac:dyDescent="0.45">
      <c r="A177" s="359">
        <v>44883</v>
      </c>
      <c r="B177" s="6" t="s">
        <v>1574</v>
      </c>
      <c r="C177" s="6" t="s">
        <v>1576</v>
      </c>
      <c r="D177" s="360"/>
      <c r="E177" s="360">
        <v>387.75</v>
      </c>
    </row>
    <row r="178" spans="1:5" ht="17.25" x14ac:dyDescent="0.45">
      <c r="A178" s="359">
        <v>44883</v>
      </c>
      <c r="B178" s="6" t="s">
        <v>1577</v>
      </c>
      <c r="C178" s="6" t="s">
        <v>1578</v>
      </c>
      <c r="D178" s="360"/>
      <c r="E178" s="360">
        <v>430</v>
      </c>
    </row>
    <row r="179" spans="1:5" ht="17.25" x14ac:dyDescent="0.45">
      <c r="A179" s="359">
        <v>44884</v>
      </c>
      <c r="B179" s="6" t="s">
        <v>1579</v>
      </c>
      <c r="C179" s="6" t="s">
        <v>1580</v>
      </c>
      <c r="D179" s="360"/>
      <c r="E179" s="360">
        <v>1200</v>
      </c>
    </row>
    <row r="180" spans="1:5" ht="17.25" x14ac:dyDescent="0.45">
      <c r="A180" s="359">
        <v>44884</v>
      </c>
      <c r="B180" s="6" t="s">
        <v>1579</v>
      </c>
      <c r="C180" s="6" t="s">
        <v>1434</v>
      </c>
      <c r="D180" s="360"/>
      <c r="E180" s="360">
        <v>700</v>
      </c>
    </row>
    <row r="181" spans="1:5" ht="17.25" x14ac:dyDescent="0.45">
      <c r="A181" s="359">
        <v>44888</v>
      </c>
      <c r="B181" s="6" t="s">
        <v>1581</v>
      </c>
      <c r="C181" s="6" t="s">
        <v>445</v>
      </c>
      <c r="D181" s="360"/>
      <c r="E181" s="360">
        <v>165</v>
      </c>
    </row>
    <row r="182" spans="1:5" ht="17.25" x14ac:dyDescent="0.45">
      <c r="A182" s="359">
        <v>44888</v>
      </c>
      <c r="B182" s="6" t="s">
        <v>1582</v>
      </c>
      <c r="C182" s="6" t="s">
        <v>83</v>
      </c>
      <c r="D182" s="360"/>
      <c r="E182" s="360">
        <v>405</v>
      </c>
    </row>
    <row r="183" spans="1:5" ht="17.25" x14ac:dyDescent="0.45">
      <c r="A183" s="359">
        <v>44888</v>
      </c>
      <c r="B183" s="6" t="s">
        <v>951</v>
      </c>
      <c r="C183" s="6" t="s">
        <v>1349</v>
      </c>
      <c r="D183" s="360"/>
      <c r="E183" s="360">
        <v>635</v>
      </c>
    </row>
    <row r="184" spans="1:5" ht="17.25" x14ac:dyDescent="0.45">
      <c r="A184" s="359">
        <v>44888</v>
      </c>
      <c r="B184" s="6" t="s">
        <v>1583</v>
      </c>
      <c r="C184" s="6" t="s">
        <v>841</v>
      </c>
      <c r="D184" s="360"/>
      <c r="E184" s="360">
        <v>690</v>
      </c>
    </row>
    <row r="185" spans="1:5" ht="17.25" x14ac:dyDescent="0.45">
      <c r="A185" s="359">
        <v>44888</v>
      </c>
      <c r="B185" s="6" t="s">
        <v>1584</v>
      </c>
      <c r="C185" s="6" t="s">
        <v>1163</v>
      </c>
      <c r="D185" s="360"/>
      <c r="E185" s="360">
        <v>604</v>
      </c>
    </row>
    <row r="186" spans="1:5" ht="17.25" x14ac:dyDescent="0.45">
      <c r="A186" s="359">
        <v>44888</v>
      </c>
      <c r="B186" s="6" t="s">
        <v>1585</v>
      </c>
      <c r="C186" s="6" t="s">
        <v>920</v>
      </c>
      <c r="D186" s="360"/>
      <c r="E186" s="360">
        <v>860</v>
      </c>
    </row>
    <row r="187" spans="1:5" ht="17.25" x14ac:dyDescent="0.45">
      <c r="A187" s="359">
        <v>44888</v>
      </c>
      <c r="B187" s="6" t="s">
        <v>1586</v>
      </c>
      <c r="C187" s="6" t="s">
        <v>448</v>
      </c>
      <c r="D187" s="360"/>
      <c r="E187" s="360">
        <v>875</v>
      </c>
    </row>
    <row r="188" spans="1:5" ht="17.25" x14ac:dyDescent="0.45">
      <c r="A188" s="359">
        <v>44888</v>
      </c>
      <c r="B188" s="6" t="s">
        <v>1587</v>
      </c>
      <c r="C188" s="6" t="s">
        <v>1588</v>
      </c>
      <c r="D188" s="360"/>
      <c r="E188" s="360">
        <v>345</v>
      </c>
    </row>
    <row r="189" spans="1:5" ht="17.25" x14ac:dyDescent="0.45">
      <c r="A189" s="359">
        <v>44888</v>
      </c>
      <c r="B189" s="6" t="s">
        <v>1589</v>
      </c>
      <c r="C189" s="6" t="s">
        <v>995</v>
      </c>
      <c r="D189" s="360"/>
      <c r="E189" s="360">
        <v>2240</v>
      </c>
    </row>
    <row r="190" spans="1:5" ht="17.25" x14ac:dyDescent="0.45">
      <c r="A190" s="359">
        <v>44888</v>
      </c>
      <c r="B190" s="6" t="s">
        <v>1590</v>
      </c>
      <c r="C190" s="6" t="s">
        <v>1304</v>
      </c>
      <c r="D190" s="360"/>
      <c r="E190" s="360">
        <v>1000</v>
      </c>
    </row>
    <row r="191" spans="1:5" ht="17.25" x14ac:dyDescent="0.45">
      <c r="A191" s="359">
        <v>44888</v>
      </c>
      <c r="B191" s="6" t="s">
        <v>1591</v>
      </c>
      <c r="C191" s="6" t="s">
        <v>1341</v>
      </c>
      <c r="D191" s="360"/>
      <c r="E191" s="360">
        <v>480</v>
      </c>
    </row>
    <row r="192" spans="1:5" ht="17.25" x14ac:dyDescent="0.45">
      <c r="A192" s="359">
        <v>44888</v>
      </c>
      <c r="B192" s="6" t="s">
        <v>1571</v>
      </c>
      <c r="C192" s="6" t="s">
        <v>1364</v>
      </c>
      <c r="D192" s="360"/>
      <c r="E192" s="360">
        <v>680</v>
      </c>
    </row>
    <row r="193" spans="1:5" ht="17.25" x14ac:dyDescent="0.45">
      <c r="A193" s="359">
        <v>44888</v>
      </c>
      <c r="B193" s="6" t="s">
        <v>1589</v>
      </c>
      <c r="C193" s="6" t="s">
        <v>755</v>
      </c>
      <c r="D193" s="360"/>
      <c r="E193" s="360">
        <v>3920</v>
      </c>
    </row>
    <row r="194" spans="1:5" ht="17.25" x14ac:dyDescent="0.45">
      <c r="A194" s="359">
        <v>44888</v>
      </c>
      <c r="B194" s="6" t="s">
        <v>410</v>
      </c>
      <c r="C194" s="6" t="s">
        <v>1486</v>
      </c>
      <c r="D194" s="360"/>
      <c r="E194" s="360">
        <v>700</v>
      </c>
    </row>
    <row r="195" spans="1:5" ht="17.25" x14ac:dyDescent="0.45">
      <c r="A195" s="363">
        <v>44888</v>
      </c>
      <c r="B195" s="364" t="s">
        <v>1593</v>
      </c>
      <c r="C195" s="364" t="s">
        <v>504</v>
      </c>
      <c r="D195" s="366"/>
      <c r="E195" s="366">
        <v>500</v>
      </c>
    </row>
    <row r="196" spans="1:5" ht="17.25" x14ac:dyDescent="0.45">
      <c r="A196" s="359">
        <v>44891</v>
      </c>
      <c r="B196" s="6" t="s">
        <v>1594</v>
      </c>
      <c r="C196" s="6" t="s">
        <v>1103</v>
      </c>
      <c r="D196" s="360"/>
      <c r="E196" s="360">
        <v>2600</v>
      </c>
    </row>
    <row r="197" spans="1:5" ht="17.25" x14ac:dyDescent="0.45">
      <c r="A197" s="359">
        <v>44891</v>
      </c>
      <c r="B197" s="6" t="s">
        <v>1594</v>
      </c>
      <c r="C197" s="6" t="s">
        <v>1103</v>
      </c>
      <c r="D197" s="360"/>
      <c r="E197" s="360">
        <v>1500</v>
      </c>
    </row>
    <row r="198" spans="1:5" ht="17.25" x14ac:dyDescent="0.45">
      <c r="A198" s="359">
        <v>44891</v>
      </c>
      <c r="B198" s="6" t="s">
        <v>1586</v>
      </c>
      <c r="C198" s="6" t="s">
        <v>406</v>
      </c>
      <c r="D198" s="360"/>
      <c r="E198" s="360">
        <v>2300</v>
      </c>
    </row>
    <row r="199" spans="1:5" ht="17.25" x14ac:dyDescent="0.45">
      <c r="A199" s="359">
        <v>44891</v>
      </c>
      <c r="B199" s="6" t="s">
        <v>1595</v>
      </c>
      <c r="C199" s="6" t="s">
        <v>1349</v>
      </c>
      <c r="D199" s="360"/>
      <c r="E199" s="360">
        <v>700</v>
      </c>
    </row>
    <row r="200" spans="1:5" ht="17.25" x14ac:dyDescent="0.45">
      <c r="A200" s="359">
        <v>44891</v>
      </c>
      <c r="B200" s="6" t="s">
        <v>1478</v>
      </c>
      <c r="C200" s="6" t="s">
        <v>432</v>
      </c>
      <c r="D200" s="360"/>
      <c r="E200" s="360">
        <v>1955</v>
      </c>
    </row>
    <row r="201" spans="1:5" ht="17.25" x14ac:dyDescent="0.45">
      <c r="A201" s="359">
        <v>44891</v>
      </c>
      <c r="B201" s="6" t="s">
        <v>555</v>
      </c>
      <c r="C201" s="6" t="s">
        <v>1585</v>
      </c>
      <c r="D201" s="360"/>
      <c r="E201" s="360">
        <v>1400</v>
      </c>
    </row>
    <row r="202" spans="1:5" ht="17.25" x14ac:dyDescent="0.45">
      <c r="A202" s="359">
        <v>44894</v>
      </c>
      <c r="B202" s="6" t="s">
        <v>1596</v>
      </c>
      <c r="C202" s="6" t="s">
        <v>1163</v>
      </c>
      <c r="D202" s="360"/>
      <c r="E202" s="360">
        <v>552</v>
      </c>
    </row>
    <row r="203" spans="1:5" ht="17.25" x14ac:dyDescent="0.45">
      <c r="A203" s="359">
        <v>44894</v>
      </c>
      <c r="B203" s="6" t="s">
        <v>1597</v>
      </c>
      <c r="C203" s="6" t="s">
        <v>235</v>
      </c>
      <c r="D203" s="360"/>
      <c r="E203" s="360">
        <v>376</v>
      </c>
    </row>
    <row r="204" spans="1:5" ht="17.25" x14ac:dyDescent="0.45">
      <c r="A204" s="359">
        <v>44894</v>
      </c>
      <c r="B204" s="6" t="s">
        <v>1179</v>
      </c>
      <c r="C204" s="6" t="s">
        <v>308</v>
      </c>
      <c r="D204" s="360"/>
      <c r="E204" s="360">
        <v>564</v>
      </c>
    </row>
    <row r="205" spans="1:5" ht="17.25" x14ac:dyDescent="0.45">
      <c r="A205" s="359">
        <v>44894</v>
      </c>
      <c r="B205" s="6" t="s">
        <v>1598</v>
      </c>
      <c r="C205" s="6" t="s">
        <v>308</v>
      </c>
      <c r="D205" s="360"/>
      <c r="E205" s="360">
        <v>550</v>
      </c>
    </row>
    <row r="206" spans="1:5" ht="17.25" x14ac:dyDescent="0.45">
      <c r="A206" s="359">
        <v>44894</v>
      </c>
      <c r="B206" s="6" t="s">
        <v>1599</v>
      </c>
      <c r="C206" s="6" t="s">
        <v>653</v>
      </c>
      <c r="D206" s="360"/>
      <c r="E206" s="360">
        <v>132</v>
      </c>
    </row>
    <row r="207" spans="1:5" ht="17.25" x14ac:dyDescent="0.45">
      <c r="A207" s="359">
        <v>44894</v>
      </c>
      <c r="B207" s="6" t="s">
        <v>1600</v>
      </c>
      <c r="C207" s="6" t="s">
        <v>1221</v>
      </c>
      <c r="D207" s="360"/>
      <c r="E207" s="360">
        <v>476</v>
      </c>
    </row>
    <row r="208" spans="1:5" ht="17.25" x14ac:dyDescent="0.45">
      <c r="A208" s="359">
        <v>44894</v>
      </c>
      <c r="B208" s="6" t="s">
        <v>1601</v>
      </c>
      <c r="C208" s="6" t="s">
        <v>998</v>
      </c>
      <c r="D208" s="360"/>
      <c r="E208" s="360">
        <v>620</v>
      </c>
    </row>
    <row r="209" spans="1:5" ht="17.25" x14ac:dyDescent="0.45">
      <c r="A209" s="359">
        <v>44894</v>
      </c>
      <c r="B209" s="6" t="s">
        <v>1600</v>
      </c>
      <c r="C209" s="6" t="s">
        <v>1040</v>
      </c>
      <c r="D209" s="360"/>
      <c r="E209" s="360">
        <v>864</v>
      </c>
    </row>
    <row r="210" spans="1:5" ht="17.25" x14ac:dyDescent="0.45">
      <c r="A210" s="359">
        <v>44894</v>
      </c>
      <c r="B210" s="6" t="s">
        <v>1602</v>
      </c>
      <c r="C210" s="6" t="s">
        <v>912</v>
      </c>
      <c r="D210" s="360"/>
      <c r="E210" s="360">
        <v>640</v>
      </c>
    </row>
    <row r="211" spans="1:5" ht="17.25" x14ac:dyDescent="0.45">
      <c r="A211" s="359">
        <v>44894</v>
      </c>
      <c r="B211" s="6" t="s">
        <v>1603</v>
      </c>
      <c r="C211" s="6" t="s">
        <v>91</v>
      </c>
      <c r="D211" s="360"/>
      <c r="E211" s="360">
        <v>592.5</v>
      </c>
    </row>
    <row r="212" spans="1:5" ht="17.25" x14ac:dyDescent="0.45">
      <c r="A212" s="359">
        <v>44894</v>
      </c>
      <c r="B212" s="6" t="s">
        <v>1603</v>
      </c>
      <c r="C212" s="6" t="s">
        <v>1604</v>
      </c>
      <c r="D212" s="360"/>
      <c r="E212" s="360">
        <v>3558.75</v>
      </c>
    </row>
    <row r="213" spans="1:5" ht="17.25" x14ac:dyDescent="0.45">
      <c r="A213" s="359">
        <v>44894</v>
      </c>
      <c r="B213" s="6" t="s">
        <v>1606</v>
      </c>
      <c r="C213" s="6" t="s">
        <v>445</v>
      </c>
      <c r="D213" s="360"/>
      <c r="E213" s="360">
        <v>388</v>
      </c>
    </row>
    <row r="214" spans="1:5" ht="17.25" x14ac:dyDescent="0.45">
      <c r="A214" s="359">
        <v>44894</v>
      </c>
      <c r="B214" s="6" t="s">
        <v>1597</v>
      </c>
      <c r="C214" s="6" t="s">
        <v>338</v>
      </c>
      <c r="D214" s="360"/>
      <c r="E214" s="360">
        <v>376</v>
      </c>
    </row>
    <row r="215" spans="1:5" ht="17.25" x14ac:dyDescent="0.45">
      <c r="A215" s="359">
        <v>44894</v>
      </c>
      <c r="B215" s="6" t="s">
        <v>1601</v>
      </c>
      <c r="C215" s="6" t="s">
        <v>1607</v>
      </c>
      <c r="D215" s="360"/>
      <c r="E215" s="360">
        <v>624</v>
      </c>
    </row>
    <row r="216" spans="1:5" ht="17.25" x14ac:dyDescent="0.45">
      <c r="A216" s="359">
        <v>44894</v>
      </c>
      <c r="B216" s="6" t="s">
        <v>1603</v>
      </c>
      <c r="C216" s="6" t="s">
        <v>1378</v>
      </c>
      <c r="D216" s="360"/>
      <c r="E216" s="360">
        <v>603.75</v>
      </c>
    </row>
    <row r="217" spans="1:5" ht="17.25" x14ac:dyDescent="0.45">
      <c r="A217" s="359">
        <v>44894</v>
      </c>
      <c r="B217" s="6" t="s">
        <v>1608</v>
      </c>
      <c r="C217" s="6" t="s">
        <v>377</v>
      </c>
      <c r="D217" s="360"/>
      <c r="E217" s="360">
        <v>220</v>
      </c>
    </row>
    <row r="218" spans="1:5" ht="17.25" x14ac:dyDescent="0.45">
      <c r="A218" s="359">
        <v>44894</v>
      </c>
      <c r="B218" s="6" t="s">
        <v>659</v>
      </c>
      <c r="C218" s="6" t="s">
        <v>525</v>
      </c>
      <c r="D218" s="360"/>
      <c r="E218" s="360">
        <v>484</v>
      </c>
    </row>
    <row r="219" spans="1:5" ht="17.25" x14ac:dyDescent="0.45">
      <c r="A219" s="359">
        <v>44894</v>
      </c>
      <c r="B219" s="6" t="s">
        <v>1609</v>
      </c>
      <c r="C219" s="6" t="s">
        <v>438</v>
      </c>
      <c r="D219" s="360"/>
      <c r="E219" s="360">
        <v>280</v>
      </c>
    </row>
    <row r="220" spans="1:5" ht="17.25" x14ac:dyDescent="0.45">
      <c r="A220" s="359">
        <v>44894</v>
      </c>
      <c r="B220" s="6" t="s">
        <v>1610</v>
      </c>
      <c r="C220" s="6" t="s">
        <v>441</v>
      </c>
      <c r="D220" s="360"/>
      <c r="E220" s="360">
        <v>580</v>
      </c>
    </row>
    <row r="221" spans="1:5" ht="17.25" x14ac:dyDescent="0.45">
      <c r="A221" s="359">
        <v>44894</v>
      </c>
      <c r="B221" s="6" t="s">
        <v>1220</v>
      </c>
      <c r="C221" s="6" t="s">
        <v>447</v>
      </c>
      <c r="D221" s="360"/>
      <c r="E221" s="360">
        <v>1220</v>
      </c>
    </row>
    <row r="222" spans="1:5" ht="17.25" x14ac:dyDescent="0.45">
      <c r="A222" s="359">
        <v>44894</v>
      </c>
      <c r="B222" s="6" t="s">
        <v>1611</v>
      </c>
      <c r="C222" s="6" t="s">
        <v>1612</v>
      </c>
      <c r="D222" s="360"/>
      <c r="E222" s="360">
        <v>168</v>
      </c>
    </row>
    <row r="223" spans="1:5" ht="17.25" x14ac:dyDescent="0.45">
      <c r="A223" s="359">
        <v>44894</v>
      </c>
      <c r="B223" s="6" t="s">
        <v>1327</v>
      </c>
      <c r="C223" s="6" t="s">
        <v>987</v>
      </c>
      <c r="D223" s="360"/>
      <c r="E223" s="360">
        <v>360</v>
      </c>
    </row>
    <row r="224" spans="1:5" ht="17.25" x14ac:dyDescent="0.45">
      <c r="A224" s="359">
        <v>44894</v>
      </c>
      <c r="B224" s="6" t="s">
        <v>1327</v>
      </c>
      <c r="C224" s="6" t="s">
        <v>547</v>
      </c>
      <c r="D224" s="360"/>
      <c r="E224" s="360">
        <v>348</v>
      </c>
    </row>
    <row r="225" spans="1:5" ht="17.25" x14ac:dyDescent="0.45">
      <c r="A225" s="359">
        <v>44894</v>
      </c>
      <c r="B225" s="6" t="s">
        <v>1613</v>
      </c>
      <c r="C225" s="6" t="s">
        <v>1344</v>
      </c>
      <c r="D225" s="360"/>
      <c r="E225" s="360">
        <v>268</v>
      </c>
    </row>
    <row r="226" spans="1:5" ht="17.25" x14ac:dyDescent="0.45">
      <c r="A226" s="359">
        <v>44894</v>
      </c>
      <c r="B226" s="6" t="s">
        <v>1614</v>
      </c>
      <c r="C226" s="6" t="s">
        <v>1349</v>
      </c>
      <c r="D226" s="360"/>
      <c r="E226" s="360">
        <v>225</v>
      </c>
    </row>
    <row r="227" spans="1:5" ht="17.25" x14ac:dyDescent="0.45">
      <c r="A227" s="359">
        <v>44894</v>
      </c>
      <c r="B227" s="6" t="s">
        <v>1615</v>
      </c>
      <c r="C227" s="6" t="s">
        <v>1349</v>
      </c>
      <c r="D227" s="360"/>
      <c r="E227" s="360">
        <v>372</v>
      </c>
    </row>
    <row r="228" spans="1:5" ht="17.25" x14ac:dyDescent="0.45">
      <c r="A228" s="359">
        <v>44894</v>
      </c>
      <c r="B228" s="6" t="s">
        <v>1617</v>
      </c>
      <c r="C228" s="6" t="s">
        <v>1349</v>
      </c>
      <c r="D228" s="360"/>
      <c r="E228" s="360">
        <v>508</v>
      </c>
    </row>
    <row r="229" spans="1:5" ht="17.25" x14ac:dyDescent="0.45">
      <c r="A229" s="359">
        <v>44894</v>
      </c>
      <c r="B229" s="6" t="s">
        <v>1618</v>
      </c>
      <c r="C229" s="6" t="s">
        <v>453</v>
      </c>
      <c r="D229" s="360"/>
      <c r="E229" s="360">
        <v>416</v>
      </c>
    </row>
    <row r="230" spans="1:5" ht="17.25" x14ac:dyDescent="0.45">
      <c r="A230" s="359">
        <v>44894</v>
      </c>
      <c r="B230" s="6" t="s">
        <v>1327</v>
      </c>
      <c r="C230" s="6" t="s">
        <v>1580</v>
      </c>
      <c r="D230" s="360"/>
      <c r="E230" s="360">
        <v>712</v>
      </c>
    </row>
    <row r="231" spans="1:5" ht="17.25" x14ac:dyDescent="0.45">
      <c r="A231" s="359">
        <v>44894</v>
      </c>
      <c r="B231" s="6" t="s">
        <v>1328</v>
      </c>
      <c r="C231" s="6" t="s">
        <v>1056</v>
      </c>
      <c r="D231" s="360"/>
      <c r="E231" s="360">
        <v>696</v>
      </c>
    </row>
    <row r="232" spans="1:5" ht="17.25" x14ac:dyDescent="0.45">
      <c r="A232" s="359">
        <v>44894</v>
      </c>
      <c r="B232" s="6" t="s">
        <v>1619</v>
      </c>
      <c r="C232" s="6" t="s">
        <v>1351</v>
      </c>
      <c r="D232" s="360"/>
      <c r="E232" s="360">
        <v>140</v>
      </c>
    </row>
    <row r="233" spans="1:5" ht="17.25" x14ac:dyDescent="0.45">
      <c r="A233" s="359">
        <v>44894</v>
      </c>
      <c r="B233" s="6" t="s">
        <v>1327</v>
      </c>
      <c r="C233" s="6" t="s">
        <v>1294</v>
      </c>
      <c r="D233" s="360"/>
      <c r="E233" s="360">
        <v>488</v>
      </c>
    </row>
    <row r="234" spans="1:5" ht="17.25" x14ac:dyDescent="0.45">
      <c r="A234" s="359">
        <v>44894</v>
      </c>
      <c r="B234" s="6" t="s">
        <v>1620</v>
      </c>
      <c r="C234" s="6" t="s">
        <v>660</v>
      </c>
      <c r="D234" s="360"/>
      <c r="E234" s="360">
        <v>488</v>
      </c>
    </row>
    <row r="235" spans="1:5" ht="17.25" x14ac:dyDescent="0.45">
      <c r="A235" s="359">
        <v>44894</v>
      </c>
      <c r="B235" s="6" t="s">
        <v>1621</v>
      </c>
      <c r="C235" s="6" t="s">
        <v>1622</v>
      </c>
      <c r="D235" s="360"/>
      <c r="E235" s="360">
        <v>148</v>
      </c>
    </row>
    <row r="236" spans="1:5" ht="17.25" x14ac:dyDescent="0.45">
      <c r="A236" s="359">
        <v>44895</v>
      </c>
      <c r="B236" s="6" t="s">
        <v>1601</v>
      </c>
      <c r="C236" s="6" t="s">
        <v>1180</v>
      </c>
      <c r="D236" s="360"/>
      <c r="E236" s="360">
        <v>988</v>
      </c>
    </row>
    <row r="237" spans="1:5" ht="17.25" x14ac:dyDescent="0.45">
      <c r="A237" s="359">
        <v>44895</v>
      </c>
      <c r="B237" s="6" t="s">
        <v>1623</v>
      </c>
      <c r="C237" s="6" t="s">
        <v>488</v>
      </c>
      <c r="D237" s="360"/>
      <c r="E237" s="360">
        <v>720</v>
      </c>
    </row>
    <row r="238" spans="1:5" ht="17.25" x14ac:dyDescent="0.45">
      <c r="A238" s="359">
        <v>44895</v>
      </c>
      <c r="B238" s="6" t="s">
        <v>1624</v>
      </c>
      <c r="C238" s="6" t="s">
        <v>1625</v>
      </c>
      <c r="D238" s="360"/>
      <c r="E238" s="360">
        <v>480</v>
      </c>
    </row>
    <row r="239" spans="1:5" ht="17.25" x14ac:dyDescent="0.45">
      <c r="A239" s="359">
        <v>44895</v>
      </c>
      <c r="B239" s="6" t="s">
        <v>1626</v>
      </c>
      <c r="C239" s="6" t="s">
        <v>1086</v>
      </c>
      <c r="D239" s="360"/>
      <c r="E239" s="360">
        <v>852</v>
      </c>
    </row>
    <row r="240" spans="1:5" ht="17.25" x14ac:dyDescent="0.45">
      <c r="A240" s="359">
        <v>44895</v>
      </c>
      <c r="B240" s="6" t="s">
        <v>1627</v>
      </c>
      <c r="C240" s="6" t="s">
        <v>1622</v>
      </c>
      <c r="D240" s="360"/>
      <c r="E240" s="360">
        <v>2800</v>
      </c>
    </row>
    <row r="241" spans="1:5" ht="17.25" x14ac:dyDescent="0.45">
      <c r="A241" s="359">
        <v>44895</v>
      </c>
      <c r="B241" s="6" t="s">
        <v>1628</v>
      </c>
      <c r="C241" s="6" t="s">
        <v>1337</v>
      </c>
      <c r="D241" s="360"/>
      <c r="E241" s="360">
        <v>1000</v>
      </c>
    </row>
    <row r="242" spans="1:5" ht="17.25" x14ac:dyDescent="0.45">
      <c r="A242" s="359">
        <v>44895</v>
      </c>
      <c r="B242" s="6" t="s">
        <v>1629</v>
      </c>
      <c r="C242" s="6" t="s">
        <v>821</v>
      </c>
      <c r="D242" s="360"/>
      <c r="E242" s="360">
        <v>1040</v>
      </c>
    </row>
    <row r="243" spans="1:5" ht="17.25" x14ac:dyDescent="0.45">
      <c r="A243" s="359">
        <v>44895</v>
      </c>
      <c r="B243" s="6" t="s">
        <v>1048</v>
      </c>
      <c r="C243" s="6" t="s">
        <v>447</v>
      </c>
      <c r="D243" s="360"/>
      <c r="E243" s="360">
        <v>1440</v>
      </c>
    </row>
    <row r="244" spans="1:5" ht="17.25" x14ac:dyDescent="0.45">
      <c r="A244" s="359">
        <v>44895</v>
      </c>
      <c r="B244" s="6" t="s">
        <v>1630</v>
      </c>
      <c r="C244" s="6" t="s">
        <v>504</v>
      </c>
      <c r="D244" s="360"/>
      <c r="E244" s="360">
        <v>400</v>
      </c>
    </row>
    <row r="245" spans="1:5" ht="17.25" x14ac:dyDescent="0.45">
      <c r="A245" s="359">
        <v>44895</v>
      </c>
      <c r="B245" s="6" t="s">
        <v>1281</v>
      </c>
      <c r="C245" s="6" t="s">
        <v>1631</v>
      </c>
      <c r="D245" s="360"/>
      <c r="E245" s="360">
        <v>800</v>
      </c>
    </row>
    <row r="246" spans="1:5" ht="17.25" x14ac:dyDescent="0.45">
      <c r="A246" s="359">
        <v>44895</v>
      </c>
      <c r="B246" s="6" t="s">
        <v>1632</v>
      </c>
      <c r="C246" s="6" t="s">
        <v>1576</v>
      </c>
      <c r="D246" s="360"/>
      <c r="E246" s="360">
        <v>156</v>
      </c>
    </row>
    <row r="247" spans="1:5" ht="17.25" x14ac:dyDescent="0.45">
      <c r="A247" s="359">
        <v>44895</v>
      </c>
      <c r="B247" s="6" t="s">
        <v>1633</v>
      </c>
      <c r="C247" s="6" t="s">
        <v>1004</v>
      </c>
      <c r="D247" s="360"/>
      <c r="E247" s="360">
        <v>148</v>
      </c>
    </row>
    <row r="248" spans="1:5" ht="17.25" x14ac:dyDescent="0.45">
      <c r="A248" s="359">
        <v>44895</v>
      </c>
      <c r="B248" s="6" t="s">
        <v>1634</v>
      </c>
      <c r="C248" s="6" t="s">
        <v>1240</v>
      </c>
      <c r="D248" s="360"/>
      <c r="E248" s="360">
        <v>524</v>
      </c>
    </row>
    <row r="249" spans="1:5" ht="17.25" x14ac:dyDescent="0.45">
      <c r="A249" s="359">
        <v>44895</v>
      </c>
      <c r="B249" s="6" t="s">
        <v>764</v>
      </c>
      <c r="C249" s="6" t="s">
        <v>438</v>
      </c>
      <c r="D249" s="360"/>
      <c r="E249" s="360">
        <v>680</v>
      </c>
    </row>
    <row r="250" spans="1:5" ht="17.25" x14ac:dyDescent="0.45">
      <c r="A250" s="359">
        <v>44895</v>
      </c>
      <c r="B250" s="6" t="s">
        <v>1635</v>
      </c>
      <c r="C250" s="6" t="s">
        <v>989</v>
      </c>
      <c r="D250" s="360"/>
      <c r="E250" s="360">
        <v>280</v>
      </c>
    </row>
    <row r="251" spans="1:5" ht="17.25" x14ac:dyDescent="0.45">
      <c r="A251" s="359">
        <v>44895</v>
      </c>
      <c r="B251" s="6" t="s">
        <v>1636</v>
      </c>
      <c r="C251" s="6" t="s">
        <v>1637</v>
      </c>
      <c r="D251" s="360"/>
      <c r="E251" s="360">
        <v>360</v>
      </c>
    </row>
    <row r="252" spans="1:5" ht="17.25" x14ac:dyDescent="0.45">
      <c r="A252" s="359">
        <v>44895</v>
      </c>
      <c r="B252" s="6" t="s">
        <v>1638</v>
      </c>
      <c r="C252" s="6" t="s">
        <v>437</v>
      </c>
      <c r="D252" s="360"/>
      <c r="E252" s="360">
        <v>536</v>
      </c>
    </row>
    <row r="253" spans="1:5" ht="17.25" x14ac:dyDescent="0.45">
      <c r="A253" s="359">
        <v>44895</v>
      </c>
      <c r="B253" s="6" t="s">
        <v>1639</v>
      </c>
      <c r="C253" s="6" t="s">
        <v>1640</v>
      </c>
      <c r="D253" s="360"/>
      <c r="E253" s="360">
        <v>516</v>
      </c>
    </row>
    <row r="254" spans="1:5" ht="17.25" x14ac:dyDescent="0.45">
      <c r="A254" s="359">
        <v>44895</v>
      </c>
      <c r="B254" s="6" t="s">
        <v>1641</v>
      </c>
      <c r="C254" s="6" t="s">
        <v>939</v>
      </c>
      <c r="D254" s="360"/>
      <c r="E254" s="360">
        <v>744</v>
      </c>
    </row>
    <row r="255" spans="1:5" ht="17.25" x14ac:dyDescent="0.45">
      <c r="A255" s="359">
        <v>44895</v>
      </c>
      <c r="B255" s="6" t="s">
        <v>1636</v>
      </c>
      <c r="C255" s="6" t="s">
        <v>1642</v>
      </c>
      <c r="D255" s="360"/>
      <c r="E255" s="360">
        <v>748</v>
      </c>
    </row>
    <row r="256" spans="1:5" ht="17.25" x14ac:dyDescent="0.45">
      <c r="A256" s="359">
        <v>44895</v>
      </c>
      <c r="B256" s="6" t="s">
        <v>1639</v>
      </c>
      <c r="C256" s="6" t="s">
        <v>912</v>
      </c>
      <c r="D256" s="360"/>
      <c r="E256" s="360">
        <v>516</v>
      </c>
    </row>
    <row r="257" spans="1:5" ht="17.25" x14ac:dyDescent="0.45">
      <c r="A257" s="359">
        <v>44895</v>
      </c>
      <c r="B257" s="6" t="s">
        <v>1643</v>
      </c>
      <c r="C257" s="6" t="s">
        <v>446</v>
      </c>
      <c r="D257" s="360"/>
      <c r="E257" s="360">
        <v>450</v>
      </c>
    </row>
    <row r="258" spans="1:5" ht="17.25" x14ac:dyDescent="0.45">
      <c r="A258" s="359">
        <v>44895</v>
      </c>
      <c r="B258" s="6" t="s">
        <v>1644</v>
      </c>
      <c r="C258" s="6" t="s">
        <v>1645</v>
      </c>
      <c r="D258" s="360"/>
      <c r="E258" s="360">
        <v>156</v>
      </c>
    </row>
    <row r="259" spans="1:5" ht="17.25" x14ac:dyDescent="0.45">
      <c r="A259" s="359">
        <v>44895</v>
      </c>
      <c r="B259" s="6" t="s">
        <v>1646</v>
      </c>
      <c r="C259" s="6" t="s">
        <v>606</v>
      </c>
      <c r="D259" s="360"/>
      <c r="E259" s="360">
        <v>500</v>
      </c>
    </row>
    <row r="260" spans="1:5" ht="17.25" x14ac:dyDescent="0.45">
      <c r="A260" s="359">
        <v>44895</v>
      </c>
      <c r="B260" s="6" t="s">
        <v>1255</v>
      </c>
      <c r="C260" s="6" t="s">
        <v>953</v>
      </c>
      <c r="D260" s="360"/>
      <c r="E260" s="360">
        <v>288</v>
      </c>
    </row>
    <row r="261" spans="1:5" ht="17.25" x14ac:dyDescent="0.45">
      <c r="A261" s="359">
        <v>44895</v>
      </c>
      <c r="B261" s="6" t="s">
        <v>1647</v>
      </c>
      <c r="C261" s="6" t="s">
        <v>928</v>
      </c>
      <c r="D261" s="360"/>
      <c r="E261" s="360">
        <v>376</v>
      </c>
    </row>
    <row r="262" spans="1:5" ht="17.25" x14ac:dyDescent="0.45">
      <c r="A262" s="359">
        <v>44895</v>
      </c>
      <c r="B262" s="6" t="s">
        <v>1648</v>
      </c>
      <c r="C262" s="6" t="s">
        <v>483</v>
      </c>
      <c r="D262" s="360"/>
      <c r="E262" s="360">
        <v>928</v>
      </c>
    </row>
    <row r="263" spans="1:5" ht="17.25" x14ac:dyDescent="0.45">
      <c r="A263" s="359">
        <v>44895</v>
      </c>
      <c r="B263" s="6" t="s">
        <v>1649</v>
      </c>
      <c r="C263" s="6" t="s">
        <v>1650</v>
      </c>
      <c r="D263" s="360"/>
      <c r="E263" s="360">
        <v>432</v>
      </c>
    </row>
    <row r="264" spans="1:5" ht="17.25" x14ac:dyDescent="0.45">
      <c r="A264" s="359">
        <v>44895</v>
      </c>
      <c r="B264" s="6" t="s">
        <v>1651</v>
      </c>
      <c r="C264" s="6" t="s">
        <v>1228</v>
      </c>
      <c r="D264" s="360"/>
      <c r="E264" s="360">
        <v>872</v>
      </c>
    </row>
    <row r="265" spans="1:5" ht="17.25" x14ac:dyDescent="0.45">
      <c r="A265" s="363">
        <v>44895</v>
      </c>
      <c r="B265" s="364" t="s">
        <v>1652</v>
      </c>
      <c r="C265" s="364" t="s">
        <v>1653</v>
      </c>
      <c r="D265" s="366"/>
      <c r="E265" s="366">
        <v>304</v>
      </c>
    </row>
    <row r="266" spans="1:5" ht="17.25" x14ac:dyDescent="0.45">
      <c r="A266" s="359">
        <v>44896</v>
      </c>
      <c r="B266" s="6" t="s">
        <v>1654</v>
      </c>
      <c r="C266" s="6" t="s">
        <v>1163</v>
      </c>
      <c r="D266" s="360"/>
      <c r="E266" s="360">
        <v>1680</v>
      </c>
    </row>
    <row r="267" spans="1:5" ht="17.25" x14ac:dyDescent="0.45">
      <c r="A267" s="359">
        <v>44896</v>
      </c>
      <c r="B267" s="6" t="s">
        <v>1655</v>
      </c>
      <c r="C267" s="6" t="s">
        <v>240</v>
      </c>
      <c r="D267" s="360"/>
      <c r="E267" s="360">
        <v>960</v>
      </c>
    </row>
    <row r="268" spans="1:5" ht="17.25" x14ac:dyDescent="0.45">
      <c r="A268" s="359">
        <v>44896</v>
      </c>
      <c r="B268" s="6" t="s">
        <v>1656</v>
      </c>
      <c r="C268" s="6" t="s">
        <v>1347</v>
      </c>
      <c r="D268" s="360"/>
      <c r="E268" s="360">
        <v>960</v>
      </c>
    </row>
    <row r="269" spans="1:5" ht="17.25" x14ac:dyDescent="0.45">
      <c r="A269" s="359">
        <v>44896</v>
      </c>
      <c r="B269" s="6" t="s">
        <v>1657</v>
      </c>
      <c r="C269" s="6" t="s">
        <v>786</v>
      </c>
      <c r="D269" s="360"/>
      <c r="E269" s="360">
        <v>1920</v>
      </c>
    </row>
    <row r="270" spans="1:5" ht="17.25" x14ac:dyDescent="0.45">
      <c r="A270" s="359">
        <v>44896</v>
      </c>
      <c r="B270" s="6" t="s">
        <v>1658</v>
      </c>
      <c r="C270" s="6" t="s">
        <v>308</v>
      </c>
      <c r="D270" s="360"/>
      <c r="E270" s="360">
        <v>1360</v>
      </c>
    </row>
    <row r="271" spans="1:5" ht="17.25" x14ac:dyDescent="0.45">
      <c r="A271" s="359">
        <v>44896</v>
      </c>
      <c r="B271" s="6" t="s">
        <v>1630</v>
      </c>
      <c r="C271" s="6" t="s">
        <v>426</v>
      </c>
      <c r="D271" s="360"/>
      <c r="E271" s="360">
        <v>400</v>
      </c>
    </row>
    <row r="272" spans="1:5" ht="17.25" x14ac:dyDescent="0.45">
      <c r="A272" s="359">
        <v>44897</v>
      </c>
      <c r="B272" s="6" t="s">
        <v>1659</v>
      </c>
      <c r="C272" s="6" t="s">
        <v>1660</v>
      </c>
      <c r="D272" s="360"/>
      <c r="E272" s="360">
        <v>4960</v>
      </c>
    </row>
    <row r="273" spans="1:5" ht="17.25" x14ac:dyDescent="0.45">
      <c r="A273" s="359">
        <v>44897</v>
      </c>
      <c r="B273" s="6" t="s">
        <v>1661</v>
      </c>
      <c r="C273" s="6" t="s">
        <v>907</v>
      </c>
      <c r="D273" s="360"/>
      <c r="E273" s="360">
        <v>1200</v>
      </c>
    </row>
    <row r="274" spans="1:5" ht="17.25" x14ac:dyDescent="0.45">
      <c r="A274" s="359">
        <v>44897</v>
      </c>
      <c r="B274" s="6" t="s">
        <v>1662</v>
      </c>
      <c r="C274" s="6" t="s">
        <v>399</v>
      </c>
      <c r="D274" s="360"/>
      <c r="E274" s="360">
        <v>800</v>
      </c>
    </row>
    <row r="275" spans="1:5" ht="17.25" x14ac:dyDescent="0.45">
      <c r="A275" s="359">
        <v>44897</v>
      </c>
      <c r="B275" s="6" t="s">
        <v>1663</v>
      </c>
      <c r="C275" s="6" t="s">
        <v>1337</v>
      </c>
      <c r="D275" s="360"/>
      <c r="E275" s="360">
        <v>800</v>
      </c>
    </row>
    <row r="276" spans="1:5" ht="17.25" x14ac:dyDescent="0.45">
      <c r="A276" s="359">
        <v>44897</v>
      </c>
      <c r="B276" s="6" t="s">
        <v>1664</v>
      </c>
      <c r="C276" s="6" t="s">
        <v>1665</v>
      </c>
      <c r="D276" s="360"/>
      <c r="E276" s="360">
        <v>640</v>
      </c>
    </row>
    <row r="277" spans="1:5" ht="17.25" x14ac:dyDescent="0.45">
      <c r="A277" s="359">
        <v>44897</v>
      </c>
      <c r="B277" s="6" t="s">
        <v>1666</v>
      </c>
      <c r="C277" s="6" t="s">
        <v>1181</v>
      </c>
      <c r="D277" s="360"/>
      <c r="E277" s="360">
        <v>400</v>
      </c>
    </row>
    <row r="278" spans="1:5" ht="17.25" x14ac:dyDescent="0.45">
      <c r="A278" s="359">
        <v>44898</v>
      </c>
      <c r="B278" s="6" t="s">
        <v>1667</v>
      </c>
      <c r="C278" s="6" t="s">
        <v>1464</v>
      </c>
      <c r="D278" s="360"/>
      <c r="E278" s="360">
        <v>156</v>
      </c>
    </row>
    <row r="279" spans="1:5" ht="17.25" x14ac:dyDescent="0.45">
      <c r="A279" s="359">
        <v>44898</v>
      </c>
      <c r="B279" s="6" t="s">
        <v>1668</v>
      </c>
      <c r="C279" s="6" t="s">
        <v>476</v>
      </c>
      <c r="D279" s="360"/>
      <c r="E279" s="360">
        <v>360</v>
      </c>
    </row>
    <row r="280" spans="1:5" ht="17.25" x14ac:dyDescent="0.45">
      <c r="A280" s="359">
        <v>44898</v>
      </c>
      <c r="B280" s="6" t="s">
        <v>1669</v>
      </c>
      <c r="C280" s="6" t="s">
        <v>1047</v>
      </c>
      <c r="D280" s="360"/>
      <c r="E280" s="360">
        <v>272</v>
      </c>
    </row>
    <row r="281" spans="1:5" ht="17.25" x14ac:dyDescent="0.45">
      <c r="A281" s="359">
        <v>44898</v>
      </c>
      <c r="B281" s="6" t="s">
        <v>1670</v>
      </c>
      <c r="C281" s="6" t="s">
        <v>579</v>
      </c>
      <c r="D281" s="360"/>
      <c r="E281" s="360">
        <v>2124</v>
      </c>
    </row>
    <row r="282" spans="1:5" ht="17.25" x14ac:dyDescent="0.45">
      <c r="A282" s="359">
        <v>44898</v>
      </c>
      <c r="B282" s="6" t="s">
        <v>1611</v>
      </c>
      <c r="C282" s="6" t="s">
        <v>1671</v>
      </c>
      <c r="D282" s="360"/>
      <c r="E282" s="360">
        <v>432</v>
      </c>
    </row>
    <row r="283" spans="1:5" ht="17.25" x14ac:dyDescent="0.45">
      <c r="A283" s="359">
        <v>44898</v>
      </c>
      <c r="B283" s="6" t="s">
        <v>1672</v>
      </c>
      <c r="C283" s="6" t="s">
        <v>574</v>
      </c>
      <c r="D283" s="360"/>
      <c r="E283" s="360">
        <v>552</v>
      </c>
    </row>
    <row r="284" spans="1:5" ht="17.25" x14ac:dyDescent="0.45">
      <c r="A284" s="359">
        <v>44898</v>
      </c>
      <c r="B284" s="6" t="s">
        <v>1673</v>
      </c>
      <c r="C284" s="6" t="s">
        <v>554</v>
      </c>
      <c r="D284" s="360"/>
      <c r="E284" s="360">
        <v>472</v>
      </c>
    </row>
    <row r="285" spans="1:5" ht="17.25" x14ac:dyDescent="0.45">
      <c r="A285" s="359">
        <v>44898</v>
      </c>
      <c r="B285" s="6" t="s">
        <v>1675</v>
      </c>
      <c r="C285" s="6" t="s">
        <v>1676</v>
      </c>
      <c r="D285" s="360"/>
      <c r="E285" s="360">
        <v>428</v>
      </c>
    </row>
    <row r="286" spans="1:5" ht="17.25" x14ac:dyDescent="0.45">
      <c r="A286" s="359">
        <v>44898</v>
      </c>
      <c r="B286" s="6" t="s">
        <v>1677</v>
      </c>
      <c r="C286" s="6" t="s">
        <v>1097</v>
      </c>
      <c r="D286" s="360"/>
      <c r="E286" s="360">
        <v>548</v>
      </c>
    </row>
    <row r="287" spans="1:5" ht="17.25" x14ac:dyDescent="0.45">
      <c r="A287" s="359">
        <v>44898</v>
      </c>
      <c r="B287" s="6" t="s">
        <v>1678</v>
      </c>
      <c r="C287" s="6" t="s">
        <v>1036</v>
      </c>
      <c r="D287" s="360"/>
      <c r="E287" s="360">
        <v>624</v>
      </c>
    </row>
    <row r="288" spans="1:5" ht="17.25" x14ac:dyDescent="0.45">
      <c r="A288" s="359">
        <v>44898</v>
      </c>
      <c r="B288" s="6" t="s">
        <v>1679</v>
      </c>
      <c r="C288" s="6" t="s">
        <v>1607</v>
      </c>
      <c r="D288" s="360"/>
      <c r="E288" s="360">
        <v>436</v>
      </c>
    </row>
    <row r="289" spans="1:5" ht="17.25" x14ac:dyDescent="0.45">
      <c r="A289" s="359">
        <v>44898</v>
      </c>
      <c r="B289" s="6" t="s">
        <v>1680</v>
      </c>
      <c r="C289" s="6" t="s">
        <v>1366</v>
      </c>
      <c r="D289" s="360"/>
      <c r="E289" s="360">
        <v>372</v>
      </c>
    </row>
    <row r="290" spans="1:5" ht="17.25" x14ac:dyDescent="0.45">
      <c r="A290" s="359">
        <v>44898</v>
      </c>
      <c r="B290" s="6" t="s">
        <v>1681</v>
      </c>
      <c r="C290" s="6" t="s">
        <v>511</v>
      </c>
      <c r="D290" s="360"/>
      <c r="E290" s="360">
        <v>344</v>
      </c>
    </row>
    <row r="291" spans="1:5" ht="17.25" x14ac:dyDescent="0.45">
      <c r="A291" s="359">
        <v>44899</v>
      </c>
      <c r="B291" s="6" t="s">
        <v>1682</v>
      </c>
      <c r="C291" s="6" t="s">
        <v>433</v>
      </c>
      <c r="D291" s="360"/>
      <c r="E291" s="360">
        <v>420</v>
      </c>
    </row>
    <row r="292" spans="1:5" ht="17.25" x14ac:dyDescent="0.45">
      <c r="A292" s="359">
        <v>44899</v>
      </c>
      <c r="B292" s="6" t="s">
        <v>1683</v>
      </c>
      <c r="C292" s="6" t="s">
        <v>708</v>
      </c>
      <c r="D292" s="360"/>
      <c r="E292" s="360">
        <v>228</v>
      </c>
    </row>
    <row r="293" spans="1:5" ht="17.25" x14ac:dyDescent="0.45">
      <c r="A293" s="359">
        <v>44899</v>
      </c>
      <c r="B293" s="6" t="s">
        <v>1686</v>
      </c>
      <c r="C293" s="6" t="s">
        <v>1687</v>
      </c>
      <c r="D293" s="360"/>
      <c r="E293" s="360">
        <v>560</v>
      </c>
    </row>
    <row r="294" spans="1:5" ht="17.25" x14ac:dyDescent="0.45">
      <c r="A294" s="359">
        <v>44899</v>
      </c>
      <c r="B294" s="6" t="s">
        <v>1688</v>
      </c>
      <c r="C294" s="6" t="s">
        <v>1689</v>
      </c>
      <c r="D294" s="360"/>
      <c r="E294" s="360">
        <v>5200</v>
      </c>
    </row>
    <row r="295" spans="1:5" ht="17.25" x14ac:dyDescent="0.45">
      <c r="A295" s="359">
        <v>44899</v>
      </c>
      <c r="B295" s="6" t="s">
        <v>1690</v>
      </c>
      <c r="C295" s="6" t="s">
        <v>476</v>
      </c>
      <c r="D295" s="360"/>
      <c r="E295" s="360">
        <v>1680</v>
      </c>
    </row>
    <row r="296" spans="1:5" ht="17.25" x14ac:dyDescent="0.45">
      <c r="A296" s="359">
        <v>44899</v>
      </c>
      <c r="B296" s="6" t="s">
        <v>1691</v>
      </c>
      <c r="C296" s="6" t="s">
        <v>821</v>
      </c>
      <c r="D296" s="360"/>
      <c r="E296" s="360">
        <v>4160</v>
      </c>
    </row>
    <row r="297" spans="1:5" ht="17.25" x14ac:dyDescent="0.45">
      <c r="A297" s="359">
        <v>44899</v>
      </c>
      <c r="B297" s="6" t="s">
        <v>1692</v>
      </c>
      <c r="C297" s="6" t="s">
        <v>1349</v>
      </c>
      <c r="D297" s="360"/>
      <c r="E297" s="360">
        <v>1100</v>
      </c>
    </row>
    <row r="298" spans="1:5" ht="17.25" x14ac:dyDescent="0.45">
      <c r="A298" s="359">
        <v>44899</v>
      </c>
      <c r="B298" s="6" t="s">
        <v>1693</v>
      </c>
      <c r="C298" s="6" t="s">
        <v>1350</v>
      </c>
      <c r="D298" s="360"/>
      <c r="E298" s="360">
        <v>880</v>
      </c>
    </row>
    <row r="299" spans="1:5" ht="17.25" x14ac:dyDescent="0.45">
      <c r="A299" s="359">
        <v>44900</v>
      </c>
      <c r="B299" s="6" t="s">
        <v>1693</v>
      </c>
      <c r="C299" s="6" t="s">
        <v>563</v>
      </c>
      <c r="D299" s="360"/>
      <c r="E299" s="360">
        <v>2800</v>
      </c>
    </row>
    <row r="300" spans="1:5" ht="17.25" x14ac:dyDescent="0.45">
      <c r="A300" s="359">
        <v>44900</v>
      </c>
      <c r="B300" s="6" t="s">
        <v>1694</v>
      </c>
      <c r="C300" s="6" t="s">
        <v>911</v>
      </c>
      <c r="D300" s="360"/>
      <c r="E300" s="360">
        <v>1440</v>
      </c>
    </row>
    <row r="301" spans="1:5" ht="17.25" x14ac:dyDescent="0.45">
      <c r="A301" s="359">
        <v>44900</v>
      </c>
      <c r="B301" s="6" t="s">
        <v>1695</v>
      </c>
      <c r="C301" s="6" t="s">
        <v>184</v>
      </c>
      <c r="D301" s="360"/>
      <c r="E301" s="360">
        <v>1100</v>
      </c>
    </row>
    <row r="302" spans="1:5" ht="17.25" x14ac:dyDescent="0.45">
      <c r="A302" s="359">
        <v>44900</v>
      </c>
      <c r="B302" s="6" t="s">
        <v>1696</v>
      </c>
      <c r="C302" s="6" t="s">
        <v>1697</v>
      </c>
      <c r="D302" s="360"/>
      <c r="E302" s="360">
        <v>1040</v>
      </c>
    </row>
    <row r="303" spans="1:5" ht="17.25" x14ac:dyDescent="0.45">
      <c r="A303" s="359">
        <v>44900</v>
      </c>
      <c r="B303" s="6" t="s">
        <v>1698</v>
      </c>
      <c r="C303" s="6" t="s">
        <v>1357</v>
      </c>
      <c r="D303" s="360"/>
      <c r="E303" s="360">
        <v>1360</v>
      </c>
    </row>
    <row r="304" spans="1:5" ht="17.25" x14ac:dyDescent="0.45">
      <c r="A304" s="359">
        <v>44901</v>
      </c>
      <c r="B304" s="6" t="s">
        <v>1661</v>
      </c>
      <c r="C304" s="6" t="s">
        <v>980</v>
      </c>
      <c r="D304" s="360"/>
      <c r="E304" s="360">
        <v>2960</v>
      </c>
    </row>
    <row r="305" spans="1:5" ht="17.25" x14ac:dyDescent="0.45">
      <c r="A305" s="359">
        <v>44901</v>
      </c>
      <c r="B305" s="6" t="s">
        <v>1699</v>
      </c>
      <c r="C305" s="6" t="s">
        <v>534</v>
      </c>
      <c r="D305" s="360"/>
      <c r="E305" s="360">
        <v>1920</v>
      </c>
    </row>
    <row r="306" spans="1:5" ht="17.25" x14ac:dyDescent="0.45">
      <c r="A306" s="359">
        <v>44901</v>
      </c>
      <c r="B306" s="6" t="s">
        <v>1700</v>
      </c>
      <c r="C306" s="6" t="s">
        <v>240</v>
      </c>
      <c r="D306" s="360"/>
      <c r="E306" s="360">
        <v>2700</v>
      </c>
    </row>
    <row r="307" spans="1:5" ht="17.25" x14ac:dyDescent="0.45">
      <c r="A307" s="359">
        <v>44901</v>
      </c>
      <c r="B307" s="6" t="s">
        <v>1701</v>
      </c>
      <c r="C307" s="6" t="s">
        <v>1036</v>
      </c>
      <c r="D307" s="360"/>
      <c r="E307" s="360">
        <v>800</v>
      </c>
    </row>
    <row r="308" spans="1:5" ht="17.25" x14ac:dyDescent="0.45">
      <c r="A308" s="359">
        <v>44901</v>
      </c>
      <c r="B308" s="6" t="s">
        <v>1702</v>
      </c>
      <c r="C308" s="6" t="s">
        <v>1349</v>
      </c>
      <c r="D308" s="360"/>
      <c r="E308" s="360">
        <v>700</v>
      </c>
    </row>
    <row r="309" spans="1:5" ht="17.25" x14ac:dyDescent="0.45">
      <c r="A309" s="359">
        <v>44902</v>
      </c>
      <c r="B309" s="6" t="s">
        <v>1603</v>
      </c>
      <c r="C309" s="6" t="s">
        <v>74</v>
      </c>
      <c r="D309" s="360"/>
      <c r="E309" s="360">
        <v>6075</v>
      </c>
    </row>
    <row r="310" spans="1:5" ht="17.25" x14ac:dyDescent="0.45">
      <c r="A310" s="367">
        <v>44903</v>
      </c>
      <c r="B310" s="368" t="s">
        <v>1571</v>
      </c>
      <c r="C310" s="368" t="s">
        <v>585</v>
      </c>
      <c r="D310" s="369"/>
      <c r="E310" s="369">
        <v>5440</v>
      </c>
    </row>
    <row r="311" spans="1:5" ht="17.25" x14ac:dyDescent="0.45">
      <c r="A311" s="359">
        <v>44904</v>
      </c>
      <c r="B311" s="6" t="s">
        <v>1505</v>
      </c>
      <c r="C311" s="6" t="s">
        <v>1367</v>
      </c>
      <c r="D311" s="360"/>
      <c r="E311" s="360">
        <v>3100</v>
      </c>
    </row>
    <row r="312" spans="1:5" ht="17.25" x14ac:dyDescent="0.45">
      <c r="A312" s="359">
        <v>44909</v>
      </c>
      <c r="B312" s="360" t="s">
        <v>1703</v>
      </c>
      <c r="C312" s="6" t="s">
        <v>1697</v>
      </c>
      <c r="D312" s="360"/>
      <c r="E312" s="360">
        <v>1040</v>
      </c>
    </row>
    <row r="313" spans="1:5" ht="17.25" x14ac:dyDescent="0.45">
      <c r="A313" s="359">
        <v>44909</v>
      </c>
      <c r="B313" s="360" t="s">
        <v>1704</v>
      </c>
      <c r="C313" s="6" t="s">
        <v>697</v>
      </c>
      <c r="D313" s="360"/>
      <c r="E313" s="360">
        <v>3300</v>
      </c>
    </row>
    <row r="314" spans="1:5" ht="17.25" x14ac:dyDescent="0.45">
      <c r="A314" s="363">
        <v>44909</v>
      </c>
      <c r="B314" s="366" t="s">
        <v>1705</v>
      </c>
      <c r="C314" s="364" t="s">
        <v>1481</v>
      </c>
      <c r="D314" s="366"/>
      <c r="E314" s="366">
        <v>2890</v>
      </c>
    </row>
    <row r="315" spans="1:5" ht="17.25" x14ac:dyDescent="0.45">
      <c r="A315" s="359">
        <v>44925</v>
      </c>
      <c r="B315" s="6" t="s">
        <v>1706</v>
      </c>
      <c r="C315" s="6" t="s">
        <v>472</v>
      </c>
      <c r="D315" s="360"/>
      <c r="E315" s="360">
        <v>3760</v>
      </c>
    </row>
    <row r="316" spans="1:5" ht="17.25" x14ac:dyDescent="0.45">
      <c r="A316" s="359">
        <v>44925</v>
      </c>
      <c r="B316" s="6" t="s">
        <v>1707</v>
      </c>
      <c r="C316" s="6" t="s">
        <v>1265</v>
      </c>
      <c r="D316" s="360"/>
      <c r="E316" s="360">
        <v>4590</v>
      </c>
    </row>
    <row r="317" spans="1:5" ht="17.25" x14ac:dyDescent="0.45">
      <c r="A317" s="359">
        <v>44925</v>
      </c>
      <c r="B317" s="6" t="s">
        <v>1708</v>
      </c>
      <c r="C317" s="6" t="s">
        <v>1349</v>
      </c>
      <c r="D317" s="360"/>
      <c r="E317" s="360">
        <v>485</v>
      </c>
    </row>
    <row r="318" spans="1:5" ht="17.25" x14ac:dyDescent="0.45">
      <c r="A318" s="359">
        <v>44925</v>
      </c>
      <c r="B318" s="6" t="s">
        <v>1709</v>
      </c>
      <c r="C318" s="6" t="s">
        <v>320</v>
      </c>
      <c r="D318" s="360"/>
      <c r="E318" s="360">
        <v>468</v>
      </c>
    </row>
    <row r="319" spans="1:5" ht="17.25" x14ac:dyDescent="0.45">
      <c r="A319" s="359">
        <v>44925</v>
      </c>
      <c r="B319" s="6" t="s">
        <v>1710</v>
      </c>
      <c r="C319" s="6" t="s">
        <v>1034</v>
      </c>
      <c r="D319" s="360"/>
      <c r="E319" s="360">
        <v>454.5</v>
      </c>
    </row>
    <row r="320" spans="1:5" ht="17.25" x14ac:dyDescent="0.45">
      <c r="A320" s="359">
        <v>44925</v>
      </c>
      <c r="B320" s="6" t="s">
        <v>1711</v>
      </c>
      <c r="C320" s="6" t="s">
        <v>273</v>
      </c>
      <c r="D320" s="360"/>
      <c r="E320" s="360">
        <v>289</v>
      </c>
    </row>
    <row r="321" spans="1:5" ht="17.25" x14ac:dyDescent="0.45">
      <c r="A321" s="359">
        <v>44925</v>
      </c>
      <c r="B321" s="6" t="s">
        <v>1712</v>
      </c>
      <c r="C321" s="6" t="s">
        <v>397</v>
      </c>
      <c r="D321" s="360"/>
      <c r="E321" s="360">
        <v>432</v>
      </c>
    </row>
    <row r="322" spans="1:5" ht="17.25" x14ac:dyDescent="0.45">
      <c r="A322" s="359">
        <v>44925</v>
      </c>
      <c r="B322" s="6" t="s">
        <v>1713</v>
      </c>
      <c r="C322" s="6" t="s">
        <v>1366</v>
      </c>
      <c r="D322" s="360"/>
      <c r="E322" s="360">
        <v>729</v>
      </c>
    </row>
    <row r="323" spans="1:5" ht="17.25" x14ac:dyDescent="0.45">
      <c r="A323" s="359">
        <v>44925</v>
      </c>
      <c r="B323" s="6" t="s">
        <v>1714</v>
      </c>
      <c r="C323" s="6" t="s">
        <v>1715</v>
      </c>
      <c r="D323" s="360"/>
      <c r="E323" s="360">
        <v>4117.5</v>
      </c>
    </row>
    <row r="324" spans="1:5" ht="17.25" x14ac:dyDescent="0.45">
      <c r="A324" s="359">
        <v>44925</v>
      </c>
      <c r="B324" s="6" t="s">
        <v>1716</v>
      </c>
      <c r="C324" s="6" t="s">
        <v>1549</v>
      </c>
      <c r="D324" s="360"/>
      <c r="E324" s="360">
        <v>855</v>
      </c>
    </row>
    <row r="325" spans="1:5" ht="17.25" x14ac:dyDescent="0.45">
      <c r="A325" s="359">
        <v>44925</v>
      </c>
      <c r="B325" s="6" t="s">
        <v>1611</v>
      </c>
      <c r="C325" s="6" t="s">
        <v>1717</v>
      </c>
      <c r="D325" s="360"/>
      <c r="E325" s="360">
        <v>327.25</v>
      </c>
    </row>
    <row r="326" spans="1:5" ht="17.25" x14ac:dyDescent="0.45">
      <c r="A326" s="359">
        <v>44925</v>
      </c>
      <c r="B326" s="6" t="s">
        <v>1718</v>
      </c>
      <c r="C326" s="6" t="s">
        <v>920</v>
      </c>
      <c r="D326" s="360"/>
      <c r="E326" s="360">
        <v>1071</v>
      </c>
    </row>
    <row r="327" spans="1:5" ht="17.25" x14ac:dyDescent="0.45">
      <c r="A327" s="359">
        <v>44925</v>
      </c>
      <c r="B327" s="6" t="s">
        <v>1719</v>
      </c>
      <c r="C327" s="6" t="s">
        <v>1720</v>
      </c>
      <c r="D327" s="360"/>
      <c r="E327" s="360">
        <v>524</v>
      </c>
    </row>
    <row r="328" spans="1:5" ht="17.25" x14ac:dyDescent="0.45">
      <c r="A328" s="359">
        <v>44925</v>
      </c>
      <c r="B328" s="6" t="s">
        <v>1721</v>
      </c>
      <c r="C328" s="6" t="s">
        <v>1722</v>
      </c>
      <c r="D328" s="360"/>
      <c r="E328" s="360">
        <v>364.5</v>
      </c>
    </row>
    <row r="329" spans="1:5" ht="17.25" x14ac:dyDescent="0.45">
      <c r="A329" s="359">
        <v>44925</v>
      </c>
      <c r="B329" s="6" t="s">
        <v>1723</v>
      </c>
      <c r="C329" s="6" t="s">
        <v>404</v>
      </c>
      <c r="D329" s="360"/>
      <c r="E329" s="360">
        <v>175.5</v>
      </c>
    </row>
    <row r="330" spans="1:5" ht="17.25" x14ac:dyDescent="0.45">
      <c r="A330" s="359">
        <v>44925</v>
      </c>
      <c r="B330" s="6" t="s">
        <v>1724</v>
      </c>
      <c r="C330" s="6" t="s">
        <v>150</v>
      </c>
      <c r="D330" s="360"/>
      <c r="E330" s="360">
        <v>185</v>
      </c>
    </row>
    <row r="331" spans="1:5" ht="17.25" x14ac:dyDescent="0.45">
      <c r="A331" s="359">
        <v>44925</v>
      </c>
      <c r="B331" s="6" t="s">
        <v>1725</v>
      </c>
      <c r="C331" s="6" t="s">
        <v>320</v>
      </c>
      <c r="D331" s="360"/>
      <c r="E331" s="360">
        <v>324</v>
      </c>
    </row>
    <row r="332" spans="1:5" ht="17.25" x14ac:dyDescent="0.45">
      <c r="A332" s="359">
        <v>44925</v>
      </c>
      <c r="B332" s="6" t="s">
        <v>1726</v>
      </c>
      <c r="C332" s="6" t="s">
        <v>519</v>
      </c>
      <c r="D332" s="360"/>
      <c r="E332" s="360">
        <v>315</v>
      </c>
    </row>
    <row r="333" spans="1:5" ht="17.25" x14ac:dyDescent="0.45">
      <c r="A333" s="359">
        <v>44930</v>
      </c>
      <c r="B333" s="6" t="s">
        <v>458</v>
      </c>
      <c r="C333" s="6" t="s">
        <v>1240</v>
      </c>
      <c r="D333" s="360"/>
      <c r="E333" s="360">
        <v>5300</v>
      </c>
    </row>
    <row r="334" spans="1:5" ht="17.25" x14ac:dyDescent="0.45">
      <c r="A334" s="359">
        <v>44930</v>
      </c>
      <c r="B334" s="6" t="s">
        <v>1727</v>
      </c>
      <c r="C334" s="6" t="s">
        <v>1350</v>
      </c>
      <c r="D334" s="360"/>
      <c r="E334" s="360">
        <v>935</v>
      </c>
    </row>
    <row r="335" spans="1:5" ht="17.25" x14ac:dyDescent="0.45">
      <c r="A335" s="359">
        <v>44930</v>
      </c>
      <c r="B335" s="6" t="s">
        <v>1727</v>
      </c>
      <c r="C335" s="6" t="s">
        <v>1304</v>
      </c>
      <c r="D335" s="360"/>
      <c r="E335" s="360">
        <v>850</v>
      </c>
    </row>
    <row r="336" spans="1:5" ht="17.25" x14ac:dyDescent="0.45">
      <c r="A336" s="359">
        <v>44930</v>
      </c>
      <c r="B336" s="6" t="s">
        <v>1728</v>
      </c>
      <c r="C336" s="6" t="s">
        <v>1375</v>
      </c>
      <c r="D336" s="360"/>
      <c r="E336" s="360">
        <v>1360</v>
      </c>
    </row>
    <row r="337" spans="1:5" ht="17.25" x14ac:dyDescent="0.45">
      <c r="A337" s="363">
        <v>44930</v>
      </c>
      <c r="B337" s="364" t="s">
        <v>1730</v>
      </c>
      <c r="C337" s="364" t="s">
        <v>1731</v>
      </c>
      <c r="D337" s="366"/>
      <c r="E337" s="366">
        <v>2000</v>
      </c>
    </row>
    <row r="338" spans="1:5" ht="17.25" x14ac:dyDescent="0.45">
      <c r="A338" s="359">
        <v>44931</v>
      </c>
      <c r="B338" s="6" t="s">
        <v>1571</v>
      </c>
      <c r="C338" s="6" t="s">
        <v>585</v>
      </c>
      <c r="D338" s="360"/>
      <c r="E338" s="360" t="s">
        <v>1533</v>
      </c>
    </row>
    <row r="339" spans="1:5" ht="17.25" x14ac:dyDescent="0.45">
      <c r="A339" s="359">
        <v>44932</v>
      </c>
      <c r="B339" s="6" t="s">
        <v>1728</v>
      </c>
      <c r="C339" s="6" t="s">
        <v>476</v>
      </c>
      <c r="D339" s="360"/>
      <c r="E339" s="360">
        <v>2640</v>
      </c>
    </row>
    <row r="340" spans="1:5" ht="17.25" x14ac:dyDescent="0.45">
      <c r="A340" s="359">
        <v>44932</v>
      </c>
      <c r="B340" s="6" t="s">
        <v>1732</v>
      </c>
      <c r="C340" s="6" t="s">
        <v>202</v>
      </c>
      <c r="D340" s="360"/>
      <c r="E340" s="360">
        <v>2070</v>
      </c>
    </row>
    <row r="341" spans="1:5" ht="17.25" x14ac:dyDescent="0.45">
      <c r="A341" s="359">
        <v>44933</v>
      </c>
      <c r="B341" s="6" t="s">
        <v>1733</v>
      </c>
      <c r="C341" s="6" t="s">
        <v>63</v>
      </c>
      <c r="D341" s="360"/>
      <c r="E341" s="360">
        <v>5865</v>
      </c>
    </row>
    <row r="342" spans="1:5" ht="17.25" x14ac:dyDescent="0.45">
      <c r="A342" s="359">
        <v>44933</v>
      </c>
      <c r="B342" s="6" t="s">
        <v>1734</v>
      </c>
      <c r="C342" s="6" t="s">
        <v>1340</v>
      </c>
      <c r="D342" s="360"/>
      <c r="E342" s="360">
        <v>518</v>
      </c>
    </row>
    <row r="343" spans="1:5" ht="17.25" x14ac:dyDescent="0.45">
      <c r="A343" s="359">
        <v>44933</v>
      </c>
      <c r="B343" s="6" t="s">
        <v>1735</v>
      </c>
      <c r="C343" s="6" t="s">
        <v>1736</v>
      </c>
      <c r="D343" s="360"/>
      <c r="E343" s="360">
        <v>527</v>
      </c>
    </row>
    <row r="344" spans="1:5" ht="17.25" x14ac:dyDescent="0.45">
      <c r="A344" s="359">
        <v>44933</v>
      </c>
      <c r="B344" s="6" t="s">
        <v>1737</v>
      </c>
      <c r="C344" s="6" t="s">
        <v>961</v>
      </c>
      <c r="D344" s="360"/>
      <c r="E344" s="360">
        <v>969</v>
      </c>
    </row>
    <row r="345" spans="1:5" ht="17.25" x14ac:dyDescent="0.45">
      <c r="A345" s="359">
        <v>44933</v>
      </c>
      <c r="B345" s="6" t="s">
        <v>1738</v>
      </c>
      <c r="C345" s="6" t="s">
        <v>445</v>
      </c>
      <c r="D345" s="360"/>
      <c r="E345" s="360">
        <v>1045</v>
      </c>
    </row>
    <row r="346" spans="1:5" ht="17.25" x14ac:dyDescent="0.45">
      <c r="A346" s="359">
        <v>44933</v>
      </c>
      <c r="B346" s="6" t="s">
        <v>1651</v>
      </c>
      <c r="C346" s="6" t="s">
        <v>74</v>
      </c>
      <c r="D346" s="360"/>
      <c r="E346" s="360">
        <v>910</v>
      </c>
    </row>
    <row r="347" spans="1:5" ht="17.25" x14ac:dyDescent="0.45">
      <c r="A347" s="359">
        <v>44933</v>
      </c>
      <c r="B347" s="6" t="s">
        <v>1737</v>
      </c>
      <c r="C347" s="6" t="s">
        <v>1056</v>
      </c>
      <c r="D347" s="360"/>
      <c r="E347" s="360">
        <v>773.5</v>
      </c>
    </row>
    <row r="348" spans="1:5" ht="17.25" x14ac:dyDescent="0.45">
      <c r="A348" s="359">
        <v>44933</v>
      </c>
      <c r="B348" s="6" t="s">
        <v>1735</v>
      </c>
      <c r="C348" s="6" t="s">
        <v>404</v>
      </c>
      <c r="D348" s="360"/>
      <c r="E348" s="360">
        <v>637.5</v>
      </c>
    </row>
    <row r="349" spans="1:5" ht="17.25" x14ac:dyDescent="0.45">
      <c r="A349" s="359">
        <v>44933</v>
      </c>
      <c r="B349" s="6" t="s">
        <v>1739</v>
      </c>
      <c r="C349" s="6" t="s">
        <v>1740</v>
      </c>
      <c r="D349" s="360"/>
      <c r="E349" s="360">
        <v>624.75</v>
      </c>
    </row>
    <row r="350" spans="1:5" ht="17.25" x14ac:dyDescent="0.45">
      <c r="A350" s="359">
        <v>44933</v>
      </c>
      <c r="B350" s="6" t="s">
        <v>1741</v>
      </c>
      <c r="C350" s="6" t="s">
        <v>417</v>
      </c>
      <c r="D350" s="360"/>
      <c r="E350" s="360">
        <v>582.25</v>
      </c>
    </row>
    <row r="351" spans="1:5" ht="17.25" x14ac:dyDescent="0.45">
      <c r="A351" s="359">
        <v>44933</v>
      </c>
      <c r="B351" s="6" t="s">
        <v>1457</v>
      </c>
      <c r="C351" s="6" t="s">
        <v>1742</v>
      </c>
      <c r="D351" s="360"/>
      <c r="E351" s="360">
        <v>548.25</v>
      </c>
    </row>
    <row r="352" spans="1:5" ht="17.25" x14ac:dyDescent="0.45">
      <c r="A352" s="359">
        <v>44933</v>
      </c>
      <c r="B352" s="6" t="s">
        <v>1743</v>
      </c>
      <c r="C352" s="6" t="s">
        <v>399</v>
      </c>
      <c r="D352" s="360"/>
      <c r="E352" s="360">
        <v>573.75</v>
      </c>
    </row>
    <row r="353" spans="1:5" ht="17.25" x14ac:dyDescent="0.45">
      <c r="A353" s="359">
        <v>44933</v>
      </c>
      <c r="B353" s="6" t="s">
        <v>1744</v>
      </c>
      <c r="C353" s="6" t="s">
        <v>438</v>
      </c>
      <c r="D353" s="360"/>
      <c r="E353" s="360">
        <v>433.5</v>
      </c>
    </row>
    <row r="354" spans="1:5" ht="17.25" x14ac:dyDescent="0.45">
      <c r="A354" s="359">
        <v>44933</v>
      </c>
      <c r="B354" s="6" t="s">
        <v>1745</v>
      </c>
      <c r="C354" s="6" t="s">
        <v>445</v>
      </c>
      <c r="D354" s="360"/>
      <c r="E354" s="360">
        <v>624.75</v>
      </c>
    </row>
    <row r="355" spans="1:5" ht="17.25" x14ac:dyDescent="0.45">
      <c r="A355" s="359">
        <v>44933</v>
      </c>
      <c r="B355" s="6" t="s">
        <v>1744</v>
      </c>
      <c r="C355" s="6" t="s">
        <v>438</v>
      </c>
      <c r="D355" s="360"/>
      <c r="E355" s="360">
        <v>471.75</v>
      </c>
    </row>
    <row r="356" spans="1:5" ht="17.25" x14ac:dyDescent="0.45">
      <c r="A356" s="359">
        <v>44933</v>
      </c>
      <c r="B356" s="6" t="s">
        <v>1611</v>
      </c>
      <c r="C356" s="6" t="s">
        <v>442</v>
      </c>
      <c r="D356" s="360"/>
      <c r="E356" s="360">
        <v>276.25</v>
      </c>
    </row>
    <row r="357" spans="1:5" ht="17.25" x14ac:dyDescent="0.45">
      <c r="A357" s="359">
        <v>44933</v>
      </c>
      <c r="B357" s="6" t="s">
        <v>1746</v>
      </c>
      <c r="C357" s="6" t="s">
        <v>445</v>
      </c>
      <c r="D357" s="360"/>
      <c r="E357" s="360">
        <v>548.25</v>
      </c>
    </row>
    <row r="358" spans="1:5" ht="17.25" x14ac:dyDescent="0.45">
      <c r="A358" s="359">
        <v>44933</v>
      </c>
      <c r="B358" s="6" t="s">
        <v>1747</v>
      </c>
      <c r="C358" s="6" t="s">
        <v>329</v>
      </c>
      <c r="D358" s="360"/>
      <c r="E358" s="360">
        <v>205</v>
      </c>
    </row>
    <row r="359" spans="1:5" ht="17.25" x14ac:dyDescent="0.45">
      <c r="A359" s="359">
        <v>44933</v>
      </c>
      <c r="B359" s="6" t="s">
        <v>1748</v>
      </c>
      <c r="C359" s="6" t="s">
        <v>437</v>
      </c>
      <c r="D359" s="360"/>
      <c r="E359" s="360">
        <v>182.75</v>
      </c>
    </row>
    <row r="360" spans="1:5" ht="17.25" x14ac:dyDescent="0.45">
      <c r="A360" s="359">
        <v>44933</v>
      </c>
      <c r="B360" s="6" t="s">
        <v>1749</v>
      </c>
      <c r="C360" s="6" t="s">
        <v>1343</v>
      </c>
      <c r="D360" s="360"/>
      <c r="E360" s="360">
        <v>178.5</v>
      </c>
    </row>
    <row r="361" spans="1:5" ht="17.25" x14ac:dyDescent="0.45">
      <c r="A361" s="359">
        <v>44933</v>
      </c>
      <c r="B361" s="6" t="s">
        <v>1749</v>
      </c>
      <c r="C361" s="6" t="s">
        <v>1750</v>
      </c>
      <c r="D361" s="360"/>
      <c r="E361" s="360">
        <v>212.5</v>
      </c>
    </row>
    <row r="362" spans="1:5" ht="17.25" x14ac:dyDescent="0.45">
      <c r="A362" s="359">
        <v>44933</v>
      </c>
      <c r="B362" s="6" t="s">
        <v>1749</v>
      </c>
      <c r="C362" s="6" t="s">
        <v>1751</v>
      </c>
      <c r="D362" s="360"/>
      <c r="E362" s="360">
        <v>242.25</v>
      </c>
    </row>
    <row r="363" spans="1:5" ht="17.25" x14ac:dyDescent="0.45">
      <c r="A363" s="359">
        <v>44933</v>
      </c>
      <c r="B363" s="6" t="s">
        <v>1752</v>
      </c>
      <c r="C363" s="6" t="s">
        <v>1191</v>
      </c>
      <c r="D363" s="360"/>
      <c r="E363" s="360">
        <v>460</v>
      </c>
    </row>
    <row r="364" spans="1:5" ht="17.25" x14ac:dyDescent="0.45">
      <c r="A364" s="359">
        <v>44933</v>
      </c>
      <c r="B364" s="6" t="s">
        <v>1753</v>
      </c>
      <c r="C364" s="6" t="s">
        <v>1080</v>
      </c>
      <c r="D364" s="360"/>
      <c r="E364" s="360">
        <v>493</v>
      </c>
    </row>
    <row r="365" spans="1:5" ht="17.25" x14ac:dyDescent="0.45">
      <c r="A365" s="359">
        <v>44933</v>
      </c>
      <c r="B365" s="6" t="s">
        <v>1754</v>
      </c>
      <c r="C365" s="6" t="s">
        <v>786</v>
      </c>
      <c r="D365" s="360"/>
      <c r="E365" s="360">
        <v>578</v>
      </c>
    </row>
    <row r="366" spans="1:5" ht="17.25" x14ac:dyDescent="0.45">
      <c r="A366" s="359">
        <v>44937</v>
      </c>
      <c r="B366" s="6" t="s">
        <v>1755</v>
      </c>
      <c r="C366" s="6" t="s">
        <v>404</v>
      </c>
      <c r="D366" s="360"/>
      <c r="E366" s="360">
        <v>450</v>
      </c>
    </row>
    <row r="367" spans="1:5" ht="17.25" x14ac:dyDescent="0.45">
      <c r="A367" s="359">
        <v>44937</v>
      </c>
      <c r="B367" s="6" t="s">
        <v>1756</v>
      </c>
      <c r="C367" s="6" t="s">
        <v>499</v>
      </c>
      <c r="D367" s="360"/>
      <c r="E367" s="360">
        <v>2295</v>
      </c>
    </row>
    <row r="368" spans="1:5" ht="17.25" x14ac:dyDescent="0.45">
      <c r="A368" s="359">
        <v>44937</v>
      </c>
      <c r="B368" s="6" t="s">
        <v>1757</v>
      </c>
      <c r="C368" s="6" t="s">
        <v>1304</v>
      </c>
      <c r="D368" s="360"/>
      <c r="E368" s="360">
        <v>800</v>
      </c>
    </row>
    <row r="369" spans="1:5" ht="17.25" x14ac:dyDescent="0.45">
      <c r="A369" s="359">
        <v>44937</v>
      </c>
      <c r="B369" s="6" t="s">
        <v>1758</v>
      </c>
      <c r="C369" s="6" t="s">
        <v>1676</v>
      </c>
      <c r="D369" s="360"/>
      <c r="E369" s="360">
        <v>2100</v>
      </c>
    </row>
    <row r="370" spans="1:5" ht="17.25" x14ac:dyDescent="0.45">
      <c r="A370" s="359">
        <v>44937</v>
      </c>
      <c r="B370" s="6" t="s">
        <v>1759</v>
      </c>
      <c r="C370" s="6" t="s">
        <v>1490</v>
      </c>
      <c r="D370" s="360"/>
      <c r="E370" s="360">
        <v>1445</v>
      </c>
    </row>
    <row r="371" spans="1:5" ht="17.25" x14ac:dyDescent="0.45">
      <c r="A371" s="363">
        <v>44937</v>
      </c>
      <c r="B371" s="364" t="s">
        <v>1757</v>
      </c>
      <c r="C371" s="364" t="s">
        <v>1490</v>
      </c>
      <c r="D371" s="366"/>
      <c r="E371" s="366">
        <v>1200</v>
      </c>
    </row>
    <row r="372" spans="1:5" ht="17.25" x14ac:dyDescent="0.45">
      <c r="A372" s="359">
        <v>44938</v>
      </c>
      <c r="B372" s="6" t="s">
        <v>1760</v>
      </c>
      <c r="C372" s="6" t="s">
        <v>911</v>
      </c>
      <c r="D372" s="360"/>
      <c r="E372" s="360">
        <v>5015</v>
      </c>
    </row>
    <row r="373" spans="1:5" ht="17.25" x14ac:dyDescent="0.45">
      <c r="A373" s="359">
        <v>44938</v>
      </c>
      <c r="B373" s="6" t="s">
        <v>1761</v>
      </c>
      <c r="C373" s="6" t="s">
        <v>831</v>
      </c>
      <c r="D373" s="360"/>
      <c r="E373" s="360">
        <v>3300</v>
      </c>
    </row>
    <row r="374" spans="1:5" ht="17.25" x14ac:dyDescent="0.45">
      <c r="A374" s="359">
        <v>44938</v>
      </c>
      <c r="B374" s="6" t="s">
        <v>1762</v>
      </c>
      <c r="C374" s="6" t="s">
        <v>1490</v>
      </c>
      <c r="D374" s="360"/>
      <c r="E374" s="360">
        <v>2600</v>
      </c>
    </row>
    <row r="375" spans="1:5" ht="17.25" x14ac:dyDescent="0.45">
      <c r="A375" s="359">
        <v>44939</v>
      </c>
      <c r="B375" s="6" t="s">
        <v>1758</v>
      </c>
      <c r="C375" s="6" t="s">
        <v>831</v>
      </c>
      <c r="D375" s="360"/>
      <c r="E375" s="360">
        <v>3300</v>
      </c>
    </row>
    <row r="376" spans="1:5" ht="17.25" x14ac:dyDescent="0.45">
      <c r="A376" s="359">
        <v>44939</v>
      </c>
      <c r="B376" s="6" t="s">
        <v>1758</v>
      </c>
      <c r="C376" s="6" t="s">
        <v>1376</v>
      </c>
      <c r="D376" s="360"/>
      <c r="E376" s="360">
        <v>3100</v>
      </c>
    </row>
    <row r="377" spans="1:5" ht="17.25" x14ac:dyDescent="0.45">
      <c r="A377" s="359">
        <v>44939</v>
      </c>
      <c r="B377" s="6" t="s">
        <v>1758</v>
      </c>
      <c r="C377" s="6" t="s">
        <v>184</v>
      </c>
      <c r="D377" s="360"/>
      <c r="E377" s="360">
        <v>1200</v>
      </c>
    </row>
    <row r="378" spans="1:5" ht="17.25" x14ac:dyDescent="0.45">
      <c r="A378" s="359">
        <v>44939</v>
      </c>
      <c r="B378" s="6" t="s">
        <v>1758</v>
      </c>
      <c r="C378" s="6" t="s">
        <v>563</v>
      </c>
      <c r="D378" s="360"/>
      <c r="E378" s="360">
        <v>2000</v>
      </c>
    </row>
    <row r="379" spans="1:5" ht="17.25" x14ac:dyDescent="0.45">
      <c r="A379" s="359">
        <v>44939</v>
      </c>
      <c r="B379" s="6" t="s">
        <v>1755</v>
      </c>
      <c r="C379" s="6" t="s">
        <v>432</v>
      </c>
      <c r="D379" s="360"/>
      <c r="E379" s="360">
        <v>3700</v>
      </c>
    </row>
    <row r="380" spans="1:5" ht="17.25" x14ac:dyDescent="0.45">
      <c r="A380" s="359">
        <v>44940</v>
      </c>
      <c r="B380" s="6" t="s">
        <v>1764</v>
      </c>
      <c r="C380" s="6" t="s">
        <v>1481</v>
      </c>
      <c r="D380" s="360"/>
      <c r="E380" s="360">
        <v>2720</v>
      </c>
    </row>
    <row r="381" spans="1:5" ht="17.25" x14ac:dyDescent="0.45">
      <c r="A381" s="359">
        <v>44940</v>
      </c>
      <c r="B381" s="6" t="s">
        <v>1764</v>
      </c>
      <c r="C381" s="6" t="s">
        <v>1731</v>
      </c>
      <c r="D381" s="360"/>
      <c r="E381" s="360">
        <v>2000</v>
      </c>
    </row>
    <row r="382" spans="1:5" ht="17.25" x14ac:dyDescent="0.45">
      <c r="A382" s="359">
        <v>44944</v>
      </c>
      <c r="B382" s="6" t="s">
        <v>1765</v>
      </c>
      <c r="C382" s="6" t="s">
        <v>433</v>
      </c>
      <c r="D382" s="360"/>
      <c r="E382" s="360">
        <v>2635</v>
      </c>
    </row>
    <row r="383" spans="1:5" ht="17.25" x14ac:dyDescent="0.45">
      <c r="A383" s="359">
        <v>44944</v>
      </c>
      <c r="B383" s="6" t="s">
        <v>1767</v>
      </c>
      <c r="C383" s="6" t="s">
        <v>433</v>
      </c>
      <c r="D383" s="360"/>
      <c r="E383" s="360">
        <v>2000</v>
      </c>
    </row>
    <row r="384" spans="1:5" ht="17.25" x14ac:dyDescent="0.45">
      <c r="A384" s="359">
        <v>44944</v>
      </c>
      <c r="B384" s="6" t="s">
        <v>1768</v>
      </c>
      <c r="C384" s="6" t="s">
        <v>1293</v>
      </c>
      <c r="D384" s="360"/>
      <c r="E384" s="360">
        <v>935</v>
      </c>
    </row>
    <row r="385" spans="1:5" ht="17.25" x14ac:dyDescent="0.45">
      <c r="A385" s="359">
        <v>44944</v>
      </c>
      <c r="B385" s="6" t="s">
        <v>1769</v>
      </c>
      <c r="C385" s="6" t="s">
        <v>1103</v>
      </c>
      <c r="D385" s="360"/>
      <c r="E385" s="360">
        <v>2600</v>
      </c>
    </row>
    <row r="386" spans="1:5" ht="17.25" x14ac:dyDescent="0.45">
      <c r="A386" s="367">
        <v>44945</v>
      </c>
      <c r="B386" s="368" t="s">
        <v>1730</v>
      </c>
      <c r="C386" s="368" t="s">
        <v>1459</v>
      </c>
      <c r="D386" s="369"/>
      <c r="E386" s="369">
        <v>2300</v>
      </c>
    </row>
    <row r="387" spans="1:5" ht="17.25" x14ac:dyDescent="0.45">
      <c r="A387" s="359">
        <v>44945</v>
      </c>
      <c r="B387" s="6" t="s">
        <v>1770</v>
      </c>
      <c r="C387" s="6" t="s">
        <v>1771</v>
      </c>
      <c r="D387" s="360"/>
      <c r="E387" s="360">
        <v>1800</v>
      </c>
    </row>
    <row r="388" spans="1:5" ht="17.25" x14ac:dyDescent="0.45">
      <c r="A388" s="359">
        <v>44945</v>
      </c>
      <c r="B388" s="6" t="s">
        <v>1770</v>
      </c>
      <c r="C388" s="6" t="s">
        <v>831</v>
      </c>
      <c r="D388" s="360"/>
      <c r="E388" s="360">
        <v>1800</v>
      </c>
    </row>
    <row r="389" spans="1:5" ht="17.25" x14ac:dyDescent="0.45">
      <c r="A389" s="359">
        <v>44945</v>
      </c>
      <c r="B389" s="6" t="s">
        <v>1770</v>
      </c>
      <c r="C389" s="6" t="s">
        <v>184</v>
      </c>
      <c r="D389" s="360"/>
      <c r="E389" s="360">
        <v>1000</v>
      </c>
    </row>
    <row r="390" spans="1:5" ht="17.25" x14ac:dyDescent="0.45">
      <c r="A390" s="359">
        <v>44945</v>
      </c>
      <c r="B390" s="6" t="s">
        <v>1770</v>
      </c>
      <c r="C390" s="6" t="s">
        <v>516</v>
      </c>
      <c r="D390" s="360"/>
      <c r="E390" s="360">
        <v>1500</v>
      </c>
    </row>
    <row r="391" spans="1:5" ht="17.25" x14ac:dyDescent="0.45">
      <c r="A391" s="359">
        <v>44945</v>
      </c>
      <c r="B391" s="6" t="s">
        <v>1770</v>
      </c>
      <c r="C391" s="6" t="s">
        <v>938</v>
      </c>
      <c r="D391" s="360"/>
      <c r="E391" s="360">
        <v>600</v>
      </c>
    </row>
    <row r="392" spans="1:5" ht="17.25" x14ac:dyDescent="0.45">
      <c r="A392" s="359">
        <v>44945</v>
      </c>
      <c r="B392" s="6" t="s">
        <v>1770</v>
      </c>
      <c r="C392" s="6" t="s">
        <v>1772</v>
      </c>
      <c r="D392" s="360"/>
      <c r="E392" s="360">
        <v>600</v>
      </c>
    </row>
    <row r="393" spans="1:5" ht="17.25" x14ac:dyDescent="0.45">
      <c r="A393" s="359">
        <v>44945</v>
      </c>
      <c r="B393" s="6" t="s">
        <v>1770</v>
      </c>
      <c r="C393" s="6" t="s">
        <v>501</v>
      </c>
      <c r="D393" s="360"/>
      <c r="E393" s="360">
        <v>500</v>
      </c>
    </row>
    <row r="394" spans="1:5" ht="17.25" x14ac:dyDescent="0.45">
      <c r="A394" s="359">
        <v>44946</v>
      </c>
      <c r="B394" s="6" t="s">
        <v>1773</v>
      </c>
      <c r="C394" s="6" t="s">
        <v>992</v>
      </c>
      <c r="D394" s="360"/>
      <c r="E394" s="360">
        <v>2700</v>
      </c>
    </row>
    <row r="395" spans="1:5" ht="17.25" x14ac:dyDescent="0.45">
      <c r="A395" s="359">
        <v>44946</v>
      </c>
      <c r="B395" s="6" t="s">
        <v>1770</v>
      </c>
      <c r="C395" s="6" t="s">
        <v>1144</v>
      </c>
      <c r="D395" s="360"/>
      <c r="E395" s="360">
        <v>3200</v>
      </c>
    </row>
    <row r="396" spans="1:5" ht="17.25" x14ac:dyDescent="0.45">
      <c r="A396" s="359">
        <v>44946</v>
      </c>
      <c r="B396" s="6" t="s">
        <v>1363</v>
      </c>
      <c r="C396" s="6" t="s">
        <v>1192</v>
      </c>
      <c r="D396" s="360"/>
      <c r="E396" s="360">
        <v>600</v>
      </c>
    </row>
    <row r="397" spans="1:5" ht="17.25" x14ac:dyDescent="0.45">
      <c r="A397" s="359">
        <v>44946</v>
      </c>
      <c r="B397" s="6" t="s">
        <v>1773</v>
      </c>
      <c r="C397" s="6" t="s">
        <v>476</v>
      </c>
      <c r="D397" s="360"/>
      <c r="E397" s="360">
        <v>3300</v>
      </c>
    </row>
    <row r="398" spans="1:5" ht="17.25" x14ac:dyDescent="0.45">
      <c r="A398" s="359">
        <v>44946</v>
      </c>
      <c r="B398" s="6" t="s">
        <v>1773</v>
      </c>
      <c r="C398" s="6" t="s">
        <v>499</v>
      </c>
      <c r="D398" s="360"/>
      <c r="E398" s="360">
        <v>2700</v>
      </c>
    </row>
    <row r="399" spans="1:5" ht="17.25" x14ac:dyDescent="0.45">
      <c r="A399" s="359">
        <v>44946</v>
      </c>
      <c r="B399" s="6" t="s">
        <v>1363</v>
      </c>
      <c r="C399" s="6" t="s">
        <v>1364</v>
      </c>
      <c r="D399" s="360"/>
      <c r="E399" s="360">
        <v>800</v>
      </c>
    </row>
    <row r="400" spans="1:5" ht="17.25" x14ac:dyDescent="0.45">
      <c r="A400" s="359">
        <v>44947</v>
      </c>
      <c r="B400" s="6" t="s">
        <v>1767</v>
      </c>
      <c r="C400" s="6" t="s">
        <v>476</v>
      </c>
      <c r="D400" s="360"/>
      <c r="E400" s="360">
        <v>5200</v>
      </c>
    </row>
    <row r="401" spans="1:5" ht="17.25" x14ac:dyDescent="0.45">
      <c r="A401" s="359">
        <v>44947</v>
      </c>
      <c r="B401" s="6" t="s">
        <v>1773</v>
      </c>
      <c r="C401" s="6" t="s">
        <v>441</v>
      </c>
      <c r="D401" s="360"/>
      <c r="E401" s="360">
        <v>3700</v>
      </c>
    </row>
    <row r="402" spans="1:5" ht="17.25" x14ac:dyDescent="0.45">
      <c r="A402" s="359">
        <v>44947</v>
      </c>
      <c r="B402" s="6" t="s">
        <v>1773</v>
      </c>
      <c r="C402" s="6" t="s">
        <v>391</v>
      </c>
      <c r="D402" s="360"/>
      <c r="E402" s="360">
        <v>2400</v>
      </c>
    </row>
    <row r="403" spans="1:5" ht="17.25" x14ac:dyDescent="0.45">
      <c r="A403" s="359">
        <v>44947</v>
      </c>
      <c r="B403" s="6" t="s">
        <v>1774</v>
      </c>
      <c r="C403" s="6" t="s">
        <v>1349</v>
      </c>
      <c r="D403" s="360"/>
      <c r="E403" s="360">
        <v>595</v>
      </c>
    </row>
    <row r="404" spans="1:5" ht="17.25" x14ac:dyDescent="0.45">
      <c r="A404" s="359">
        <v>44947</v>
      </c>
      <c r="B404" s="6" t="s">
        <v>1773</v>
      </c>
      <c r="C404" s="6" t="s">
        <v>1775</v>
      </c>
      <c r="D404" s="360"/>
      <c r="E404" s="360">
        <v>1900</v>
      </c>
    </row>
    <row r="405" spans="1:5" ht="17.25" x14ac:dyDescent="0.45">
      <c r="A405" s="359">
        <v>44947</v>
      </c>
      <c r="B405" s="6" t="s">
        <v>1770</v>
      </c>
      <c r="C405" s="6" t="s">
        <v>1181</v>
      </c>
      <c r="D405" s="360"/>
      <c r="E405" s="360">
        <v>700</v>
      </c>
    </row>
    <row r="406" spans="1:5" ht="17.25" x14ac:dyDescent="0.45">
      <c r="A406" s="359">
        <v>44952</v>
      </c>
      <c r="B406" s="6" t="s">
        <v>849</v>
      </c>
      <c r="C406" s="6" t="s">
        <v>442</v>
      </c>
      <c r="D406" s="360"/>
      <c r="E406" s="360">
        <v>7800</v>
      </c>
    </row>
    <row r="407" spans="1:5" ht="17.25" x14ac:dyDescent="0.45">
      <c r="A407" s="359">
        <v>44952</v>
      </c>
      <c r="B407" s="6" t="s">
        <v>849</v>
      </c>
      <c r="C407" s="6" t="s">
        <v>1776</v>
      </c>
      <c r="D407" s="360"/>
      <c r="E407" s="360">
        <v>3900</v>
      </c>
    </row>
    <row r="408" spans="1:5" ht="17.25" x14ac:dyDescent="0.45">
      <c r="A408" s="359">
        <v>44952</v>
      </c>
      <c r="B408" s="6" t="s">
        <v>1777</v>
      </c>
      <c r="C408" s="6" t="s">
        <v>991</v>
      </c>
      <c r="D408" s="360"/>
      <c r="E408" s="360">
        <v>3500</v>
      </c>
    </row>
    <row r="409" spans="1:5" ht="17.25" x14ac:dyDescent="0.45">
      <c r="A409" s="359">
        <v>44952</v>
      </c>
      <c r="B409" s="6" t="s">
        <v>1773</v>
      </c>
      <c r="C409" s="6" t="s">
        <v>1720</v>
      </c>
      <c r="D409" s="360"/>
      <c r="E409" s="360">
        <v>1700</v>
      </c>
    </row>
    <row r="410" spans="1:5" ht="17.25" x14ac:dyDescent="0.45">
      <c r="A410" s="363">
        <v>44952</v>
      </c>
      <c r="B410" s="364" t="s">
        <v>1363</v>
      </c>
      <c r="C410" s="364" t="s">
        <v>393</v>
      </c>
      <c r="D410" s="366"/>
      <c r="E410" s="366">
        <v>1700</v>
      </c>
    </row>
    <row r="411" spans="1:5" ht="17.25" x14ac:dyDescent="0.45">
      <c r="A411" s="359">
        <v>44953</v>
      </c>
      <c r="B411" s="6" t="s">
        <v>1778</v>
      </c>
      <c r="C411" s="6" t="s">
        <v>1036</v>
      </c>
      <c r="D411" s="360"/>
      <c r="E411" s="360">
        <v>2400</v>
      </c>
    </row>
    <row r="412" spans="1:5" ht="17.25" x14ac:dyDescent="0.45">
      <c r="A412" s="359">
        <v>44953</v>
      </c>
      <c r="B412" s="6" t="s">
        <v>1779</v>
      </c>
      <c r="C412" s="6" t="s">
        <v>588</v>
      </c>
      <c r="D412" s="360"/>
      <c r="E412" s="360">
        <v>1400</v>
      </c>
    </row>
    <row r="413" spans="1:5" ht="17.25" x14ac:dyDescent="0.45">
      <c r="A413" s="359">
        <v>44953</v>
      </c>
      <c r="B413" s="6" t="s">
        <v>1780</v>
      </c>
      <c r="C413" s="6" t="s">
        <v>1781</v>
      </c>
      <c r="D413" s="360"/>
      <c r="E413" s="360">
        <v>560</v>
      </c>
    </row>
    <row r="414" spans="1:5" ht="17.25" x14ac:dyDescent="0.45">
      <c r="A414" s="359">
        <v>44953</v>
      </c>
      <c r="B414" s="6" t="s">
        <v>1782</v>
      </c>
      <c r="C414" s="6" t="s">
        <v>1783</v>
      </c>
      <c r="D414" s="360"/>
      <c r="E414" s="360">
        <v>680</v>
      </c>
    </row>
    <row r="415" spans="1:5" ht="17.25" x14ac:dyDescent="0.45">
      <c r="A415" s="359">
        <v>44953</v>
      </c>
      <c r="B415" s="6" t="s">
        <v>1784</v>
      </c>
      <c r="C415" s="6" t="s">
        <v>950</v>
      </c>
      <c r="D415" s="360"/>
      <c r="E415" s="360">
        <v>850</v>
      </c>
    </row>
    <row r="416" spans="1:5" ht="17.25" x14ac:dyDescent="0.45">
      <c r="A416" s="359">
        <v>44953</v>
      </c>
      <c r="B416" s="6" t="s">
        <v>1784</v>
      </c>
      <c r="C416" s="6" t="s">
        <v>626</v>
      </c>
      <c r="D416" s="360"/>
      <c r="E416" s="360">
        <v>850</v>
      </c>
    </row>
    <row r="417" spans="1:5" ht="17.25" x14ac:dyDescent="0.45">
      <c r="A417" s="359">
        <v>44953</v>
      </c>
      <c r="B417" s="6" t="s">
        <v>1782</v>
      </c>
      <c r="C417" s="6" t="s">
        <v>1781</v>
      </c>
      <c r="D417" s="360"/>
      <c r="E417" s="360">
        <v>850</v>
      </c>
    </row>
    <row r="418" spans="1:5" ht="17.25" x14ac:dyDescent="0.45">
      <c r="A418" s="359">
        <v>44953</v>
      </c>
      <c r="B418" s="6" t="s">
        <v>1780</v>
      </c>
      <c r="C418" s="6" t="s">
        <v>1365</v>
      </c>
      <c r="D418" s="360"/>
      <c r="E418" s="360">
        <v>720</v>
      </c>
    </row>
    <row r="419" spans="1:5" ht="17.25" x14ac:dyDescent="0.45">
      <c r="A419" s="359">
        <v>44954</v>
      </c>
      <c r="B419" s="6" t="s">
        <v>1785</v>
      </c>
      <c r="C419" s="6" t="s">
        <v>1351</v>
      </c>
      <c r="D419" s="360"/>
      <c r="E419" s="360">
        <v>2550</v>
      </c>
    </row>
    <row r="420" spans="1:5" ht="17.25" x14ac:dyDescent="0.45">
      <c r="A420" s="359">
        <v>44954</v>
      </c>
      <c r="B420" s="6" t="s">
        <v>1786</v>
      </c>
      <c r="C420" s="6" t="s">
        <v>391</v>
      </c>
      <c r="D420" s="360"/>
      <c r="E420" s="360">
        <v>2040</v>
      </c>
    </row>
    <row r="421" spans="1:5" ht="17.25" x14ac:dyDescent="0.45">
      <c r="A421" s="359">
        <v>44954</v>
      </c>
      <c r="B421" s="6" t="s">
        <v>1782</v>
      </c>
      <c r="C421" s="6" t="s">
        <v>391</v>
      </c>
      <c r="D421" s="360"/>
      <c r="E421" s="360">
        <v>2040</v>
      </c>
    </row>
    <row r="422" spans="1:5" ht="17.25" x14ac:dyDescent="0.45">
      <c r="A422" s="359">
        <v>44954</v>
      </c>
      <c r="B422" s="6" t="s">
        <v>762</v>
      </c>
      <c r="C422" s="6" t="s">
        <v>459</v>
      </c>
      <c r="D422" s="360"/>
      <c r="E422" s="360">
        <v>0</v>
      </c>
    </row>
    <row r="423" spans="1:5" ht="17.25" x14ac:dyDescent="0.45">
      <c r="A423" s="359">
        <v>44954</v>
      </c>
      <c r="B423" s="6" t="s">
        <v>1787</v>
      </c>
      <c r="C423" s="6" t="s">
        <v>1788</v>
      </c>
      <c r="D423" s="360"/>
      <c r="E423" s="360">
        <v>440</v>
      </c>
    </row>
    <row r="424" spans="1:5" ht="17.25" x14ac:dyDescent="0.45">
      <c r="A424" s="359">
        <v>44954</v>
      </c>
      <c r="B424" s="6" t="s">
        <v>762</v>
      </c>
      <c r="C424" s="6" t="s">
        <v>459</v>
      </c>
      <c r="D424" s="360"/>
      <c r="E424" s="360">
        <v>0</v>
      </c>
    </row>
    <row r="425" spans="1:5" ht="17.25" x14ac:dyDescent="0.45">
      <c r="A425" s="359">
        <v>44954</v>
      </c>
      <c r="B425" s="6" t="s">
        <v>1789</v>
      </c>
      <c r="C425" s="6" t="s">
        <v>1385</v>
      </c>
      <c r="D425" s="360"/>
      <c r="E425" s="360">
        <v>420.75</v>
      </c>
    </row>
    <row r="426" spans="1:5" ht="17.25" x14ac:dyDescent="0.45">
      <c r="A426" s="359">
        <v>44954</v>
      </c>
      <c r="B426" s="6" t="s">
        <v>1790</v>
      </c>
      <c r="C426" s="6" t="s">
        <v>1791</v>
      </c>
      <c r="D426" s="360"/>
      <c r="E426" s="360">
        <v>340</v>
      </c>
    </row>
    <row r="427" spans="1:5" ht="17.25" x14ac:dyDescent="0.45">
      <c r="A427" s="359">
        <v>44954</v>
      </c>
      <c r="B427" s="6" t="s">
        <v>1792</v>
      </c>
      <c r="C427" s="6" t="s">
        <v>406</v>
      </c>
      <c r="D427" s="360"/>
      <c r="E427" s="360">
        <v>357</v>
      </c>
    </row>
    <row r="428" spans="1:5" ht="17.25" x14ac:dyDescent="0.45">
      <c r="A428" s="359">
        <v>44954</v>
      </c>
      <c r="B428" s="6" t="s">
        <v>1794</v>
      </c>
      <c r="C428" s="6" t="s">
        <v>900</v>
      </c>
      <c r="D428" s="360"/>
      <c r="E428" s="360">
        <v>586.5</v>
      </c>
    </row>
    <row r="429" spans="1:5" ht="17.25" x14ac:dyDescent="0.45">
      <c r="A429" s="359">
        <v>44954</v>
      </c>
      <c r="B429" s="6" t="s">
        <v>1441</v>
      </c>
      <c r="C429" s="6" t="s">
        <v>660</v>
      </c>
      <c r="D429" s="360"/>
      <c r="E429" s="360">
        <v>607.75</v>
      </c>
    </row>
    <row r="430" spans="1:5" ht="17.25" x14ac:dyDescent="0.45">
      <c r="A430" s="359">
        <v>44954</v>
      </c>
      <c r="B430" s="6" t="s">
        <v>1795</v>
      </c>
      <c r="C430" s="6" t="s">
        <v>1477</v>
      </c>
      <c r="D430" s="360"/>
      <c r="E430" s="360">
        <v>714</v>
      </c>
    </row>
    <row r="431" spans="1:5" ht="17.25" x14ac:dyDescent="0.45">
      <c r="A431" s="359">
        <v>44954</v>
      </c>
      <c r="B431" s="6" t="s">
        <v>1792</v>
      </c>
      <c r="C431" s="6" t="s">
        <v>1796</v>
      </c>
      <c r="D431" s="360"/>
      <c r="E431" s="360">
        <v>310.25</v>
      </c>
    </row>
    <row r="432" spans="1:5" ht="17.25" x14ac:dyDescent="0.45">
      <c r="A432" s="359">
        <v>44954</v>
      </c>
      <c r="B432" s="6" t="s">
        <v>1797</v>
      </c>
      <c r="C432" s="6" t="s">
        <v>1352</v>
      </c>
      <c r="D432" s="360"/>
      <c r="E432" s="360">
        <v>527</v>
      </c>
    </row>
    <row r="433" spans="1:5" ht="17.25" x14ac:dyDescent="0.45">
      <c r="A433" s="359">
        <v>44954</v>
      </c>
      <c r="B433" s="6" t="s">
        <v>1714</v>
      </c>
      <c r="C433" s="6" t="s">
        <v>864</v>
      </c>
      <c r="D433" s="360"/>
      <c r="E433" s="360">
        <v>2805</v>
      </c>
    </row>
    <row r="434" spans="1:5" ht="17.25" x14ac:dyDescent="0.45">
      <c r="A434" s="359">
        <v>44954</v>
      </c>
      <c r="B434" s="6" t="s">
        <v>392</v>
      </c>
      <c r="C434" s="6" t="s">
        <v>1459</v>
      </c>
      <c r="D434" s="360"/>
      <c r="E434" s="360">
        <v>497.25</v>
      </c>
    </row>
    <row r="435" spans="1:5" ht="17.25" x14ac:dyDescent="0.45">
      <c r="A435" s="359">
        <v>44954</v>
      </c>
      <c r="B435" s="6" t="s">
        <v>431</v>
      </c>
      <c r="C435" s="6" t="s">
        <v>476</v>
      </c>
      <c r="D435" s="360"/>
      <c r="E435" s="360">
        <v>688.5</v>
      </c>
    </row>
    <row r="436" spans="1:5" ht="17.25" x14ac:dyDescent="0.45">
      <c r="A436" s="359">
        <v>44954</v>
      </c>
      <c r="B436" s="6" t="s">
        <v>1797</v>
      </c>
      <c r="C436" s="6" t="s">
        <v>1798</v>
      </c>
      <c r="D436" s="360"/>
      <c r="E436" s="360">
        <v>497.25</v>
      </c>
    </row>
    <row r="437" spans="1:5" ht="17.25" x14ac:dyDescent="0.45">
      <c r="A437" s="359">
        <v>44954</v>
      </c>
      <c r="B437" s="6" t="s">
        <v>413</v>
      </c>
      <c r="C437" s="6" t="s">
        <v>1799</v>
      </c>
      <c r="D437" s="360"/>
      <c r="E437" s="360">
        <v>1147.5</v>
      </c>
    </row>
    <row r="438" spans="1:5" ht="17.25" x14ac:dyDescent="0.45">
      <c r="A438" s="359">
        <v>44954</v>
      </c>
      <c r="B438" s="6" t="s">
        <v>762</v>
      </c>
      <c r="C438" s="6" t="s">
        <v>984</v>
      </c>
      <c r="D438" s="360"/>
      <c r="E438" s="360">
        <v>0</v>
      </c>
    </row>
    <row r="439" spans="1:5" ht="17.25" x14ac:dyDescent="0.45">
      <c r="A439" s="359">
        <v>44954</v>
      </c>
      <c r="B439" s="6" t="s">
        <v>1800</v>
      </c>
      <c r="C439" s="6" t="s">
        <v>1325</v>
      </c>
      <c r="D439" s="360"/>
      <c r="E439" s="360">
        <v>433.5</v>
      </c>
    </row>
    <row r="440" spans="1:5" ht="17.25" x14ac:dyDescent="0.45">
      <c r="A440" s="359">
        <v>44954</v>
      </c>
      <c r="B440" s="6" t="s">
        <v>1794</v>
      </c>
      <c r="C440" s="6" t="s">
        <v>1032</v>
      </c>
      <c r="D440" s="360"/>
      <c r="E440" s="360">
        <v>1224</v>
      </c>
    </row>
    <row r="441" spans="1:5" ht="17.25" x14ac:dyDescent="0.45">
      <c r="A441" s="359">
        <v>44954</v>
      </c>
      <c r="B441" s="6" t="s">
        <v>1801</v>
      </c>
      <c r="C441" s="6" t="s">
        <v>911</v>
      </c>
      <c r="D441" s="360"/>
      <c r="E441" s="360">
        <v>442</v>
      </c>
    </row>
    <row r="442" spans="1:5" ht="17.25" x14ac:dyDescent="0.45">
      <c r="A442" s="359">
        <v>44954</v>
      </c>
      <c r="B442" s="6" t="s">
        <v>1802</v>
      </c>
      <c r="C442" s="6" t="s">
        <v>1481</v>
      </c>
      <c r="D442" s="360"/>
      <c r="E442" s="360">
        <v>403.75</v>
      </c>
    </row>
    <row r="443" spans="1:5" ht="17.25" x14ac:dyDescent="0.45">
      <c r="A443" s="359">
        <v>44954</v>
      </c>
      <c r="B443" s="6" t="s">
        <v>762</v>
      </c>
      <c r="C443" s="6" t="s">
        <v>1240</v>
      </c>
      <c r="D443" s="360"/>
      <c r="E443" s="360">
        <v>0</v>
      </c>
    </row>
    <row r="444" spans="1:5" ht="17.25" x14ac:dyDescent="0.45">
      <c r="A444" s="359">
        <v>44954</v>
      </c>
      <c r="B444" s="6" t="s">
        <v>1803</v>
      </c>
      <c r="C444" s="6" t="s">
        <v>1069</v>
      </c>
      <c r="D444" s="360"/>
      <c r="E444" s="360">
        <v>595</v>
      </c>
    </row>
    <row r="445" spans="1:5" ht="17.25" x14ac:dyDescent="0.45">
      <c r="A445" s="359">
        <v>44958</v>
      </c>
      <c r="B445" s="6" t="s">
        <v>762</v>
      </c>
      <c r="C445" s="6" t="s">
        <v>442</v>
      </c>
      <c r="D445" s="360"/>
      <c r="E445" s="360">
        <v>0</v>
      </c>
    </row>
    <row r="446" spans="1:5" ht="17.25" x14ac:dyDescent="0.45">
      <c r="A446" s="363">
        <v>44958</v>
      </c>
      <c r="B446" s="364" t="s">
        <v>849</v>
      </c>
      <c r="C446" s="364" t="s">
        <v>1771</v>
      </c>
      <c r="D446" s="366"/>
      <c r="E446" s="366">
        <v>3100</v>
      </c>
    </row>
    <row r="447" spans="1:5" ht="17.25" x14ac:dyDescent="0.45">
      <c r="A447" s="359">
        <v>44959</v>
      </c>
      <c r="B447" s="6" t="s">
        <v>762</v>
      </c>
      <c r="C447" s="6" t="s">
        <v>52</v>
      </c>
      <c r="D447" s="360"/>
      <c r="E447" s="360">
        <v>0</v>
      </c>
    </row>
    <row r="448" spans="1:5" ht="17.25" x14ac:dyDescent="0.45">
      <c r="A448" s="359">
        <v>44960</v>
      </c>
      <c r="B448" s="6" t="s">
        <v>1773</v>
      </c>
      <c r="C448" s="6" t="s">
        <v>499</v>
      </c>
      <c r="D448" s="360"/>
      <c r="E448" s="360">
        <v>8800</v>
      </c>
    </row>
    <row r="449" spans="1:5" ht="17.25" x14ac:dyDescent="0.45">
      <c r="A449" s="359">
        <v>44960</v>
      </c>
      <c r="B449" s="6" t="s">
        <v>1363</v>
      </c>
      <c r="C449" s="6" t="s">
        <v>1776</v>
      </c>
      <c r="D449" s="360"/>
      <c r="E449" s="360">
        <v>2200</v>
      </c>
    </row>
    <row r="450" spans="1:5" ht="17.25" x14ac:dyDescent="0.45">
      <c r="A450" s="359">
        <v>44960</v>
      </c>
      <c r="B450" s="6" t="s">
        <v>849</v>
      </c>
      <c r="C450" s="6" t="s">
        <v>1477</v>
      </c>
      <c r="D450" s="360"/>
      <c r="E450" s="360">
        <v>2000</v>
      </c>
    </row>
    <row r="451" spans="1:5" ht="17.25" x14ac:dyDescent="0.45">
      <c r="A451" s="359">
        <v>44960</v>
      </c>
      <c r="B451" s="6" t="s">
        <v>1363</v>
      </c>
      <c r="C451" s="6" t="s">
        <v>456</v>
      </c>
      <c r="D451" s="360"/>
      <c r="E451" s="360">
        <v>2000</v>
      </c>
    </row>
    <row r="452" spans="1:5" ht="17.25" x14ac:dyDescent="0.45">
      <c r="A452" s="359">
        <v>44960</v>
      </c>
      <c r="B452" s="6" t="s">
        <v>849</v>
      </c>
      <c r="C452" s="6" t="s">
        <v>1490</v>
      </c>
      <c r="D452" s="360"/>
      <c r="E452" s="360">
        <v>1500</v>
      </c>
    </row>
    <row r="453" spans="1:5" ht="17.25" x14ac:dyDescent="0.45">
      <c r="A453" s="359">
        <v>44961</v>
      </c>
      <c r="B453" s="6" t="s">
        <v>849</v>
      </c>
      <c r="C453" s="6" t="s">
        <v>1804</v>
      </c>
      <c r="D453" s="360"/>
      <c r="E453" s="360">
        <v>4300</v>
      </c>
    </row>
    <row r="454" spans="1:5" ht="17.25" x14ac:dyDescent="0.45">
      <c r="A454" s="359">
        <v>44961</v>
      </c>
      <c r="B454" s="6" t="s">
        <v>849</v>
      </c>
      <c r="C454" s="6" t="s">
        <v>456</v>
      </c>
      <c r="D454" s="360"/>
      <c r="E454" s="360">
        <v>2000</v>
      </c>
    </row>
    <row r="455" spans="1:5" ht="17.25" x14ac:dyDescent="0.45">
      <c r="A455" s="359">
        <v>44961</v>
      </c>
      <c r="B455" s="6" t="s">
        <v>1363</v>
      </c>
      <c r="C455" s="6" t="s">
        <v>391</v>
      </c>
      <c r="D455" s="360"/>
      <c r="E455" s="360">
        <v>2400</v>
      </c>
    </row>
    <row r="456" spans="1:5" ht="17.25" x14ac:dyDescent="0.45">
      <c r="A456" s="359">
        <v>44961</v>
      </c>
      <c r="B456" s="6" t="s">
        <v>1773</v>
      </c>
      <c r="C456" s="6" t="s">
        <v>1178</v>
      </c>
      <c r="D456" s="360"/>
      <c r="E456" s="360">
        <v>2000</v>
      </c>
    </row>
    <row r="457" spans="1:5" ht="17.25" x14ac:dyDescent="0.45">
      <c r="A457" s="359">
        <v>44961</v>
      </c>
      <c r="B457" s="6" t="s">
        <v>849</v>
      </c>
      <c r="C457" s="6" t="s">
        <v>1805</v>
      </c>
      <c r="D457" s="360"/>
      <c r="E457" s="360">
        <v>2400</v>
      </c>
    </row>
    <row r="458" spans="1:5" ht="17.25" x14ac:dyDescent="0.45">
      <c r="A458" s="359">
        <v>44965</v>
      </c>
      <c r="B458" s="6" t="s">
        <v>1806</v>
      </c>
      <c r="C458" s="6" t="s">
        <v>1807</v>
      </c>
      <c r="D458" s="360"/>
      <c r="E458" s="360">
        <v>685</v>
      </c>
    </row>
    <row r="459" spans="1:5" ht="17.25" x14ac:dyDescent="0.45">
      <c r="A459" s="359">
        <v>44965</v>
      </c>
      <c r="B459" s="6" t="s">
        <v>1808</v>
      </c>
      <c r="C459" s="6" t="s">
        <v>1809</v>
      </c>
      <c r="D459" s="360"/>
      <c r="E459" s="360">
        <v>250.75</v>
      </c>
    </row>
    <row r="460" spans="1:5" ht="17.25" x14ac:dyDescent="0.45">
      <c r="A460" s="359">
        <v>44965</v>
      </c>
      <c r="B460" s="6" t="s">
        <v>1810</v>
      </c>
      <c r="C460" s="6" t="s">
        <v>1811</v>
      </c>
      <c r="D460" s="360"/>
      <c r="E460" s="360">
        <v>396</v>
      </c>
    </row>
    <row r="461" spans="1:5" ht="17.25" x14ac:dyDescent="0.45">
      <c r="A461" s="359">
        <v>44965</v>
      </c>
      <c r="B461" s="6" t="s">
        <v>1793</v>
      </c>
      <c r="C461" s="6" t="s">
        <v>1458</v>
      </c>
      <c r="D461" s="360"/>
      <c r="E461" s="360">
        <v>375</v>
      </c>
    </row>
    <row r="462" spans="1:5" ht="17.25" x14ac:dyDescent="0.45">
      <c r="A462" s="359">
        <v>44965</v>
      </c>
      <c r="B462" s="6" t="s">
        <v>1812</v>
      </c>
      <c r="C462" s="6" t="s">
        <v>1813</v>
      </c>
      <c r="D462" s="360"/>
      <c r="E462" s="360">
        <v>448</v>
      </c>
    </row>
    <row r="463" spans="1:5" ht="17.25" x14ac:dyDescent="0.45">
      <c r="A463" s="359">
        <v>44965</v>
      </c>
      <c r="B463" s="6" t="s">
        <v>1814</v>
      </c>
      <c r="C463" s="6" t="s">
        <v>459</v>
      </c>
      <c r="D463" s="360"/>
      <c r="E463" s="360">
        <v>540</v>
      </c>
    </row>
    <row r="464" spans="1:5" ht="17.25" x14ac:dyDescent="0.45">
      <c r="A464" s="359">
        <v>44965</v>
      </c>
      <c r="B464" s="6" t="s">
        <v>762</v>
      </c>
      <c r="C464" s="6" t="s">
        <v>1815</v>
      </c>
      <c r="D464" s="360"/>
      <c r="E464" s="360">
        <v>0</v>
      </c>
    </row>
    <row r="465" spans="1:5" ht="17.25" x14ac:dyDescent="0.45">
      <c r="A465" s="359">
        <v>44965</v>
      </c>
      <c r="B465" s="6" t="s">
        <v>1816</v>
      </c>
      <c r="C465" s="6" t="s">
        <v>1005</v>
      </c>
      <c r="D465" s="360"/>
      <c r="E465" s="360">
        <v>400</v>
      </c>
    </row>
    <row r="466" spans="1:5" ht="17.25" x14ac:dyDescent="0.45">
      <c r="A466" s="359">
        <v>44965</v>
      </c>
      <c r="B466" s="6" t="s">
        <v>1817</v>
      </c>
      <c r="C466" s="6" t="s">
        <v>997</v>
      </c>
      <c r="D466" s="360"/>
      <c r="E466" s="360">
        <v>420</v>
      </c>
    </row>
    <row r="467" spans="1:5" ht="17.25" x14ac:dyDescent="0.45">
      <c r="A467" s="359">
        <v>44965</v>
      </c>
      <c r="B467" s="6" t="s">
        <v>1066</v>
      </c>
      <c r="C467" s="6" t="s">
        <v>1349</v>
      </c>
      <c r="D467" s="360"/>
      <c r="E467" s="360">
        <v>344</v>
      </c>
    </row>
    <row r="468" spans="1:5" ht="17.25" x14ac:dyDescent="0.45">
      <c r="A468" s="359">
        <v>44965</v>
      </c>
      <c r="B468" s="6" t="s">
        <v>1818</v>
      </c>
      <c r="C468" s="6" t="s">
        <v>1036</v>
      </c>
      <c r="D468" s="360"/>
      <c r="E468" s="360">
        <v>680</v>
      </c>
    </row>
    <row r="469" spans="1:5" ht="17.25" x14ac:dyDescent="0.45">
      <c r="A469" s="359">
        <v>44965</v>
      </c>
      <c r="B469" s="6" t="s">
        <v>1819</v>
      </c>
      <c r="C469" s="6" t="s">
        <v>1805</v>
      </c>
      <c r="D469" s="360"/>
      <c r="E469" s="360">
        <v>745</v>
      </c>
    </row>
    <row r="470" spans="1:5" ht="17.25" x14ac:dyDescent="0.45">
      <c r="A470" s="359">
        <v>44965</v>
      </c>
      <c r="B470" s="6" t="s">
        <v>1793</v>
      </c>
      <c r="C470" s="6" t="s">
        <v>912</v>
      </c>
      <c r="D470" s="360"/>
      <c r="E470" s="360">
        <v>355</v>
      </c>
    </row>
    <row r="471" spans="1:5" ht="17.25" x14ac:dyDescent="0.45">
      <c r="A471" s="359">
        <v>44965</v>
      </c>
      <c r="B471" s="6" t="s">
        <v>1820</v>
      </c>
      <c r="C471" s="6" t="s">
        <v>91</v>
      </c>
      <c r="D471" s="360"/>
      <c r="E471" s="360">
        <v>788</v>
      </c>
    </row>
    <row r="472" spans="1:5" ht="17.25" x14ac:dyDescent="0.45">
      <c r="A472" s="359">
        <v>44965</v>
      </c>
      <c r="B472" s="6" t="s">
        <v>1821</v>
      </c>
      <c r="C472" s="6" t="s">
        <v>1776</v>
      </c>
      <c r="D472" s="360"/>
      <c r="E472" s="360">
        <v>345</v>
      </c>
    </row>
    <row r="473" spans="1:5" ht="17.25" x14ac:dyDescent="0.45">
      <c r="A473" s="359">
        <v>44965</v>
      </c>
      <c r="B473" s="6" t="s">
        <v>1822</v>
      </c>
      <c r="C473" s="6" t="s">
        <v>445</v>
      </c>
      <c r="D473" s="360"/>
      <c r="E473" s="360">
        <v>635</v>
      </c>
    </row>
    <row r="474" spans="1:5" ht="17.25" x14ac:dyDescent="0.45">
      <c r="A474" s="359">
        <v>44965</v>
      </c>
      <c r="B474" s="6" t="s">
        <v>1609</v>
      </c>
      <c r="C474" s="6" t="s">
        <v>1338</v>
      </c>
      <c r="D474" s="360"/>
      <c r="E474" s="360" t="s">
        <v>1533</v>
      </c>
    </row>
    <row r="475" spans="1:5" ht="17.25" x14ac:dyDescent="0.45">
      <c r="A475" s="359">
        <v>44965</v>
      </c>
      <c r="B475" s="6" t="s">
        <v>1734</v>
      </c>
      <c r="C475" s="6" t="s">
        <v>1340</v>
      </c>
      <c r="D475" s="360"/>
      <c r="E475" s="360" t="s">
        <v>1533</v>
      </c>
    </row>
    <row r="476" spans="1:5" ht="17.25" x14ac:dyDescent="0.45">
      <c r="A476" s="359">
        <v>44965</v>
      </c>
      <c r="B476" s="6" t="s">
        <v>1823</v>
      </c>
      <c r="C476" s="6" t="s">
        <v>900</v>
      </c>
      <c r="D476" s="360"/>
      <c r="E476" s="360">
        <v>246.5</v>
      </c>
    </row>
    <row r="477" spans="1:5" ht="17.25" x14ac:dyDescent="0.45">
      <c r="A477" s="359">
        <v>44965</v>
      </c>
      <c r="B477" s="6" t="s">
        <v>1824</v>
      </c>
      <c r="C477" s="6" t="s">
        <v>404</v>
      </c>
      <c r="D477" s="360"/>
      <c r="E477" s="360">
        <v>710</v>
      </c>
    </row>
    <row r="478" spans="1:5" ht="17.25" x14ac:dyDescent="0.45">
      <c r="A478" s="363">
        <v>44965</v>
      </c>
      <c r="B478" s="364" t="s">
        <v>1825</v>
      </c>
      <c r="C478" s="364" t="s">
        <v>1826</v>
      </c>
      <c r="D478" s="366"/>
      <c r="E478" s="366">
        <v>238</v>
      </c>
    </row>
    <row r="479" spans="1:5" ht="17.25" x14ac:dyDescent="0.45">
      <c r="A479" s="359">
        <v>44966</v>
      </c>
      <c r="B479" s="6" t="s">
        <v>1353</v>
      </c>
      <c r="C479" s="6" t="s">
        <v>1351</v>
      </c>
      <c r="D479" s="360"/>
      <c r="E479" s="360">
        <v>2550</v>
      </c>
    </row>
    <row r="480" spans="1:5" ht="17.25" x14ac:dyDescent="0.45">
      <c r="A480" s="359">
        <v>44966</v>
      </c>
      <c r="B480" s="6" t="s">
        <v>1827</v>
      </c>
      <c r="C480" s="6" t="s">
        <v>432</v>
      </c>
      <c r="D480" s="360"/>
      <c r="E480" s="360">
        <v>2100</v>
      </c>
    </row>
    <row r="481" spans="1:5" ht="17.25" x14ac:dyDescent="0.45">
      <c r="A481" s="359">
        <v>44966</v>
      </c>
      <c r="B481" s="6" t="s">
        <v>1828</v>
      </c>
      <c r="C481" s="6" t="s">
        <v>476</v>
      </c>
      <c r="D481" s="360"/>
      <c r="E481" s="360">
        <v>2100</v>
      </c>
    </row>
    <row r="482" spans="1:5" ht="17.25" x14ac:dyDescent="0.45">
      <c r="A482" s="359">
        <v>44966</v>
      </c>
      <c r="B482" s="6" t="s">
        <v>1829</v>
      </c>
      <c r="C482" s="6" t="s">
        <v>907</v>
      </c>
      <c r="D482" s="360"/>
      <c r="E482" s="360">
        <v>1275</v>
      </c>
    </row>
    <row r="483" spans="1:5" ht="17.25" x14ac:dyDescent="0.45">
      <c r="A483" s="359">
        <v>44966</v>
      </c>
      <c r="B483" s="6" t="s">
        <v>1830</v>
      </c>
      <c r="C483" s="6" t="s">
        <v>1349</v>
      </c>
      <c r="D483" s="360"/>
      <c r="E483" s="360">
        <v>935</v>
      </c>
    </row>
    <row r="484" spans="1:5" ht="17.25" x14ac:dyDescent="0.45">
      <c r="A484" s="359">
        <v>44967</v>
      </c>
      <c r="B484" s="6" t="s">
        <v>1831</v>
      </c>
      <c r="C484" s="6" t="s">
        <v>1832</v>
      </c>
      <c r="D484" s="360"/>
      <c r="E484" s="360">
        <v>3000</v>
      </c>
    </row>
    <row r="485" spans="1:5" ht="17.25" x14ac:dyDescent="0.45">
      <c r="A485" s="359">
        <v>44967</v>
      </c>
      <c r="B485" s="6" t="s">
        <v>1828</v>
      </c>
      <c r="C485" s="6" t="s">
        <v>1791</v>
      </c>
      <c r="D485" s="360"/>
      <c r="E485" s="360">
        <v>1300</v>
      </c>
    </row>
    <row r="486" spans="1:5" ht="17.25" x14ac:dyDescent="0.45">
      <c r="A486" s="359">
        <v>44967</v>
      </c>
      <c r="B486" s="6" t="s">
        <v>1833</v>
      </c>
      <c r="C486" s="6" t="s">
        <v>541</v>
      </c>
      <c r="D486" s="360"/>
      <c r="E486" s="360">
        <v>425</v>
      </c>
    </row>
    <row r="487" spans="1:5" ht="17.25" x14ac:dyDescent="0.45">
      <c r="A487" s="359">
        <v>44967</v>
      </c>
      <c r="B487" s="6" t="s">
        <v>1834</v>
      </c>
      <c r="C487" s="6" t="s">
        <v>1332</v>
      </c>
      <c r="D487" s="360"/>
      <c r="E487" s="360">
        <v>2380</v>
      </c>
    </row>
    <row r="488" spans="1:5" ht="17.25" x14ac:dyDescent="0.45">
      <c r="A488" s="359">
        <v>44967</v>
      </c>
      <c r="B488" s="6" t="s">
        <v>1835</v>
      </c>
      <c r="C488" s="6" t="s">
        <v>242</v>
      </c>
      <c r="D488" s="360"/>
      <c r="E488" s="360">
        <v>2500</v>
      </c>
    </row>
    <row r="489" spans="1:5" ht="17.25" x14ac:dyDescent="0.45">
      <c r="A489" s="359">
        <v>44968</v>
      </c>
      <c r="B489" s="6" t="s">
        <v>1363</v>
      </c>
      <c r="C489" s="6" t="s">
        <v>1836</v>
      </c>
      <c r="D489" s="360"/>
      <c r="E489" s="360">
        <v>9300</v>
      </c>
    </row>
    <row r="490" spans="1:5" ht="17.25" x14ac:dyDescent="0.45">
      <c r="A490" s="359">
        <v>44968</v>
      </c>
      <c r="B490" s="6" t="s">
        <v>1363</v>
      </c>
      <c r="C490" s="6" t="s">
        <v>1837</v>
      </c>
      <c r="D490" s="360"/>
      <c r="E490" s="360">
        <v>4700</v>
      </c>
    </row>
    <row r="491" spans="1:5" ht="17.25" x14ac:dyDescent="0.45">
      <c r="A491" s="359">
        <v>44969</v>
      </c>
      <c r="B491" s="6" t="s">
        <v>1830</v>
      </c>
      <c r="C491" s="6" t="s">
        <v>1349</v>
      </c>
      <c r="D491" s="360"/>
      <c r="E491" s="360" t="s">
        <v>1533</v>
      </c>
    </row>
    <row r="492" spans="1:5" ht="17.25" x14ac:dyDescent="0.45">
      <c r="A492" s="359">
        <v>44969</v>
      </c>
      <c r="B492" s="6" t="s">
        <v>1838</v>
      </c>
      <c r="C492" s="6" t="s">
        <v>907</v>
      </c>
      <c r="D492" s="360"/>
      <c r="E492" s="360" t="s">
        <v>1533</v>
      </c>
    </row>
    <row r="493" spans="1:5" ht="17.25" x14ac:dyDescent="0.45">
      <c r="A493" s="359">
        <v>44969</v>
      </c>
      <c r="B493" s="6" t="s">
        <v>1363</v>
      </c>
      <c r="C493" s="6" t="s">
        <v>1377</v>
      </c>
      <c r="D493" s="360"/>
      <c r="E493" s="360">
        <v>0</v>
      </c>
    </row>
    <row r="494" spans="1:5" ht="17.25" x14ac:dyDescent="0.45">
      <c r="A494" s="359">
        <v>44969</v>
      </c>
      <c r="B494" s="6" t="s">
        <v>1363</v>
      </c>
      <c r="C494" s="6" t="s">
        <v>1377</v>
      </c>
      <c r="D494" s="360"/>
      <c r="E494" s="360">
        <v>0</v>
      </c>
    </row>
    <row r="495" spans="1:5" ht="17.25" x14ac:dyDescent="0.45">
      <c r="A495" s="359">
        <v>44972</v>
      </c>
      <c r="B495" s="6" t="s">
        <v>1353</v>
      </c>
      <c r="C495" s="6" t="s">
        <v>1351</v>
      </c>
      <c r="D495" s="360"/>
      <c r="E495" s="360" t="s">
        <v>1533</v>
      </c>
    </row>
    <row r="496" spans="1:5" ht="17.25" x14ac:dyDescent="0.45">
      <c r="A496" s="359">
        <v>44972</v>
      </c>
      <c r="B496" s="6" t="s">
        <v>1827</v>
      </c>
      <c r="C496" s="6" t="s">
        <v>432</v>
      </c>
      <c r="D496" s="360"/>
      <c r="E496" s="360" t="s">
        <v>1533</v>
      </c>
    </row>
    <row r="497" spans="1:5" ht="17.25" x14ac:dyDescent="0.45">
      <c r="A497" s="359">
        <v>44972</v>
      </c>
      <c r="B497" s="6" t="s">
        <v>1839</v>
      </c>
      <c r="C497" s="6" t="s">
        <v>242</v>
      </c>
      <c r="D497" s="360"/>
      <c r="E497" s="360">
        <v>2125</v>
      </c>
    </row>
    <row r="498" spans="1:5" ht="17.25" x14ac:dyDescent="0.45">
      <c r="A498" s="359">
        <v>44972</v>
      </c>
      <c r="B498" s="6" t="s">
        <v>1828</v>
      </c>
      <c r="C498" s="6" t="s">
        <v>476</v>
      </c>
      <c r="D498" s="360"/>
      <c r="E498" s="360">
        <v>2100</v>
      </c>
    </row>
    <row r="499" spans="1:5" ht="17.25" x14ac:dyDescent="0.45">
      <c r="A499" s="359">
        <v>44972</v>
      </c>
      <c r="B499" s="6" t="s">
        <v>1840</v>
      </c>
      <c r="C499" s="6" t="s">
        <v>1841</v>
      </c>
      <c r="D499" s="360"/>
      <c r="E499" s="360">
        <v>629</v>
      </c>
    </row>
    <row r="500" spans="1:5" ht="17.25" x14ac:dyDescent="0.45">
      <c r="A500" s="359">
        <v>44972</v>
      </c>
      <c r="B500" s="6" t="s">
        <v>1524</v>
      </c>
      <c r="C500" s="6" t="s">
        <v>1842</v>
      </c>
      <c r="D500" s="360"/>
      <c r="E500" s="360">
        <v>352.75</v>
      </c>
    </row>
    <row r="501" spans="1:5" ht="17.25" x14ac:dyDescent="0.45">
      <c r="A501" s="359">
        <v>44972</v>
      </c>
      <c r="B501" s="6" t="s">
        <v>1843</v>
      </c>
      <c r="C501" s="6" t="s">
        <v>1844</v>
      </c>
      <c r="D501" s="360"/>
      <c r="E501" s="360">
        <v>633.25</v>
      </c>
    </row>
    <row r="502" spans="1:5" ht="17.25" x14ac:dyDescent="0.45">
      <c r="A502" s="359">
        <v>44972</v>
      </c>
      <c r="B502" s="6" t="s">
        <v>1845</v>
      </c>
      <c r="C502" s="6" t="s">
        <v>1846</v>
      </c>
      <c r="D502" s="360"/>
      <c r="E502" s="360">
        <v>756.5</v>
      </c>
    </row>
    <row r="503" spans="1:5" ht="17.25" x14ac:dyDescent="0.45">
      <c r="A503" s="359">
        <v>44972</v>
      </c>
      <c r="B503" s="6" t="s">
        <v>1847</v>
      </c>
      <c r="C503" s="6" t="s">
        <v>1848</v>
      </c>
      <c r="D503" s="360"/>
      <c r="E503" s="360">
        <v>518.5</v>
      </c>
    </row>
    <row r="504" spans="1:5" ht="17.25" x14ac:dyDescent="0.45">
      <c r="A504" s="359">
        <v>44972</v>
      </c>
      <c r="B504" s="6" t="s">
        <v>963</v>
      </c>
      <c r="C504" s="6" t="s">
        <v>1163</v>
      </c>
      <c r="D504" s="360"/>
      <c r="E504" s="360">
        <v>596</v>
      </c>
    </row>
    <row r="505" spans="1:5" ht="17.25" x14ac:dyDescent="0.45">
      <c r="A505" s="359">
        <v>44972</v>
      </c>
      <c r="B505" s="6" t="s">
        <v>1849</v>
      </c>
      <c r="C505" s="6" t="s">
        <v>488</v>
      </c>
      <c r="D505" s="360"/>
      <c r="E505" s="360">
        <v>2652</v>
      </c>
    </row>
    <row r="506" spans="1:5" ht="17.25" x14ac:dyDescent="0.45">
      <c r="A506" s="359">
        <v>44972</v>
      </c>
      <c r="B506" s="6" t="s">
        <v>963</v>
      </c>
      <c r="C506" s="6" t="s">
        <v>1811</v>
      </c>
      <c r="D506" s="360"/>
      <c r="E506" s="360">
        <v>300</v>
      </c>
    </row>
    <row r="507" spans="1:5" ht="17.25" x14ac:dyDescent="0.45">
      <c r="A507" s="359">
        <v>44972</v>
      </c>
      <c r="B507" s="6" t="s">
        <v>1850</v>
      </c>
      <c r="C507" s="6" t="s">
        <v>1272</v>
      </c>
      <c r="D507" s="360"/>
      <c r="E507" s="360">
        <v>295</v>
      </c>
    </row>
    <row r="508" spans="1:5" ht="17.25" x14ac:dyDescent="0.45">
      <c r="A508" s="359">
        <v>44972</v>
      </c>
      <c r="B508" s="6" t="s">
        <v>1851</v>
      </c>
      <c r="C508" s="6" t="s">
        <v>934</v>
      </c>
      <c r="D508" s="360"/>
      <c r="E508" s="360">
        <v>1576.75</v>
      </c>
    </row>
    <row r="509" spans="1:5" ht="17.25" x14ac:dyDescent="0.45">
      <c r="A509" s="363">
        <v>44972</v>
      </c>
      <c r="B509" s="364" t="s">
        <v>1852</v>
      </c>
      <c r="C509" s="364" t="s">
        <v>308</v>
      </c>
      <c r="D509" s="366"/>
      <c r="E509" s="366">
        <v>3701.75</v>
      </c>
    </row>
    <row r="510" spans="1:5" ht="17.25" x14ac:dyDescent="0.45">
      <c r="A510" s="359">
        <v>44973</v>
      </c>
      <c r="B510" s="6" t="s">
        <v>1853</v>
      </c>
      <c r="C510" s="6" t="s">
        <v>989</v>
      </c>
      <c r="D510" s="360"/>
      <c r="E510" s="360">
        <v>6100</v>
      </c>
    </row>
    <row r="511" spans="1:5" ht="17.25" x14ac:dyDescent="0.45">
      <c r="A511" s="359">
        <v>44973</v>
      </c>
      <c r="B511" s="6" t="s">
        <v>1853</v>
      </c>
      <c r="C511" s="6" t="s">
        <v>1178</v>
      </c>
      <c r="D511" s="360"/>
      <c r="E511" s="360">
        <v>4900</v>
      </c>
    </row>
    <row r="512" spans="1:5" ht="17.25" x14ac:dyDescent="0.45">
      <c r="A512" s="359">
        <v>44974</v>
      </c>
      <c r="B512" s="6" t="s">
        <v>1728</v>
      </c>
      <c r="C512" s="6" t="s">
        <v>1375</v>
      </c>
      <c r="D512" s="360"/>
      <c r="E512" s="360" t="s">
        <v>1533</v>
      </c>
    </row>
    <row r="513" spans="1:5" ht="17.25" x14ac:dyDescent="0.45">
      <c r="A513" s="359">
        <v>44975</v>
      </c>
      <c r="B513" s="6" t="s">
        <v>1854</v>
      </c>
      <c r="C513" s="6" t="s">
        <v>831</v>
      </c>
      <c r="D513" s="360"/>
      <c r="E513" s="360">
        <v>2805</v>
      </c>
    </row>
    <row r="514" spans="1:5" ht="17.25" x14ac:dyDescent="0.45">
      <c r="A514" s="359">
        <v>44975</v>
      </c>
      <c r="B514" s="6" t="s">
        <v>1336</v>
      </c>
      <c r="C514" s="6" t="s">
        <v>424</v>
      </c>
      <c r="D514" s="360"/>
      <c r="E514" s="360">
        <v>1275</v>
      </c>
    </row>
    <row r="515" spans="1:5" ht="17.25" x14ac:dyDescent="0.45">
      <c r="A515" s="359">
        <v>44975</v>
      </c>
      <c r="B515" s="6" t="s">
        <v>1855</v>
      </c>
      <c r="C515" s="6" t="s">
        <v>1155</v>
      </c>
      <c r="D515" s="360"/>
      <c r="E515" s="360">
        <v>2975</v>
      </c>
    </row>
    <row r="516" spans="1:5" ht="17.25" x14ac:dyDescent="0.45">
      <c r="A516" s="359">
        <v>44975</v>
      </c>
      <c r="B516" s="6" t="s">
        <v>1840</v>
      </c>
      <c r="C516" s="6" t="s">
        <v>980</v>
      </c>
      <c r="D516" s="360"/>
      <c r="E516" s="360">
        <v>3145</v>
      </c>
    </row>
    <row r="517" spans="1:5" ht="17.25" x14ac:dyDescent="0.45">
      <c r="A517" s="359">
        <v>44978</v>
      </c>
      <c r="B517" s="6" t="s">
        <v>1856</v>
      </c>
      <c r="C517" s="6" t="s">
        <v>912</v>
      </c>
      <c r="D517" s="360"/>
      <c r="E517" s="360">
        <v>340</v>
      </c>
    </row>
    <row r="518" spans="1:5" ht="17.25" x14ac:dyDescent="0.45">
      <c r="A518" s="359">
        <v>44978</v>
      </c>
      <c r="B518" s="6" t="s">
        <v>1068</v>
      </c>
      <c r="C518" s="6" t="s">
        <v>1486</v>
      </c>
      <c r="D518" s="360"/>
      <c r="E518" s="360">
        <v>220</v>
      </c>
    </row>
    <row r="519" spans="1:5" ht="17.25" x14ac:dyDescent="0.45">
      <c r="A519" s="359">
        <v>44978</v>
      </c>
      <c r="B519" s="6" t="s">
        <v>410</v>
      </c>
      <c r="C519" s="6" t="s">
        <v>1791</v>
      </c>
      <c r="D519" s="360"/>
      <c r="E519" s="360">
        <v>230</v>
      </c>
    </row>
    <row r="520" spans="1:5" ht="17.25" x14ac:dyDescent="0.45">
      <c r="A520" s="359">
        <v>44978</v>
      </c>
      <c r="B520" s="6" t="s">
        <v>1358</v>
      </c>
      <c r="C520" s="6" t="s">
        <v>1131</v>
      </c>
      <c r="D520" s="360"/>
      <c r="E520" s="360">
        <v>192</v>
      </c>
    </row>
    <row r="521" spans="1:5" ht="17.25" x14ac:dyDescent="0.45">
      <c r="A521" s="359">
        <v>44978</v>
      </c>
      <c r="B521" s="6" t="s">
        <v>1857</v>
      </c>
      <c r="C521" s="6" t="s">
        <v>273</v>
      </c>
      <c r="D521" s="360"/>
      <c r="E521" s="360">
        <v>352</v>
      </c>
    </row>
    <row r="522" spans="1:5" ht="17.25" x14ac:dyDescent="0.45">
      <c r="A522" s="359">
        <v>44978</v>
      </c>
      <c r="B522" s="6" t="s">
        <v>1858</v>
      </c>
      <c r="C522" s="6" t="s">
        <v>499</v>
      </c>
      <c r="D522" s="360"/>
      <c r="E522" s="360">
        <v>330</v>
      </c>
    </row>
    <row r="523" spans="1:5" ht="17.25" x14ac:dyDescent="0.45">
      <c r="A523" s="359">
        <v>44978</v>
      </c>
      <c r="B523" s="6" t="s">
        <v>1858</v>
      </c>
      <c r="C523" s="6" t="s">
        <v>433</v>
      </c>
      <c r="D523" s="360"/>
      <c r="E523" s="360">
        <v>335</v>
      </c>
    </row>
    <row r="524" spans="1:5" ht="17.25" x14ac:dyDescent="0.45">
      <c r="A524" s="359">
        <v>44978</v>
      </c>
      <c r="B524" s="6" t="s">
        <v>1859</v>
      </c>
      <c r="C524" s="6" t="s">
        <v>308</v>
      </c>
      <c r="D524" s="360"/>
      <c r="E524" s="360">
        <v>310.25</v>
      </c>
    </row>
    <row r="525" spans="1:5" ht="17.25" x14ac:dyDescent="0.45">
      <c r="A525" s="359">
        <v>44978</v>
      </c>
      <c r="B525" s="6" t="s">
        <v>1860</v>
      </c>
      <c r="C525" s="6" t="s">
        <v>994</v>
      </c>
      <c r="D525" s="360"/>
      <c r="E525" s="360">
        <v>646</v>
      </c>
    </row>
    <row r="526" spans="1:5" ht="17.25" x14ac:dyDescent="0.45">
      <c r="A526" s="359">
        <v>44978</v>
      </c>
      <c r="B526" s="6" t="s">
        <v>1358</v>
      </c>
      <c r="C526" s="6" t="s">
        <v>1309</v>
      </c>
      <c r="D526" s="360"/>
      <c r="E526" s="360">
        <v>296</v>
      </c>
    </row>
    <row r="527" spans="1:5" ht="17.25" x14ac:dyDescent="0.45">
      <c r="A527" s="359">
        <v>44978</v>
      </c>
      <c r="B527" s="6" t="s">
        <v>1536</v>
      </c>
      <c r="C527" s="6" t="s">
        <v>612</v>
      </c>
      <c r="D527" s="360"/>
      <c r="E527" s="360">
        <v>752.25</v>
      </c>
    </row>
    <row r="528" spans="1:5" ht="17.25" x14ac:dyDescent="0.45">
      <c r="A528" s="359">
        <v>44978</v>
      </c>
      <c r="B528" s="6" t="s">
        <v>1470</v>
      </c>
      <c r="C528" s="6" t="s">
        <v>1040</v>
      </c>
      <c r="D528" s="360"/>
      <c r="E528" s="360">
        <v>692.75</v>
      </c>
    </row>
    <row r="529" spans="1:5" ht="17.25" x14ac:dyDescent="0.45">
      <c r="A529" s="359">
        <v>44978</v>
      </c>
      <c r="B529" s="6" t="s">
        <v>1861</v>
      </c>
      <c r="C529" s="6" t="s">
        <v>432</v>
      </c>
      <c r="D529" s="360"/>
      <c r="E529" s="360">
        <v>646</v>
      </c>
    </row>
    <row r="530" spans="1:5" ht="17.25" x14ac:dyDescent="0.45">
      <c r="A530" s="359">
        <v>44978</v>
      </c>
      <c r="B530" s="6" t="s">
        <v>1068</v>
      </c>
      <c r="C530" s="6" t="s">
        <v>424</v>
      </c>
      <c r="D530" s="360"/>
      <c r="E530" s="360">
        <v>200</v>
      </c>
    </row>
    <row r="531" spans="1:5" ht="17.25" x14ac:dyDescent="0.45">
      <c r="A531" s="359">
        <v>44978</v>
      </c>
      <c r="B531" s="6" t="s">
        <v>1068</v>
      </c>
      <c r="C531" s="6" t="s">
        <v>441</v>
      </c>
      <c r="D531" s="360"/>
      <c r="E531" s="360">
        <v>200</v>
      </c>
    </row>
    <row r="532" spans="1:5" ht="17.25" x14ac:dyDescent="0.45">
      <c r="A532" s="359">
        <v>44978</v>
      </c>
      <c r="B532" s="6" t="s">
        <v>1862</v>
      </c>
      <c r="C532" s="6" t="s">
        <v>1051</v>
      </c>
      <c r="D532" s="360"/>
      <c r="E532" s="360">
        <v>1700</v>
      </c>
    </row>
    <row r="533" spans="1:5" ht="17.25" x14ac:dyDescent="0.45">
      <c r="A533" s="359">
        <v>44979</v>
      </c>
      <c r="B533" s="6" t="s">
        <v>1863</v>
      </c>
      <c r="C533" s="6" t="s">
        <v>1864</v>
      </c>
      <c r="D533" s="360"/>
      <c r="E533" s="360">
        <v>2550</v>
      </c>
    </row>
    <row r="534" spans="1:5" ht="17.25" x14ac:dyDescent="0.45">
      <c r="A534" s="359">
        <v>44979</v>
      </c>
      <c r="B534" s="6" t="s">
        <v>1863</v>
      </c>
      <c r="C534" s="6" t="s">
        <v>202</v>
      </c>
      <c r="D534" s="360"/>
      <c r="E534" s="360">
        <v>1955</v>
      </c>
    </row>
    <row r="535" spans="1:5" ht="17.25" x14ac:dyDescent="0.45">
      <c r="A535" s="359">
        <v>44979</v>
      </c>
      <c r="B535" s="6" t="s">
        <v>1865</v>
      </c>
      <c r="C535" s="6" t="s">
        <v>1866</v>
      </c>
      <c r="D535" s="360"/>
      <c r="E535" s="360">
        <v>1680</v>
      </c>
    </row>
    <row r="536" spans="1:5" ht="17.25" x14ac:dyDescent="0.45">
      <c r="A536" s="359">
        <v>44979</v>
      </c>
      <c r="B536" s="6" t="s">
        <v>1867</v>
      </c>
      <c r="C536" s="6" t="s">
        <v>73</v>
      </c>
      <c r="D536" s="360"/>
      <c r="E536" s="360">
        <v>1020</v>
      </c>
    </row>
    <row r="537" spans="1:5" ht="17.25" x14ac:dyDescent="0.45">
      <c r="A537" s="363">
        <v>44979</v>
      </c>
      <c r="B537" s="364" t="s">
        <v>1868</v>
      </c>
      <c r="C537" s="364" t="s">
        <v>1807</v>
      </c>
      <c r="D537" s="366"/>
      <c r="E537" s="366">
        <v>850</v>
      </c>
    </row>
    <row r="538" spans="1:5" ht="17.25" x14ac:dyDescent="0.45">
      <c r="A538" s="359">
        <v>44981</v>
      </c>
      <c r="B538" s="6" t="s">
        <v>1869</v>
      </c>
      <c r="C538" s="6" t="s">
        <v>476</v>
      </c>
      <c r="D538" s="360"/>
      <c r="E538" s="360">
        <v>2640</v>
      </c>
    </row>
    <row r="539" spans="1:5" ht="17.25" x14ac:dyDescent="0.45">
      <c r="A539" s="359">
        <v>44981</v>
      </c>
      <c r="B539" s="6" t="s">
        <v>1688</v>
      </c>
      <c r="C539" s="6" t="s">
        <v>471</v>
      </c>
      <c r="D539" s="360"/>
      <c r="E539" s="360">
        <v>1840</v>
      </c>
    </row>
    <row r="540" spans="1:5" ht="17.25" x14ac:dyDescent="0.45">
      <c r="A540" s="359">
        <v>44981</v>
      </c>
      <c r="B540" s="6" t="s">
        <v>1358</v>
      </c>
      <c r="C540" s="6" t="s">
        <v>1294</v>
      </c>
      <c r="D540" s="360"/>
      <c r="E540" s="360">
        <v>560</v>
      </c>
    </row>
    <row r="541" spans="1:5" ht="17.25" x14ac:dyDescent="0.45">
      <c r="A541" s="359">
        <v>44981</v>
      </c>
      <c r="B541" s="6" t="s">
        <v>1358</v>
      </c>
      <c r="C541" s="6" t="s">
        <v>1372</v>
      </c>
      <c r="D541" s="360"/>
      <c r="E541" s="360">
        <v>560</v>
      </c>
    </row>
    <row r="542" spans="1:5" ht="17.25" x14ac:dyDescent="0.45">
      <c r="A542" s="359">
        <v>44981</v>
      </c>
      <c r="B542" s="6" t="s">
        <v>1870</v>
      </c>
      <c r="C542" s="6" t="s">
        <v>539</v>
      </c>
      <c r="D542" s="360"/>
      <c r="E542" s="360">
        <v>600</v>
      </c>
    </row>
    <row r="543" spans="1:5" ht="17.25" x14ac:dyDescent="0.45">
      <c r="A543" s="359">
        <v>44982</v>
      </c>
      <c r="B543" s="6" t="s">
        <v>1871</v>
      </c>
      <c r="C543" s="6" t="s">
        <v>1056</v>
      </c>
      <c r="D543" s="360"/>
      <c r="E543" s="360">
        <v>2720</v>
      </c>
    </row>
    <row r="544" spans="1:5" ht="17.25" x14ac:dyDescent="0.45">
      <c r="A544" s="359">
        <v>44982</v>
      </c>
      <c r="B544" s="6" t="s">
        <v>1865</v>
      </c>
      <c r="C544" s="6" t="s">
        <v>1866</v>
      </c>
      <c r="D544" s="360"/>
      <c r="E544" s="360">
        <v>1680</v>
      </c>
    </row>
    <row r="545" spans="1:5" ht="17.25" x14ac:dyDescent="0.45">
      <c r="A545" s="359">
        <v>44982</v>
      </c>
      <c r="B545" s="6" t="s">
        <v>1872</v>
      </c>
      <c r="C545" s="6" t="s">
        <v>1144</v>
      </c>
      <c r="D545" s="360"/>
      <c r="E545" s="360">
        <v>4165</v>
      </c>
    </row>
    <row r="546" spans="1:5" ht="17.25" x14ac:dyDescent="0.45">
      <c r="A546" s="359">
        <v>44982</v>
      </c>
      <c r="B546" s="6" t="s">
        <v>1873</v>
      </c>
      <c r="C546" s="6" t="s">
        <v>240</v>
      </c>
      <c r="D546" s="360"/>
      <c r="E546" s="360">
        <v>1870</v>
      </c>
    </row>
    <row r="547" spans="1:5" ht="17.25" x14ac:dyDescent="0.45">
      <c r="A547" s="359">
        <v>44986</v>
      </c>
      <c r="B547" s="6" t="s">
        <v>1874</v>
      </c>
      <c r="C547" s="6" t="s">
        <v>919</v>
      </c>
      <c r="D547" s="360"/>
      <c r="E547" s="360">
        <v>1435</v>
      </c>
    </row>
    <row r="548" spans="1:5" ht="17.25" x14ac:dyDescent="0.45">
      <c r="A548" s="359">
        <v>44986</v>
      </c>
      <c r="B548" s="6" t="s">
        <v>1875</v>
      </c>
      <c r="C548" s="6" t="s">
        <v>433</v>
      </c>
      <c r="D548" s="360"/>
      <c r="E548" s="360">
        <v>355</v>
      </c>
    </row>
    <row r="549" spans="1:5" ht="17.25" x14ac:dyDescent="0.45">
      <c r="A549" s="359">
        <v>44986</v>
      </c>
      <c r="B549" s="6" t="s">
        <v>1752</v>
      </c>
      <c r="C549" s="6" t="s">
        <v>1876</v>
      </c>
      <c r="D549" s="360"/>
      <c r="E549" s="360">
        <v>316</v>
      </c>
    </row>
    <row r="550" spans="1:5" ht="17.25" x14ac:dyDescent="0.45">
      <c r="A550" s="359">
        <v>44986</v>
      </c>
      <c r="B550" s="6" t="s">
        <v>1877</v>
      </c>
      <c r="C550" s="6" t="s">
        <v>415</v>
      </c>
      <c r="D550" s="360"/>
      <c r="E550" s="360">
        <v>1190</v>
      </c>
    </row>
    <row r="551" spans="1:5" ht="17.25" x14ac:dyDescent="0.45">
      <c r="A551" s="359">
        <v>44986</v>
      </c>
      <c r="B551" s="6" t="s">
        <v>1878</v>
      </c>
      <c r="C551" s="6" t="s">
        <v>1866</v>
      </c>
      <c r="D551" s="360"/>
      <c r="E551" s="360">
        <v>450</v>
      </c>
    </row>
    <row r="552" spans="1:5" ht="17.25" x14ac:dyDescent="0.45">
      <c r="A552" s="359">
        <v>44986</v>
      </c>
      <c r="B552" s="6" t="s">
        <v>1879</v>
      </c>
      <c r="C552" s="6" t="s">
        <v>570</v>
      </c>
      <c r="D552" s="360"/>
      <c r="E552" s="360">
        <v>1343</v>
      </c>
    </row>
    <row r="553" spans="1:5" ht="17.25" x14ac:dyDescent="0.45">
      <c r="A553" s="359">
        <v>44986</v>
      </c>
      <c r="B553" s="6" t="s">
        <v>1358</v>
      </c>
      <c r="C553" s="6" t="s">
        <v>1880</v>
      </c>
      <c r="D553" s="360"/>
      <c r="E553" s="360">
        <v>296</v>
      </c>
    </row>
    <row r="554" spans="1:5" ht="17.25" x14ac:dyDescent="0.45">
      <c r="A554" s="359">
        <v>44986</v>
      </c>
      <c r="B554" s="6" t="s">
        <v>1881</v>
      </c>
      <c r="C554" s="6" t="s">
        <v>1049</v>
      </c>
      <c r="D554" s="360"/>
      <c r="E554" s="360">
        <v>700</v>
      </c>
    </row>
    <row r="555" spans="1:5" ht="17.25" x14ac:dyDescent="0.45">
      <c r="A555" s="363">
        <v>44986</v>
      </c>
      <c r="B555" s="364" t="s">
        <v>1882</v>
      </c>
      <c r="C555" s="364" t="s">
        <v>249</v>
      </c>
      <c r="D555" s="366"/>
      <c r="E555" s="366">
        <v>840</v>
      </c>
    </row>
    <row r="556" spans="1:5" ht="17.25" x14ac:dyDescent="0.45">
      <c r="A556" s="359">
        <v>44987</v>
      </c>
      <c r="B556" s="6" t="s">
        <v>1883</v>
      </c>
      <c r="C556" s="6" t="s">
        <v>585</v>
      </c>
      <c r="D556" s="360"/>
      <c r="E556" s="360">
        <v>2640</v>
      </c>
    </row>
    <row r="557" spans="1:5" ht="17.25" x14ac:dyDescent="0.45">
      <c r="A557" s="359">
        <v>44987</v>
      </c>
      <c r="B557" s="6" t="s">
        <v>1884</v>
      </c>
      <c r="C557" s="6" t="s">
        <v>443</v>
      </c>
      <c r="D557" s="360"/>
      <c r="E557" s="360">
        <v>2400</v>
      </c>
    </row>
    <row r="558" spans="1:5" ht="17.25" x14ac:dyDescent="0.45">
      <c r="A558" s="359">
        <v>44987</v>
      </c>
      <c r="B558" s="6" t="s">
        <v>1885</v>
      </c>
      <c r="C558" s="6" t="s">
        <v>1377</v>
      </c>
      <c r="D558" s="360"/>
      <c r="E558" s="360">
        <v>935</v>
      </c>
    </row>
    <row r="559" spans="1:5" ht="17.25" x14ac:dyDescent="0.45">
      <c r="A559" s="359">
        <v>44987</v>
      </c>
      <c r="B559" s="6" t="s">
        <v>1765</v>
      </c>
      <c r="C559" s="6" t="s">
        <v>1377</v>
      </c>
      <c r="D559" s="360"/>
      <c r="E559" s="360">
        <v>1190</v>
      </c>
    </row>
    <row r="560" spans="1:5" ht="17.25" x14ac:dyDescent="0.45">
      <c r="A560" s="359">
        <v>44989</v>
      </c>
      <c r="B560" s="6" t="s">
        <v>1886</v>
      </c>
      <c r="C560" s="6" t="s">
        <v>393</v>
      </c>
      <c r="D560" s="360"/>
      <c r="E560" s="360">
        <v>3100</v>
      </c>
    </row>
    <row r="561" spans="1:5" ht="17.25" x14ac:dyDescent="0.45">
      <c r="A561" s="359">
        <v>44989</v>
      </c>
      <c r="B561" s="6" t="s">
        <v>1887</v>
      </c>
      <c r="C561" s="6" t="s">
        <v>1413</v>
      </c>
      <c r="D561" s="360"/>
      <c r="E561" s="360">
        <v>4500</v>
      </c>
    </row>
    <row r="562" spans="1:5" ht="17.25" x14ac:dyDescent="0.45">
      <c r="A562" s="359">
        <v>44989</v>
      </c>
      <c r="B562" s="6" t="s">
        <v>35</v>
      </c>
      <c r="C562" s="6" t="s">
        <v>1341</v>
      </c>
      <c r="D562" s="360"/>
      <c r="E562" s="360">
        <v>800</v>
      </c>
    </row>
    <row r="563" spans="1:5" ht="17.25" x14ac:dyDescent="0.45">
      <c r="A563" s="359">
        <v>44989</v>
      </c>
      <c r="B563" s="6" t="s">
        <v>35</v>
      </c>
      <c r="C563" s="6" t="s">
        <v>1341</v>
      </c>
      <c r="D563" s="360"/>
      <c r="E563" s="360">
        <v>800</v>
      </c>
    </row>
    <row r="564" spans="1:5" ht="17.25" x14ac:dyDescent="0.45">
      <c r="A564" s="359">
        <v>44989</v>
      </c>
      <c r="B564" s="6" t="s">
        <v>35</v>
      </c>
      <c r="C564" s="6" t="s">
        <v>1341</v>
      </c>
      <c r="D564" s="360"/>
      <c r="E564" s="360">
        <v>800</v>
      </c>
    </row>
    <row r="565" spans="1:5" ht="17.25" x14ac:dyDescent="0.45">
      <c r="A565" s="359">
        <v>44989</v>
      </c>
      <c r="B565" s="6" t="s">
        <v>35</v>
      </c>
      <c r="C565" s="6" t="s">
        <v>1341</v>
      </c>
      <c r="D565" s="360"/>
      <c r="E565" s="360">
        <v>800</v>
      </c>
    </row>
    <row r="566" spans="1:5" ht="17.25" x14ac:dyDescent="0.45">
      <c r="A566" s="359">
        <v>44989</v>
      </c>
      <c r="B566" s="6" t="s">
        <v>35</v>
      </c>
      <c r="C566" s="6" t="s">
        <v>1341</v>
      </c>
      <c r="D566" s="360"/>
      <c r="E566" s="360">
        <v>800</v>
      </c>
    </row>
    <row r="567" spans="1:5" ht="17.25" x14ac:dyDescent="0.45">
      <c r="A567" s="359">
        <v>44993</v>
      </c>
      <c r="B567" s="6" t="s">
        <v>1888</v>
      </c>
      <c r="C567" s="6" t="s">
        <v>1265</v>
      </c>
      <c r="D567" s="360"/>
      <c r="E567" s="360">
        <v>4590</v>
      </c>
    </row>
    <row r="568" spans="1:5" ht="17.25" x14ac:dyDescent="0.45">
      <c r="A568" s="359">
        <v>44993</v>
      </c>
      <c r="B568" s="6" t="s">
        <v>1889</v>
      </c>
      <c r="C568" s="6" t="s">
        <v>994</v>
      </c>
      <c r="D568" s="360"/>
      <c r="E568" s="360">
        <v>1785</v>
      </c>
    </row>
    <row r="569" spans="1:5" ht="17.25" x14ac:dyDescent="0.45">
      <c r="A569" s="359">
        <v>44993</v>
      </c>
      <c r="B569" s="6" t="s">
        <v>1834</v>
      </c>
      <c r="C569" s="6" t="s">
        <v>610</v>
      </c>
      <c r="D569" s="360"/>
      <c r="E569" s="360">
        <v>2900</v>
      </c>
    </row>
    <row r="570" spans="1:5" ht="17.25" x14ac:dyDescent="0.45">
      <c r="A570" s="359">
        <v>44993</v>
      </c>
      <c r="B570" s="6" t="s">
        <v>1890</v>
      </c>
      <c r="C570" s="6" t="s">
        <v>1836</v>
      </c>
      <c r="D570" s="360"/>
      <c r="E570" s="360">
        <v>0</v>
      </c>
    </row>
    <row r="571" spans="1:5" ht="17.25" x14ac:dyDescent="0.45">
      <c r="A571" s="359">
        <v>44993</v>
      </c>
      <c r="B571" s="6" t="s">
        <v>35</v>
      </c>
      <c r="C571" s="6" t="s">
        <v>1341</v>
      </c>
      <c r="D571" s="360"/>
      <c r="E571" s="360" t="s">
        <v>1533</v>
      </c>
    </row>
    <row r="572" spans="1:5" ht="17.25" x14ac:dyDescent="0.45">
      <c r="A572" s="359">
        <v>44994</v>
      </c>
      <c r="B572" s="6" t="s">
        <v>1891</v>
      </c>
      <c r="C572" s="6" t="s">
        <v>528</v>
      </c>
      <c r="D572" s="360"/>
      <c r="E572" s="360">
        <v>2380</v>
      </c>
    </row>
    <row r="573" spans="1:5" ht="17.25" x14ac:dyDescent="0.45">
      <c r="A573" s="359">
        <v>44994</v>
      </c>
      <c r="B573" s="6" t="s">
        <v>1892</v>
      </c>
      <c r="C573" s="6" t="s">
        <v>529</v>
      </c>
      <c r="D573" s="360"/>
      <c r="E573" s="360">
        <v>2800</v>
      </c>
    </row>
    <row r="574" spans="1:5" ht="17.25" x14ac:dyDescent="0.45">
      <c r="A574" s="359">
        <v>44994</v>
      </c>
      <c r="B574" s="6" t="s">
        <v>1893</v>
      </c>
      <c r="C574" s="6" t="s">
        <v>499</v>
      </c>
      <c r="D574" s="360"/>
      <c r="E574" s="360">
        <v>1870</v>
      </c>
    </row>
    <row r="575" spans="1:5" ht="17.25" x14ac:dyDescent="0.45">
      <c r="A575" s="359">
        <v>44994</v>
      </c>
      <c r="B575" s="6" t="s">
        <v>1894</v>
      </c>
      <c r="C575" s="6" t="s">
        <v>1895</v>
      </c>
      <c r="D575" s="360"/>
      <c r="E575" s="360">
        <v>2200</v>
      </c>
    </row>
    <row r="576" spans="1:5" ht="17.25" x14ac:dyDescent="0.45">
      <c r="A576" s="363">
        <v>44994</v>
      </c>
      <c r="B576" s="364" t="s">
        <v>1896</v>
      </c>
      <c r="C576" s="364" t="s">
        <v>1897</v>
      </c>
      <c r="D576" s="366"/>
      <c r="E576" s="366">
        <v>595</v>
      </c>
    </row>
    <row r="577" spans="1:5" ht="17.25" x14ac:dyDescent="0.45">
      <c r="A577" s="359">
        <v>44995</v>
      </c>
      <c r="B577" s="6" t="s">
        <v>1863</v>
      </c>
      <c r="C577" s="6" t="s">
        <v>1864</v>
      </c>
      <c r="D577" s="360"/>
      <c r="E577" s="360" t="s">
        <v>1533</v>
      </c>
    </row>
    <row r="578" spans="1:5" ht="17.25" x14ac:dyDescent="0.45">
      <c r="A578" s="359">
        <v>44995</v>
      </c>
      <c r="B578" s="6" t="s">
        <v>1055</v>
      </c>
      <c r="C578" s="6" t="s">
        <v>1349</v>
      </c>
      <c r="D578" s="360"/>
      <c r="E578" s="360">
        <v>1400</v>
      </c>
    </row>
    <row r="579" spans="1:5" ht="17.25" x14ac:dyDescent="0.45">
      <c r="A579" s="359">
        <v>44995</v>
      </c>
      <c r="B579" s="6" t="s">
        <v>1055</v>
      </c>
      <c r="C579" s="6" t="s">
        <v>1898</v>
      </c>
      <c r="D579" s="360"/>
      <c r="E579" s="360">
        <v>1000</v>
      </c>
    </row>
    <row r="580" spans="1:5" ht="17.25" x14ac:dyDescent="0.45">
      <c r="A580" s="359">
        <v>44995</v>
      </c>
      <c r="B580" s="6" t="s">
        <v>1899</v>
      </c>
      <c r="C580" s="6" t="s">
        <v>525</v>
      </c>
      <c r="D580" s="360"/>
      <c r="E580" s="360">
        <v>5200</v>
      </c>
    </row>
    <row r="581" spans="1:5" ht="17.25" x14ac:dyDescent="0.45">
      <c r="A581" s="359">
        <v>44995</v>
      </c>
      <c r="B581" s="6" t="s">
        <v>1900</v>
      </c>
      <c r="C581" s="6" t="s">
        <v>1807</v>
      </c>
      <c r="D581" s="360"/>
      <c r="E581" s="360">
        <v>560</v>
      </c>
    </row>
    <row r="582" spans="1:5" ht="17.25" x14ac:dyDescent="0.45">
      <c r="A582" s="359">
        <v>44995</v>
      </c>
      <c r="B582" s="6" t="s">
        <v>1901</v>
      </c>
      <c r="C582" s="6" t="s">
        <v>1440</v>
      </c>
      <c r="D582" s="360"/>
      <c r="E582" s="360">
        <v>755</v>
      </c>
    </row>
    <row r="583" spans="1:5" ht="17.25" x14ac:dyDescent="0.45">
      <c r="A583" s="359">
        <v>44995</v>
      </c>
      <c r="B583" s="6" t="s">
        <v>1902</v>
      </c>
      <c r="C583" s="6" t="s">
        <v>1903</v>
      </c>
      <c r="D583" s="360"/>
      <c r="E583" s="360">
        <v>314.5</v>
      </c>
    </row>
    <row r="584" spans="1:5" ht="17.25" x14ac:dyDescent="0.45">
      <c r="A584" s="359">
        <v>44995</v>
      </c>
      <c r="B584" s="6" t="s">
        <v>1904</v>
      </c>
      <c r="C584" s="6" t="s">
        <v>1905</v>
      </c>
      <c r="D584" s="360"/>
      <c r="E584" s="360">
        <v>335</v>
      </c>
    </row>
    <row r="585" spans="1:5" ht="17.25" x14ac:dyDescent="0.45">
      <c r="A585" s="359">
        <v>44995</v>
      </c>
      <c r="B585" s="6" t="s">
        <v>1906</v>
      </c>
      <c r="C585" s="6" t="s">
        <v>1056</v>
      </c>
      <c r="D585" s="360"/>
      <c r="E585" s="360">
        <v>405</v>
      </c>
    </row>
    <row r="586" spans="1:5" ht="17.25" x14ac:dyDescent="0.45">
      <c r="A586" s="359">
        <v>44995</v>
      </c>
      <c r="B586" s="6" t="s">
        <v>1907</v>
      </c>
      <c r="C586" s="6" t="s">
        <v>1908</v>
      </c>
      <c r="D586" s="360"/>
      <c r="E586" s="360">
        <v>552.5</v>
      </c>
    </row>
    <row r="587" spans="1:5" ht="17.25" x14ac:dyDescent="0.45">
      <c r="A587" s="359">
        <v>44995</v>
      </c>
      <c r="B587" s="6" t="s">
        <v>1906</v>
      </c>
      <c r="C587" s="6" t="s">
        <v>1250</v>
      </c>
      <c r="D587" s="360"/>
      <c r="E587" s="360">
        <v>330</v>
      </c>
    </row>
    <row r="588" spans="1:5" ht="17.25" x14ac:dyDescent="0.45">
      <c r="A588" s="359">
        <v>44995</v>
      </c>
      <c r="B588" s="6" t="s">
        <v>1909</v>
      </c>
      <c r="C588" s="6" t="s">
        <v>1049</v>
      </c>
      <c r="D588" s="360"/>
      <c r="E588" s="360">
        <v>607.75</v>
      </c>
    </row>
    <row r="589" spans="1:5" ht="17.25" x14ac:dyDescent="0.45">
      <c r="A589" s="359">
        <v>44995</v>
      </c>
      <c r="B589" s="6" t="s">
        <v>1910</v>
      </c>
      <c r="C589" s="6" t="s">
        <v>362</v>
      </c>
      <c r="D589" s="360"/>
      <c r="E589" s="360">
        <v>335</v>
      </c>
    </row>
    <row r="590" spans="1:5" ht="17.25" x14ac:dyDescent="0.45">
      <c r="A590" s="359">
        <v>44995</v>
      </c>
      <c r="B590" s="6" t="s">
        <v>1911</v>
      </c>
      <c r="C590" s="6" t="s">
        <v>362</v>
      </c>
      <c r="D590" s="360"/>
      <c r="E590" s="360">
        <v>815</v>
      </c>
    </row>
    <row r="591" spans="1:5" ht="17.25" x14ac:dyDescent="0.45">
      <c r="A591" s="359">
        <v>44995</v>
      </c>
      <c r="B591" s="6" t="s">
        <v>1912</v>
      </c>
      <c r="C591" s="6" t="s">
        <v>994</v>
      </c>
      <c r="D591" s="360"/>
      <c r="E591" s="360">
        <v>1071</v>
      </c>
    </row>
    <row r="592" spans="1:5" ht="17.25" x14ac:dyDescent="0.45">
      <c r="A592" s="359">
        <v>44996</v>
      </c>
      <c r="B592" s="6" t="s">
        <v>1913</v>
      </c>
      <c r="C592" s="6" t="s">
        <v>1481</v>
      </c>
      <c r="D592" s="360"/>
      <c r="E592" s="360">
        <v>5780</v>
      </c>
    </row>
    <row r="593" spans="1:5" ht="17.25" x14ac:dyDescent="0.45">
      <c r="A593" s="359">
        <v>44996</v>
      </c>
      <c r="B593" s="6" t="s">
        <v>1914</v>
      </c>
      <c r="C593" s="6" t="s">
        <v>1481</v>
      </c>
      <c r="D593" s="360"/>
      <c r="E593" s="360">
        <v>380</v>
      </c>
    </row>
    <row r="594" spans="1:5" ht="17.25" x14ac:dyDescent="0.45">
      <c r="A594" s="359">
        <v>44996</v>
      </c>
      <c r="B594" s="6" t="s">
        <v>1915</v>
      </c>
      <c r="C594" s="6" t="s">
        <v>1809</v>
      </c>
      <c r="D594" s="360"/>
      <c r="E594" s="360">
        <v>325</v>
      </c>
    </row>
    <row r="595" spans="1:5" ht="17.25" x14ac:dyDescent="0.45">
      <c r="A595" s="363">
        <v>44996</v>
      </c>
      <c r="B595" s="364" t="s">
        <v>1915</v>
      </c>
      <c r="C595" s="364" t="s">
        <v>1916</v>
      </c>
      <c r="D595" s="366"/>
      <c r="E595" s="366">
        <v>390</v>
      </c>
    </row>
    <row r="596" spans="1:5" ht="17.25" x14ac:dyDescent="0.45">
      <c r="A596" s="359">
        <v>45002</v>
      </c>
      <c r="B596" s="6" t="s">
        <v>1198</v>
      </c>
      <c r="C596" s="6" t="s">
        <v>545</v>
      </c>
      <c r="D596" s="360"/>
      <c r="E596" s="360" t="s">
        <v>1533</v>
      </c>
    </row>
    <row r="597" spans="1:5" ht="17.25" x14ac:dyDescent="0.45">
      <c r="A597" s="359">
        <v>45002</v>
      </c>
      <c r="B597" s="6" t="s">
        <v>1917</v>
      </c>
      <c r="C597" s="6" t="s">
        <v>991</v>
      </c>
      <c r="D597" s="360"/>
      <c r="E597" s="360">
        <v>1800</v>
      </c>
    </row>
    <row r="598" spans="1:5" ht="17.25" x14ac:dyDescent="0.45">
      <c r="A598" s="359">
        <v>45002</v>
      </c>
      <c r="B598" s="6" t="s">
        <v>1918</v>
      </c>
      <c r="C598" s="6" t="s">
        <v>585</v>
      </c>
      <c r="D598" s="360"/>
      <c r="E598" s="360">
        <v>476</v>
      </c>
    </row>
    <row r="599" spans="1:5" ht="17.25" x14ac:dyDescent="0.45">
      <c r="A599" s="359">
        <v>45002</v>
      </c>
      <c r="B599" s="6" t="s">
        <v>1918</v>
      </c>
      <c r="C599" s="6" t="s">
        <v>472</v>
      </c>
      <c r="D599" s="360"/>
      <c r="E599" s="360">
        <v>467.5</v>
      </c>
    </row>
    <row r="600" spans="1:5" ht="17.25" x14ac:dyDescent="0.45">
      <c r="A600" s="359">
        <v>45002</v>
      </c>
      <c r="B600" s="6" t="s">
        <v>1918</v>
      </c>
      <c r="C600" s="6" t="s">
        <v>1631</v>
      </c>
      <c r="D600" s="360"/>
      <c r="E600" s="360">
        <v>250.75</v>
      </c>
    </row>
    <row r="601" spans="1:5" ht="17.25" x14ac:dyDescent="0.45">
      <c r="A601" s="359">
        <v>45002</v>
      </c>
      <c r="B601" s="6" t="s">
        <v>1919</v>
      </c>
      <c r="C601" s="6" t="s">
        <v>1805</v>
      </c>
      <c r="D601" s="360"/>
      <c r="E601" s="360">
        <v>328</v>
      </c>
    </row>
    <row r="602" spans="1:5" ht="17.25" x14ac:dyDescent="0.45">
      <c r="A602" s="359">
        <v>45002</v>
      </c>
      <c r="B602" s="6" t="s">
        <v>1919</v>
      </c>
      <c r="C602" s="6" t="s">
        <v>1781</v>
      </c>
      <c r="D602" s="360"/>
      <c r="E602" s="360">
        <v>252</v>
      </c>
    </row>
    <row r="603" spans="1:5" ht="17.25" x14ac:dyDescent="0.45">
      <c r="A603" s="359">
        <v>45002</v>
      </c>
      <c r="B603" s="6" t="s">
        <v>1919</v>
      </c>
      <c r="C603" s="6" t="s">
        <v>971</v>
      </c>
      <c r="D603" s="360"/>
      <c r="E603" s="360">
        <v>148</v>
      </c>
    </row>
    <row r="604" spans="1:5" ht="17.25" x14ac:dyDescent="0.45">
      <c r="A604" s="359">
        <v>45002</v>
      </c>
      <c r="B604" s="6" t="s">
        <v>1920</v>
      </c>
      <c r="C604" s="6" t="s">
        <v>606</v>
      </c>
      <c r="D604" s="360"/>
      <c r="E604" s="360">
        <v>412.25</v>
      </c>
    </row>
    <row r="605" spans="1:5" ht="17.25" x14ac:dyDescent="0.45">
      <c r="A605" s="359">
        <v>45002</v>
      </c>
      <c r="B605" s="6" t="s">
        <v>1920</v>
      </c>
      <c r="C605" s="6" t="s">
        <v>1378</v>
      </c>
      <c r="D605" s="360"/>
      <c r="E605" s="360">
        <v>314.5</v>
      </c>
    </row>
    <row r="606" spans="1:5" ht="17.25" x14ac:dyDescent="0.45">
      <c r="A606" s="359">
        <v>45002</v>
      </c>
      <c r="B606" s="6" t="s">
        <v>1921</v>
      </c>
      <c r="C606" s="6" t="s">
        <v>1922</v>
      </c>
      <c r="D606" s="360"/>
      <c r="E606" s="360">
        <v>357</v>
      </c>
    </row>
    <row r="607" spans="1:5" ht="17.25" x14ac:dyDescent="0.45">
      <c r="A607" s="359">
        <v>45002</v>
      </c>
      <c r="B607" s="6" t="s">
        <v>1923</v>
      </c>
      <c r="C607" s="6" t="s">
        <v>1924</v>
      </c>
      <c r="D607" s="360"/>
      <c r="E607" s="360">
        <v>348.5</v>
      </c>
    </row>
    <row r="608" spans="1:5" ht="17.25" x14ac:dyDescent="0.45">
      <c r="A608" s="359">
        <v>45002</v>
      </c>
      <c r="B608" s="6" t="s">
        <v>1925</v>
      </c>
      <c r="C608" s="6" t="s">
        <v>1926</v>
      </c>
      <c r="D608" s="360"/>
      <c r="E608" s="360">
        <v>335.75</v>
      </c>
    </row>
    <row r="609" spans="1:5" ht="17.25" x14ac:dyDescent="0.45">
      <c r="A609" s="359">
        <v>45002</v>
      </c>
      <c r="B609" s="6" t="s">
        <v>1927</v>
      </c>
      <c r="C609" s="6" t="s">
        <v>933</v>
      </c>
      <c r="D609" s="360"/>
      <c r="E609" s="360">
        <v>314.5</v>
      </c>
    </row>
    <row r="610" spans="1:5" ht="17.25" x14ac:dyDescent="0.45">
      <c r="A610" s="359">
        <v>45002</v>
      </c>
      <c r="B610" s="6" t="s">
        <v>1928</v>
      </c>
      <c r="C610" s="6" t="s">
        <v>476</v>
      </c>
      <c r="D610" s="360"/>
      <c r="E610" s="360">
        <v>1219.75</v>
      </c>
    </row>
    <row r="611" spans="1:5" ht="17.25" x14ac:dyDescent="0.45">
      <c r="A611" s="359">
        <v>45002</v>
      </c>
      <c r="B611" s="6" t="s">
        <v>1929</v>
      </c>
      <c r="C611" s="6" t="s">
        <v>445</v>
      </c>
      <c r="D611" s="360"/>
      <c r="E611" s="360">
        <v>654.5</v>
      </c>
    </row>
    <row r="612" spans="1:5" ht="17.25" x14ac:dyDescent="0.45">
      <c r="A612" s="359">
        <v>45002</v>
      </c>
      <c r="B612" s="6" t="s">
        <v>1929</v>
      </c>
      <c r="C612" s="6" t="s">
        <v>1930</v>
      </c>
      <c r="D612" s="360"/>
      <c r="E612" s="360">
        <v>442</v>
      </c>
    </row>
    <row r="613" spans="1:5" ht="17.25" x14ac:dyDescent="0.45">
      <c r="A613" s="359">
        <v>45002</v>
      </c>
      <c r="B613" s="6" t="s">
        <v>1919</v>
      </c>
      <c r="C613" s="6" t="s">
        <v>476</v>
      </c>
      <c r="D613" s="360"/>
      <c r="E613" s="360">
        <v>1008</v>
      </c>
    </row>
    <row r="614" spans="1:5" ht="17.25" x14ac:dyDescent="0.45">
      <c r="A614" s="359">
        <v>45006</v>
      </c>
      <c r="B614" s="6" t="s">
        <v>1198</v>
      </c>
      <c r="C614" s="6" t="s">
        <v>511</v>
      </c>
      <c r="D614" s="360"/>
      <c r="E614" s="360" t="s">
        <v>1533</v>
      </c>
    </row>
    <row r="615" spans="1:5" ht="17.25" x14ac:dyDescent="0.45">
      <c r="A615" s="359">
        <v>45006</v>
      </c>
      <c r="B615" s="6" t="s">
        <v>1931</v>
      </c>
      <c r="C615" s="6" t="s">
        <v>1932</v>
      </c>
      <c r="D615" s="360"/>
      <c r="E615" s="360">
        <v>935</v>
      </c>
    </row>
    <row r="616" spans="1:5" ht="17.25" x14ac:dyDescent="0.45">
      <c r="A616" s="359">
        <v>45007</v>
      </c>
      <c r="B616" s="6" t="s">
        <v>1899</v>
      </c>
      <c r="C616" s="6" t="s">
        <v>525</v>
      </c>
      <c r="D616" s="360"/>
      <c r="E616" s="360" t="s">
        <v>1533</v>
      </c>
    </row>
    <row r="617" spans="1:5" ht="17.25" x14ac:dyDescent="0.45">
      <c r="A617" s="363">
        <v>45007</v>
      </c>
      <c r="B617" s="364" t="s">
        <v>1933</v>
      </c>
      <c r="C617" s="364" t="s">
        <v>588</v>
      </c>
      <c r="D617" s="366"/>
      <c r="E617" s="366">
        <v>2125</v>
      </c>
    </row>
    <row r="618" spans="1:5" ht="17.25" x14ac:dyDescent="0.45">
      <c r="A618" s="359">
        <v>45008</v>
      </c>
      <c r="B618" s="6" t="s">
        <v>1198</v>
      </c>
      <c r="C618" s="6" t="s">
        <v>1934</v>
      </c>
      <c r="D618" s="360"/>
      <c r="E618" s="360">
        <v>0</v>
      </c>
    </row>
    <row r="619" spans="1:5" ht="17.25" x14ac:dyDescent="0.45">
      <c r="A619" s="359">
        <v>45008</v>
      </c>
      <c r="B619" s="6" t="s">
        <v>1935</v>
      </c>
      <c r="C619" s="6" t="s">
        <v>848</v>
      </c>
      <c r="D619" s="360"/>
      <c r="E619" s="360">
        <v>1262.25</v>
      </c>
    </row>
    <row r="620" spans="1:5" ht="17.25" x14ac:dyDescent="0.45">
      <c r="A620" s="359">
        <v>45008</v>
      </c>
      <c r="B620" s="6" t="s">
        <v>1936</v>
      </c>
      <c r="C620" s="6" t="s">
        <v>91</v>
      </c>
      <c r="D620" s="360"/>
      <c r="E620" s="360">
        <v>238</v>
      </c>
    </row>
    <row r="621" spans="1:5" ht="17.25" x14ac:dyDescent="0.45">
      <c r="A621" s="359">
        <v>45008</v>
      </c>
      <c r="B621" s="6" t="s">
        <v>1668</v>
      </c>
      <c r="C621" s="6" t="s">
        <v>1243</v>
      </c>
      <c r="D621" s="360"/>
      <c r="E621" s="360">
        <v>301.75</v>
      </c>
    </row>
    <row r="622" spans="1:5" ht="17.25" x14ac:dyDescent="0.45">
      <c r="A622" s="359">
        <v>45008</v>
      </c>
      <c r="B622" s="6" t="s">
        <v>1937</v>
      </c>
      <c r="C622" s="6" t="s">
        <v>249</v>
      </c>
      <c r="D622" s="360"/>
      <c r="E622" s="360">
        <v>259.25</v>
      </c>
    </row>
    <row r="623" spans="1:5" ht="17.25" x14ac:dyDescent="0.45">
      <c r="A623" s="359">
        <v>45008</v>
      </c>
      <c r="B623" s="6" t="s">
        <v>1938</v>
      </c>
      <c r="C623" s="6" t="s">
        <v>1034</v>
      </c>
      <c r="D623" s="360"/>
      <c r="E623" s="360">
        <v>330</v>
      </c>
    </row>
    <row r="624" spans="1:5" ht="17.25" x14ac:dyDescent="0.45">
      <c r="A624" s="359">
        <v>45008</v>
      </c>
      <c r="B624" s="6" t="s">
        <v>1939</v>
      </c>
      <c r="C624" s="6" t="s">
        <v>1349</v>
      </c>
      <c r="D624" s="360"/>
      <c r="E624" s="360">
        <v>586.5</v>
      </c>
    </row>
    <row r="625" spans="1:5" ht="17.25" x14ac:dyDescent="0.45">
      <c r="A625" s="359">
        <v>45008</v>
      </c>
      <c r="B625" s="6" t="s">
        <v>1940</v>
      </c>
      <c r="C625" s="6" t="s">
        <v>1036</v>
      </c>
      <c r="D625" s="360"/>
      <c r="E625" s="360">
        <v>284.75</v>
      </c>
    </row>
    <row r="626" spans="1:5" ht="17.25" x14ac:dyDescent="0.45">
      <c r="A626" s="359">
        <v>45008</v>
      </c>
      <c r="B626" s="6" t="s">
        <v>1941</v>
      </c>
      <c r="C626" s="6" t="s">
        <v>625</v>
      </c>
      <c r="D626" s="360"/>
      <c r="E626" s="360">
        <v>603.5</v>
      </c>
    </row>
    <row r="627" spans="1:5" ht="17.25" x14ac:dyDescent="0.45">
      <c r="A627" s="359">
        <v>45008</v>
      </c>
      <c r="B627" s="6" t="s">
        <v>1915</v>
      </c>
      <c r="C627" s="6" t="s">
        <v>1916</v>
      </c>
      <c r="D627" s="360"/>
      <c r="E627" s="360">
        <v>297.5</v>
      </c>
    </row>
    <row r="628" spans="1:5" ht="17.25" x14ac:dyDescent="0.45">
      <c r="A628" s="359">
        <v>45008</v>
      </c>
      <c r="B628" s="6" t="s">
        <v>1942</v>
      </c>
      <c r="C628" s="6" t="s">
        <v>495</v>
      </c>
      <c r="D628" s="360"/>
      <c r="E628" s="360">
        <v>314.5</v>
      </c>
    </row>
    <row r="629" spans="1:5" ht="17.25" x14ac:dyDescent="0.45">
      <c r="A629" s="359">
        <v>45008</v>
      </c>
      <c r="B629" s="6" t="s">
        <v>1943</v>
      </c>
      <c r="C629" s="6" t="s">
        <v>249</v>
      </c>
      <c r="D629" s="360"/>
      <c r="E629" s="360">
        <v>539.75</v>
      </c>
    </row>
    <row r="630" spans="1:5" ht="17.25" x14ac:dyDescent="0.45">
      <c r="A630" s="359">
        <v>45008</v>
      </c>
      <c r="B630" s="6" t="s">
        <v>1944</v>
      </c>
      <c r="C630" s="6" t="s">
        <v>948</v>
      </c>
      <c r="D630" s="360"/>
      <c r="E630" s="360">
        <v>497.25</v>
      </c>
    </row>
    <row r="631" spans="1:5" ht="17.25" x14ac:dyDescent="0.45">
      <c r="A631" s="359">
        <v>45008</v>
      </c>
      <c r="B631" s="6" t="s">
        <v>1945</v>
      </c>
      <c r="C631" s="6" t="s">
        <v>927</v>
      </c>
      <c r="D631" s="360"/>
      <c r="E631" s="360">
        <v>875</v>
      </c>
    </row>
    <row r="632" spans="1:5" ht="17.25" x14ac:dyDescent="0.45">
      <c r="A632" s="359">
        <v>45008</v>
      </c>
      <c r="B632" s="6" t="s">
        <v>1946</v>
      </c>
      <c r="C632" s="6" t="s">
        <v>956</v>
      </c>
      <c r="D632" s="360"/>
      <c r="E632" s="360">
        <v>607.75</v>
      </c>
    </row>
    <row r="633" spans="1:5" ht="17.25" x14ac:dyDescent="0.45">
      <c r="A633" s="359">
        <v>45008</v>
      </c>
      <c r="B633" s="6" t="s">
        <v>1947</v>
      </c>
      <c r="C633" s="6" t="s">
        <v>925</v>
      </c>
      <c r="D633" s="360"/>
      <c r="E633" s="360">
        <v>1309</v>
      </c>
    </row>
    <row r="634" spans="1:5" ht="17.25" x14ac:dyDescent="0.45">
      <c r="A634" s="359">
        <v>45009</v>
      </c>
      <c r="B634" s="6" t="s">
        <v>1948</v>
      </c>
      <c r="C634" s="6" t="s">
        <v>1949</v>
      </c>
      <c r="D634" s="360"/>
      <c r="E634" s="360">
        <v>2640</v>
      </c>
    </row>
    <row r="635" spans="1:5" ht="17.25" x14ac:dyDescent="0.45">
      <c r="A635" s="359">
        <v>45009</v>
      </c>
      <c r="B635" s="6" t="s">
        <v>1950</v>
      </c>
      <c r="C635" s="6" t="s">
        <v>989</v>
      </c>
      <c r="D635" s="360"/>
      <c r="E635" s="360">
        <v>3500</v>
      </c>
    </row>
    <row r="636" spans="1:5" ht="17.25" x14ac:dyDescent="0.45">
      <c r="A636" s="359">
        <v>45009</v>
      </c>
      <c r="B636" s="6" t="s">
        <v>1951</v>
      </c>
      <c r="C636" s="6" t="s">
        <v>1952</v>
      </c>
      <c r="D636" s="360"/>
      <c r="E636" s="360">
        <v>2380</v>
      </c>
    </row>
    <row r="637" spans="1:5" ht="17.25" x14ac:dyDescent="0.45">
      <c r="A637" s="363">
        <v>45014</v>
      </c>
      <c r="B637" s="364" t="s">
        <v>1953</v>
      </c>
      <c r="C637" s="364" t="s">
        <v>63</v>
      </c>
      <c r="D637" s="366"/>
      <c r="E637" s="366">
        <v>4320</v>
      </c>
    </row>
    <row r="638" spans="1:5" ht="17.25" x14ac:dyDescent="0.45">
      <c r="A638" s="359">
        <v>45015</v>
      </c>
      <c r="B638" s="6" t="s">
        <v>1954</v>
      </c>
      <c r="C638" s="6" t="s">
        <v>1377</v>
      </c>
      <c r="D638" s="360"/>
      <c r="E638" s="360">
        <v>1400</v>
      </c>
    </row>
    <row r="639" spans="1:5" ht="17.25" x14ac:dyDescent="0.45">
      <c r="A639" s="359">
        <v>45017</v>
      </c>
      <c r="B639" s="6" t="s">
        <v>1951</v>
      </c>
      <c r="C639" s="6" t="s">
        <v>1952</v>
      </c>
      <c r="D639" s="360"/>
      <c r="E639" s="360" t="s">
        <v>1533</v>
      </c>
    </row>
    <row r="640" spans="1:5" ht="17.25" x14ac:dyDescent="0.45">
      <c r="A640" s="359">
        <v>45017</v>
      </c>
      <c r="B640" s="6" t="s">
        <v>1955</v>
      </c>
      <c r="C640" s="6" t="s">
        <v>249</v>
      </c>
      <c r="D640" s="360"/>
      <c r="E640" s="360">
        <v>700</v>
      </c>
    </row>
    <row r="641" spans="1:5" ht="17.25" x14ac:dyDescent="0.45">
      <c r="A641" s="359">
        <v>45017</v>
      </c>
      <c r="B641" s="6" t="s">
        <v>392</v>
      </c>
      <c r="C641" s="6" t="s">
        <v>1895</v>
      </c>
      <c r="D641" s="360"/>
      <c r="E641" s="360">
        <v>645</v>
      </c>
    </row>
    <row r="642" spans="1:5" ht="17.25" x14ac:dyDescent="0.45">
      <c r="A642" s="359">
        <v>45017</v>
      </c>
      <c r="B642" s="6" t="s">
        <v>1956</v>
      </c>
      <c r="C642" s="6" t="s">
        <v>816</v>
      </c>
      <c r="D642" s="360"/>
      <c r="E642" s="360">
        <v>714</v>
      </c>
    </row>
    <row r="643" spans="1:5" ht="17.25" x14ac:dyDescent="0.45">
      <c r="A643" s="359">
        <v>45017</v>
      </c>
      <c r="B643" s="6" t="s">
        <v>1907</v>
      </c>
      <c r="C643" s="6" t="s">
        <v>685</v>
      </c>
      <c r="D643" s="360"/>
      <c r="E643" s="360">
        <v>981.75</v>
      </c>
    </row>
    <row r="644" spans="1:5" ht="17.25" x14ac:dyDescent="0.45">
      <c r="A644" s="359">
        <v>45017</v>
      </c>
      <c r="B644" s="6" t="s">
        <v>1957</v>
      </c>
      <c r="C644" s="6" t="s">
        <v>445</v>
      </c>
      <c r="D644" s="360"/>
      <c r="E644" s="360">
        <v>1352</v>
      </c>
    </row>
    <row r="645" spans="1:5" ht="17.25" x14ac:dyDescent="0.45">
      <c r="A645" s="359">
        <v>45017</v>
      </c>
      <c r="B645" s="6" t="s">
        <v>1958</v>
      </c>
      <c r="C645" s="6" t="s">
        <v>1959</v>
      </c>
      <c r="D645" s="360"/>
      <c r="E645" s="360">
        <v>475</v>
      </c>
    </row>
    <row r="646" spans="1:5" ht="17.25" x14ac:dyDescent="0.45">
      <c r="A646" s="359">
        <v>45017</v>
      </c>
      <c r="B646" s="6" t="s">
        <v>1960</v>
      </c>
      <c r="C646" s="6" t="s">
        <v>446</v>
      </c>
      <c r="D646" s="360"/>
      <c r="E646" s="360">
        <v>290</v>
      </c>
    </row>
    <row r="647" spans="1:5" ht="17.25" x14ac:dyDescent="0.45">
      <c r="A647" s="359">
        <v>45017</v>
      </c>
      <c r="B647" s="6" t="s">
        <v>1961</v>
      </c>
      <c r="C647" s="6" t="s">
        <v>338</v>
      </c>
      <c r="D647" s="360"/>
      <c r="E647" s="360">
        <v>1355.75</v>
      </c>
    </row>
    <row r="648" spans="1:5" ht="17.25" x14ac:dyDescent="0.45">
      <c r="A648" s="359">
        <v>45017</v>
      </c>
      <c r="B648" s="6" t="s">
        <v>1957</v>
      </c>
      <c r="C648" s="6" t="s">
        <v>1375</v>
      </c>
      <c r="D648" s="360"/>
      <c r="E648" s="360">
        <v>228</v>
      </c>
    </row>
    <row r="649" spans="1:5" ht="17.25" x14ac:dyDescent="0.45">
      <c r="A649" s="359">
        <v>45017</v>
      </c>
      <c r="B649" s="6" t="s">
        <v>1962</v>
      </c>
      <c r="C649" s="6" t="s">
        <v>1037</v>
      </c>
      <c r="D649" s="360"/>
      <c r="E649" s="360">
        <v>1175</v>
      </c>
    </row>
    <row r="650" spans="1:5" ht="17.25" x14ac:dyDescent="0.45">
      <c r="A650" s="363">
        <v>45021</v>
      </c>
      <c r="B650" s="364" t="s">
        <v>1963</v>
      </c>
      <c r="C650" s="364" t="s">
        <v>588</v>
      </c>
      <c r="D650" s="366"/>
      <c r="E650" s="366">
        <v>3060</v>
      </c>
    </row>
    <row r="651" spans="1:5" ht="17.25" x14ac:dyDescent="0.45">
      <c r="A651" s="359">
        <v>45022</v>
      </c>
      <c r="B651" s="6" t="s">
        <v>1198</v>
      </c>
      <c r="C651" s="6" t="s">
        <v>797</v>
      </c>
      <c r="D651" s="360"/>
      <c r="E651" s="360" t="s">
        <v>1533</v>
      </c>
    </row>
    <row r="652" spans="1:5" ht="17.25" x14ac:dyDescent="0.45">
      <c r="A652" s="359">
        <v>45022</v>
      </c>
      <c r="B652" s="6" t="s">
        <v>1964</v>
      </c>
      <c r="C652" s="6" t="s">
        <v>472</v>
      </c>
      <c r="D652" s="360"/>
      <c r="E652" s="360">
        <v>2235</v>
      </c>
    </row>
    <row r="653" spans="1:5" ht="17.25" x14ac:dyDescent="0.45">
      <c r="A653" s="359">
        <v>45024</v>
      </c>
      <c r="B653" s="6" t="s">
        <v>1965</v>
      </c>
      <c r="C653" s="6" t="s">
        <v>432</v>
      </c>
      <c r="D653" s="360"/>
      <c r="E653" s="360">
        <v>4480</v>
      </c>
    </row>
    <row r="654" spans="1:5" ht="17.25" x14ac:dyDescent="0.45">
      <c r="A654" s="363">
        <v>45028</v>
      </c>
      <c r="B654" s="364" t="s">
        <v>1883</v>
      </c>
      <c r="C654" s="364" t="s">
        <v>585</v>
      </c>
      <c r="D654" s="366"/>
      <c r="E654" s="366" t="s">
        <v>1533</v>
      </c>
    </row>
    <row r="655" spans="1:5" ht="17.25" x14ac:dyDescent="0.45">
      <c r="A655" s="359">
        <v>45029</v>
      </c>
      <c r="B655" s="6" t="s">
        <v>1965</v>
      </c>
      <c r="C655" s="6" t="s">
        <v>606</v>
      </c>
      <c r="D655" s="360"/>
      <c r="E655" s="360">
        <v>7920</v>
      </c>
    </row>
    <row r="656" spans="1:5" ht="17.25" x14ac:dyDescent="0.45">
      <c r="A656" s="359">
        <v>45029</v>
      </c>
      <c r="B656" s="6" t="s">
        <v>1966</v>
      </c>
      <c r="C656" s="6" t="s">
        <v>997</v>
      </c>
      <c r="D656" s="360"/>
      <c r="E656" s="360">
        <v>1500</v>
      </c>
    </row>
    <row r="657" spans="1:5" ht="17.25" x14ac:dyDescent="0.45">
      <c r="A657" s="359">
        <v>45029</v>
      </c>
      <c r="B657" s="6" t="s">
        <v>1967</v>
      </c>
      <c r="C657" s="6" t="s">
        <v>1807</v>
      </c>
      <c r="D657" s="360"/>
      <c r="E657" s="360">
        <v>2900</v>
      </c>
    </row>
    <row r="658" spans="1:5" ht="17.25" x14ac:dyDescent="0.45">
      <c r="A658" s="359">
        <v>45030</v>
      </c>
      <c r="B658" s="6" t="s">
        <v>1968</v>
      </c>
      <c r="C658" s="6" t="s">
        <v>944</v>
      </c>
      <c r="D658" s="360"/>
      <c r="E658" s="360">
        <v>280.5</v>
      </c>
    </row>
    <row r="659" spans="1:5" ht="17.25" x14ac:dyDescent="0.45">
      <c r="A659" s="359">
        <v>45030</v>
      </c>
      <c r="B659" s="6" t="s">
        <v>1968</v>
      </c>
      <c r="C659" s="6" t="s">
        <v>89</v>
      </c>
      <c r="D659" s="360"/>
      <c r="E659" s="360">
        <v>259.25</v>
      </c>
    </row>
    <row r="660" spans="1:5" ht="17.25" x14ac:dyDescent="0.45">
      <c r="A660" s="359">
        <v>45030</v>
      </c>
      <c r="B660" s="6" t="s">
        <v>1906</v>
      </c>
      <c r="C660" s="6" t="s">
        <v>1969</v>
      </c>
      <c r="D660" s="360"/>
      <c r="E660" s="360">
        <v>255</v>
      </c>
    </row>
    <row r="661" spans="1:5" ht="17.25" x14ac:dyDescent="0.45">
      <c r="A661" s="359">
        <v>45030</v>
      </c>
      <c r="B661" s="6" t="s">
        <v>1970</v>
      </c>
      <c r="C661" s="6" t="s">
        <v>529</v>
      </c>
      <c r="D661" s="360"/>
      <c r="E661" s="360">
        <v>635</v>
      </c>
    </row>
    <row r="662" spans="1:5" ht="17.25" x14ac:dyDescent="0.45">
      <c r="A662" s="359">
        <v>45030</v>
      </c>
      <c r="B662" s="6" t="s">
        <v>1971</v>
      </c>
      <c r="C662" s="6" t="s">
        <v>1053</v>
      </c>
      <c r="D662" s="360"/>
      <c r="E662" s="360">
        <v>420.75</v>
      </c>
    </row>
    <row r="663" spans="1:5" ht="17.25" x14ac:dyDescent="0.45">
      <c r="A663" s="359">
        <v>45030</v>
      </c>
      <c r="B663" s="6" t="s">
        <v>1968</v>
      </c>
      <c r="C663" s="6" t="s">
        <v>1972</v>
      </c>
      <c r="D663" s="360"/>
      <c r="E663" s="360">
        <v>267.75</v>
      </c>
    </row>
    <row r="664" spans="1:5" ht="17.25" x14ac:dyDescent="0.45">
      <c r="A664" s="359">
        <v>45030</v>
      </c>
      <c r="B664" s="6" t="s">
        <v>1968</v>
      </c>
      <c r="C664" s="6" t="s">
        <v>1189</v>
      </c>
      <c r="D664" s="360"/>
      <c r="E664" s="360">
        <v>267.75</v>
      </c>
    </row>
    <row r="665" spans="1:5" ht="17.25" x14ac:dyDescent="0.45">
      <c r="A665" s="359">
        <v>45030</v>
      </c>
      <c r="B665" s="6" t="s">
        <v>1968</v>
      </c>
      <c r="C665" s="6" t="s">
        <v>898</v>
      </c>
      <c r="D665" s="360"/>
      <c r="E665" s="360">
        <v>365.5</v>
      </c>
    </row>
    <row r="666" spans="1:5" ht="17.25" x14ac:dyDescent="0.45">
      <c r="A666" s="359">
        <v>45030</v>
      </c>
      <c r="B666" s="6" t="s">
        <v>1973</v>
      </c>
      <c r="C666" s="6" t="s">
        <v>626</v>
      </c>
      <c r="D666" s="360"/>
      <c r="E666" s="360">
        <v>655</v>
      </c>
    </row>
    <row r="667" spans="1:5" ht="17.25" x14ac:dyDescent="0.45">
      <c r="A667" s="359">
        <v>45030</v>
      </c>
      <c r="B667" s="6" t="s">
        <v>1968</v>
      </c>
      <c r="C667" s="6" t="s">
        <v>914</v>
      </c>
      <c r="D667" s="360"/>
      <c r="E667" s="360">
        <v>352.75</v>
      </c>
    </row>
    <row r="668" spans="1:5" ht="17.25" x14ac:dyDescent="0.45">
      <c r="A668" s="359">
        <v>45030</v>
      </c>
      <c r="B668" s="6" t="s">
        <v>762</v>
      </c>
      <c r="C668" s="6" t="s">
        <v>1240</v>
      </c>
      <c r="D668" s="360"/>
      <c r="E668" s="360">
        <v>885</v>
      </c>
    </row>
    <row r="669" spans="1:5" ht="17.25" x14ac:dyDescent="0.45">
      <c r="A669" s="359">
        <v>45030</v>
      </c>
      <c r="B669" s="6" t="s">
        <v>1974</v>
      </c>
      <c r="C669" s="6" t="s">
        <v>459</v>
      </c>
      <c r="D669" s="360"/>
      <c r="E669" s="360">
        <v>690</v>
      </c>
    </row>
    <row r="670" spans="1:5" ht="17.25" x14ac:dyDescent="0.45">
      <c r="A670" s="359">
        <v>45030</v>
      </c>
      <c r="B670" s="6" t="s">
        <v>1968</v>
      </c>
      <c r="C670" s="6" t="s">
        <v>1975</v>
      </c>
      <c r="D670" s="360"/>
      <c r="E670" s="360">
        <v>238</v>
      </c>
    </row>
    <row r="671" spans="1:5" ht="17.25" x14ac:dyDescent="0.45">
      <c r="A671" s="359">
        <v>45030</v>
      </c>
      <c r="B671" s="6" t="s">
        <v>1968</v>
      </c>
      <c r="C671" s="6" t="s">
        <v>1164</v>
      </c>
      <c r="D671" s="360"/>
      <c r="E671" s="360">
        <v>250.75</v>
      </c>
    </row>
    <row r="672" spans="1:5" ht="17.25" x14ac:dyDescent="0.45">
      <c r="A672" s="359">
        <v>45030</v>
      </c>
      <c r="B672" s="6" t="s">
        <v>1976</v>
      </c>
      <c r="C672" s="6" t="s">
        <v>1101</v>
      </c>
      <c r="D672" s="360"/>
      <c r="E672" s="360">
        <v>0</v>
      </c>
    </row>
    <row r="673" spans="1:5" ht="17.25" x14ac:dyDescent="0.45">
      <c r="A673" s="359">
        <v>45030</v>
      </c>
      <c r="B673" s="6" t="s">
        <v>1968</v>
      </c>
      <c r="C673" s="6" t="s">
        <v>1977</v>
      </c>
      <c r="D673" s="360"/>
      <c r="E673" s="360">
        <v>280.5</v>
      </c>
    </row>
    <row r="674" spans="1:5" ht="17.25" x14ac:dyDescent="0.45">
      <c r="A674" s="359">
        <v>45030</v>
      </c>
      <c r="B674" s="6" t="s">
        <v>1978</v>
      </c>
      <c r="C674" s="6" t="s">
        <v>761</v>
      </c>
      <c r="D674" s="360"/>
      <c r="E674" s="360">
        <v>760</v>
      </c>
    </row>
    <row r="675" spans="1:5" ht="17.25" x14ac:dyDescent="0.45">
      <c r="A675" s="359">
        <v>45031</v>
      </c>
      <c r="B675" s="6" t="s">
        <v>1979</v>
      </c>
      <c r="C675" s="6" t="s">
        <v>308</v>
      </c>
      <c r="D675" s="360"/>
      <c r="E675" s="360">
        <v>3995</v>
      </c>
    </row>
    <row r="676" spans="1:5" ht="17.25" x14ac:dyDescent="0.45">
      <c r="A676" s="359">
        <v>45031</v>
      </c>
      <c r="B676" s="6" t="s">
        <v>1980</v>
      </c>
      <c r="C676" s="6" t="s">
        <v>249</v>
      </c>
      <c r="D676" s="360"/>
      <c r="E676" s="360">
        <v>3100</v>
      </c>
    </row>
    <row r="677" spans="1:5" ht="17.25" x14ac:dyDescent="0.45">
      <c r="A677" s="359">
        <v>45031</v>
      </c>
      <c r="B677" s="6" t="s">
        <v>1981</v>
      </c>
      <c r="C677" s="6" t="s">
        <v>1731</v>
      </c>
      <c r="D677" s="360"/>
      <c r="E677" s="360">
        <v>2000</v>
      </c>
    </row>
    <row r="678" spans="1:5" ht="17.25" x14ac:dyDescent="0.45">
      <c r="A678" s="359">
        <v>45031</v>
      </c>
      <c r="B678" s="6" t="s">
        <v>1979</v>
      </c>
      <c r="C678" s="6" t="s">
        <v>831</v>
      </c>
      <c r="D678" s="360"/>
      <c r="E678" s="360">
        <v>2805</v>
      </c>
    </row>
    <row r="679" spans="1:5" ht="17.25" x14ac:dyDescent="0.45">
      <c r="A679" s="359">
        <v>45032</v>
      </c>
      <c r="B679" s="6" t="s">
        <v>1982</v>
      </c>
      <c r="C679" s="6" t="s">
        <v>1376</v>
      </c>
      <c r="D679" s="360"/>
      <c r="E679" s="360">
        <v>2635</v>
      </c>
    </row>
    <row r="680" spans="1:5" ht="17.25" x14ac:dyDescent="0.45">
      <c r="A680" s="359">
        <v>45032</v>
      </c>
      <c r="B680" s="6" t="s">
        <v>916</v>
      </c>
      <c r="C680" s="6" t="s">
        <v>1866</v>
      </c>
      <c r="D680" s="360"/>
      <c r="E680" s="360">
        <v>2890</v>
      </c>
    </row>
    <row r="681" spans="1:5" ht="17.25" x14ac:dyDescent="0.45">
      <c r="A681" s="363">
        <v>45034</v>
      </c>
      <c r="B681" s="364" t="s">
        <v>1965</v>
      </c>
      <c r="C681" s="364" t="s">
        <v>606</v>
      </c>
      <c r="D681" s="366"/>
      <c r="E681" s="366" t="s">
        <v>1533</v>
      </c>
    </row>
    <row r="682" spans="1:5" ht="17.25" x14ac:dyDescent="0.45">
      <c r="A682" s="359">
        <v>45037</v>
      </c>
      <c r="B682" s="6" t="s">
        <v>1983</v>
      </c>
      <c r="C682" s="6" t="s">
        <v>1984</v>
      </c>
      <c r="D682" s="360"/>
      <c r="E682" s="360">
        <v>1351.5</v>
      </c>
    </row>
    <row r="683" spans="1:5" ht="17.25" x14ac:dyDescent="0.45">
      <c r="A683" s="359">
        <v>45037</v>
      </c>
      <c r="B683" s="6" t="s">
        <v>1985</v>
      </c>
      <c r="C683" s="6" t="s">
        <v>1771</v>
      </c>
      <c r="D683" s="360"/>
      <c r="E683" s="360">
        <v>616.25</v>
      </c>
    </row>
    <row r="684" spans="1:5" ht="17.25" x14ac:dyDescent="0.45">
      <c r="A684" s="359">
        <v>45037</v>
      </c>
      <c r="B684" s="6" t="s">
        <v>1986</v>
      </c>
      <c r="C684" s="6" t="s">
        <v>682</v>
      </c>
      <c r="D684" s="360"/>
      <c r="E684" s="360">
        <v>1236.75</v>
      </c>
    </row>
    <row r="685" spans="1:5" ht="17.25" x14ac:dyDescent="0.45">
      <c r="A685" s="359">
        <v>45037</v>
      </c>
      <c r="B685" s="6" t="s">
        <v>93</v>
      </c>
      <c r="C685" s="6" t="s">
        <v>1163</v>
      </c>
      <c r="D685" s="360"/>
      <c r="E685" s="360">
        <v>701.25</v>
      </c>
    </row>
    <row r="686" spans="1:5" ht="17.25" x14ac:dyDescent="0.45">
      <c r="A686" s="359">
        <v>45037</v>
      </c>
      <c r="B686" s="6" t="s">
        <v>410</v>
      </c>
      <c r="C686" s="6" t="s">
        <v>1826</v>
      </c>
      <c r="D686" s="360"/>
      <c r="E686" s="360">
        <v>454.75</v>
      </c>
    </row>
    <row r="687" spans="1:5" ht="17.25" x14ac:dyDescent="0.45">
      <c r="A687" s="359">
        <v>45037</v>
      </c>
      <c r="B687" s="6" t="s">
        <v>1915</v>
      </c>
      <c r="C687" s="6" t="s">
        <v>625</v>
      </c>
      <c r="D687" s="360"/>
      <c r="E687" s="360">
        <v>230</v>
      </c>
    </row>
    <row r="688" spans="1:5" ht="17.25" x14ac:dyDescent="0.45">
      <c r="A688" s="359">
        <v>45037</v>
      </c>
      <c r="B688" s="6" t="s">
        <v>1987</v>
      </c>
      <c r="C688" s="6" t="s">
        <v>1021</v>
      </c>
      <c r="D688" s="360"/>
      <c r="E688" s="360">
        <v>267.75</v>
      </c>
    </row>
    <row r="689" spans="1:5" ht="17.25" x14ac:dyDescent="0.45">
      <c r="A689" s="359">
        <v>45037</v>
      </c>
      <c r="B689" s="6" t="s">
        <v>86</v>
      </c>
      <c r="C689" s="6" t="s">
        <v>1988</v>
      </c>
      <c r="D689" s="360"/>
      <c r="E689" s="360">
        <v>382.5</v>
      </c>
    </row>
    <row r="690" spans="1:5" ht="17.25" x14ac:dyDescent="0.45">
      <c r="A690" s="359">
        <v>45037</v>
      </c>
      <c r="B690" s="6" t="s">
        <v>1915</v>
      </c>
      <c r="C690" s="6" t="s">
        <v>1866</v>
      </c>
      <c r="D690" s="360"/>
      <c r="E690" s="360">
        <v>440</v>
      </c>
    </row>
    <row r="691" spans="1:5" ht="17.25" x14ac:dyDescent="0.45">
      <c r="A691" s="359">
        <v>45037</v>
      </c>
      <c r="B691" s="6" t="s">
        <v>1989</v>
      </c>
      <c r="C691" s="6" t="s">
        <v>1990</v>
      </c>
      <c r="D691" s="360"/>
      <c r="E691" s="360">
        <v>514.25</v>
      </c>
    </row>
    <row r="692" spans="1:5" ht="17.25" x14ac:dyDescent="0.45">
      <c r="A692" s="359">
        <v>45037</v>
      </c>
      <c r="B692" s="6" t="s">
        <v>1991</v>
      </c>
      <c r="C692" s="6" t="s">
        <v>1992</v>
      </c>
      <c r="D692" s="360"/>
      <c r="E692" s="360">
        <v>318.75</v>
      </c>
    </row>
    <row r="693" spans="1:5" ht="17.25" x14ac:dyDescent="0.45">
      <c r="A693" s="359">
        <v>45037</v>
      </c>
      <c r="B693" s="6" t="s">
        <v>1993</v>
      </c>
      <c r="C693" s="6" t="s">
        <v>486</v>
      </c>
      <c r="D693" s="360"/>
      <c r="E693" s="360">
        <v>646</v>
      </c>
    </row>
    <row r="694" spans="1:5" ht="17.25" x14ac:dyDescent="0.45">
      <c r="A694" s="359">
        <v>45037</v>
      </c>
      <c r="B694" s="6" t="s">
        <v>1994</v>
      </c>
      <c r="C694" s="6" t="s">
        <v>1836</v>
      </c>
      <c r="D694" s="360"/>
      <c r="E694" s="360">
        <v>1287.75</v>
      </c>
    </row>
    <row r="695" spans="1:5" ht="17.25" x14ac:dyDescent="0.45">
      <c r="A695" s="359">
        <v>45037</v>
      </c>
      <c r="B695" s="6" t="s">
        <v>1995</v>
      </c>
      <c r="C695" s="6" t="s">
        <v>831</v>
      </c>
      <c r="D695" s="360"/>
      <c r="E695" s="360">
        <v>488.75</v>
      </c>
    </row>
    <row r="696" spans="1:5" ht="17.25" x14ac:dyDescent="0.45">
      <c r="A696" s="359">
        <v>45037</v>
      </c>
      <c r="B696" s="6" t="s">
        <v>1994</v>
      </c>
      <c r="C696" s="6" t="s">
        <v>445</v>
      </c>
      <c r="D696" s="360"/>
      <c r="E696" s="360">
        <v>1126.25</v>
      </c>
    </row>
    <row r="697" spans="1:5" ht="17.25" x14ac:dyDescent="0.45">
      <c r="A697" s="359">
        <v>45037</v>
      </c>
      <c r="B697" s="6" t="s">
        <v>1478</v>
      </c>
      <c r="C697" s="6" t="s">
        <v>308</v>
      </c>
      <c r="D697" s="360"/>
      <c r="E697" s="360">
        <v>1355.75</v>
      </c>
    </row>
    <row r="698" spans="1:5" ht="17.25" x14ac:dyDescent="0.45">
      <c r="A698" s="359">
        <v>45037</v>
      </c>
      <c r="B698" s="6" t="s">
        <v>1996</v>
      </c>
      <c r="C698" s="6" t="s">
        <v>1332</v>
      </c>
      <c r="D698" s="360"/>
      <c r="E698" s="360">
        <v>522.75</v>
      </c>
    </row>
    <row r="699" spans="1:5" ht="17.25" x14ac:dyDescent="0.45">
      <c r="A699" s="359">
        <v>45037</v>
      </c>
      <c r="B699" s="6" t="s">
        <v>1997</v>
      </c>
      <c r="C699" s="6" t="s">
        <v>708</v>
      </c>
      <c r="D699" s="360"/>
      <c r="E699" s="360">
        <v>1236.75</v>
      </c>
    </row>
    <row r="700" spans="1:5" ht="17.25" x14ac:dyDescent="0.45">
      <c r="A700" s="359">
        <v>45037</v>
      </c>
      <c r="B700" s="6" t="s">
        <v>1821</v>
      </c>
      <c r="C700" s="6" t="s">
        <v>1343</v>
      </c>
      <c r="D700" s="360"/>
      <c r="E700" s="360">
        <v>599.25</v>
      </c>
    </row>
    <row r="701" spans="1:5" ht="17.25" x14ac:dyDescent="0.45">
      <c r="A701" s="359">
        <v>45037</v>
      </c>
      <c r="B701" s="6" t="s">
        <v>1998</v>
      </c>
      <c r="C701" s="6" t="s">
        <v>923</v>
      </c>
      <c r="D701" s="360"/>
      <c r="E701" s="360">
        <v>488.75</v>
      </c>
    </row>
    <row r="702" spans="1:5" ht="17.25" x14ac:dyDescent="0.45">
      <c r="A702" s="363">
        <v>45037</v>
      </c>
      <c r="B702" s="364" t="s">
        <v>1997</v>
      </c>
      <c r="C702" s="364" t="s">
        <v>1999</v>
      </c>
      <c r="D702" s="366"/>
      <c r="E702" s="366">
        <v>573.75</v>
      </c>
    </row>
    <row r="703" spans="1:5" ht="17.25" x14ac:dyDescent="0.45">
      <c r="A703" s="359">
        <v>45045</v>
      </c>
      <c r="B703" s="6" t="s">
        <v>1997</v>
      </c>
      <c r="C703" s="6" t="s">
        <v>950</v>
      </c>
      <c r="D703" s="360"/>
      <c r="E703" s="360">
        <v>2380</v>
      </c>
    </row>
    <row r="704" spans="1:5" ht="17.25" x14ac:dyDescent="0.45">
      <c r="A704" s="359">
        <v>45045</v>
      </c>
      <c r="B704" s="6" t="s">
        <v>2000</v>
      </c>
      <c r="C704" s="6" t="s">
        <v>1337</v>
      </c>
      <c r="D704" s="360"/>
      <c r="E704" s="360">
        <v>1700</v>
      </c>
    </row>
    <row r="705" spans="1:5" ht="17.25" x14ac:dyDescent="0.45">
      <c r="A705" s="359">
        <v>45049</v>
      </c>
      <c r="B705" s="6" t="s">
        <v>2001</v>
      </c>
      <c r="C705" s="6" t="s">
        <v>433</v>
      </c>
      <c r="D705" s="360"/>
      <c r="E705" s="360">
        <v>1360</v>
      </c>
    </row>
    <row r="706" spans="1:5" ht="17.25" x14ac:dyDescent="0.45">
      <c r="A706" s="359">
        <v>45049</v>
      </c>
      <c r="B706" s="6" t="s">
        <v>2002</v>
      </c>
      <c r="C706" s="6" t="s">
        <v>1340</v>
      </c>
      <c r="D706" s="360"/>
      <c r="E706" s="360">
        <v>595</v>
      </c>
    </row>
    <row r="707" spans="1:5" ht="17.25" x14ac:dyDescent="0.45">
      <c r="A707" s="359">
        <v>45049</v>
      </c>
      <c r="B707" s="6" t="s">
        <v>2003</v>
      </c>
      <c r="C707" s="6" t="s">
        <v>2004</v>
      </c>
      <c r="D707" s="360"/>
      <c r="E707" s="360">
        <v>185</v>
      </c>
    </row>
    <row r="708" spans="1:5" ht="17.25" x14ac:dyDescent="0.45">
      <c r="A708" s="359">
        <v>45049</v>
      </c>
      <c r="B708" s="6" t="s">
        <v>2005</v>
      </c>
      <c r="C708" s="6" t="s">
        <v>2006</v>
      </c>
      <c r="D708" s="360"/>
      <c r="E708" s="360">
        <v>205</v>
      </c>
    </row>
    <row r="709" spans="1:5" ht="17.25" x14ac:dyDescent="0.45">
      <c r="A709" s="359">
        <v>45049</v>
      </c>
      <c r="B709" s="6" t="s">
        <v>2007</v>
      </c>
      <c r="C709" s="6" t="s">
        <v>1304</v>
      </c>
      <c r="D709" s="360"/>
      <c r="E709" s="360">
        <v>471.75</v>
      </c>
    </row>
    <row r="710" spans="1:5" ht="17.25" x14ac:dyDescent="0.45">
      <c r="A710" s="359">
        <v>45049</v>
      </c>
      <c r="B710" s="6" t="s">
        <v>2003</v>
      </c>
      <c r="C710" s="6" t="s">
        <v>1588</v>
      </c>
      <c r="D710" s="360"/>
      <c r="E710" s="360">
        <v>240</v>
      </c>
    </row>
    <row r="711" spans="1:5" ht="17.25" x14ac:dyDescent="0.45">
      <c r="A711" s="359">
        <v>45049</v>
      </c>
      <c r="B711" s="6" t="s">
        <v>2008</v>
      </c>
      <c r="C711" s="6" t="s">
        <v>445</v>
      </c>
      <c r="D711" s="360"/>
      <c r="E711" s="360">
        <v>607.75</v>
      </c>
    </row>
    <row r="712" spans="1:5" ht="17.25" x14ac:dyDescent="0.45">
      <c r="A712" s="359">
        <v>45049</v>
      </c>
      <c r="B712" s="6" t="s">
        <v>2009</v>
      </c>
      <c r="C712" s="6" t="s">
        <v>1866</v>
      </c>
      <c r="D712" s="360"/>
      <c r="E712" s="360">
        <v>550</v>
      </c>
    </row>
    <row r="713" spans="1:5" ht="17.25" x14ac:dyDescent="0.45">
      <c r="A713" s="363">
        <v>45049</v>
      </c>
      <c r="B713" s="364" t="s">
        <v>2010</v>
      </c>
      <c r="C713" s="364" t="s">
        <v>1069</v>
      </c>
      <c r="D713" s="366"/>
      <c r="E713" s="366">
        <v>595</v>
      </c>
    </row>
    <row r="714" spans="1:5" ht="17.25" x14ac:dyDescent="0.45">
      <c r="A714" s="359">
        <v>45057</v>
      </c>
      <c r="B714" s="6" t="s">
        <v>2011</v>
      </c>
      <c r="C714" s="6" t="s">
        <v>242</v>
      </c>
      <c r="D714" s="360"/>
      <c r="E714" s="360">
        <v>2000</v>
      </c>
    </row>
    <row r="715" spans="1:5" ht="17.25" x14ac:dyDescent="0.45">
      <c r="A715" s="363">
        <v>45057</v>
      </c>
      <c r="B715" s="364" t="s">
        <v>2012</v>
      </c>
      <c r="C715" s="364" t="s">
        <v>2013</v>
      </c>
      <c r="D715" s="366"/>
      <c r="E715" s="366">
        <v>1955</v>
      </c>
    </row>
    <row r="716" spans="1:5" ht="17.25" x14ac:dyDescent="0.45">
      <c r="A716" s="359">
        <v>45063</v>
      </c>
      <c r="B716" s="6" t="s">
        <v>2014</v>
      </c>
      <c r="C716" s="6" t="s">
        <v>1481</v>
      </c>
      <c r="D716" s="360"/>
      <c r="E716" s="360">
        <v>3400</v>
      </c>
    </row>
    <row r="717" spans="1:5" ht="17.25" x14ac:dyDescent="0.45">
      <c r="A717" s="359">
        <v>45062</v>
      </c>
      <c r="B717" s="6" t="s">
        <v>2011</v>
      </c>
      <c r="C717" s="6" t="s">
        <v>242</v>
      </c>
      <c r="D717" s="360"/>
      <c r="E717" s="360">
        <v>2000</v>
      </c>
    </row>
    <row r="718" spans="1:5" ht="17.25" x14ac:dyDescent="0.45">
      <c r="A718" s="359">
        <v>45061</v>
      </c>
      <c r="B718" s="6" t="s">
        <v>2012</v>
      </c>
      <c r="C718" s="6" t="s">
        <v>2013</v>
      </c>
      <c r="D718" s="360"/>
      <c r="E718" s="360">
        <v>1955</v>
      </c>
    </row>
    <row r="719" spans="1:5" ht="17.25" x14ac:dyDescent="0.45">
      <c r="A719" s="359">
        <v>45061</v>
      </c>
      <c r="B719" s="6" t="s">
        <v>2014</v>
      </c>
      <c r="C719" s="6" t="s">
        <v>1481</v>
      </c>
      <c r="D719" s="360"/>
      <c r="E719" s="360">
        <v>3400</v>
      </c>
    </row>
    <row r="720" spans="1:5" ht="17.25" x14ac:dyDescent="0.45">
      <c r="A720" s="359">
        <v>45061</v>
      </c>
      <c r="B720" s="6" t="s">
        <v>1088</v>
      </c>
      <c r="C720" s="6" t="s">
        <v>320</v>
      </c>
      <c r="D720" s="360"/>
      <c r="E720" s="360">
        <v>0</v>
      </c>
    </row>
    <row r="721" spans="1:5" ht="17.25" x14ac:dyDescent="0.45">
      <c r="A721" s="359">
        <v>45061</v>
      </c>
      <c r="B721" s="6" t="s">
        <v>2015</v>
      </c>
      <c r="C721" s="6" t="s">
        <v>335</v>
      </c>
      <c r="D721" s="360"/>
      <c r="E721" s="360">
        <v>2000</v>
      </c>
    </row>
    <row r="722" spans="1:5" ht="17.25" x14ac:dyDescent="0.45">
      <c r="A722" s="359">
        <v>45061</v>
      </c>
      <c r="B722" s="6" t="s">
        <v>2016</v>
      </c>
      <c r="C722" s="6" t="s">
        <v>980</v>
      </c>
      <c r="D722" s="360"/>
      <c r="E722" s="360">
        <v>2960</v>
      </c>
    </row>
    <row r="723" spans="1:5" ht="17.25" x14ac:dyDescent="0.45">
      <c r="A723" s="359">
        <v>45061</v>
      </c>
      <c r="B723" s="6" t="s">
        <v>2016</v>
      </c>
      <c r="C723" s="6" t="s">
        <v>1359</v>
      </c>
      <c r="D723" s="360"/>
      <c r="E723" s="360">
        <v>1920</v>
      </c>
    </row>
    <row r="724" spans="1:5" ht="17.25" x14ac:dyDescent="0.45">
      <c r="A724" s="359">
        <v>45061</v>
      </c>
      <c r="B724" s="6" t="s">
        <v>2017</v>
      </c>
      <c r="C724" s="6" t="s">
        <v>1016</v>
      </c>
      <c r="D724" s="360"/>
      <c r="E724" s="360">
        <v>1785</v>
      </c>
    </row>
    <row r="725" spans="1:5" ht="17.25" x14ac:dyDescent="0.45">
      <c r="A725" s="359">
        <v>45061</v>
      </c>
      <c r="B725" s="6" t="s">
        <v>2018</v>
      </c>
      <c r="C725" s="6" t="s">
        <v>948</v>
      </c>
      <c r="D725" s="360"/>
      <c r="E725" s="360">
        <v>1870</v>
      </c>
    </row>
    <row r="726" spans="1:5" ht="17.25" x14ac:dyDescent="0.45">
      <c r="A726" s="363">
        <v>45061</v>
      </c>
      <c r="B726" s="364" t="s">
        <v>2019</v>
      </c>
      <c r="C726" s="364" t="s">
        <v>563</v>
      </c>
      <c r="D726" s="366"/>
      <c r="E726" s="366">
        <v>1870</v>
      </c>
    </row>
    <row r="727" spans="1:5" ht="17.25" x14ac:dyDescent="0.45">
      <c r="A727" s="359">
        <v>45069</v>
      </c>
      <c r="B727" s="6" t="s">
        <v>1020</v>
      </c>
      <c r="C727" s="6" t="s">
        <v>1021</v>
      </c>
      <c r="D727" s="360"/>
      <c r="E727" s="360">
        <v>3825</v>
      </c>
    </row>
    <row r="728" spans="1:5" ht="17.25" x14ac:dyDescent="0.45">
      <c r="A728" s="359">
        <v>45069</v>
      </c>
      <c r="B728" s="6" t="s">
        <v>2020</v>
      </c>
      <c r="C728" s="6" t="s">
        <v>1807</v>
      </c>
      <c r="D728" s="360"/>
      <c r="E728" s="360">
        <v>2125</v>
      </c>
    </row>
    <row r="729" spans="1:5" ht="17.25" x14ac:dyDescent="0.45">
      <c r="A729" s="359">
        <v>45069</v>
      </c>
      <c r="B729" s="6" t="s">
        <v>2021</v>
      </c>
      <c r="C729" s="6" t="s">
        <v>545</v>
      </c>
      <c r="D729" s="360"/>
      <c r="E729" s="360">
        <v>1700</v>
      </c>
    </row>
    <row r="730" spans="1:5" ht="17.25" x14ac:dyDescent="0.45">
      <c r="A730" s="359">
        <v>45069</v>
      </c>
      <c r="B730" s="6" t="s">
        <v>2022</v>
      </c>
      <c r="C730" s="6" t="s">
        <v>1807</v>
      </c>
      <c r="D730" s="360"/>
      <c r="E730" s="360">
        <v>2900</v>
      </c>
    </row>
    <row r="731" spans="1:5" ht="17.25" x14ac:dyDescent="0.45">
      <c r="A731" s="359">
        <v>45069</v>
      </c>
      <c r="B731" s="6" t="s">
        <v>2023</v>
      </c>
      <c r="C731" s="6" t="s">
        <v>1034</v>
      </c>
      <c r="D731" s="360"/>
      <c r="E731" s="360">
        <v>369.75</v>
      </c>
    </row>
    <row r="732" spans="1:5" ht="17.25" x14ac:dyDescent="0.45">
      <c r="A732" s="359">
        <v>45069</v>
      </c>
      <c r="B732" s="6" t="s">
        <v>2023</v>
      </c>
      <c r="C732" s="6" t="s">
        <v>1388</v>
      </c>
      <c r="D732" s="360"/>
      <c r="E732" s="360">
        <v>157.25</v>
      </c>
    </row>
    <row r="733" spans="1:5" ht="17.25" x14ac:dyDescent="0.45">
      <c r="A733" s="359">
        <v>45069</v>
      </c>
      <c r="B733" s="6" t="s">
        <v>2024</v>
      </c>
      <c r="C733" s="6" t="s">
        <v>308</v>
      </c>
      <c r="D733" s="360"/>
      <c r="E733" s="360">
        <v>236</v>
      </c>
    </row>
    <row r="734" spans="1:5" ht="17.25" x14ac:dyDescent="0.45">
      <c r="A734" s="359">
        <v>45069</v>
      </c>
      <c r="B734" s="6" t="s">
        <v>2024</v>
      </c>
      <c r="C734" s="6" t="s">
        <v>958</v>
      </c>
      <c r="D734" s="360"/>
      <c r="E734" s="360">
        <v>248</v>
      </c>
    </row>
    <row r="735" spans="1:5" ht="17.25" x14ac:dyDescent="0.45">
      <c r="A735" s="359">
        <v>45069</v>
      </c>
      <c r="B735" s="6" t="s">
        <v>2025</v>
      </c>
      <c r="C735" s="6" t="s">
        <v>2026</v>
      </c>
      <c r="D735" s="360"/>
      <c r="E735" s="360">
        <v>174.25</v>
      </c>
    </row>
    <row r="736" spans="1:5" ht="17.25" x14ac:dyDescent="0.45">
      <c r="A736" s="359">
        <v>45069</v>
      </c>
      <c r="B736" s="6" t="s">
        <v>2025</v>
      </c>
      <c r="C736" s="6" t="s">
        <v>1367</v>
      </c>
      <c r="D736" s="360"/>
      <c r="E736" s="360">
        <v>174.25</v>
      </c>
    </row>
    <row r="737" spans="1:5" ht="17.25" x14ac:dyDescent="0.45">
      <c r="A737" s="359">
        <v>45069</v>
      </c>
      <c r="B737" s="6" t="s">
        <v>2027</v>
      </c>
      <c r="C737" s="6" t="s">
        <v>52</v>
      </c>
      <c r="D737" s="360"/>
      <c r="E737" s="360">
        <v>548.25</v>
      </c>
    </row>
    <row r="738" spans="1:5" ht="17.25" x14ac:dyDescent="0.45">
      <c r="A738" s="359">
        <v>45069</v>
      </c>
      <c r="B738" s="6" t="s">
        <v>2028</v>
      </c>
      <c r="C738" s="6" t="s">
        <v>432</v>
      </c>
      <c r="D738" s="360"/>
      <c r="E738" s="360">
        <v>752.25</v>
      </c>
    </row>
    <row r="739" spans="1:5" ht="17.25" x14ac:dyDescent="0.45">
      <c r="A739" s="359">
        <v>45069</v>
      </c>
      <c r="B739" s="6" t="s">
        <v>2029</v>
      </c>
      <c r="C739" s="6" t="s">
        <v>1034</v>
      </c>
      <c r="D739" s="360"/>
      <c r="E739" s="360">
        <v>565.25</v>
      </c>
    </row>
    <row r="740" spans="1:5" ht="17.25" x14ac:dyDescent="0.45">
      <c r="A740" s="359">
        <v>45069</v>
      </c>
      <c r="B740" s="6" t="s">
        <v>2028</v>
      </c>
      <c r="C740" s="6" t="s">
        <v>609</v>
      </c>
      <c r="D740" s="360"/>
      <c r="E740" s="360">
        <v>743.75</v>
      </c>
    </row>
    <row r="741" spans="1:5" ht="17.25" x14ac:dyDescent="0.45">
      <c r="A741" s="359">
        <v>45069</v>
      </c>
      <c r="B741" s="6" t="s">
        <v>2030</v>
      </c>
      <c r="C741" s="6" t="s">
        <v>1458</v>
      </c>
      <c r="D741" s="360"/>
      <c r="E741" s="360">
        <v>514.25</v>
      </c>
    </row>
    <row r="742" spans="1:5" ht="17.25" x14ac:dyDescent="0.45">
      <c r="A742" s="359">
        <v>45069</v>
      </c>
      <c r="B742" s="6" t="s">
        <v>2031</v>
      </c>
      <c r="C742" s="6" t="s">
        <v>708</v>
      </c>
      <c r="D742" s="360"/>
      <c r="E742" s="360">
        <v>1177.25</v>
      </c>
    </row>
    <row r="743" spans="1:5" ht="17.25" x14ac:dyDescent="0.45">
      <c r="A743" s="359">
        <v>45069</v>
      </c>
      <c r="B743" s="6" t="s">
        <v>2031</v>
      </c>
      <c r="C743" s="6" t="s">
        <v>2032</v>
      </c>
      <c r="D743" s="360"/>
      <c r="E743" s="360">
        <v>739.5</v>
      </c>
    </row>
    <row r="744" spans="1:5" ht="17.25" x14ac:dyDescent="0.45">
      <c r="A744" s="359">
        <v>45069</v>
      </c>
      <c r="B744" s="6" t="s">
        <v>2018</v>
      </c>
      <c r="C744" s="6" t="s">
        <v>1791</v>
      </c>
      <c r="D744" s="360"/>
      <c r="E744" s="360">
        <v>624.75</v>
      </c>
    </row>
    <row r="745" spans="1:5" ht="17.25" x14ac:dyDescent="0.45">
      <c r="A745" s="359">
        <v>45069</v>
      </c>
      <c r="B745" s="6" t="s">
        <v>2033</v>
      </c>
      <c r="C745" s="6" t="s">
        <v>1189</v>
      </c>
      <c r="D745" s="360"/>
      <c r="E745" s="360">
        <v>561</v>
      </c>
    </row>
    <row r="746" spans="1:5" ht="17.25" x14ac:dyDescent="0.45">
      <c r="A746" s="359">
        <v>45069</v>
      </c>
      <c r="B746" s="6" t="s">
        <v>2034</v>
      </c>
      <c r="C746" s="6" t="s">
        <v>2035</v>
      </c>
      <c r="D746" s="360"/>
      <c r="E746" s="360">
        <v>378.25</v>
      </c>
    </row>
    <row r="747" spans="1:5" ht="17.25" x14ac:dyDescent="0.45">
      <c r="A747" s="359">
        <v>45070</v>
      </c>
      <c r="B747" s="6" t="s">
        <v>2021</v>
      </c>
      <c r="C747" s="6" t="s">
        <v>947</v>
      </c>
      <c r="D747" s="360"/>
      <c r="E747" s="360">
        <v>2125</v>
      </c>
    </row>
    <row r="748" spans="1:5" ht="17.25" x14ac:dyDescent="0.45">
      <c r="A748" s="359">
        <v>45070</v>
      </c>
      <c r="B748" s="6" t="s">
        <v>1590</v>
      </c>
      <c r="C748" s="6" t="s">
        <v>2036</v>
      </c>
      <c r="D748" s="360"/>
      <c r="E748" s="360">
        <v>0</v>
      </c>
    </row>
    <row r="749" spans="1:5" ht="17.25" x14ac:dyDescent="0.45">
      <c r="A749" s="359">
        <v>45070</v>
      </c>
      <c r="B749" s="6" t="s">
        <v>1590</v>
      </c>
      <c r="C749" s="6" t="s">
        <v>2036</v>
      </c>
      <c r="D749" s="360"/>
      <c r="E749" s="360">
        <v>0</v>
      </c>
    </row>
    <row r="750" spans="1:5" ht="17.25" x14ac:dyDescent="0.45">
      <c r="A750" s="359">
        <v>45070</v>
      </c>
      <c r="B750" s="6" t="s">
        <v>1590</v>
      </c>
      <c r="C750" s="6" t="s">
        <v>2036</v>
      </c>
      <c r="D750" s="360"/>
      <c r="E750" s="360">
        <v>0</v>
      </c>
    </row>
    <row r="751" spans="1:5" ht="17.25" x14ac:dyDescent="0.45">
      <c r="A751" s="359">
        <v>45070</v>
      </c>
      <c r="B751" s="6" t="s">
        <v>1590</v>
      </c>
      <c r="C751" s="6" t="s">
        <v>2036</v>
      </c>
      <c r="D751" s="360"/>
      <c r="E751" s="360">
        <v>0</v>
      </c>
    </row>
    <row r="752" spans="1:5" ht="17.25" x14ac:dyDescent="0.45">
      <c r="A752" s="359">
        <v>45070</v>
      </c>
      <c r="B752" s="6" t="s">
        <v>1590</v>
      </c>
      <c r="C752" s="6" t="s">
        <v>2036</v>
      </c>
      <c r="D752" s="360"/>
      <c r="E752" s="360">
        <v>0</v>
      </c>
    </row>
    <row r="753" spans="1:5" ht="17.25" x14ac:dyDescent="0.45">
      <c r="A753" s="359">
        <v>45070</v>
      </c>
      <c r="B753" s="6" t="s">
        <v>1590</v>
      </c>
      <c r="C753" s="6" t="s">
        <v>2036</v>
      </c>
      <c r="D753" s="360"/>
      <c r="E753" s="360">
        <v>0</v>
      </c>
    </row>
    <row r="754" spans="1:5" ht="17.25" x14ac:dyDescent="0.45">
      <c r="A754" s="359">
        <v>45070</v>
      </c>
      <c r="B754" s="6" t="s">
        <v>1590</v>
      </c>
      <c r="C754" s="6" t="s">
        <v>2036</v>
      </c>
      <c r="D754" s="360"/>
      <c r="E754" s="360">
        <v>0</v>
      </c>
    </row>
    <row r="755" spans="1:5" ht="17.25" x14ac:dyDescent="0.45">
      <c r="A755" s="359">
        <v>45070</v>
      </c>
      <c r="B755" s="6" t="s">
        <v>1590</v>
      </c>
      <c r="C755" s="6" t="s">
        <v>2036</v>
      </c>
      <c r="D755" s="360"/>
      <c r="E755" s="360">
        <v>0</v>
      </c>
    </row>
    <row r="756" spans="1:5" ht="17.25" x14ac:dyDescent="0.45">
      <c r="A756" s="359">
        <v>45070</v>
      </c>
      <c r="B756" s="6" t="s">
        <v>1590</v>
      </c>
      <c r="C756" s="6" t="s">
        <v>2036</v>
      </c>
      <c r="D756" s="360"/>
      <c r="E756" s="360">
        <v>0</v>
      </c>
    </row>
    <row r="757" spans="1:5" ht="17.25" x14ac:dyDescent="0.45">
      <c r="A757" s="359">
        <v>45070</v>
      </c>
      <c r="B757" s="6" t="s">
        <v>2037</v>
      </c>
      <c r="C757" s="6" t="s">
        <v>831</v>
      </c>
      <c r="D757" s="360"/>
      <c r="E757" s="360">
        <v>2805</v>
      </c>
    </row>
    <row r="758" spans="1:5" ht="17.25" x14ac:dyDescent="0.45">
      <c r="A758" s="359">
        <v>45073</v>
      </c>
      <c r="B758" s="6" t="s">
        <v>2038</v>
      </c>
      <c r="C758" s="6" t="s">
        <v>1776</v>
      </c>
      <c r="D758" s="360"/>
      <c r="E758" s="360">
        <v>3120</v>
      </c>
    </row>
    <row r="759" spans="1:5" ht="17.25" x14ac:dyDescent="0.45">
      <c r="A759" s="359">
        <v>45073</v>
      </c>
      <c r="B759" s="6" t="s">
        <v>1590</v>
      </c>
      <c r="C759" s="6" t="s">
        <v>1350</v>
      </c>
      <c r="D759" s="360"/>
      <c r="E759" s="360">
        <v>0</v>
      </c>
    </row>
    <row r="760" spans="1:5" ht="17.25" x14ac:dyDescent="0.45">
      <c r="A760" s="359">
        <v>45073</v>
      </c>
      <c r="B760" s="6" t="s">
        <v>1590</v>
      </c>
      <c r="C760" s="6" t="s">
        <v>2036</v>
      </c>
      <c r="D760" s="360"/>
      <c r="E760" s="360">
        <v>0</v>
      </c>
    </row>
    <row r="761" spans="1:5" ht="17.25" x14ac:dyDescent="0.45">
      <c r="A761" s="359">
        <v>45073</v>
      </c>
      <c r="B761" s="6" t="s">
        <v>1590</v>
      </c>
      <c r="C761" s="6" t="s">
        <v>2036</v>
      </c>
      <c r="D761" s="360"/>
      <c r="E761" s="360">
        <v>0</v>
      </c>
    </row>
    <row r="762" spans="1:5" ht="17.25" x14ac:dyDescent="0.45">
      <c r="A762" s="359">
        <v>45073</v>
      </c>
      <c r="B762" s="6" t="s">
        <v>1590</v>
      </c>
      <c r="C762" s="6" t="s">
        <v>2036</v>
      </c>
      <c r="D762" s="360"/>
      <c r="E762" s="360">
        <v>0</v>
      </c>
    </row>
    <row r="763" spans="1:5" ht="17.25" x14ac:dyDescent="0.45">
      <c r="A763" s="359">
        <v>45073</v>
      </c>
      <c r="B763" s="6" t="s">
        <v>1590</v>
      </c>
      <c r="C763" s="6" t="s">
        <v>2036</v>
      </c>
      <c r="D763" s="360"/>
      <c r="E763" s="360">
        <v>0</v>
      </c>
    </row>
    <row r="764" spans="1:5" ht="17.25" x14ac:dyDescent="0.45">
      <c r="A764" s="359">
        <v>45073</v>
      </c>
      <c r="B764" s="6" t="s">
        <v>1590</v>
      </c>
      <c r="C764" s="6" t="s">
        <v>2036</v>
      </c>
      <c r="D764" s="360"/>
      <c r="E764" s="360">
        <v>0</v>
      </c>
    </row>
    <row r="765" spans="1:5" ht="17.25" x14ac:dyDescent="0.45">
      <c r="A765" s="363">
        <v>45073</v>
      </c>
      <c r="B765" s="364" t="s">
        <v>1590</v>
      </c>
      <c r="C765" s="364" t="s">
        <v>2036</v>
      </c>
      <c r="D765" s="366"/>
      <c r="E765" s="366">
        <v>0</v>
      </c>
    </row>
    <row r="766" spans="1:5" ht="17.25" x14ac:dyDescent="0.45">
      <c r="A766" s="359">
        <v>45076</v>
      </c>
      <c r="B766" s="6" t="s">
        <v>2039</v>
      </c>
      <c r="C766" s="6" t="s">
        <v>98</v>
      </c>
      <c r="D766" s="360"/>
      <c r="E766" s="360">
        <v>624.75</v>
      </c>
    </row>
    <row r="767" spans="1:5" ht="17.25" x14ac:dyDescent="0.45">
      <c r="A767" s="359">
        <v>45076</v>
      </c>
      <c r="B767" s="6" t="s">
        <v>2040</v>
      </c>
      <c r="C767" s="6" t="s">
        <v>1057</v>
      </c>
      <c r="D767" s="360"/>
      <c r="E767" s="360">
        <v>560</v>
      </c>
    </row>
    <row r="768" spans="1:5" ht="17.25" x14ac:dyDescent="0.45">
      <c r="A768" s="359">
        <v>45076</v>
      </c>
      <c r="B768" s="6" t="s">
        <v>2040</v>
      </c>
      <c r="C768" s="6" t="s">
        <v>1176</v>
      </c>
      <c r="D768" s="360"/>
      <c r="E768" s="360">
        <v>605</v>
      </c>
    </row>
    <row r="769" spans="1:5" ht="17.25" x14ac:dyDescent="0.45">
      <c r="A769" s="359">
        <v>45076</v>
      </c>
      <c r="B769" s="6" t="s">
        <v>2041</v>
      </c>
      <c r="C769" s="6" t="s">
        <v>2042</v>
      </c>
      <c r="D769" s="360"/>
      <c r="E769" s="360">
        <v>650.25</v>
      </c>
    </row>
    <row r="770" spans="1:5" ht="17.25" x14ac:dyDescent="0.45">
      <c r="A770" s="359">
        <v>45076</v>
      </c>
      <c r="B770" s="6" t="s">
        <v>2043</v>
      </c>
      <c r="C770" s="6" t="s">
        <v>1359</v>
      </c>
      <c r="D770" s="360"/>
      <c r="E770" s="360">
        <v>501.5</v>
      </c>
    </row>
    <row r="771" spans="1:5" ht="17.25" x14ac:dyDescent="0.45">
      <c r="A771" s="359">
        <v>45076</v>
      </c>
      <c r="B771" s="6" t="s">
        <v>2044</v>
      </c>
      <c r="C771" s="6" t="s">
        <v>447</v>
      </c>
      <c r="D771" s="360"/>
      <c r="E771" s="360">
        <v>1304.75</v>
      </c>
    </row>
    <row r="772" spans="1:5" ht="17.25" x14ac:dyDescent="0.45">
      <c r="A772" s="359">
        <v>45076</v>
      </c>
      <c r="B772" s="6" t="s">
        <v>2045</v>
      </c>
      <c r="C772" s="6" t="s">
        <v>1021</v>
      </c>
      <c r="D772" s="360"/>
      <c r="E772" s="360">
        <v>250.75</v>
      </c>
    </row>
    <row r="773" spans="1:5" ht="17.25" x14ac:dyDescent="0.45">
      <c r="A773" s="359">
        <v>45076</v>
      </c>
      <c r="B773" s="6" t="s">
        <v>2046</v>
      </c>
      <c r="C773" s="6" t="s">
        <v>400</v>
      </c>
      <c r="D773" s="360"/>
      <c r="E773" s="360">
        <v>308</v>
      </c>
    </row>
    <row r="774" spans="1:5" ht="17.25" x14ac:dyDescent="0.45">
      <c r="A774" s="359">
        <v>45076</v>
      </c>
      <c r="B774" s="6" t="s">
        <v>2047</v>
      </c>
      <c r="C774" s="6" t="s">
        <v>1041</v>
      </c>
      <c r="D774" s="360"/>
      <c r="E774" s="360">
        <v>1200</v>
      </c>
    </row>
    <row r="775" spans="1:5" ht="17.25" x14ac:dyDescent="0.45">
      <c r="A775" s="359">
        <v>45076</v>
      </c>
      <c r="B775" s="6" t="s">
        <v>999</v>
      </c>
      <c r="C775" s="6" t="s">
        <v>2048</v>
      </c>
      <c r="D775" s="360"/>
      <c r="E775" s="360">
        <v>238</v>
      </c>
    </row>
    <row r="776" spans="1:5" ht="17.25" x14ac:dyDescent="0.45">
      <c r="A776" s="359">
        <v>45076</v>
      </c>
      <c r="B776" s="6" t="s">
        <v>1907</v>
      </c>
      <c r="C776" s="6" t="s">
        <v>400</v>
      </c>
      <c r="D776" s="360"/>
      <c r="E776" s="360">
        <v>1100</v>
      </c>
    </row>
    <row r="777" spans="1:5" ht="17.25" x14ac:dyDescent="0.45">
      <c r="A777" s="359">
        <v>45076</v>
      </c>
      <c r="B777" s="6" t="s">
        <v>2049</v>
      </c>
      <c r="C777" s="6" t="s">
        <v>864</v>
      </c>
      <c r="D777" s="360"/>
      <c r="E777" s="360">
        <v>565.25</v>
      </c>
    </row>
    <row r="778" spans="1:5" ht="17.25" x14ac:dyDescent="0.45">
      <c r="A778" s="359">
        <v>45076</v>
      </c>
      <c r="B778" s="6" t="s">
        <v>2050</v>
      </c>
      <c r="C778" s="6" t="s">
        <v>566</v>
      </c>
      <c r="D778" s="360"/>
      <c r="E778" s="360">
        <v>340</v>
      </c>
    </row>
    <row r="779" spans="1:5" ht="17.25" x14ac:dyDescent="0.45">
      <c r="A779" s="359">
        <v>45076</v>
      </c>
      <c r="B779" s="6" t="s">
        <v>2044</v>
      </c>
      <c r="C779" s="6" t="s">
        <v>929</v>
      </c>
      <c r="D779" s="360"/>
      <c r="E779" s="360">
        <v>909.5</v>
      </c>
    </row>
    <row r="780" spans="1:5" ht="17.25" x14ac:dyDescent="0.45">
      <c r="A780" s="359">
        <v>45076</v>
      </c>
      <c r="B780" s="6" t="s">
        <v>2051</v>
      </c>
      <c r="C780" s="6" t="s">
        <v>1231</v>
      </c>
      <c r="D780" s="360"/>
      <c r="E780" s="360">
        <v>429.25</v>
      </c>
    </row>
    <row r="781" spans="1:5" ht="17.25" x14ac:dyDescent="0.45">
      <c r="A781" s="359">
        <v>45077</v>
      </c>
      <c r="B781" s="6" t="s">
        <v>1590</v>
      </c>
      <c r="C781" s="6" t="s">
        <v>2052</v>
      </c>
      <c r="D781" s="360"/>
      <c r="E781" s="360">
        <v>0</v>
      </c>
    </row>
    <row r="782" spans="1:5" ht="17.25" x14ac:dyDescent="0.45">
      <c r="A782" s="359">
        <v>45077</v>
      </c>
      <c r="B782" s="6" t="s">
        <v>1590</v>
      </c>
      <c r="C782" s="6" t="s">
        <v>2053</v>
      </c>
      <c r="D782" s="360"/>
      <c r="E782" s="360">
        <v>0</v>
      </c>
    </row>
    <row r="783" spans="1:5" ht="17.25" x14ac:dyDescent="0.45">
      <c r="A783" s="359">
        <v>45077</v>
      </c>
      <c r="B783" s="6" t="s">
        <v>1590</v>
      </c>
      <c r="C783" s="6" t="s">
        <v>2054</v>
      </c>
      <c r="D783" s="360"/>
      <c r="E783" s="360">
        <v>0</v>
      </c>
    </row>
    <row r="784" spans="1:5" ht="17.25" x14ac:dyDescent="0.45">
      <c r="A784" s="359">
        <v>45077</v>
      </c>
      <c r="B784" s="6" t="s">
        <v>1590</v>
      </c>
      <c r="C784" s="6" t="s">
        <v>2055</v>
      </c>
      <c r="D784" s="360"/>
      <c r="E784" s="360">
        <v>0</v>
      </c>
    </row>
    <row r="785" spans="1:5" ht="17.25" x14ac:dyDescent="0.45">
      <c r="A785" s="359">
        <v>45077</v>
      </c>
      <c r="B785" s="6" t="s">
        <v>1590</v>
      </c>
      <c r="C785" s="6" t="s">
        <v>2056</v>
      </c>
      <c r="D785" s="360"/>
      <c r="E785" s="360">
        <v>0</v>
      </c>
    </row>
    <row r="786" spans="1:5" ht="17.25" x14ac:dyDescent="0.45">
      <c r="A786" s="359">
        <v>45077</v>
      </c>
      <c r="B786" s="6" t="s">
        <v>1590</v>
      </c>
      <c r="C786" s="6" t="s">
        <v>2057</v>
      </c>
      <c r="D786" s="360"/>
      <c r="E786" s="360">
        <v>0</v>
      </c>
    </row>
    <row r="787" spans="1:5" ht="17.25" x14ac:dyDescent="0.45">
      <c r="A787" s="359">
        <v>45077</v>
      </c>
      <c r="B787" s="6" t="s">
        <v>1590</v>
      </c>
      <c r="C787" s="6" t="s">
        <v>2058</v>
      </c>
      <c r="D787" s="360"/>
      <c r="E787" s="360">
        <v>0</v>
      </c>
    </row>
    <row r="788" spans="1:5" ht="17.25" x14ac:dyDescent="0.45">
      <c r="A788" s="359">
        <v>45077</v>
      </c>
      <c r="B788" s="6" t="s">
        <v>1590</v>
      </c>
      <c r="C788" s="6" t="s">
        <v>2059</v>
      </c>
      <c r="D788" s="360"/>
      <c r="E788" s="360">
        <v>0</v>
      </c>
    </row>
    <row r="789" spans="1:5" ht="17.25" x14ac:dyDescent="0.45">
      <c r="A789" s="359">
        <v>45077</v>
      </c>
      <c r="B789" s="6" t="s">
        <v>1590</v>
      </c>
      <c r="C789" s="6" t="s">
        <v>2060</v>
      </c>
      <c r="D789" s="360"/>
      <c r="E789" s="360">
        <v>0</v>
      </c>
    </row>
    <row r="790" spans="1:5" ht="17.25" x14ac:dyDescent="0.45">
      <c r="A790" s="359">
        <v>45077</v>
      </c>
      <c r="B790" s="6" t="s">
        <v>1590</v>
      </c>
      <c r="C790" s="6" t="s">
        <v>2061</v>
      </c>
      <c r="D790" s="360"/>
      <c r="E790" s="360">
        <v>0</v>
      </c>
    </row>
    <row r="791" spans="1:5" ht="17.25" x14ac:dyDescent="0.45">
      <c r="A791" s="359">
        <v>45077</v>
      </c>
      <c r="B791" s="6" t="s">
        <v>1590</v>
      </c>
      <c r="C791" s="6" t="s">
        <v>2062</v>
      </c>
      <c r="D791" s="360"/>
      <c r="E791" s="360">
        <v>0</v>
      </c>
    </row>
    <row r="792" spans="1:5" ht="17.25" x14ac:dyDescent="0.45">
      <c r="A792" s="359">
        <v>45077</v>
      </c>
      <c r="B792" s="6" t="s">
        <v>1590</v>
      </c>
      <c r="C792" s="6" t="s">
        <v>2063</v>
      </c>
      <c r="D792" s="360"/>
      <c r="E792" s="360">
        <v>0</v>
      </c>
    </row>
    <row r="793" spans="1:5" ht="17.25" x14ac:dyDescent="0.45">
      <c r="A793" s="359">
        <v>45077</v>
      </c>
      <c r="B793" s="6" t="s">
        <v>1590</v>
      </c>
      <c r="C793" s="6" t="s">
        <v>2064</v>
      </c>
      <c r="D793" s="360"/>
      <c r="E793" s="360">
        <v>0</v>
      </c>
    </row>
    <row r="794" spans="1:5" ht="17.25" x14ac:dyDescent="0.45">
      <c r="A794" s="359">
        <v>45077</v>
      </c>
      <c r="B794" s="6" t="s">
        <v>1590</v>
      </c>
      <c r="C794" s="6" t="s">
        <v>2065</v>
      </c>
      <c r="D794" s="360"/>
      <c r="E794" s="360">
        <v>0</v>
      </c>
    </row>
    <row r="795" spans="1:5" ht="17.25" x14ac:dyDescent="0.45">
      <c r="A795" s="359">
        <v>45077</v>
      </c>
      <c r="B795" s="6" t="s">
        <v>1590</v>
      </c>
      <c r="C795" s="6" t="s">
        <v>2066</v>
      </c>
      <c r="D795" s="360"/>
      <c r="E795" s="360">
        <v>0</v>
      </c>
    </row>
    <row r="796" spans="1:5" ht="17.25" x14ac:dyDescent="0.45">
      <c r="A796" s="359">
        <v>45077</v>
      </c>
      <c r="B796" s="6" t="s">
        <v>1590</v>
      </c>
      <c r="C796" s="6" t="s">
        <v>2067</v>
      </c>
      <c r="D796" s="360"/>
      <c r="E796" s="360">
        <v>0</v>
      </c>
    </row>
    <row r="797" spans="1:5" ht="17.25" x14ac:dyDescent="0.45">
      <c r="A797" s="359">
        <v>45077</v>
      </c>
      <c r="B797" s="6" t="s">
        <v>1590</v>
      </c>
      <c r="C797" s="6" t="s">
        <v>2068</v>
      </c>
      <c r="D797" s="360"/>
      <c r="E797" s="360">
        <v>0</v>
      </c>
    </row>
    <row r="798" spans="1:5" ht="17.25" x14ac:dyDescent="0.45">
      <c r="A798" s="359">
        <v>45077</v>
      </c>
      <c r="B798" s="6" t="s">
        <v>2069</v>
      </c>
      <c r="C798" s="6" t="s">
        <v>2070</v>
      </c>
      <c r="D798" s="360"/>
      <c r="E798" s="360">
        <v>0</v>
      </c>
    </row>
    <row r="799" spans="1:5" ht="17.25" x14ac:dyDescent="0.45">
      <c r="A799" s="363">
        <v>45077</v>
      </c>
      <c r="B799" s="364" t="s">
        <v>2071</v>
      </c>
      <c r="C799" s="364" t="s">
        <v>2072</v>
      </c>
      <c r="D799" s="366"/>
      <c r="E799" s="366">
        <v>2805</v>
      </c>
    </row>
    <row r="800" spans="1:5" ht="17.25" x14ac:dyDescent="0.45">
      <c r="A800" s="359">
        <v>45083</v>
      </c>
      <c r="B800" s="6" t="s">
        <v>2073</v>
      </c>
      <c r="C800" s="6" t="s">
        <v>420</v>
      </c>
      <c r="D800" s="360"/>
      <c r="E800" s="360">
        <v>1560</v>
      </c>
    </row>
    <row r="801" spans="1:5" ht="17.25" x14ac:dyDescent="0.45">
      <c r="A801" s="359">
        <v>45083</v>
      </c>
      <c r="B801" s="6" t="s">
        <v>2074</v>
      </c>
      <c r="C801" s="6" t="s">
        <v>438</v>
      </c>
      <c r="D801" s="360"/>
      <c r="E801" s="360">
        <v>840</v>
      </c>
    </row>
    <row r="802" spans="1:5" ht="17.25" x14ac:dyDescent="0.45">
      <c r="A802" s="359">
        <v>45083</v>
      </c>
      <c r="B802" s="6" t="s">
        <v>1374</v>
      </c>
      <c r="C802" s="6" t="s">
        <v>444</v>
      </c>
      <c r="D802" s="360"/>
      <c r="E802" s="360">
        <v>352.75</v>
      </c>
    </row>
    <row r="803" spans="1:5" ht="17.25" x14ac:dyDescent="0.45">
      <c r="A803" s="359">
        <v>45083</v>
      </c>
      <c r="B803" s="6" t="s">
        <v>2075</v>
      </c>
      <c r="C803" s="6" t="s">
        <v>2076</v>
      </c>
      <c r="D803" s="360"/>
      <c r="E803" s="360">
        <v>385</v>
      </c>
    </row>
    <row r="804" spans="1:5" ht="17.25" x14ac:dyDescent="0.45">
      <c r="A804" s="359">
        <v>45085</v>
      </c>
      <c r="B804" s="6" t="s">
        <v>2077</v>
      </c>
      <c r="C804" s="6" t="s">
        <v>1342</v>
      </c>
      <c r="D804" s="360"/>
      <c r="E804" s="360">
        <v>1040</v>
      </c>
    </row>
    <row r="805" spans="1:5" ht="17.25" x14ac:dyDescent="0.45">
      <c r="A805" s="359">
        <v>45085</v>
      </c>
      <c r="B805" s="6" t="s">
        <v>1958</v>
      </c>
      <c r="C805" s="6" t="s">
        <v>801</v>
      </c>
      <c r="D805" s="360"/>
      <c r="E805" s="360">
        <v>670</v>
      </c>
    </row>
    <row r="806" spans="1:5" ht="17.25" x14ac:dyDescent="0.45">
      <c r="A806" s="359">
        <v>45085</v>
      </c>
      <c r="B806" s="6" t="s">
        <v>2078</v>
      </c>
      <c r="C806" s="6" t="s">
        <v>934</v>
      </c>
      <c r="D806" s="360"/>
      <c r="E806" s="360">
        <v>375</v>
      </c>
    </row>
    <row r="807" spans="1:5" ht="17.25" x14ac:dyDescent="0.45">
      <c r="A807" s="359">
        <v>45085</v>
      </c>
      <c r="B807" s="6" t="s">
        <v>2078</v>
      </c>
      <c r="C807" s="6" t="s">
        <v>1287</v>
      </c>
      <c r="D807" s="360"/>
      <c r="E807" s="360">
        <v>380</v>
      </c>
    </row>
    <row r="808" spans="1:5" ht="17.25" x14ac:dyDescent="0.45">
      <c r="A808" s="359">
        <v>45085</v>
      </c>
      <c r="B808" s="6" t="s">
        <v>2078</v>
      </c>
      <c r="C808" s="6" t="s">
        <v>240</v>
      </c>
      <c r="D808" s="360"/>
      <c r="E808" s="360">
        <v>395</v>
      </c>
    </row>
    <row r="809" spans="1:5" ht="17.25" x14ac:dyDescent="0.45">
      <c r="A809" s="359">
        <v>45085</v>
      </c>
      <c r="B809" s="6" t="s">
        <v>2078</v>
      </c>
      <c r="C809" s="6" t="s">
        <v>98</v>
      </c>
      <c r="D809" s="360"/>
      <c r="E809" s="360">
        <v>395</v>
      </c>
    </row>
    <row r="810" spans="1:5" ht="17.25" x14ac:dyDescent="0.45">
      <c r="A810" s="359">
        <v>45085</v>
      </c>
      <c r="B810" s="6" t="s">
        <v>2078</v>
      </c>
      <c r="C810" s="6" t="s">
        <v>473</v>
      </c>
      <c r="D810" s="360"/>
      <c r="E810" s="360">
        <v>380</v>
      </c>
    </row>
    <row r="811" spans="1:5" ht="17.25" x14ac:dyDescent="0.45">
      <c r="A811" s="363">
        <v>45085</v>
      </c>
      <c r="B811" s="364" t="s">
        <v>2078</v>
      </c>
      <c r="C811" s="364" t="s">
        <v>808</v>
      </c>
      <c r="D811" s="366"/>
      <c r="E811" s="366">
        <v>395</v>
      </c>
    </row>
    <row r="812" spans="1:5" ht="17.25" x14ac:dyDescent="0.45">
      <c r="A812" s="359">
        <v>45091</v>
      </c>
      <c r="B812" s="6" t="s">
        <v>1727</v>
      </c>
      <c r="C812" s="6" t="s">
        <v>1404</v>
      </c>
      <c r="D812" s="360"/>
      <c r="E812" s="360">
        <v>3400</v>
      </c>
    </row>
    <row r="813" spans="1:5" ht="17.25" x14ac:dyDescent="0.45">
      <c r="A813" s="359">
        <v>45091</v>
      </c>
      <c r="B813" s="6" t="s">
        <v>2079</v>
      </c>
      <c r="C813" s="6" t="s">
        <v>1396</v>
      </c>
      <c r="D813" s="360"/>
      <c r="E813" s="360">
        <v>2500</v>
      </c>
    </row>
    <row r="814" spans="1:5" ht="17.25" x14ac:dyDescent="0.45">
      <c r="A814" s="359">
        <v>45091</v>
      </c>
      <c r="B814" s="6" t="s">
        <v>2080</v>
      </c>
      <c r="C814" s="6" t="s">
        <v>249</v>
      </c>
      <c r="D814" s="360"/>
      <c r="E814" s="360">
        <v>2400</v>
      </c>
    </row>
    <row r="815" spans="1:5" ht="17.25" x14ac:dyDescent="0.45">
      <c r="A815" s="359">
        <v>45091</v>
      </c>
      <c r="B815" s="6" t="s">
        <v>1958</v>
      </c>
      <c r="C815" s="6" t="s">
        <v>626</v>
      </c>
      <c r="D815" s="360"/>
      <c r="E815" s="360">
        <v>1700</v>
      </c>
    </row>
    <row r="816" spans="1:5" ht="17.25" x14ac:dyDescent="0.45">
      <c r="A816" s="359">
        <v>45091</v>
      </c>
      <c r="B816" s="6" t="s">
        <v>2081</v>
      </c>
      <c r="C816" s="6" t="s">
        <v>2072</v>
      </c>
      <c r="D816" s="360"/>
      <c r="E816" s="360">
        <v>460</v>
      </c>
    </row>
    <row r="817" spans="1:5" ht="17.25" x14ac:dyDescent="0.45">
      <c r="A817" s="359">
        <v>45091</v>
      </c>
      <c r="B817" s="6" t="s">
        <v>2081</v>
      </c>
      <c r="C817" s="6" t="s">
        <v>2082</v>
      </c>
      <c r="D817" s="360"/>
      <c r="E817" s="360">
        <v>450</v>
      </c>
    </row>
    <row r="818" spans="1:5" ht="17.25" x14ac:dyDescent="0.45">
      <c r="A818" s="359">
        <v>45091</v>
      </c>
      <c r="B818" s="6" t="s">
        <v>1547</v>
      </c>
      <c r="C818" s="6" t="s">
        <v>626</v>
      </c>
      <c r="D818" s="360"/>
      <c r="E818" s="360">
        <v>775</v>
      </c>
    </row>
    <row r="819" spans="1:5" ht="17.25" x14ac:dyDescent="0.45">
      <c r="A819" s="359">
        <v>45091</v>
      </c>
      <c r="B819" s="6" t="s">
        <v>2083</v>
      </c>
      <c r="C819" s="6" t="s">
        <v>2084</v>
      </c>
      <c r="D819" s="360"/>
      <c r="E819" s="360">
        <v>276.25</v>
      </c>
    </row>
    <row r="820" spans="1:5" ht="17.25" x14ac:dyDescent="0.45">
      <c r="A820" s="363">
        <v>45091</v>
      </c>
      <c r="B820" s="364" t="s">
        <v>2085</v>
      </c>
      <c r="C820" s="364" t="s">
        <v>983</v>
      </c>
      <c r="D820" s="366"/>
      <c r="E820" s="366">
        <v>430</v>
      </c>
    </row>
    <row r="821" spans="1:5" ht="17.25" x14ac:dyDescent="0.45">
      <c r="A821" s="359">
        <v>45097</v>
      </c>
      <c r="B821" s="6" t="s">
        <v>2086</v>
      </c>
      <c r="C821" s="6" t="s">
        <v>1776</v>
      </c>
      <c r="D821" s="360"/>
      <c r="E821" s="360">
        <v>3000</v>
      </c>
    </row>
    <row r="822" spans="1:5" ht="17.25" x14ac:dyDescent="0.45">
      <c r="A822" s="359">
        <v>45097</v>
      </c>
      <c r="B822" s="6" t="s">
        <v>2087</v>
      </c>
      <c r="C822" s="6" t="s">
        <v>1376</v>
      </c>
      <c r="D822" s="360"/>
      <c r="E822" s="360">
        <v>3600</v>
      </c>
    </row>
    <row r="823" spans="1:5" ht="17.25" x14ac:dyDescent="0.45">
      <c r="A823" s="359">
        <v>45097</v>
      </c>
      <c r="B823" s="6" t="s">
        <v>2086</v>
      </c>
      <c r="C823" s="6" t="s">
        <v>496</v>
      </c>
      <c r="D823" s="360"/>
      <c r="E823" s="360">
        <v>2300</v>
      </c>
    </row>
    <row r="824" spans="1:5" ht="17.25" x14ac:dyDescent="0.45">
      <c r="A824" s="359">
        <v>45097</v>
      </c>
      <c r="B824" s="6" t="s">
        <v>1023</v>
      </c>
      <c r="C824" s="6" t="s">
        <v>459</v>
      </c>
      <c r="D824" s="360"/>
      <c r="E824" s="360">
        <v>2320</v>
      </c>
    </row>
    <row r="825" spans="1:5" ht="17.25" x14ac:dyDescent="0.45">
      <c r="A825" s="359">
        <v>45097</v>
      </c>
      <c r="B825" s="6" t="s">
        <v>2088</v>
      </c>
      <c r="C825" s="6" t="s">
        <v>1348</v>
      </c>
      <c r="D825" s="360"/>
      <c r="E825" s="360">
        <v>1600</v>
      </c>
    </row>
    <row r="826" spans="1:5" ht="17.25" x14ac:dyDescent="0.45">
      <c r="A826" s="359">
        <v>45097</v>
      </c>
      <c r="B826" s="6" t="s">
        <v>1070</v>
      </c>
      <c r="C826" s="6" t="s">
        <v>557</v>
      </c>
      <c r="D826" s="360"/>
      <c r="E826" s="360">
        <v>1280</v>
      </c>
    </row>
    <row r="827" spans="1:5" ht="17.25" x14ac:dyDescent="0.45">
      <c r="A827" s="359">
        <v>45099</v>
      </c>
      <c r="B827" s="6" t="s">
        <v>2086</v>
      </c>
      <c r="C827" s="6" t="s">
        <v>2089</v>
      </c>
      <c r="D827" s="360"/>
      <c r="E827" s="360">
        <v>865</v>
      </c>
    </row>
    <row r="828" spans="1:5" ht="17.25" x14ac:dyDescent="0.45">
      <c r="A828" s="359">
        <v>45099</v>
      </c>
      <c r="B828" s="6" t="s">
        <v>2090</v>
      </c>
      <c r="C828" s="6" t="s">
        <v>2091</v>
      </c>
      <c r="D828" s="360"/>
      <c r="E828" s="360">
        <v>660</v>
      </c>
    </row>
    <row r="829" spans="1:5" ht="17.25" x14ac:dyDescent="0.45">
      <c r="A829" s="359">
        <v>45099</v>
      </c>
      <c r="B829" s="6" t="s">
        <v>2085</v>
      </c>
      <c r="C829" s="6" t="s">
        <v>1222</v>
      </c>
      <c r="D829" s="360"/>
      <c r="E829" s="360">
        <v>410</v>
      </c>
    </row>
    <row r="830" spans="1:5" ht="17.25" x14ac:dyDescent="0.45">
      <c r="A830" s="359">
        <v>45099</v>
      </c>
      <c r="B830" s="6" t="s">
        <v>2090</v>
      </c>
      <c r="C830" s="6" t="s">
        <v>432</v>
      </c>
      <c r="D830" s="360"/>
      <c r="E830" s="360">
        <v>612</v>
      </c>
    </row>
    <row r="831" spans="1:5" ht="17.25" x14ac:dyDescent="0.45">
      <c r="A831" s="359">
        <v>45099</v>
      </c>
      <c r="B831" s="6" t="s">
        <v>2092</v>
      </c>
      <c r="C831" s="6" t="s">
        <v>1844</v>
      </c>
      <c r="D831" s="360"/>
      <c r="E831" s="360">
        <v>712</v>
      </c>
    </row>
    <row r="832" spans="1:5" ht="17.25" x14ac:dyDescent="0.45">
      <c r="A832" s="359">
        <v>45099</v>
      </c>
      <c r="B832" s="6" t="s">
        <v>966</v>
      </c>
      <c r="C832" s="6" t="s">
        <v>971</v>
      </c>
      <c r="D832" s="360"/>
      <c r="E832" s="360">
        <v>172</v>
      </c>
    </row>
    <row r="833" spans="1:5" ht="17.25" x14ac:dyDescent="0.45">
      <c r="A833" s="359">
        <v>45099</v>
      </c>
      <c r="B833" s="6" t="s">
        <v>1738</v>
      </c>
      <c r="C833" s="6" t="s">
        <v>1381</v>
      </c>
      <c r="D833" s="360"/>
      <c r="E833" s="360">
        <v>1736</v>
      </c>
    </row>
    <row r="834" spans="1:5" ht="17.25" x14ac:dyDescent="0.45">
      <c r="A834" s="359">
        <v>45099</v>
      </c>
      <c r="B834" s="6" t="s">
        <v>2093</v>
      </c>
      <c r="C834" s="6" t="s">
        <v>471</v>
      </c>
      <c r="D834" s="360"/>
      <c r="E834" s="360">
        <v>2200</v>
      </c>
    </row>
    <row r="835" spans="1:5" ht="17.25" x14ac:dyDescent="0.45">
      <c r="A835" s="359">
        <v>45099</v>
      </c>
      <c r="B835" s="6" t="s">
        <v>1958</v>
      </c>
      <c r="C835" s="6" t="s">
        <v>2094</v>
      </c>
      <c r="D835" s="360"/>
      <c r="E835" s="360">
        <v>1900</v>
      </c>
    </row>
    <row r="836" spans="1:5" ht="17.25" x14ac:dyDescent="0.45">
      <c r="A836" s="363">
        <v>45099</v>
      </c>
      <c r="B836" s="364" t="s">
        <v>2095</v>
      </c>
      <c r="C836" s="364" t="s">
        <v>433</v>
      </c>
      <c r="D836" s="366"/>
      <c r="E836" s="366">
        <v>1120</v>
      </c>
    </row>
    <row r="837" spans="1:5" ht="17.25" x14ac:dyDescent="0.45">
      <c r="A837" s="359">
        <v>45100</v>
      </c>
      <c r="B837" s="6" t="s">
        <v>2096</v>
      </c>
      <c r="C837" s="6" t="s">
        <v>2097</v>
      </c>
      <c r="D837" s="360"/>
      <c r="E837" s="360">
        <v>2880</v>
      </c>
    </row>
    <row r="838" spans="1:5" ht="17.25" x14ac:dyDescent="0.45">
      <c r="A838" s="359">
        <v>45100</v>
      </c>
      <c r="B838" s="6" t="s">
        <v>2098</v>
      </c>
      <c r="C838" s="6" t="s">
        <v>821</v>
      </c>
      <c r="D838" s="360"/>
      <c r="E838" s="360">
        <v>2000</v>
      </c>
    </row>
    <row r="839" spans="1:5" ht="17.25" x14ac:dyDescent="0.45">
      <c r="A839" s="359">
        <v>45101</v>
      </c>
      <c r="B839" s="6" t="s">
        <v>2099</v>
      </c>
      <c r="C839" s="6" t="s">
        <v>557</v>
      </c>
      <c r="D839" s="360"/>
      <c r="E839" s="360" t="s">
        <v>1533</v>
      </c>
    </row>
    <row r="840" spans="1:5" ht="17.25" x14ac:dyDescent="0.45">
      <c r="A840" s="363">
        <v>45104</v>
      </c>
      <c r="B840" s="364" t="s">
        <v>1015</v>
      </c>
      <c r="C840" s="364" t="s">
        <v>1016</v>
      </c>
      <c r="D840" s="366"/>
      <c r="E840" s="366" t="s">
        <v>1533</v>
      </c>
    </row>
    <row r="841" spans="1:5" ht="17.25" x14ac:dyDescent="0.45">
      <c r="A841" s="359">
        <v>45107</v>
      </c>
      <c r="B841" s="6" t="s">
        <v>2100</v>
      </c>
      <c r="C841" s="6" t="s">
        <v>1413</v>
      </c>
      <c r="D841" s="360"/>
      <c r="E841" s="360">
        <v>5200</v>
      </c>
    </row>
    <row r="842" spans="1:5" ht="17.25" x14ac:dyDescent="0.45">
      <c r="A842" s="359">
        <v>45107</v>
      </c>
      <c r="B842" s="6" t="s">
        <v>1833</v>
      </c>
      <c r="C842" s="6" t="s">
        <v>1052</v>
      </c>
      <c r="D842" s="360"/>
      <c r="E842" s="360">
        <v>765</v>
      </c>
    </row>
    <row r="843" spans="1:5" ht="17.25" x14ac:dyDescent="0.45">
      <c r="A843" s="359">
        <v>45107</v>
      </c>
      <c r="B843" s="6" t="s">
        <v>2101</v>
      </c>
      <c r="C843" s="6" t="s">
        <v>2102</v>
      </c>
      <c r="D843" s="360"/>
      <c r="E843" s="360">
        <v>178.5</v>
      </c>
    </row>
    <row r="844" spans="1:5" ht="17.25" x14ac:dyDescent="0.45">
      <c r="A844" s="359">
        <v>45107</v>
      </c>
      <c r="B844" s="6" t="s">
        <v>2103</v>
      </c>
      <c r="C844" s="6" t="s">
        <v>2104</v>
      </c>
      <c r="D844" s="360"/>
      <c r="E844" s="360">
        <v>709.75</v>
      </c>
    </row>
    <row r="845" spans="1:5" ht="17.25" x14ac:dyDescent="0.45">
      <c r="A845" s="359">
        <v>45111</v>
      </c>
      <c r="B845" s="6" t="s">
        <v>2105</v>
      </c>
      <c r="C845" s="6" t="s">
        <v>249</v>
      </c>
      <c r="D845" s="360"/>
      <c r="E845" s="360">
        <v>2975</v>
      </c>
    </row>
    <row r="846" spans="1:5" ht="17.25" x14ac:dyDescent="0.45">
      <c r="A846" s="359">
        <v>45111</v>
      </c>
      <c r="B846" s="6" t="s">
        <v>1511</v>
      </c>
      <c r="C846" s="6" t="s">
        <v>2106</v>
      </c>
      <c r="D846" s="360"/>
      <c r="E846" s="360">
        <v>595</v>
      </c>
    </row>
    <row r="847" spans="1:5" ht="17.25" x14ac:dyDescent="0.45">
      <c r="A847" s="359">
        <v>45113</v>
      </c>
      <c r="B847" s="6" t="s">
        <v>879</v>
      </c>
      <c r="C847" s="6" t="s">
        <v>227</v>
      </c>
      <c r="D847" s="360"/>
      <c r="E847" s="360">
        <v>403.75</v>
      </c>
    </row>
    <row r="848" spans="1:5" ht="17.25" x14ac:dyDescent="0.45">
      <c r="A848" s="359">
        <v>45113</v>
      </c>
      <c r="B848" s="6" t="s">
        <v>2107</v>
      </c>
      <c r="C848" s="6" t="s">
        <v>2108</v>
      </c>
      <c r="D848" s="360"/>
      <c r="E848" s="360">
        <v>284.75</v>
      </c>
    </row>
    <row r="849" spans="1:5" ht="17.25" x14ac:dyDescent="0.45">
      <c r="A849" s="359">
        <v>45113</v>
      </c>
      <c r="B849" s="6" t="s">
        <v>2109</v>
      </c>
      <c r="C849" s="6" t="s">
        <v>2110</v>
      </c>
      <c r="D849" s="360"/>
      <c r="E849" s="360">
        <v>410</v>
      </c>
    </row>
    <row r="850" spans="1:5" ht="17.25" x14ac:dyDescent="0.45">
      <c r="A850" s="359">
        <v>45113</v>
      </c>
      <c r="B850" s="6" t="s">
        <v>1754</v>
      </c>
      <c r="C850" s="6" t="s">
        <v>1776</v>
      </c>
      <c r="D850" s="360"/>
      <c r="E850" s="360">
        <v>378.25</v>
      </c>
    </row>
    <row r="851" spans="1:5" ht="17.25" x14ac:dyDescent="0.45">
      <c r="A851" s="359">
        <v>45113</v>
      </c>
      <c r="B851" s="6" t="s">
        <v>2111</v>
      </c>
      <c r="C851" s="6" t="s">
        <v>932</v>
      </c>
      <c r="D851" s="360"/>
      <c r="E851" s="360">
        <v>637.5</v>
      </c>
    </row>
    <row r="852" spans="1:5" ht="17.25" x14ac:dyDescent="0.45">
      <c r="A852" s="359">
        <v>45113</v>
      </c>
      <c r="B852" s="6" t="s">
        <v>2111</v>
      </c>
      <c r="C852" s="6" t="s">
        <v>1685</v>
      </c>
      <c r="D852" s="360"/>
      <c r="E852" s="360">
        <v>510</v>
      </c>
    </row>
    <row r="853" spans="1:5" ht="17.25" x14ac:dyDescent="0.45">
      <c r="A853" s="359">
        <v>45113</v>
      </c>
      <c r="B853" s="6" t="s">
        <v>2112</v>
      </c>
      <c r="C853" s="6" t="s">
        <v>442</v>
      </c>
      <c r="D853" s="360"/>
      <c r="E853" s="360">
        <v>1045.5</v>
      </c>
    </row>
    <row r="854" spans="1:5" ht="17.25" x14ac:dyDescent="0.45">
      <c r="A854" s="359">
        <v>45113</v>
      </c>
      <c r="B854" s="6" t="s">
        <v>413</v>
      </c>
      <c r="C854" s="6" t="s">
        <v>2113</v>
      </c>
      <c r="D854" s="360"/>
      <c r="E854" s="360">
        <v>1670.25</v>
      </c>
    </row>
    <row r="855" spans="1:5" ht="17.25" x14ac:dyDescent="0.45">
      <c r="A855" s="363">
        <v>45113</v>
      </c>
      <c r="B855" s="364" t="s">
        <v>2114</v>
      </c>
      <c r="C855" s="364" t="s">
        <v>1240</v>
      </c>
      <c r="D855" s="366"/>
      <c r="E855" s="366">
        <v>816</v>
      </c>
    </row>
    <row r="856" spans="1:5" ht="17.25" x14ac:dyDescent="0.45">
      <c r="A856" s="359">
        <v>45119</v>
      </c>
      <c r="B856" s="6" t="s">
        <v>2115</v>
      </c>
      <c r="C856" s="6" t="s">
        <v>1580</v>
      </c>
      <c r="D856" s="360"/>
      <c r="E856" s="360">
        <v>1840</v>
      </c>
    </row>
    <row r="857" spans="1:5" ht="17.25" x14ac:dyDescent="0.45">
      <c r="A857" s="359">
        <v>45119</v>
      </c>
      <c r="B857" s="6" t="s">
        <v>2116</v>
      </c>
      <c r="C857" s="6" t="s">
        <v>403</v>
      </c>
      <c r="D857" s="360"/>
      <c r="E857" s="360">
        <v>3800</v>
      </c>
    </row>
    <row r="858" spans="1:5" ht="17.25" x14ac:dyDescent="0.45">
      <c r="A858" s="359">
        <v>45119</v>
      </c>
      <c r="B858" s="6" t="s">
        <v>1226</v>
      </c>
      <c r="C858" s="6" t="s">
        <v>2117</v>
      </c>
      <c r="D858" s="360"/>
      <c r="E858" s="360">
        <v>500</v>
      </c>
    </row>
    <row r="859" spans="1:5" ht="17.25" x14ac:dyDescent="0.45">
      <c r="A859" s="359">
        <v>45119</v>
      </c>
      <c r="B859" s="6" t="s">
        <v>2105</v>
      </c>
      <c r="C859" s="6" t="s">
        <v>249</v>
      </c>
      <c r="D859" s="360"/>
      <c r="E859" s="360" t="s">
        <v>1533</v>
      </c>
    </row>
    <row r="860" spans="1:5" ht="17.25" x14ac:dyDescent="0.45">
      <c r="A860" s="359">
        <v>45119</v>
      </c>
      <c r="B860" s="6" t="s">
        <v>2118</v>
      </c>
      <c r="C860" s="6" t="s">
        <v>2119</v>
      </c>
      <c r="D860" s="360"/>
      <c r="E860" s="360">
        <v>1870</v>
      </c>
    </row>
    <row r="861" spans="1:5" ht="17.25" x14ac:dyDescent="0.45">
      <c r="A861" s="359">
        <v>45119</v>
      </c>
      <c r="B861" s="6" t="s">
        <v>2120</v>
      </c>
      <c r="C861" s="6" t="s">
        <v>1697</v>
      </c>
      <c r="D861" s="360"/>
      <c r="E861" s="360">
        <v>1105</v>
      </c>
    </row>
    <row r="862" spans="1:5" ht="17.25" x14ac:dyDescent="0.45">
      <c r="A862" s="359">
        <v>45120</v>
      </c>
      <c r="B862" s="6" t="s">
        <v>2115</v>
      </c>
      <c r="C862" s="6" t="s">
        <v>329</v>
      </c>
      <c r="D862" s="360"/>
      <c r="E862" s="360">
        <v>5840</v>
      </c>
    </row>
    <row r="863" spans="1:5" ht="17.25" x14ac:dyDescent="0.45">
      <c r="A863" s="359">
        <v>45120</v>
      </c>
      <c r="B863" s="6" t="s">
        <v>2114</v>
      </c>
      <c r="C863" s="6" t="s">
        <v>1016</v>
      </c>
      <c r="D863" s="360"/>
      <c r="E863" s="360">
        <v>807.5</v>
      </c>
    </row>
    <row r="864" spans="1:5" ht="17.25" x14ac:dyDescent="0.45">
      <c r="A864" s="359">
        <v>45120</v>
      </c>
      <c r="B864" s="6" t="s">
        <v>2121</v>
      </c>
      <c r="C864" s="6" t="s">
        <v>1715</v>
      </c>
      <c r="D864" s="360"/>
      <c r="E864" s="360">
        <v>1236.75</v>
      </c>
    </row>
    <row r="865" spans="1:5" ht="17.25" x14ac:dyDescent="0.45">
      <c r="A865" s="359">
        <v>45120</v>
      </c>
      <c r="B865" s="6" t="s">
        <v>2122</v>
      </c>
      <c r="C865" s="6" t="s">
        <v>1106</v>
      </c>
      <c r="D865" s="360"/>
      <c r="E865" s="360">
        <v>1405</v>
      </c>
    </row>
    <row r="866" spans="1:5" ht="17.25" x14ac:dyDescent="0.45">
      <c r="A866" s="359">
        <v>45120</v>
      </c>
      <c r="B866" s="6" t="s">
        <v>2123</v>
      </c>
      <c r="C866" s="6" t="s">
        <v>476</v>
      </c>
      <c r="D866" s="360"/>
      <c r="E866" s="360">
        <v>624.75</v>
      </c>
    </row>
    <row r="867" spans="1:5" ht="17.25" x14ac:dyDescent="0.45">
      <c r="A867" s="359">
        <v>45120</v>
      </c>
      <c r="B867" s="6" t="s">
        <v>2123</v>
      </c>
      <c r="C867" s="6" t="s">
        <v>432</v>
      </c>
      <c r="D867" s="360"/>
      <c r="E867" s="360">
        <v>1619.25</v>
      </c>
    </row>
    <row r="868" spans="1:5" ht="17.25" x14ac:dyDescent="0.45">
      <c r="A868" s="359">
        <v>45120</v>
      </c>
      <c r="B868" s="6" t="s">
        <v>2124</v>
      </c>
      <c r="C868" s="6" t="s">
        <v>519</v>
      </c>
      <c r="D868" s="360"/>
      <c r="E868" s="360">
        <v>855</v>
      </c>
    </row>
    <row r="869" spans="1:5" ht="17.25" x14ac:dyDescent="0.45">
      <c r="A869" s="359">
        <v>45120</v>
      </c>
      <c r="B869" s="6" t="s">
        <v>2125</v>
      </c>
      <c r="C869" s="6" t="s">
        <v>632</v>
      </c>
      <c r="D869" s="360"/>
      <c r="E869" s="360">
        <v>865</v>
      </c>
    </row>
    <row r="870" spans="1:5" ht="17.25" x14ac:dyDescent="0.45">
      <c r="A870" s="359">
        <v>45120</v>
      </c>
      <c r="B870" s="6" t="s">
        <v>2126</v>
      </c>
      <c r="C870" s="6" t="s">
        <v>972</v>
      </c>
      <c r="D870" s="360"/>
      <c r="E870" s="360">
        <v>715</v>
      </c>
    </row>
    <row r="871" spans="1:5" ht="17.25" x14ac:dyDescent="0.45">
      <c r="A871" s="359">
        <v>45120</v>
      </c>
      <c r="B871" s="6" t="s">
        <v>2127</v>
      </c>
      <c r="C871" s="6" t="s">
        <v>1837</v>
      </c>
      <c r="D871" s="360"/>
      <c r="E871" s="360">
        <v>585</v>
      </c>
    </row>
    <row r="872" spans="1:5" ht="17.25" x14ac:dyDescent="0.45">
      <c r="A872" s="359">
        <v>45120</v>
      </c>
      <c r="B872" s="6" t="s">
        <v>2128</v>
      </c>
      <c r="C872" s="6" t="s">
        <v>308</v>
      </c>
      <c r="D872" s="360"/>
      <c r="E872" s="360">
        <v>790</v>
      </c>
    </row>
    <row r="873" spans="1:5" ht="17.25" x14ac:dyDescent="0.45">
      <c r="A873" s="359">
        <v>45120</v>
      </c>
      <c r="B873" s="6" t="s">
        <v>1327</v>
      </c>
      <c r="C873" s="6" t="s">
        <v>2129</v>
      </c>
      <c r="D873" s="360"/>
      <c r="E873" s="360">
        <v>785</v>
      </c>
    </row>
    <row r="874" spans="1:5" ht="17.25" x14ac:dyDescent="0.45">
      <c r="A874" s="359">
        <v>45120</v>
      </c>
      <c r="B874" s="6" t="s">
        <v>2130</v>
      </c>
      <c r="C874" s="6" t="s">
        <v>609</v>
      </c>
      <c r="D874" s="360"/>
      <c r="E874" s="360">
        <v>790</v>
      </c>
    </row>
    <row r="875" spans="1:5" ht="17.25" x14ac:dyDescent="0.45">
      <c r="A875" s="359">
        <v>45120</v>
      </c>
      <c r="B875" s="6" t="s">
        <v>2131</v>
      </c>
      <c r="C875" s="6" t="s">
        <v>912</v>
      </c>
      <c r="D875" s="360"/>
      <c r="E875" s="360">
        <v>1180</v>
      </c>
    </row>
    <row r="876" spans="1:5" ht="17.25" x14ac:dyDescent="0.45">
      <c r="A876" s="359">
        <v>45120</v>
      </c>
      <c r="B876" s="6" t="s">
        <v>2132</v>
      </c>
      <c r="C876" s="6" t="s">
        <v>1477</v>
      </c>
      <c r="D876" s="360"/>
      <c r="E876" s="360">
        <v>1195</v>
      </c>
    </row>
    <row r="877" spans="1:5" ht="17.25" x14ac:dyDescent="0.45">
      <c r="A877" s="359">
        <v>45120</v>
      </c>
      <c r="B877" s="6" t="s">
        <v>1198</v>
      </c>
      <c r="C877" s="6" t="s">
        <v>2133</v>
      </c>
      <c r="D877" s="360"/>
      <c r="E877" s="360">
        <v>0</v>
      </c>
    </row>
    <row r="878" spans="1:5" ht="17.25" x14ac:dyDescent="0.45">
      <c r="A878" s="359">
        <v>45120</v>
      </c>
      <c r="B878" s="6" t="s">
        <v>1198</v>
      </c>
      <c r="C878" s="6" t="s">
        <v>2133</v>
      </c>
      <c r="D878" s="360"/>
      <c r="E878" s="360">
        <v>0</v>
      </c>
    </row>
    <row r="879" spans="1:5" ht="17.25" x14ac:dyDescent="0.45">
      <c r="A879" s="359">
        <v>45120</v>
      </c>
      <c r="B879" s="6" t="s">
        <v>1198</v>
      </c>
      <c r="C879" s="6" t="s">
        <v>2133</v>
      </c>
      <c r="D879" s="360"/>
      <c r="E879" s="360">
        <v>0</v>
      </c>
    </row>
    <row r="880" spans="1:5" ht="17.25" x14ac:dyDescent="0.45">
      <c r="A880" s="359">
        <v>45120</v>
      </c>
      <c r="B880" s="6" t="s">
        <v>1198</v>
      </c>
      <c r="C880" s="6" t="s">
        <v>2133</v>
      </c>
      <c r="D880" s="360"/>
      <c r="E880" s="360">
        <v>0</v>
      </c>
    </row>
    <row r="881" spans="1:5" ht="17.25" x14ac:dyDescent="0.45">
      <c r="A881" s="359">
        <v>45120</v>
      </c>
      <c r="B881" s="6" t="s">
        <v>1198</v>
      </c>
      <c r="C881" s="6" t="s">
        <v>2133</v>
      </c>
      <c r="D881" s="360"/>
      <c r="E881" s="360">
        <v>0</v>
      </c>
    </row>
    <row r="882" spans="1:5" ht="17.25" x14ac:dyDescent="0.45">
      <c r="A882" s="359">
        <v>45120</v>
      </c>
      <c r="B882" s="6" t="s">
        <v>1198</v>
      </c>
      <c r="C882" s="6" t="s">
        <v>2133</v>
      </c>
      <c r="D882" s="360"/>
      <c r="E882" s="360">
        <v>0</v>
      </c>
    </row>
    <row r="883" spans="1:5" ht="17.25" x14ac:dyDescent="0.45">
      <c r="A883" s="359">
        <v>45120</v>
      </c>
      <c r="B883" s="6" t="s">
        <v>1198</v>
      </c>
      <c r="C883" s="6" t="s">
        <v>2133</v>
      </c>
      <c r="D883" s="360"/>
      <c r="E883" s="360">
        <v>0</v>
      </c>
    </row>
    <row r="884" spans="1:5" ht="17.25" x14ac:dyDescent="0.45">
      <c r="A884" s="359">
        <v>45120</v>
      </c>
      <c r="B884" s="6" t="s">
        <v>1198</v>
      </c>
      <c r="C884" s="6" t="s">
        <v>2133</v>
      </c>
      <c r="D884" s="360"/>
      <c r="E884" s="360">
        <v>0</v>
      </c>
    </row>
    <row r="885" spans="1:5" ht="17.25" x14ac:dyDescent="0.45">
      <c r="A885" s="359">
        <v>45120</v>
      </c>
      <c r="B885" s="6" t="s">
        <v>1198</v>
      </c>
      <c r="C885" s="6" t="s">
        <v>2133</v>
      </c>
      <c r="D885" s="360"/>
      <c r="E885" s="360">
        <v>0</v>
      </c>
    </row>
    <row r="886" spans="1:5" ht="17.25" x14ac:dyDescent="0.45">
      <c r="A886" s="359">
        <v>45120</v>
      </c>
      <c r="B886" s="6" t="s">
        <v>1198</v>
      </c>
      <c r="C886" s="6" t="s">
        <v>2133</v>
      </c>
      <c r="D886" s="360"/>
      <c r="E886" s="360">
        <v>0</v>
      </c>
    </row>
    <row r="887" spans="1:5" ht="17.25" x14ac:dyDescent="0.45">
      <c r="A887" s="359">
        <v>45120</v>
      </c>
      <c r="B887" s="6" t="s">
        <v>1198</v>
      </c>
      <c r="C887" s="6" t="s">
        <v>2133</v>
      </c>
      <c r="D887" s="360"/>
      <c r="E887" s="360">
        <v>0</v>
      </c>
    </row>
    <row r="888" spans="1:5" ht="17.25" x14ac:dyDescent="0.45">
      <c r="A888" s="359">
        <v>45120</v>
      </c>
      <c r="B888" s="6" t="s">
        <v>1198</v>
      </c>
      <c r="C888" s="6" t="s">
        <v>2133</v>
      </c>
      <c r="D888" s="360"/>
      <c r="E888" s="360">
        <v>0</v>
      </c>
    </row>
    <row r="889" spans="1:5" ht="17.25" x14ac:dyDescent="0.45">
      <c r="A889" s="359">
        <v>45120</v>
      </c>
      <c r="B889" s="6" t="s">
        <v>1198</v>
      </c>
      <c r="C889" s="6" t="s">
        <v>2133</v>
      </c>
      <c r="D889" s="360"/>
      <c r="E889" s="360">
        <v>0</v>
      </c>
    </row>
    <row r="890" spans="1:5" ht="17.25" x14ac:dyDescent="0.45">
      <c r="A890" s="359">
        <v>45120</v>
      </c>
      <c r="B890" s="6" t="s">
        <v>1198</v>
      </c>
      <c r="C890" s="6" t="s">
        <v>2133</v>
      </c>
      <c r="D890" s="360"/>
      <c r="E890" s="360">
        <v>0</v>
      </c>
    </row>
    <row r="891" spans="1:5" ht="17.25" x14ac:dyDescent="0.45">
      <c r="A891" s="359">
        <v>45120</v>
      </c>
      <c r="B891" s="6" t="s">
        <v>1198</v>
      </c>
      <c r="C891" s="6" t="s">
        <v>2133</v>
      </c>
      <c r="D891" s="360"/>
      <c r="E891" s="360">
        <v>0</v>
      </c>
    </row>
    <row r="892" spans="1:5" ht="17.25" x14ac:dyDescent="0.45">
      <c r="A892" s="359">
        <v>45120</v>
      </c>
      <c r="B892" s="6" t="s">
        <v>1198</v>
      </c>
      <c r="C892" s="6" t="s">
        <v>2133</v>
      </c>
      <c r="D892" s="360"/>
      <c r="E892" s="360">
        <v>0</v>
      </c>
    </row>
    <row r="893" spans="1:5" ht="17.25" x14ac:dyDescent="0.45">
      <c r="A893" s="359">
        <v>45120</v>
      </c>
      <c r="B893" s="6" t="s">
        <v>1198</v>
      </c>
      <c r="C893" s="6" t="s">
        <v>2133</v>
      </c>
      <c r="D893" s="360"/>
      <c r="E893" s="360">
        <v>0</v>
      </c>
    </row>
    <row r="894" spans="1:5" ht="17.25" x14ac:dyDescent="0.45">
      <c r="A894" s="359">
        <v>45120</v>
      </c>
      <c r="B894" s="6" t="s">
        <v>1198</v>
      </c>
      <c r="C894" s="6" t="s">
        <v>2133</v>
      </c>
      <c r="D894" s="360"/>
      <c r="E894" s="360">
        <v>0</v>
      </c>
    </row>
    <row r="895" spans="1:5" ht="17.25" x14ac:dyDescent="0.45">
      <c r="A895" s="359">
        <v>45120</v>
      </c>
      <c r="B895" s="6" t="s">
        <v>1198</v>
      </c>
      <c r="C895" s="6" t="s">
        <v>2133</v>
      </c>
      <c r="D895" s="360"/>
      <c r="E895" s="360">
        <v>0</v>
      </c>
    </row>
    <row r="896" spans="1:5" ht="17.25" x14ac:dyDescent="0.45">
      <c r="A896" s="359">
        <v>45120</v>
      </c>
      <c r="B896" s="6" t="s">
        <v>1198</v>
      </c>
      <c r="C896" s="6" t="s">
        <v>2133</v>
      </c>
      <c r="D896" s="360"/>
      <c r="E896" s="360">
        <v>0</v>
      </c>
    </row>
    <row r="897" spans="1:5" ht="17.25" x14ac:dyDescent="0.45">
      <c r="A897" s="359">
        <v>45120</v>
      </c>
      <c r="B897" s="6" t="s">
        <v>1198</v>
      </c>
      <c r="C897" s="6" t="s">
        <v>2133</v>
      </c>
      <c r="D897" s="360"/>
      <c r="E897" s="360">
        <v>0</v>
      </c>
    </row>
    <row r="898" spans="1:5" ht="17.25" x14ac:dyDescent="0.45">
      <c r="A898" s="359">
        <v>45120</v>
      </c>
      <c r="B898" s="6" t="s">
        <v>1198</v>
      </c>
      <c r="C898" s="6" t="s">
        <v>2133</v>
      </c>
      <c r="D898" s="360"/>
      <c r="E898" s="360">
        <v>0</v>
      </c>
    </row>
    <row r="899" spans="1:5" ht="17.25" x14ac:dyDescent="0.45">
      <c r="A899" s="359">
        <v>45120</v>
      </c>
      <c r="B899" s="6" t="s">
        <v>1198</v>
      </c>
      <c r="C899" s="6" t="s">
        <v>2133</v>
      </c>
      <c r="D899" s="360"/>
      <c r="E899" s="360">
        <v>0</v>
      </c>
    </row>
    <row r="900" spans="1:5" ht="17.25" x14ac:dyDescent="0.45">
      <c r="A900" s="359">
        <v>45120</v>
      </c>
      <c r="B900" s="6" t="s">
        <v>1198</v>
      </c>
      <c r="C900" s="6" t="s">
        <v>2133</v>
      </c>
      <c r="D900" s="360"/>
      <c r="E900" s="360">
        <v>0</v>
      </c>
    </row>
    <row r="901" spans="1:5" ht="17.25" x14ac:dyDescent="0.45">
      <c r="A901" s="359">
        <v>45120</v>
      </c>
      <c r="B901" s="6" t="s">
        <v>1198</v>
      </c>
      <c r="C901" s="6" t="s">
        <v>2133</v>
      </c>
      <c r="D901" s="360"/>
      <c r="E901" s="360">
        <v>0</v>
      </c>
    </row>
    <row r="902" spans="1:5" ht="17.25" x14ac:dyDescent="0.45">
      <c r="A902" s="359">
        <v>45120</v>
      </c>
      <c r="B902" s="6" t="s">
        <v>1198</v>
      </c>
      <c r="C902" s="6" t="s">
        <v>2133</v>
      </c>
      <c r="D902" s="360"/>
      <c r="E902" s="360">
        <v>0</v>
      </c>
    </row>
    <row r="903" spans="1:5" ht="17.25" x14ac:dyDescent="0.45">
      <c r="A903" s="359">
        <v>45120</v>
      </c>
      <c r="B903" s="6" t="s">
        <v>1198</v>
      </c>
      <c r="C903" s="6" t="s">
        <v>2133</v>
      </c>
      <c r="D903" s="360"/>
      <c r="E903" s="360">
        <v>0</v>
      </c>
    </row>
    <row r="904" spans="1:5" ht="17.25" x14ac:dyDescent="0.45">
      <c r="A904" s="359">
        <v>45120</v>
      </c>
      <c r="B904" s="6" t="s">
        <v>1198</v>
      </c>
      <c r="C904" s="6" t="s">
        <v>2133</v>
      </c>
      <c r="D904" s="360"/>
      <c r="E904" s="360">
        <v>0</v>
      </c>
    </row>
    <row r="905" spans="1:5" ht="17.25" x14ac:dyDescent="0.45">
      <c r="A905" s="359">
        <v>45120</v>
      </c>
      <c r="B905" s="6" t="s">
        <v>1198</v>
      </c>
      <c r="C905" s="6" t="s">
        <v>2133</v>
      </c>
      <c r="D905" s="360"/>
      <c r="E905" s="360">
        <v>0</v>
      </c>
    </row>
    <row r="906" spans="1:5" ht="17.25" x14ac:dyDescent="0.45">
      <c r="A906" s="359">
        <v>45120</v>
      </c>
      <c r="B906" s="6" t="s">
        <v>1198</v>
      </c>
      <c r="C906" s="6" t="s">
        <v>2133</v>
      </c>
      <c r="D906" s="360"/>
      <c r="E906" s="360">
        <v>0</v>
      </c>
    </row>
    <row r="907" spans="1:5" ht="17.25" x14ac:dyDescent="0.45">
      <c r="A907" s="359">
        <v>45120</v>
      </c>
      <c r="B907" s="6" t="s">
        <v>1198</v>
      </c>
      <c r="C907" s="6" t="s">
        <v>2133</v>
      </c>
      <c r="D907" s="360"/>
      <c r="E907" s="360">
        <v>0</v>
      </c>
    </row>
    <row r="908" spans="1:5" ht="17.25" x14ac:dyDescent="0.45">
      <c r="A908" s="359">
        <v>45120</v>
      </c>
      <c r="B908" s="6" t="s">
        <v>1198</v>
      </c>
      <c r="C908" s="6" t="s">
        <v>2133</v>
      </c>
      <c r="D908" s="360"/>
      <c r="E908" s="360">
        <v>0</v>
      </c>
    </row>
    <row r="909" spans="1:5" ht="17.25" x14ac:dyDescent="0.45">
      <c r="A909" s="359">
        <v>45120</v>
      </c>
      <c r="B909" s="6" t="s">
        <v>1198</v>
      </c>
      <c r="C909" s="6" t="s">
        <v>2133</v>
      </c>
      <c r="D909" s="360"/>
      <c r="E909" s="360">
        <v>0</v>
      </c>
    </row>
    <row r="910" spans="1:5" ht="17.25" x14ac:dyDescent="0.45">
      <c r="A910" s="359">
        <v>45120</v>
      </c>
      <c r="B910" s="6" t="s">
        <v>1198</v>
      </c>
      <c r="C910" s="6" t="s">
        <v>2133</v>
      </c>
      <c r="D910" s="360"/>
      <c r="E910" s="360">
        <v>0</v>
      </c>
    </row>
    <row r="911" spans="1:5" ht="17.25" x14ac:dyDescent="0.45">
      <c r="A911" s="359">
        <v>45120</v>
      </c>
      <c r="B911" s="6" t="s">
        <v>1198</v>
      </c>
      <c r="C911" s="6" t="s">
        <v>2133</v>
      </c>
      <c r="D911" s="360"/>
      <c r="E911" s="360">
        <v>0</v>
      </c>
    </row>
    <row r="912" spans="1:5" ht="17.25" x14ac:dyDescent="0.45">
      <c r="A912" s="359">
        <v>45120</v>
      </c>
      <c r="B912" s="6" t="s">
        <v>1198</v>
      </c>
      <c r="C912" s="6" t="s">
        <v>2133</v>
      </c>
      <c r="D912" s="360"/>
      <c r="E912" s="360">
        <v>0</v>
      </c>
    </row>
    <row r="913" spans="1:5" ht="17.25" x14ac:dyDescent="0.45">
      <c r="A913" s="359">
        <v>45120</v>
      </c>
      <c r="B913" s="6" t="s">
        <v>1198</v>
      </c>
      <c r="C913" s="6" t="s">
        <v>2133</v>
      </c>
      <c r="D913" s="360"/>
      <c r="E913" s="360">
        <v>0</v>
      </c>
    </row>
    <row r="914" spans="1:5" ht="17.25" x14ac:dyDescent="0.45">
      <c r="A914" s="359">
        <v>45120</v>
      </c>
      <c r="B914" s="6" t="s">
        <v>1198</v>
      </c>
      <c r="C914" s="6" t="s">
        <v>2133</v>
      </c>
      <c r="D914" s="360"/>
      <c r="E914" s="360">
        <v>0</v>
      </c>
    </row>
    <row r="915" spans="1:5" ht="17.25" x14ac:dyDescent="0.45">
      <c r="A915" s="359">
        <v>45120</v>
      </c>
      <c r="B915" s="6" t="s">
        <v>1198</v>
      </c>
      <c r="C915" s="6" t="s">
        <v>2133</v>
      </c>
      <c r="D915" s="360"/>
      <c r="E915" s="360">
        <v>0</v>
      </c>
    </row>
    <row r="916" spans="1:5" ht="17.25" x14ac:dyDescent="0.45">
      <c r="A916" s="359">
        <v>45120</v>
      </c>
      <c r="B916" s="6" t="s">
        <v>1198</v>
      </c>
      <c r="C916" s="6" t="s">
        <v>2133</v>
      </c>
      <c r="D916" s="360"/>
      <c r="E916" s="360">
        <v>0</v>
      </c>
    </row>
    <row r="917" spans="1:5" ht="17.25" x14ac:dyDescent="0.45">
      <c r="A917" s="359">
        <v>45120</v>
      </c>
      <c r="B917" s="6" t="s">
        <v>1198</v>
      </c>
      <c r="C917" s="6" t="s">
        <v>2133</v>
      </c>
      <c r="D917" s="360"/>
      <c r="E917" s="360">
        <v>0</v>
      </c>
    </row>
    <row r="918" spans="1:5" ht="17.25" x14ac:dyDescent="0.45">
      <c r="A918" s="363">
        <v>45120</v>
      </c>
      <c r="B918" s="364" t="s">
        <v>1198</v>
      </c>
      <c r="C918" s="364" t="s">
        <v>2133</v>
      </c>
      <c r="D918" s="366"/>
      <c r="E918" s="366">
        <v>0</v>
      </c>
    </row>
    <row r="919" spans="1:5" ht="17.25" x14ac:dyDescent="0.45">
      <c r="A919" s="359">
        <v>45128</v>
      </c>
      <c r="B919" s="6" t="s">
        <v>2134</v>
      </c>
      <c r="C919" s="6" t="s">
        <v>942</v>
      </c>
      <c r="D919" s="360"/>
      <c r="E919" s="360">
        <v>1490</v>
      </c>
    </row>
    <row r="920" spans="1:5" ht="17.25" x14ac:dyDescent="0.45">
      <c r="A920" s="359">
        <v>45128</v>
      </c>
      <c r="B920" s="6" t="s">
        <v>2134</v>
      </c>
      <c r="C920" s="6" t="s">
        <v>2135</v>
      </c>
      <c r="D920" s="360"/>
      <c r="E920" s="360">
        <v>1925</v>
      </c>
    </row>
    <row r="921" spans="1:5" ht="17.25" x14ac:dyDescent="0.45">
      <c r="A921" s="359">
        <v>45128</v>
      </c>
      <c r="B921" s="6" t="s">
        <v>2134</v>
      </c>
      <c r="C921" s="6" t="s">
        <v>1771</v>
      </c>
      <c r="D921" s="360"/>
      <c r="E921" s="360">
        <v>2010</v>
      </c>
    </row>
    <row r="922" spans="1:5" ht="17.25" x14ac:dyDescent="0.45">
      <c r="A922" s="359">
        <v>45128</v>
      </c>
      <c r="B922" s="6" t="s">
        <v>2136</v>
      </c>
      <c r="C922" s="6" t="s">
        <v>242</v>
      </c>
      <c r="D922" s="360"/>
      <c r="E922" s="360">
        <v>785</v>
      </c>
    </row>
    <row r="923" spans="1:5" ht="17.25" x14ac:dyDescent="0.45">
      <c r="A923" s="359">
        <v>45128</v>
      </c>
      <c r="B923" s="6" t="s">
        <v>2137</v>
      </c>
      <c r="C923" s="6" t="s">
        <v>1404</v>
      </c>
      <c r="D923" s="360"/>
      <c r="E923" s="360">
        <v>375</v>
      </c>
    </row>
    <row r="924" spans="1:5" ht="17.25" x14ac:dyDescent="0.45">
      <c r="A924" s="359">
        <v>45128</v>
      </c>
      <c r="B924" s="6" t="s">
        <v>2138</v>
      </c>
      <c r="C924" s="6" t="s">
        <v>1349</v>
      </c>
      <c r="D924" s="360"/>
      <c r="E924" s="360">
        <v>355</v>
      </c>
    </row>
    <row r="925" spans="1:5" ht="17.25" x14ac:dyDescent="0.45">
      <c r="A925" s="359">
        <v>45128</v>
      </c>
      <c r="B925" s="6" t="s">
        <v>2139</v>
      </c>
      <c r="C925" s="6" t="s">
        <v>918</v>
      </c>
      <c r="D925" s="360"/>
      <c r="E925" s="360">
        <v>658.75</v>
      </c>
    </row>
    <row r="926" spans="1:5" ht="17.25" x14ac:dyDescent="0.45">
      <c r="A926" s="359">
        <v>45128</v>
      </c>
      <c r="B926" s="6" t="s">
        <v>2140</v>
      </c>
      <c r="C926" s="6" t="s">
        <v>1575</v>
      </c>
      <c r="D926" s="360"/>
      <c r="E926" s="360">
        <v>770</v>
      </c>
    </row>
    <row r="927" spans="1:5" ht="17.25" x14ac:dyDescent="0.45">
      <c r="A927" s="359">
        <v>45129</v>
      </c>
      <c r="B927" s="6" t="s">
        <v>2132</v>
      </c>
      <c r="C927" s="6" t="s">
        <v>1016</v>
      </c>
      <c r="D927" s="360"/>
      <c r="E927" s="360">
        <v>2200</v>
      </c>
    </row>
    <row r="928" spans="1:5" ht="17.25" x14ac:dyDescent="0.45">
      <c r="A928" s="359">
        <v>45129</v>
      </c>
      <c r="B928" s="6" t="s">
        <v>2141</v>
      </c>
      <c r="C928" s="6" t="s">
        <v>2142</v>
      </c>
      <c r="D928" s="360"/>
      <c r="E928" s="360">
        <v>2200</v>
      </c>
    </row>
    <row r="929" spans="1:5" ht="17.25" x14ac:dyDescent="0.45">
      <c r="A929" s="359">
        <v>45129</v>
      </c>
      <c r="B929" s="6" t="s">
        <v>2143</v>
      </c>
      <c r="C929" s="6" t="s">
        <v>997</v>
      </c>
      <c r="D929" s="360"/>
      <c r="E929" s="360">
        <v>2300</v>
      </c>
    </row>
    <row r="930" spans="1:5" ht="17.25" x14ac:dyDescent="0.45">
      <c r="A930" s="359">
        <v>45129</v>
      </c>
      <c r="B930" s="6" t="s">
        <v>2144</v>
      </c>
      <c r="C930" s="6" t="s">
        <v>52</v>
      </c>
      <c r="D930" s="360"/>
      <c r="E930" s="360">
        <v>2900</v>
      </c>
    </row>
    <row r="931" spans="1:5" ht="17.25" x14ac:dyDescent="0.45">
      <c r="A931" s="359">
        <v>45129</v>
      </c>
      <c r="B931" s="6" t="s">
        <v>2143</v>
      </c>
      <c r="C931" s="6" t="s">
        <v>545</v>
      </c>
      <c r="D931" s="360"/>
      <c r="E931" s="360">
        <v>2100</v>
      </c>
    </row>
    <row r="932" spans="1:5" ht="17.25" x14ac:dyDescent="0.45">
      <c r="A932" s="363">
        <v>45129</v>
      </c>
      <c r="B932" s="364" t="s">
        <v>2144</v>
      </c>
      <c r="C932" s="364" t="s">
        <v>1294</v>
      </c>
      <c r="D932" s="366"/>
      <c r="E932" s="366">
        <v>1500</v>
      </c>
    </row>
    <row r="933" spans="1:5" ht="17.25" x14ac:dyDescent="0.45">
      <c r="A933" s="359">
        <v>45140</v>
      </c>
      <c r="B933" s="6" t="s">
        <v>2115</v>
      </c>
      <c r="C933" s="6" t="s">
        <v>535</v>
      </c>
      <c r="D933" s="360"/>
      <c r="E933" s="360">
        <v>3500</v>
      </c>
    </row>
    <row r="934" spans="1:5" ht="17.25" x14ac:dyDescent="0.45">
      <c r="A934" s="359">
        <v>45140</v>
      </c>
      <c r="B934" s="6" t="s">
        <v>2145</v>
      </c>
      <c r="C934" s="6" t="s">
        <v>994</v>
      </c>
      <c r="D934" s="360"/>
      <c r="E934" s="360">
        <v>3500</v>
      </c>
    </row>
    <row r="935" spans="1:5" ht="17.25" x14ac:dyDescent="0.45">
      <c r="A935" s="359">
        <v>45140</v>
      </c>
      <c r="B935" s="6" t="s">
        <v>906</v>
      </c>
      <c r="C935" s="6" t="s">
        <v>938</v>
      </c>
      <c r="D935" s="360"/>
      <c r="E935" s="360">
        <v>800</v>
      </c>
    </row>
    <row r="936" spans="1:5" ht="17.25" x14ac:dyDescent="0.45">
      <c r="A936" s="359">
        <v>45140</v>
      </c>
      <c r="B936" s="6" t="s">
        <v>2146</v>
      </c>
      <c r="C936" s="6" t="s">
        <v>1341</v>
      </c>
      <c r="D936" s="360"/>
      <c r="E936" s="360">
        <v>800</v>
      </c>
    </row>
    <row r="937" spans="1:5" ht="17.25" x14ac:dyDescent="0.45">
      <c r="A937" s="359">
        <v>45140</v>
      </c>
      <c r="B937" s="6" t="s">
        <v>906</v>
      </c>
      <c r="C937" s="6" t="s">
        <v>1181</v>
      </c>
      <c r="D937" s="360"/>
      <c r="E937" s="360">
        <v>900</v>
      </c>
    </row>
    <row r="938" spans="1:5" ht="17.25" x14ac:dyDescent="0.45">
      <c r="A938" s="359">
        <v>45140</v>
      </c>
      <c r="B938" s="6" t="s">
        <v>2131</v>
      </c>
      <c r="C938" s="6" t="s">
        <v>912</v>
      </c>
      <c r="D938" s="360"/>
      <c r="E938" s="360" t="s">
        <v>1533</v>
      </c>
    </row>
    <row r="939" spans="1:5" ht="17.25" x14ac:dyDescent="0.45">
      <c r="A939" s="359">
        <v>45140</v>
      </c>
      <c r="B939" s="6" t="s">
        <v>2147</v>
      </c>
      <c r="C939" s="6" t="s">
        <v>1556</v>
      </c>
      <c r="D939" s="360"/>
      <c r="E939" s="360">
        <v>715</v>
      </c>
    </row>
    <row r="940" spans="1:5" ht="17.25" x14ac:dyDescent="0.45">
      <c r="A940" s="359">
        <v>45140</v>
      </c>
      <c r="B940" s="6" t="s">
        <v>2147</v>
      </c>
      <c r="C940" s="6" t="s">
        <v>968</v>
      </c>
      <c r="D940" s="360"/>
      <c r="E940" s="360">
        <v>770</v>
      </c>
    </row>
    <row r="941" spans="1:5" ht="17.25" x14ac:dyDescent="0.45">
      <c r="A941" s="359">
        <v>45140</v>
      </c>
      <c r="B941" s="6" t="s">
        <v>2148</v>
      </c>
      <c r="C941" s="6" t="s">
        <v>1776</v>
      </c>
      <c r="D941" s="360"/>
      <c r="E941" s="360">
        <v>650.25</v>
      </c>
    </row>
    <row r="942" spans="1:5" ht="17.25" x14ac:dyDescent="0.45">
      <c r="A942" s="359">
        <v>45140</v>
      </c>
      <c r="B942" s="6" t="s">
        <v>2083</v>
      </c>
      <c r="C942" s="6" t="s">
        <v>2149</v>
      </c>
      <c r="D942" s="360"/>
      <c r="E942" s="360">
        <v>318.75</v>
      </c>
    </row>
    <row r="943" spans="1:5" ht="17.25" x14ac:dyDescent="0.45">
      <c r="A943" s="359">
        <v>45140</v>
      </c>
      <c r="B943" s="6" t="s">
        <v>2150</v>
      </c>
      <c r="C943" s="6" t="s">
        <v>2151</v>
      </c>
      <c r="D943" s="360"/>
      <c r="E943" s="360">
        <v>693</v>
      </c>
    </row>
    <row r="944" spans="1:5" ht="17.25" x14ac:dyDescent="0.45">
      <c r="A944" s="359">
        <v>45140</v>
      </c>
      <c r="B944" s="6" t="s">
        <v>2148</v>
      </c>
      <c r="C944" s="6" t="s">
        <v>404</v>
      </c>
      <c r="D944" s="360"/>
      <c r="E944" s="360">
        <v>582.25</v>
      </c>
    </row>
    <row r="945" spans="1:5" ht="17.25" x14ac:dyDescent="0.45">
      <c r="A945" s="359">
        <v>45140</v>
      </c>
      <c r="B945" s="6" t="s">
        <v>2152</v>
      </c>
      <c r="C945" s="6" t="s">
        <v>320</v>
      </c>
      <c r="D945" s="360"/>
      <c r="E945" s="360">
        <v>569.5</v>
      </c>
    </row>
    <row r="946" spans="1:5" ht="17.25" x14ac:dyDescent="0.45">
      <c r="A946" s="359">
        <v>45140</v>
      </c>
      <c r="B946" s="6" t="s">
        <v>710</v>
      </c>
      <c r="C946" s="6" t="s">
        <v>2153</v>
      </c>
      <c r="D946" s="360"/>
      <c r="E946" s="360">
        <v>695</v>
      </c>
    </row>
    <row r="947" spans="1:5" ht="17.25" x14ac:dyDescent="0.45">
      <c r="A947" s="359">
        <v>45140</v>
      </c>
      <c r="B947" s="6" t="s">
        <v>2154</v>
      </c>
      <c r="C947" s="6" t="s">
        <v>98</v>
      </c>
      <c r="D947" s="360"/>
      <c r="E947" s="360">
        <v>697.5</v>
      </c>
    </row>
    <row r="948" spans="1:5" ht="17.25" x14ac:dyDescent="0.45">
      <c r="A948" s="363">
        <v>45140</v>
      </c>
      <c r="B948" s="364" t="s">
        <v>2155</v>
      </c>
      <c r="C948" s="364" t="s">
        <v>1404</v>
      </c>
      <c r="D948" s="366"/>
      <c r="E948" s="366">
        <v>650.25</v>
      </c>
    </row>
    <row r="949" spans="1:5" ht="17.25" x14ac:dyDescent="0.45">
      <c r="A949" s="359">
        <v>45142</v>
      </c>
      <c r="B949" s="6" t="s">
        <v>2144</v>
      </c>
      <c r="C949" s="6" t="s">
        <v>167</v>
      </c>
      <c r="D949" s="360"/>
      <c r="E949" s="360">
        <v>2300</v>
      </c>
    </row>
    <row r="950" spans="1:5" ht="17.25" x14ac:dyDescent="0.45">
      <c r="A950" s="359">
        <v>45142</v>
      </c>
      <c r="B950" s="6" t="s">
        <v>2115</v>
      </c>
      <c r="C950" s="6" t="s">
        <v>535</v>
      </c>
      <c r="D950" s="360"/>
      <c r="E950" s="360" t="s">
        <v>1533</v>
      </c>
    </row>
    <row r="951" spans="1:5" ht="17.25" x14ac:dyDescent="0.45">
      <c r="A951" s="359">
        <v>45143</v>
      </c>
      <c r="B951" s="6" t="s">
        <v>906</v>
      </c>
      <c r="C951" s="6" t="s">
        <v>2013</v>
      </c>
      <c r="D951" s="360"/>
      <c r="E951" s="360">
        <v>3900</v>
      </c>
    </row>
    <row r="952" spans="1:5" ht="17.25" x14ac:dyDescent="0.45">
      <c r="A952" s="359">
        <v>45143</v>
      </c>
      <c r="B952" s="6" t="s">
        <v>906</v>
      </c>
      <c r="C952" s="6" t="s">
        <v>2156</v>
      </c>
      <c r="D952" s="360"/>
      <c r="E952" s="360">
        <v>3300</v>
      </c>
    </row>
    <row r="953" spans="1:5" ht="17.25" x14ac:dyDescent="0.45">
      <c r="A953" s="359">
        <v>45143</v>
      </c>
      <c r="B953" s="6" t="s">
        <v>906</v>
      </c>
      <c r="C953" s="6" t="s">
        <v>1503</v>
      </c>
      <c r="D953" s="360"/>
      <c r="E953" s="360">
        <v>3300</v>
      </c>
    </row>
    <row r="954" spans="1:5" ht="17.25" x14ac:dyDescent="0.45">
      <c r="A954" s="359">
        <v>45143</v>
      </c>
      <c r="B954" s="6" t="s">
        <v>906</v>
      </c>
      <c r="C954" s="6" t="s">
        <v>2157</v>
      </c>
      <c r="D954" s="360"/>
      <c r="E954" s="360">
        <v>3100</v>
      </c>
    </row>
    <row r="955" spans="1:5" ht="17.25" x14ac:dyDescent="0.45">
      <c r="A955" s="359">
        <v>45143</v>
      </c>
      <c r="B955" s="6" t="s">
        <v>906</v>
      </c>
      <c r="C955" s="6" t="s">
        <v>2157</v>
      </c>
      <c r="D955" s="360"/>
      <c r="E955" s="360">
        <v>3100</v>
      </c>
    </row>
    <row r="956" spans="1:5" ht="17.25" x14ac:dyDescent="0.45">
      <c r="A956" s="359">
        <v>45143</v>
      </c>
      <c r="B956" s="6" t="s">
        <v>906</v>
      </c>
      <c r="C956" s="6" t="s">
        <v>933</v>
      </c>
      <c r="D956" s="360"/>
      <c r="E956" s="360">
        <v>2900</v>
      </c>
    </row>
    <row r="957" spans="1:5" ht="17.25" x14ac:dyDescent="0.45">
      <c r="A957" s="359">
        <v>45146</v>
      </c>
      <c r="B957" s="6" t="s">
        <v>2158</v>
      </c>
      <c r="C957" s="6" t="s">
        <v>476</v>
      </c>
      <c r="D957" s="360"/>
      <c r="E957" s="360">
        <v>2300</v>
      </c>
    </row>
    <row r="958" spans="1:5" ht="17.25" x14ac:dyDescent="0.45">
      <c r="A958" s="359">
        <v>45146</v>
      </c>
      <c r="B958" s="6" t="s">
        <v>906</v>
      </c>
      <c r="C958" s="6" t="s">
        <v>2159</v>
      </c>
      <c r="D958" s="360"/>
      <c r="E958" s="360">
        <v>3000</v>
      </c>
    </row>
    <row r="959" spans="1:5" ht="17.25" x14ac:dyDescent="0.45">
      <c r="A959" s="359">
        <v>45146</v>
      </c>
      <c r="B959" s="6" t="s">
        <v>2146</v>
      </c>
      <c r="C959" s="6" t="s">
        <v>831</v>
      </c>
      <c r="D959" s="360"/>
      <c r="E959" s="360">
        <v>3400</v>
      </c>
    </row>
    <row r="960" spans="1:5" ht="17.25" x14ac:dyDescent="0.45">
      <c r="A960" s="359">
        <v>45146</v>
      </c>
      <c r="B960" s="6" t="s">
        <v>906</v>
      </c>
      <c r="C960" s="6" t="s">
        <v>623</v>
      </c>
      <c r="D960" s="360"/>
      <c r="E960" s="360">
        <v>3000</v>
      </c>
    </row>
    <row r="961" spans="1:5" ht="17.25" x14ac:dyDescent="0.45">
      <c r="A961" s="359">
        <v>45146</v>
      </c>
      <c r="B961" s="6" t="s">
        <v>2146</v>
      </c>
      <c r="C961" s="6" t="s">
        <v>1791</v>
      </c>
      <c r="D961" s="360"/>
      <c r="E961" s="360">
        <v>2100</v>
      </c>
    </row>
    <row r="962" spans="1:5" ht="17.25" x14ac:dyDescent="0.45">
      <c r="A962" s="359">
        <v>45146</v>
      </c>
      <c r="B962" s="6" t="s">
        <v>1819</v>
      </c>
      <c r="C962" s="6" t="s">
        <v>2160</v>
      </c>
      <c r="D962" s="360"/>
      <c r="E962" s="360">
        <v>2100</v>
      </c>
    </row>
    <row r="963" spans="1:5" ht="17.25" x14ac:dyDescent="0.45">
      <c r="A963" s="359">
        <v>45146</v>
      </c>
      <c r="B963" s="6" t="s">
        <v>2146</v>
      </c>
      <c r="C963" s="6" t="s">
        <v>273</v>
      </c>
      <c r="D963" s="360"/>
      <c r="E963" s="360">
        <v>1100</v>
      </c>
    </row>
    <row r="964" spans="1:5" ht="17.25" x14ac:dyDescent="0.45">
      <c r="A964" s="359">
        <v>45146</v>
      </c>
      <c r="B964" s="6" t="s">
        <v>906</v>
      </c>
      <c r="C964" s="6" t="s">
        <v>1144</v>
      </c>
      <c r="D964" s="360"/>
      <c r="E964" s="360">
        <v>3300</v>
      </c>
    </row>
    <row r="965" spans="1:5" ht="17.25" x14ac:dyDescent="0.45">
      <c r="A965" s="363">
        <v>45146</v>
      </c>
      <c r="B965" s="364" t="s">
        <v>2161</v>
      </c>
      <c r="C965" s="364" t="s">
        <v>2162</v>
      </c>
      <c r="D965" s="366"/>
      <c r="E965" s="366">
        <v>2300</v>
      </c>
    </row>
    <row r="966" spans="1:5" ht="17.25" x14ac:dyDescent="0.45">
      <c r="A966" s="359">
        <v>45148</v>
      </c>
      <c r="B966" s="6" t="s">
        <v>2143</v>
      </c>
      <c r="C966" s="6" t="s">
        <v>997</v>
      </c>
      <c r="D966" s="360"/>
      <c r="E966" s="360">
        <v>0</v>
      </c>
    </row>
    <row r="967" spans="1:5" ht="17.25" x14ac:dyDescent="0.45">
      <c r="A967" s="359">
        <v>45149</v>
      </c>
      <c r="B967" s="6" t="s">
        <v>2163</v>
      </c>
      <c r="C967" s="6" t="s">
        <v>806</v>
      </c>
      <c r="D967" s="360"/>
      <c r="E967" s="360">
        <v>6800</v>
      </c>
    </row>
    <row r="968" spans="1:5" ht="17.25" x14ac:dyDescent="0.45">
      <c r="A968" s="359">
        <v>45149</v>
      </c>
      <c r="B968" s="6" t="s">
        <v>2164</v>
      </c>
      <c r="C968" s="6" t="s">
        <v>1349</v>
      </c>
      <c r="D968" s="360"/>
      <c r="E968" s="360">
        <v>1100</v>
      </c>
    </row>
    <row r="969" spans="1:5" ht="17.25" x14ac:dyDescent="0.45">
      <c r="A969" s="359">
        <v>45149</v>
      </c>
      <c r="B969" s="6" t="s">
        <v>2165</v>
      </c>
      <c r="C969" s="6" t="s">
        <v>452</v>
      </c>
      <c r="D969" s="360"/>
      <c r="E969" s="360">
        <v>3485</v>
      </c>
    </row>
    <row r="970" spans="1:5" ht="17.25" x14ac:dyDescent="0.45">
      <c r="A970" s="359">
        <v>45149</v>
      </c>
      <c r="B970" s="6" t="s">
        <v>906</v>
      </c>
      <c r="C970" s="6" t="s">
        <v>831</v>
      </c>
      <c r="D970" s="360"/>
      <c r="E970" s="360">
        <v>5400</v>
      </c>
    </row>
    <row r="971" spans="1:5" ht="17.25" x14ac:dyDescent="0.45">
      <c r="A971" s="359">
        <v>45149</v>
      </c>
      <c r="B971" s="6" t="s">
        <v>410</v>
      </c>
      <c r="C971" s="6" t="s">
        <v>495</v>
      </c>
      <c r="D971" s="360"/>
      <c r="E971" s="360">
        <v>1530</v>
      </c>
    </row>
    <row r="972" spans="1:5" ht="17.25" x14ac:dyDescent="0.45">
      <c r="A972" s="359">
        <v>45149</v>
      </c>
      <c r="B972" s="6" t="s">
        <v>2158</v>
      </c>
      <c r="C972" s="6" t="s">
        <v>471</v>
      </c>
      <c r="D972" s="360"/>
      <c r="E972" s="360">
        <v>1700</v>
      </c>
    </row>
    <row r="973" spans="1:5" ht="17.25" x14ac:dyDescent="0.45">
      <c r="A973" s="359">
        <v>45154</v>
      </c>
      <c r="B973" s="6" t="s">
        <v>2166</v>
      </c>
      <c r="C973" s="6" t="s">
        <v>2160</v>
      </c>
      <c r="D973" s="360"/>
      <c r="E973" s="360">
        <v>640</v>
      </c>
    </row>
    <row r="974" spans="1:5" ht="17.25" x14ac:dyDescent="0.45">
      <c r="A974" s="359">
        <v>45154</v>
      </c>
      <c r="B974" s="6" t="s">
        <v>2167</v>
      </c>
      <c r="C974" s="6" t="s">
        <v>249</v>
      </c>
      <c r="D974" s="360"/>
      <c r="E974" s="360">
        <v>785</v>
      </c>
    </row>
    <row r="975" spans="1:5" ht="17.25" x14ac:dyDescent="0.45">
      <c r="A975" s="359">
        <v>45154</v>
      </c>
      <c r="B975" s="6" t="s">
        <v>2168</v>
      </c>
      <c r="C975" s="6" t="s">
        <v>1388</v>
      </c>
      <c r="D975" s="360"/>
      <c r="E975" s="360">
        <v>195</v>
      </c>
    </row>
    <row r="976" spans="1:5" ht="17.25" x14ac:dyDescent="0.45">
      <c r="A976" s="359">
        <v>45154</v>
      </c>
      <c r="B976" s="6" t="s">
        <v>2169</v>
      </c>
      <c r="C976" s="6" t="s">
        <v>424</v>
      </c>
      <c r="D976" s="360"/>
      <c r="E976" s="360">
        <v>654.5</v>
      </c>
    </row>
    <row r="977" spans="1:5" ht="17.25" x14ac:dyDescent="0.45">
      <c r="A977" s="359">
        <v>45154</v>
      </c>
      <c r="B977" s="6" t="s">
        <v>2170</v>
      </c>
      <c r="C977" s="6" t="s">
        <v>841</v>
      </c>
      <c r="D977" s="360"/>
      <c r="E977" s="360">
        <v>1310</v>
      </c>
    </row>
    <row r="978" spans="1:5" ht="17.25" x14ac:dyDescent="0.45">
      <c r="A978" s="359">
        <v>45154</v>
      </c>
      <c r="B978" s="6" t="s">
        <v>2171</v>
      </c>
      <c r="C978" s="6" t="s">
        <v>91</v>
      </c>
      <c r="D978" s="360"/>
      <c r="E978" s="360">
        <v>680</v>
      </c>
    </row>
    <row r="979" spans="1:5" ht="17.25" x14ac:dyDescent="0.45">
      <c r="A979" s="359">
        <v>45154</v>
      </c>
      <c r="B979" s="6" t="s">
        <v>2171</v>
      </c>
      <c r="C979" s="6" t="s">
        <v>439</v>
      </c>
      <c r="D979" s="360"/>
      <c r="E979" s="360">
        <v>1202.75</v>
      </c>
    </row>
    <row r="980" spans="1:5" ht="17.25" x14ac:dyDescent="0.45">
      <c r="A980" s="359">
        <v>45155</v>
      </c>
      <c r="B980" s="6" t="s">
        <v>2172</v>
      </c>
      <c r="C980" s="6" t="s">
        <v>87</v>
      </c>
      <c r="D980" s="360"/>
      <c r="E980" s="360">
        <v>5800</v>
      </c>
    </row>
    <row r="981" spans="1:5" ht="17.25" x14ac:dyDescent="0.45">
      <c r="A981" s="363">
        <v>45155</v>
      </c>
      <c r="B981" s="364" t="s">
        <v>2173</v>
      </c>
      <c r="C981" s="364" t="s">
        <v>933</v>
      </c>
      <c r="D981" s="366"/>
      <c r="E981" s="366">
        <v>2040</v>
      </c>
    </row>
    <row r="982" spans="1:5" ht="17.25" x14ac:dyDescent="0.45">
      <c r="A982" s="359">
        <v>45162</v>
      </c>
      <c r="B982" s="6" t="s">
        <v>2174</v>
      </c>
      <c r="C982" s="6" t="s">
        <v>1332</v>
      </c>
      <c r="D982" s="360"/>
      <c r="E982" s="360">
        <v>1615</v>
      </c>
    </row>
    <row r="983" spans="1:5" ht="17.25" x14ac:dyDescent="0.45">
      <c r="A983" s="359">
        <v>45162</v>
      </c>
      <c r="B983" s="6" t="s">
        <v>2175</v>
      </c>
      <c r="C983" s="6" t="s">
        <v>1342</v>
      </c>
      <c r="D983" s="360"/>
      <c r="E983" s="360">
        <v>3668</v>
      </c>
    </row>
    <row r="984" spans="1:5" ht="17.25" x14ac:dyDescent="0.45">
      <c r="A984" s="359">
        <v>45162</v>
      </c>
      <c r="B984" s="6" t="s">
        <v>2176</v>
      </c>
      <c r="C984" s="6" t="s">
        <v>1313</v>
      </c>
      <c r="D984" s="360"/>
      <c r="E984" s="360">
        <v>650</v>
      </c>
    </row>
    <row r="985" spans="1:5" ht="17.25" x14ac:dyDescent="0.45">
      <c r="A985" s="359">
        <v>45162</v>
      </c>
      <c r="B985" s="6" t="s">
        <v>2176</v>
      </c>
      <c r="C985" s="6" t="s">
        <v>929</v>
      </c>
      <c r="D985" s="360"/>
      <c r="E985" s="360">
        <v>445</v>
      </c>
    </row>
    <row r="986" spans="1:5" ht="17.25" x14ac:dyDescent="0.45">
      <c r="A986" s="359">
        <v>45162</v>
      </c>
      <c r="B986" s="6" t="s">
        <v>2176</v>
      </c>
      <c r="C986" s="6" t="s">
        <v>936</v>
      </c>
      <c r="D986" s="360"/>
      <c r="E986" s="360">
        <v>520</v>
      </c>
    </row>
    <row r="987" spans="1:5" ht="17.25" x14ac:dyDescent="0.45">
      <c r="A987" s="359">
        <v>45162</v>
      </c>
      <c r="B987" s="6" t="s">
        <v>2176</v>
      </c>
      <c r="C987" s="6" t="s">
        <v>660</v>
      </c>
      <c r="D987" s="360"/>
      <c r="E987" s="360">
        <v>440</v>
      </c>
    </row>
    <row r="988" spans="1:5" ht="17.25" x14ac:dyDescent="0.45">
      <c r="A988" s="363">
        <v>45162</v>
      </c>
      <c r="B988" s="364" t="s">
        <v>1611</v>
      </c>
      <c r="C988" s="364" t="s">
        <v>1498</v>
      </c>
      <c r="D988" s="366"/>
      <c r="E988" s="366">
        <v>555</v>
      </c>
    </row>
    <row r="989" spans="1:5" ht="17.25" x14ac:dyDescent="0.45">
      <c r="A989" s="359">
        <v>45163</v>
      </c>
      <c r="B989" s="6" t="s">
        <v>429</v>
      </c>
      <c r="C989" s="6" t="s">
        <v>2119</v>
      </c>
      <c r="D989" s="360"/>
      <c r="E989" s="360">
        <v>2100</v>
      </c>
    </row>
    <row r="990" spans="1:5" ht="17.25" x14ac:dyDescent="0.45">
      <c r="A990" s="363">
        <v>45163</v>
      </c>
      <c r="B990" s="364" t="s">
        <v>2177</v>
      </c>
      <c r="C990" s="364" t="s">
        <v>1144</v>
      </c>
      <c r="D990" s="366"/>
      <c r="E990" s="366">
        <v>0</v>
      </c>
    </row>
    <row r="991" spans="1:5" ht="17.25" x14ac:dyDescent="0.45">
      <c r="A991" s="359">
        <v>45169</v>
      </c>
      <c r="B991" s="6" t="s">
        <v>2154</v>
      </c>
      <c r="C991" s="6" t="s">
        <v>98</v>
      </c>
      <c r="D991" s="360"/>
      <c r="E991" s="360">
        <v>697.5</v>
      </c>
    </row>
    <row r="992" spans="1:5" ht="17.25" x14ac:dyDescent="0.45">
      <c r="A992" s="359">
        <v>45169</v>
      </c>
      <c r="B992" s="6" t="s">
        <v>2167</v>
      </c>
      <c r="C992" s="6" t="s">
        <v>249</v>
      </c>
      <c r="D992" s="360"/>
      <c r="E992" s="360" t="s">
        <v>1533</v>
      </c>
    </row>
    <row r="993" spans="1:5" ht="17.25" x14ac:dyDescent="0.45">
      <c r="A993" s="359">
        <v>45169</v>
      </c>
      <c r="B993" s="6" t="s">
        <v>1346</v>
      </c>
      <c r="C993" s="6" t="s">
        <v>2142</v>
      </c>
      <c r="D993" s="360"/>
      <c r="E993" s="360">
        <v>785</v>
      </c>
    </row>
    <row r="994" spans="1:5" ht="17.25" x14ac:dyDescent="0.45">
      <c r="A994" s="359">
        <v>45169</v>
      </c>
      <c r="B994" s="6" t="s">
        <v>2178</v>
      </c>
      <c r="C994" s="6" t="s">
        <v>606</v>
      </c>
      <c r="D994" s="360"/>
      <c r="E994" s="360">
        <v>588</v>
      </c>
    </row>
    <row r="995" spans="1:5" ht="17.25" x14ac:dyDescent="0.45">
      <c r="A995" s="359">
        <v>45169</v>
      </c>
      <c r="B995" s="6" t="s">
        <v>2178</v>
      </c>
      <c r="C995" s="6" t="s">
        <v>446</v>
      </c>
      <c r="D995" s="360"/>
      <c r="E995" s="360">
        <v>600</v>
      </c>
    </row>
    <row r="996" spans="1:5" ht="17.25" x14ac:dyDescent="0.45">
      <c r="A996" s="359">
        <v>45170</v>
      </c>
      <c r="B996" s="6" t="s">
        <v>2179</v>
      </c>
      <c r="C996" s="6" t="s">
        <v>582</v>
      </c>
      <c r="D996" s="360"/>
      <c r="E996" s="360">
        <v>5440</v>
      </c>
    </row>
    <row r="997" spans="1:5" ht="17.25" x14ac:dyDescent="0.45">
      <c r="A997" s="359">
        <v>45170</v>
      </c>
      <c r="B997" s="6" t="s">
        <v>2180</v>
      </c>
      <c r="C997" s="6" t="s">
        <v>2181</v>
      </c>
      <c r="D997" s="360"/>
      <c r="E997" s="360">
        <v>616</v>
      </c>
    </row>
    <row r="998" spans="1:5" ht="17.25" x14ac:dyDescent="0.45">
      <c r="A998" s="359">
        <v>45170</v>
      </c>
      <c r="B998" s="6" t="s">
        <v>2180</v>
      </c>
      <c r="C998" s="6" t="s">
        <v>74</v>
      </c>
      <c r="D998" s="360"/>
      <c r="E998" s="360">
        <v>1032</v>
      </c>
    </row>
    <row r="999" spans="1:5" ht="17.25" x14ac:dyDescent="0.45">
      <c r="A999" s="359">
        <v>45170</v>
      </c>
      <c r="B999" s="6" t="s">
        <v>2182</v>
      </c>
      <c r="C999" s="6" t="s">
        <v>864</v>
      </c>
      <c r="D999" s="360"/>
      <c r="E999" s="360">
        <v>600</v>
      </c>
    </row>
    <row r="1000" spans="1:5" ht="17.25" x14ac:dyDescent="0.45">
      <c r="A1000" s="359">
        <v>45175</v>
      </c>
      <c r="B1000" s="6" t="s">
        <v>1198</v>
      </c>
      <c r="C1000" s="6" t="s">
        <v>2159</v>
      </c>
      <c r="D1000" s="360"/>
      <c r="E1000" s="360">
        <v>3000</v>
      </c>
    </row>
    <row r="1001" spans="1:5" ht="17.25" x14ac:dyDescent="0.45">
      <c r="A1001" s="359">
        <v>45175</v>
      </c>
      <c r="B1001" s="6" t="s">
        <v>2183</v>
      </c>
      <c r="C1001" s="6" t="s">
        <v>390</v>
      </c>
      <c r="D1001" s="360"/>
      <c r="E1001" s="360">
        <v>1900</v>
      </c>
    </row>
    <row r="1002" spans="1:5" ht="17.25" x14ac:dyDescent="0.45">
      <c r="A1002" s="359">
        <v>45175</v>
      </c>
      <c r="B1002" s="6" t="s">
        <v>1198</v>
      </c>
      <c r="C1002" s="6" t="s">
        <v>2184</v>
      </c>
      <c r="D1002" s="360"/>
      <c r="E1002" s="360">
        <v>2100</v>
      </c>
    </row>
    <row r="1003" spans="1:5" ht="17.25" x14ac:dyDescent="0.45">
      <c r="A1003" s="359">
        <v>45175</v>
      </c>
      <c r="B1003" s="6" t="s">
        <v>1198</v>
      </c>
      <c r="C1003" s="6" t="s">
        <v>2162</v>
      </c>
      <c r="D1003" s="360"/>
      <c r="E1003" s="360">
        <v>3500</v>
      </c>
    </row>
    <row r="1004" spans="1:5" ht="17.25" x14ac:dyDescent="0.45">
      <c r="A1004" s="359">
        <v>45175</v>
      </c>
      <c r="B1004" s="6" t="s">
        <v>1198</v>
      </c>
      <c r="C1004" s="6" t="s">
        <v>831</v>
      </c>
      <c r="D1004" s="360"/>
      <c r="E1004" s="360">
        <v>3500</v>
      </c>
    </row>
    <row r="1005" spans="1:5" ht="17.25" x14ac:dyDescent="0.45">
      <c r="A1005" s="359">
        <v>45175</v>
      </c>
      <c r="B1005" s="6" t="s">
        <v>2185</v>
      </c>
      <c r="C1005" s="6" t="s">
        <v>459</v>
      </c>
      <c r="D1005" s="360"/>
      <c r="E1005" s="360">
        <v>3280</v>
      </c>
    </row>
    <row r="1006" spans="1:5" ht="17.25" x14ac:dyDescent="0.45">
      <c r="A1006" s="359">
        <v>45175</v>
      </c>
      <c r="B1006" s="6" t="s">
        <v>1198</v>
      </c>
      <c r="C1006" s="6" t="s">
        <v>2186</v>
      </c>
      <c r="D1006" s="360"/>
      <c r="E1006" s="360">
        <v>3500</v>
      </c>
    </row>
    <row r="1007" spans="1:5" ht="17.25" x14ac:dyDescent="0.45">
      <c r="A1007" s="359">
        <v>45176</v>
      </c>
      <c r="B1007" s="6" t="s">
        <v>2158</v>
      </c>
      <c r="C1007" s="6" t="s">
        <v>563</v>
      </c>
      <c r="D1007" s="360"/>
      <c r="E1007" s="360">
        <v>1360</v>
      </c>
    </row>
    <row r="1008" spans="1:5" ht="17.25" x14ac:dyDescent="0.45">
      <c r="A1008" s="359">
        <v>45176</v>
      </c>
      <c r="B1008" s="6" t="s">
        <v>1198</v>
      </c>
      <c r="C1008" s="6" t="s">
        <v>831</v>
      </c>
      <c r="D1008" s="360"/>
      <c r="E1008" s="360">
        <v>2300</v>
      </c>
    </row>
    <row r="1009" spans="1:5" ht="17.25" x14ac:dyDescent="0.45">
      <c r="A1009" s="359">
        <v>45176</v>
      </c>
      <c r="B1009" s="6" t="s">
        <v>814</v>
      </c>
      <c r="C1009" s="6" t="s">
        <v>76</v>
      </c>
      <c r="D1009" s="360"/>
      <c r="E1009" s="360">
        <v>880</v>
      </c>
    </row>
    <row r="1010" spans="1:5" ht="17.25" x14ac:dyDescent="0.45">
      <c r="A1010" s="359">
        <v>45176</v>
      </c>
      <c r="B1010" s="6" t="s">
        <v>2187</v>
      </c>
      <c r="C1010" s="6" t="s">
        <v>2188</v>
      </c>
      <c r="D1010" s="360"/>
      <c r="E1010" s="360">
        <v>320</v>
      </c>
    </row>
    <row r="1011" spans="1:5" ht="17.25" x14ac:dyDescent="0.45">
      <c r="A1011" s="359">
        <v>45176</v>
      </c>
      <c r="B1011" s="6" t="s">
        <v>954</v>
      </c>
      <c r="C1011" s="6" t="s">
        <v>2186</v>
      </c>
      <c r="D1011" s="360"/>
      <c r="E1011" s="360">
        <v>2720</v>
      </c>
    </row>
    <row r="1012" spans="1:5" ht="17.25" x14ac:dyDescent="0.45">
      <c r="A1012" s="363">
        <v>45176</v>
      </c>
      <c r="B1012" s="364" t="s">
        <v>2189</v>
      </c>
      <c r="C1012" s="364" t="s">
        <v>424</v>
      </c>
      <c r="D1012" s="366"/>
      <c r="E1012" s="366">
        <v>2400</v>
      </c>
    </row>
    <row r="1013" spans="1:5" ht="17.25" x14ac:dyDescent="0.45">
      <c r="A1013" s="359">
        <v>45178</v>
      </c>
      <c r="B1013" s="6" t="s">
        <v>410</v>
      </c>
      <c r="C1013" s="6" t="s">
        <v>167</v>
      </c>
      <c r="D1013" s="360"/>
      <c r="E1013" s="360">
        <v>2160</v>
      </c>
    </row>
    <row r="1014" spans="1:5" ht="17.25" x14ac:dyDescent="0.45">
      <c r="A1014" s="359">
        <v>45178</v>
      </c>
      <c r="B1014" s="6" t="s">
        <v>1570</v>
      </c>
      <c r="C1014" s="6" t="s">
        <v>2190</v>
      </c>
      <c r="D1014" s="360"/>
      <c r="E1014" s="360">
        <v>1680</v>
      </c>
    </row>
    <row r="1015" spans="1:5" ht="17.25" x14ac:dyDescent="0.45">
      <c r="A1015" s="359">
        <v>45178</v>
      </c>
      <c r="B1015" s="6" t="s">
        <v>1384</v>
      </c>
      <c r="C1015" s="6" t="s">
        <v>52</v>
      </c>
      <c r="D1015" s="360"/>
      <c r="E1015" s="360">
        <v>2320</v>
      </c>
    </row>
    <row r="1016" spans="1:5" ht="17.25" x14ac:dyDescent="0.45">
      <c r="A1016" s="359">
        <v>45178</v>
      </c>
      <c r="B1016" s="6" t="s">
        <v>2191</v>
      </c>
      <c r="C1016" s="6" t="s">
        <v>996</v>
      </c>
      <c r="D1016" s="360"/>
      <c r="E1016" s="360">
        <v>460</v>
      </c>
    </row>
    <row r="1017" spans="1:5" ht="17.25" x14ac:dyDescent="0.45">
      <c r="A1017" s="359">
        <v>45178</v>
      </c>
      <c r="B1017" s="6" t="s">
        <v>840</v>
      </c>
      <c r="C1017" s="6" t="s">
        <v>2192</v>
      </c>
      <c r="D1017" s="360"/>
      <c r="E1017" s="360">
        <v>420</v>
      </c>
    </row>
    <row r="1018" spans="1:5" ht="17.25" x14ac:dyDescent="0.45">
      <c r="A1018" s="359">
        <v>45178</v>
      </c>
      <c r="B1018" s="6" t="s">
        <v>2193</v>
      </c>
      <c r="C1018" s="6" t="s">
        <v>439</v>
      </c>
      <c r="D1018" s="360"/>
      <c r="E1018" s="360">
        <v>368</v>
      </c>
    </row>
    <row r="1019" spans="1:5" ht="17.25" x14ac:dyDescent="0.45">
      <c r="A1019" s="359">
        <v>45178</v>
      </c>
      <c r="B1019" s="6" t="s">
        <v>2194</v>
      </c>
      <c r="C1019" s="6" t="s">
        <v>1588</v>
      </c>
      <c r="D1019" s="360"/>
      <c r="E1019" s="360">
        <v>435</v>
      </c>
    </row>
    <row r="1020" spans="1:5" ht="17.25" x14ac:dyDescent="0.45">
      <c r="A1020" s="359">
        <v>45178</v>
      </c>
      <c r="B1020" s="6" t="s">
        <v>97</v>
      </c>
      <c r="C1020" s="6" t="s">
        <v>579</v>
      </c>
      <c r="D1020" s="360"/>
      <c r="E1020" s="360">
        <v>616</v>
      </c>
    </row>
    <row r="1021" spans="1:5" ht="17.25" x14ac:dyDescent="0.45">
      <c r="A1021" s="359">
        <v>45178</v>
      </c>
      <c r="B1021" s="6" t="s">
        <v>2195</v>
      </c>
      <c r="C1021" s="6" t="s">
        <v>1376</v>
      </c>
      <c r="D1021" s="360"/>
      <c r="E1021" s="360">
        <v>608</v>
      </c>
    </row>
    <row r="1022" spans="1:5" ht="17.25" x14ac:dyDescent="0.45">
      <c r="A1022" s="359">
        <v>45178</v>
      </c>
      <c r="B1022" s="6" t="s">
        <v>2196</v>
      </c>
      <c r="C1022" s="6" t="s">
        <v>249</v>
      </c>
      <c r="D1022" s="360"/>
      <c r="E1022" s="360">
        <v>935</v>
      </c>
    </row>
    <row r="1023" spans="1:5" ht="17.25" x14ac:dyDescent="0.45">
      <c r="A1023" s="359">
        <v>45178</v>
      </c>
      <c r="B1023" s="6" t="s">
        <v>2197</v>
      </c>
      <c r="C1023" s="6" t="s">
        <v>912</v>
      </c>
      <c r="D1023" s="360"/>
      <c r="E1023" s="360">
        <v>716</v>
      </c>
    </row>
    <row r="1024" spans="1:5" ht="17.25" x14ac:dyDescent="0.45">
      <c r="A1024" s="359">
        <v>45178</v>
      </c>
      <c r="B1024" s="6" t="s">
        <v>2198</v>
      </c>
      <c r="C1024" s="6" t="s">
        <v>1450</v>
      </c>
      <c r="D1024" s="360"/>
      <c r="E1024" s="360">
        <v>655</v>
      </c>
    </row>
    <row r="1025" spans="1:5" ht="17.25" x14ac:dyDescent="0.45">
      <c r="A1025" s="359">
        <v>45178</v>
      </c>
      <c r="B1025" s="6" t="s">
        <v>960</v>
      </c>
      <c r="C1025" s="6" t="s">
        <v>1351</v>
      </c>
      <c r="D1025" s="360"/>
      <c r="E1025" s="360">
        <v>548</v>
      </c>
    </row>
    <row r="1026" spans="1:5" ht="17.25" x14ac:dyDescent="0.45">
      <c r="A1026" s="359">
        <v>45178</v>
      </c>
      <c r="B1026" s="6" t="s">
        <v>2196</v>
      </c>
      <c r="C1026" s="6" t="s">
        <v>1341</v>
      </c>
      <c r="D1026" s="360"/>
      <c r="E1026" s="360">
        <v>445</v>
      </c>
    </row>
    <row r="1027" spans="1:5" ht="17.25" x14ac:dyDescent="0.45">
      <c r="A1027" s="359">
        <v>45178</v>
      </c>
      <c r="B1027" s="6" t="s">
        <v>2199</v>
      </c>
      <c r="C1027" s="6" t="s">
        <v>1030</v>
      </c>
      <c r="D1027" s="360"/>
      <c r="E1027" s="360">
        <v>416</v>
      </c>
    </row>
    <row r="1028" spans="1:5" ht="17.25" x14ac:dyDescent="0.45">
      <c r="A1028" s="359">
        <v>45178</v>
      </c>
      <c r="B1028" s="6" t="s">
        <v>2200</v>
      </c>
      <c r="C1028" s="6" t="s">
        <v>2102</v>
      </c>
      <c r="D1028" s="360"/>
      <c r="E1028" s="360">
        <v>604</v>
      </c>
    </row>
    <row r="1029" spans="1:5" ht="17.25" x14ac:dyDescent="0.45">
      <c r="A1029" s="359">
        <v>45178</v>
      </c>
      <c r="B1029" s="6" t="s">
        <v>2201</v>
      </c>
      <c r="C1029" s="6" t="s">
        <v>660</v>
      </c>
      <c r="D1029" s="360"/>
      <c r="E1029" s="360">
        <v>352</v>
      </c>
    </row>
    <row r="1030" spans="1:5" ht="17.25" x14ac:dyDescent="0.45">
      <c r="A1030" s="359">
        <v>45178</v>
      </c>
      <c r="B1030" s="6" t="s">
        <v>2202</v>
      </c>
      <c r="C1030" s="6" t="s">
        <v>1788</v>
      </c>
      <c r="D1030" s="360"/>
      <c r="E1030" s="360">
        <v>1296</v>
      </c>
    </row>
    <row r="1031" spans="1:5" ht="17.25" x14ac:dyDescent="0.45">
      <c r="A1031" s="359">
        <v>45178</v>
      </c>
      <c r="B1031" s="6" t="s">
        <v>2203</v>
      </c>
      <c r="C1031" s="6" t="s">
        <v>438</v>
      </c>
      <c r="D1031" s="360"/>
      <c r="E1031" s="360">
        <v>540</v>
      </c>
    </row>
    <row r="1032" spans="1:5" ht="17.25" x14ac:dyDescent="0.45">
      <c r="A1032" s="359">
        <v>45178</v>
      </c>
      <c r="B1032" s="6" t="s">
        <v>2201</v>
      </c>
      <c r="C1032" s="6" t="s">
        <v>924</v>
      </c>
      <c r="D1032" s="360"/>
      <c r="E1032" s="360">
        <v>480</v>
      </c>
    </row>
    <row r="1033" spans="1:5" ht="17.25" x14ac:dyDescent="0.45">
      <c r="A1033" s="359">
        <v>45178</v>
      </c>
      <c r="B1033" s="6" t="s">
        <v>960</v>
      </c>
      <c r="C1033" s="6" t="s">
        <v>2204</v>
      </c>
      <c r="D1033" s="360"/>
      <c r="E1033" s="360">
        <v>556</v>
      </c>
    </row>
    <row r="1034" spans="1:5" ht="17.25" x14ac:dyDescent="0.45">
      <c r="A1034" s="359">
        <v>45178</v>
      </c>
      <c r="B1034" s="6" t="s">
        <v>2203</v>
      </c>
      <c r="C1034" s="6" t="s">
        <v>1056</v>
      </c>
      <c r="D1034" s="360"/>
      <c r="E1034" s="360">
        <v>556</v>
      </c>
    </row>
    <row r="1035" spans="1:5" ht="17.25" x14ac:dyDescent="0.45">
      <c r="A1035" s="359">
        <v>45178</v>
      </c>
      <c r="B1035" s="6" t="s">
        <v>2200</v>
      </c>
      <c r="C1035" s="6" t="s">
        <v>912</v>
      </c>
      <c r="D1035" s="360"/>
      <c r="E1035" s="360">
        <v>1000</v>
      </c>
    </row>
    <row r="1036" spans="1:5" ht="17.25" x14ac:dyDescent="0.45">
      <c r="A1036" s="359">
        <v>45181</v>
      </c>
      <c r="B1036" s="6" t="s">
        <v>2205</v>
      </c>
      <c r="C1036" s="6" t="s">
        <v>1373</v>
      </c>
      <c r="D1036" s="360"/>
      <c r="E1036" s="360">
        <v>4560</v>
      </c>
    </row>
    <row r="1037" spans="1:5" ht="17.25" x14ac:dyDescent="0.45">
      <c r="A1037" s="359">
        <v>45181</v>
      </c>
      <c r="B1037" s="6" t="s">
        <v>1405</v>
      </c>
      <c r="C1037" s="6" t="s">
        <v>1866</v>
      </c>
      <c r="D1037" s="360"/>
      <c r="E1037" s="360">
        <v>2700</v>
      </c>
    </row>
    <row r="1038" spans="1:5" ht="17.25" x14ac:dyDescent="0.45">
      <c r="A1038" s="359">
        <v>45181</v>
      </c>
      <c r="B1038" s="6" t="s">
        <v>2206</v>
      </c>
      <c r="C1038" s="6" t="s">
        <v>472</v>
      </c>
      <c r="D1038" s="360"/>
      <c r="E1038" s="360">
        <v>1760</v>
      </c>
    </row>
    <row r="1039" spans="1:5" ht="17.25" x14ac:dyDescent="0.45">
      <c r="A1039" s="359">
        <v>45181</v>
      </c>
      <c r="B1039" s="6" t="s">
        <v>2207</v>
      </c>
      <c r="C1039" s="6" t="s">
        <v>1359</v>
      </c>
      <c r="D1039" s="360"/>
      <c r="E1039" s="360">
        <v>1280</v>
      </c>
    </row>
    <row r="1040" spans="1:5" ht="17.25" x14ac:dyDescent="0.45">
      <c r="A1040" s="363">
        <v>45181</v>
      </c>
      <c r="B1040" s="364" t="s">
        <v>1360</v>
      </c>
      <c r="C1040" s="364" t="s">
        <v>2208</v>
      </c>
      <c r="D1040" s="366"/>
      <c r="E1040" s="366">
        <v>700</v>
      </c>
    </row>
    <row r="1041" spans="1:5" ht="17.25" x14ac:dyDescent="0.45">
      <c r="A1041" s="359">
        <v>45188</v>
      </c>
      <c r="B1041" s="6" t="s">
        <v>2209</v>
      </c>
      <c r="C1041" s="6" t="s">
        <v>831</v>
      </c>
      <c r="D1041" s="360"/>
      <c r="E1041" s="360">
        <v>3500</v>
      </c>
    </row>
    <row r="1042" spans="1:5" ht="17.25" x14ac:dyDescent="0.45">
      <c r="A1042" s="363">
        <v>45188</v>
      </c>
      <c r="B1042" s="364" t="s">
        <v>2209</v>
      </c>
      <c r="C1042" s="364" t="s">
        <v>831</v>
      </c>
      <c r="D1042" s="366"/>
      <c r="E1042" s="366">
        <v>3500</v>
      </c>
    </row>
    <row r="1043" spans="1:5" ht="17.25" x14ac:dyDescent="0.45">
      <c r="A1043" s="359">
        <v>45202</v>
      </c>
      <c r="B1043" s="6" t="s">
        <v>2210</v>
      </c>
      <c r="C1043" s="6" t="s">
        <v>626</v>
      </c>
      <c r="D1043" s="360"/>
      <c r="E1043" s="360">
        <v>3000</v>
      </c>
    </row>
    <row r="1044" spans="1:5" ht="17.25" x14ac:dyDescent="0.45">
      <c r="A1044" s="359">
        <v>45202</v>
      </c>
      <c r="B1044" s="6" t="s">
        <v>2210</v>
      </c>
      <c r="C1044" s="6" t="s">
        <v>1459</v>
      </c>
      <c r="D1044" s="360"/>
      <c r="E1044" s="360">
        <v>3000</v>
      </c>
    </row>
    <row r="1045" spans="1:5" ht="17.25" x14ac:dyDescent="0.45">
      <c r="A1045" s="359">
        <v>45202</v>
      </c>
      <c r="B1045" s="6" t="s">
        <v>2211</v>
      </c>
      <c r="C1045" s="6" t="s">
        <v>390</v>
      </c>
      <c r="D1045" s="360"/>
      <c r="E1045" s="360">
        <v>5200</v>
      </c>
    </row>
    <row r="1046" spans="1:5" ht="17.25" x14ac:dyDescent="0.45">
      <c r="A1046" s="359">
        <v>45202</v>
      </c>
      <c r="B1046" s="6" t="s">
        <v>2209</v>
      </c>
      <c r="C1046" s="6" t="s">
        <v>516</v>
      </c>
      <c r="D1046" s="360"/>
      <c r="E1046" s="360">
        <v>2100</v>
      </c>
    </row>
    <row r="1047" spans="1:5" ht="17.25" x14ac:dyDescent="0.45">
      <c r="A1047" s="359">
        <v>45202</v>
      </c>
      <c r="B1047" s="6" t="s">
        <v>2212</v>
      </c>
      <c r="C1047" s="6" t="s">
        <v>1163</v>
      </c>
      <c r="D1047" s="360"/>
      <c r="E1047" s="360">
        <v>1870</v>
      </c>
    </row>
    <row r="1048" spans="1:5" ht="17.25" x14ac:dyDescent="0.45">
      <c r="A1048" s="363">
        <v>45202</v>
      </c>
      <c r="B1048" s="364" t="s">
        <v>2213</v>
      </c>
      <c r="C1048" s="364" t="s">
        <v>2214</v>
      </c>
      <c r="D1048" s="366"/>
      <c r="E1048" s="366">
        <v>1150</v>
      </c>
    </row>
    <row r="1049" spans="1:5" ht="17.25" x14ac:dyDescent="0.45">
      <c r="A1049" s="359">
        <v>45210</v>
      </c>
      <c r="B1049" s="6" t="s">
        <v>2199</v>
      </c>
      <c r="C1049" s="6" t="s">
        <v>1030</v>
      </c>
      <c r="D1049" s="360"/>
      <c r="E1049" s="360" t="s">
        <v>1533</v>
      </c>
    </row>
    <row r="1050" spans="1:5" ht="17.25" x14ac:dyDescent="0.45">
      <c r="A1050" s="359">
        <v>45210</v>
      </c>
      <c r="B1050" s="6" t="s">
        <v>2215</v>
      </c>
      <c r="C1050" s="6" t="s">
        <v>2216</v>
      </c>
      <c r="D1050" s="360"/>
      <c r="E1050" s="360">
        <v>270</v>
      </c>
    </row>
    <row r="1051" spans="1:5" ht="17.25" x14ac:dyDescent="0.45">
      <c r="A1051" s="359">
        <v>45210</v>
      </c>
      <c r="B1051" s="6" t="s">
        <v>2217</v>
      </c>
      <c r="C1051" s="6" t="s">
        <v>2218</v>
      </c>
      <c r="D1051" s="360"/>
      <c r="E1051" s="360">
        <v>770</v>
      </c>
    </row>
    <row r="1052" spans="1:5" ht="17.25" x14ac:dyDescent="0.45">
      <c r="A1052" s="359">
        <v>45210</v>
      </c>
      <c r="B1052" s="6" t="s">
        <v>2083</v>
      </c>
      <c r="C1052" s="6" t="s">
        <v>499</v>
      </c>
      <c r="D1052" s="360"/>
      <c r="E1052" s="360">
        <v>335.75</v>
      </c>
    </row>
    <row r="1053" spans="1:5" ht="17.25" x14ac:dyDescent="0.45">
      <c r="A1053" s="359">
        <v>45211</v>
      </c>
      <c r="B1053" s="6" t="s">
        <v>2219</v>
      </c>
      <c r="C1053" s="6" t="s">
        <v>1776</v>
      </c>
      <c r="D1053" s="360"/>
      <c r="E1053" s="360">
        <v>3485</v>
      </c>
    </row>
    <row r="1054" spans="1:5" ht="17.25" x14ac:dyDescent="0.45">
      <c r="A1054" s="359">
        <v>45211</v>
      </c>
      <c r="B1054" s="6" t="s">
        <v>2209</v>
      </c>
      <c r="C1054" s="6" t="s">
        <v>2159</v>
      </c>
      <c r="D1054" s="360"/>
      <c r="E1054" s="360">
        <v>3000</v>
      </c>
    </row>
    <row r="1055" spans="1:5" ht="17.25" x14ac:dyDescent="0.45">
      <c r="A1055" s="359">
        <v>45213</v>
      </c>
      <c r="B1055" s="6" t="s">
        <v>2220</v>
      </c>
      <c r="C1055" s="6" t="s">
        <v>2221</v>
      </c>
      <c r="D1055" s="360"/>
      <c r="E1055" s="360">
        <v>2635</v>
      </c>
    </row>
    <row r="1056" spans="1:5" ht="17.25" x14ac:dyDescent="0.45">
      <c r="A1056" s="359">
        <v>45213</v>
      </c>
      <c r="B1056" s="6" t="s">
        <v>2222</v>
      </c>
      <c r="C1056" s="6" t="s">
        <v>459</v>
      </c>
      <c r="D1056" s="360"/>
      <c r="E1056" s="360">
        <v>2210</v>
      </c>
    </row>
    <row r="1057" spans="1:5" ht="17.25" x14ac:dyDescent="0.45">
      <c r="A1057" s="359">
        <v>45217</v>
      </c>
      <c r="B1057" s="6" t="s">
        <v>2223</v>
      </c>
      <c r="C1057" s="6" t="s">
        <v>320</v>
      </c>
      <c r="D1057" s="360"/>
      <c r="E1057" s="360">
        <v>0</v>
      </c>
    </row>
    <row r="1058" spans="1:5" ht="17.25" x14ac:dyDescent="0.45">
      <c r="A1058" s="359">
        <v>45217</v>
      </c>
      <c r="B1058" s="6" t="s">
        <v>2224</v>
      </c>
      <c r="C1058" s="6" t="s">
        <v>499</v>
      </c>
      <c r="D1058" s="360"/>
      <c r="E1058" s="360">
        <v>0</v>
      </c>
    </row>
    <row r="1059" spans="1:5" ht="17.25" x14ac:dyDescent="0.45">
      <c r="A1059" s="359">
        <v>45218</v>
      </c>
      <c r="B1059" s="6" t="s">
        <v>2225</v>
      </c>
      <c r="C1059" s="6" t="s">
        <v>1836</v>
      </c>
      <c r="D1059" s="360"/>
      <c r="E1059" s="360">
        <v>9800</v>
      </c>
    </row>
    <row r="1060" spans="1:5" ht="17.25" x14ac:dyDescent="0.45">
      <c r="A1060" s="359">
        <v>45218</v>
      </c>
      <c r="B1060" s="6" t="s">
        <v>2225</v>
      </c>
      <c r="C1060" s="6" t="s">
        <v>1178</v>
      </c>
      <c r="D1060" s="360"/>
      <c r="E1060" s="360">
        <v>3700</v>
      </c>
    </row>
    <row r="1061" spans="1:5" ht="17.25" x14ac:dyDescent="0.45">
      <c r="A1061" s="359">
        <v>45218</v>
      </c>
      <c r="B1061" s="6" t="s">
        <v>2225</v>
      </c>
      <c r="C1061" s="6" t="s">
        <v>1775</v>
      </c>
      <c r="D1061" s="360"/>
      <c r="E1061" s="360">
        <v>3400</v>
      </c>
    </row>
    <row r="1062" spans="1:5" ht="17.25" x14ac:dyDescent="0.45">
      <c r="A1062" s="367">
        <v>45219</v>
      </c>
      <c r="B1062" s="368" t="s">
        <v>2225</v>
      </c>
      <c r="C1062" s="368" t="s">
        <v>1832</v>
      </c>
      <c r="D1062" s="369"/>
      <c r="E1062" s="369">
        <v>3200</v>
      </c>
    </row>
    <row r="1063" spans="1:5" ht="17.25" x14ac:dyDescent="0.45">
      <c r="A1063" s="359">
        <v>45219</v>
      </c>
      <c r="B1063" s="6" t="s">
        <v>2225</v>
      </c>
      <c r="C1063" s="6" t="s">
        <v>476</v>
      </c>
      <c r="D1063" s="360"/>
      <c r="E1063" s="360">
        <v>3500</v>
      </c>
    </row>
    <row r="1064" spans="1:5" ht="17.25" x14ac:dyDescent="0.45">
      <c r="A1064" s="359">
        <v>45219</v>
      </c>
      <c r="B1064" s="6" t="s">
        <v>2225</v>
      </c>
      <c r="C1064" s="6" t="s">
        <v>992</v>
      </c>
      <c r="D1064" s="360"/>
      <c r="E1064" s="360">
        <v>3200</v>
      </c>
    </row>
    <row r="1065" spans="1:5" ht="17.25" x14ac:dyDescent="0.45">
      <c r="A1065" s="359">
        <v>45219</v>
      </c>
      <c r="B1065" s="6" t="s">
        <v>2225</v>
      </c>
      <c r="C1065" s="6" t="s">
        <v>1347</v>
      </c>
      <c r="D1065" s="360"/>
      <c r="E1065" s="360">
        <v>3000</v>
      </c>
    </row>
    <row r="1066" spans="1:5" ht="17.25" x14ac:dyDescent="0.45">
      <c r="A1066" s="359">
        <v>45219</v>
      </c>
      <c r="B1066" s="6" t="s">
        <v>2225</v>
      </c>
      <c r="C1066" s="6" t="s">
        <v>2106</v>
      </c>
      <c r="D1066" s="360"/>
      <c r="E1066" s="360">
        <v>600</v>
      </c>
    </row>
    <row r="1067" spans="1:5" ht="17.25" x14ac:dyDescent="0.45">
      <c r="A1067" s="359">
        <v>45219</v>
      </c>
      <c r="B1067" s="6" t="s">
        <v>2225</v>
      </c>
      <c r="C1067" s="6" t="s">
        <v>1345</v>
      </c>
      <c r="D1067" s="360"/>
      <c r="E1067" s="360">
        <v>3100</v>
      </c>
    </row>
    <row r="1068" spans="1:5" ht="17.25" x14ac:dyDescent="0.45">
      <c r="A1068" s="359">
        <v>45219</v>
      </c>
      <c r="B1068" s="6" t="s">
        <v>2225</v>
      </c>
      <c r="C1068" s="6" t="s">
        <v>242</v>
      </c>
      <c r="D1068" s="360"/>
      <c r="E1068" s="360">
        <v>3100</v>
      </c>
    </row>
    <row r="1069" spans="1:5" ht="17.25" x14ac:dyDescent="0.45">
      <c r="A1069" s="359">
        <v>45219</v>
      </c>
      <c r="B1069" s="6" t="s">
        <v>2225</v>
      </c>
      <c r="C1069" s="6" t="s">
        <v>2226</v>
      </c>
      <c r="D1069" s="360"/>
      <c r="E1069" s="360">
        <v>900</v>
      </c>
    </row>
    <row r="1070" spans="1:5" ht="17.25" x14ac:dyDescent="0.45">
      <c r="A1070" s="359">
        <v>45220</v>
      </c>
      <c r="B1070" s="6" t="s">
        <v>2225</v>
      </c>
      <c r="C1070" s="6" t="s">
        <v>1404</v>
      </c>
      <c r="D1070" s="360"/>
      <c r="E1070" s="360">
        <v>3100</v>
      </c>
    </row>
    <row r="1071" spans="1:5" ht="17.25" x14ac:dyDescent="0.45">
      <c r="A1071" s="359">
        <v>45220</v>
      </c>
      <c r="B1071" s="6" t="s">
        <v>2225</v>
      </c>
      <c r="C1071" s="6" t="s">
        <v>598</v>
      </c>
      <c r="D1071" s="360"/>
      <c r="E1071" s="360">
        <v>3100</v>
      </c>
    </row>
    <row r="1072" spans="1:5" ht="17.25" x14ac:dyDescent="0.45">
      <c r="A1072" s="359">
        <v>45220</v>
      </c>
      <c r="B1072" s="6" t="s">
        <v>2225</v>
      </c>
      <c r="C1072" s="6" t="s">
        <v>1189</v>
      </c>
      <c r="D1072" s="360"/>
      <c r="E1072" s="360">
        <v>2100</v>
      </c>
    </row>
    <row r="1073" spans="1:5" ht="17.25" x14ac:dyDescent="0.45">
      <c r="A1073" s="359">
        <v>45220</v>
      </c>
      <c r="B1073" s="6" t="s">
        <v>2225</v>
      </c>
      <c r="C1073" s="6" t="s">
        <v>1273</v>
      </c>
      <c r="D1073" s="360"/>
      <c r="E1073" s="360">
        <v>3200</v>
      </c>
    </row>
    <row r="1074" spans="1:5" ht="17.25" x14ac:dyDescent="0.45">
      <c r="A1074" s="359">
        <v>45220</v>
      </c>
      <c r="B1074" s="6" t="s">
        <v>2225</v>
      </c>
      <c r="C1074" s="6" t="s">
        <v>393</v>
      </c>
      <c r="D1074" s="360"/>
      <c r="E1074" s="360">
        <v>3000</v>
      </c>
    </row>
    <row r="1075" spans="1:5" ht="17.25" x14ac:dyDescent="0.45">
      <c r="A1075" s="359">
        <v>45220</v>
      </c>
      <c r="B1075" s="6" t="s">
        <v>2225</v>
      </c>
      <c r="C1075" s="6" t="s">
        <v>1434</v>
      </c>
      <c r="D1075" s="360"/>
      <c r="E1075" s="360">
        <v>1400</v>
      </c>
    </row>
    <row r="1076" spans="1:5" ht="17.25" x14ac:dyDescent="0.45">
      <c r="A1076" s="359">
        <v>45220</v>
      </c>
      <c r="B1076" s="6" t="s">
        <v>2225</v>
      </c>
      <c r="C1076" s="6" t="s">
        <v>488</v>
      </c>
      <c r="D1076" s="360"/>
      <c r="E1076" s="360">
        <v>3000</v>
      </c>
    </row>
    <row r="1077" spans="1:5" ht="17.25" x14ac:dyDescent="0.45">
      <c r="A1077" s="359">
        <v>45220</v>
      </c>
      <c r="B1077" s="6" t="s">
        <v>2225</v>
      </c>
      <c r="C1077" s="6" t="s">
        <v>1365</v>
      </c>
      <c r="D1077" s="360"/>
      <c r="E1077" s="360">
        <v>2600</v>
      </c>
    </row>
    <row r="1078" spans="1:5" ht="17.25" x14ac:dyDescent="0.45">
      <c r="A1078" s="359">
        <v>45220</v>
      </c>
      <c r="B1078" s="6" t="s">
        <v>2225</v>
      </c>
      <c r="C1078" s="6" t="s">
        <v>1807</v>
      </c>
      <c r="D1078" s="360"/>
      <c r="E1078" s="360">
        <v>2000</v>
      </c>
    </row>
    <row r="1079" spans="1:5" ht="17.25" x14ac:dyDescent="0.45">
      <c r="A1079" s="359">
        <v>45223</v>
      </c>
      <c r="B1079" s="6" t="s">
        <v>2225</v>
      </c>
      <c r="C1079" s="6" t="s">
        <v>2227</v>
      </c>
      <c r="D1079" s="360"/>
      <c r="E1079" s="360">
        <v>2600</v>
      </c>
    </row>
    <row r="1080" spans="1:5" ht="17.25" x14ac:dyDescent="0.45">
      <c r="A1080" s="359">
        <v>45223</v>
      </c>
      <c r="B1080" s="6" t="s">
        <v>2225</v>
      </c>
      <c r="C1080" s="6" t="s">
        <v>476</v>
      </c>
      <c r="D1080" s="360"/>
      <c r="E1080" s="360">
        <v>2600</v>
      </c>
    </row>
    <row r="1081" spans="1:5" ht="17.25" x14ac:dyDescent="0.45">
      <c r="A1081" s="359">
        <v>45223</v>
      </c>
      <c r="B1081" s="6" t="s">
        <v>2225</v>
      </c>
      <c r="C1081" s="6" t="s">
        <v>273</v>
      </c>
      <c r="D1081" s="360"/>
      <c r="E1081" s="360">
        <v>1100</v>
      </c>
    </row>
    <row r="1082" spans="1:5" ht="17.25" x14ac:dyDescent="0.45">
      <c r="A1082" s="359">
        <v>45223</v>
      </c>
      <c r="B1082" s="6" t="s">
        <v>2225</v>
      </c>
      <c r="C1082" s="6" t="s">
        <v>2159</v>
      </c>
      <c r="D1082" s="360"/>
      <c r="E1082" s="360">
        <v>3000</v>
      </c>
    </row>
    <row r="1083" spans="1:5" ht="17.25" x14ac:dyDescent="0.45">
      <c r="A1083" s="359">
        <v>45223</v>
      </c>
      <c r="B1083" s="6" t="s">
        <v>2225</v>
      </c>
      <c r="C1083" s="6" t="s">
        <v>990</v>
      </c>
      <c r="D1083" s="360"/>
      <c r="E1083" s="360">
        <v>2100</v>
      </c>
    </row>
    <row r="1084" spans="1:5" ht="17.25" x14ac:dyDescent="0.45">
      <c r="A1084" s="359">
        <v>45225</v>
      </c>
      <c r="B1084" s="6" t="s">
        <v>2229</v>
      </c>
      <c r="C1084" s="6" t="s">
        <v>2160</v>
      </c>
      <c r="D1084" s="360"/>
      <c r="E1084" s="360">
        <v>2400</v>
      </c>
    </row>
    <row r="1085" spans="1:5" ht="17.25" x14ac:dyDescent="0.45">
      <c r="A1085" s="359">
        <v>45225</v>
      </c>
      <c r="B1085" s="6" t="s">
        <v>2230</v>
      </c>
      <c r="C1085" s="6" t="s">
        <v>931</v>
      </c>
      <c r="D1085" s="360"/>
      <c r="E1085" s="360">
        <v>3600</v>
      </c>
    </row>
    <row r="1086" spans="1:5" ht="17.25" x14ac:dyDescent="0.45">
      <c r="A1086" s="359">
        <v>45225</v>
      </c>
      <c r="B1086" s="6" t="s">
        <v>2225</v>
      </c>
      <c r="C1086" s="6" t="s">
        <v>2231</v>
      </c>
      <c r="D1086" s="360"/>
      <c r="E1086" s="360">
        <v>0</v>
      </c>
    </row>
    <row r="1087" spans="1:5" ht="17.25" x14ac:dyDescent="0.45">
      <c r="A1087" s="359">
        <v>45225</v>
      </c>
      <c r="B1087" s="6" t="s">
        <v>2232</v>
      </c>
      <c r="C1087" s="6" t="s">
        <v>1776</v>
      </c>
      <c r="D1087" s="360"/>
      <c r="E1087" s="360">
        <v>3100</v>
      </c>
    </row>
    <row r="1088" spans="1:5" ht="17.25" x14ac:dyDescent="0.45">
      <c r="A1088" s="359">
        <v>45225</v>
      </c>
      <c r="B1088" s="6" t="s">
        <v>2225</v>
      </c>
      <c r="C1088" s="6" t="s">
        <v>313</v>
      </c>
      <c r="D1088" s="360"/>
      <c r="E1088" s="360">
        <v>0</v>
      </c>
    </row>
    <row r="1089" spans="1:5" ht="17.25" x14ac:dyDescent="0.45">
      <c r="A1089" s="359">
        <v>45225</v>
      </c>
      <c r="B1089" s="6" t="s">
        <v>2225</v>
      </c>
      <c r="C1089" s="6" t="s">
        <v>313</v>
      </c>
      <c r="D1089" s="360"/>
      <c r="E1089" s="360">
        <v>0</v>
      </c>
    </row>
    <row r="1090" spans="1:5" ht="17.25" x14ac:dyDescent="0.45">
      <c r="A1090" s="363">
        <v>45225</v>
      </c>
      <c r="B1090" s="364" t="s">
        <v>2233</v>
      </c>
      <c r="C1090" s="364" t="s">
        <v>2110</v>
      </c>
      <c r="D1090" s="366"/>
      <c r="E1090" s="366">
        <v>7275</v>
      </c>
    </row>
    <row r="1091" spans="1:5" ht="17.25" x14ac:dyDescent="0.45">
      <c r="A1091" s="359">
        <v>45230</v>
      </c>
      <c r="B1091" s="6" t="s">
        <v>2225</v>
      </c>
      <c r="C1091" s="6" t="s">
        <v>499</v>
      </c>
      <c r="D1091" s="360"/>
      <c r="E1091" s="360">
        <v>4900</v>
      </c>
    </row>
    <row r="1092" spans="1:5" ht="17.25" x14ac:dyDescent="0.45">
      <c r="A1092" s="359">
        <v>45230</v>
      </c>
      <c r="B1092" s="6" t="s">
        <v>2225</v>
      </c>
      <c r="C1092" s="6" t="s">
        <v>499</v>
      </c>
      <c r="D1092" s="360"/>
      <c r="E1092" s="360">
        <v>3200</v>
      </c>
    </row>
    <row r="1093" spans="1:5" ht="17.25" x14ac:dyDescent="0.45">
      <c r="A1093" s="359">
        <v>45230</v>
      </c>
      <c r="B1093" s="6" t="s">
        <v>2225</v>
      </c>
      <c r="C1093" s="6" t="s">
        <v>488</v>
      </c>
      <c r="D1093" s="360"/>
      <c r="E1093" s="360" t="s">
        <v>1533</v>
      </c>
    </row>
    <row r="1094" spans="1:5" ht="17.25" x14ac:dyDescent="0.45">
      <c r="A1094" s="359">
        <v>45230</v>
      </c>
      <c r="B1094" s="6" t="s">
        <v>2225</v>
      </c>
      <c r="C1094" s="6" t="s">
        <v>433</v>
      </c>
      <c r="D1094" s="360"/>
      <c r="E1094" s="360">
        <v>2500</v>
      </c>
    </row>
    <row r="1095" spans="1:5" ht="17.25" x14ac:dyDescent="0.45">
      <c r="A1095" s="359">
        <v>45230</v>
      </c>
      <c r="B1095" s="6" t="s">
        <v>2234</v>
      </c>
      <c r="C1095" s="6" t="s">
        <v>2235</v>
      </c>
      <c r="D1095" s="360"/>
      <c r="E1095" s="360">
        <v>1100</v>
      </c>
    </row>
    <row r="1096" spans="1:5" ht="17.25" x14ac:dyDescent="0.45">
      <c r="A1096" s="359">
        <v>45231</v>
      </c>
      <c r="B1096" s="6" t="s">
        <v>2225</v>
      </c>
      <c r="C1096" s="6" t="s">
        <v>313</v>
      </c>
      <c r="D1096" s="360"/>
      <c r="E1096" s="360">
        <v>0</v>
      </c>
    </row>
    <row r="1097" spans="1:5" ht="17.25" x14ac:dyDescent="0.45">
      <c r="A1097" s="359">
        <v>45231</v>
      </c>
      <c r="B1097" s="6" t="s">
        <v>2225</v>
      </c>
      <c r="C1097" s="6" t="s">
        <v>499</v>
      </c>
      <c r="D1097" s="360"/>
      <c r="E1097" s="360">
        <v>4900</v>
      </c>
    </row>
    <row r="1098" spans="1:5" ht="17.25" x14ac:dyDescent="0.45">
      <c r="A1098" s="363">
        <v>45231</v>
      </c>
      <c r="B1098" s="364" t="s">
        <v>2236</v>
      </c>
      <c r="C1098" s="364" t="s">
        <v>476</v>
      </c>
      <c r="D1098" s="366"/>
      <c r="E1098" s="366" t="s">
        <v>1533</v>
      </c>
    </row>
    <row r="1099" spans="1:5" ht="17.25" x14ac:dyDescent="0.45">
      <c r="A1099" s="363">
        <v>45236</v>
      </c>
      <c r="B1099" s="364" t="s">
        <v>2237</v>
      </c>
      <c r="C1099" s="364" t="s">
        <v>2221</v>
      </c>
      <c r="D1099" s="366"/>
      <c r="E1099" s="366">
        <v>7395</v>
      </c>
    </row>
    <row r="1100" spans="1:5" ht="17.25" x14ac:dyDescent="0.45">
      <c r="A1100" s="359">
        <v>45246</v>
      </c>
      <c r="B1100" s="6" t="s">
        <v>2238</v>
      </c>
      <c r="C1100" s="6" t="s">
        <v>1580</v>
      </c>
      <c r="D1100" s="360"/>
      <c r="E1100" s="360">
        <v>0</v>
      </c>
    </row>
    <row r="1101" spans="1:5" ht="17.25" x14ac:dyDescent="0.45">
      <c r="A1101" s="359">
        <v>45246</v>
      </c>
      <c r="B1101" s="6" t="s">
        <v>2239</v>
      </c>
      <c r="C1101" s="6" t="s">
        <v>308</v>
      </c>
      <c r="D1101" s="360"/>
      <c r="E1101" s="360">
        <v>2325</v>
      </c>
    </row>
    <row r="1102" spans="1:5" ht="17.25" x14ac:dyDescent="0.45">
      <c r="A1102" s="359">
        <v>45246</v>
      </c>
      <c r="B1102" s="6" t="s">
        <v>370</v>
      </c>
      <c r="C1102" s="6" t="s">
        <v>242</v>
      </c>
      <c r="D1102" s="360"/>
      <c r="E1102" s="360">
        <v>2600</v>
      </c>
    </row>
    <row r="1103" spans="1:5" ht="17.25" x14ac:dyDescent="0.45">
      <c r="A1103" s="359">
        <v>45246</v>
      </c>
      <c r="B1103" s="6" t="s">
        <v>1468</v>
      </c>
      <c r="C1103" s="6" t="s">
        <v>2190</v>
      </c>
      <c r="D1103" s="360"/>
      <c r="E1103" s="360">
        <v>1500</v>
      </c>
    </row>
    <row r="1104" spans="1:5" ht="17.25" x14ac:dyDescent="0.45">
      <c r="A1104" s="359">
        <v>45252</v>
      </c>
      <c r="B1104" s="6" t="s">
        <v>2240</v>
      </c>
      <c r="C1104" s="6" t="s">
        <v>2241</v>
      </c>
      <c r="D1104" s="360"/>
      <c r="E1104" s="360">
        <v>1050</v>
      </c>
    </row>
    <row r="1105" spans="1:5" ht="17.25" x14ac:dyDescent="0.45">
      <c r="A1105" s="359">
        <v>45252</v>
      </c>
      <c r="B1105" s="6" t="s">
        <v>2242</v>
      </c>
      <c r="C1105" s="6" t="s">
        <v>2243</v>
      </c>
      <c r="D1105" s="360"/>
      <c r="E1105" s="360">
        <v>825</v>
      </c>
    </row>
    <row r="1106" spans="1:5" ht="17.25" x14ac:dyDescent="0.45">
      <c r="A1106" s="363">
        <v>45252</v>
      </c>
      <c r="B1106" s="364" t="s">
        <v>2196</v>
      </c>
      <c r="C1106" s="364" t="s">
        <v>2244</v>
      </c>
      <c r="D1106" s="366"/>
      <c r="E1106" s="366">
        <v>500</v>
      </c>
    </row>
    <row r="1107" spans="1:5" ht="17.25" x14ac:dyDescent="0.45">
      <c r="A1107" s="359">
        <v>45256</v>
      </c>
      <c r="B1107" s="6" t="s">
        <v>2245</v>
      </c>
      <c r="C1107" s="6" t="s">
        <v>1697</v>
      </c>
      <c r="D1107" s="360"/>
      <c r="E1107" s="360">
        <v>1275</v>
      </c>
    </row>
    <row r="1108" spans="1:5" ht="17.25" x14ac:dyDescent="0.45">
      <c r="A1108" s="359">
        <v>45256</v>
      </c>
      <c r="B1108" s="6" t="s">
        <v>2246</v>
      </c>
      <c r="C1108" s="6" t="s">
        <v>2247</v>
      </c>
      <c r="D1108" s="360"/>
      <c r="E1108" s="360">
        <v>2480</v>
      </c>
    </row>
    <row r="1109" spans="1:5" ht="17.25" x14ac:dyDescent="0.45">
      <c r="A1109" s="359">
        <v>45256</v>
      </c>
      <c r="B1109" s="6" t="s">
        <v>2248</v>
      </c>
      <c r="C1109" s="6" t="s">
        <v>1376</v>
      </c>
      <c r="D1109" s="360"/>
      <c r="E1109" s="360">
        <v>3700</v>
      </c>
    </row>
    <row r="1110" spans="1:5" ht="17.25" x14ac:dyDescent="0.45">
      <c r="A1110" s="359">
        <v>45256</v>
      </c>
      <c r="B1110" s="6" t="s">
        <v>2249</v>
      </c>
      <c r="C1110" s="6" t="s">
        <v>2250</v>
      </c>
      <c r="D1110" s="360"/>
      <c r="E1110" s="360">
        <v>3280</v>
      </c>
    </row>
    <row r="1111" spans="1:5" ht="17.25" x14ac:dyDescent="0.45">
      <c r="A1111" s="359">
        <v>45256</v>
      </c>
      <c r="B1111" s="6" t="s">
        <v>2245</v>
      </c>
      <c r="C1111" s="6" t="s">
        <v>2251</v>
      </c>
      <c r="D1111" s="360"/>
      <c r="E1111" s="360">
        <v>2100</v>
      </c>
    </row>
    <row r="1112" spans="1:5" ht="17.25" x14ac:dyDescent="0.45">
      <c r="A1112" s="359">
        <v>45256</v>
      </c>
      <c r="B1112" s="6" t="s">
        <v>2252</v>
      </c>
      <c r="C1112" s="6" t="s">
        <v>1866</v>
      </c>
      <c r="D1112" s="360"/>
      <c r="E1112" s="360">
        <v>2100</v>
      </c>
    </row>
    <row r="1113" spans="1:5" ht="17.25" x14ac:dyDescent="0.45">
      <c r="A1113" s="359">
        <v>45258</v>
      </c>
      <c r="B1113" s="6" t="s">
        <v>2253</v>
      </c>
      <c r="C1113" s="6" t="s">
        <v>472</v>
      </c>
      <c r="D1113" s="360"/>
      <c r="E1113" s="360">
        <v>5400</v>
      </c>
    </row>
    <row r="1114" spans="1:5" ht="17.25" x14ac:dyDescent="0.45">
      <c r="A1114" s="359">
        <v>45258</v>
      </c>
      <c r="B1114" s="6" t="s">
        <v>1050</v>
      </c>
      <c r="C1114" s="6" t="s">
        <v>1388</v>
      </c>
      <c r="D1114" s="360"/>
      <c r="E1114" s="360">
        <v>600</v>
      </c>
    </row>
    <row r="1115" spans="1:5" ht="17.25" x14ac:dyDescent="0.45">
      <c r="A1115" s="359">
        <v>45258</v>
      </c>
      <c r="B1115" s="6" t="s">
        <v>2254</v>
      </c>
      <c r="C1115" s="6" t="s">
        <v>440</v>
      </c>
      <c r="D1115" s="360"/>
      <c r="E1115" s="360">
        <v>1800</v>
      </c>
    </row>
    <row r="1116" spans="1:5" ht="17.25" x14ac:dyDescent="0.45">
      <c r="A1116" s="359">
        <v>45258</v>
      </c>
      <c r="B1116" s="6" t="s">
        <v>2253</v>
      </c>
      <c r="C1116" s="6" t="s">
        <v>362</v>
      </c>
      <c r="D1116" s="360"/>
      <c r="E1116" s="360">
        <v>1725</v>
      </c>
    </row>
    <row r="1117" spans="1:5" ht="17.25" x14ac:dyDescent="0.45">
      <c r="A1117" s="359">
        <v>45259</v>
      </c>
      <c r="B1117" s="6" t="s">
        <v>2255</v>
      </c>
      <c r="C1117" s="6" t="s">
        <v>335</v>
      </c>
      <c r="D1117" s="360"/>
      <c r="E1117" s="360">
        <v>3450</v>
      </c>
    </row>
    <row r="1118" spans="1:5" ht="17.25" x14ac:dyDescent="0.45">
      <c r="A1118" s="359">
        <v>45259</v>
      </c>
      <c r="B1118" s="6" t="s">
        <v>1394</v>
      </c>
      <c r="C1118" s="6" t="s">
        <v>432</v>
      </c>
      <c r="D1118" s="360"/>
      <c r="E1118" s="360">
        <v>3300</v>
      </c>
    </row>
    <row r="1119" spans="1:5" ht="17.25" x14ac:dyDescent="0.45">
      <c r="A1119" s="359">
        <v>45259</v>
      </c>
      <c r="B1119" s="6" t="s">
        <v>2256</v>
      </c>
      <c r="C1119" s="6" t="s">
        <v>2257</v>
      </c>
      <c r="D1119" s="360"/>
      <c r="E1119" s="360">
        <v>375</v>
      </c>
    </row>
    <row r="1120" spans="1:5" ht="17.25" x14ac:dyDescent="0.45">
      <c r="A1120" s="359">
        <v>45259</v>
      </c>
      <c r="B1120" s="6" t="s">
        <v>2258</v>
      </c>
      <c r="C1120" s="6" t="s">
        <v>1404</v>
      </c>
      <c r="D1120" s="360"/>
      <c r="E1120" s="360">
        <v>1050</v>
      </c>
    </row>
    <row r="1121" spans="1:5" ht="17.25" x14ac:dyDescent="0.45">
      <c r="A1121" s="359">
        <v>45259</v>
      </c>
      <c r="B1121" s="6" t="s">
        <v>2259</v>
      </c>
      <c r="C1121" s="6" t="s">
        <v>2221</v>
      </c>
      <c r="D1121" s="360"/>
      <c r="E1121" s="360">
        <v>2325</v>
      </c>
    </row>
    <row r="1122" spans="1:5" ht="17.25" x14ac:dyDescent="0.45">
      <c r="A1122" s="359">
        <v>45259</v>
      </c>
      <c r="B1122" s="6" t="s">
        <v>2260</v>
      </c>
      <c r="C1122" s="6" t="s">
        <v>1932</v>
      </c>
      <c r="D1122" s="360"/>
      <c r="E1122" s="360">
        <v>825</v>
      </c>
    </row>
    <row r="1123" spans="1:5" ht="17.25" x14ac:dyDescent="0.45">
      <c r="A1123" s="359">
        <v>45259</v>
      </c>
      <c r="B1123" s="6" t="s">
        <v>2261</v>
      </c>
      <c r="C1123" s="6" t="s">
        <v>1418</v>
      </c>
      <c r="D1123" s="360"/>
      <c r="E1123" s="360">
        <v>525</v>
      </c>
    </row>
    <row r="1124" spans="1:5" ht="17.25" x14ac:dyDescent="0.45">
      <c r="A1124" s="359">
        <v>45260</v>
      </c>
      <c r="B1124" s="6" t="s">
        <v>2262</v>
      </c>
      <c r="C1124" s="6" t="s">
        <v>1243</v>
      </c>
      <c r="D1124" s="360"/>
      <c r="E1124" s="360">
        <v>1050</v>
      </c>
    </row>
    <row r="1125" spans="1:5" ht="17.25" x14ac:dyDescent="0.45">
      <c r="A1125" s="359">
        <v>45260</v>
      </c>
      <c r="B1125" s="6" t="s">
        <v>1664</v>
      </c>
      <c r="C1125" s="6" t="s">
        <v>2263</v>
      </c>
      <c r="D1125" s="360"/>
      <c r="E1125" s="360">
        <v>600</v>
      </c>
    </row>
    <row r="1126" spans="1:5" ht="17.25" x14ac:dyDescent="0.45">
      <c r="A1126" s="359">
        <v>45260</v>
      </c>
      <c r="B1126" s="6" t="s">
        <v>2262</v>
      </c>
      <c r="C1126" s="6" t="s">
        <v>1429</v>
      </c>
      <c r="D1126" s="360"/>
      <c r="E1126" s="360">
        <v>600</v>
      </c>
    </row>
    <row r="1127" spans="1:5" ht="17.25" x14ac:dyDescent="0.45">
      <c r="A1127" s="359">
        <v>45260</v>
      </c>
      <c r="B1127" s="6" t="s">
        <v>2262</v>
      </c>
      <c r="C1127" s="6" t="s">
        <v>2264</v>
      </c>
      <c r="D1127" s="360"/>
      <c r="E1127" s="360">
        <v>675</v>
      </c>
    </row>
    <row r="1128" spans="1:5" ht="17.25" x14ac:dyDescent="0.45">
      <c r="A1128" s="359">
        <v>45260</v>
      </c>
      <c r="B1128" s="6" t="s">
        <v>2262</v>
      </c>
      <c r="C1128" s="6" t="s">
        <v>988</v>
      </c>
      <c r="D1128" s="360"/>
      <c r="E1128" s="360">
        <v>450</v>
      </c>
    </row>
    <row r="1129" spans="1:5" ht="17.25" x14ac:dyDescent="0.45">
      <c r="A1129" s="359">
        <v>45260</v>
      </c>
      <c r="B1129" s="6" t="s">
        <v>2262</v>
      </c>
      <c r="C1129" s="6" t="s">
        <v>504</v>
      </c>
      <c r="D1129" s="360"/>
      <c r="E1129" s="360">
        <v>450</v>
      </c>
    </row>
    <row r="1130" spans="1:5" ht="17.25" x14ac:dyDescent="0.45">
      <c r="A1130" s="359">
        <v>45260</v>
      </c>
      <c r="B1130" s="6" t="s">
        <v>435</v>
      </c>
      <c r="C1130" s="6" t="s">
        <v>1400</v>
      </c>
      <c r="D1130" s="360"/>
      <c r="E1130" s="360">
        <v>525</v>
      </c>
    </row>
    <row r="1131" spans="1:5" ht="17.25" x14ac:dyDescent="0.45">
      <c r="A1131" s="359">
        <v>45260</v>
      </c>
      <c r="B1131" s="6" t="s">
        <v>1394</v>
      </c>
      <c r="C1131" s="6" t="s">
        <v>1396</v>
      </c>
      <c r="D1131" s="360"/>
      <c r="E1131" s="360">
        <v>2625</v>
      </c>
    </row>
    <row r="1132" spans="1:5" ht="17.25" x14ac:dyDescent="0.45">
      <c r="A1132" s="363">
        <v>45260</v>
      </c>
      <c r="B1132" s="364" t="s">
        <v>2265</v>
      </c>
      <c r="C1132" s="364" t="s">
        <v>202</v>
      </c>
      <c r="D1132" s="366"/>
      <c r="E1132" s="366">
        <v>3600</v>
      </c>
    </row>
    <row r="1133" spans="1:5" ht="17.25" x14ac:dyDescent="0.45">
      <c r="A1133" s="359">
        <v>45265</v>
      </c>
      <c r="B1133" s="6" t="s">
        <v>2266</v>
      </c>
      <c r="C1133" s="6" t="s">
        <v>1428</v>
      </c>
      <c r="D1133" s="360"/>
      <c r="E1133" s="360">
        <v>5500</v>
      </c>
    </row>
    <row r="1134" spans="1:5" ht="17.25" x14ac:dyDescent="0.45">
      <c r="A1134" s="359">
        <v>45265</v>
      </c>
      <c r="B1134" s="6" t="s">
        <v>2267</v>
      </c>
      <c r="C1134" s="6" t="s">
        <v>1407</v>
      </c>
      <c r="D1134" s="360"/>
      <c r="E1134" s="360">
        <v>2325</v>
      </c>
    </row>
    <row r="1135" spans="1:5" ht="17.25" x14ac:dyDescent="0.45">
      <c r="A1135" s="359">
        <v>45265</v>
      </c>
      <c r="B1135" s="6" t="s">
        <v>1391</v>
      </c>
      <c r="C1135" s="6" t="s">
        <v>499</v>
      </c>
      <c r="D1135" s="360"/>
      <c r="E1135" s="360">
        <v>0</v>
      </c>
    </row>
    <row r="1136" spans="1:5" ht="17.25" x14ac:dyDescent="0.45">
      <c r="A1136" s="359">
        <v>45265</v>
      </c>
      <c r="B1136" s="6" t="s">
        <v>764</v>
      </c>
      <c r="C1136" s="6" t="s">
        <v>439</v>
      </c>
      <c r="D1136" s="360"/>
      <c r="E1136" s="360">
        <v>3200</v>
      </c>
    </row>
    <row r="1137" spans="1:5" ht="17.25" x14ac:dyDescent="0.45">
      <c r="A1137" s="359">
        <v>45266</v>
      </c>
      <c r="B1137" s="6" t="s">
        <v>1391</v>
      </c>
      <c r="C1137" s="6" t="s">
        <v>313</v>
      </c>
      <c r="D1137" s="360"/>
      <c r="E1137" s="360">
        <v>3500</v>
      </c>
    </row>
    <row r="1138" spans="1:5" ht="17.25" x14ac:dyDescent="0.45">
      <c r="A1138" s="359">
        <v>45266</v>
      </c>
      <c r="B1138" s="6" t="s">
        <v>1422</v>
      </c>
      <c r="C1138" s="6" t="s">
        <v>313</v>
      </c>
      <c r="D1138" s="360"/>
      <c r="E1138" s="360">
        <v>1500</v>
      </c>
    </row>
    <row r="1139" spans="1:5" ht="17.25" x14ac:dyDescent="0.45">
      <c r="A1139" s="359">
        <v>45266</v>
      </c>
      <c r="B1139" s="6" t="s">
        <v>459</v>
      </c>
      <c r="C1139" s="6" t="s">
        <v>1419</v>
      </c>
      <c r="D1139" s="360"/>
      <c r="E1139" s="360">
        <v>1950</v>
      </c>
    </row>
    <row r="1140" spans="1:5" ht="17.25" x14ac:dyDescent="0.45">
      <c r="A1140" s="359">
        <v>45266</v>
      </c>
      <c r="B1140" s="6" t="s">
        <v>2268</v>
      </c>
      <c r="C1140" s="6" t="s">
        <v>2269</v>
      </c>
      <c r="D1140" s="360"/>
      <c r="E1140" s="360">
        <v>1275</v>
      </c>
    </row>
    <row r="1141" spans="1:5" ht="17.25" x14ac:dyDescent="0.45">
      <c r="A1141" s="359">
        <v>45267</v>
      </c>
      <c r="B1141" s="6" t="s">
        <v>2261</v>
      </c>
      <c r="C1141" s="6" t="s">
        <v>249</v>
      </c>
      <c r="D1141" s="360"/>
      <c r="E1141" s="360">
        <v>1700</v>
      </c>
    </row>
    <row r="1142" spans="1:5" ht="17.25" x14ac:dyDescent="0.45">
      <c r="A1142" s="359">
        <v>45267</v>
      </c>
      <c r="B1142" s="6" t="s">
        <v>410</v>
      </c>
      <c r="C1142" s="6" t="s">
        <v>1388</v>
      </c>
      <c r="D1142" s="360"/>
      <c r="E1142" s="360">
        <v>700</v>
      </c>
    </row>
    <row r="1143" spans="1:5" ht="17.25" x14ac:dyDescent="0.45">
      <c r="A1143" s="359">
        <v>45267</v>
      </c>
      <c r="B1143" s="6" t="s">
        <v>2270</v>
      </c>
      <c r="C1143" s="6" t="s">
        <v>2106</v>
      </c>
      <c r="D1143" s="360"/>
      <c r="E1143" s="360">
        <v>375</v>
      </c>
    </row>
    <row r="1144" spans="1:5" ht="17.25" x14ac:dyDescent="0.45">
      <c r="A1144" s="359">
        <v>45267</v>
      </c>
      <c r="B1144" s="6" t="s">
        <v>1415</v>
      </c>
      <c r="C1144" s="6" t="s">
        <v>1340</v>
      </c>
      <c r="D1144" s="360"/>
      <c r="E1144" s="360">
        <v>450</v>
      </c>
    </row>
    <row r="1145" spans="1:5" ht="17.25" x14ac:dyDescent="0.45">
      <c r="A1145" s="359">
        <v>45267</v>
      </c>
      <c r="B1145" s="6" t="s">
        <v>1426</v>
      </c>
      <c r="C1145" s="6" t="s">
        <v>1292</v>
      </c>
      <c r="D1145" s="360"/>
      <c r="E1145" s="360">
        <v>4125</v>
      </c>
    </row>
    <row r="1146" spans="1:5" ht="17.25" x14ac:dyDescent="0.45">
      <c r="A1146" s="359">
        <v>45267</v>
      </c>
      <c r="B1146" s="6" t="s">
        <v>1424</v>
      </c>
      <c r="C1146" s="6" t="s">
        <v>1373</v>
      </c>
      <c r="D1146" s="360"/>
      <c r="E1146" s="360">
        <v>5925</v>
      </c>
    </row>
    <row r="1147" spans="1:5" ht="17.25" x14ac:dyDescent="0.45">
      <c r="A1147" s="363">
        <v>45267</v>
      </c>
      <c r="B1147" s="364" t="s">
        <v>1391</v>
      </c>
      <c r="C1147" s="364" t="s">
        <v>499</v>
      </c>
      <c r="D1147" s="366"/>
      <c r="E1147" s="366">
        <v>2800</v>
      </c>
    </row>
    <row r="1148" spans="1:5" ht="17.25" x14ac:dyDescent="0.45">
      <c r="A1148" s="359">
        <v>45275</v>
      </c>
      <c r="B1148" s="6" t="s">
        <v>2271</v>
      </c>
      <c r="C1148" s="6" t="s">
        <v>476</v>
      </c>
      <c r="D1148" s="360"/>
      <c r="E1148" s="360">
        <v>3675</v>
      </c>
    </row>
    <row r="1149" spans="1:5" ht="17.25" x14ac:dyDescent="0.45">
      <c r="A1149" s="359">
        <v>45279</v>
      </c>
      <c r="B1149" s="6" t="s">
        <v>2272</v>
      </c>
      <c r="C1149" s="6" t="s">
        <v>108</v>
      </c>
      <c r="D1149" s="360"/>
      <c r="E1149" s="360">
        <v>1875</v>
      </c>
    </row>
    <row r="1150" spans="1:5" ht="17.25" x14ac:dyDescent="0.45">
      <c r="A1150" s="359">
        <v>45279</v>
      </c>
      <c r="B1150" s="6" t="s">
        <v>2273</v>
      </c>
      <c r="C1150" s="6" t="s">
        <v>1349</v>
      </c>
      <c r="D1150" s="360"/>
      <c r="E1150" s="360">
        <v>1500</v>
      </c>
    </row>
    <row r="1151" spans="1:5" ht="17.25" x14ac:dyDescent="0.45">
      <c r="A1151" s="359">
        <v>45279</v>
      </c>
      <c r="B1151" s="6" t="s">
        <v>1656</v>
      </c>
      <c r="C1151" s="6" t="s">
        <v>100</v>
      </c>
      <c r="D1151" s="360"/>
      <c r="E1151" s="360">
        <v>900</v>
      </c>
    </row>
    <row r="1152" spans="1:5" ht="17.25" x14ac:dyDescent="0.45">
      <c r="A1152" s="359">
        <v>45279</v>
      </c>
      <c r="B1152" s="6" t="s">
        <v>2274</v>
      </c>
      <c r="C1152" s="6" t="s">
        <v>2106</v>
      </c>
      <c r="D1152" s="360"/>
      <c r="E1152" s="360">
        <v>600</v>
      </c>
    </row>
    <row r="1153" spans="1:5" ht="17.25" x14ac:dyDescent="0.45">
      <c r="A1153" s="359">
        <v>45281</v>
      </c>
      <c r="B1153" s="6" t="s">
        <v>2275</v>
      </c>
      <c r="C1153" s="6" t="s">
        <v>459</v>
      </c>
      <c r="D1153" s="360"/>
      <c r="E1153" s="360">
        <v>6000</v>
      </c>
    </row>
    <row r="1154" spans="1:5" ht="17.25" x14ac:dyDescent="0.45">
      <c r="A1154" s="359">
        <v>45281</v>
      </c>
      <c r="B1154" s="6" t="s">
        <v>2276</v>
      </c>
      <c r="C1154" s="6" t="s">
        <v>2277</v>
      </c>
      <c r="D1154" s="360"/>
      <c r="E1154" s="360">
        <v>1600</v>
      </c>
    </row>
    <row r="1155" spans="1:5" ht="17.25" x14ac:dyDescent="0.45">
      <c r="A1155" s="359">
        <v>45281</v>
      </c>
      <c r="B1155" s="6" t="s">
        <v>2278</v>
      </c>
      <c r="C1155" s="6" t="s">
        <v>1056</v>
      </c>
      <c r="D1155" s="360"/>
      <c r="E1155" s="360">
        <v>9200</v>
      </c>
    </row>
    <row r="1156" spans="1:5" ht="17.25" x14ac:dyDescent="0.45">
      <c r="A1156" s="359">
        <v>45281</v>
      </c>
      <c r="B1156" s="6" t="s">
        <v>2279</v>
      </c>
      <c r="C1156" s="6" t="s">
        <v>76</v>
      </c>
      <c r="D1156" s="360"/>
      <c r="E1156" s="360">
        <v>825</v>
      </c>
    </row>
    <row r="1157" spans="1:5" ht="17.25" x14ac:dyDescent="0.45">
      <c r="A1157" s="363">
        <v>45281</v>
      </c>
      <c r="B1157" s="364" t="s">
        <v>2280</v>
      </c>
      <c r="C1157" s="364" t="s">
        <v>1332</v>
      </c>
      <c r="D1157" s="366"/>
      <c r="E1157" s="366">
        <v>6800</v>
      </c>
    </row>
    <row r="1158" spans="1:5" ht="17.25" x14ac:dyDescent="0.45">
      <c r="A1158" s="359">
        <v>45288</v>
      </c>
      <c r="B1158" s="6" t="s">
        <v>1470</v>
      </c>
      <c r="C1158" s="6" t="s">
        <v>1054</v>
      </c>
      <c r="D1158" s="360"/>
      <c r="E1158" s="360">
        <v>795</v>
      </c>
    </row>
    <row r="1159" spans="1:5" ht="17.25" x14ac:dyDescent="0.45">
      <c r="A1159" s="359">
        <v>45288</v>
      </c>
      <c r="B1159" s="6" t="s">
        <v>2281</v>
      </c>
      <c r="C1159" s="6" t="s">
        <v>2282</v>
      </c>
      <c r="D1159" s="360"/>
      <c r="E1159" s="360">
        <v>2210</v>
      </c>
    </row>
    <row r="1160" spans="1:5" ht="17.25" x14ac:dyDescent="0.45">
      <c r="A1160" s="359">
        <v>45288</v>
      </c>
      <c r="B1160" s="6" t="s">
        <v>2283</v>
      </c>
      <c r="C1160" s="6" t="s">
        <v>1715</v>
      </c>
      <c r="D1160" s="360"/>
      <c r="E1160" s="360">
        <v>340</v>
      </c>
    </row>
    <row r="1161" spans="1:5" ht="17.25" x14ac:dyDescent="0.45">
      <c r="A1161" s="359">
        <v>45288</v>
      </c>
      <c r="B1161" s="6" t="s">
        <v>2284</v>
      </c>
      <c r="C1161" s="6" t="s">
        <v>497</v>
      </c>
      <c r="D1161" s="360"/>
      <c r="E1161" s="360">
        <v>870</v>
      </c>
    </row>
    <row r="1162" spans="1:5" ht="17.25" x14ac:dyDescent="0.45">
      <c r="A1162" s="359">
        <v>45288</v>
      </c>
      <c r="B1162" s="6" t="s">
        <v>2225</v>
      </c>
      <c r="C1162" s="6" t="s">
        <v>150</v>
      </c>
      <c r="D1162" s="360"/>
      <c r="E1162" s="360">
        <v>1825</v>
      </c>
    </row>
    <row r="1163" spans="1:5" ht="17.25" x14ac:dyDescent="0.45">
      <c r="A1163" s="359">
        <v>45288</v>
      </c>
      <c r="B1163" s="6" t="s">
        <v>1941</v>
      </c>
      <c r="C1163" s="6" t="s">
        <v>1310</v>
      </c>
      <c r="D1163" s="360"/>
      <c r="E1163" s="360">
        <v>650</v>
      </c>
    </row>
    <row r="1164" spans="1:5" ht="17.25" x14ac:dyDescent="0.45">
      <c r="A1164" s="359">
        <v>45288</v>
      </c>
      <c r="B1164" s="6" t="s">
        <v>1167</v>
      </c>
      <c r="C1164" s="6" t="s">
        <v>2277</v>
      </c>
      <c r="D1164" s="360"/>
      <c r="E1164" s="360">
        <v>535</v>
      </c>
    </row>
    <row r="1165" spans="1:5" ht="17.25" x14ac:dyDescent="0.45">
      <c r="A1165" s="359">
        <v>45288</v>
      </c>
      <c r="B1165" s="6" t="s">
        <v>2285</v>
      </c>
      <c r="C1165" s="6" t="s">
        <v>1337</v>
      </c>
      <c r="D1165" s="360"/>
      <c r="E1165" s="360">
        <v>340</v>
      </c>
    </row>
    <row r="1166" spans="1:5" ht="17.25" x14ac:dyDescent="0.45">
      <c r="A1166" s="363">
        <v>45288</v>
      </c>
      <c r="B1166" s="364" t="s">
        <v>2286</v>
      </c>
      <c r="C1166" s="364" t="s">
        <v>557</v>
      </c>
      <c r="D1166" s="366"/>
      <c r="E1166" s="366">
        <v>350</v>
      </c>
    </row>
    <row r="1167" spans="1:5" ht="17.25" x14ac:dyDescent="0.45">
      <c r="A1167" s="359">
        <v>45289</v>
      </c>
      <c r="B1167" s="6" t="s">
        <v>1403</v>
      </c>
      <c r="C1167" s="6" t="s">
        <v>488</v>
      </c>
      <c r="D1167" s="360"/>
      <c r="E1167" s="360">
        <v>3000</v>
      </c>
    </row>
    <row r="1168" spans="1:5" ht="17.25" x14ac:dyDescent="0.45">
      <c r="A1168" s="359">
        <v>45289</v>
      </c>
      <c r="B1168" s="6" t="s">
        <v>2287</v>
      </c>
      <c r="C1168" s="6" t="s">
        <v>612</v>
      </c>
      <c r="D1168" s="360"/>
      <c r="E1168" s="360">
        <v>3600</v>
      </c>
    </row>
    <row r="1169" spans="1:5" ht="17.25" x14ac:dyDescent="0.45">
      <c r="A1169" s="359">
        <v>45289</v>
      </c>
      <c r="B1169" s="6" t="s">
        <v>2288</v>
      </c>
      <c r="C1169" s="6" t="s">
        <v>428</v>
      </c>
      <c r="D1169" s="360"/>
      <c r="E1169" s="360">
        <v>600</v>
      </c>
    </row>
    <row r="1170" spans="1:5" ht="17.25" x14ac:dyDescent="0.45">
      <c r="A1170" s="359">
        <v>45289</v>
      </c>
      <c r="B1170" s="6" t="s">
        <v>1403</v>
      </c>
      <c r="C1170" s="6" t="s">
        <v>831</v>
      </c>
      <c r="D1170" s="360"/>
      <c r="E1170" s="360">
        <v>3500</v>
      </c>
    </row>
    <row r="1171" spans="1:5" ht="17.25" x14ac:dyDescent="0.45">
      <c r="A1171" s="359">
        <v>45289</v>
      </c>
      <c r="B1171" s="6" t="s">
        <v>1096</v>
      </c>
      <c r="C1171" s="6" t="s">
        <v>2289</v>
      </c>
      <c r="D1171" s="360"/>
      <c r="E1171" s="360">
        <v>2200</v>
      </c>
    </row>
    <row r="1172" spans="1:5" ht="17.25" x14ac:dyDescent="0.45">
      <c r="A1172" s="359">
        <v>45294</v>
      </c>
      <c r="B1172" s="6" t="s">
        <v>1767</v>
      </c>
      <c r="C1172" s="6" t="s">
        <v>708</v>
      </c>
      <c r="D1172" s="360"/>
      <c r="E1172" s="360">
        <v>6800</v>
      </c>
    </row>
    <row r="1173" spans="1:5" ht="17.25" x14ac:dyDescent="0.45">
      <c r="A1173" s="359">
        <v>45294</v>
      </c>
      <c r="B1173" s="6" t="s">
        <v>1167</v>
      </c>
      <c r="C1173" s="6" t="s">
        <v>2290</v>
      </c>
      <c r="D1173" s="360"/>
      <c r="E1173" s="360">
        <v>1100</v>
      </c>
    </row>
    <row r="1174" spans="1:5" ht="17.25" x14ac:dyDescent="0.45">
      <c r="A1174" s="359">
        <v>45294</v>
      </c>
      <c r="B1174" s="6" t="s">
        <v>1656</v>
      </c>
      <c r="C1174" s="6" t="s">
        <v>100</v>
      </c>
      <c r="D1174" s="360"/>
      <c r="E1174" s="360" t="s">
        <v>1533</v>
      </c>
    </row>
    <row r="1175" spans="1:5" ht="17.25" x14ac:dyDescent="0.45">
      <c r="A1175" s="363">
        <v>45294</v>
      </c>
      <c r="B1175" s="364" t="s">
        <v>2291</v>
      </c>
      <c r="C1175" s="364" t="s">
        <v>2292</v>
      </c>
      <c r="D1175" s="366"/>
      <c r="E1175" s="366" t="s">
        <v>1533</v>
      </c>
    </row>
    <row r="1176" spans="1:5" ht="17.25" x14ac:dyDescent="0.45">
      <c r="A1176" s="359">
        <v>45301</v>
      </c>
      <c r="B1176" s="6" t="s">
        <v>2293</v>
      </c>
      <c r="C1176" s="6" t="s">
        <v>1040</v>
      </c>
      <c r="D1176" s="360"/>
      <c r="E1176" s="360">
        <v>950</v>
      </c>
    </row>
    <row r="1177" spans="1:5" ht="17.25" x14ac:dyDescent="0.45">
      <c r="A1177" s="359">
        <v>45301</v>
      </c>
      <c r="B1177" s="6" t="s">
        <v>2294</v>
      </c>
      <c r="C1177" s="6" t="s">
        <v>1331</v>
      </c>
      <c r="D1177" s="360"/>
      <c r="E1177" s="360">
        <v>630</v>
      </c>
    </row>
    <row r="1178" spans="1:5" ht="17.25" x14ac:dyDescent="0.45">
      <c r="A1178" s="359">
        <v>45301</v>
      </c>
      <c r="B1178" s="6" t="s">
        <v>1354</v>
      </c>
      <c r="C1178" s="6" t="s">
        <v>1163</v>
      </c>
      <c r="D1178" s="360"/>
      <c r="E1178" s="360">
        <v>663</v>
      </c>
    </row>
    <row r="1179" spans="1:5" ht="17.25" x14ac:dyDescent="0.45">
      <c r="A1179" s="359">
        <v>45301</v>
      </c>
      <c r="B1179" s="6" t="s">
        <v>2295</v>
      </c>
      <c r="C1179" s="6" t="s">
        <v>472</v>
      </c>
      <c r="D1179" s="360"/>
      <c r="E1179" s="360">
        <v>625</v>
      </c>
    </row>
    <row r="1180" spans="1:5" ht="17.25" x14ac:dyDescent="0.45">
      <c r="A1180" s="359">
        <v>45301</v>
      </c>
      <c r="B1180" s="6" t="s">
        <v>2296</v>
      </c>
      <c r="C1180" s="6" t="s">
        <v>1347</v>
      </c>
      <c r="D1180" s="360"/>
      <c r="E1180" s="360">
        <v>555</v>
      </c>
    </row>
    <row r="1181" spans="1:5" ht="17.25" x14ac:dyDescent="0.45">
      <c r="A1181" s="359">
        <v>45301</v>
      </c>
      <c r="B1181" s="6" t="s">
        <v>2297</v>
      </c>
      <c r="C1181" s="6" t="s">
        <v>313</v>
      </c>
      <c r="D1181" s="360"/>
      <c r="E1181" s="360">
        <v>800</v>
      </c>
    </row>
    <row r="1182" spans="1:5" ht="17.25" x14ac:dyDescent="0.45">
      <c r="A1182" s="359">
        <v>45301</v>
      </c>
      <c r="B1182" s="6" t="s">
        <v>710</v>
      </c>
      <c r="C1182" s="6" t="s">
        <v>2298</v>
      </c>
      <c r="D1182" s="360"/>
      <c r="E1182" s="360">
        <v>0</v>
      </c>
    </row>
    <row r="1183" spans="1:5" ht="17.25" x14ac:dyDescent="0.45">
      <c r="A1183" s="359">
        <v>45301</v>
      </c>
      <c r="B1183" s="6" t="s">
        <v>1752</v>
      </c>
      <c r="C1183" s="6" t="s">
        <v>2299</v>
      </c>
      <c r="D1183" s="360"/>
      <c r="E1183" s="360">
        <v>332</v>
      </c>
    </row>
    <row r="1184" spans="1:5" ht="17.25" x14ac:dyDescent="0.45">
      <c r="A1184" s="363">
        <v>45301</v>
      </c>
      <c r="B1184" s="364" t="s">
        <v>2300</v>
      </c>
      <c r="C1184" s="364" t="s">
        <v>2301</v>
      </c>
      <c r="D1184" s="366"/>
      <c r="E1184" s="366">
        <v>240</v>
      </c>
    </row>
    <row r="1185" spans="1:5" ht="17.25" x14ac:dyDescent="0.45">
      <c r="A1185" s="363">
        <v>45303</v>
      </c>
      <c r="B1185" s="364" t="s">
        <v>2302</v>
      </c>
      <c r="C1185" s="364" t="s">
        <v>519</v>
      </c>
      <c r="D1185" s="366"/>
      <c r="E1185" s="366">
        <v>4200</v>
      </c>
    </row>
    <row r="1186" spans="1:5" ht="17.25" x14ac:dyDescent="0.45">
      <c r="A1186" s="359">
        <v>45310</v>
      </c>
      <c r="B1186" s="6" t="s">
        <v>2225</v>
      </c>
      <c r="C1186" s="6" t="s">
        <v>313</v>
      </c>
      <c r="D1186" s="360"/>
      <c r="E1186" s="360">
        <v>0</v>
      </c>
    </row>
    <row r="1187" spans="1:5" ht="17.25" x14ac:dyDescent="0.45">
      <c r="A1187" s="359">
        <v>45310</v>
      </c>
      <c r="B1187" s="6" t="s">
        <v>2225</v>
      </c>
      <c r="C1187" s="6" t="s">
        <v>499</v>
      </c>
      <c r="D1187" s="360"/>
      <c r="E1187" s="360">
        <v>0</v>
      </c>
    </row>
    <row r="1188" spans="1:5" ht="17.25" x14ac:dyDescent="0.45">
      <c r="A1188" s="359">
        <v>45310</v>
      </c>
      <c r="B1188" s="6" t="s">
        <v>2225</v>
      </c>
      <c r="C1188" s="6" t="s">
        <v>432</v>
      </c>
      <c r="D1188" s="360"/>
      <c r="E1188" s="360">
        <v>0</v>
      </c>
    </row>
    <row r="1189" spans="1:5" ht="17.25" x14ac:dyDescent="0.45">
      <c r="A1189" s="359">
        <v>45310</v>
      </c>
      <c r="B1189" s="6" t="s">
        <v>2225</v>
      </c>
      <c r="C1189" s="6" t="s">
        <v>2303</v>
      </c>
      <c r="D1189" s="360"/>
      <c r="E1189" s="360">
        <v>0</v>
      </c>
    </row>
    <row r="1190" spans="1:5" ht="17.25" x14ac:dyDescent="0.45">
      <c r="A1190" s="359">
        <v>45311</v>
      </c>
      <c r="B1190" s="6" t="s">
        <v>2225</v>
      </c>
      <c r="C1190" s="6" t="s">
        <v>2221</v>
      </c>
      <c r="D1190" s="360"/>
      <c r="E1190" s="360">
        <v>0</v>
      </c>
    </row>
    <row r="1191" spans="1:5" ht="17.25" x14ac:dyDescent="0.45">
      <c r="A1191" s="359">
        <v>45311</v>
      </c>
      <c r="B1191" s="6" t="s">
        <v>2304</v>
      </c>
      <c r="C1191" s="6" t="s">
        <v>1376</v>
      </c>
      <c r="D1191" s="360"/>
      <c r="E1191" s="360">
        <v>0</v>
      </c>
    </row>
    <row r="1192" spans="1:5" ht="17.25" x14ac:dyDescent="0.45">
      <c r="A1192" s="359">
        <v>45311</v>
      </c>
      <c r="B1192" s="6" t="s">
        <v>2304</v>
      </c>
      <c r="C1192" s="6" t="s">
        <v>831</v>
      </c>
      <c r="D1192" s="360"/>
      <c r="E1192" s="360">
        <v>0</v>
      </c>
    </row>
    <row r="1193" spans="1:5" ht="17.25" x14ac:dyDescent="0.45">
      <c r="A1193" s="359">
        <v>45311</v>
      </c>
      <c r="B1193" s="6" t="s">
        <v>2225</v>
      </c>
      <c r="C1193" s="6" t="s">
        <v>1294</v>
      </c>
      <c r="D1193" s="360"/>
      <c r="E1193" s="360">
        <v>0</v>
      </c>
    </row>
    <row r="1194" spans="1:5" ht="17.25" x14ac:dyDescent="0.45">
      <c r="A1194" s="359">
        <v>45311</v>
      </c>
      <c r="B1194" s="6" t="s">
        <v>2225</v>
      </c>
      <c r="C1194" s="6" t="s">
        <v>1340</v>
      </c>
      <c r="D1194" s="360"/>
      <c r="E1194" s="360">
        <v>0</v>
      </c>
    </row>
    <row r="1195" spans="1:5" ht="17.25" x14ac:dyDescent="0.45">
      <c r="A1195" s="359">
        <v>45312</v>
      </c>
      <c r="B1195" s="6" t="s">
        <v>2305</v>
      </c>
      <c r="C1195" s="6" t="s">
        <v>708</v>
      </c>
      <c r="D1195" s="360"/>
      <c r="E1195" s="360">
        <v>5620</v>
      </c>
    </row>
    <row r="1196" spans="1:5" ht="17.25" x14ac:dyDescent="0.45">
      <c r="A1196" s="359">
        <v>45312</v>
      </c>
      <c r="B1196" s="6" t="s">
        <v>2305</v>
      </c>
      <c r="C1196" s="6" t="s">
        <v>87</v>
      </c>
      <c r="D1196" s="360"/>
      <c r="E1196" s="360">
        <v>5620</v>
      </c>
    </row>
    <row r="1197" spans="1:5" ht="17.25" x14ac:dyDescent="0.45">
      <c r="A1197" s="359">
        <v>45312</v>
      </c>
      <c r="B1197" s="6" t="s">
        <v>2306</v>
      </c>
      <c r="C1197" s="6" t="s">
        <v>2307</v>
      </c>
      <c r="D1197" s="360"/>
      <c r="E1197" s="360">
        <v>3360</v>
      </c>
    </row>
    <row r="1198" spans="1:5" ht="17.25" x14ac:dyDescent="0.45">
      <c r="A1198" s="359">
        <v>45312</v>
      </c>
      <c r="B1198" s="6" t="s">
        <v>2308</v>
      </c>
      <c r="C1198" s="6" t="s">
        <v>495</v>
      </c>
      <c r="D1198" s="360"/>
      <c r="E1198" s="360">
        <v>444</v>
      </c>
    </row>
    <row r="1199" spans="1:5" ht="17.25" x14ac:dyDescent="0.45">
      <c r="A1199" s="359">
        <v>45312</v>
      </c>
      <c r="B1199" s="6" t="s">
        <v>2309</v>
      </c>
      <c r="C1199" s="6" t="s">
        <v>476</v>
      </c>
      <c r="D1199" s="360"/>
      <c r="E1199" s="360">
        <v>1308</v>
      </c>
    </row>
    <row r="1200" spans="1:5" ht="17.25" x14ac:dyDescent="0.45">
      <c r="A1200" s="359">
        <v>45314</v>
      </c>
      <c r="B1200" s="6" t="s">
        <v>2305</v>
      </c>
      <c r="C1200" s="6" t="s">
        <v>2110</v>
      </c>
      <c r="D1200" s="360"/>
      <c r="E1200" s="360">
        <v>7307</v>
      </c>
    </row>
    <row r="1201" spans="1:5" ht="17.25" x14ac:dyDescent="0.45">
      <c r="A1201" s="359">
        <v>45314</v>
      </c>
      <c r="B1201" s="6" t="s">
        <v>2225</v>
      </c>
      <c r="C1201" s="6" t="s">
        <v>1895</v>
      </c>
      <c r="D1201" s="360"/>
      <c r="E1201" s="360">
        <v>0</v>
      </c>
    </row>
    <row r="1202" spans="1:5" ht="17.25" x14ac:dyDescent="0.45">
      <c r="A1202" s="359">
        <v>45314</v>
      </c>
      <c r="B1202" s="6" t="s">
        <v>2305</v>
      </c>
      <c r="C1202" s="6" t="s">
        <v>439</v>
      </c>
      <c r="D1202" s="360"/>
      <c r="E1202" s="360">
        <v>5620</v>
      </c>
    </row>
    <row r="1203" spans="1:5" ht="17.25" x14ac:dyDescent="0.45">
      <c r="A1203" s="359">
        <v>45314</v>
      </c>
      <c r="B1203" s="6" t="s">
        <v>2310</v>
      </c>
      <c r="C1203" s="6" t="s">
        <v>184</v>
      </c>
      <c r="D1203" s="360"/>
      <c r="E1203" s="360">
        <v>2160</v>
      </c>
    </row>
    <row r="1204" spans="1:5" ht="17.25" x14ac:dyDescent="0.45">
      <c r="A1204" s="359">
        <v>45315</v>
      </c>
      <c r="B1204" s="6" t="s">
        <v>2304</v>
      </c>
      <c r="C1204" s="6" t="s">
        <v>2311</v>
      </c>
      <c r="D1204" s="360"/>
      <c r="E1204" s="360">
        <v>0</v>
      </c>
    </row>
    <row r="1205" spans="1:5" ht="17.25" x14ac:dyDescent="0.45">
      <c r="A1205" s="359">
        <v>45315</v>
      </c>
      <c r="B1205" s="6" t="s">
        <v>2225</v>
      </c>
      <c r="C1205" s="6" t="s">
        <v>1163</v>
      </c>
      <c r="D1205" s="360"/>
      <c r="E1205" s="360">
        <v>0</v>
      </c>
    </row>
    <row r="1206" spans="1:5" ht="17.25" x14ac:dyDescent="0.45">
      <c r="A1206" s="359">
        <v>45315</v>
      </c>
      <c r="B1206" s="6" t="s">
        <v>2312</v>
      </c>
      <c r="C1206" s="6" t="s">
        <v>63</v>
      </c>
      <c r="D1206" s="360"/>
      <c r="E1206" s="360">
        <v>3280</v>
      </c>
    </row>
    <row r="1207" spans="1:5" ht="17.25" x14ac:dyDescent="0.45">
      <c r="A1207" s="359">
        <v>45315</v>
      </c>
      <c r="B1207" s="6" t="s">
        <v>2313</v>
      </c>
      <c r="C1207" s="6" t="s">
        <v>1685</v>
      </c>
      <c r="D1207" s="360"/>
      <c r="E1207" s="360">
        <v>292</v>
      </c>
    </row>
    <row r="1208" spans="1:5" ht="17.25" x14ac:dyDescent="0.45">
      <c r="A1208" s="359">
        <v>45315</v>
      </c>
      <c r="B1208" s="6" t="s">
        <v>2314</v>
      </c>
      <c r="C1208" s="6" t="s">
        <v>440</v>
      </c>
      <c r="D1208" s="360"/>
      <c r="E1208" s="360">
        <v>732</v>
      </c>
    </row>
    <row r="1209" spans="1:5" ht="17.25" x14ac:dyDescent="0.45">
      <c r="A1209" s="359">
        <v>45315</v>
      </c>
      <c r="B1209" s="6" t="s">
        <v>2315</v>
      </c>
      <c r="C1209" s="6" t="s">
        <v>799</v>
      </c>
      <c r="D1209" s="360"/>
      <c r="E1209" s="360">
        <v>308</v>
      </c>
    </row>
    <row r="1210" spans="1:5" ht="17.25" x14ac:dyDescent="0.45">
      <c r="A1210" s="359">
        <v>45315</v>
      </c>
      <c r="B1210" s="6" t="s">
        <v>2316</v>
      </c>
      <c r="C1210" s="6" t="s">
        <v>912</v>
      </c>
      <c r="D1210" s="360"/>
      <c r="E1210" s="360">
        <v>640</v>
      </c>
    </row>
    <row r="1211" spans="1:5" ht="17.25" x14ac:dyDescent="0.45">
      <c r="A1211" s="359">
        <v>45315</v>
      </c>
      <c r="B1211" s="6" t="s">
        <v>943</v>
      </c>
      <c r="C1211" s="6" t="s">
        <v>952</v>
      </c>
      <c r="D1211" s="360"/>
      <c r="E1211" s="360">
        <v>448</v>
      </c>
    </row>
    <row r="1212" spans="1:5" ht="17.25" x14ac:dyDescent="0.45">
      <c r="A1212" s="359">
        <v>45315</v>
      </c>
      <c r="B1212" s="6" t="s">
        <v>2317</v>
      </c>
      <c r="C1212" s="6" t="s">
        <v>1035</v>
      </c>
      <c r="D1212" s="360"/>
      <c r="E1212" s="360">
        <v>616</v>
      </c>
    </row>
    <row r="1213" spans="1:5" ht="17.25" x14ac:dyDescent="0.45">
      <c r="A1213" s="359">
        <v>45315</v>
      </c>
      <c r="B1213" s="6" t="s">
        <v>2318</v>
      </c>
      <c r="C1213" s="6" t="s">
        <v>2319</v>
      </c>
      <c r="D1213" s="360"/>
      <c r="E1213" s="360">
        <v>260</v>
      </c>
    </row>
    <row r="1214" spans="1:5" ht="17.25" x14ac:dyDescent="0.45">
      <c r="A1214" s="359">
        <v>45315</v>
      </c>
      <c r="B1214" s="6" t="s">
        <v>2314</v>
      </c>
      <c r="C1214" s="6" t="s">
        <v>1056</v>
      </c>
      <c r="D1214" s="360"/>
      <c r="E1214" s="360">
        <v>1120</v>
      </c>
    </row>
    <row r="1215" spans="1:5" ht="17.25" x14ac:dyDescent="0.45">
      <c r="A1215" s="359">
        <v>45315</v>
      </c>
      <c r="B1215" s="6" t="s">
        <v>2320</v>
      </c>
      <c r="C1215" s="6" t="s">
        <v>2321</v>
      </c>
      <c r="D1215" s="360"/>
      <c r="E1215" s="360">
        <v>684</v>
      </c>
    </row>
    <row r="1216" spans="1:5" ht="17.25" x14ac:dyDescent="0.45">
      <c r="A1216" s="359">
        <v>45315</v>
      </c>
      <c r="B1216" s="6" t="s">
        <v>2322</v>
      </c>
      <c r="C1216" s="6" t="s">
        <v>936</v>
      </c>
      <c r="D1216" s="360"/>
      <c r="E1216" s="360">
        <v>636</v>
      </c>
    </row>
    <row r="1217" spans="1:5" ht="17.25" x14ac:dyDescent="0.45">
      <c r="A1217" s="359">
        <v>45315</v>
      </c>
      <c r="B1217" s="6" t="s">
        <v>2200</v>
      </c>
      <c r="C1217" s="6" t="s">
        <v>2323</v>
      </c>
      <c r="D1217" s="360"/>
      <c r="E1217" s="360">
        <v>740</v>
      </c>
    </row>
    <row r="1218" spans="1:5" ht="17.25" x14ac:dyDescent="0.45">
      <c r="A1218" s="359">
        <v>45315</v>
      </c>
      <c r="B1218" s="6" t="s">
        <v>2314</v>
      </c>
      <c r="C1218" s="6" t="s">
        <v>1388</v>
      </c>
      <c r="D1218" s="360"/>
      <c r="E1218" s="360">
        <v>448</v>
      </c>
    </row>
    <row r="1219" spans="1:5" ht="17.25" x14ac:dyDescent="0.45">
      <c r="A1219" s="359">
        <v>45315</v>
      </c>
      <c r="B1219" s="6" t="s">
        <v>2324</v>
      </c>
      <c r="C1219" s="6" t="s">
        <v>1056</v>
      </c>
      <c r="D1219" s="360"/>
      <c r="E1219" s="360">
        <v>375</v>
      </c>
    </row>
    <row r="1220" spans="1:5" ht="17.25" x14ac:dyDescent="0.45">
      <c r="A1220" s="359">
        <v>45315</v>
      </c>
      <c r="B1220" s="6" t="s">
        <v>2200</v>
      </c>
      <c r="C1220" s="6" t="s">
        <v>1413</v>
      </c>
      <c r="D1220" s="360"/>
      <c r="E1220" s="360">
        <v>1244</v>
      </c>
    </row>
    <row r="1221" spans="1:5" ht="17.25" x14ac:dyDescent="0.45">
      <c r="A1221" s="359">
        <v>45315</v>
      </c>
      <c r="B1221" s="6" t="s">
        <v>1200</v>
      </c>
      <c r="C1221" s="6" t="s">
        <v>1715</v>
      </c>
      <c r="D1221" s="360"/>
      <c r="E1221" s="360">
        <v>456</v>
      </c>
    </row>
    <row r="1222" spans="1:5" ht="17.25" x14ac:dyDescent="0.45">
      <c r="A1222" s="359">
        <v>45315</v>
      </c>
      <c r="B1222" s="6" t="s">
        <v>2325</v>
      </c>
      <c r="C1222" s="6" t="s">
        <v>222</v>
      </c>
      <c r="D1222" s="360"/>
      <c r="E1222" s="360">
        <v>952</v>
      </c>
    </row>
    <row r="1223" spans="1:5" ht="17.25" x14ac:dyDescent="0.45">
      <c r="A1223" s="359">
        <v>45315</v>
      </c>
      <c r="B1223" s="6" t="s">
        <v>2326</v>
      </c>
      <c r="C1223" s="6" t="s">
        <v>335</v>
      </c>
      <c r="D1223" s="360"/>
      <c r="E1223" s="360">
        <v>504</v>
      </c>
    </row>
    <row r="1224" spans="1:5" ht="17.25" x14ac:dyDescent="0.45">
      <c r="A1224" s="359">
        <v>45315</v>
      </c>
      <c r="B1224" s="6" t="s">
        <v>2327</v>
      </c>
      <c r="C1224" s="6" t="s">
        <v>1037</v>
      </c>
      <c r="D1224" s="360"/>
      <c r="E1224" s="360">
        <v>1220</v>
      </c>
    </row>
    <row r="1225" spans="1:5" ht="17.25" x14ac:dyDescent="0.45">
      <c r="A1225" s="359">
        <v>45316</v>
      </c>
      <c r="B1225" s="6" t="s">
        <v>2328</v>
      </c>
      <c r="C1225" s="6" t="s">
        <v>1538</v>
      </c>
      <c r="D1225" s="360"/>
      <c r="E1225" s="360">
        <v>8900</v>
      </c>
    </row>
    <row r="1226" spans="1:5" ht="17.25" x14ac:dyDescent="0.45">
      <c r="A1226" s="359">
        <v>45316</v>
      </c>
      <c r="B1226" s="6" t="s">
        <v>2329</v>
      </c>
      <c r="C1226" s="6" t="s">
        <v>2330</v>
      </c>
      <c r="D1226" s="360"/>
      <c r="E1226" s="360">
        <v>0</v>
      </c>
    </row>
    <row r="1227" spans="1:5" ht="17.25" x14ac:dyDescent="0.45">
      <c r="A1227" s="359">
        <v>45316</v>
      </c>
      <c r="B1227" s="6" t="s">
        <v>2310</v>
      </c>
      <c r="C1227" s="6" t="s">
        <v>395</v>
      </c>
      <c r="D1227" s="360"/>
      <c r="E1227" s="360">
        <v>2160</v>
      </c>
    </row>
    <row r="1228" spans="1:5" ht="17.25" x14ac:dyDescent="0.45">
      <c r="A1228" s="359">
        <v>45316</v>
      </c>
      <c r="B1228" s="6" t="s">
        <v>2331</v>
      </c>
      <c r="C1228" s="6" t="s">
        <v>2321</v>
      </c>
      <c r="D1228" s="360"/>
      <c r="E1228" s="360">
        <v>2900</v>
      </c>
    </row>
    <row r="1229" spans="1:5" ht="17.25" x14ac:dyDescent="0.45">
      <c r="A1229" s="359">
        <v>45316</v>
      </c>
      <c r="B1229" s="6" t="s">
        <v>2305</v>
      </c>
      <c r="C1229" s="6" t="s">
        <v>2332</v>
      </c>
      <c r="D1229" s="360"/>
      <c r="E1229" s="360">
        <v>5620</v>
      </c>
    </row>
    <row r="1230" spans="1:5" ht="17.25" x14ac:dyDescent="0.45">
      <c r="A1230" s="363">
        <v>45316</v>
      </c>
      <c r="B1230" s="364" t="s">
        <v>2333</v>
      </c>
      <c r="C1230" s="364" t="s">
        <v>2334</v>
      </c>
      <c r="D1230" s="366"/>
      <c r="E1230" s="366">
        <v>7307</v>
      </c>
    </row>
    <row r="1231" spans="1:5" ht="17.25" x14ac:dyDescent="0.45">
      <c r="A1231" s="359">
        <v>45325</v>
      </c>
      <c r="B1231" s="6" t="s">
        <v>2335</v>
      </c>
      <c r="C1231" s="6" t="s">
        <v>2277</v>
      </c>
      <c r="D1231" s="360"/>
      <c r="E1231" s="360">
        <v>420</v>
      </c>
    </row>
    <row r="1232" spans="1:5" ht="17.25" x14ac:dyDescent="0.45">
      <c r="A1232" s="359">
        <v>45325</v>
      </c>
      <c r="B1232" s="6" t="s">
        <v>2336</v>
      </c>
      <c r="C1232" s="6" t="s">
        <v>432</v>
      </c>
      <c r="D1232" s="360"/>
      <c r="E1232" s="360">
        <v>1540</v>
      </c>
    </row>
    <row r="1233" spans="1:5" ht="17.25" x14ac:dyDescent="0.45">
      <c r="A1233" s="359">
        <v>45325</v>
      </c>
      <c r="B1233" s="6" t="s">
        <v>2337</v>
      </c>
      <c r="C1233" s="6" t="s">
        <v>420</v>
      </c>
      <c r="D1233" s="360"/>
      <c r="E1233" s="360">
        <v>490</v>
      </c>
    </row>
    <row r="1234" spans="1:5" ht="17.25" x14ac:dyDescent="0.45">
      <c r="A1234" s="359">
        <v>45325</v>
      </c>
      <c r="B1234" s="6" t="s">
        <v>2336</v>
      </c>
      <c r="C1234" s="6" t="s">
        <v>1866</v>
      </c>
      <c r="D1234" s="360"/>
      <c r="E1234" s="360">
        <v>855</v>
      </c>
    </row>
    <row r="1235" spans="1:5" ht="17.25" x14ac:dyDescent="0.45">
      <c r="A1235" s="359">
        <v>45325</v>
      </c>
      <c r="B1235" s="6" t="s">
        <v>2335</v>
      </c>
      <c r="C1235" s="6" t="s">
        <v>2251</v>
      </c>
      <c r="D1235" s="360"/>
      <c r="E1235" s="360">
        <v>420</v>
      </c>
    </row>
    <row r="1236" spans="1:5" ht="17.25" x14ac:dyDescent="0.45">
      <c r="A1236" s="359">
        <v>45325</v>
      </c>
      <c r="B1236" s="6" t="s">
        <v>2338</v>
      </c>
      <c r="C1236" s="6" t="s">
        <v>2334</v>
      </c>
      <c r="D1236" s="360"/>
      <c r="E1236" s="360">
        <v>0</v>
      </c>
    </row>
    <row r="1237" spans="1:5" ht="17.25" x14ac:dyDescent="0.45">
      <c r="A1237" s="359">
        <v>45325</v>
      </c>
      <c r="B1237" s="6" t="s">
        <v>2339</v>
      </c>
      <c r="C1237" s="6" t="s">
        <v>329</v>
      </c>
      <c r="D1237" s="360"/>
      <c r="E1237" s="360">
        <v>270</v>
      </c>
    </row>
    <row r="1238" spans="1:5" ht="17.25" x14ac:dyDescent="0.45">
      <c r="A1238" s="359">
        <v>45329</v>
      </c>
      <c r="B1238" s="6" t="s">
        <v>2340</v>
      </c>
      <c r="C1238" s="6" t="s">
        <v>1351</v>
      </c>
      <c r="D1238" s="360"/>
      <c r="E1238" s="360">
        <v>4400</v>
      </c>
    </row>
    <row r="1239" spans="1:5" ht="17.25" x14ac:dyDescent="0.45">
      <c r="A1239" s="359">
        <v>45329</v>
      </c>
      <c r="B1239" s="6" t="s">
        <v>2225</v>
      </c>
      <c r="C1239" s="6" t="s">
        <v>989</v>
      </c>
      <c r="D1239" s="360"/>
      <c r="E1239" s="360">
        <v>0</v>
      </c>
    </row>
    <row r="1240" spans="1:5" ht="17.25" x14ac:dyDescent="0.45">
      <c r="A1240" s="359">
        <v>45329</v>
      </c>
      <c r="B1240" s="6" t="s">
        <v>2225</v>
      </c>
      <c r="C1240" s="6" t="s">
        <v>2156</v>
      </c>
      <c r="D1240" s="360"/>
      <c r="E1240" s="360">
        <v>0</v>
      </c>
    </row>
    <row r="1241" spans="1:5" ht="17.25" x14ac:dyDescent="0.45">
      <c r="A1241" s="359">
        <v>45329</v>
      </c>
      <c r="B1241" s="6" t="s">
        <v>2341</v>
      </c>
      <c r="C1241" s="6" t="s">
        <v>1697</v>
      </c>
      <c r="D1241" s="360"/>
      <c r="E1241" s="360">
        <v>1800</v>
      </c>
    </row>
    <row r="1242" spans="1:5" ht="17.25" x14ac:dyDescent="0.45">
      <c r="A1242" s="359">
        <v>45329</v>
      </c>
      <c r="B1242" s="6" t="s">
        <v>2225</v>
      </c>
      <c r="C1242" s="6" t="s">
        <v>610</v>
      </c>
      <c r="D1242" s="360"/>
      <c r="E1242" s="360">
        <v>0</v>
      </c>
    </row>
    <row r="1243" spans="1:5" ht="17.25" x14ac:dyDescent="0.45">
      <c r="A1243" s="359">
        <v>45330</v>
      </c>
      <c r="B1243" s="6" t="s">
        <v>2225</v>
      </c>
      <c r="C1243" s="6" t="s">
        <v>1155</v>
      </c>
      <c r="D1243" s="360"/>
      <c r="E1243" s="360">
        <v>0</v>
      </c>
    </row>
    <row r="1244" spans="1:5" ht="17.25" x14ac:dyDescent="0.45">
      <c r="A1244" s="359">
        <v>45330</v>
      </c>
      <c r="B1244" s="6" t="s">
        <v>2225</v>
      </c>
      <c r="C1244" s="6" t="s">
        <v>1180</v>
      </c>
      <c r="D1244" s="360"/>
      <c r="E1244" s="360">
        <v>0</v>
      </c>
    </row>
    <row r="1245" spans="1:5" ht="17.25" x14ac:dyDescent="0.45">
      <c r="A1245" s="359">
        <v>45330</v>
      </c>
      <c r="B1245" s="6" t="s">
        <v>2209</v>
      </c>
      <c r="C1245" s="6" t="s">
        <v>529</v>
      </c>
      <c r="D1245" s="360"/>
      <c r="E1245" s="360">
        <v>0</v>
      </c>
    </row>
    <row r="1246" spans="1:5" ht="17.25" x14ac:dyDescent="0.45">
      <c r="A1246" s="359">
        <v>45330</v>
      </c>
      <c r="B1246" s="6" t="s">
        <v>2209</v>
      </c>
      <c r="C1246" s="6" t="s">
        <v>395</v>
      </c>
      <c r="D1246" s="360"/>
      <c r="E1246" s="360">
        <v>0</v>
      </c>
    </row>
    <row r="1247" spans="1:5" ht="17.25" x14ac:dyDescent="0.45">
      <c r="A1247" s="363">
        <v>45330</v>
      </c>
      <c r="B1247" s="364" t="s">
        <v>2225</v>
      </c>
      <c r="C1247" s="364" t="s">
        <v>2231</v>
      </c>
      <c r="D1247" s="366"/>
      <c r="E1247" s="366">
        <v>0</v>
      </c>
    </row>
    <row r="1248" spans="1:5" ht="17.25" x14ac:dyDescent="0.45">
      <c r="A1248" s="359">
        <v>45331</v>
      </c>
      <c r="B1248" s="6" t="s">
        <v>2209</v>
      </c>
      <c r="C1248" s="6" t="s">
        <v>202</v>
      </c>
      <c r="D1248" s="360"/>
      <c r="E1248" s="360">
        <v>0</v>
      </c>
    </row>
    <row r="1249" spans="1:5" ht="17.25" x14ac:dyDescent="0.45">
      <c r="A1249" s="359">
        <v>45331</v>
      </c>
      <c r="B1249" s="6" t="s">
        <v>2225</v>
      </c>
      <c r="C1249" s="6" t="s">
        <v>2342</v>
      </c>
      <c r="D1249" s="360"/>
      <c r="E1249" s="360">
        <v>0</v>
      </c>
    </row>
    <row r="1250" spans="1:5" ht="17.25" x14ac:dyDescent="0.45">
      <c r="A1250" s="359">
        <v>45331</v>
      </c>
      <c r="B1250" s="6" t="s">
        <v>2209</v>
      </c>
      <c r="C1250" s="6" t="s">
        <v>627</v>
      </c>
      <c r="D1250" s="360"/>
      <c r="E1250" s="360">
        <v>0</v>
      </c>
    </row>
    <row r="1251" spans="1:5" ht="17.25" x14ac:dyDescent="0.45">
      <c r="A1251" s="359">
        <v>45331</v>
      </c>
      <c r="B1251" s="6" t="s">
        <v>2209</v>
      </c>
      <c r="C1251" s="6" t="s">
        <v>2321</v>
      </c>
      <c r="D1251" s="360"/>
      <c r="E1251" s="360">
        <v>0</v>
      </c>
    </row>
    <row r="1252" spans="1:5" ht="17.25" x14ac:dyDescent="0.45">
      <c r="A1252" s="359">
        <v>45331</v>
      </c>
      <c r="B1252" s="6" t="s">
        <v>2225</v>
      </c>
      <c r="C1252" s="6" t="s">
        <v>108</v>
      </c>
      <c r="D1252" s="360"/>
      <c r="E1252" s="360">
        <v>0</v>
      </c>
    </row>
    <row r="1253" spans="1:5" ht="17.25" x14ac:dyDescent="0.45">
      <c r="A1253" s="359">
        <v>45332</v>
      </c>
      <c r="B1253" s="6" t="s">
        <v>2343</v>
      </c>
      <c r="C1253" s="6" t="s">
        <v>2344</v>
      </c>
      <c r="D1253" s="360"/>
      <c r="E1253" s="360">
        <v>276</v>
      </c>
    </row>
    <row r="1254" spans="1:5" ht="17.25" x14ac:dyDescent="0.45">
      <c r="A1254" s="359">
        <v>45332</v>
      </c>
      <c r="B1254" s="6" t="s">
        <v>2345</v>
      </c>
      <c r="C1254" s="6" t="s">
        <v>962</v>
      </c>
      <c r="D1254" s="360"/>
      <c r="E1254" s="360">
        <v>1450</v>
      </c>
    </row>
    <row r="1255" spans="1:5" ht="17.25" x14ac:dyDescent="0.45">
      <c r="A1255" s="359">
        <v>45332</v>
      </c>
      <c r="B1255" s="6" t="s">
        <v>1460</v>
      </c>
      <c r="C1255" s="6" t="s">
        <v>2346</v>
      </c>
      <c r="D1255" s="360"/>
      <c r="E1255" s="360">
        <v>500</v>
      </c>
    </row>
    <row r="1256" spans="1:5" ht="17.25" x14ac:dyDescent="0.45">
      <c r="A1256" s="359">
        <v>45332</v>
      </c>
      <c r="B1256" s="6" t="s">
        <v>2134</v>
      </c>
      <c r="C1256" s="6" t="s">
        <v>406</v>
      </c>
      <c r="D1256" s="360"/>
      <c r="E1256" s="360">
        <v>1648</v>
      </c>
    </row>
    <row r="1257" spans="1:5" ht="17.25" x14ac:dyDescent="0.45">
      <c r="A1257" s="359">
        <v>45334</v>
      </c>
      <c r="B1257" s="6" t="s">
        <v>2225</v>
      </c>
      <c r="C1257" s="6" t="s">
        <v>2347</v>
      </c>
      <c r="D1257" s="360"/>
      <c r="E1257" s="360">
        <v>0</v>
      </c>
    </row>
    <row r="1258" spans="1:5" ht="17.25" x14ac:dyDescent="0.45">
      <c r="A1258" s="359">
        <v>45334</v>
      </c>
      <c r="B1258" s="6" t="s">
        <v>2225</v>
      </c>
      <c r="C1258" s="6" t="s">
        <v>1811</v>
      </c>
      <c r="D1258" s="360"/>
      <c r="E1258" s="360">
        <v>0</v>
      </c>
    </row>
    <row r="1259" spans="1:5" ht="17.25" x14ac:dyDescent="0.45">
      <c r="A1259" s="359">
        <v>45334</v>
      </c>
      <c r="B1259" s="6" t="s">
        <v>2225</v>
      </c>
      <c r="C1259" s="6" t="s">
        <v>2348</v>
      </c>
      <c r="D1259" s="360"/>
      <c r="E1259" s="360">
        <v>0</v>
      </c>
    </row>
    <row r="1260" spans="1:5" ht="17.25" x14ac:dyDescent="0.45">
      <c r="A1260" s="359">
        <v>45334</v>
      </c>
      <c r="B1260" s="6" t="s">
        <v>906</v>
      </c>
      <c r="C1260" s="6" t="s">
        <v>2348</v>
      </c>
      <c r="D1260" s="360"/>
      <c r="E1260" s="360">
        <v>0</v>
      </c>
    </row>
    <row r="1261" spans="1:5" ht="17.25" x14ac:dyDescent="0.45">
      <c r="A1261" s="359">
        <v>45334</v>
      </c>
      <c r="B1261" s="6" t="s">
        <v>2225</v>
      </c>
      <c r="C1261" s="6" t="s">
        <v>2349</v>
      </c>
      <c r="D1261" s="360"/>
      <c r="E1261" s="360">
        <v>0</v>
      </c>
    </row>
    <row r="1262" spans="1:5" ht="17.25" x14ac:dyDescent="0.45">
      <c r="A1262" s="359">
        <v>45334</v>
      </c>
      <c r="B1262" s="6" t="s">
        <v>2225</v>
      </c>
      <c r="C1262" s="6" t="s">
        <v>2350</v>
      </c>
      <c r="D1262" s="360"/>
      <c r="E1262" s="360">
        <v>0</v>
      </c>
    </row>
    <row r="1263" spans="1:5" ht="17.25" x14ac:dyDescent="0.45">
      <c r="A1263" s="359">
        <v>45334</v>
      </c>
      <c r="B1263" s="6" t="s">
        <v>2305</v>
      </c>
      <c r="C1263" s="6" t="s">
        <v>2351</v>
      </c>
      <c r="D1263" s="360"/>
      <c r="E1263" s="360">
        <v>7306</v>
      </c>
    </row>
    <row r="1264" spans="1:5" ht="17.25" x14ac:dyDescent="0.45">
      <c r="A1264" s="359">
        <v>45335</v>
      </c>
      <c r="B1264" s="6" t="s">
        <v>2225</v>
      </c>
      <c r="C1264" s="6" t="s">
        <v>222</v>
      </c>
      <c r="D1264" s="360"/>
      <c r="E1264" s="360">
        <v>0</v>
      </c>
    </row>
    <row r="1265" spans="1:5" ht="17.25" x14ac:dyDescent="0.45">
      <c r="A1265" s="359">
        <v>45335</v>
      </c>
      <c r="B1265" s="6" t="s">
        <v>2225</v>
      </c>
      <c r="C1265" s="6" t="s">
        <v>420</v>
      </c>
      <c r="D1265" s="360"/>
      <c r="E1265" s="360">
        <v>0</v>
      </c>
    </row>
    <row r="1266" spans="1:5" ht="17.25" x14ac:dyDescent="0.45">
      <c r="A1266" s="359">
        <v>45335</v>
      </c>
      <c r="B1266" s="6" t="s">
        <v>2225</v>
      </c>
      <c r="C1266" s="6" t="s">
        <v>308</v>
      </c>
      <c r="D1266" s="360"/>
      <c r="E1266" s="360">
        <v>0</v>
      </c>
    </row>
    <row r="1267" spans="1:5" ht="17.25" x14ac:dyDescent="0.45">
      <c r="A1267" s="359">
        <v>45335</v>
      </c>
      <c r="B1267" s="6" t="s">
        <v>2225</v>
      </c>
      <c r="C1267" s="6" t="s">
        <v>2352</v>
      </c>
      <c r="D1267" s="360"/>
      <c r="E1267" s="360">
        <v>0</v>
      </c>
    </row>
    <row r="1268" spans="1:5" ht="17.25" x14ac:dyDescent="0.45">
      <c r="A1268" s="359">
        <v>45335</v>
      </c>
      <c r="B1268" s="6" t="s">
        <v>2353</v>
      </c>
      <c r="C1268" s="6" t="s">
        <v>2354</v>
      </c>
      <c r="D1268" s="360"/>
      <c r="E1268" s="360">
        <v>720</v>
      </c>
    </row>
    <row r="1269" spans="1:5" ht="17.25" x14ac:dyDescent="0.45">
      <c r="A1269" s="359">
        <v>45335</v>
      </c>
      <c r="B1269" s="6" t="s">
        <v>1060</v>
      </c>
      <c r="C1269" s="6" t="s">
        <v>432</v>
      </c>
      <c r="D1269" s="360"/>
      <c r="E1269" s="360">
        <v>520</v>
      </c>
    </row>
    <row r="1270" spans="1:5" ht="17.25" x14ac:dyDescent="0.45">
      <c r="A1270" s="359">
        <v>45335</v>
      </c>
      <c r="B1270" s="6" t="s">
        <v>1334</v>
      </c>
      <c r="C1270" s="6" t="s">
        <v>69</v>
      </c>
      <c r="D1270" s="360"/>
      <c r="E1270" s="360">
        <v>672</v>
      </c>
    </row>
    <row r="1271" spans="1:5" ht="17.25" x14ac:dyDescent="0.45">
      <c r="A1271" s="359">
        <v>45335</v>
      </c>
      <c r="B1271" s="6" t="s">
        <v>1220</v>
      </c>
      <c r="C1271" s="6" t="s">
        <v>1335</v>
      </c>
      <c r="D1271" s="360"/>
      <c r="E1271" s="360">
        <v>1444</v>
      </c>
    </row>
    <row r="1272" spans="1:5" ht="17.25" x14ac:dyDescent="0.45">
      <c r="A1272" s="359">
        <v>45335</v>
      </c>
      <c r="B1272" s="6" t="s">
        <v>2355</v>
      </c>
      <c r="C1272" s="6" t="s">
        <v>459</v>
      </c>
      <c r="D1272" s="360"/>
      <c r="E1272" s="360">
        <v>1660</v>
      </c>
    </row>
    <row r="1273" spans="1:5" ht="17.25" x14ac:dyDescent="0.45">
      <c r="A1273" s="359">
        <v>45335</v>
      </c>
      <c r="B1273" s="6" t="s">
        <v>2356</v>
      </c>
      <c r="C1273" s="6" t="s">
        <v>958</v>
      </c>
      <c r="D1273" s="360"/>
      <c r="E1273" s="360">
        <v>0</v>
      </c>
    </row>
    <row r="1274" spans="1:5" ht="17.25" x14ac:dyDescent="0.45">
      <c r="A1274" s="359">
        <v>45335</v>
      </c>
      <c r="B1274" s="6" t="s">
        <v>2357</v>
      </c>
      <c r="C1274" s="6" t="s">
        <v>108</v>
      </c>
      <c r="D1274" s="360"/>
      <c r="E1274" s="360">
        <v>784</v>
      </c>
    </row>
    <row r="1275" spans="1:5" ht="17.25" x14ac:dyDescent="0.45">
      <c r="A1275" s="359">
        <v>45335</v>
      </c>
      <c r="B1275" s="6" t="s">
        <v>2358</v>
      </c>
      <c r="C1275" s="6" t="s">
        <v>167</v>
      </c>
      <c r="D1275" s="360"/>
      <c r="E1275" s="360">
        <v>836</v>
      </c>
    </row>
    <row r="1276" spans="1:5" ht="17.25" x14ac:dyDescent="0.45">
      <c r="A1276" s="359">
        <v>45335</v>
      </c>
      <c r="B1276" s="6" t="s">
        <v>2304</v>
      </c>
      <c r="C1276" s="6" t="s">
        <v>344</v>
      </c>
      <c r="D1276" s="360"/>
      <c r="E1276" s="360">
        <v>0</v>
      </c>
    </row>
    <row r="1277" spans="1:5" ht="17.25" x14ac:dyDescent="0.45">
      <c r="A1277" s="359">
        <v>45335</v>
      </c>
      <c r="B1277" s="6" t="s">
        <v>2225</v>
      </c>
      <c r="C1277" s="6" t="s">
        <v>449</v>
      </c>
      <c r="D1277" s="360"/>
      <c r="E1277" s="360">
        <v>0</v>
      </c>
    </row>
    <row r="1278" spans="1:5" ht="17.25" x14ac:dyDescent="0.45">
      <c r="A1278" s="359">
        <v>45336</v>
      </c>
      <c r="B1278" s="6" t="s">
        <v>2304</v>
      </c>
      <c r="C1278" s="6" t="s">
        <v>2359</v>
      </c>
      <c r="D1278" s="360"/>
      <c r="E1278" s="360">
        <v>0</v>
      </c>
    </row>
    <row r="1279" spans="1:5" ht="17.25" x14ac:dyDescent="0.45">
      <c r="A1279" s="359">
        <v>45336</v>
      </c>
      <c r="B1279" s="6" t="s">
        <v>2225</v>
      </c>
      <c r="C1279" s="6" t="s">
        <v>904</v>
      </c>
      <c r="D1279" s="360"/>
      <c r="E1279" s="360">
        <v>0</v>
      </c>
    </row>
    <row r="1280" spans="1:5" ht="17.25" x14ac:dyDescent="0.45">
      <c r="A1280" s="359">
        <v>45336</v>
      </c>
      <c r="B1280" s="6" t="s">
        <v>2225</v>
      </c>
      <c r="C1280" s="6" t="s">
        <v>2360</v>
      </c>
      <c r="D1280" s="360"/>
      <c r="E1280" s="360">
        <v>0</v>
      </c>
    </row>
    <row r="1281" spans="1:5" ht="17.25" x14ac:dyDescent="0.45">
      <c r="A1281" s="359">
        <v>45336</v>
      </c>
      <c r="B1281" s="6" t="s">
        <v>2225</v>
      </c>
      <c r="C1281" s="6" t="s">
        <v>2361</v>
      </c>
      <c r="D1281" s="360"/>
      <c r="E1281" s="360">
        <v>0</v>
      </c>
    </row>
    <row r="1282" spans="1:5" ht="17.25" x14ac:dyDescent="0.45">
      <c r="A1282" s="363">
        <v>45336</v>
      </c>
      <c r="B1282" s="364" t="s">
        <v>2225</v>
      </c>
      <c r="C1282" s="364" t="s">
        <v>714</v>
      </c>
      <c r="D1282" s="366"/>
      <c r="E1282" s="366">
        <v>0</v>
      </c>
    </row>
    <row r="1283" spans="1:5" ht="17.25" x14ac:dyDescent="0.45">
      <c r="A1283" s="359">
        <v>45344</v>
      </c>
      <c r="B1283" s="6" t="s">
        <v>2362</v>
      </c>
      <c r="C1283" s="6" t="s">
        <v>434</v>
      </c>
      <c r="D1283" s="360"/>
      <c r="E1283" s="360">
        <v>1400</v>
      </c>
    </row>
    <row r="1284" spans="1:5" ht="17.25" x14ac:dyDescent="0.45">
      <c r="A1284" s="359">
        <v>45346</v>
      </c>
      <c r="B1284" s="6" t="s">
        <v>2363</v>
      </c>
      <c r="C1284" s="6" t="s">
        <v>2364</v>
      </c>
      <c r="D1284" s="360"/>
      <c r="E1284" s="360">
        <v>1680</v>
      </c>
    </row>
    <row r="1285" spans="1:5" ht="17.25" x14ac:dyDescent="0.45">
      <c r="A1285" s="359">
        <v>45346</v>
      </c>
      <c r="B1285" s="6" t="s">
        <v>2365</v>
      </c>
      <c r="C1285" s="6" t="s">
        <v>2366</v>
      </c>
      <c r="D1285" s="360"/>
      <c r="E1285" s="360">
        <v>1376</v>
      </c>
    </row>
    <row r="1286" spans="1:5" ht="17.25" x14ac:dyDescent="0.45">
      <c r="A1286" s="359">
        <v>45346</v>
      </c>
      <c r="B1286" s="6" t="s">
        <v>2367</v>
      </c>
      <c r="C1286" s="6" t="s">
        <v>2368</v>
      </c>
      <c r="D1286" s="360"/>
      <c r="E1286" s="360">
        <v>704</v>
      </c>
    </row>
    <row r="1287" spans="1:5" ht="17.25" x14ac:dyDescent="0.45">
      <c r="A1287" s="359">
        <v>45346</v>
      </c>
      <c r="B1287" s="6" t="s">
        <v>2369</v>
      </c>
      <c r="C1287" s="6" t="s">
        <v>1332</v>
      </c>
      <c r="D1287" s="360"/>
      <c r="E1287" s="360">
        <v>328</v>
      </c>
    </row>
    <row r="1288" spans="1:5" ht="17.25" x14ac:dyDescent="0.45">
      <c r="A1288" s="359">
        <v>45346</v>
      </c>
      <c r="B1288" s="6" t="s">
        <v>1330</v>
      </c>
      <c r="C1288" s="6" t="s">
        <v>459</v>
      </c>
      <c r="D1288" s="360"/>
      <c r="E1288" s="360">
        <v>496</v>
      </c>
    </row>
    <row r="1289" spans="1:5" ht="17.25" x14ac:dyDescent="0.45">
      <c r="A1289" s="359">
        <v>45346</v>
      </c>
      <c r="B1289" s="6" t="s">
        <v>2370</v>
      </c>
      <c r="C1289" s="6" t="s">
        <v>946</v>
      </c>
      <c r="D1289" s="360"/>
      <c r="E1289" s="360">
        <v>320</v>
      </c>
    </row>
    <row r="1290" spans="1:5" ht="17.25" x14ac:dyDescent="0.45">
      <c r="A1290" s="359">
        <v>45346</v>
      </c>
      <c r="B1290" s="6" t="s">
        <v>937</v>
      </c>
      <c r="C1290" s="6" t="s">
        <v>2371</v>
      </c>
      <c r="D1290" s="360"/>
      <c r="E1290" s="360">
        <v>616</v>
      </c>
    </row>
    <row r="1291" spans="1:5" ht="17.25" x14ac:dyDescent="0.45">
      <c r="A1291" s="359">
        <v>45346</v>
      </c>
      <c r="B1291" s="6" t="s">
        <v>1058</v>
      </c>
      <c r="C1291" s="6" t="s">
        <v>967</v>
      </c>
      <c r="D1291" s="360"/>
      <c r="E1291" s="360">
        <v>1100</v>
      </c>
    </row>
    <row r="1292" spans="1:5" ht="17.25" x14ac:dyDescent="0.45">
      <c r="A1292" s="359">
        <v>45346</v>
      </c>
      <c r="B1292" s="6" t="s">
        <v>2367</v>
      </c>
      <c r="C1292" s="6" t="s">
        <v>441</v>
      </c>
      <c r="D1292" s="360"/>
      <c r="E1292" s="360">
        <v>820</v>
      </c>
    </row>
    <row r="1293" spans="1:5" ht="17.25" x14ac:dyDescent="0.45">
      <c r="A1293" s="363">
        <v>45346</v>
      </c>
      <c r="B1293" s="364" t="s">
        <v>1448</v>
      </c>
      <c r="C1293" s="364" t="s">
        <v>948</v>
      </c>
      <c r="D1293" s="366"/>
      <c r="E1293" s="366">
        <v>1332</v>
      </c>
    </row>
    <row r="1294" spans="1:5" ht="17.25" x14ac:dyDescent="0.45">
      <c r="A1294" s="359">
        <v>45356</v>
      </c>
      <c r="B1294" s="6" t="s">
        <v>2372</v>
      </c>
      <c r="C1294" s="6" t="s">
        <v>1864</v>
      </c>
      <c r="D1294" s="360"/>
      <c r="E1294" s="360">
        <v>2640</v>
      </c>
    </row>
    <row r="1295" spans="1:5" ht="17.25" x14ac:dyDescent="0.45">
      <c r="A1295" s="359">
        <v>45356</v>
      </c>
      <c r="B1295" s="6" t="s">
        <v>2373</v>
      </c>
      <c r="C1295" s="6" t="s">
        <v>557</v>
      </c>
      <c r="D1295" s="360"/>
      <c r="E1295" s="360">
        <v>1760</v>
      </c>
    </row>
    <row r="1296" spans="1:5" ht="17.25" x14ac:dyDescent="0.45">
      <c r="A1296" s="359">
        <v>45356</v>
      </c>
      <c r="B1296" s="6" t="s">
        <v>1982</v>
      </c>
      <c r="C1296" s="6" t="s">
        <v>344</v>
      </c>
      <c r="D1296" s="360"/>
      <c r="E1296" s="360">
        <v>3360</v>
      </c>
    </row>
    <row r="1297" spans="1:5" ht="17.25" x14ac:dyDescent="0.45">
      <c r="A1297" s="359">
        <v>45356</v>
      </c>
      <c r="B1297" s="6" t="s">
        <v>2200</v>
      </c>
      <c r="C1297" s="6" t="s">
        <v>488</v>
      </c>
      <c r="D1297" s="360"/>
      <c r="E1297" s="360">
        <v>2320</v>
      </c>
    </row>
    <row r="1298" spans="1:5" ht="17.25" x14ac:dyDescent="0.45">
      <c r="A1298" s="359">
        <v>45356</v>
      </c>
      <c r="B1298" s="6" t="s">
        <v>1873</v>
      </c>
      <c r="C1298" s="6" t="s">
        <v>428</v>
      </c>
      <c r="D1298" s="360"/>
      <c r="E1298" s="360">
        <v>500</v>
      </c>
    </row>
    <row r="1299" spans="1:5" ht="17.25" x14ac:dyDescent="0.45">
      <c r="A1299" s="359">
        <v>45357</v>
      </c>
      <c r="B1299" s="6" t="s">
        <v>2374</v>
      </c>
      <c r="C1299" s="6" t="s">
        <v>202</v>
      </c>
      <c r="D1299" s="360"/>
      <c r="E1299" s="360">
        <v>665</v>
      </c>
    </row>
    <row r="1300" spans="1:5" ht="17.25" x14ac:dyDescent="0.45">
      <c r="A1300" s="359">
        <v>45357</v>
      </c>
      <c r="B1300" s="6" t="s">
        <v>2375</v>
      </c>
      <c r="C1300" s="6" t="s">
        <v>222</v>
      </c>
      <c r="D1300" s="360"/>
      <c r="E1300" s="360">
        <v>835</v>
      </c>
    </row>
    <row r="1301" spans="1:5" ht="17.25" x14ac:dyDescent="0.45">
      <c r="A1301" s="359">
        <v>45357</v>
      </c>
      <c r="B1301" s="6" t="s">
        <v>1448</v>
      </c>
      <c r="C1301" s="6" t="s">
        <v>948</v>
      </c>
      <c r="D1301" s="360"/>
      <c r="E1301" s="360" t="s">
        <v>1533</v>
      </c>
    </row>
    <row r="1302" spans="1:5" ht="17.25" x14ac:dyDescent="0.45">
      <c r="A1302" s="359">
        <v>45357</v>
      </c>
      <c r="B1302" s="6" t="s">
        <v>937</v>
      </c>
      <c r="C1302" s="6" t="s">
        <v>1811</v>
      </c>
      <c r="D1302" s="360"/>
      <c r="E1302" s="360" t="s">
        <v>1533</v>
      </c>
    </row>
    <row r="1303" spans="1:5" ht="17.25" x14ac:dyDescent="0.45">
      <c r="A1303" s="359">
        <v>45357</v>
      </c>
      <c r="B1303" s="6" t="s">
        <v>2376</v>
      </c>
      <c r="C1303" s="6" t="s">
        <v>49</v>
      </c>
      <c r="D1303" s="360"/>
      <c r="E1303" s="360">
        <v>2880</v>
      </c>
    </row>
    <row r="1304" spans="1:5" ht="17.25" x14ac:dyDescent="0.45">
      <c r="A1304" s="359">
        <v>45357</v>
      </c>
      <c r="B1304" s="6" t="s">
        <v>2200</v>
      </c>
      <c r="C1304" s="6" t="s">
        <v>1035</v>
      </c>
      <c r="D1304" s="360"/>
      <c r="E1304" s="360">
        <v>1440</v>
      </c>
    </row>
    <row r="1305" spans="1:5" ht="17.25" x14ac:dyDescent="0.45">
      <c r="A1305" s="359">
        <v>45357</v>
      </c>
      <c r="B1305" s="6" t="s">
        <v>2377</v>
      </c>
      <c r="C1305" s="6" t="s">
        <v>1418</v>
      </c>
      <c r="D1305" s="360"/>
      <c r="E1305" s="360">
        <v>720</v>
      </c>
    </row>
    <row r="1306" spans="1:5" ht="17.25" x14ac:dyDescent="0.45">
      <c r="A1306" s="359">
        <v>45357</v>
      </c>
      <c r="B1306" s="6" t="s">
        <v>1873</v>
      </c>
      <c r="C1306" s="6" t="s">
        <v>423</v>
      </c>
      <c r="D1306" s="360"/>
      <c r="E1306" s="360">
        <v>400</v>
      </c>
    </row>
    <row r="1307" spans="1:5" ht="17.25" x14ac:dyDescent="0.45">
      <c r="A1307" s="359">
        <v>45357</v>
      </c>
      <c r="B1307" s="6" t="s">
        <v>1873</v>
      </c>
      <c r="C1307" s="6" t="s">
        <v>2188</v>
      </c>
      <c r="D1307" s="360"/>
      <c r="E1307" s="360">
        <v>400</v>
      </c>
    </row>
    <row r="1308" spans="1:5" ht="17.25" x14ac:dyDescent="0.45">
      <c r="A1308" s="359">
        <v>45357</v>
      </c>
      <c r="B1308" s="6" t="s">
        <v>2378</v>
      </c>
      <c r="C1308" s="6" t="s">
        <v>1056</v>
      </c>
      <c r="D1308" s="360"/>
      <c r="E1308" s="360">
        <v>2880</v>
      </c>
    </row>
    <row r="1309" spans="1:5" ht="17.25" x14ac:dyDescent="0.45">
      <c r="A1309" s="359">
        <v>45358</v>
      </c>
      <c r="B1309" s="6" t="s">
        <v>1336</v>
      </c>
      <c r="C1309" s="6" t="s">
        <v>69</v>
      </c>
      <c r="D1309" s="360"/>
      <c r="E1309" s="360">
        <v>6960</v>
      </c>
    </row>
    <row r="1310" spans="1:5" ht="17.25" x14ac:dyDescent="0.45">
      <c r="A1310" s="359">
        <v>45358</v>
      </c>
      <c r="B1310" s="6" t="s">
        <v>2304</v>
      </c>
      <c r="C1310" s="6" t="s">
        <v>2379</v>
      </c>
      <c r="D1310" s="360"/>
      <c r="E1310" s="360">
        <v>0</v>
      </c>
    </row>
    <row r="1311" spans="1:5" ht="17.25" x14ac:dyDescent="0.45">
      <c r="A1311" s="359">
        <v>45358</v>
      </c>
      <c r="B1311" s="6" t="s">
        <v>2380</v>
      </c>
      <c r="C1311" s="6" t="s">
        <v>821</v>
      </c>
      <c r="D1311" s="360"/>
      <c r="E1311" s="360">
        <v>0</v>
      </c>
    </row>
    <row r="1312" spans="1:5" ht="17.25" x14ac:dyDescent="0.45">
      <c r="A1312" s="363">
        <v>45358</v>
      </c>
      <c r="B1312" s="364" t="s">
        <v>2380</v>
      </c>
      <c r="C1312" s="364" t="s">
        <v>2190</v>
      </c>
      <c r="D1312" s="366"/>
      <c r="E1312" s="366">
        <v>0</v>
      </c>
    </row>
    <row r="1313" spans="1:5" ht="17.25" x14ac:dyDescent="0.45">
      <c r="A1313" s="359">
        <v>45359</v>
      </c>
      <c r="B1313" s="6" t="s">
        <v>2200</v>
      </c>
      <c r="C1313" s="6" t="s">
        <v>455</v>
      </c>
      <c r="D1313" s="360"/>
      <c r="E1313" s="360">
        <v>1520</v>
      </c>
    </row>
    <row r="1314" spans="1:5" ht="17.25" x14ac:dyDescent="0.45">
      <c r="A1314" s="359">
        <v>45359</v>
      </c>
      <c r="B1314" s="6" t="s">
        <v>1062</v>
      </c>
      <c r="C1314" s="6" t="s">
        <v>420</v>
      </c>
      <c r="D1314" s="360"/>
      <c r="E1314" s="360" t="s">
        <v>1533</v>
      </c>
    </row>
    <row r="1315" spans="1:5" ht="17.25" x14ac:dyDescent="0.45">
      <c r="A1315" s="359">
        <v>45360</v>
      </c>
      <c r="B1315" s="6" t="s">
        <v>2381</v>
      </c>
      <c r="C1315" s="6" t="s">
        <v>1350</v>
      </c>
      <c r="D1315" s="360"/>
      <c r="E1315" s="360">
        <v>0</v>
      </c>
    </row>
    <row r="1316" spans="1:5" ht="17.25" x14ac:dyDescent="0.45">
      <c r="A1316" s="359">
        <v>45360</v>
      </c>
      <c r="B1316" s="6" t="s">
        <v>2378</v>
      </c>
      <c r="C1316" s="6" t="s">
        <v>1056</v>
      </c>
      <c r="D1316" s="360"/>
      <c r="E1316" s="360" t="s">
        <v>1533</v>
      </c>
    </row>
    <row r="1317" spans="1:5" ht="17.25" x14ac:dyDescent="0.45">
      <c r="A1317" s="359">
        <v>45360</v>
      </c>
      <c r="B1317" s="6" t="s">
        <v>2382</v>
      </c>
      <c r="C1317" s="6" t="s">
        <v>108</v>
      </c>
      <c r="D1317" s="360"/>
      <c r="E1317" s="360">
        <v>2550</v>
      </c>
    </row>
    <row r="1318" spans="1:5" ht="17.25" x14ac:dyDescent="0.45">
      <c r="A1318" s="359">
        <v>45360</v>
      </c>
      <c r="B1318" s="6" t="s">
        <v>1570</v>
      </c>
      <c r="C1318" s="6" t="s">
        <v>313</v>
      </c>
      <c r="D1318" s="360"/>
      <c r="E1318" s="360">
        <v>2325</v>
      </c>
    </row>
    <row r="1319" spans="1:5" ht="17.25" x14ac:dyDescent="0.45">
      <c r="A1319" s="359">
        <v>45360</v>
      </c>
      <c r="B1319" s="6" t="s">
        <v>2338</v>
      </c>
      <c r="C1319" s="6" t="s">
        <v>488</v>
      </c>
      <c r="D1319" s="360"/>
      <c r="E1319" s="360">
        <v>2560</v>
      </c>
    </row>
    <row r="1320" spans="1:5" ht="17.25" x14ac:dyDescent="0.45">
      <c r="A1320" s="359">
        <v>45363</v>
      </c>
      <c r="B1320" s="6" t="s">
        <v>2338</v>
      </c>
      <c r="C1320" s="6" t="s">
        <v>995</v>
      </c>
      <c r="D1320" s="360"/>
      <c r="E1320" s="360">
        <v>4000</v>
      </c>
    </row>
    <row r="1321" spans="1:5" ht="17.25" x14ac:dyDescent="0.45">
      <c r="A1321" s="359">
        <v>45363</v>
      </c>
      <c r="B1321" s="6" t="s">
        <v>2338</v>
      </c>
      <c r="C1321" s="6" t="s">
        <v>585</v>
      </c>
      <c r="D1321" s="360"/>
      <c r="E1321" s="360">
        <v>3520</v>
      </c>
    </row>
    <row r="1322" spans="1:5" ht="17.25" x14ac:dyDescent="0.45">
      <c r="A1322" s="359">
        <v>45363</v>
      </c>
      <c r="B1322" s="6" t="s">
        <v>2143</v>
      </c>
      <c r="C1322" s="6" t="s">
        <v>472</v>
      </c>
      <c r="D1322" s="360"/>
      <c r="E1322" s="360" t="s">
        <v>1533</v>
      </c>
    </row>
    <row r="1323" spans="1:5" ht="17.25" x14ac:dyDescent="0.45">
      <c r="A1323" s="359">
        <v>45363</v>
      </c>
      <c r="B1323" s="6" t="s">
        <v>2382</v>
      </c>
      <c r="C1323" s="6" t="s">
        <v>904</v>
      </c>
      <c r="D1323" s="360"/>
      <c r="E1323" s="360">
        <v>2550</v>
      </c>
    </row>
    <row r="1324" spans="1:5" ht="17.25" x14ac:dyDescent="0.45">
      <c r="A1324" s="359">
        <v>45363</v>
      </c>
      <c r="B1324" s="6" t="s">
        <v>2383</v>
      </c>
      <c r="C1324" s="6" t="s">
        <v>1294</v>
      </c>
      <c r="D1324" s="360"/>
      <c r="E1324" s="360">
        <v>1600</v>
      </c>
    </row>
    <row r="1325" spans="1:5" ht="17.25" x14ac:dyDescent="0.45">
      <c r="A1325" s="359">
        <v>45364</v>
      </c>
      <c r="B1325" s="6" t="s">
        <v>2338</v>
      </c>
      <c r="C1325" s="6" t="s">
        <v>1413</v>
      </c>
      <c r="D1325" s="360"/>
      <c r="E1325" s="360">
        <v>4800</v>
      </c>
    </row>
    <row r="1326" spans="1:5" ht="17.25" x14ac:dyDescent="0.45">
      <c r="A1326" s="359">
        <v>45364</v>
      </c>
      <c r="B1326" s="6" t="s">
        <v>2378</v>
      </c>
      <c r="C1326" s="6" t="s">
        <v>1056</v>
      </c>
      <c r="D1326" s="360"/>
      <c r="E1326" s="360" t="s">
        <v>1533</v>
      </c>
    </row>
    <row r="1327" spans="1:5" ht="17.25" x14ac:dyDescent="0.45">
      <c r="A1327" s="359">
        <v>45364</v>
      </c>
      <c r="B1327" s="6" t="s">
        <v>2384</v>
      </c>
      <c r="C1327" s="6" t="s">
        <v>472</v>
      </c>
      <c r="D1327" s="360"/>
      <c r="E1327" s="360">
        <v>2190</v>
      </c>
    </row>
    <row r="1328" spans="1:5" ht="17.25" x14ac:dyDescent="0.45">
      <c r="A1328" s="359">
        <v>45364</v>
      </c>
      <c r="B1328" s="6" t="s">
        <v>2385</v>
      </c>
      <c r="C1328" s="6" t="s">
        <v>308</v>
      </c>
      <c r="D1328" s="360"/>
      <c r="E1328" s="360">
        <v>3000</v>
      </c>
    </row>
    <row r="1329" spans="1:5" ht="17.25" x14ac:dyDescent="0.45">
      <c r="A1329" s="359">
        <v>45365</v>
      </c>
      <c r="B1329" s="6" t="s">
        <v>2386</v>
      </c>
      <c r="C1329" s="6" t="s">
        <v>434</v>
      </c>
      <c r="D1329" s="360"/>
      <c r="E1329" s="360">
        <v>215</v>
      </c>
    </row>
    <row r="1330" spans="1:5" ht="17.25" x14ac:dyDescent="0.45">
      <c r="A1330" s="359">
        <v>45365</v>
      </c>
      <c r="B1330" s="6" t="s">
        <v>2387</v>
      </c>
      <c r="C1330" s="6" t="s">
        <v>1049</v>
      </c>
      <c r="D1330" s="360"/>
      <c r="E1330" s="360">
        <v>845</v>
      </c>
    </row>
    <row r="1331" spans="1:5" ht="17.25" x14ac:dyDescent="0.45">
      <c r="A1331" s="359">
        <v>45365</v>
      </c>
      <c r="B1331" s="6" t="s">
        <v>2388</v>
      </c>
      <c r="C1331" s="6" t="s">
        <v>242</v>
      </c>
      <c r="D1331" s="360"/>
      <c r="E1331" s="360">
        <v>595</v>
      </c>
    </row>
    <row r="1332" spans="1:5" ht="17.25" x14ac:dyDescent="0.45">
      <c r="A1332" s="359">
        <v>45365</v>
      </c>
      <c r="B1332" s="6" t="s">
        <v>2389</v>
      </c>
      <c r="C1332" s="6" t="s">
        <v>2390</v>
      </c>
      <c r="D1332" s="360"/>
      <c r="E1332" s="360">
        <v>630</v>
      </c>
    </row>
    <row r="1333" spans="1:5" ht="17.25" x14ac:dyDescent="0.45">
      <c r="A1333" s="359">
        <v>45365</v>
      </c>
      <c r="B1333" s="6" t="s">
        <v>2391</v>
      </c>
      <c r="C1333" s="6" t="s">
        <v>69</v>
      </c>
      <c r="D1333" s="360"/>
      <c r="E1333" s="360">
        <v>372.5</v>
      </c>
    </row>
    <row r="1334" spans="1:5" ht="17.25" x14ac:dyDescent="0.45">
      <c r="A1334" s="359">
        <v>45365</v>
      </c>
      <c r="B1334" s="6" t="s">
        <v>2391</v>
      </c>
      <c r="C1334" s="6" t="s">
        <v>329</v>
      </c>
      <c r="D1334" s="360"/>
      <c r="E1334" s="360">
        <v>372.5</v>
      </c>
    </row>
    <row r="1335" spans="1:5" ht="17.25" x14ac:dyDescent="0.45">
      <c r="A1335" s="359">
        <v>45365</v>
      </c>
      <c r="B1335" s="6" t="s">
        <v>2391</v>
      </c>
      <c r="C1335" s="6" t="s">
        <v>436</v>
      </c>
      <c r="D1335" s="360"/>
      <c r="E1335" s="360">
        <v>372.5</v>
      </c>
    </row>
    <row r="1336" spans="1:5" ht="17.25" x14ac:dyDescent="0.45">
      <c r="A1336" s="359">
        <v>45365</v>
      </c>
      <c r="B1336" s="6" t="s">
        <v>2391</v>
      </c>
      <c r="C1336" s="6" t="s">
        <v>459</v>
      </c>
      <c r="D1336" s="360"/>
      <c r="E1336" s="360">
        <v>372.5</v>
      </c>
    </row>
    <row r="1337" spans="1:5" ht="17.25" x14ac:dyDescent="0.45">
      <c r="A1337" s="359">
        <v>45365</v>
      </c>
      <c r="B1337" s="6" t="s">
        <v>2392</v>
      </c>
      <c r="C1337" s="6" t="s">
        <v>1375</v>
      </c>
      <c r="D1337" s="360"/>
      <c r="E1337" s="360">
        <v>636</v>
      </c>
    </row>
    <row r="1338" spans="1:5" ht="17.25" x14ac:dyDescent="0.45">
      <c r="A1338" s="359">
        <v>45365</v>
      </c>
      <c r="B1338" s="6" t="s">
        <v>2209</v>
      </c>
      <c r="C1338" s="6" t="s">
        <v>2393</v>
      </c>
      <c r="D1338" s="360"/>
      <c r="E1338" s="360">
        <v>0</v>
      </c>
    </row>
    <row r="1339" spans="1:5" ht="17.25" x14ac:dyDescent="0.45">
      <c r="A1339" s="359">
        <v>45365</v>
      </c>
      <c r="B1339" s="6" t="s">
        <v>2338</v>
      </c>
      <c r="C1339" s="6" t="s">
        <v>2394</v>
      </c>
      <c r="D1339" s="360"/>
      <c r="E1339" s="360">
        <v>2800</v>
      </c>
    </row>
    <row r="1340" spans="1:5" ht="17.25" x14ac:dyDescent="0.45">
      <c r="A1340" s="359">
        <v>45365</v>
      </c>
      <c r="B1340" s="6" t="s">
        <v>2338</v>
      </c>
      <c r="C1340" s="6" t="s">
        <v>1576</v>
      </c>
      <c r="D1340" s="360"/>
      <c r="E1340" s="360">
        <v>2320</v>
      </c>
    </row>
    <row r="1341" spans="1:5" ht="17.25" x14ac:dyDescent="0.45">
      <c r="A1341" s="363">
        <v>45365</v>
      </c>
      <c r="B1341" s="364" t="s">
        <v>2338</v>
      </c>
      <c r="C1341" s="364" t="s">
        <v>2350</v>
      </c>
      <c r="D1341" s="366"/>
      <c r="E1341" s="366">
        <v>2640</v>
      </c>
    </row>
    <row r="1342" spans="1:5" ht="17.25" x14ac:dyDescent="0.45">
      <c r="A1342" s="359">
        <v>45366</v>
      </c>
      <c r="B1342" s="6" t="s">
        <v>2384</v>
      </c>
      <c r="C1342" s="6" t="s">
        <v>1969</v>
      </c>
      <c r="D1342" s="360"/>
      <c r="E1342" s="360">
        <v>2190</v>
      </c>
    </row>
    <row r="1343" spans="1:5" ht="17.25" x14ac:dyDescent="0.45">
      <c r="A1343" s="359">
        <v>45366</v>
      </c>
      <c r="B1343" s="6" t="s">
        <v>2395</v>
      </c>
      <c r="C1343" s="6" t="s">
        <v>390</v>
      </c>
      <c r="D1343" s="360"/>
      <c r="E1343" s="360">
        <v>900</v>
      </c>
    </row>
    <row r="1344" spans="1:5" ht="17.25" x14ac:dyDescent="0.45">
      <c r="A1344" s="359">
        <v>45366</v>
      </c>
      <c r="B1344" s="6" t="s">
        <v>2396</v>
      </c>
      <c r="C1344" s="6" t="s">
        <v>472</v>
      </c>
      <c r="D1344" s="360"/>
      <c r="E1344" s="360">
        <v>7900</v>
      </c>
    </row>
    <row r="1345" spans="1:5" ht="17.25" x14ac:dyDescent="0.45">
      <c r="A1345" s="359">
        <v>45366</v>
      </c>
      <c r="B1345" s="6" t="s">
        <v>2397</v>
      </c>
      <c r="C1345" s="6" t="s">
        <v>108</v>
      </c>
      <c r="D1345" s="360"/>
      <c r="E1345" s="360" t="s">
        <v>1533</v>
      </c>
    </row>
    <row r="1346" spans="1:5" ht="17.25" x14ac:dyDescent="0.45">
      <c r="A1346" s="359">
        <v>45370</v>
      </c>
      <c r="B1346" s="6" t="s">
        <v>1979</v>
      </c>
      <c r="C1346" s="6" t="s">
        <v>2160</v>
      </c>
      <c r="D1346" s="360"/>
      <c r="E1346" s="360">
        <v>2720</v>
      </c>
    </row>
    <row r="1347" spans="1:5" ht="17.25" x14ac:dyDescent="0.45">
      <c r="A1347" s="359">
        <v>45370</v>
      </c>
      <c r="B1347" s="6" t="s">
        <v>2398</v>
      </c>
      <c r="C1347" s="6" t="s">
        <v>2350</v>
      </c>
      <c r="D1347" s="360"/>
      <c r="E1347" s="360">
        <v>2295</v>
      </c>
    </row>
    <row r="1348" spans="1:5" ht="17.25" x14ac:dyDescent="0.45">
      <c r="A1348" s="359">
        <v>45370</v>
      </c>
      <c r="B1348" s="6" t="s">
        <v>2249</v>
      </c>
      <c r="C1348" s="6" t="s">
        <v>1418</v>
      </c>
      <c r="D1348" s="360"/>
      <c r="E1348" s="360">
        <v>720</v>
      </c>
    </row>
    <row r="1349" spans="1:5" ht="17.25" x14ac:dyDescent="0.45">
      <c r="A1349" s="359">
        <v>45370</v>
      </c>
      <c r="B1349" s="6" t="s">
        <v>1424</v>
      </c>
      <c r="C1349" s="6" t="s">
        <v>1292</v>
      </c>
      <c r="D1349" s="360"/>
      <c r="E1349" s="360">
        <v>5400</v>
      </c>
    </row>
    <row r="1350" spans="1:5" ht="17.25" x14ac:dyDescent="0.45">
      <c r="A1350" s="359">
        <v>45372</v>
      </c>
      <c r="B1350" s="6" t="s">
        <v>2399</v>
      </c>
      <c r="C1350" s="6" t="s">
        <v>432</v>
      </c>
      <c r="D1350" s="360"/>
      <c r="E1350" s="360">
        <v>0</v>
      </c>
    </row>
    <row r="1351" spans="1:5" ht="17.25" x14ac:dyDescent="0.45">
      <c r="A1351" s="359">
        <v>45372</v>
      </c>
      <c r="B1351" s="6" t="s">
        <v>2399</v>
      </c>
      <c r="C1351" s="6" t="s">
        <v>400</v>
      </c>
      <c r="D1351" s="360"/>
      <c r="E1351" s="360">
        <v>0</v>
      </c>
    </row>
    <row r="1352" spans="1:5" ht="17.25" x14ac:dyDescent="0.45">
      <c r="A1352" s="359">
        <v>45372</v>
      </c>
      <c r="B1352" s="6" t="s">
        <v>2399</v>
      </c>
      <c r="C1352" s="6" t="s">
        <v>63</v>
      </c>
      <c r="D1352" s="360"/>
      <c r="E1352" s="360">
        <v>0</v>
      </c>
    </row>
    <row r="1353" spans="1:5" ht="17.25" x14ac:dyDescent="0.45">
      <c r="A1353" s="359">
        <v>45372</v>
      </c>
      <c r="B1353" s="6" t="s">
        <v>2399</v>
      </c>
      <c r="C1353" s="6" t="s">
        <v>1697</v>
      </c>
      <c r="D1353" s="360"/>
      <c r="E1353" s="360">
        <v>0</v>
      </c>
    </row>
    <row r="1354" spans="1:5" ht="17.25" x14ac:dyDescent="0.45">
      <c r="A1354" s="363">
        <v>45372</v>
      </c>
      <c r="B1354" s="364" t="s">
        <v>2400</v>
      </c>
      <c r="C1354" s="364" t="s">
        <v>1429</v>
      </c>
      <c r="D1354" s="366"/>
      <c r="E1354" s="366">
        <v>720</v>
      </c>
    </row>
    <row r="1355" spans="1:5" ht="17.25" x14ac:dyDescent="0.45">
      <c r="A1355" s="359">
        <v>45373</v>
      </c>
      <c r="B1355" s="6" t="s">
        <v>2399</v>
      </c>
      <c r="C1355" s="6" t="s">
        <v>1332</v>
      </c>
      <c r="D1355" s="360"/>
      <c r="E1355" s="360">
        <v>0</v>
      </c>
    </row>
    <row r="1356" spans="1:5" ht="17.25" x14ac:dyDescent="0.45">
      <c r="A1356" s="359">
        <v>45373</v>
      </c>
      <c r="B1356" s="6" t="s">
        <v>2399</v>
      </c>
      <c r="C1356" s="6" t="s">
        <v>235</v>
      </c>
      <c r="D1356" s="360"/>
      <c r="E1356" s="360">
        <v>0</v>
      </c>
    </row>
    <row r="1357" spans="1:5" ht="17.25" x14ac:dyDescent="0.45">
      <c r="A1357" s="359">
        <v>45373</v>
      </c>
      <c r="B1357" s="6" t="s">
        <v>2401</v>
      </c>
      <c r="C1357" s="6" t="s">
        <v>100</v>
      </c>
      <c r="D1357" s="360"/>
      <c r="E1357" s="360">
        <v>720</v>
      </c>
    </row>
    <row r="1358" spans="1:5" ht="17.25" x14ac:dyDescent="0.45">
      <c r="A1358" s="359">
        <v>45373</v>
      </c>
      <c r="B1358" s="6" t="s">
        <v>640</v>
      </c>
      <c r="C1358" s="6" t="s">
        <v>406</v>
      </c>
      <c r="D1358" s="360"/>
      <c r="E1358" s="360">
        <v>3280</v>
      </c>
    </row>
    <row r="1359" spans="1:5" ht="17.25" x14ac:dyDescent="0.45">
      <c r="A1359" s="359">
        <v>45373</v>
      </c>
      <c r="B1359" s="6" t="s">
        <v>2399</v>
      </c>
      <c r="C1359" s="6" t="s">
        <v>500</v>
      </c>
      <c r="D1359" s="360"/>
      <c r="E1359" s="360">
        <v>0</v>
      </c>
    </row>
    <row r="1360" spans="1:5" ht="17.25" x14ac:dyDescent="0.45">
      <c r="A1360" s="359">
        <v>45374</v>
      </c>
      <c r="B1360" s="6" t="s">
        <v>2399</v>
      </c>
      <c r="C1360" s="6" t="s">
        <v>329</v>
      </c>
      <c r="D1360" s="360"/>
      <c r="E1360" s="360">
        <v>0</v>
      </c>
    </row>
    <row r="1361" spans="1:5" ht="17.25" x14ac:dyDescent="0.45">
      <c r="A1361" s="359">
        <v>45374</v>
      </c>
      <c r="B1361" s="6" t="s">
        <v>2399</v>
      </c>
      <c r="C1361" s="6" t="s">
        <v>1776</v>
      </c>
      <c r="D1361" s="360"/>
      <c r="E1361" s="360">
        <v>0</v>
      </c>
    </row>
    <row r="1362" spans="1:5" ht="17.25" x14ac:dyDescent="0.45">
      <c r="A1362" s="359">
        <v>45374</v>
      </c>
      <c r="B1362" s="6" t="s">
        <v>2403</v>
      </c>
      <c r="C1362" s="6" t="s">
        <v>2404</v>
      </c>
      <c r="D1362" s="360"/>
      <c r="E1362" s="360">
        <v>1200</v>
      </c>
    </row>
    <row r="1363" spans="1:5" ht="17.25" x14ac:dyDescent="0.45">
      <c r="A1363" s="359">
        <v>45374</v>
      </c>
      <c r="B1363" s="6" t="s">
        <v>2405</v>
      </c>
      <c r="C1363" s="6" t="s">
        <v>418</v>
      </c>
      <c r="D1363" s="360"/>
      <c r="E1363" s="360">
        <v>2720</v>
      </c>
    </row>
    <row r="1364" spans="1:5" ht="17.25" x14ac:dyDescent="0.45">
      <c r="A1364" s="359">
        <v>45374</v>
      </c>
      <c r="B1364" s="6" t="s">
        <v>2296</v>
      </c>
      <c r="C1364" s="6" t="s">
        <v>2307</v>
      </c>
      <c r="D1364" s="360"/>
      <c r="E1364" s="360">
        <v>1200</v>
      </c>
    </row>
    <row r="1365" spans="1:5" ht="17.25" x14ac:dyDescent="0.45">
      <c r="A1365" s="359">
        <v>45374</v>
      </c>
      <c r="B1365" s="6" t="s">
        <v>2399</v>
      </c>
      <c r="C1365" s="6" t="s">
        <v>2406</v>
      </c>
      <c r="D1365" s="360"/>
      <c r="E1365" s="360">
        <v>0</v>
      </c>
    </row>
    <row r="1366" spans="1:5" ht="17.25" x14ac:dyDescent="0.45">
      <c r="A1366" s="359">
        <v>45374</v>
      </c>
      <c r="B1366" s="6" t="s">
        <v>2407</v>
      </c>
      <c r="C1366" s="6" t="s">
        <v>349</v>
      </c>
      <c r="D1366" s="360"/>
      <c r="E1366" s="360">
        <v>720</v>
      </c>
    </row>
    <row r="1367" spans="1:5" ht="17.25" x14ac:dyDescent="0.45">
      <c r="A1367" s="359">
        <v>45374</v>
      </c>
      <c r="B1367" s="6" t="s">
        <v>2408</v>
      </c>
      <c r="C1367" s="6" t="s">
        <v>2409</v>
      </c>
      <c r="D1367" s="360"/>
      <c r="E1367" s="360">
        <v>400</v>
      </c>
    </row>
    <row r="1368" spans="1:5" ht="17.25" x14ac:dyDescent="0.45">
      <c r="A1368" s="359">
        <v>45377</v>
      </c>
      <c r="B1368" s="6" t="s">
        <v>2399</v>
      </c>
      <c r="C1368" s="6" t="s">
        <v>308</v>
      </c>
      <c r="D1368" s="360"/>
      <c r="E1368" s="360">
        <v>0</v>
      </c>
    </row>
    <row r="1369" spans="1:5" ht="17.25" x14ac:dyDescent="0.45">
      <c r="A1369" s="359">
        <v>45377</v>
      </c>
      <c r="B1369" s="6" t="s">
        <v>2384</v>
      </c>
      <c r="C1369" s="6" t="s">
        <v>1459</v>
      </c>
      <c r="D1369" s="360"/>
      <c r="E1369" s="360">
        <v>1760</v>
      </c>
    </row>
    <row r="1370" spans="1:5" ht="17.25" x14ac:dyDescent="0.45">
      <c r="A1370" s="359">
        <v>45377</v>
      </c>
      <c r="B1370" s="6" t="s">
        <v>2410</v>
      </c>
      <c r="C1370" s="6" t="s">
        <v>449</v>
      </c>
      <c r="D1370" s="360"/>
      <c r="E1370" s="360">
        <v>2960</v>
      </c>
    </row>
    <row r="1371" spans="1:5" ht="17.25" x14ac:dyDescent="0.45">
      <c r="A1371" s="359">
        <v>45377</v>
      </c>
      <c r="B1371" s="6" t="s">
        <v>1570</v>
      </c>
      <c r="C1371" s="6" t="s">
        <v>313</v>
      </c>
      <c r="D1371" s="360"/>
      <c r="E1371" s="360">
        <v>2325</v>
      </c>
    </row>
    <row r="1372" spans="1:5" ht="17.25" x14ac:dyDescent="0.45">
      <c r="A1372" s="359">
        <v>45377</v>
      </c>
      <c r="B1372" s="6" t="s">
        <v>2399</v>
      </c>
      <c r="C1372" s="6" t="s">
        <v>2231</v>
      </c>
      <c r="D1372" s="360"/>
      <c r="E1372" s="360">
        <v>0</v>
      </c>
    </row>
    <row r="1373" spans="1:5" ht="17.25" x14ac:dyDescent="0.45">
      <c r="A1373" s="359">
        <v>45378</v>
      </c>
      <c r="B1373" s="6" t="s">
        <v>2411</v>
      </c>
      <c r="C1373" s="6" t="s">
        <v>74</v>
      </c>
      <c r="D1373" s="360"/>
      <c r="E1373" s="360">
        <v>5600</v>
      </c>
    </row>
    <row r="1374" spans="1:5" ht="17.25" x14ac:dyDescent="0.45">
      <c r="A1374" s="359">
        <v>45378</v>
      </c>
      <c r="B1374" s="6" t="s">
        <v>906</v>
      </c>
      <c r="C1374" s="6" t="s">
        <v>547</v>
      </c>
      <c r="D1374" s="360"/>
      <c r="E1374" s="360">
        <v>0</v>
      </c>
    </row>
    <row r="1375" spans="1:5" ht="17.25" x14ac:dyDescent="0.45">
      <c r="A1375" s="359">
        <v>45378</v>
      </c>
      <c r="B1375" s="6" t="s">
        <v>2412</v>
      </c>
      <c r="C1375" s="6" t="s">
        <v>2351</v>
      </c>
      <c r="D1375" s="360"/>
      <c r="E1375" s="360">
        <v>2465</v>
      </c>
    </row>
    <row r="1376" spans="1:5" ht="17.25" x14ac:dyDescent="0.45">
      <c r="A1376" s="359">
        <v>45379</v>
      </c>
      <c r="B1376" s="6" t="s">
        <v>2413</v>
      </c>
      <c r="C1376" s="6" t="s">
        <v>1178</v>
      </c>
      <c r="D1376" s="360"/>
      <c r="E1376" s="360">
        <v>2635</v>
      </c>
    </row>
    <row r="1377" spans="1:5" ht="17.25" x14ac:dyDescent="0.45">
      <c r="A1377" s="359">
        <v>45379</v>
      </c>
      <c r="B1377" s="6" t="s">
        <v>2414</v>
      </c>
      <c r="C1377" s="6" t="s">
        <v>69</v>
      </c>
      <c r="D1377" s="360"/>
      <c r="E1377" s="360">
        <v>1870</v>
      </c>
    </row>
    <row r="1378" spans="1:5" ht="17.25" x14ac:dyDescent="0.45">
      <c r="A1378" s="359">
        <v>45379</v>
      </c>
      <c r="B1378" s="6" t="s">
        <v>2415</v>
      </c>
      <c r="C1378" s="6" t="s">
        <v>570</v>
      </c>
      <c r="D1378" s="360"/>
      <c r="E1378" s="360">
        <v>3000</v>
      </c>
    </row>
    <row r="1379" spans="1:5" ht="17.25" x14ac:dyDescent="0.45">
      <c r="A1379" s="363">
        <v>45379</v>
      </c>
      <c r="B1379" s="364" t="s">
        <v>2163</v>
      </c>
      <c r="C1379" s="364" t="s">
        <v>755</v>
      </c>
      <c r="D1379" s="366"/>
      <c r="E1379" s="366">
        <v>7760</v>
      </c>
    </row>
    <row r="1380" spans="1:5" ht="17.25" x14ac:dyDescent="0.45">
      <c r="A1380" s="359">
        <v>45380</v>
      </c>
      <c r="B1380" s="6" t="s">
        <v>2416</v>
      </c>
      <c r="C1380" s="6" t="s">
        <v>450</v>
      </c>
      <c r="D1380" s="360"/>
      <c r="E1380" s="360">
        <v>2040</v>
      </c>
    </row>
    <row r="1381" spans="1:5" ht="17.25" x14ac:dyDescent="0.45">
      <c r="A1381" s="359">
        <v>45386</v>
      </c>
      <c r="B1381" s="6" t="s">
        <v>2417</v>
      </c>
      <c r="C1381" s="6" t="s">
        <v>2418</v>
      </c>
      <c r="D1381" s="360"/>
      <c r="E1381" s="360">
        <v>5270</v>
      </c>
    </row>
    <row r="1382" spans="1:5" ht="17.25" x14ac:dyDescent="0.45">
      <c r="A1382" s="359">
        <v>45386</v>
      </c>
      <c r="B1382" s="6" t="s">
        <v>1384</v>
      </c>
      <c r="C1382" s="6" t="s">
        <v>100</v>
      </c>
      <c r="D1382" s="360"/>
      <c r="E1382" s="360">
        <v>765</v>
      </c>
    </row>
    <row r="1383" spans="1:5" ht="17.25" x14ac:dyDescent="0.45">
      <c r="A1383" s="359">
        <v>45386</v>
      </c>
      <c r="B1383" s="6" t="s">
        <v>2419</v>
      </c>
      <c r="C1383" s="6" t="s">
        <v>946</v>
      </c>
      <c r="D1383" s="360"/>
      <c r="E1383" s="360">
        <v>535.5</v>
      </c>
    </row>
    <row r="1384" spans="1:5" ht="17.25" x14ac:dyDescent="0.45">
      <c r="A1384" s="359">
        <v>45386</v>
      </c>
      <c r="B1384" s="6" t="s">
        <v>2420</v>
      </c>
      <c r="C1384" s="6" t="s">
        <v>2421</v>
      </c>
      <c r="D1384" s="360"/>
      <c r="E1384" s="360">
        <v>327.25</v>
      </c>
    </row>
    <row r="1385" spans="1:5" ht="17.25" x14ac:dyDescent="0.45">
      <c r="A1385" s="359">
        <v>45386</v>
      </c>
      <c r="B1385" s="6" t="s">
        <v>2422</v>
      </c>
      <c r="C1385" s="6" t="s">
        <v>240</v>
      </c>
      <c r="D1385" s="360"/>
      <c r="E1385" s="360">
        <v>514.25</v>
      </c>
    </row>
    <row r="1386" spans="1:5" ht="17.25" x14ac:dyDescent="0.45">
      <c r="A1386" s="359">
        <v>45393</v>
      </c>
      <c r="B1386" s="6" t="s">
        <v>1210</v>
      </c>
      <c r="C1386" s="6" t="s">
        <v>947</v>
      </c>
      <c r="D1386" s="360"/>
      <c r="E1386" s="360">
        <v>0</v>
      </c>
    </row>
    <row r="1387" spans="1:5" ht="17.25" x14ac:dyDescent="0.45">
      <c r="A1387" s="359">
        <v>45393</v>
      </c>
      <c r="B1387" s="6" t="s">
        <v>2395</v>
      </c>
      <c r="C1387" s="6" t="s">
        <v>2423</v>
      </c>
      <c r="D1387" s="360"/>
      <c r="E1387" s="360">
        <v>0</v>
      </c>
    </row>
    <row r="1388" spans="1:5" ht="17.25" x14ac:dyDescent="0.45">
      <c r="A1388" s="359">
        <v>45393</v>
      </c>
      <c r="B1388" s="6" t="s">
        <v>2424</v>
      </c>
      <c r="C1388" s="6" t="s">
        <v>2425</v>
      </c>
      <c r="D1388" s="360"/>
      <c r="E1388" s="360">
        <v>263.5</v>
      </c>
    </row>
    <row r="1389" spans="1:5" ht="17.25" x14ac:dyDescent="0.45">
      <c r="A1389" s="359">
        <v>45393</v>
      </c>
      <c r="B1389" s="6" t="s">
        <v>2426</v>
      </c>
      <c r="C1389" s="6" t="s">
        <v>2427</v>
      </c>
      <c r="D1389" s="360"/>
      <c r="E1389" s="360">
        <v>300</v>
      </c>
    </row>
    <row r="1390" spans="1:5" ht="17.25" x14ac:dyDescent="0.45">
      <c r="A1390" s="363">
        <v>45393</v>
      </c>
      <c r="B1390" s="364" t="s">
        <v>2428</v>
      </c>
      <c r="C1390" s="364" t="s">
        <v>108</v>
      </c>
      <c r="D1390" s="366"/>
      <c r="E1390" s="366">
        <v>1480</v>
      </c>
    </row>
    <row r="1391" spans="1:5" ht="17.25" x14ac:dyDescent="0.45">
      <c r="A1391" s="359">
        <v>45405</v>
      </c>
      <c r="B1391" s="6" t="s">
        <v>2429</v>
      </c>
      <c r="C1391" s="6" t="s">
        <v>442</v>
      </c>
      <c r="D1391" s="360"/>
      <c r="E1391" s="360">
        <v>660</v>
      </c>
    </row>
    <row r="1392" spans="1:5" ht="17.25" x14ac:dyDescent="0.45">
      <c r="A1392" s="359">
        <v>45405</v>
      </c>
      <c r="B1392" s="6" t="s">
        <v>2430</v>
      </c>
      <c r="C1392" s="6" t="s">
        <v>931</v>
      </c>
      <c r="D1392" s="360"/>
      <c r="E1392" s="360">
        <v>655</v>
      </c>
    </row>
    <row r="1393" spans="1:5" ht="17.25" x14ac:dyDescent="0.45">
      <c r="A1393" s="359">
        <v>45405</v>
      </c>
      <c r="B1393" s="6" t="s">
        <v>2431</v>
      </c>
      <c r="C1393" s="6" t="s">
        <v>2432</v>
      </c>
      <c r="D1393" s="360"/>
      <c r="E1393" s="360">
        <v>504</v>
      </c>
    </row>
    <row r="1394" spans="1:5" ht="17.25" x14ac:dyDescent="0.45">
      <c r="A1394" s="359">
        <v>45405</v>
      </c>
      <c r="B1394" s="6" t="s">
        <v>2433</v>
      </c>
      <c r="C1394" s="6" t="s">
        <v>1049</v>
      </c>
      <c r="D1394" s="360"/>
      <c r="E1394" s="360">
        <v>524</v>
      </c>
    </row>
    <row r="1395" spans="1:5" ht="17.25" x14ac:dyDescent="0.45">
      <c r="A1395" s="359">
        <v>45405</v>
      </c>
      <c r="B1395" s="6" t="s">
        <v>2434</v>
      </c>
      <c r="C1395" s="6" t="s">
        <v>69</v>
      </c>
      <c r="D1395" s="360"/>
      <c r="E1395" s="360">
        <v>1168</v>
      </c>
    </row>
    <row r="1396" spans="1:5" ht="17.25" x14ac:dyDescent="0.45">
      <c r="A1396" s="359">
        <v>45405</v>
      </c>
      <c r="B1396" s="6" t="s">
        <v>2435</v>
      </c>
      <c r="C1396" s="6" t="s">
        <v>437</v>
      </c>
      <c r="D1396" s="360"/>
      <c r="E1396" s="360">
        <v>360</v>
      </c>
    </row>
    <row r="1397" spans="1:5" ht="17.25" x14ac:dyDescent="0.45">
      <c r="A1397" s="359">
        <v>45405</v>
      </c>
      <c r="B1397" s="6" t="s">
        <v>2436</v>
      </c>
      <c r="C1397" s="6" t="s">
        <v>63</v>
      </c>
      <c r="D1397" s="360"/>
      <c r="E1397" s="360">
        <v>1244</v>
      </c>
    </row>
    <row r="1398" spans="1:5" ht="17.25" x14ac:dyDescent="0.45">
      <c r="A1398" s="359">
        <v>45405</v>
      </c>
      <c r="B1398" s="6" t="s">
        <v>2437</v>
      </c>
      <c r="C1398" s="6" t="s">
        <v>476</v>
      </c>
      <c r="D1398" s="360"/>
      <c r="E1398" s="360">
        <v>3584</v>
      </c>
    </row>
    <row r="1399" spans="1:5" ht="17.25" x14ac:dyDescent="0.45">
      <c r="A1399" s="359">
        <v>45405</v>
      </c>
      <c r="B1399" s="6" t="s">
        <v>410</v>
      </c>
      <c r="C1399" s="6" t="s">
        <v>574</v>
      </c>
      <c r="D1399" s="360"/>
      <c r="E1399" s="360">
        <v>536</v>
      </c>
    </row>
    <row r="1400" spans="1:5" ht="17.25" x14ac:dyDescent="0.45">
      <c r="A1400" s="359">
        <v>45405</v>
      </c>
      <c r="B1400" s="6" t="s">
        <v>410</v>
      </c>
      <c r="C1400" s="6" t="s">
        <v>397</v>
      </c>
      <c r="D1400" s="360"/>
      <c r="E1400" s="360">
        <v>724</v>
      </c>
    </row>
    <row r="1401" spans="1:5" ht="17.25" x14ac:dyDescent="0.45">
      <c r="A1401" s="359">
        <v>45405</v>
      </c>
      <c r="B1401" s="6" t="s">
        <v>1198</v>
      </c>
      <c r="C1401" s="6" t="s">
        <v>249</v>
      </c>
      <c r="D1401" s="360"/>
      <c r="E1401" s="360">
        <v>0</v>
      </c>
    </row>
    <row r="1402" spans="1:5" ht="17.25" x14ac:dyDescent="0.45">
      <c r="A1402" s="359">
        <v>45405</v>
      </c>
      <c r="B1402" s="6" t="s">
        <v>2438</v>
      </c>
      <c r="C1402" s="6" t="s">
        <v>1836</v>
      </c>
      <c r="D1402" s="360"/>
      <c r="E1402" s="360">
        <v>416</v>
      </c>
    </row>
    <row r="1403" spans="1:5" ht="17.25" x14ac:dyDescent="0.45">
      <c r="A1403" s="359">
        <v>45406</v>
      </c>
      <c r="B1403" s="6" t="s">
        <v>2439</v>
      </c>
      <c r="C1403" s="6" t="s">
        <v>483</v>
      </c>
      <c r="D1403" s="360"/>
      <c r="E1403" s="360">
        <v>500</v>
      </c>
    </row>
    <row r="1404" spans="1:5" ht="17.25" x14ac:dyDescent="0.45">
      <c r="A1404" s="359">
        <v>45406</v>
      </c>
      <c r="B1404" s="6" t="s">
        <v>2441</v>
      </c>
      <c r="C1404" s="6" t="s">
        <v>2190</v>
      </c>
      <c r="D1404" s="360"/>
      <c r="E1404" s="360">
        <v>3500</v>
      </c>
    </row>
    <row r="1405" spans="1:5" ht="17.25" x14ac:dyDescent="0.45">
      <c r="A1405" s="359">
        <v>45406</v>
      </c>
      <c r="B1405" s="6" t="s">
        <v>1308</v>
      </c>
      <c r="C1405" s="6" t="s">
        <v>499</v>
      </c>
      <c r="D1405" s="360"/>
      <c r="E1405" s="360">
        <v>5400</v>
      </c>
    </row>
    <row r="1406" spans="1:5" ht="17.25" x14ac:dyDescent="0.45">
      <c r="A1406" s="359">
        <v>45406</v>
      </c>
      <c r="B1406" s="6" t="s">
        <v>2429</v>
      </c>
      <c r="C1406" s="6" t="s">
        <v>69</v>
      </c>
      <c r="D1406" s="360"/>
      <c r="E1406" s="360">
        <v>1200</v>
      </c>
    </row>
    <row r="1407" spans="1:5" ht="17.25" x14ac:dyDescent="0.45">
      <c r="A1407" s="363">
        <v>45406</v>
      </c>
      <c r="B1407" s="364" t="s">
        <v>2429</v>
      </c>
      <c r="C1407" s="364" t="s">
        <v>1766</v>
      </c>
      <c r="D1407" s="366"/>
      <c r="E1407" s="366">
        <v>400</v>
      </c>
    </row>
    <row r="1408" spans="1:5" ht="17.25" x14ac:dyDescent="0.45">
      <c r="A1408" s="359">
        <v>45414</v>
      </c>
      <c r="B1408" s="6" t="s">
        <v>2442</v>
      </c>
      <c r="C1408" s="6" t="s">
        <v>2443</v>
      </c>
      <c r="D1408" s="360"/>
      <c r="E1408" s="360">
        <v>0</v>
      </c>
    </row>
    <row r="1409" spans="1:5" ht="17.25" x14ac:dyDescent="0.45">
      <c r="A1409" s="359">
        <v>45414</v>
      </c>
      <c r="B1409" s="6" t="s">
        <v>2444</v>
      </c>
      <c r="C1409" s="6" t="s">
        <v>904</v>
      </c>
      <c r="D1409" s="360"/>
      <c r="E1409" s="360">
        <v>1040</v>
      </c>
    </row>
    <row r="1410" spans="1:5" ht="17.25" x14ac:dyDescent="0.45">
      <c r="A1410" s="359">
        <v>45414</v>
      </c>
      <c r="B1410" s="6" t="s">
        <v>2445</v>
      </c>
      <c r="C1410" s="6" t="s">
        <v>2446</v>
      </c>
      <c r="D1410" s="360"/>
      <c r="E1410" s="360">
        <v>480</v>
      </c>
    </row>
    <row r="1411" spans="1:5" ht="17.25" x14ac:dyDescent="0.45">
      <c r="A1411" s="359">
        <v>45414</v>
      </c>
      <c r="B1411" s="6" t="s">
        <v>2447</v>
      </c>
      <c r="C1411" s="6" t="s">
        <v>2348</v>
      </c>
      <c r="D1411" s="360"/>
      <c r="E1411" s="360">
        <v>0</v>
      </c>
    </row>
    <row r="1412" spans="1:5" ht="17.25" x14ac:dyDescent="0.45">
      <c r="A1412" s="359">
        <v>45414</v>
      </c>
      <c r="B1412" s="6" t="s">
        <v>2448</v>
      </c>
      <c r="C1412" s="6" t="s">
        <v>2449</v>
      </c>
      <c r="D1412" s="360"/>
      <c r="E1412" s="360">
        <v>400</v>
      </c>
    </row>
    <row r="1413" spans="1:5" ht="17.25" x14ac:dyDescent="0.45">
      <c r="A1413" s="359">
        <v>45414</v>
      </c>
      <c r="B1413" s="6" t="s">
        <v>2450</v>
      </c>
      <c r="C1413" s="6" t="s">
        <v>2451</v>
      </c>
      <c r="D1413" s="360"/>
      <c r="E1413" s="360">
        <v>356</v>
      </c>
    </row>
    <row r="1414" spans="1:5" ht="17.25" x14ac:dyDescent="0.45">
      <c r="A1414" s="359">
        <v>45414</v>
      </c>
      <c r="B1414" s="6" t="s">
        <v>2452</v>
      </c>
      <c r="C1414" s="6" t="s">
        <v>242</v>
      </c>
      <c r="D1414" s="360"/>
      <c r="E1414" s="360">
        <v>575</v>
      </c>
    </row>
    <row r="1415" spans="1:5" ht="17.25" x14ac:dyDescent="0.45">
      <c r="A1415" s="359">
        <v>45414</v>
      </c>
      <c r="B1415" s="6" t="s">
        <v>410</v>
      </c>
      <c r="C1415" s="6" t="s">
        <v>100</v>
      </c>
      <c r="D1415" s="360"/>
      <c r="E1415" s="360">
        <v>368</v>
      </c>
    </row>
    <row r="1416" spans="1:5" ht="17.25" x14ac:dyDescent="0.45">
      <c r="A1416" s="359">
        <v>45414</v>
      </c>
      <c r="B1416" s="6" t="s">
        <v>410</v>
      </c>
      <c r="C1416" s="6" t="s">
        <v>397</v>
      </c>
      <c r="D1416" s="360"/>
      <c r="E1416" s="360" t="s">
        <v>1533</v>
      </c>
    </row>
    <row r="1417" spans="1:5" ht="17.25" x14ac:dyDescent="0.45">
      <c r="A1417" s="359">
        <v>45414</v>
      </c>
      <c r="B1417" s="6" t="s">
        <v>410</v>
      </c>
      <c r="C1417" s="6" t="s">
        <v>2453</v>
      </c>
      <c r="D1417" s="360"/>
      <c r="E1417" s="360">
        <v>440</v>
      </c>
    </row>
    <row r="1418" spans="1:5" ht="17.25" x14ac:dyDescent="0.45">
      <c r="A1418" s="359">
        <v>45414</v>
      </c>
      <c r="B1418" s="6" t="s">
        <v>2454</v>
      </c>
      <c r="C1418" s="6" t="s">
        <v>1388</v>
      </c>
      <c r="D1418" s="360"/>
      <c r="E1418" s="360">
        <v>615</v>
      </c>
    </row>
    <row r="1419" spans="1:5" ht="17.25" x14ac:dyDescent="0.45">
      <c r="A1419" s="359">
        <v>45414</v>
      </c>
      <c r="B1419" s="6" t="s">
        <v>2455</v>
      </c>
      <c r="C1419" s="6" t="s">
        <v>2456</v>
      </c>
      <c r="D1419" s="360"/>
      <c r="E1419" s="360">
        <v>840</v>
      </c>
    </row>
    <row r="1420" spans="1:5" ht="17.25" x14ac:dyDescent="0.45">
      <c r="A1420" s="359">
        <v>45419</v>
      </c>
      <c r="B1420" s="6" t="s">
        <v>1590</v>
      </c>
      <c r="C1420" s="6" t="s">
        <v>2457</v>
      </c>
      <c r="D1420" s="360"/>
      <c r="E1420" s="360">
        <v>0</v>
      </c>
    </row>
    <row r="1421" spans="1:5" ht="17.25" x14ac:dyDescent="0.45">
      <c r="A1421" s="359">
        <v>45419</v>
      </c>
      <c r="B1421" s="6" t="s">
        <v>2454</v>
      </c>
      <c r="C1421" s="6" t="s">
        <v>2303</v>
      </c>
      <c r="D1421" s="360"/>
      <c r="E1421" s="360">
        <v>3000</v>
      </c>
    </row>
    <row r="1422" spans="1:5" ht="17.25" x14ac:dyDescent="0.45">
      <c r="A1422" s="363">
        <v>45419</v>
      </c>
      <c r="B1422" s="364" t="s">
        <v>2458</v>
      </c>
      <c r="C1422" s="364" t="s">
        <v>70</v>
      </c>
      <c r="D1422" s="366"/>
      <c r="E1422" s="366">
        <v>1800</v>
      </c>
    </row>
    <row r="1423" spans="1:5" ht="17.25" x14ac:dyDescent="0.45">
      <c r="A1423" s="359">
        <v>45428</v>
      </c>
      <c r="B1423" s="6" t="s">
        <v>2459</v>
      </c>
      <c r="C1423" s="6" t="s">
        <v>2461</v>
      </c>
      <c r="D1423" s="360"/>
      <c r="E1423" s="360">
        <v>800</v>
      </c>
    </row>
    <row r="1424" spans="1:5" ht="17.25" x14ac:dyDescent="0.45">
      <c r="A1424" s="359">
        <v>45428</v>
      </c>
      <c r="B1424" s="6" t="s">
        <v>2083</v>
      </c>
      <c r="C1424" s="6" t="s">
        <v>499</v>
      </c>
      <c r="D1424" s="360"/>
      <c r="E1424" s="360">
        <v>369.75</v>
      </c>
    </row>
    <row r="1425" spans="1:5" ht="17.25" x14ac:dyDescent="0.45">
      <c r="A1425" s="363">
        <v>45428</v>
      </c>
      <c r="B1425" s="364" t="s">
        <v>2083</v>
      </c>
      <c r="C1425" s="364" t="s">
        <v>1775</v>
      </c>
      <c r="D1425" s="366"/>
      <c r="E1425" s="366">
        <v>493</v>
      </c>
    </row>
    <row r="1426" spans="1:5" ht="17.25" x14ac:dyDescent="0.45">
      <c r="A1426" s="359">
        <v>45429</v>
      </c>
      <c r="B1426" s="6" t="s">
        <v>2462</v>
      </c>
      <c r="C1426" s="6" t="s">
        <v>403</v>
      </c>
      <c r="D1426" s="360"/>
      <c r="E1426" s="360">
        <v>0</v>
      </c>
    </row>
    <row r="1427" spans="1:5" ht="17.25" x14ac:dyDescent="0.45">
      <c r="A1427" s="359">
        <v>45429</v>
      </c>
      <c r="B1427" s="6" t="s">
        <v>2463</v>
      </c>
      <c r="C1427" s="6" t="s">
        <v>2432</v>
      </c>
      <c r="D1427" s="360"/>
      <c r="E1427" s="360">
        <v>3100</v>
      </c>
    </row>
    <row r="1428" spans="1:5" ht="17.25" x14ac:dyDescent="0.45">
      <c r="A1428" s="359">
        <v>45429</v>
      </c>
      <c r="B1428" s="6" t="s">
        <v>2464</v>
      </c>
      <c r="C1428" s="6" t="s">
        <v>2465</v>
      </c>
      <c r="D1428" s="360"/>
      <c r="E1428" s="360">
        <v>1280</v>
      </c>
    </row>
    <row r="1429" spans="1:5" ht="17.25" x14ac:dyDescent="0.45">
      <c r="A1429" s="359">
        <v>45429</v>
      </c>
      <c r="B1429" s="6" t="s">
        <v>2466</v>
      </c>
      <c r="C1429" s="6" t="s">
        <v>2467</v>
      </c>
      <c r="D1429" s="360"/>
      <c r="E1429" s="360">
        <v>2300</v>
      </c>
    </row>
    <row r="1430" spans="1:5" ht="17.25" x14ac:dyDescent="0.45">
      <c r="A1430" s="359">
        <v>45430</v>
      </c>
      <c r="B1430" s="6" t="s">
        <v>427</v>
      </c>
      <c r="C1430" s="6" t="s">
        <v>2418</v>
      </c>
      <c r="D1430" s="360"/>
      <c r="E1430" s="360">
        <v>2080</v>
      </c>
    </row>
    <row r="1431" spans="1:5" ht="17.25" x14ac:dyDescent="0.45">
      <c r="A1431" s="359">
        <v>45430</v>
      </c>
      <c r="B1431" s="6" t="s">
        <v>2468</v>
      </c>
      <c r="C1431" s="6" t="s">
        <v>931</v>
      </c>
      <c r="D1431" s="360"/>
      <c r="E1431" s="360">
        <v>2160</v>
      </c>
    </row>
    <row r="1432" spans="1:5" ht="17.25" x14ac:dyDescent="0.45">
      <c r="A1432" s="359">
        <v>45430</v>
      </c>
      <c r="B1432" s="6" t="s">
        <v>2462</v>
      </c>
      <c r="C1432" s="6" t="s">
        <v>816</v>
      </c>
      <c r="D1432" s="360"/>
      <c r="E1432" s="360">
        <v>0</v>
      </c>
    </row>
    <row r="1433" spans="1:5" ht="17.25" x14ac:dyDescent="0.45">
      <c r="A1433" s="359">
        <v>45430</v>
      </c>
      <c r="B1433" s="6" t="s">
        <v>2469</v>
      </c>
      <c r="C1433" s="6" t="s">
        <v>450</v>
      </c>
      <c r="D1433" s="360"/>
      <c r="E1433" s="360">
        <v>1200</v>
      </c>
    </row>
    <row r="1434" spans="1:5" ht="17.25" x14ac:dyDescent="0.45">
      <c r="A1434" s="359">
        <v>45430</v>
      </c>
      <c r="B1434" s="6" t="s">
        <v>2469</v>
      </c>
      <c r="C1434" s="6" t="s">
        <v>390</v>
      </c>
      <c r="D1434" s="360"/>
      <c r="E1434" s="360">
        <v>980</v>
      </c>
    </row>
    <row r="1435" spans="1:5" ht="17.25" x14ac:dyDescent="0.45">
      <c r="A1435" s="359">
        <v>45434</v>
      </c>
      <c r="B1435" s="6" t="s">
        <v>2470</v>
      </c>
      <c r="C1435" s="6" t="s">
        <v>2160</v>
      </c>
      <c r="D1435" s="360"/>
      <c r="E1435" s="360">
        <v>2800</v>
      </c>
    </row>
    <row r="1436" spans="1:5" ht="17.25" x14ac:dyDescent="0.45">
      <c r="A1436" s="363">
        <v>45437</v>
      </c>
      <c r="B1436" s="364" t="s">
        <v>2471</v>
      </c>
      <c r="C1436" s="364" t="s">
        <v>406</v>
      </c>
      <c r="D1436" s="366"/>
      <c r="E1436" s="366">
        <v>1785</v>
      </c>
    </row>
    <row r="1437" spans="1:5" ht="17.25" x14ac:dyDescent="0.45">
      <c r="A1437" s="359">
        <v>45444</v>
      </c>
      <c r="B1437" s="6" t="s">
        <v>2472</v>
      </c>
      <c r="C1437" s="6" t="s">
        <v>1016</v>
      </c>
      <c r="D1437" s="360"/>
      <c r="E1437" s="360">
        <v>2550</v>
      </c>
    </row>
    <row r="1438" spans="1:5" ht="17.25" x14ac:dyDescent="0.45">
      <c r="A1438" s="359">
        <v>45448</v>
      </c>
      <c r="B1438" s="6" t="s">
        <v>2473</v>
      </c>
      <c r="C1438" s="6" t="s">
        <v>2474</v>
      </c>
      <c r="D1438" s="360"/>
      <c r="E1438" s="360">
        <v>365</v>
      </c>
    </row>
    <row r="1439" spans="1:5" ht="17.25" x14ac:dyDescent="0.45">
      <c r="A1439" s="359">
        <v>45448</v>
      </c>
      <c r="B1439" s="6" t="s">
        <v>2475</v>
      </c>
      <c r="C1439" s="6" t="s">
        <v>2476</v>
      </c>
      <c r="D1439" s="360"/>
      <c r="E1439" s="360">
        <v>229.5</v>
      </c>
    </row>
    <row r="1440" spans="1:5" ht="17.25" x14ac:dyDescent="0.45">
      <c r="A1440" s="359">
        <v>45448</v>
      </c>
      <c r="B1440" s="6" t="s">
        <v>410</v>
      </c>
      <c r="C1440" s="6" t="s">
        <v>398</v>
      </c>
      <c r="D1440" s="360"/>
      <c r="E1440" s="360">
        <v>824</v>
      </c>
    </row>
    <row r="1441" spans="1:5" ht="17.25" x14ac:dyDescent="0.45">
      <c r="A1441" s="359">
        <v>45448</v>
      </c>
      <c r="B1441" s="6" t="s">
        <v>2477</v>
      </c>
      <c r="C1441" s="6" t="s">
        <v>70</v>
      </c>
      <c r="D1441" s="360"/>
      <c r="E1441" s="360">
        <v>361.25</v>
      </c>
    </row>
    <row r="1442" spans="1:5" ht="17.25" x14ac:dyDescent="0.45">
      <c r="A1442" s="359">
        <v>45448</v>
      </c>
      <c r="B1442" s="6" t="s">
        <v>2479</v>
      </c>
      <c r="C1442" s="6" t="s">
        <v>401</v>
      </c>
      <c r="D1442" s="360"/>
      <c r="E1442" s="360">
        <v>731</v>
      </c>
    </row>
    <row r="1443" spans="1:5" ht="17.25" x14ac:dyDescent="0.45">
      <c r="A1443" s="359">
        <v>45448</v>
      </c>
      <c r="B1443" s="6" t="s">
        <v>2480</v>
      </c>
      <c r="C1443" s="6" t="s">
        <v>242</v>
      </c>
      <c r="D1443" s="360"/>
      <c r="E1443" s="360">
        <v>3064.25</v>
      </c>
    </row>
    <row r="1444" spans="1:5" ht="17.25" x14ac:dyDescent="0.45">
      <c r="A1444" s="359">
        <v>45448</v>
      </c>
      <c r="B1444" s="6" t="s">
        <v>2481</v>
      </c>
      <c r="C1444" s="6" t="s">
        <v>2482</v>
      </c>
      <c r="D1444" s="360"/>
      <c r="E1444" s="360">
        <v>501.5</v>
      </c>
    </row>
    <row r="1445" spans="1:5" ht="17.25" x14ac:dyDescent="0.45">
      <c r="A1445" s="359">
        <v>45448</v>
      </c>
      <c r="B1445" s="6" t="s">
        <v>2483</v>
      </c>
      <c r="C1445" s="6" t="s">
        <v>2484</v>
      </c>
      <c r="D1445" s="360"/>
      <c r="E1445" s="360">
        <v>545</v>
      </c>
    </row>
    <row r="1446" spans="1:5" ht="17.25" x14ac:dyDescent="0.45">
      <c r="A1446" s="359">
        <v>45448</v>
      </c>
      <c r="B1446" s="6" t="s">
        <v>2485</v>
      </c>
      <c r="C1446" s="6" t="s">
        <v>2486</v>
      </c>
      <c r="D1446" s="360"/>
      <c r="E1446" s="360">
        <v>369.75</v>
      </c>
    </row>
    <row r="1447" spans="1:5" ht="17.25" x14ac:dyDescent="0.45">
      <c r="A1447" s="359">
        <v>45448</v>
      </c>
      <c r="B1447" s="6" t="s">
        <v>2487</v>
      </c>
      <c r="C1447" s="6" t="s">
        <v>1440</v>
      </c>
      <c r="D1447" s="360"/>
      <c r="E1447" s="360">
        <v>765</v>
      </c>
    </row>
    <row r="1448" spans="1:5" ht="17.25" x14ac:dyDescent="0.45">
      <c r="A1448" s="359">
        <v>45448</v>
      </c>
      <c r="B1448" s="6" t="s">
        <v>2488</v>
      </c>
      <c r="C1448" s="6" t="s">
        <v>406</v>
      </c>
      <c r="D1448" s="360"/>
      <c r="E1448" s="360">
        <v>671.5</v>
      </c>
    </row>
    <row r="1449" spans="1:5" ht="17.25" x14ac:dyDescent="0.45">
      <c r="A1449" s="359">
        <v>45448</v>
      </c>
      <c r="B1449" s="6" t="s">
        <v>2489</v>
      </c>
      <c r="C1449" s="6" t="s">
        <v>2160</v>
      </c>
      <c r="D1449" s="360"/>
      <c r="E1449" s="360">
        <v>229.5</v>
      </c>
    </row>
    <row r="1450" spans="1:5" ht="17.25" x14ac:dyDescent="0.45">
      <c r="A1450" s="359">
        <v>45449</v>
      </c>
      <c r="B1450" s="6" t="s">
        <v>2490</v>
      </c>
      <c r="C1450" s="6" t="s">
        <v>1465</v>
      </c>
      <c r="D1450" s="360"/>
      <c r="E1450" s="360">
        <v>1360</v>
      </c>
    </row>
    <row r="1451" spans="1:5" ht="17.25" x14ac:dyDescent="0.45">
      <c r="A1451" s="363">
        <v>45449</v>
      </c>
      <c r="B1451" s="364" t="s">
        <v>1065</v>
      </c>
      <c r="C1451" s="364" t="s">
        <v>2264</v>
      </c>
      <c r="D1451" s="366"/>
      <c r="E1451" s="366">
        <v>680</v>
      </c>
    </row>
    <row r="1452" spans="1:5" ht="17.25" x14ac:dyDescent="0.45">
      <c r="A1452" s="359">
        <v>45450</v>
      </c>
      <c r="B1452" s="6" t="s">
        <v>2491</v>
      </c>
      <c r="C1452" s="6" t="s">
        <v>2418</v>
      </c>
      <c r="D1452" s="360"/>
      <c r="E1452" s="360">
        <v>3060</v>
      </c>
    </row>
    <row r="1453" spans="1:5" ht="17.25" x14ac:dyDescent="0.45">
      <c r="A1453" s="359">
        <v>45450</v>
      </c>
      <c r="B1453" s="6" t="s">
        <v>2492</v>
      </c>
      <c r="C1453" s="6" t="s">
        <v>534</v>
      </c>
      <c r="D1453" s="360"/>
      <c r="E1453" s="360">
        <v>2295</v>
      </c>
    </row>
    <row r="1454" spans="1:5" ht="17.25" x14ac:dyDescent="0.45">
      <c r="A1454" s="359">
        <v>45450</v>
      </c>
      <c r="B1454" s="6" t="s">
        <v>2493</v>
      </c>
      <c r="C1454" s="6" t="s">
        <v>2250</v>
      </c>
      <c r="D1454" s="360"/>
      <c r="E1454" s="360">
        <v>3060</v>
      </c>
    </row>
    <row r="1455" spans="1:5" ht="17.25" x14ac:dyDescent="0.45">
      <c r="A1455" s="359">
        <v>45451</v>
      </c>
      <c r="B1455" s="6" t="s">
        <v>1336</v>
      </c>
      <c r="C1455" s="6" t="s">
        <v>1163</v>
      </c>
      <c r="D1455" s="360"/>
      <c r="E1455" s="360">
        <v>4760</v>
      </c>
    </row>
    <row r="1456" spans="1:5" ht="17.25" x14ac:dyDescent="0.45">
      <c r="A1456" s="359">
        <v>45451</v>
      </c>
      <c r="B1456" s="6" t="s">
        <v>2494</v>
      </c>
      <c r="C1456" s="6" t="s">
        <v>476</v>
      </c>
      <c r="D1456" s="360"/>
      <c r="E1456" s="360">
        <v>3145</v>
      </c>
    </row>
    <row r="1457" spans="1:5" ht="17.25" x14ac:dyDescent="0.45">
      <c r="A1457" s="363">
        <v>45455</v>
      </c>
      <c r="B1457" s="364" t="s">
        <v>2495</v>
      </c>
      <c r="C1457" s="364" t="s">
        <v>2496</v>
      </c>
      <c r="D1457" s="366"/>
      <c r="E1457" s="366">
        <v>600</v>
      </c>
    </row>
    <row r="1458" spans="1:5" ht="17.25" x14ac:dyDescent="0.45">
      <c r="A1458" s="363">
        <v>45462</v>
      </c>
      <c r="B1458" s="364" t="s">
        <v>1055</v>
      </c>
      <c r="C1458" s="364" t="s">
        <v>941</v>
      </c>
      <c r="D1458" s="366"/>
      <c r="E1458" s="366">
        <v>1000</v>
      </c>
    </row>
    <row r="1459" spans="1:5" ht="17.25" x14ac:dyDescent="0.45">
      <c r="A1459" s="359">
        <v>45482</v>
      </c>
      <c r="B1459" s="6" t="s">
        <v>2497</v>
      </c>
      <c r="C1459" s="6" t="s">
        <v>459</v>
      </c>
      <c r="D1459" s="360"/>
      <c r="E1459" s="360">
        <v>3560</v>
      </c>
    </row>
    <row r="1460" spans="1:5" ht="17.25" x14ac:dyDescent="0.45">
      <c r="A1460" s="359">
        <v>45482</v>
      </c>
      <c r="B1460" s="6" t="s">
        <v>2498</v>
      </c>
      <c r="C1460" s="6" t="s">
        <v>242</v>
      </c>
      <c r="D1460" s="360"/>
      <c r="E1460" s="360">
        <v>3600</v>
      </c>
    </row>
    <row r="1461" spans="1:5" ht="17.25" x14ac:dyDescent="0.45">
      <c r="A1461" s="359">
        <v>45482</v>
      </c>
      <c r="B1461" s="6" t="s">
        <v>2498</v>
      </c>
      <c r="C1461" s="6" t="s">
        <v>2499</v>
      </c>
      <c r="D1461" s="360"/>
      <c r="E1461" s="360">
        <v>640</v>
      </c>
    </row>
    <row r="1462" spans="1:5" ht="17.25" x14ac:dyDescent="0.45">
      <c r="A1462" s="359">
        <v>45482</v>
      </c>
      <c r="B1462" s="6" t="s">
        <v>2500</v>
      </c>
      <c r="C1462" s="6" t="s">
        <v>1377</v>
      </c>
      <c r="D1462" s="360"/>
      <c r="E1462" s="360">
        <v>1360</v>
      </c>
    </row>
    <row r="1463" spans="1:5" ht="17.25" x14ac:dyDescent="0.45">
      <c r="A1463" s="363">
        <v>45482</v>
      </c>
      <c r="B1463" s="364" t="s">
        <v>2501</v>
      </c>
      <c r="C1463" s="364" t="s">
        <v>476</v>
      </c>
      <c r="D1463" s="366"/>
      <c r="E1463" s="366">
        <v>5600</v>
      </c>
    </row>
    <row r="1464" spans="1:5" ht="17.25" x14ac:dyDescent="0.45">
      <c r="A1464" s="359">
        <v>45486</v>
      </c>
      <c r="B1464" s="6" t="s">
        <v>2502</v>
      </c>
      <c r="C1464" s="6" t="s">
        <v>405</v>
      </c>
      <c r="D1464" s="360"/>
      <c r="E1464" s="360">
        <v>4720</v>
      </c>
    </row>
    <row r="1465" spans="1:5" ht="17.25" x14ac:dyDescent="0.45">
      <c r="A1465" s="359">
        <v>45486</v>
      </c>
      <c r="B1465" s="6" t="s">
        <v>2503</v>
      </c>
      <c r="C1465" s="6" t="s">
        <v>529</v>
      </c>
      <c r="D1465" s="360"/>
      <c r="E1465" s="360">
        <v>3600</v>
      </c>
    </row>
    <row r="1466" spans="1:5" ht="17.25" x14ac:dyDescent="0.45">
      <c r="A1466" s="359">
        <v>45486</v>
      </c>
      <c r="B1466" s="6" t="s">
        <v>2504</v>
      </c>
      <c r="C1466" s="6" t="s">
        <v>508</v>
      </c>
      <c r="D1466" s="360"/>
      <c r="E1466" s="360">
        <v>480</v>
      </c>
    </row>
    <row r="1467" spans="1:5" ht="17.25" x14ac:dyDescent="0.45">
      <c r="A1467" s="359">
        <v>45486</v>
      </c>
      <c r="B1467" s="6" t="s">
        <v>2505</v>
      </c>
      <c r="C1467" s="6" t="s">
        <v>508</v>
      </c>
      <c r="D1467" s="360"/>
      <c r="E1467" s="360">
        <v>480</v>
      </c>
    </row>
    <row r="1468" spans="1:5" ht="17.25" x14ac:dyDescent="0.45">
      <c r="A1468" s="359">
        <v>45486</v>
      </c>
      <c r="B1468" s="6" t="s">
        <v>2505</v>
      </c>
      <c r="C1468" s="6" t="s">
        <v>1340</v>
      </c>
      <c r="D1468" s="360"/>
      <c r="E1468" s="360">
        <v>560</v>
      </c>
    </row>
    <row r="1469" spans="1:5" ht="17.25" x14ac:dyDescent="0.45">
      <c r="A1469" s="359">
        <v>45486</v>
      </c>
      <c r="B1469" s="6" t="s">
        <v>2505</v>
      </c>
      <c r="C1469" s="6" t="s">
        <v>2157</v>
      </c>
      <c r="D1469" s="360"/>
      <c r="E1469" s="360">
        <v>3200</v>
      </c>
    </row>
    <row r="1470" spans="1:5" ht="17.25" x14ac:dyDescent="0.45">
      <c r="A1470" s="359">
        <v>45490</v>
      </c>
      <c r="B1470" s="6" t="s">
        <v>2506</v>
      </c>
      <c r="C1470" s="6" t="s">
        <v>2156</v>
      </c>
      <c r="D1470" s="360"/>
      <c r="E1470" s="360">
        <v>2640</v>
      </c>
    </row>
    <row r="1471" spans="1:5" ht="17.25" x14ac:dyDescent="0.45">
      <c r="A1471" s="359">
        <v>45490</v>
      </c>
      <c r="B1471" s="6" t="s">
        <v>2506</v>
      </c>
      <c r="C1471" s="6" t="s">
        <v>2393</v>
      </c>
      <c r="D1471" s="360"/>
      <c r="E1471" s="360">
        <v>4000</v>
      </c>
    </row>
    <row r="1472" spans="1:5" ht="17.25" x14ac:dyDescent="0.45">
      <c r="A1472" s="359">
        <v>45490</v>
      </c>
      <c r="B1472" s="6" t="s">
        <v>1236</v>
      </c>
      <c r="C1472" s="6" t="s">
        <v>377</v>
      </c>
      <c r="D1472" s="360"/>
      <c r="E1472" s="360">
        <v>1840</v>
      </c>
    </row>
    <row r="1473" spans="1:5" ht="17.25" x14ac:dyDescent="0.45">
      <c r="A1473" s="363">
        <v>45490</v>
      </c>
      <c r="B1473" s="364" t="s">
        <v>2507</v>
      </c>
      <c r="C1473" s="364" t="s">
        <v>2508</v>
      </c>
      <c r="D1473" s="366"/>
      <c r="E1473" s="366">
        <v>1200</v>
      </c>
    </row>
    <row r="1474" spans="1:5" ht="17.25" x14ac:dyDescent="0.45">
      <c r="A1474" s="359">
        <v>45493</v>
      </c>
      <c r="B1474" s="6" t="s">
        <v>2509</v>
      </c>
      <c r="C1474" s="6" t="s">
        <v>242</v>
      </c>
      <c r="D1474" s="360"/>
      <c r="E1474" s="360">
        <v>3825</v>
      </c>
    </row>
    <row r="1475" spans="1:5" ht="17.25" x14ac:dyDescent="0.45">
      <c r="A1475" s="359">
        <v>45493</v>
      </c>
      <c r="B1475" s="6" t="s">
        <v>2510</v>
      </c>
      <c r="C1475" s="6" t="s">
        <v>2511</v>
      </c>
      <c r="D1475" s="360"/>
      <c r="E1475" s="360">
        <v>1280</v>
      </c>
    </row>
    <row r="1476" spans="1:5" ht="17.25" x14ac:dyDescent="0.45">
      <c r="A1476" s="359">
        <v>45493</v>
      </c>
      <c r="B1476" s="6" t="s">
        <v>2512</v>
      </c>
      <c r="C1476" s="6" t="s">
        <v>420</v>
      </c>
      <c r="D1476" s="360"/>
      <c r="E1476" s="360">
        <v>3150</v>
      </c>
    </row>
    <row r="1477" spans="1:5" ht="17.25" x14ac:dyDescent="0.45">
      <c r="A1477" s="363">
        <v>45493</v>
      </c>
      <c r="B1477" s="364" t="s">
        <v>1384</v>
      </c>
      <c r="C1477" s="364" t="s">
        <v>582</v>
      </c>
      <c r="D1477" s="366"/>
      <c r="E1477" s="366">
        <v>1610</v>
      </c>
    </row>
    <row r="1478" spans="1:5" ht="17.25" x14ac:dyDescent="0.45">
      <c r="A1478" s="359">
        <v>45504</v>
      </c>
      <c r="B1478" s="6" t="s">
        <v>2513</v>
      </c>
      <c r="C1478" s="6" t="s">
        <v>430</v>
      </c>
      <c r="D1478" s="360" t="s">
        <v>178</v>
      </c>
      <c r="E1478" s="360">
        <v>343</v>
      </c>
    </row>
    <row r="1479" spans="1:5" ht="17.25" x14ac:dyDescent="0.45">
      <c r="A1479" s="359">
        <v>45504</v>
      </c>
      <c r="B1479" s="6" t="s">
        <v>2514</v>
      </c>
      <c r="C1479" s="6" t="s">
        <v>2515</v>
      </c>
      <c r="D1479" s="360" t="s">
        <v>154</v>
      </c>
      <c r="E1479" s="360">
        <v>212.5</v>
      </c>
    </row>
    <row r="1480" spans="1:5" ht="17.25" x14ac:dyDescent="0.45">
      <c r="A1480" s="359">
        <v>45504</v>
      </c>
      <c r="B1480" s="6" t="s">
        <v>2516</v>
      </c>
      <c r="C1480" s="6" t="s">
        <v>2517</v>
      </c>
      <c r="D1480" s="360" t="s">
        <v>357</v>
      </c>
      <c r="E1480" s="360">
        <v>1200.5</v>
      </c>
    </row>
    <row r="1481" spans="1:5" ht="17.25" x14ac:dyDescent="0.45">
      <c r="A1481" s="359">
        <v>45504</v>
      </c>
      <c r="B1481" s="6" t="s">
        <v>2518</v>
      </c>
      <c r="C1481" s="6" t="s">
        <v>459</v>
      </c>
      <c r="D1481" s="360" t="s">
        <v>61</v>
      </c>
      <c r="E1481" s="360">
        <v>1585</v>
      </c>
    </row>
    <row r="1482" spans="1:5" ht="17.25" x14ac:dyDescent="0.45">
      <c r="A1482" s="359">
        <v>45504</v>
      </c>
      <c r="B1482" s="6" t="s">
        <v>2228</v>
      </c>
      <c r="C1482" s="6" t="s">
        <v>2519</v>
      </c>
      <c r="D1482" s="360" t="s">
        <v>112</v>
      </c>
      <c r="E1482" s="360">
        <v>610</v>
      </c>
    </row>
    <row r="1483" spans="1:5" ht="17.25" x14ac:dyDescent="0.45">
      <c r="A1483" s="359">
        <v>45504</v>
      </c>
      <c r="B1483" s="6" t="s">
        <v>1907</v>
      </c>
      <c r="C1483" s="6" t="s">
        <v>2520</v>
      </c>
      <c r="D1483" s="360" t="s">
        <v>110</v>
      </c>
      <c r="E1483" s="360">
        <v>203</v>
      </c>
    </row>
    <row r="1484" spans="1:5" ht="17.25" x14ac:dyDescent="0.45">
      <c r="A1484" s="359">
        <v>45504</v>
      </c>
      <c r="B1484" s="6" t="s">
        <v>2521</v>
      </c>
      <c r="C1484" s="6" t="s">
        <v>967</v>
      </c>
      <c r="D1484" s="360" t="s">
        <v>354</v>
      </c>
      <c r="E1484" s="360">
        <v>535</v>
      </c>
    </row>
    <row r="1485" spans="1:5" ht="17.25" x14ac:dyDescent="0.45">
      <c r="A1485" s="359">
        <v>45504</v>
      </c>
      <c r="B1485" s="6" t="s">
        <v>2522</v>
      </c>
      <c r="C1485" s="6" t="s">
        <v>2523</v>
      </c>
      <c r="D1485" s="360" t="s">
        <v>201</v>
      </c>
      <c r="E1485" s="360">
        <v>560</v>
      </c>
    </row>
    <row r="1486" spans="1:5" ht="17.25" x14ac:dyDescent="0.45">
      <c r="A1486" s="359">
        <v>45504</v>
      </c>
      <c r="B1486" s="6" t="s">
        <v>2518</v>
      </c>
      <c r="C1486" s="6" t="s">
        <v>459</v>
      </c>
      <c r="D1486" s="360" t="s">
        <v>61</v>
      </c>
      <c r="E1486" s="360">
        <v>1585</v>
      </c>
    </row>
    <row r="1487" spans="1:5" ht="17.25" x14ac:dyDescent="0.45">
      <c r="A1487" s="359">
        <v>45504</v>
      </c>
      <c r="B1487" s="6" t="s">
        <v>2524</v>
      </c>
      <c r="C1487" s="6" t="s">
        <v>434</v>
      </c>
      <c r="D1487" s="360" t="s">
        <v>286</v>
      </c>
      <c r="E1487" s="360">
        <v>790</v>
      </c>
    </row>
    <row r="1488" spans="1:5" ht="17.25" x14ac:dyDescent="0.45">
      <c r="A1488" s="359">
        <v>45504</v>
      </c>
      <c r="B1488" s="6" t="s">
        <v>2525</v>
      </c>
      <c r="C1488" s="6" t="s">
        <v>2526</v>
      </c>
      <c r="D1488" s="360" t="s">
        <v>340</v>
      </c>
      <c r="E1488" s="360">
        <v>714</v>
      </c>
    </row>
    <row r="1489" spans="1:5" ht="17.25" x14ac:dyDescent="0.45">
      <c r="A1489" s="359">
        <v>45504</v>
      </c>
      <c r="B1489" s="6" t="s">
        <v>2527</v>
      </c>
      <c r="C1489" s="6" t="s">
        <v>2528</v>
      </c>
      <c r="D1489" s="360" t="s">
        <v>110</v>
      </c>
      <c r="E1489" s="360">
        <v>458.5</v>
      </c>
    </row>
    <row r="1490" spans="1:5" ht="17.25" x14ac:dyDescent="0.45">
      <c r="A1490" s="359">
        <v>45504</v>
      </c>
      <c r="B1490" s="6" t="s">
        <v>1635</v>
      </c>
      <c r="C1490" s="6" t="s">
        <v>2496</v>
      </c>
      <c r="D1490" s="360" t="s">
        <v>182</v>
      </c>
      <c r="E1490" s="360">
        <v>196</v>
      </c>
    </row>
    <row r="1491" spans="1:5" ht="17.25" x14ac:dyDescent="0.45">
      <c r="A1491" s="359">
        <v>45504</v>
      </c>
      <c r="B1491" s="6" t="s">
        <v>2529</v>
      </c>
      <c r="C1491" s="6" t="s">
        <v>810</v>
      </c>
      <c r="D1491" s="360" t="s">
        <v>317</v>
      </c>
      <c r="E1491" s="360">
        <v>651</v>
      </c>
    </row>
    <row r="1492" spans="1:5" ht="17.25" x14ac:dyDescent="0.45">
      <c r="A1492" s="359">
        <v>45504</v>
      </c>
      <c r="B1492" s="6" t="s">
        <v>2530</v>
      </c>
      <c r="C1492" s="6" t="s">
        <v>1751</v>
      </c>
      <c r="D1492" s="360" t="s">
        <v>90</v>
      </c>
      <c r="E1492" s="360">
        <v>409.5</v>
      </c>
    </row>
    <row r="1493" spans="1:5" ht="17.25" x14ac:dyDescent="0.45">
      <c r="A1493" s="359">
        <v>45504</v>
      </c>
      <c r="B1493" s="6" t="s">
        <v>1060</v>
      </c>
      <c r="C1493" s="6" t="s">
        <v>1290</v>
      </c>
      <c r="D1493" s="360" t="s">
        <v>381</v>
      </c>
      <c r="E1493" s="360">
        <v>1323</v>
      </c>
    </row>
    <row r="1494" spans="1:5" ht="17.25" x14ac:dyDescent="0.45">
      <c r="A1494" s="359">
        <v>45504</v>
      </c>
      <c r="B1494" s="6" t="s">
        <v>2200</v>
      </c>
      <c r="C1494" s="6" t="s">
        <v>1047</v>
      </c>
      <c r="D1494" s="360" t="s">
        <v>216</v>
      </c>
      <c r="E1494" s="360">
        <v>609</v>
      </c>
    </row>
    <row r="1495" spans="1:5" ht="17.25" x14ac:dyDescent="0.45">
      <c r="A1495" s="359">
        <v>45504</v>
      </c>
      <c r="B1495" s="6" t="s">
        <v>2200</v>
      </c>
      <c r="C1495" s="6" t="s">
        <v>913</v>
      </c>
      <c r="D1495" s="360" t="s">
        <v>164</v>
      </c>
      <c r="E1495" s="360">
        <v>1001</v>
      </c>
    </row>
    <row r="1496" spans="1:5" ht="17.25" x14ac:dyDescent="0.45">
      <c r="A1496" s="359">
        <v>45504</v>
      </c>
      <c r="B1496" s="6" t="s">
        <v>2531</v>
      </c>
      <c r="C1496" s="6" t="s">
        <v>2532</v>
      </c>
      <c r="D1496" s="360" t="s">
        <v>302</v>
      </c>
      <c r="E1496" s="360">
        <v>605.5</v>
      </c>
    </row>
    <row r="1497" spans="1:5" ht="17.25" x14ac:dyDescent="0.45">
      <c r="A1497" s="359">
        <v>45504</v>
      </c>
      <c r="B1497" s="6" t="s">
        <v>2533</v>
      </c>
      <c r="C1497" s="6" t="s">
        <v>2534</v>
      </c>
      <c r="D1497" s="360" t="s">
        <v>382</v>
      </c>
      <c r="E1497" s="360">
        <v>3094</v>
      </c>
    </row>
    <row r="1498" spans="1:5" ht="17.25" x14ac:dyDescent="0.45">
      <c r="A1498" s="359">
        <v>45504</v>
      </c>
      <c r="B1498" s="6" t="s">
        <v>2533</v>
      </c>
      <c r="C1498" s="6" t="s">
        <v>405</v>
      </c>
      <c r="D1498" s="360" t="s">
        <v>106</v>
      </c>
      <c r="E1498" s="360">
        <v>577.5</v>
      </c>
    </row>
    <row r="1499" spans="1:5" ht="17.25" x14ac:dyDescent="0.45">
      <c r="A1499" s="359">
        <v>45504</v>
      </c>
      <c r="B1499" s="6" t="s">
        <v>2535</v>
      </c>
      <c r="C1499" s="6" t="s">
        <v>2536</v>
      </c>
      <c r="D1499" s="360" t="s">
        <v>114</v>
      </c>
      <c r="E1499" s="360">
        <v>987</v>
      </c>
    </row>
    <row r="1500" spans="1:5" ht="17.25" x14ac:dyDescent="0.45">
      <c r="A1500" s="359">
        <v>45504</v>
      </c>
      <c r="B1500" s="6" t="s">
        <v>2273</v>
      </c>
      <c r="C1500" s="6" t="s">
        <v>438</v>
      </c>
      <c r="D1500" s="360" t="s">
        <v>182</v>
      </c>
      <c r="E1500" s="360">
        <v>448</v>
      </c>
    </row>
    <row r="1501" spans="1:5" ht="17.25" x14ac:dyDescent="0.45">
      <c r="A1501" s="359">
        <v>45504</v>
      </c>
      <c r="B1501" s="6" t="s">
        <v>2273</v>
      </c>
      <c r="C1501" s="6" t="s">
        <v>2379</v>
      </c>
      <c r="D1501" s="360" t="s">
        <v>350</v>
      </c>
      <c r="E1501" s="360">
        <v>1011.5</v>
      </c>
    </row>
    <row r="1502" spans="1:5" ht="17.25" x14ac:dyDescent="0.45">
      <c r="A1502" s="363">
        <v>45504</v>
      </c>
      <c r="B1502" s="364" t="s">
        <v>2537</v>
      </c>
      <c r="C1502" s="364" t="s">
        <v>2538</v>
      </c>
      <c r="D1502" s="366" t="s">
        <v>111</v>
      </c>
      <c r="E1502" s="366">
        <v>287</v>
      </c>
    </row>
    <row r="1503" spans="1:5" ht="17.25" x14ac:dyDescent="0.45">
      <c r="A1503" s="359">
        <v>45506</v>
      </c>
      <c r="B1503" s="6" t="s">
        <v>2248</v>
      </c>
      <c r="C1503" s="6" t="s">
        <v>2539</v>
      </c>
      <c r="D1503" s="360"/>
      <c r="E1503" s="360">
        <v>1610</v>
      </c>
    </row>
    <row r="1504" spans="1:5" ht="17.25" x14ac:dyDescent="0.45">
      <c r="A1504" s="359">
        <v>45506</v>
      </c>
      <c r="B1504" s="6" t="s">
        <v>328</v>
      </c>
      <c r="C1504" s="6" t="s">
        <v>400</v>
      </c>
      <c r="D1504" s="360"/>
      <c r="E1504" s="360">
        <v>3080</v>
      </c>
    </row>
    <row r="1505" spans="1:5" ht="17.25" x14ac:dyDescent="0.45">
      <c r="A1505" s="359">
        <v>45506</v>
      </c>
      <c r="B1505" s="6" t="s">
        <v>1700</v>
      </c>
      <c r="C1505" s="6" t="s">
        <v>831</v>
      </c>
      <c r="D1505" s="360"/>
      <c r="E1505" s="360">
        <v>2520</v>
      </c>
    </row>
    <row r="1506" spans="1:5" ht="17.25" x14ac:dyDescent="0.45">
      <c r="A1506" s="359">
        <v>45511</v>
      </c>
      <c r="B1506" s="6" t="s">
        <v>1462</v>
      </c>
      <c r="C1506" s="6" t="s">
        <v>2540</v>
      </c>
      <c r="D1506" s="360"/>
      <c r="E1506" s="360">
        <v>840</v>
      </c>
    </row>
    <row r="1507" spans="1:5" ht="17.25" x14ac:dyDescent="0.45">
      <c r="A1507" s="359">
        <v>45511</v>
      </c>
      <c r="B1507" s="6" t="s">
        <v>935</v>
      </c>
      <c r="C1507" s="6" t="s">
        <v>2264</v>
      </c>
      <c r="D1507" s="360"/>
      <c r="E1507" s="360">
        <v>560</v>
      </c>
    </row>
    <row r="1508" spans="1:5" ht="17.25" x14ac:dyDescent="0.45">
      <c r="A1508" s="359">
        <v>45511</v>
      </c>
      <c r="B1508" s="6" t="s">
        <v>1070</v>
      </c>
      <c r="C1508" s="6" t="s">
        <v>483</v>
      </c>
      <c r="D1508" s="360" t="s">
        <v>181</v>
      </c>
      <c r="E1508" s="360">
        <v>2030</v>
      </c>
    </row>
    <row r="1509" spans="1:5" ht="17.25" x14ac:dyDescent="0.45">
      <c r="A1509" s="359">
        <v>45512</v>
      </c>
      <c r="B1509" s="6" t="s">
        <v>2541</v>
      </c>
      <c r="C1509" s="6" t="s">
        <v>94</v>
      </c>
      <c r="D1509" s="360" t="s">
        <v>95</v>
      </c>
      <c r="E1509" s="360">
        <v>3290</v>
      </c>
    </row>
    <row r="1510" spans="1:5" ht="17.25" x14ac:dyDescent="0.45">
      <c r="A1510" s="363">
        <v>45512</v>
      </c>
      <c r="B1510" s="364" t="s">
        <v>1002</v>
      </c>
      <c r="C1510" s="364" t="s">
        <v>2425</v>
      </c>
      <c r="D1510" s="366" t="s">
        <v>230</v>
      </c>
      <c r="E1510" s="366">
        <v>1960</v>
      </c>
    </row>
    <row r="1511" spans="1:5" ht="17.25" x14ac:dyDescent="0.45">
      <c r="A1511" s="359">
        <v>45514</v>
      </c>
      <c r="B1511" s="6" t="s">
        <v>2255</v>
      </c>
      <c r="C1511" s="6" t="s">
        <v>2347</v>
      </c>
      <c r="D1511" s="360" t="s">
        <v>2542</v>
      </c>
      <c r="E1511" s="360">
        <v>1050</v>
      </c>
    </row>
    <row r="1512" spans="1:5" ht="17.25" x14ac:dyDescent="0.45">
      <c r="A1512" s="359">
        <v>45518</v>
      </c>
      <c r="B1512" s="6" t="s">
        <v>1361</v>
      </c>
      <c r="C1512" s="6" t="s">
        <v>421</v>
      </c>
      <c r="D1512" s="360" t="s">
        <v>2543</v>
      </c>
      <c r="E1512" s="360">
        <v>1050</v>
      </c>
    </row>
    <row r="1513" spans="1:5" ht="17.25" x14ac:dyDescent="0.45">
      <c r="A1513" s="359">
        <v>45517</v>
      </c>
      <c r="B1513" s="6" t="s">
        <v>2544</v>
      </c>
      <c r="C1513" s="6" t="s">
        <v>1357</v>
      </c>
      <c r="D1513" s="360" t="s">
        <v>306</v>
      </c>
      <c r="E1513" s="360">
        <v>1777.78</v>
      </c>
    </row>
    <row r="1514" spans="1:5" ht="17.25" x14ac:dyDescent="0.45">
      <c r="A1514" s="359">
        <v>45517</v>
      </c>
      <c r="B1514" s="6" t="s">
        <v>1654</v>
      </c>
      <c r="C1514" s="6" t="s">
        <v>63</v>
      </c>
      <c r="D1514" s="360" t="s">
        <v>252</v>
      </c>
      <c r="E1514" s="360">
        <v>1400</v>
      </c>
    </row>
    <row r="1515" spans="1:5" ht="17.25" x14ac:dyDescent="0.45">
      <c r="A1515" s="359">
        <v>45516</v>
      </c>
      <c r="B1515" s="6" t="s">
        <v>2411</v>
      </c>
      <c r="C1515" s="6" t="s">
        <v>457</v>
      </c>
      <c r="D1515" s="360" t="s">
        <v>364</v>
      </c>
      <c r="E1515" s="360">
        <v>3710</v>
      </c>
    </row>
    <row r="1516" spans="1:5" ht="17.25" x14ac:dyDescent="0.45">
      <c r="A1516" s="359">
        <v>45516</v>
      </c>
      <c r="B1516" s="6" t="s">
        <v>2545</v>
      </c>
      <c r="C1516" s="6" t="s">
        <v>76</v>
      </c>
      <c r="D1516" s="360" t="s">
        <v>144</v>
      </c>
      <c r="E1516" s="360">
        <v>960</v>
      </c>
    </row>
    <row r="1517" spans="1:5" ht="17.25" x14ac:dyDescent="0.45">
      <c r="A1517" s="359">
        <v>45516</v>
      </c>
      <c r="B1517" s="6" t="s">
        <v>2546</v>
      </c>
      <c r="C1517" s="6" t="s">
        <v>1903</v>
      </c>
      <c r="D1517" s="360" t="s">
        <v>234</v>
      </c>
      <c r="E1517" s="360">
        <v>1610</v>
      </c>
    </row>
    <row r="1518" spans="1:5" ht="17.25" x14ac:dyDescent="0.45">
      <c r="A1518" s="359">
        <v>45516</v>
      </c>
      <c r="B1518" s="6" t="s">
        <v>2547</v>
      </c>
      <c r="C1518" s="6" t="s">
        <v>1379</v>
      </c>
      <c r="D1518" s="360" t="s">
        <v>119</v>
      </c>
      <c r="E1518" s="360">
        <v>550</v>
      </c>
    </row>
    <row r="1519" spans="1:5" ht="17.25" x14ac:dyDescent="0.45">
      <c r="A1519" s="359">
        <v>45515</v>
      </c>
      <c r="B1519" s="6" t="s">
        <v>930</v>
      </c>
      <c r="C1519" s="6" t="s">
        <v>2214</v>
      </c>
      <c r="D1519" s="360" t="s">
        <v>387</v>
      </c>
      <c r="E1519" s="360">
        <v>7560</v>
      </c>
    </row>
    <row r="1520" spans="1:5" ht="17.25" x14ac:dyDescent="0.45">
      <c r="A1520" s="359">
        <v>45515</v>
      </c>
      <c r="B1520" s="6" t="s">
        <v>930</v>
      </c>
      <c r="C1520" s="6" t="s">
        <v>2119</v>
      </c>
      <c r="D1520" s="360" t="s">
        <v>237</v>
      </c>
      <c r="E1520" s="360">
        <v>2730</v>
      </c>
    </row>
    <row r="1521" spans="1:5" ht="17.25" x14ac:dyDescent="0.45">
      <c r="A1521" s="359">
        <v>45517</v>
      </c>
      <c r="B1521" s="6" t="s">
        <v>2548</v>
      </c>
      <c r="C1521" s="6" t="s">
        <v>545</v>
      </c>
      <c r="D1521" s="360" t="s">
        <v>276</v>
      </c>
      <c r="E1521" s="360">
        <v>588</v>
      </c>
    </row>
    <row r="1522" spans="1:5" ht="17.25" x14ac:dyDescent="0.45">
      <c r="A1522" s="359">
        <v>45517</v>
      </c>
      <c r="B1522" s="6" t="s">
        <v>1868</v>
      </c>
      <c r="C1522" s="6" t="s">
        <v>411</v>
      </c>
      <c r="D1522" s="360" t="s">
        <v>289</v>
      </c>
      <c r="E1522" s="360">
        <v>584.5</v>
      </c>
    </row>
    <row r="1523" spans="1:5" ht="17.25" x14ac:dyDescent="0.45">
      <c r="A1523" s="359">
        <v>45517</v>
      </c>
      <c r="B1523" s="6" t="s">
        <v>2549</v>
      </c>
      <c r="C1523" s="6" t="s">
        <v>827</v>
      </c>
      <c r="D1523" s="360" t="s">
        <v>310</v>
      </c>
      <c r="E1523" s="360">
        <v>812</v>
      </c>
    </row>
    <row r="1524" spans="1:5" ht="17.25" x14ac:dyDescent="0.45">
      <c r="A1524" s="359">
        <v>45517</v>
      </c>
      <c r="B1524" s="6" t="s">
        <v>1907</v>
      </c>
      <c r="C1524" s="6" t="s">
        <v>1063</v>
      </c>
      <c r="D1524" s="360" t="s">
        <v>168</v>
      </c>
      <c r="E1524" s="360">
        <v>452</v>
      </c>
    </row>
    <row r="1525" spans="1:5" ht="17.25" x14ac:dyDescent="0.45">
      <c r="A1525" s="359">
        <v>45517</v>
      </c>
      <c r="B1525" s="6" t="s">
        <v>2550</v>
      </c>
      <c r="C1525" s="6" t="s">
        <v>1776</v>
      </c>
      <c r="D1525" s="360" t="s">
        <v>165</v>
      </c>
      <c r="E1525" s="360">
        <v>416</v>
      </c>
    </row>
    <row r="1526" spans="1:5" ht="17.25" x14ac:dyDescent="0.45">
      <c r="A1526" s="359">
        <v>45517</v>
      </c>
      <c r="B1526" s="6" t="s">
        <v>2551</v>
      </c>
      <c r="C1526" s="6" t="s">
        <v>70</v>
      </c>
      <c r="D1526" s="360" t="s">
        <v>162</v>
      </c>
      <c r="E1526" s="360">
        <v>684</v>
      </c>
    </row>
    <row r="1527" spans="1:5" ht="17.25" x14ac:dyDescent="0.45">
      <c r="A1527" s="359">
        <v>45517</v>
      </c>
      <c r="B1527" s="6" t="s">
        <v>2552</v>
      </c>
      <c r="C1527" s="6" t="s">
        <v>70</v>
      </c>
      <c r="D1527" s="360" t="s">
        <v>375</v>
      </c>
      <c r="E1527" s="360">
        <v>1272</v>
      </c>
    </row>
    <row r="1528" spans="1:5" ht="17.25" x14ac:dyDescent="0.45">
      <c r="A1528" s="359">
        <v>45517</v>
      </c>
      <c r="B1528" s="6" t="s">
        <v>2553</v>
      </c>
      <c r="C1528" s="6" t="s">
        <v>2554</v>
      </c>
      <c r="D1528" s="360" t="s">
        <v>96</v>
      </c>
      <c r="E1528" s="360">
        <v>745</v>
      </c>
    </row>
    <row r="1529" spans="1:5" ht="17.25" x14ac:dyDescent="0.45">
      <c r="A1529" s="359">
        <v>45517</v>
      </c>
      <c r="B1529" s="6" t="s">
        <v>926</v>
      </c>
      <c r="C1529" s="6" t="s">
        <v>1155</v>
      </c>
      <c r="D1529" s="360" t="s">
        <v>293</v>
      </c>
      <c r="E1529" s="360">
        <v>1332</v>
      </c>
    </row>
    <row r="1530" spans="1:5" ht="17.25" x14ac:dyDescent="0.45">
      <c r="A1530" s="359">
        <v>45517</v>
      </c>
      <c r="B1530" s="6" t="s">
        <v>2273</v>
      </c>
      <c r="C1530" s="6" t="s">
        <v>438</v>
      </c>
      <c r="D1530" s="360" t="s">
        <v>182</v>
      </c>
      <c r="E1530" s="360">
        <v>448</v>
      </c>
    </row>
    <row r="1531" spans="1:5" ht="17.25" x14ac:dyDescent="0.45">
      <c r="A1531" s="359">
        <v>45517</v>
      </c>
      <c r="B1531" s="6" t="s">
        <v>2555</v>
      </c>
      <c r="C1531" s="6" t="s">
        <v>405</v>
      </c>
      <c r="D1531" s="360" t="s">
        <v>106</v>
      </c>
      <c r="E1531" s="360">
        <v>339.5</v>
      </c>
    </row>
    <row r="1532" spans="1:5" ht="17.25" x14ac:dyDescent="0.45">
      <c r="A1532" s="359">
        <v>45517</v>
      </c>
      <c r="B1532" s="6" t="s">
        <v>2555</v>
      </c>
      <c r="C1532" s="6" t="s">
        <v>313</v>
      </c>
      <c r="D1532" s="360" t="s">
        <v>284</v>
      </c>
      <c r="E1532" s="360">
        <v>469</v>
      </c>
    </row>
    <row r="1533" spans="1:5" ht="17.25" x14ac:dyDescent="0.45">
      <c r="A1533" s="359">
        <v>45517</v>
      </c>
      <c r="B1533" s="6" t="s">
        <v>2537</v>
      </c>
      <c r="C1533" s="6" t="s">
        <v>2538</v>
      </c>
      <c r="D1533" s="360" t="s">
        <v>111</v>
      </c>
      <c r="E1533" s="360">
        <v>287</v>
      </c>
    </row>
    <row r="1534" spans="1:5" ht="17.25" x14ac:dyDescent="0.45">
      <c r="A1534" s="359">
        <v>45517</v>
      </c>
      <c r="B1534" s="6" t="s">
        <v>2535</v>
      </c>
      <c r="C1534" s="6" t="s">
        <v>2536</v>
      </c>
      <c r="D1534" s="360" t="s">
        <v>114</v>
      </c>
      <c r="E1534" s="360">
        <v>987</v>
      </c>
    </row>
    <row r="1535" spans="1:5" ht="17.25" x14ac:dyDescent="0.45">
      <c r="A1535" s="359">
        <v>45517</v>
      </c>
      <c r="B1535" s="6" t="s">
        <v>2273</v>
      </c>
      <c r="C1535" s="6" t="s">
        <v>2379</v>
      </c>
      <c r="D1535" s="360" t="s">
        <v>350</v>
      </c>
      <c r="E1535" s="360">
        <v>1011.5</v>
      </c>
    </row>
    <row r="1536" spans="1:5" ht="17.25" x14ac:dyDescent="0.45">
      <c r="A1536" s="359">
        <v>45517</v>
      </c>
      <c r="B1536" s="6" t="s">
        <v>2556</v>
      </c>
      <c r="C1536" s="6" t="s">
        <v>313</v>
      </c>
      <c r="D1536" s="360" t="s">
        <v>155</v>
      </c>
      <c r="E1536" s="360">
        <v>760.66</v>
      </c>
    </row>
    <row r="1537" spans="1:5" ht="17.25" x14ac:dyDescent="0.45">
      <c r="A1537" s="359">
        <v>45517</v>
      </c>
      <c r="B1537" s="6" t="s">
        <v>2557</v>
      </c>
      <c r="C1537" s="6" t="s">
        <v>2519</v>
      </c>
      <c r="D1537" s="360" t="s">
        <v>111</v>
      </c>
      <c r="E1537" s="360">
        <v>451.5</v>
      </c>
    </row>
    <row r="1538" spans="1:5" ht="17.25" x14ac:dyDescent="0.45">
      <c r="A1538" s="359">
        <v>45529</v>
      </c>
      <c r="B1538" s="6" t="s">
        <v>906</v>
      </c>
      <c r="C1538" s="6" t="s">
        <v>94</v>
      </c>
      <c r="D1538" s="360" t="s">
        <v>95</v>
      </c>
      <c r="E1538" s="360">
        <v>0</v>
      </c>
    </row>
    <row r="1539" spans="1:5" ht="17.25" x14ac:dyDescent="0.45">
      <c r="A1539" s="359">
        <v>45529</v>
      </c>
      <c r="B1539" s="6" t="s">
        <v>2558</v>
      </c>
      <c r="C1539" s="6" t="s">
        <v>2559</v>
      </c>
      <c r="D1539" s="360" t="s">
        <v>114</v>
      </c>
      <c r="E1539" s="360">
        <v>0</v>
      </c>
    </row>
    <row r="1540" spans="1:5" ht="17.25" x14ac:dyDescent="0.45">
      <c r="A1540" s="359">
        <v>45529</v>
      </c>
      <c r="B1540" s="6" t="s">
        <v>2558</v>
      </c>
      <c r="C1540" s="6" t="s">
        <v>1144</v>
      </c>
      <c r="D1540" s="360" t="s">
        <v>2560</v>
      </c>
      <c r="E1540" s="360">
        <v>0</v>
      </c>
    </row>
    <row r="1541" spans="1:5" ht="17.25" x14ac:dyDescent="0.45">
      <c r="A1541" s="359">
        <v>45529</v>
      </c>
      <c r="B1541" s="6" t="s">
        <v>2558</v>
      </c>
      <c r="C1541" s="6" t="s">
        <v>1337</v>
      </c>
      <c r="D1541" s="360" t="s">
        <v>119</v>
      </c>
      <c r="E1541" s="360">
        <v>0</v>
      </c>
    </row>
    <row r="1542" spans="1:5" ht="17.25" x14ac:dyDescent="0.45">
      <c r="A1542" s="359">
        <v>45530</v>
      </c>
      <c r="B1542" s="6" t="s">
        <v>906</v>
      </c>
      <c r="C1542" s="6" t="s">
        <v>421</v>
      </c>
      <c r="D1542" s="360" t="s">
        <v>378</v>
      </c>
      <c r="E1542" s="360">
        <v>0</v>
      </c>
    </row>
    <row r="1543" spans="1:5" ht="17.25" x14ac:dyDescent="0.45">
      <c r="A1543" s="359">
        <v>45530</v>
      </c>
      <c r="B1543" s="6" t="s">
        <v>422</v>
      </c>
      <c r="C1543" s="6" t="s">
        <v>2301</v>
      </c>
      <c r="D1543" s="360" t="s">
        <v>261</v>
      </c>
      <c r="E1543" s="360">
        <v>1500</v>
      </c>
    </row>
    <row r="1544" spans="1:5" ht="17.25" x14ac:dyDescent="0.45">
      <c r="A1544" s="359">
        <v>45530</v>
      </c>
      <c r="B1544" s="6" t="s">
        <v>385</v>
      </c>
      <c r="C1544" s="6" t="s">
        <v>2013</v>
      </c>
      <c r="D1544" s="360" t="s">
        <v>204</v>
      </c>
      <c r="E1544" s="360">
        <v>1500</v>
      </c>
    </row>
    <row r="1545" spans="1:5" ht="17.25" x14ac:dyDescent="0.45">
      <c r="A1545" s="359">
        <v>45530</v>
      </c>
      <c r="B1545" s="6" t="s">
        <v>906</v>
      </c>
      <c r="C1545" s="6" t="s">
        <v>2540</v>
      </c>
      <c r="D1545" s="360" t="s">
        <v>156</v>
      </c>
      <c r="E1545" s="360">
        <v>0</v>
      </c>
    </row>
    <row r="1546" spans="1:5" ht="17.25" x14ac:dyDescent="0.45">
      <c r="A1546" s="359">
        <v>45530</v>
      </c>
      <c r="B1546" s="6" t="s">
        <v>906</v>
      </c>
      <c r="C1546" s="6" t="s">
        <v>457</v>
      </c>
      <c r="D1546" s="360" t="s">
        <v>137</v>
      </c>
      <c r="E1546" s="360">
        <v>0</v>
      </c>
    </row>
    <row r="1547" spans="1:5" ht="17.25" x14ac:dyDescent="0.45">
      <c r="A1547" s="359">
        <v>45530</v>
      </c>
      <c r="B1547" s="6" t="s">
        <v>2558</v>
      </c>
      <c r="C1547" s="6" t="s">
        <v>1376</v>
      </c>
      <c r="D1547" s="360" t="s">
        <v>2561</v>
      </c>
      <c r="E1547" s="360">
        <v>0</v>
      </c>
    </row>
    <row r="1548" spans="1:5" ht="17.25" x14ac:dyDescent="0.45">
      <c r="A1548" s="359">
        <v>45530</v>
      </c>
      <c r="B1548" s="6" t="s">
        <v>2558</v>
      </c>
      <c r="C1548" s="6" t="s">
        <v>1771</v>
      </c>
      <c r="D1548" s="360" t="s">
        <v>333</v>
      </c>
      <c r="E1548" s="360">
        <v>0</v>
      </c>
    </row>
    <row r="1549" spans="1:5" ht="17.25" x14ac:dyDescent="0.45">
      <c r="A1549" s="359">
        <v>45530</v>
      </c>
      <c r="B1549" s="6" t="s">
        <v>2558</v>
      </c>
      <c r="C1549" s="6" t="s">
        <v>831</v>
      </c>
      <c r="D1549" s="360" t="s">
        <v>194</v>
      </c>
      <c r="E1549" s="360">
        <v>0</v>
      </c>
    </row>
    <row r="1550" spans="1:5" ht="17.25" x14ac:dyDescent="0.45">
      <c r="A1550" s="359">
        <v>45530</v>
      </c>
      <c r="B1550" s="6" t="s">
        <v>385</v>
      </c>
      <c r="C1550" s="6" t="s">
        <v>434</v>
      </c>
      <c r="D1550" s="360" t="s">
        <v>201</v>
      </c>
      <c r="E1550" s="360">
        <v>1500</v>
      </c>
    </row>
    <row r="1551" spans="1:5" ht="17.25" x14ac:dyDescent="0.45">
      <c r="A1551" s="359">
        <v>45530</v>
      </c>
      <c r="B1551" s="6" t="s">
        <v>906</v>
      </c>
      <c r="C1551" s="6" t="s">
        <v>2562</v>
      </c>
      <c r="D1551" s="360" t="s">
        <v>157</v>
      </c>
      <c r="E1551" s="360">
        <v>0</v>
      </c>
    </row>
    <row r="1552" spans="1:5" ht="17.25" x14ac:dyDescent="0.45">
      <c r="A1552" s="359">
        <v>45531</v>
      </c>
      <c r="B1552" s="6" t="s">
        <v>906</v>
      </c>
      <c r="C1552" s="6" t="s">
        <v>419</v>
      </c>
      <c r="D1552" s="360" t="s">
        <v>2563</v>
      </c>
      <c r="E1552" s="360">
        <v>0</v>
      </c>
    </row>
    <row r="1553" spans="1:5" ht="17.25" x14ac:dyDescent="0.45">
      <c r="A1553" s="359">
        <v>45531</v>
      </c>
      <c r="B1553" s="6" t="s">
        <v>2564</v>
      </c>
      <c r="C1553" s="6" t="s">
        <v>2565</v>
      </c>
      <c r="D1553" s="360" t="s">
        <v>237</v>
      </c>
      <c r="E1553" s="360">
        <v>3900</v>
      </c>
    </row>
    <row r="1554" spans="1:5" ht="17.25" x14ac:dyDescent="0.45">
      <c r="A1554" s="359">
        <v>45531</v>
      </c>
      <c r="B1554" s="6" t="s">
        <v>906</v>
      </c>
      <c r="C1554" s="6" t="s">
        <v>2528</v>
      </c>
      <c r="D1554" s="360" t="s">
        <v>2566</v>
      </c>
      <c r="E1554" s="360">
        <v>0</v>
      </c>
    </row>
    <row r="1555" spans="1:5" ht="17.25" x14ac:dyDescent="0.45">
      <c r="A1555" s="359">
        <v>45531</v>
      </c>
      <c r="B1555" s="6" t="s">
        <v>906</v>
      </c>
      <c r="C1555" s="6" t="s">
        <v>2567</v>
      </c>
      <c r="D1555" s="360" t="s">
        <v>298</v>
      </c>
      <c r="E1555" s="360">
        <v>0</v>
      </c>
    </row>
    <row r="1556" spans="1:5" ht="17.25" x14ac:dyDescent="0.45">
      <c r="A1556" s="359">
        <v>45531</v>
      </c>
      <c r="B1556" s="6" t="s">
        <v>906</v>
      </c>
      <c r="C1556" s="6" t="s">
        <v>365</v>
      </c>
      <c r="D1556" s="360" t="s">
        <v>90</v>
      </c>
      <c r="E1556" s="360">
        <v>0</v>
      </c>
    </row>
    <row r="1557" spans="1:5" ht="17.25" x14ac:dyDescent="0.45">
      <c r="A1557" s="359">
        <v>45531</v>
      </c>
      <c r="B1557" s="6" t="s">
        <v>906</v>
      </c>
      <c r="C1557" s="6" t="s">
        <v>451</v>
      </c>
      <c r="D1557" s="360" t="s">
        <v>248</v>
      </c>
      <c r="E1557" s="360">
        <v>0</v>
      </c>
    </row>
    <row r="1558" spans="1:5" ht="17.25" x14ac:dyDescent="0.45">
      <c r="A1558" s="359">
        <v>45531</v>
      </c>
      <c r="B1558" s="6" t="s">
        <v>906</v>
      </c>
      <c r="C1558" s="6" t="s">
        <v>2568</v>
      </c>
      <c r="D1558" s="360" t="s">
        <v>90</v>
      </c>
      <c r="E1558" s="360">
        <v>0</v>
      </c>
    </row>
    <row r="1559" spans="1:5" ht="17.25" x14ac:dyDescent="0.45">
      <c r="A1559" s="359">
        <v>45531</v>
      </c>
      <c r="B1559" s="6" t="s">
        <v>906</v>
      </c>
      <c r="C1559" s="6" t="s">
        <v>379</v>
      </c>
      <c r="D1559" s="360" t="s">
        <v>271</v>
      </c>
      <c r="E1559" s="360">
        <v>0</v>
      </c>
    </row>
    <row r="1560" spans="1:5" ht="17.25" x14ac:dyDescent="0.45">
      <c r="A1560" s="359">
        <v>45531</v>
      </c>
      <c r="B1560" s="6" t="s">
        <v>906</v>
      </c>
      <c r="C1560" s="6" t="s">
        <v>394</v>
      </c>
      <c r="D1560" s="360" t="s">
        <v>271</v>
      </c>
      <c r="E1560" s="360">
        <v>0</v>
      </c>
    </row>
    <row r="1561" spans="1:5" ht="17.25" x14ac:dyDescent="0.45">
      <c r="A1561" s="359">
        <v>45532</v>
      </c>
      <c r="B1561" s="6" t="s">
        <v>422</v>
      </c>
      <c r="C1561" s="6" t="s">
        <v>451</v>
      </c>
      <c r="D1561" s="360" t="s">
        <v>302</v>
      </c>
      <c r="E1561" s="360">
        <v>2000</v>
      </c>
    </row>
    <row r="1562" spans="1:5" ht="17.25" x14ac:dyDescent="0.45">
      <c r="A1562" s="359">
        <v>45532</v>
      </c>
      <c r="B1562" s="6" t="s">
        <v>906</v>
      </c>
      <c r="C1562" s="6" t="s">
        <v>2569</v>
      </c>
      <c r="D1562" s="360" t="s">
        <v>90</v>
      </c>
      <c r="E1562" s="360">
        <v>0</v>
      </c>
    </row>
    <row r="1563" spans="1:5" ht="17.25" x14ac:dyDescent="0.45">
      <c r="A1563" s="359">
        <v>45532</v>
      </c>
      <c r="B1563" s="6" t="s">
        <v>906</v>
      </c>
      <c r="C1563" s="6" t="s">
        <v>2571</v>
      </c>
      <c r="D1563" s="360" t="s">
        <v>157</v>
      </c>
      <c r="E1563" s="360">
        <v>0</v>
      </c>
    </row>
    <row r="1564" spans="1:5" ht="17.25" x14ac:dyDescent="0.45">
      <c r="A1564" s="359">
        <v>45532</v>
      </c>
      <c r="B1564" s="6" t="s">
        <v>2572</v>
      </c>
      <c r="C1564" s="6" t="s">
        <v>1155</v>
      </c>
      <c r="D1564" s="360" t="s">
        <v>71</v>
      </c>
      <c r="E1564" s="360">
        <v>4000</v>
      </c>
    </row>
    <row r="1565" spans="1:5" ht="17.25" x14ac:dyDescent="0.45">
      <c r="A1565" s="359">
        <v>45532</v>
      </c>
      <c r="B1565" s="6" t="s">
        <v>2573</v>
      </c>
      <c r="C1565" s="6" t="s">
        <v>2574</v>
      </c>
      <c r="D1565" s="360" t="s">
        <v>114</v>
      </c>
      <c r="E1565" s="360">
        <v>0</v>
      </c>
    </row>
    <row r="1566" spans="1:5" ht="17.25" x14ac:dyDescent="0.45">
      <c r="A1566" s="359">
        <v>45532</v>
      </c>
      <c r="B1566" s="6" t="s">
        <v>2575</v>
      </c>
      <c r="C1566" s="6" t="s">
        <v>1400</v>
      </c>
      <c r="D1566" s="360" t="s">
        <v>389</v>
      </c>
      <c r="E1566" s="360">
        <v>700</v>
      </c>
    </row>
    <row r="1567" spans="1:5" ht="17.25" x14ac:dyDescent="0.45">
      <c r="A1567" s="359">
        <v>45533</v>
      </c>
      <c r="B1567" s="6" t="s">
        <v>906</v>
      </c>
      <c r="C1567" s="6" t="s">
        <v>2576</v>
      </c>
      <c r="D1567" s="360" t="s">
        <v>383</v>
      </c>
      <c r="E1567" s="360">
        <v>0</v>
      </c>
    </row>
    <row r="1568" spans="1:5" ht="17.25" x14ac:dyDescent="0.45">
      <c r="A1568" s="359">
        <v>45533</v>
      </c>
      <c r="B1568" s="6" t="s">
        <v>906</v>
      </c>
      <c r="C1568" s="6" t="s">
        <v>2577</v>
      </c>
      <c r="D1568" s="360" t="s">
        <v>114</v>
      </c>
      <c r="E1568" s="360">
        <v>0</v>
      </c>
    </row>
    <row r="1569" spans="1:5" ht="17.25" x14ac:dyDescent="0.45">
      <c r="A1569" s="359">
        <v>45533</v>
      </c>
      <c r="B1569" s="6" t="s">
        <v>906</v>
      </c>
      <c r="C1569" s="6" t="s">
        <v>421</v>
      </c>
      <c r="D1569" s="360" t="s">
        <v>2578</v>
      </c>
      <c r="E1569" s="360" t="s">
        <v>1533</v>
      </c>
    </row>
    <row r="1570" spans="1:5" ht="17.25" x14ac:dyDescent="0.45">
      <c r="A1570" s="359"/>
      <c r="B1570" s="6"/>
      <c r="C1570" s="6"/>
      <c r="D1570" s="360"/>
      <c r="E1570" s="360"/>
    </row>
    <row r="1571" spans="1:5" ht="17.25" x14ac:dyDescent="0.45">
      <c r="A1571" s="359"/>
      <c r="B1571" s="6"/>
      <c r="C1571" s="6"/>
      <c r="D1571" s="360"/>
      <c r="E1571" s="360"/>
    </row>
    <row r="1572" spans="1:5" ht="17.25" x14ac:dyDescent="0.45">
      <c r="A1572" s="359"/>
      <c r="B1572" s="6"/>
      <c r="C1572" s="6"/>
      <c r="D1572" s="360"/>
      <c r="E1572" s="360"/>
    </row>
    <row r="1573" spans="1:5" ht="17.25" x14ac:dyDescent="0.45">
      <c r="A1573" s="359"/>
      <c r="B1573" s="6"/>
      <c r="C1573" s="6"/>
      <c r="D1573" s="360"/>
      <c r="E1573" s="360"/>
    </row>
    <row r="1574" spans="1:5" ht="17.25" x14ac:dyDescent="0.45">
      <c r="A1574" s="359"/>
      <c r="B1574" s="6"/>
      <c r="C1574" s="6"/>
      <c r="D1574" s="360"/>
      <c r="E1574" s="360"/>
    </row>
    <row r="1575" spans="1:5" ht="17.25" x14ac:dyDescent="0.45">
      <c r="A1575" s="359"/>
      <c r="B1575" s="6"/>
      <c r="C1575" s="6"/>
      <c r="D1575" s="360"/>
      <c r="E1575" s="360"/>
    </row>
    <row r="1576" spans="1:5" ht="17.25" x14ac:dyDescent="0.45">
      <c r="A1576" s="359"/>
      <c r="B1576" s="6"/>
      <c r="C1576" s="6"/>
      <c r="D1576" s="360"/>
      <c r="E1576" s="360"/>
    </row>
    <row r="1577" spans="1:5" ht="17.25" x14ac:dyDescent="0.45">
      <c r="A1577" s="359"/>
      <c r="B1577" s="6"/>
      <c r="C1577" s="6"/>
      <c r="D1577" s="360"/>
      <c r="E1577" s="360"/>
    </row>
    <row r="1578" spans="1:5" ht="17.25" x14ac:dyDescent="0.45">
      <c r="A1578" s="359"/>
      <c r="B1578" s="6"/>
      <c r="C1578" s="6"/>
      <c r="D1578" s="360"/>
      <c r="E1578" s="360"/>
    </row>
    <row r="1579" spans="1:5" ht="17.25" x14ac:dyDescent="0.45">
      <c r="A1579" s="359"/>
      <c r="B1579" s="6"/>
      <c r="C1579" s="6"/>
      <c r="D1579" s="360"/>
      <c r="E1579" s="360"/>
    </row>
    <row r="1580" spans="1:5" ht="17.25" x14ac:dyDescent="0.45">
      <c r="A1580" s="359"/>
      <c r="B1580" s="6"/>
      <c r="C1580" s="6"/>
      <c r="D1580" s="360"/>
      <c r="E1580" s="360"/>
    </row>
    <row r="1581" spans="1:5" ht="17.25" x14ac:dyDescent="0.45">
      <c r="A1581" s="359"/>
      <c r="B1581" s="6"/>
      <c r="C1581" s="6"/>
      <c r="D1581" s="360"/>
      <c r="E1581" s="360"/>
    </row>
    <row r="1582" spans="1:5" ht="17.25" x14ac:dyDescent="0.45">
      <c r="A1582" s="359"/>
      <c r="B1582" s="6"/>
      <c r="C1582" s="6"/>
      <c r="D1582" s="360"/>
      <c r="E1582" s="360"/>
    </row>
    <row r="1583" spans="1:5" ht="17.25" x14ac:dyDescent="0.45">
      <c r="A1583" s="359"/>
      <c r="B1583" s="6"/>
      <c r="C1583" s="6"/>
      <c r="D1583" s="360"/>
      <c r="E1583" s="360"/>
    </row>
    <row r="1584" spans="1:5" ht="17.25" x14ac:dyDescent="0.45">
      <c r="A1584" s="359"/>
      <c r="B1584" s="6"/>
      <c r="C1584" s="6"/>
      <c r="D1584" s="360"/>
      <c r="E1584" s="360"/>
    </row>
    <row r="1585" spans="1:5" ht="17.25" x14ac:dyDescent="0.45">
      <c r="A1585" s="359"/>
      <c r="B1585" s="6"/>
      <c r="C1585" s="6"/>
      <c r="D1585" s="360"/>
      <c r="E1585" s="360"/>
    </row>
    <row r="1586" spans="1:5" ht="17.25" x14ac:dyDescent="0.45">
      <c r="A1586" s="359"/>
      <c r="B1586" s="6"/>
      <c r="C1586" s="6"/>
      <c r="D1586" s="360"/>
      <c r="E1586" s="360"/>
    </row>
    <row r="1587" spans="1:5" ht="17.25" x14ac:dyDescent="0.45">
      <c r="A1587" s="359"/>
      <c r="B1587" s="6"/>
      <c r="C1587" s="6"/>
      <c r="D1587" s="360"/>
      <c r="E1587" s="360"/>
    </row>
    <row r="1588" spans="1:5" ht="17.25" x14ac:dyDescent="0.45">
      <c r="A1588" s="359"/>
      <c r="B1588" s="6"/>
      <c r="C1588" s="6"/>
      <c r="D1588" s="360"/>
      <c r="E1588" s="360"/>
    </row>
    <row r="1589" spans="1:5" ht="17.25" x14ac:dyDescent="0.45">
      <c r="A1589" s="359"/>
      <c r="B1589" s="6"/>
      <c r="C1589" s="6"/>
      <c r="D1589" s="360"/>
      <c r="E1589" s="360"/>
    </row>
    <row r="1590" spans="1:5" ht="17.25" x14ac:dyDescent="0.45">
      <c r="A1590" s="359"/>
      <c r="B1590" s="6"/>
      <c r="C1590" s="6"/>
      <c r="D1590" s="360"/>
      <c r="E1590" s="360"/>
    </row>
    <row r="1591" spans="1:5" ht="17.25" x14ac:dyDescent="0.45">
      <c r="A1591" s="359"/>
      <c r="B1591" s="6"/>
      <c r="C1591" s="6"/>
      <c r="D1591" s="360"/>
      <c r="E1591" s="360"/>
    </row>
    <row r="1592" spans="1:5" ht="17.25" x14ac:dyDescent="0.45">
      <c r="A1592" s="359"/>
      <c r="B1592" s="6"/>
      <c r="C1592" s="6"/>
      <c r="D1592" s="360"/>
      <c r="E1592" s="360"/>
    </row>
    <row r="1593" spans="1:5" ht="17.25" x14ac:dyDescent="0.45">
      <c r="A1593" s="359"/>
      <c r="B1593" s="6"/>
      <c r="C1593" s="6"/>
      <c r="D1593" s="360"/>
      <c r="E1593" s="360"/>
    </row>
    <row r="1594" spans="1:5" ht="17.25" x14ac:dyDescent="0.45">
      <c r="A1594" s="359"/>
      <c r="B1594" s="6"/>
      <c r="C1594" s="6"/>
      <c r="D1594" s="360"/>
      <c r="E1594" s="360"/>
    </row>
    <row r="1595" spans="1:5" ht="17.25" x14ac:dyDescent="0.45">
      <c r="A1595" s="359"/>
      <c r="B1595" s="6"/>
      <c r="C1595" s="6"/>
      <c r="D1595" s="360"/>
      <c r="E1595" s="360"/>
    </row>
    <row r="1596" spans="1:5" ht="17.25" x14ac:dyDescent="0.45">
      <c r="A1596" s="359"/>
      <c r="B1596" s="6"/>
      <c r="C1596" s="6"/>
      <c r="D1596" s="360"/>
      <c r="E1596" s="360"/>
    </row>
    <row r="1597" spans="1:5" ht="17.25" x14ac:dyDescent="0.45">
      <c r="A1597" s="359"/>
      <c r="B1597" s="6"/>
      <c r="C1597" s="6"/>
      <c r="D1597" s="360"/>
      <c r="E1597" s="360"/>
    </row>
    <row r="1598" spans="1:5" ht="17.25" x14ac:dyDescent="0.45">
      <c r="A1598" s="359"/>
      <c r="B1598" s="6"/>
      <c r="C1598" s="6"/>
      <c r="D1598" s="360"/>
      <c r="E1598" s="360"/>
    </row>
    <row r="1599" spans="1:5" ht="17.25" x14ac:dyDescent="0.45">
      <c r="A1599" s="359"/>
      <c r="B1599" s="6"/>
      <c r="C1599" s="6"/>
      <c r="D1599" s="360"/>
      <c r="E1599" s="360"/>
    </row>
    <row r="1600" spans="1:5" ht="17.25" x14ac:dyDescent="0.45">
      <c r="A1600" s="359"/>
      <c r="B1600" s="6"/>
      <c r="C1600" s="6"/>
      <c r="D1600" s="360"/>
      <c r="E1600" s="360"/>
    </row>
    <row r="1601" spans="1:5" ht="17.25" x14ac:dyDescent="0.45">
      <c r="A1601" s="359"/>
      <c r="B1601" s="6"/>
      <c r="C1601" s="6"/>
      <c r="D1601" s="360"/>
      <c r="E1601" s="360"/>
    </row>
    <row r="1602" spans="1:5" ht="17.25" x14ac:dyDescent="0.45">
      <c r="A1602" s="359"/>
      <c r="B1602" s="6"/>
      <c r="C1602" s="6"/>
      <c r="D1602" s="360"/>
      <c r="E1602" s="360"/>
    </row>
    <row r="1603" spans="1:5" ht="17.25" x14ac:dyDescent="0.45">
      <c r="A1603" s="359"/>
      <c r="B1603" s="6"/>
      <c r="C1603" s="6"/>
      <c r="D1603" s="360"/>
      <c r="E1603" s="360"/>
    </row>
    <row r="1604" spans="1:5" ht="17.25" x14ac:dyDescent="0.45">
      <c r="A1604" s="359"/>
      <c r="B1604" s="6"/>
      <c r="C1604" s="6"/>
      <c r="D1604" s="360"/>
      <c r="E1604" s="360"/>
    </row>
    <row r="1605" spans="1:5" ht="17.25" x14ac:dyDescent="0.45">
      <c r="A1605" s="359"/>
      <c r="B1605" s="6"/>
      <c r="C1605" s="6"/>
      <c r="D1605" s="360"/>
      <c r="E1605" s="360"/>
    </row>
    <row r="1606" spans="1:5" ht="17.25" x14ac:dyDescent="0.45">
      <c r="A1606" s="359"/>
      <c r="B1606" s="6"/>
      <c r="C1606" s="6"/>
      <c r="D1606" s="360"/>
      <c r="E1606" s="360"/>
    </row>
    <row r="1607" spans="1:5" ht="17.25" x14ac:dyDescent="0.45">
      <c r="A1607" s="359"/>
      <c r="B1607" s="6"/>
      <c r="C1607" s="6"/>
      <c r="D1607" s="360"/>
      <c r="E1607" s="360"/>
    </row>
    <row r="1608" spans="1:5" ht="17.25" x14ac:dyDescent="0.45">
      <c r="A1608" s="359"/>
      <c r="B1608" s="6"/>
      <c r="C1608" s="6"/>
      <c r="D1608" s="360"/>
      <c r="E1608" s="360"/>
    </row>
    <row r="1609" spans="1:5" ht="17.25" x14ac:dyDescent="0.45">
      <c r="A1609" s="359"/>
      <c r="B1609" s="6"/>
      <c r="C1609" s="6"/>
      <c r="D1609" s="360"/>
      <c r="E1609" s="360"/>
    </row>
    <row r="1610" spans="1:5" ht="17.25" x14ac:dyDescent="0.45">
      <c r="A1610" s="359"/>
      <c r="B1610" s="6"/>
      <c r="C1610" s="6"/>
      <c r="D1610" s="360"/>
      <c r="E1610" s="360"/>
    </row>
    <row r="1611" spans="1:5" ht="17.25" x14ac:dyDescent="0.45">
      <c r="A1611" s="359"/>
      <c r="B1611" s="6"/>
      <c r="C1611" s="6"/>
      <c r="D1611" s="360"/>
      <c r="E1611" s="360"/>
    </row>
    <row r="1612" spans="1:5" ht="17.25" x14ac:dyDescent="0.45">
      <c r="A1612" s="359"/>
      <c r="B1612" s="6"/>
      <c r="C1612" s="6"/>
      <c r="D1612" s="360"/>
      <c r="E1612" s="360"/>
    </row>
    <row r="1613" spans="1:5" ht="17.25" x14ac:dyDescent="0.45">
      <c r="A1613" s="359"/>
      <c r="B1613" s="6"/>
      <c r="C1613" s="6"/>
      <c r="D1613" s="360"/>
      <c r="E1613" s="360"/>
    </row>
    <row r="1614" spans="1:5" ht="17.25" x14ac:dyDescent="0.45">
      <c r="A1614" s="359"/>
      <c r="B1614" s="6"/>
      <c r="C1614" s="6"/>
      <c r="D1614" s="360"/>
      <c r="E1614" s="360"/>
    </row>
    <row r="1615" spans="1:5" ht="17.25" x14ac:dyDescent="0.45">
      <c r="A1615" s="359"/>
      <c r="B1615" s="6"/>
      <c r="C1615" s="6"/>
      <c r="D1615" s="360"/>
      <c r="E1615" s="360"/>
    </row>
    <row r="1616" spans="1:5" ht="17.25" x14ac:dyDescent="0.45">
      <c r="A1616" s="359"/>
      <c r="B1616" s="6"/>
      <c r="C1616" s="6"/>
      <c r="D1616" s="360"/>
      <c r="E1616" s="360"/>
    </row>
    <row r="1617" spans="1:5" ht="17.25" x14ac:dyDescent="0.45">
      <c r="A1617" s="359"/>
      <c r="B1617" s="6"/>
      <c r="C1617" s="6"/>
      <c r="D1617" s="360"/>
      <c r="E1617" s="360"/>
    </row>
    <row r="1618" spans="1:5" ht="17.25" x14ac:dyDescent="0.45">
      <c r="A1618" s="359"/>
      <c r="B1618" s="6"/>
      <c r="C1618" s="6"/>
      <c r="D1618" s="360"/>
      <c r="E1618" s="360"/>
    </row>
    <row r="1619" spans="1:5" ht="17.25" x14ac:dyDescent="0.45">
      <c r="A1619" s="359"/>
      <c r="B1619" s="6"/>
      <c r="C1619" s="6"/>
      <c r="D1619" s="360"/>
      <c r="E1619" s="360"/>
    </row>
    <row r="1620" spans="1:5" ht="17.25" x14ac:dyDescent="0.45">
      <c r="A1620" s="359"/>
      <c r="B1620" s="6"/>
      <c r="C1620" s="6"/>
      <c r="D1620" s="360"/>
      <c r="E1620" s="360"/>
    </row>
    <row r="1621" spans="1:5" ht="17.25" x14ac:dyDescent="0.45">
      <c r="A1621" s="359"/>
      <c r="B1621" s="6"/>
      <c r="C1621" s="6"/>
      <c r="D1621" s="360"/>
      <c r="E1621" s="360"/>
    </row>
    <row r="1622" spans="1:5" ht="17.25" x14ac:dyDescent="0.45">
      <c r="A1622" s="359"/>
      <c r="B1622" s="6"/>
      <c r="C1622" s="6"/>
      <c r="D1622" s="360"/>
      <c r="E1622" s="360"/>
    </row>
    <row r="1623" spans="1:5" ht="17.25" x14ac:dyDescent="0.45">
      <c r="A1623" s="359"/>
      <c r="B1623" s="6"/>
      <c r="C1623" s="6"/>
      <c r="D1623" s="360"/>
      <c r="E1623" s="360"/>
    </row>
    <row r="1624" spans="1:5" ht="17.25" x14ac:dyDescent="0.45">
      <c r="A1624" s="359"/>
      <c r="B1624" s="6"/>
      <c r="C1624" s="6"/>
      <c r="D1624" s="360"/>
      <c r="E1624" s="360"/>
    </row>
    <row r="1625" spans="1:5" ht="17.25" x14ac:dyDescent="0.45">
      <c r="A1625" s="359"/>
      <c r="B1625" s="6"/>
      <c r="C1625" s="6"/>
      <c r="D1625" s="360"/>
      <c r="E1625" s="360"/>
    </row>
    <row r="1626" spans="1:5" ht="17.25" x14ac:dyDescent="0.45">
      <c r="A1626" s="359"/>
      <c r="B1626" s="6"/>
      <c r="C1626" s="6"/>
      <c r="D1626" s="360"/>
      <c r="E1626" s="360"/>
    </row>
    <row r="1627" spans="1:5" ht="17.25" x14ac:dyDescent="0.45">
      <c r="A1627" s="359"/>
      <c r="B1627" s="6"/>
      <c r="C1627" s="6"/>
      <c r="D1627" s="360"/>
      <c r="E1627" s="360"/>
    </row>
    <row r="1628" spans="1:5" ht="17.25" x14ac:dyDescent="0.45">
      <c r="A1628" s="359"/>
      <c r="B1628" s="6"/>
      <c r="C1628" s="6"/>
      <c r="D1628" s="360"/>
      <c r="E1628" s="360"/>
    </row>
    <row r="1629" spans="1:5" ht="17.25" x14ac:dyDescent="0.45">
      <c r="A1629" s="359"/>
      <c r="B1629" s="6"/>
      <c r="C1629" s="6"/>
      <c r="D1629" s="360"/>
      <c r="E1629" s="360"/>
    </row>
    <row r="1630" spans="1:5" ht="17.25" x14ac:dyDescent="0.45">
      <c r="A1630" s="359"/>
      <c r="B1630" s="6"/>
      <c r="C1630" s="6"/>
      <c r="D1630" s="360"/>
      <c r="E1630" s="360"/>
    </row>
    <row r="1631" spans="1:5" ht="17.25" x14ac:dyDescent="0.45">
      <c r="A1631" s="359"/>
      <c r="B1631" s="6"/>
      <c r="C1631" s="6"/>
      <c r="D1631" s="360"/>
      <c r="E1631" s="360"/>
    </row>
    <row r="1632" spans="1:5" ht="17.25" x14ac:dyDescent="0.45">
      <c r="A1632" s="359"/>
      <c r="B1632" s="6"/>
      <c r="C1632" s="6"/>
      <c r="D1632" s="360"/>
      <c r="E1632" s="360"/>
    </row>
    <row r="1633" spans="1:5" ht="17.25" x14ac:dyDescent="0.45">
      <c r="A1633" s="359"/>
      <c r="B1633" s="6"/>
      <c r="C1633" s="6"/>
      <c r="D1633" s="360"/>
      <c r="E1633" s="360"/>
    </row>
    <row r="1634" spans="1:5" ht="17.25" x14ac:dyDescent="0.45">
      <c r="A1634" s="359"/>
      <c r="B1634" s="6"/>
      <c r="C1634" s="6"/>
      <c r="D1634" s="360"/>
      <c r="E1634" s="360"/>
    </row>
    <row r="1635" spans="1:5" ht="17.25" x14ac:dyDescent="0.45">
      <c r="A1635" s="359"/>
      <c r="B1635" s="6"/>
      <c r="C1635" s="6"/>
      <c r="D1635" s="360"/>
      <c r="E1635" s="360"/>
    </row>
    <row r="1636" spans="1:5" ht="17.25" x14ac:dyDescent="0.45">
      <c r="A1636" s="359"/>
      <c r="B1636" s="6"/>
      <c r="C1636" s="6"/>
      <c r="D1636" s="360"/>
      <c r="E1636" s="360"/>
    </row>
    <row r="1637" spans="1:5" ht="17.25" x14ac:dyDescent="0.45">
      <c r="A1637" s="359"/>
      <c r="B1637" s="6"/>
      <c r="C1637" s="6"/>
      <c r="D1637" s="360"/>
      <c r="E1637" s="360"/>
    </row>
    <row r="1638" spans="1:5" ht="17.25" x14ac:dyDescent="0.45">
      <c r="A1638" s="359"/>
      <c r="B1638" s="6"/>
      <c r="C1638" s="6"/>
      <c r="D1638" s="360"/>
      <c r="E1638" s="360"/>
    </row>
    <row r="1639" spans="1:5" ht="17.25" x14ac:dyDescent="0.45">
      <c r="A1639" s="359"/>
      <c r="B1639" s="6"/>
      <c r="C1639" s="6"/>
      <c r="D1639" s="360"/>
      <c r="E1639" s="360"/>
    </row>
    <row r="1640" spans="1:5" ht="17.25" x14ac:dyDescent="0.45">
      <c r="A1640" s="359"/>
      <c r="B1640" s="6"/>
      <c r="C1640" s="6"/>
      <c r="D1640" s="360"/>
      <c r="E1640" s="360"/>
    </row>
    <row r="1641" spans="1:5" ht="17.25" x14ac:dyDescent="0.45">
      <c r="A1641" s="359"/>
      <c r="B1641" s="6"/>
      <c r="C1641" s="6"/>
      <c r="D1641" s="360"/>
      <c r="E1641" s="360"/>
    </row>
    <row r="1642" spans="1:5" ht="17.25" x14ac:dyDescent="0.45">
      <c r="A1642" s="359"/>
      <c r="B1642" s="6"/>
      <c r="C1642" s="6"/>
      <c r="D1642" s="360"/>
      <c r="E1642" s="360"/>
    </row>
    <row r="1643" spans="1:5" ht="17.25" x14ac:dyDescent="0.45">
      <c r="A1643" s="359"/>
      <c r="B1643" s="6"/>
      <c r="C1643" s="6"/>
      <c r="D1643" s="360"/>
      <c r="E1643" s="360"/>
    </row>
    <row r="1644" spans="1:5" ht="17.25" x14ac:dyDescent="0.45">
      <c r="A1644" s="359"/>
      <c r="B1644" s="6"/>
      <c r="C1644" s="6"/>
      <c r="D1644" s="360"/>
      <c r="E1644" s="360"/>
    </row>
    <row r="1645" spans="1:5" ht="17.25" x14ac:dyDescent="0.45">
      <c r="A1645" s="359"/>
      <c r="B1645" s="6"/>
      <c r="C1645" s="6"/>
      <c r="D1645" s="360"/>
      <c r="E1645" s="360"/>
    </row>
    <row r="1646" spans="1:5" ht="17.25" x14ac:dyDescent="0.45">
      <c r="A1646" s="359"/>
      <c r="B1646" s="6"/>
      <c r="C1646" s="6"/>
      <c r="D1646" s="360"/>
      <c r="E1646" s="360"/>
    </row>
    <row r="1647" spans="1:5" ht="17.25" x14ac:dyDescent="0.45">
      <c r="A1647" s="359"/>
      <c r="B1647" s="6"/>
      <c r="C1647" s="6"/>
      <c r="D1647" s="360"/>
      <c r="E1647" s="360"/>
    </row>
    <row r="1648" spans="1:5" ht="17.25" x14ac:dyDescent="0.45">
      <c r="A1648" s="359"/>
      <c r="B1648" s="6"/>
      <c r="C1648" s="6"/>
      <c r="D1648" s="360"/>
      <c r="E1648" s="360"/>
    </row>
    <row r="1649" spans="1:5" ht="17.25" x14ac:dyDescent="0.45">
      <c r="A1649" s="359"/>
      <c r="B1649" s="6"/>
      <c r="C1649" s="6"/>
      <c r="D1649" s="360"/>
      <c r="E1649" s="360"/>
    </row>
    <row r="1650" spans="1:5" ht="17.25" x14ac:dyDescent="0.45">
      <c r="A1650" s="359"/>
      <c r="B1650" s="6"/>
      <c r="C1650" s="6"/>
      <c r="D1650" s="360"/>
      <c r="E1650" s="360"/>
    </row>
    <row r="1651" spans="1:5" ht="17.25" x14ac:dyDescent="0.45">
      <c r="A1651" s="359"/>
      <c r="B1651" s="6"/>
      <c r="C1651" s="6"/>
      <c r="D1651" s="360"/>
      <c r="E1651" s="360"/>
    </row>
    <row r="1652" spans="1:5" ht="17.25" x14ac:dyDescent="0.45">
      <c r="A1652" s="359"/>
      <c r="B1652" s="6"/>
      <c r="C1652" s="6"/>
      <c r="D1652" s="360"/>
      <c r="E1652" s="360"/>
    </row>
    <row r="1653" spans="1:5" ht="17.25" x14ac:dyDescent="0.45">
      <c r="A1653" s="359"/>
      <c r="B1653" s="6"/>
      <c r="C1653" s="6"/>
      <c r="D1653" s="360"/>
      <c r="E1653" s="360"/>
    </row>
    <row r="1654" spans="1:5" ht="17.25" x14ac:dyDescent="0.45">
      <c r="A1654" s="359"/>
      <c r="B1654" s="6"/>
      <c r="C1654" s="6"/>
      <c r="D1654" s="360"/>
      <c r="E1654" s="360"/>
    </row>
    <row r="1655" spans="1:5" ht="17.25" x14ac:dyDescent="0.45">
      <c r="A1655" s="359"/>
      <c r="B1655" s="6"/>
      <c r="C1655" s="6"/>
      <c r="D1655" s="360"/>
      <c r="E1655" s="360"/>
    </row>
    <row r="1656" spans="1:5" ht="17.25" x14ac:dyDescent="0.45">
      <c r="A1656" s="359"/>
      <c r="B1656" s="6"/>
      <c r="C1656" s="6"/>
      <c r="D1656" s="360"/>
      <c r="E1656" s="360"/>
    </row>
    <row r="1657" spans="1:5" ht="17.25" x14ac:dyDescent="0.45">
      <c r="A1657" s="359"/>
      <c r="B1657" s="6"/>
      <c r="C1657" s="6"/>
      <c r="D1657" s="360"/>
      <c r="E1657" s="360"/>
    </row>
    <row r="1658" spans="1:5" ht="17.25" x14ac:dyDescent="0.45">
      <c r="A1658" s="359"/>
      <c r="B1658" s="6"/>
      <c r="C1658" s="6"/>
      <c r="D1658" s="360"/>
      <c r="E1658" s="360"/>
    </row>
    <row r="1659" spans="1:5" ht="17.25" x14ac:dyDescent="0.45">
      <c r="A1659" s="359"/>
      <c r="B1659" s="6"/>
      <c r="C1659" s="6"/>
      <c r="D1659" s="360"/>
      <c r="E1659" s="360"/>
    </row>
    <row r="1660" spans="1:5" ht="17.25" x14ac:dyDescent="0.45">
      <c r="A1660" s="359"/>
      <c r="B1660" s="6"/>
      <c r="C1660" s="6"/>
      <c r="D1660" s="360"/>
      <c r="E1660" s="360"/>
    </row>
    <row r="1661" spans="1:5" ht="17.25" x14ac:dyDescent="0.45">
      <c r="A1661" s="359"/>
      <c r="B1661" s="6"/>
      <c r="C1661" s="6"/>
      <c r="D1661" s="360"/>
      <c r="E1661" s="360"/>
    </row>
    <row r="1662" spans="1:5" ht="17.25" x14ac:dyDescent="0.45">
      <c r="A1662" s="359"/>
      <c r="B1662" s="6"/>
      <c r="C1662" s="6"/>
      <c r="D1662" s="360"/>
      <c r="E1662" s="360"/>
    </row>
    <row r="1663" spans="1:5" ht="17.25" x14ac:dyDescent="0.45">
      <c r="A1663" s="359"/>
      <c r="B1663" s="6"/>
      <c r="C1663" s="6"/>
      <c r="D1663" s="360"/>
      <c r="E1663" s="360"/>
    </row>
    <row r="1664" spans="1:5" ht="17.25" x14ac:dyDescent="0.45">
      <c r="A1664" s="359"/>
      <c r="B1664" s="6"/>
      <c r="C1664" s="6"/>
      <c r="D1664" s="360"/>
      <c r="E1664" s="360"/>
    </row>
    <row r="1665" spans="1:5" ht="17.25" x14ac:dyDescent="0.45">
      <c r="A1665" s="359"/>
      <c r="B1665" s="6"/>
      <c r="C1665" s="6"/>
      <c r="D1665" s="360"/>
      <c r="E1665" s="360"/>
    </row>
    <row r="1666" spans="1:5" ht="17.25" x14ac:dyDescent="0.45">
      <c r="A1666" s="359"/>
      <c r="B1666" s="6"/>
      <c r="C1666" s="6"/>
      <c r="D1666" s="360"/>
      <c r="E1666" s="360"/>
    </row>
    <row r="1667" spans="1:5" ht="17.25" x14ac:dyDescent="0.45">
      <c r="A1667" s="359"/>
      <c r="B1667" s="6"/>
      <c r="C1667" s="6"/>
      <c r="D1667" s="360"/>
      <c r="E1667" s="360"/>
    </row>
    <row r="1668" spans="1:5" ht="17.25" x14ac:dyDescent="0.45">
      <c r="A1668" s="359"/>
      <c r="B1668" s="6"/>
      <c r="C1668" s="6"/>
      <c r="D1668" s="360"/>
      <c r="E1668" s="360"/>
    </row>
    <row r="1669" spans="1:5" ht="17.25" x14ac:dyDescent="0.45">
      <c r="A1669" s="359"/>
      <c r="B1669" s="6"/>
      <c r="C1669" s="6"/>
      <c r="D1669" s="360"/>
      <c r="E1669" s="360"/>
    </row>
    <row r="1670" spans="1:5" ht="17.25" x14ac:dyDescent="0.45">
      <c r="A1670" s="359"/>
      <c r="B1670" s="6"/>
      <c r="C1670" s="6"/>
      <c r="D1670" s="360"/>
      <c r="E1670" s="360"/>
    </row>
    <row r="1671" spans="1:5" ht="17.25" x14ac:dyDescent="0.45">
      <c r="A1671" s="359"/>
      <c r="B1671" s="6"/>
      <c r="C1671" s="6"/>
      <c r="D1671" s="360"/>
      <c r="E1671" s="360"/>
    </row>
    <row r="1672" spans="1:5" ht="17.25" x14ac:dyDescent="0.45">
      <c r="A1672" s="359"/>
      <c r="B1672" s="6"/>
      <c r="C1672" s="6"/>
      <c r="D1672" s="360"/>
      <c r="E1672" s="360"/>
    </row>
    <row r="1673" spans="1:5" ht="17.25" x14ac:dyDescent="0.45">
      <c r="A1673" s="359"/>
      <c r="B1673" s="6"/>
      <c r="C1673" s="6"/>
      <c r="D1673" s="360"/>
      <c r="E1673" s="360"/>
    </row>
    <row r="1674" spans="1:5" ht="17.25" x14ac:dyDescent="0.45">
      <c r="A1674" s="359"/>
      <c r="B1674" s="6"/>
      <c r="C1674" s="6"/>
      <c r="D1674" s="360"/>
      <c r="E1674" s="360"/>
    </row>
    <row r="1675" spans="1:5" ht="17.25" x14ac:dyDescent="0.45">
      <c r="A1675" s="359"/>
      <c r="B1675" s="6"/>
      <c r="C1675" s="6"/>
      <c r="D1675" s="360"/>
      <c r="E1675" s="360"/>
    </row>
    <row r="1676" spans="1:5" ht="17.25" x14ac:dyDescent="0.45">
      <c r="A1676" s="359"/>
      <c r="B1676" s="6"/>
      <c r="C1676" s="6"/>
      <c r="D1676" s="360"/>
      <c r="E1676" s="360"/>
    </row>
    <row r="1677" spans="1:5" ht="17.25" x14ac:dyDescent="0.45">
      <c r="A1677" s="359"/>
      <c r="B1677" s="6"/>
      <c r="C1677" s="6"/>
      <c r="D1677" s="360"/>
      <c r="E1677" s="360"/>
    </row>
    <row r="1678" spans="1:5" ht="17.25" x14ac:dyDescent="0.45">
      <c r="A1678" s="359"/>
      <c r="B1678" s="6"/>
      <c r="C1678" s="6"/>
      <c r="D1678" s="360"/>
      <c r="E1678" s="360"/>
    </row>
    <row r="1679" spans="1:5" ht="17.25" x14ac:dyDescent="0.45">
      <c r="A1679" s="359"/>
      <c r="B1679" s="6"/>
      <c r="C1679" s="6"/>
      <c r="D1679" s="360"/>
      <c r="E1679" s="360"/>
    </row>
    <row r="1680" spans="1:5" ht="17.25" x14ac:dyDescent="0.45">
      <c r="A1680" s="359"/>
      <c r="B1680" s="6"/>
      <c r="C1680" s="6"/>
      <c r="D1680" s="360"/>
      <c r="E1680" s="360"/>
    </row>
    <row r="1681" spans="1:5" ht="17.25" x14ac:dyDescent="0.45">
      <c r="A1681" s="359"/>
      <c r="B1681" s="6"/>
      <c r="C1681" s="6"/>
      <c r="D1681" s="360"/>
      <c r="E1681" s="360"/>
    </row>
    <row r="1682" spans="1:5" ht="17.25" x14ac:dyDescent="0.45">
      <c r="A1682" s="359"/>
      <c r="B1682" s="6"/>
      <c r="C1682" s="6"/>
      <c r="D1682" s="360"/>
      <c r="E1682" s="360"/>
    </row>
    <row r="1683" spans="1:5" ht="17.25" x14ac:dyDescent="0.45">
      <c r="A1683" s="359"/>
      <c r="B1683" s="6"/>
      <c r="C1683" s="6"/>
      <c r="D1683" s="360"/>
      <c r="E1683" s="360"/>
    </row>
    <row r="1684" spans="1:5" ht="17.25" x14ac:dyDescent="0.45">
      <c r="A1684" s="359"/>
      <c r="B1684" s="6"/>
      <c r="C1684" s="6"/>
      <c r="D1684" s="360"/>
      <c r="E1684" s="360"/>
    </row>
    <row r="1685" spans="1:5" ht="17.25" x14ac:dyDescent="0.45">
      <c r="A1685" s="359"/>
      <c r="B1685" s="6"/>
      <c r="C1685" s="6"/>
      <c r="D1685" s="360"/>
      <c r="E1685" s="360"/>
    </row>
    <row r="1686" spans="1:5" ht="17.25" x14ac:dyDescent="0.45">
      <c r="A1686" s="359"/>
      <c r="B1686" s="6"/>
      <c r="C1686" s="6"/>
      <c r="D1686" s="360"/>
      <c r="E1686" s="360"/>
    </row>
    <row r="1687" spans="1:5" ht="17.25" x14ac:dyDescent="0.45">
      <c r="A1687" s="359"/>
      <c r="B1687" s="6"/>
      <c r="C1687" s="6"/>
      <c r="D1687" s="360"/>
      <c r="E1687" s="360"/>
    </row>
    <row r="1688" spans="1:5" ht="17.25" x14ac:dyDescent="0.45">
      <c r="A1688" s="359"/>
      <c r="B1688" s="6"/>
      <c r="C1688" s="6"/>
      <c r="D1688" s="360"/>
      <c r="E1688" s="360"/>
    </row>
    <row r="1689" spans="1:5" ht="17.25" x14ac:dyDescent="0.45">
      <c r="A1689" s="359"/>
      <c r="B1689" s="6"/>
      <c r="C1689" s="6"/>
      <c r="D1689" s="360"/>
      <c r="E1689" s="360"/>
    </row>
    <row r="1690" spans="1:5" ht="17.25" x14ac:dyDescent="0.45">
      <c r="A1690" s="359"/>
      <c r="B1690" s="6"/>
      <c r="C1690" s="6"/>
      <c r="D1690" s="360"/>
      <c r="E1690" s="360"/>
    </row>
    <row r="1691" spans="1:5" ht="17.25" x14ac:dyDescent="0.45">
      <c r="A1691" s="359"/>
      <c r="B1691" s="6"/>
      <c r="C1691" s="6"/>
      <c r="D1691" s="360"/>
      <c r="E1691" s="360"/>
    </row>
    <row r="1692" spans="1:5" ht="17.25" x14ac:dyDescent="0.45">
      <c r="A1692" s="359"/>
      <c r="B1692" s="6"/>
      <c r="C1692" s="6"/>
      <c r="D1692" s="360"/>
      <c r="E1692" s="360"/>
    </row>
    <row r="1693" spans="1:5" ht="17.25" x14ac:dyDescent="0.45">
      <c r="A1693" s="359"/>
      <c r="B1693" s="6"/>
      <c r="C1693" s="6"/>
      <c r="D1693" s="360"/>
      <c r="E1693" s="360"/>
    </row>
    <row r="1694" spans="1:5" ht="17.25" x14ac:dyDescent="0.45">
      <c r="A1694" s="359"/>
      <c r="B1694" s="6"/>
      <c r="C1694" s="6"/>
      <c r="D1694" s="360"/>
      <c r="E1694" s="360"/>
    </row>
    <row r="1695" spans="1:5" ht="17.25" x14ac:dyDescent="0.45">
      <c r="A1695" s="359"/>
      <c r="B1695" s="6"/>
      <c r="C1695" s="6"/>
      <c r="D1695" s="360"/>
      <c r="E1695" s="360"/>
    </row>
    <row r="1696" spans="1:5" ht="17.25" x14ac:dyDescent="0.45">
      <c r="A1696" s="359"/>
      <c r="B1696" s="6"/>
      <c r="C1696" s="6"/>
      <c r="D1696" s="360"/>
      <c r="E1696" s="360"/>
    </row>
    <row r="1697" spans="1:5" ht="17.25" x14ac:dyDescent="0.45">
      <c r="A1697" s="359"/>
      <c r="B1697" s="6"/>
      <c r="C1697" s="6"/>
      <c r="D1697" s="360"/>
      <c r="E1697" s="360"/>
    </row>
    <row r="1698" spans="1:5" ht="17.25" x14ac:dyDescent="0.45">
      <c r="A1698" s="359"/>
      <c r="B1698" s="6"/>
      <c r="C1698" s="6"/>
      <c r="D1698" s="360"/>
      <c r="E1698" s="360"/>
    </row>
    <row r="1699" spans="1:5" ht="17.25" x14ac:dyDescent="0.45">
      <c r="A1699" s="359"/>
      <c r="B1699" s="6"/>
      <c r="C1699" s="6"/>
      <c r="D1699" s="360"/>
      <c r="E1699" s="360"/>
    </row>
    <row r="1700" spans="1:5" ht="17.25" x14ac:dyDescent="0.45">
      <c r="A1700" s="359"/>
      <c r="B1700" s="6"/>
      <c r="C1700" s="6"/>
      <c r="D1700" s="360"/>
      <c r="E1700" s="360"/>
    </row>
    <row r="1701" spans="1:5" ht="17.25" x14ac:dyDescent="0.45">
      <c r="A1701" s="359"/>
      <c r="B1701" s="6"/>
      <c r="C1701" s="6"/>
      <c r="D1701" s="360"/>
      <c r="E1701" s="360"/>
    </row>
    <row r="1702" spans="1:5" ht="17.25" x14ac:dyDescent="0.45">
      <c r="A1702" s="359"/>
      <c r="B1702" s="6"/>
      <c r="C1702" s="6"/>
      <c r="D1702" s="360"/>
      <c r="E1702" s="360"/>
    </row>
    <row r="1703" spans="1:5" ht="17.25" x14ac:dyDescent="0.45">
      <c r="A1703" s="359"/>
      <c r="B1703" s="6"/>
      <c r="C1703" s="6"/>
      <c r="D1703" s="360"/>
      <c r="E1703" s="360"/>
    </row>
    <row r="1704" spans="1:5" ht="17.25" x14ac:dyDescent="0.45">
      <c r="A1704" s="359"/>
      <c r="B1704" s="6"/>
      <c r="C1704" s="6"/>
      <c r="D1704" s="360"/>
      <c r="E1704" s="360"/>
    </row>
    <row r="1705" spans="1:5" ht="17.25" x14ac:dyDescent="0.45">
      <c r="A1705" s="359"/>
      <c r="B1705" s="6"/>
      <c r="C1705" s="6"/>
      <c r="D1705" s="360"/>
      <c r="E1705" s="360"/>
    </row>
    <row r="1706" spans="1:5" ht="17.25" x14ac:dyDescent="0.45">
      <c r="A1706" s="359"/>
      <c r="B1706" s="6"/>
      <c r="C1706" s="6"/>
      <c r="D1706" s="360"/>
      <c r="E1706" s="360"/>
    </row>
    <row r="1707" spans="1:5" ht="17.25" x14ac:dyDescent="0.45">
      <c r="A1707" s="359"/>
      <c r="B1707" s="6"/>
      <c r="C1707" s="6"/>
      <c r="D1707" s="360"/>
      <c r="E1707" s="360"/>
    </row>
    <row r="1708" spans="1:5" ht="17.25" x14ac:dyDescent="0.45">
      <c r="A1708" s="359"/>
      <c r="B1708" s="6"/>
      <c r="C1708" s="6"/>
      <c r="D1708" s="360"/>
      <c r="E1708" s="360"/>
    </row>
    <row r="1709" spans="1:5" ht="17.25" x14ac:dyDescent="0.45">
      <c r="A1709" s="359"/>
      <c r="B1709" s="6"/>
      <c r="C1709" s="6"/>
      <c r="D1709" s="360"/>
      <c r="E1709" s="360"/>
    </row>
    <row r="1710" spans="1:5" ht="17.25" x14ac:dyDescent="0.45">
      <c r="A1710" s="359"/>
      <c r="B1710" s="6"/>
      <c r="C1710" s="6"/>
      <c r="D1710" s="360"/>
      <c r="E1710" s="360"/>
    </row>
    <row r="1711" spans="1:5" ht="17.25" x14ac:dyDescent="0.45">
      <c r="A1711" s="359"/>
      <c r="B1711" s="6"/>
      <c r="C1711" s="6"/>
      <c r="D1711" s="360"/>
      <c r="E1711" s="360"/>
    </row>
    <row r="1712" spans="1:5" ht="17.25" x14ac:dyDescent="0.45">
      <c r="A1712" s="359"/>
      <c r="B1712" s="6"/>
      <c r="C1712" s="6"/>
      <c r="D1712" s="360"/>
      <c r="E1712" s="360"/>
    </row>
    <row r="1713" spans="1:5" ht="17.25" x14ac:dyDescent="0.45">
      <c r="A1713" s="359"/>
      <c r="B1713" s="6"/>
      <c r="C1713" s="6"/>
      <c r="D1713" s="360"/>
      <c r="E1713" s="360"/>
    </row>
    <row r="1714" spans="1:5" ht="17.25" x14ac:dyDescent="0.45">
      <c r="A1714" s="359"/>
      <c r="B1714" s="6"/>
      <c r="C1714" s="6"/>
      <c r="D1714" s="360"/>
      <c r="E1714" s="360"/>
    </row>
    <row r="1715" spans="1:5" ht="17.25" x14ac:dyDescent="0.45">
      <c r="A1715" s="359"/>
      <c r="B1715" s="6"/>
      <c r="C1715" s="6"/>
      <c r="D1715" s="360"/>
      <c r="E1715" s="360"/>
    </row>
    <row r="1716" spans="1:5" ht="17.25" x14ac:dyDescent="0.45">
      <c r="A1716" s="359"/>
      <c r="B1716" s="6"/>
      <c r="C1716" s="6"/>
      <c r="D1716" s="360"/>
      <c r="E1716" s="360"/>
    </row>
    <row r="1717" spans="1:5" ht="17.25" x14ac:dyDescent="0.45">
      <c r="A1717" s="359"/>
      <c r="B1717" s="6"/>
      <c r="C1717" s="6"/>
      <c r="D1717" s="360"/>
      <c r="E1717" s="360"/>
    </row>
    <row r="1718" spans="1:5" ht="17.25" x14ac:dyDescent="0.45">
      <c r="A1718" s="359"/>
      <c r="B1718" s="6"/>
      <c r="C1718" s="6"/>
      <c r="D1718" s="360"/>
      <c r="E1718" s="360"/>
    </row>
    <row r="1719" spans="1:5" ht="17.25" x14ac:dyDescent="0.45">
      <c r="A1719" s="359"/>
      <c r="B1719" s="6"/>
      <c r="C1719" s="6"/>
      <c r="D1719" s="360"/>
      <c r="E1719" s="360"/>
    </row>
    <row r="1720" spans="1:5" ht="17.25" x14ac:dyDescent="0.45">
      <c r="A1720" s="359"/>
      <c r="B1720" s="6"/>
      <c r="C1720" s="6"/>
      <c r="D1720" s="360"/>
      <c r="E1720" s="360"/>
    </row>
    <row r="1721" spans="1:5" ht="17.25" x14ac:dyDescent="0.45">
      <c r="A1721" s="359"/>
      <c r="B1721" s="6"/>
      <c r="C1721" s="6"/>
      <c r="D1721" s="360"/>
      <c r="E1721" s="360"/>
    </row>
    <row r="1722" spans="1:5" ht="17.25" x14ac:dyDescent="0.45">
      <c r="A1722" s="359"/>
      <c r="B1722" s="6"/>
      <c r="C1722" s="6"/>
      <c r="D1722" s="360"/>
      <c r="E1722" s="360"/>
    </row>
    <row r="1723" spans="1:5" ht="17.25" x14ac:dyDescent="0.45">
      <c r="A1723" s="359"/>
      <c r="B1723" s="6"/>
      <c r="C1723" s="6"/>
      <c r="D1723" s="360"/>
      <c r="E1723" s="360"/>
    </row>
    <row r="1724" spans="1:5" ht="17.25" x14ac:dyDescent="0.45">
      <c r="A1724" s="359"/>
      <c r="B1724" s="6"/>
      <c r="C1724" s="6"/>
      <c r="D1724" s="360"/>
      <c r="E1724" s="360"/>
    </row>
    <row r="1725" spans="1:5" ht="17.25" x14ac:dyDescent="0.45">
      <c r="A1725" s="359"/>
      <c r="B1725" s="6"/>
      <c r="C1725" s="6"/>
      <c r="D1725" s="360"/>
      <c r="E1725" s="360"/>
    </row>
    <row r="1726" spans="1:5" ht="17.25" x14ac:dyDescent="0.45">
      <c r="A1726" s="359"/>
      <c r="B1726" s="6"/>
      <c r="C1726" s="6"/>
      <c r="D1726" s="360"/>
      <c r="E1726" s="360"/>
    </row>
    <row r="1727" spans="1:5" ht="17.25" x14ac:dyDescent="0.45">
      <c r="A1727" s="359"/>
      <c r="B1727" s="6"/>
      <c r="C1727" s="6"/>
      <c r="D1727" s="360"/>
      <c r="E1727" s="360"/>
    </row>
    <row r="1728" spans="1:5" ht="17.25" x14ac:dyDescent="0.45">
      <c r="A1728" s="359"/>
      <c r="B1728" s="6"/>
      <c r="C1728" s="6"/>
      <c r="D1728" s="360"/>
      <c r="E1728" s="360"/>
    </row>
    <row r="1729" spans="1:5" ht="17.25" x14ac:dyDescent="0.45">
      <c r="A1729" s="359"/>
      <c r="B1729" s="6"/>
      <c r="C1729" s="6"/>
      <c r="D1729" s="360"/>
      <c r="E1729" s="360"/>
    </row>
    <row r="1730" spans="1:5" ht="17.25" x14ac:dyDescent="0.45">
      <c r="A1730" s="359"/>
      <c r="B1730" s="6"/>
      <c r="C1730" s="6"/>
      <c r="D1730" s="360"/>
      <c r="E1730" s="360"/>
    </row>
    <row r="1731" spans="1:5" ht="17.25" x14ac:dyDescent="0.45">
      <c r="A1731" s="359"/>
      <c r="B1731" s="6"/>
      <c r="C1731" s="6"/>
      <c r="D1731" s="360"/>
      <c r="E1731" s="360"/>
    </row>
    <row r="1732" spans="1:5" ht="17.25" x14ac:dyDescent="0.45">
      <c r="A1732" s="359"/>
      <c r="B1732" s="6"/>
      <c r="C1732" s="6"/>
      <c r="D1732" s="360"/>
      <c r="E1732" s="360"/>
    </row>
    <row r="1733" spans="1:5" ht="17.25" x14ac:dyDescent="0.45">
      <c r="A1733" s="359"/>
      <c r="B1733" s="6"/>
      <c r="C1733" s="6"/>
      <c r="D1733" s="360"/>
      <c r="E1733" s="360"/>
    </row>
    <row r="1734" spans="1:5" ht="17.25" x14ac:dyDescent="0.45">
      <c r="A1734" s="359"/>
      <c r="B1734" s="6"/>
      <c r="C1734" s="6"/>
      <c r="D1734" s="360"/>
      <c r="E1734" s="360"/>
    </row>
    <row r="1735" spans="1:5" ht="17.25" x14ac:dyDescent="0.45">
      <c r="A1735" s="359"/>
      <c r="B1735" s="6"/>
      <c r="C1735" s="6"/>
      <c r="D1735" s="360"/>
      <c r="E1735" s="360"/>
    </row>
    <row r="1736" spans="1:5" ht="17.25" x14ac:dyDescent="0.45">
      <c r="A1736" s="359"/>
      <c r="B1736" s="6"/>
      <c r="C1736" s="6"/>
      <c r="D1736" s="360"/>
      <c r="E1736" s="360"/>
    </row>
    <row r="1737" spans="1:5" ht="17.25" x14ac:dyDescent="0.45">
      <c r="A1737" s="359"/>
      <c r="B1737" s="6"/>
      <c r="C1737" s="6"/>
      <c r="D1737" s="360"/>
      <c r="E1737" s="360"/>
    </row>
    <row r="1738" spans="1:5" ht="17.25" x14ac:dyDescent="0.45">
      <c r="A1738" s="359"/>
      <c r="B1738" s="6"/>
      <c r="C1738" s="6"/>
      <c r="D1738" s="360"/>
      <c r="E1738" s="360"/>
    </row>
    <row r="1739" spans="1:5" ht="17.25" x14ac:dyDescent="0.45">
      <c r="A1739" s="359"/>
      <c r="B1739" s="6"/>
      <c r="C1739" s="6"/>
      <c r="D1739" s="360"/>
      <c r="E1739" s="360"/>
    </row>
    <row r="1740" spans="1:5" ht="17.25" x14ac:dyDescent="0.45">
      <c r="A1740" s="359"/>
      <c r="B1740" s="6"/>
      <c r="C1740" s="6"/>
      <c r="D1740" s="360"/>
      <c r="E1740" s="360"/>
    </row>
    <row r="1741" spans="1:5" ht="17.25" x14ac:dyDescent="0.45">
      <c r="A1741" s="359"/>
      <c r="B1741" s="6"/>
      <c r="C1741" s="6"/>
      <c r="D1741" s="360"/>
      <c r="E1741" s="360"/>
    </row>
    <row r="1742" spans="1:5" ht="17.25" x14ac:dyDescent="0.45">
      <c r="A1742" s="359"/>
      <c r="B1742" s="6"/>
      <c r="C1742" s="6"/>
      <c r="D1742" s="360"/>
      <c r="E1742" s="360"/>
    </row>
    <row r="1743" spans="1:5" ht="17.25" x14ac:dyDescent="0.45">
      <c r="A1743" s="359"/>
      <c r="B1743" s="6"/>
      <c r="C1743" s="6"/>
      <c r="D1743" s="360"/>
      <c r="E1743" s="360"/>
    </row>
    <row r="1744" spans="1:5" ht="17.25" x14ac:dyDescent="0.45">
      <c r="A1744" s="359"/>
      <c r="B1744" s="6"/>
      <c r="C1744" s="6"/>
      <c r="D1744" s="360"/>
      <c r="E1744" s="360"/>
    </row>
    <row r="1745" spans="1:5" ht="17.25" x14ac:dyDescent="0.45">
      <c r="A1745" s="359"/>
      <c r="B1745" s="6"/>
      <c r="C1745" s="6"/>
      <c r="D1745" s="360"/>
      <c r="E1745" s="360"/>
    </row>
    <row r="1746" spans="1:5" ht="17.25" x14ac:dyDescent="0.45">
      <c r="A1746" s="359"/>
      <c r="B1746" s="6"/>
      <c r="C1746" s="6"/>
      <c r="D1746" s="360"/>
      <c r="E1746" s="360"/>
    </row>
    <row r="1747" spans="1:5" ht="17.25" x14ac:dyDescent="0.45">
      <c r="A1747" s="359"/>
      <c r="B1747" s="6"/>
      <c r="C1747" s="6"/>
      <c r="D1747" s="360"/>
      <c r="E1747" s="360"/>
    </row>
    <row r="1748" spans="1:5" ht="17.25" x14ac:dyDescent="0.45">
      <c r="A1748" s="359"/>
      <c r="B1748" s="6"/>
      <c r="C1748" s="6"/>
      <c r="D1748" s="360"/>
      <c r="E1748" s="360"/>
    </row>
    <row r="1749" spans="1:5" ht="17.25" x14ac:dyDescent="0.45">
      <c r="A1749" s="359"/>
      <c r="B1749" s="6"/>
      <c r="C1749" s="6"/>
      <c r="D1749" s="360"/>
      <c r="E1749" s="360"/>
    </row>
    <row r="1750" spans="1:5" ht="17.25" x14ac:dyDescent="0.45">
      <c r="A1750" s="359"/>
      <c r="B1750" s="6"/>
      <c r="C1750" s="6"/>
      <c r="D1750" s="360"/>
      <c r="E1750" s="360"/>
    </row>
    <row r="1751" spans="1:5" ht="17.25" x14ac:dyDescent="0.45">
      <c r="A1751" s="359"/>
      <c r="B1751" s="6"/>
      <c r="C1751" s="6"/>
      <c r="D1751" s="360"/>
      <c r="E1751" s="360"/>
    </row>
    <row r="1752" spans="1:5" ht="17.25" x14ac:dyDescent="0.45">
      <c r="A1752" s="359"/>
      <c r="B1752" s="6"/>
      <c r="C1752" s="6"/>
      <c r="D1752" s="360"/>
      <c r="E1752" s="360"/>
    </row>
    <row r="1753" spans="1:5" ht="17.25" x14ac:dyDescent="0.45">
      <c r="A1753" s="359"/>
      <c r="B1753" s="6"/>
      <c r="C1753" s="6"/>
      <c r="D1753" s="360"/>
      <c r="E1753" s="360"/>
    </row>
    <row r="1754" spans="1:5" ht="17.25" x14ac:dyDescent="0.45">
      <c r="A1754" s="359"/>
      <c r="B1754" s="6"/>
      <c r="C1754" s="6"/>
      <c r="D1754" s="360"/>
      <c r="E1754" s="360"/>
    </row>
    <row r="1755" spans="1:5" ht="17.25" x14ac:dyDescent="0.45">
      <c r="A1755" s="359"/>
      <c r="B1755" s="6"/>
      <c r="C1755" s="6"/>
      <c r="D1755" s="360"/>
      <c r="E1755" s="360"/>
    </row>
    <row r="1756" spans="1:5" ht="17.25" x14ac:dyDescent="0.45">
      <c r="A1756" s="359"/>
      <c r="B1756" s="6"/>
      <c r="C1756" s="6"/>
      <c r="D1756" s="360"/>
      <c r="E1756" s="360"/>
    </row>
    <row r="1757" spans="1:5" ht="17.25" x14ac:dyDescent="0.45">
      <c r="A1757" s="359"/>
      <c r="B1757" s="6"/>
      <c r="C1757" s="6"/>
      <c r="D1757" s="360"/>
      <c r="E1757" s="360"/>
    </row>
    <row r="1758" spans="1:5" ht="17.25" x14ac:dyDescent="0.45">
      <c r="A1758" s="359"/>
      <c r="B1758" s="6"/>
      <c r="C1758" s="6"/>
      <c r="D1758" s="360"/>
      <c r="E1758" s="360"/>
    </row>
    <row r="1759" spans="1:5" ht="17.25" x14ac:dyDescent="0.45">
      <c r="A1759" s="359"/>
      <c r="B1759" s="6"/>
      <c r="C1759" s="6"/>
      <c r="D1759" s="360"/>
      <c r="E1759" s="360"/>
    </row>
    <row r="1760" spans="1:5" ht="17.25" x14ac:dyDescent="0.45">
      <c r="A1760" s="359"/>
      <c r="B1760" s="6"/>
      <c r="C1760" s="6"/>
      <c r="D1760" s="360"/>
      <c r="E1760" s="360"/>
    </row>
    <row r="1761" spans="1:5" ht="17.25" x14ac:dyDescent="0.45">
      <c r="A1761" s="359"/>
      <c r="B1761" s="6"/>
      <c r="C1761" s="6"/>
      <c r="D1761" s="360"/>
      <c r="E1761" s="360"/>
    </row>
    <row r="1762" spans="1:5" ht="17.25" x14ac:dyDescent="0.45">
      <c r="A1762" s="359"/>
      <c r="B1762" s="6"/>
      <c r="C1762" s="6"/>
      <c r="D1762" s="360"/>
      <c r="E1762" s="360"/>
    </row>
    <row r="1763" spans="1:5" ht="17.25" x14ac:dyDescent="0.45">
      <c r="A1763" s="359"/>
      <c r="B1763" s="6"/>
      <c r="C1763" s="6"/>
      <c r="D1763" s="360"/>
      <c r="E1763" s="360"/>
    </row>
    <row r="1764" spans="1:5" ht="17.25" x14ac:dyDescent="0.45">
      <c r="A1764" s="359"/>
      <c r="B1764" s="6"/>
      <c r="C1764" s="6"/>
      <c r="D1764" s="360"/>
      <c r="E1764" s="360"/>
    </row>
    <row r="1765" spans="1:5" ht="17.25" x14ac:dyDescent="0.45">
      <c r="A1765" s="359"/>
      <c r="B1765" s="6"/>
      <c r="C1765" s="6"/>
      <c r="D1765" s="360"/>
      <c r="E1765" s="360"/>
    </row>
    <row r="1766" spans="1:5" ht="17.25" x14ac:dyDescent="0.45">
      <c r="A1766" s="359"/>
      <c r="B1766" s="6"/>
      <c r="C1766" s="6"/>
      <c r="D1766" s="360"/>
      <c r="E1766" s="360"/>
    </row>
    <row r="1767" spans="1:5" ht="17.25" x14ac:dyDescent="0.45">
      <c r="A1767" s="359"/>
      <c r="B1767" s="6"/>
      <c r="C1767" s="6"/>
      <c r="D1767" s="360"/>
      <c r="E1767" s="360"/>
    </row>
    <row r="1768" spans="1:5" ht="17.25" x14ac:dyDescent="0.45">
      <c r="A1768" s="359"/>
      <c r="B1768" s="6"/>
      <c r="C1768" s="6"/>
      <c r="D1768" s="360"/>
      <c r="E1768" s="360"/>
    </row>
    <row r="1769" spans="1:5" ht="17.25" x14ac:dyDescent="0.45">
      <c r="A1769" s="359"/>
      <c r="B1769" s="6"/>
      <c r="C1769" s="6"/>
      <c r="D1769" s="360"/>
      <c r="E1769" s="360"/>
    </row>
    <row r="1770" spans="1:5" ht="17.25" x14ac:dyDescent="0.45">
      <c r="A1770" s="359"/>
      <c r="B1770" s="6"/>
      <c r="C1770" s="6"/>
      <c r="D1770" s="360"/>
      <c r="E1770" s="360"/>
    </row>
    <row r="1771" spans="1:5" ht="17.25" x14ac:dyDescent="0.45">
      <c r="A1771" s="359"/>
      <c r="B1771" s="6"/>
      <c r="C1771" s="6"/>
      <c r="D1771" s="360"/>
      <c r="E1771" s="360"/>
    </row>
    <row r="1772" spans="1:5" ht="17.25" x14ac:dyDescent="0.45">
      <c r="A1772" s="359"/>
      <c r="B1772" s="6"/>
      <c r="C1772" s="6"/>
      <c r="D1772" s="360"/>
      <c r="E1772" s="360"/>
    </row>
    <row r="1773" spans="1:5" ht="17.25" x14ac:dyDescent="0.45">
      <c r="A1773" s="359"/>
      <c r="B1773" s="6"/>
      <c r="C1773" s="6"/>
      <c r="D1773" s="360"/>
      <c r="E1773" s="360"/>
    </row>
    <row r="1774" spans="1:5" ht="17.25" x14ac:dyDescent="0.45">
      <c r="A1774" s="359"/>
      <c r="B1774" s="6"/>
      <c r="C1774" s="6"/>
      <c r="D1774" s="360"/>
      <c r="E1774" s="360"/>
    </row>
    <row r="1775" spans="1:5" ht="17.25" x14ac:dyDescent="0.45">
      <c r="A1775" s="359"/>
      <c r="B1775" s="6"/>
      <c r="C1775" s="6"/>
      <c r="D1775" s="360"/>
      <c r="E1775" s="360"/>
    </row>
    <row r="1776" spans="1:5" ht="17.25" x14ac:dyDescent="0.45">
      <c r="A1776" s="359"/>
      <c r="B1776" s="6"/>
      <c r="C1776" s="6"/>
      <c r="D1776" s="360"/>
      <c r="E1776" s="360"/>
    </row>
    <row r="1777" spans="1:5" ht="17.25" x14ac:dyDescent="0.45">
      <c r="A1777" s="359"/>
      <c r="B1777" s="6"/>
      <c r="C1777" s="6"/>
      <c r="D1777" s="360"/>
      <c r="E1777" s="360"/>
    </row>
    <row r="1778" spans="1:5" ht="17.25" x14ac:dyDescent="0.45">
      <c r="A1778" s="359"/>
      <c r="B1778" s="6"/>
      <c r="C1778" s="6"/>
      <c r="D1778" s="360"/>
      <c r="E1778" s="360"/>
    </row>
    <row r="1779" spans="1:5" ht="17.25" x14ac:dyDescent="0.45">
      <c r="A1779" s="359"/>
      <c r="B1779" s="6"/>
      <c r="C1779" s="6"/>
      <c r="D1779" s="360"/>
      <c r="E1779" s="360"/>
    </row>
    <row r="1780" spans="1:5" ht="17.25" x14ac:dyDescent="0.45">
      <c r="A1780" s="359"/>
      <c r="B1780" s="6"/>
      <c r="C1780" s="6"/>
      <c r="D1780" s="360"/>
      <c r="E1780" s="360"/>
    </row>
    <row r="1781" spans="1:5" ht="17.25" x14ac:dyDescent="0.45">
      <c r="A1781" s="359"/>
      <c r="B1781" s="6"/>
      <c r="C1781" s="6"/>
      <c r="D1781" s="360"/>
      <c r="E1781" s="360"/>
    </row>
    <row r="1782" spans="1:5" ht="17.25" x14ac:dyDescent="0.45">
      <c r="A1782" s="359"/>
      <c r="B1782" s="6"/>
      <c r="C1782" s="6"/>
      <c r="D1782" s="360"/>
      <c r="E1782" s="360"/>
    </row>
    <row r="1783" spans="1:5" ht="17.25" x14ac:dyDescent="0.45">
      <c r="A1783" s="359"/>
      <c r="B1783" s="6"/>
      <c r="C1783" s="6"/>
      <c r="D1783" s="360"/>
      <c r="E1783" s="360"/>
    </row>
    <row r="1784" spans="1:5" ht="17.25" x14ac:dyDescent="0.45">
      <c r="A1784" s="359"/>
      <c r="B1784" s="6"/>
      <c r="C1784" s="6"/>
      <c r="D1784" s="360"/>
      <c r="E1784" s="360"/>
    </row>
    <row r="1785" spans="1:5" ht="17.25" x14ac:dyDescent="0.45">
      <c r="A1785" s="359"/>
      <c r="B1785" s="6"/>
      <c r="C1785" s="6"/>
      <c r="D1785" s="360"/>
      <c r="E1785" s="360"/>
    </row>
    <row r="1786" spans="1:5" ht="17.25" x14ac:dyDescent="0.45">
      <c r="A1786" s="359"/>
      <c r="B1786" s="6"/>
      <c r="C1786" s="6"/>
      <c r="D1786" s="360"/>
      <c r="E1786" s="360"/>
    </row>
    <row r="1787" spans="1:5" ht="17.25" x14ac:dyDescent="0.45">
      <c r="A1787" s="359"/>
      <c r="B1787" s="6"/>
      <c r="C1787" s="6"/>
      <c r="D1787" s="360"/>
      <c r="E1787" s="360"/>
    </row>
    <row r="1788" spans="1:5" ht="17.25" x14ac:dyDescent="0.45">
      <c r="A1788" s="359"/>
      <c r="B1788" s="6"/>
      <c r="C1788" s="6"/>
      <c r="D1788" s="360"/>
      <c r="E1788" s="360"/>
    </row>
    <row r="1789" spans="1:5" ht="17.25" x14ac:dyDescent="0.45">
      <c r="A1789" s="359"/>
      <c r="B1789" s="6"/>
      <c r="C1789" s="6"/>
      <c r="D1789" s="360"/>
      <c r="E1789" s="360"/>
    </row>
    <row r="1790" spans="1:5" ht="17.25" x14ac:dyDescent="0.45">
      <c r="A1790" s="359"/>
      <c r="B1790" s="6"/>
      <c r="C1790" s="6"/>
      <c r="D1790" s="360"/>
      <c r="E1790" s="360"/>
    </row>
    <row r="1791" spans="1:5" ht="17.25" x14ac:dyDescent="0.45">
      <c r="A1791" s="359"/>
      <c r="B1791" s="6"/>
      <c r="C1791" s="6"/>
      <c r="D1791" s="360"/>
      <c r="E1791" s="360"/>
    </row>
    <row r="1792" spans="1:5" ht="17.25" x14ac:dyDescent="0.45">
      <c r="A1792" s="359"/>
      <c r="B1792" s="6"/>
      <c r="C1792" s="6"/>
      <c r="D1792" s="360"/>
      <c r="E1792" s="360"/>
    </row>
    <row r="1793" spans="1:5" ht="17.25" x14ac:dyDescent="0.45">
      <c r="A1793" s="359"/>
      <c r="B1793" s="6"/>
      <c r="C1793" s="6"/>
      <c r="D1793" s="360"/>
      <c r="E1793" s="360"/>
    </row>
    <row r="1794" spans="1:5" ht="17.25" x14ac:dyDescent="0.45">
      <c r="A1794" s="359"/>
      <c r="B1794" s="6"/>
      <c r="C1794" s="6"/>
      <c r="D1794" s="360"/>
      <c r="E1794" s="360"/>
    </row>
    <row r="1795" spans="1:5" ht="17.25" x14ac:dyDescent="0.45">
      <c r="A1795" s="359"/>
      <c r="B1795" s="6"/>
      <c r="C1795" s="6"/>
      <c r="D1795" s="360"/>
      <c r="E1795" s="360"/>
    </row>
    <row r="1796" spans="1:5" ht="17.25" x14ac:dyDescent="0.45">
      <c r="A1796" s="359"/>
      <c r="B1796" s="6"/>
      <c r="C1796" s="6"/>
      <c r="D1796" s="360"/>
      <c r="E1796" s="360"/>
    </row>
    <row r="1797" spans="1:5" ht="17.25" x14ac:dyDescent="0.45">
      <c r="A1797" s="359"/>
      <c r="B1797" s="6"/>
      <c r="C1797" s="6"/>
      <c r="D1797" s="360"/>
      <c r="E1797" s="360"/>
    </row>
    <row r="1798" spans="1:5" ht="17.25" x14ac:dyDescent="0.45">
      <c r="A1798" s="359"/>
      <c r="B1798" s="6"/>
      <c r="C1798" s="6"/>
      <c r="D1798" s="360"/>
      <c r="E1798" s="360"/>
    </row>
    <row r="1799" spans="1:5" ht="17.25" x14ac:dyDescent="0.45">
      <c r="A1799" s="359"/>
      <c r="B1799" s="6"/>
      <c r="C1799" s="6"/>
      <c r="D1799" s="360"/>
      <c r="E1799" s="360"/>
    </row>
    <row r="1800" spans="1:5" ht="17.25" x14ac:dyDescent="0.45">
      <c r="A1800" s="359"/>
      <c r="B1800" s="6"/>
      <c r="C1800" s="6"/>
      <c r="D1800" s="360"/>
      <c r="E1800" s="360"/>
    </row>
    <row r="1801" spans="1:5" ht="17.25" x14ac:dyDescent="0.45">
      <c r="A1801" s="359"/>
      <c r="B1801" s="6"/>
      <c r="C1801" s="6"/>
      <c r="D1801" s="360"/>
      <c r="E1801" s="360"/>
    </row>
    <row r="1802" spans="1:5" ht="17.25" x14ac:dyDescent="0.45">
      <c r="A1802" s="359"/>
      <c r="B1802" s="6"/>
      <c r="C1802" s="6"/>
      <c r="D1802" s="360"/>
      <c r="E1802" s="360"/>
    </row>
    <row r="1803" spans="1:5" ht="17.25" x14ac:dyDescent="0.45">
      <c r="A1803" s="359"/>
      <c r="B1803" s="6"/>
      <c r="C1803" s="6"/>
      <c r="D1803" s="360"/>
      <c r="E1803" s="360"/>
    </row>
    <row r="1804" spans="1:5" ht="17.25" x14ac:dyDescent="0.45">
      <c r="A1804" s="359"/>
      <c r="B1804" s="6"/>
      <c r="C1804" s="6"/>
      <c r="D1804" s="360"/>
      <c r="E1804" s="360"/>
    </row>
    <row r="1805" spans="1:5" ht="17.25" x14ac:dyDescent="0.45">
      <c r="A1805" s="359"/>
      <c r="B1805" s="6"/>
      <c r="C1805" s="6"/>
      <c r="D1805" s="360"/>
      <c r="E1805" s="360"/>
    </row>
    <row r="1806" spans="1:5" ht="17.25" x14ac:dyDescent="0.45">
      <c r="A1806" s="359"/>
      <c r="B1806" s="6"/>
      <c r="C1806" s="6"/>
      <c r="D1806" s="360"/>
      <c r="E1806" s="360"/>
    </row>
    <row r="1807" spans="1:5" ht="17.25" x14ac:dyDescent="0.45">
      <c r="A1807" s="359"/>
      <c r="B1807" s="6"/>
      <c r="C1807" s="6"/>
      <c r="D1807" s="360"/>
      <c r="E1807" s="360"/>
    </row>
    <row r="1808" spans="1:5" ht="17.25" x14ac:dyDescent="0.45">
      <c r="A1808" s="359"/>
      <c r="B1808" s="6"/>
      <c r="C1808" s="6"/>
      <c r="D1808" s="360"/>
      <c r="E1808" s="360"/>
    </row>
    <row r="1809" spans="1:5" ht="17.25" x14ac:dyDescent="0.45">
      <c r="A1809" s="359"/>
      <c r="B1809" s="6"/>
      <c r="C1809" s="6"/>
      <c r="D1809" s="360"/>
      <c r="E1809" s="360"/>
    </row>
    <row r="1810" spans="1:5" ht="17.25" x14ac:dyDescent="0.45">
      <c r="A1810" s="359"/>
      <c r="B1810" s="6"/>
      <c r="C1810" s="6"/>
      <c r="D1810" s="360"/>
      <c r="E1810" s="360"/>
    </row>
    <row r="1811" spans="1:5" ht="17.25" x14ac:dyDescent="0.45">
      <c r="A1811" s="359"/>
      <c r="B1811" s="6"/>
      <c r="C1811" s="6"/>
      <c r="D1811" s="360"/>
      <c r="E1811" s="360"/>
    </row>
    <row r="1812" spans="1:5" ht="17.25" x14ac:dyDescent="0.45">
      <c r="A1812" s="359"/>
      <c r="B1812" s="6"/>
      <c r="C1812" s="6"/>
      <c r="D1812" s="360"/>
      <c r="E1812" s="360"/>
    </row>
    <row r="1813" spans="1:5" ht="17.25" x14ac:dyDescent="0.45">
      <c r="A1813" s="359"/>
      <c r="B1813" s="6"/>
      <c r="C1813" s="6"/>
      <c r="D1813" s="360"/>
      <c r="E1813" s="360"/>
    </row>
    <row r="1814" spans="1:5" ht="17.25" x14ac:dyDescent="0.45">
      <c r="A1814" s="359"/>
      <c r="B1814" s="6"/>
      <c r="C1814" s="6"/>
      <c r="D1814" s="360"/>
      <c r="E1814" s="360"/>
    </row>
    <row r="1815" spans="1:5" ht="17.25" x14ac:dyDescent="0.45">
      <c r="A1815" s="359"/>
      <c r="B1815" s="6"/>
      <c r="C1815" s="6"/>
      <c r="D1815" s="360"/>
      <c r="E1815" s="360"/>
    </row>
    <row r="1816" spans="1:5" ht="17.25" x14ac:dyDescent="0.45">
      <c r="A1816" s="359"/>
      <c r="B1816" s="6"/>
      <c r="C1816" s="6"/>
      <c r="D1816" s="360"/>
      <c r="E1816" s="360"/>
    </row>
    <row r="1817" spans="1:5" ht="17.25" x14ac:dyDescent="0.45">
      <c r="A1817" s="359"/>
      <c r="B1817" s="6"/>
      <c r="C1817" s="6"/>
      <c r="D1817" s="360"/>
      <c r="E1817" s="360"/>
    </row>
    <row r="1818" spans="1:5" ht="17.25" x14ac:dyDescent="0.45">
      <c r="A1818" s="359"/>
      <c r="B1818" s="6"/>
      <c r="C1818" s="6"/>
      <c r="D1818" s="360"/>
      <c r="E1818" s="360"/>
    </row>
    <row r="1819" spans="1:5" ht="17.25" x14ac:dyDescent="0.45">
      <c r="A1819" s="359"/>
      <c r="B1819" s="6"/>
      <c r="C1819" s="6"/>
      <c r="D1819" s="360"/>
      <c r="E1819" s="360"/>
    </row>
    <row r="1820" spans="1:5" ht="17.25" x14ac:dyDescent="0.45">
      <c r="A1820" s="359"/>
      <c r="B1820" s="6"/>
      <c r="C1820" s="6"/>
      <c r="D1820" s="360"/>
      <c r="E1820" s="360"/>
    </row>
    <row r="1821" spans="1:5" ht="17.25" x14ac:dyDescent="0.45">
      <c r="A1821" s="359"/>
      <c r="B1821" s="6"/>
      <c r="C1821" s="6"/>
      <c r="D1821" s="360"/>
      <c r="E1821" s="360"/>
    </row>
    <row r="1822" spans="1:5" ht="17.25" x14ac:dyDescent="0.45">
      <c r="A1822" s="359"/>
      <c r="B1822" s="6"/>
      <c r="C1822" s="6"/>
      <c r="D1822" s="360"/>
      <c r="E1822" s="360"/>
    </row>
    <row r="1823" spans="1:5" ht="17.25" x14ac:dyDescent="0.45">
      <c r="A1823" s="359"/>
      <c r="B1823" s="6"/>
      <c r="C1823" s="6"/>
      <c r="D1823" s="360"/>
      <c r="E1823" s="360"/>
    </row>
    <row r="1824" spans="1:5" ht="17.25" x14ac:dyDescent="0.45">
      <c r="A1824" s="359"/>
      <c r="B1824" s="6"/>
      <c r="C1824" s="6"/>
      <c r="D1824" s="360"/>
      <c r="E1824" s="360"/>
    </row>
    <row r="1825" spans="1:5" ht="17.25" x14ac:dyDescent="0.45">
      <c r="A1825" s="359"/>
      <c r="B1825" s="6"/>
      <c r="C1825" s="6"/>
      <c r="D1825" s="360"/>
      <c r="E1825" s="360"/>
    </row>
    <row r="1826" spans="1:5" ht="17.25" x14ac:dyDescent="0.45">
      <c r="A1826" s="359"/>
      <c r="B1826" s="6"/>
      <c r="C1826" s="6"/>
      <c r="D1826" s="360"/>
      <c r="E1826" s="360"/>
    </row>
    <row r="1827" spans="1:5" ht="17.25" x14ac:dyDescent="0.45">
      <c r="A1827" s="359"/>
      <c r="B1827" s="6"/>
      <c r="C1827" s="6"/>
      <c r="D1827" s="360"/>
      <c r="E1827" s="360"/>
    </row>
    <row r="1828" spans="1:5" ht="17.25" x14ac:dyDescent="0.45">
      <c r="A1828" s="359"/>
      <c r="B1828" s="6"/>
      <c r="C1828" s="6"/>
      <c r="D1828" s="360"/>
      <c r="E1828" s="360"/>
    </row>
    <row r="1829" spans="1:5" ht="17.25" x14ac:dyDescent="0.45">
      <c r="A1829" s="359"/>
      <c r="B1829" s="6"/>
      <c r="C1829" s="6"/>
      <c r="D1829" s="360"/>
      <c r="E1829" s="360"/>
    </row>
    <row r="1830" spans="1:5" ht="17.25" x14ac:dyDescent="0.45">
      <c r="A1830" s="359"/>
      <c r="B1830" s="6"/>
      <c r="C1830" s="6"/>
      <c r="D1830" s="360"/>
      <c r="E1830" s="360"/>
    </row>
    <row r="1831" spans="1:5" ht="17.25" x14ac:dyDescent="0.45">
      <c r="A1831" s="359"/>
      <c r="B1831" s="6"/>
      <c r="C1831" s="6"/>
      <c r="D1831" s="360"/>
      <c r="E1831" s="360"/>
    </row>
    <row r="1832" spans="1:5" ht="17.25" x14ac:dyDescent="0.45">
      <c r="A1832" s="359"/>
      <c r="B1832" s="6"/>
      <c r="C1832" s="6"/>
      <c r="D1832" s="360"/>
      <c r="E1832" s="360"/>
    </row>
    <row r="1833" spans="1:5" ht="17.25" x14ac:dyDescent="0.45">
      <c r="A1833" s="359"/>
      <c r="B1833" s="6"/>
      <c r="C1833" s="6"/>
      <c r="D1833" s="360"/>
      <c r="E1833" s="360"/>
    </row>
    <row r="1834" spans="1:5" ht="17.25" x14ac:dyDescent="0.45">
      <c r="A1834" s="359"/>
      <c r="B1834" s="6"/>
      <c r="C1834" s="6"/>
      <c r="D1834" s="360"/>
      <c r="E1834" s="360"/>
    </row>
    <row r="1835" spans="1:5" ht="17.25" x14ac:dyDescent="0.45">
      <c r="A1835" s="359"/>
      <c r="B1835" s="6"/>
      <c r="C1835" s="6"/>
      <c r="D1835" s="360"/>
      <c r="E1835" s="360"/>
    </row>
    <row r="1836" spans="1:5" ht="17.25" x14ac:dyDescent="0.45">
      <c r="A1836" s="359"/>
      <c r="B1836" s="6"/>
      <c r="C1836" s="6"/>
      <c r="D1836" s="360"/>
      <c r="E1836" s="360"/>
    </row>
    <row r="1837" spans="1:5" ht="17.25" x14ac:dyDescent="0.45">
      <c r="A1837" s="359"/>
      <c r="B1837" s="6"/>
      <c r="C1837" s="6"/>
      <c r="D1837" s="360"/>
      <c r="E1837" s="360"/>
    </row>
    <row r="1838" spans="1:5" ht="17.25" x14ac:dyDescent="0.45">
      <c r="A1838" s="359"/>
      <c r="B1838" s="6"/>
      <c r="C1838" s="6"/>
      <c r="D1838" s="360"/>
      <c r="E1838" s="360"/>
    </row>
    <row r="1839" spans="1:5" ht="17.25" x14ac:dyDescent="0.45">
      <c r="A1839" s="359"/>
      <c r="B1839" s="6"/>
      <c r="C1839" s="6"/>
      <c r="D1839" s="360"/>
      <c r="E1839" s="360"/>
    </row>
    <row r="1840" spans="1:5" ht="17.25" x14ac:dyDescent="0.45">
      <c r="A1840" s="359"/>
      <c r="B1840" s="6"/>
      <c r="C1840" s="6"/>
      <c r="D1840" s="360"/>
      <c r="E1840" s="360"/>
    </row>
    <row r="1841" spans="1:5" ht="17.25" x14ac:dyDescent="0.45">
      <c r="A1841" s="359"/>
      <c r="B1841" s="6"/>
      <c r="C1841" s="6"/>
      <c r="D1841" s="360"/>
      <c r="E1841" s="360"/>
    </row>
    <row r="1842" spans="1:5" ht="17.25" x14ac:dyDescent="0.45">
      <c r="A1842" s="359"/>
      <c r="B1842" s="6"/>
      <c r="C1842" s="6"/>
      <c r="D1842" s="360"/>
      <c r="E1842" s="360"/>
    </row>
    <row r="1843" spans="1:5" ht="17.25" x14ac:dyDescent="0.45">
      <c r="A1843" s="359"/>
      <c r="B1843" s="6"/>
      <c r="C1843" s="6"/>
      <c r="D1843" s="360"/>
      <c r="E1843" s="360"/>
    </row>
    <row r="1844" spans="1:5" ht="17.25" x14ac:dyDescent="0.45">
      <c r="A1844" s="359"/>
      <c r="B1844" s="6"/>
      <c r="C1844" s="6"/>
      <c r="D1844" s="360"/>
      <c r="E1844" s="360"/>
    </row>
    <row r="1845" spans="1:5" ht="17.25" x14ac:dyDescent="0.45">
      <c r="A1845" s="359"/>
      <c r="B1845" s="6"/>
      <c r="C1845" s="6"/>
      <c r="D1845" s="360"/>
      <c r="E1845" s="360"/>
    </row>
    <row r="1846" spans="1:5" ht="17.25" x14ac:dyDescent="0.45">
      <c r="A1846" s="359"/>
      <c r="B1846" s="6"/>
      <c r="C1846" s="6"/>
      <c r="D1846" s="360"/>
      <c r="E1846" s="360"/>
    </row>
    <row r="1847" spans="1:5" ht="17.25" x14ac:dyDescent="0.45">
      <c r="A1847" s="359"/>
      <c r="B1847" s="6"/>
      <c r="C1847" s="6"/>
      <c r="D1847" s="360"/>
      <c r="E1847" s="360"/>
    </row>
    <row r="1848" spans="1:5" ht="17.25" x14ac:dyDescent="0.45">
      <c r="A1848" s="359"/>
      <c r="B1848" s="6"/>
      <c r="C1848" s="6"/>
      <c r="D1848" s="360"/>
      <c r="E1848" s="360"/>
    </row>
    <row r="1849" spans="1:5" ht="17.25" x14ac:dyDescent="0.45">
      <c r="A1849" s="359"/>
      <c r="B1849" s="6"/>
      <c r="C1849" s="6"/>
      <c r="D1849" s="360"/>
      <c r="E1849" s="360"/>
    </row>
    <row r="1850" spans="1:5" ht="17.25" x14ac:dyDescent="0.45">
      <c r="A1850" s="359"/>
      <c r="B1850" s="6"/>
      <c r="C1850" s="6"/>
      <c r="D1850" s="360"/>
      <c r="E1850" s="360"/>
    </row>
    <row r="1851" spans="1:5" ht="17.25" x14ac:dyDescent="0.45">
      <c r="A1851" s="359"/>
      <c r="B1851" s="6"/>
      <c r="C1851" s="6"/>
      <c r="D1851" s="360"/>
      <c r="E1851" s="360"/>
    </row>
    <row r="1852" spans="1:5" ht="17.25" x14ac:dyDescent="0.45">
      <c r="A1852" s="359"/>
      <c r="B1852" s="6"/>
      <c r="C1852" s="6"/>
      <c r="D1852" s="360"/>
      <c r="E1852" s="360"/>
    </row>
    <row r="1853" spans="1:5" ht="17.25" x14ac:dyDescent="0.45">
      <c r="A1853" s="359"/>
      <c r="B1853" s="6"/>
      <c r="C1853" s="6"/>
      <c r="D1853" s="360"/>
      <c r="E1853" s="360"/>
    </row>
    <row r="1854" spans="1:5" ht="17.25" x14ac:dyDescent="0.45">
      <c r="A1854" s="359"/>
      <c r="B1854" s="6"/>
      <c r="C1854" s="6"/>
      <c r="D1854" s="360"/>
      <c r="E1854" s="360"/>
    </row>
    <row r="1855" spans="1:5" ht="17.25" x14ac:dyDescent="0.45">
      <c r="A1855" s="359"/>
      <c r="B1855" s="6"/>
      <c r="C1855" s="6"/>
      <c r="D1855" s="360"/>
      <c r="E1855" s="360"/>
    </row>
    <row r="1856" spans="1:5" ht="17.25" x14ac:dyDescent="0.45">
      <c r="A1856" s="359"/>
      <c r="B1856" s="6"/>
      <c r="C1856" s="6"/>
      <c r="D1856" s="360"/>
      <c r="E1856" s="360"/>
    </row>
    <row r="1857" spans="1:5" ht="17.25" x14ac:dyDescent="0.45">
      <c r="A1857" s="359"/>
      <c r="B1857" s="6"/>
      <c r="C1857" s="6"/>
      <c r="D1857" s="360"/>
      <c r="E1857" s="360"/>
    </row>
    <row r="1858" spans="1:5" ht="17.25" x14ac:dyDescent="0.45">
      <c r="A1858" s="359"/>
      <c r="B1858" s="6"/>
      <c r="C1858" s="6"/>
      <c r="D1858" s="360"/>
      <c r="E1858" s="360"/>
    </row>
    <row r="1859" spans="1:5" ht="17.25" x14ac:dyDescent="0.45">
      <c r="A1859" s="359"/>
      <c r="B1859" s="6"/>
      <c r="C1859" s="6"/>
      <c r="D1859" s="360"/>
      <c r="E1859" s="360"/>
    </row>
    <row r="1860" spans="1:5" ht="17.25" x14ac:dyDescent="0.45">
      <c r="A1860" s="359"/>
      <c r="B1860" s="6"/>
      <c r="C1860" s="6"/>
      <c r="D1860" s="360"/>
      <c r="E1860" s="360"/>
    </row>
    <row r="1861" spans="1:5" ht="17.25" x14ac:dyDescent="0.45">
      <c r="A1861" s="359"/>
      <c r="B1861" s="6"/>
      <c r="C1861" s="6"/>
      <c r="D1861" s="360"/>
      <c r="E1861" s="360"/>
    </row>
    <row r="1862" spans="1:5" ht="17.25" x14ac:dyDescent="0.45">
      <c r="A1862" s="359"/>
      <c r="B1862" s="6"/>
      <c r="C1862" s="6"/>
      <c r="D1862" s="360"/>
      <c r="E1862" s="360"/>
    </row>
    <row r="1863" spans="1:5" ht="17.25" x14ac:dyDescent="0.45">
      <c r="A1863" s="359"/>
      <c r="B1863" s="6"/>
      <c r="C1863" s="6"/>
      <c r="D1863" s="360"/>
      <c r="E1863" s="360"/>
    </row>
    <row r="1864" spans="1:5" ht="17.25" x14ac:dyDescent="0.45">
      <c r="A1864" s="359"/>
      <c r="B1864" s="6"/>
      <c r="C1864" s="6"/>
      <c r="D1864" s="360"/>
      <c r="E1864" s="360"/>
    </row>
    <row r="1865" spans="1:5" ht="17.25" x14ac:dyDescent="0.45">
      <c r="A1865" s="359"/>
      <c r="B1865" s="6"/>
      <c r="C1865" s="6"/>
      <c r="D1865" s="360"/>
      <c r="E1865" s="360"/>
    </row>
    <row r="1866" spans="1:5" ht="17.25" x14ac:dyDescent="0.45">
      <c r="A1866" s="359"/>
      <c r="B1866" s="6"/>
      <c r="C1866" s="6"/>
      <c r="D1866" s="360"/>
      <c r="E1866" s="360"/>
    </row>
    <row r="1867" spans="1:5" ht="17.25" x14ac:dyDescent="0.45">
      <c r="A1867" s="359"/>
      <c r="B1867" s="6"/>
      <c r="C1867" s="6"/>
      <c r="D1867" s="360"/>
      <c r="E1867" s="360"/>
    </row>
    <row r="1868" spans="1:5" ht="17.25" x14ac:dyDescent="0.45">
      <c r="A1868" s="359"/>
      <c r="B1868" s="6"/>
      <c r="C1868" s="6"/>
      <c r="D1868" s="360"/>
      <c r="E1868" s="360"/>
    </row>
    <row r="1869" spans="1:5" ht="17.25" x14ac:dyDescent="0.45">
      <c r="A1869" s="359"/>
      <c r="B1869" s="6"/>
      <c r="C1869" s="6"/>
      <c r="D1869" s="360"/>
      <c r="E1869" s="360"/>
    </row>
    <row r="1870" spans="1:5" ht="17.25" x14ac:dyDescent="0.45">
      <c r="A1870" s="359"/>
      <c r="B1870" s="6"/>
      <c r="C1870" s="6"/>
      <c r="D1870" s="360"/>
      <c r="E1870" s="360"/>
    </row>
    <row r="1871" spans="1:5" ht="17.25" x14ac:dyDescent="0.45">
      <c r="A1871" s="359"/>
      <c r="B1871" s="6"/>
      <c r="C1871" s="6"/>
      <c r="D1871" s="360"/>
      <c r="E1871" s="360"/>
    </row>
    <row r="1872" spans="1:5" ht="17.25" x14ac:dyDescent="0.45">
      <c r="A1872" s="359"/>
      <c r="B1872" s="6"/>
      <c r="C1872" s="6"/>
      <c r="D1872" s="360"/>
      <c r="E1872" s="360"/>
    </row>
    <row r="1873" spans="1:5" ht="17.25" x14ac:dyDescent="0.45">
      <c r="A1873" s="359"/>
      <c r="B1873" s="6"/>
      <c r="C1873" s="6"/>
      <c r="D1873" s="360"/>
      <c r="E1873" s="360"/>
    </row>
    <row r="1874" spans="1:5" ht="17.25" x14ac:dyDescent="0.45">
      <c r="A1874" s="359"/>
      <c r="B1874" s="6"/>
      <c r="C1874" s="6"/>
      <c r="D1874" s="360"/>
      <c r="E1874" s="360"/>
    </row>
    <row r="1875" spans="1:5" ht="17.25" x14ac:dyDescent="0.45">
      <c r="A1875" s="359"/>
      <c r="B1875" s="6"/>
      <c r="C1875" s="6"/>
      <c r="D1875" s="360"/>
      <c r="E1875" s="360"/>
    </row>
    <row r="1876" spans="1:5" ht="17.25" x14ac:dyDescent="0.45">
      <c r="A1876" s="359"/>
      <c r="B1876" s="6"/>
      <c r="C1876" s="6"/>
      <c r="D1876" s="360"/>
      <c r="E1876" s="360"/>
    </row>
    <row r="1877" spans="1:5" ht="17.25" x14ac:dyDescent="0.45">
      <c r="A1877" s="359"/>
      <c r="B1877" s="6"/>
      <c r="C1877" s="6"/>
      <c r="D1877" s="360"/>
      <c r="E1877" s="360"/>
    </row>
    <row r="1878" spans="1:5" ht="17.25" x14ac:dyDescent="0.45">
      <c r="A1878" s="359"/>
      <c r="B1878" s="6"/>
      <c r="C1878" s="6"/>
      <c r="D1878" s="360"/>
      <c r="E1878" s="360"/>
    </row>
    <row r="1879" spans="1:5" ht="17.25" x14ac:dyDescent="0.45">
      <c r="A1879" s="359"/>
      <c r="B1879" s="6"/>
      <c r="C1879" s="6"/>
      <c r="D1879" s="360"/>
      <c r="E1879" s="360"/>
    </row>
    <row r="1880" spans="1:5" ht="17.25" x14ac:dyDescent="0.45">
      <c r="A1880" s="359"/>
      <c r="B1880" s="6"/>
      <c r="C1880" s="6"/>
      <c r="D1880" s="360"/>
      <c r="E1880" s="360"/>
    </row>
    <row r="1881" spans="1:5" ht="17.25" x14ac:dyDescent="0.45">
      <c r="A1881" s="359"/>
      <c r="B1881" s="6"/>
      <c r="C1881" s="6"/>
      <c r="D1881" s="360"/>
      <c r="E1881" s="360"/>
    </row>
    <row r="1882" spans="1:5" ht="17.25" x14ac:dyDescent="0.45">
      <c r="A1882" s="359"/>
      <c r="B1882" s="6"/>
      <c r="C1882" s="6"/>
      <c r="D1882" s="360"/>
      <c r="E1882" s="360"/>
    </row>
    <row r="1883" spans="1:5" ht="17.25" x14ac:dyDescent="0.45">
      <c r="A1883" s="359"/>
      <c r="B1883" s="6"/>
      <c r="C1883" s="6"/>
      <c r="D1883" s="360"/>
      <c r="E1883" s="360"/>
    </row>
    <row r="1884" spans="1:5" ht="17.25" x14ac:dyDescent="0.45">
      <c r="A1884" s="359"/>
      <c r="B1884" s="6"/>
      <c r="C1884" s="6"/>
      <c r="D1884" s="360"/>
      <c r="E1884" s="360"/>
    </row>
    <row r="1885" spans="1:5" ht="17.25" x14ac:dyDescent="0.45">
      <c r="A1885" s="359"/>
      <c r="B1885" s="6"/>
      <c r="C1885" s="6"/>
      <c r="D1885" s="360"/>
      <c r="E1885" s="360"/>
    </row>
    <row r="1886" spans="1:5" ht="17.25" x14ac:dyDescent="0.45">
      <c r="A1886" s="359"/>
      <c r="B1886" s="6"/>
      <c r="C1886" s="6"/>
      <c r="D1886" s="360"/>
      <c r="E1886" s="360"/>
    </row>
    <row r="1887" spans="1:5" ht="17.25" x14ac:dyDescent="0.45">
      <c r="A1887" s="359"/>
      <c r="B1887" s="6"/>
      <c r="C1887" s="6"/>
      <c r="D1887" s="360"/>
      <c r="E1887" s="360"/>
    </row>
    <row r="1888" spans="1:5" ht="17.25" x14ac:dyDescent="0.45">
      <c r="A1888" s="359"/>
      <c r="B1888" s="6"/>
      <c r="C1888" s="6"/>
      <c r="D1888" s="360"/>
      <c r="E1888" s="360"/>
    </row>
    <row r="1889" spans="1:5" ht="17.25" x14ac:dyDescent="0.45">
      <c r="A1889" s="359"/>
      <c r="B1889" s="6"/>
      <c r="C1889" s="6"/>
      <c r="D1889" s="360"/>
      <c r="E1889" s="360"/>
    </row>
    <row r="1890" spans="1:5" ht="17.25" x14ac:dyDescent="0.45">
      <c r="A1890" s="359"/>
      <c r="B1890" s="6"/>
      <c r="C1890" s="6"/>
      <c r="D1890" s="360"/>
      <c r="E1890" s="360"/>
    </row>
    <row r="1891" spans="1:5" ht="17.25" x14ac:dyDescent="0.45">
      <c r="A1891" s="359"/>
      <c r="B1891" s="6"/>
      <c r="C1891" s="6"/>
      <c r="D1891" s="360"/>
      <c r="E1891" s="360"/>
    </row>
    <row r="1892" spans="1:5" ht="17.25" x14ac:dyDescent="0.45">
      <c r="A1892" s="359"/>
      <c r="B1892" s="6"/>
      <c r="C1892" s="6"/>
      <c r="D1892" s="360"/>
      <c r="E1892" s="360"/>
    </row>
    <row r="1893" spans="1:5" ht="17.25" x14ac:dyDescent="0.45">
      <c r="A1893" s="359"/>
      <c r="B1893" s="6"/>
      <c r="C1893" s="6"/>
      <c r="D1893" s="360"/>
      <c r="E1893" s="360"/>
    </row>
    <row r="1894" spans="1:5" ht="17.25" x14ac:dyDescent="0.45">
      <c r="A1894" s="359"/>
      <c r="B1894" s="6"/>
      <c r="C1894" s="6"/>
      <c r="D1894" s="360"/>
      <c r="E1894" s="360"/>
    </row>
    <row r="1895" spans="1:5" ht="17.25" x14ac:dyDescent="0.45">
      <c r="A1895" s="359"/>
      <c r="B1895" s="6"/>
      <c r="C1895" s="6"/>
      <c r="D1895" s="360"/>
      <c r="E1895" s="360"/>
    </row>
    <row r="1896" spans="1:5" ht="17.25" x14ac:dyDescent="0.45">
      <c r="A1896" s="359"/>
      <c r="B1896" s="6"/>
      <c r="C1896" s="6"/>
      <c r="D1896" s="360"/>
      <c r="E1896" s="360"/>
    </row>
    <row r="1897" spans="1:5" ht="17.25" x14ac:dyDescent="0.45">
      <c r="A1897" s="359"/>
      <c r="B1897" s="6"/>
      <c r="C1897" s="6"/>
      <c r="D1897" s="360"/>
      <c r="E1897" s="360"/>
    </row>
    <row r="1898" spans="1:5" ht="17.25" x14ac:dyDescent="0.45">
      <c r="A1898" s="359"/>
      <c r="B1898" s="6"/>
      <c r="C1898" s="6"/>
      <c r="D1898" s="360"/>
      <c r="E1898" s="360"/>
    </row>
    <row r="1899" spans="1:5" ht="17.25" x14ac:dyDescent="0.45">
      <c r="A1899" s="359"/>
      <c r="B1899" s="6"/>
      <c r="C1899" s="6"/>
      <c r="D1899" s="360"/>
      <c r="E1899" s="360"/>
    </row>
    <row r="1900" spans="1:5" ht="17.25" x14ac:dyDescent="0.45">
      <c r="A1900" s="359"/>
      <c r="B1900" s="6"/>
      <c r="C1900" s="6"/>
      <c r="D1900" s="360"/>
      <c r="E1900" s="360"/>
    </row>
    <row r="1901" spans="1:5" ht="17.25" x14ac:dyDescent="0.45">
      <c r="A1901" s="359"/>
      <c r="B1901" s="6"/>
      <c r="C1901" s="6"/>
      <c r="D1901" s="360"/>
      <c r="E1901" s="360"/>
    </row>
    <row r="1902" spans="1:5" ht="17.25" x14ac:dyDescent="0.45">
      <c r="A1902" s="359"/>
      <c r="B1902" s="6"/>
      <c r="C1902" s="6"/>
      <c r="D1902" s="360"/>
      <c r="E1902" s="360"/>
    </row>
    <row r="1903" spans="1:5" ht="17.25" x14ac:dyDescent="0.45">
      <c r="A1903" s="359"/>
      <c r="B1903" s="6"/>
      <c r="C1903" s="6"/>
      <c r="D1903" s="360"/>
      <c r="E1903" s="360"/>
    </row>
    <row r="1904" spans="1:5" ht="17.25" x14ac:dyDescent="0.45">
      <c r="A1904" s="359"/>
      <c r="B1904" s="6"/>
      <c r="C1904" s="6"/>
      <c r="D1904" s="360"/>
      <c r="E1904" s="360"/>
    </row>
    <row r="1905" spans="1:5" ht="17.25" x14ac:dyDescent="0.45">
      <c r="A1905" s="359"/>
      <c r="B1905" s="6"/>
      <c r="C1905" s="6"/>
      <c r="D1905" s="360"/>
      <c r="E1905" s="360"/>
    </row>
    <row r="1906" spans="1:5" ht="17.25" x14ac:dyDescent="0.45">
      <c r="A1906" s="359"/>
      <c r="B1906" s="6"/>
      <c r="C1906" s="6"/>
      <c r="D1906" s="360"/>
      <c r="E1906" s="360"/>
    </row>
    <row r="1907" spans="1:5" ht="17.25" x14ac:dyDescent="0.45">
      <c r="A1907" s="359"/>
      <c r="B1907" s="6"/>
      <c r="C1907" s="6"/>
      <c r="D1907" s="360"/>
      <c r="E1907" s="360"/>
    </row>
    <row r="1908" spans="1:5" ht="17.25" x14ac:dyDescent="0.45">
      <c r="A1908" s="359"/>
      <c r="B1908" s="6"/>
      <c r="C1908" s="6"/>
      <c r="D1908" s="360"/>
      <c r="E1908" s="360"/>
    </row>
    <row r="1909" spans="1:5" ht="17.25" x14ac:dyDescent="0.45">
      <c r="A1909" s="359"/>
      <c r="B1909" s="6"/>
      <c r="C1909" s="6"/>
      <c r="D1909" s="360"/>
      <c r="E1909" s="360"/>
    </row>
    <row r="1910" spans="1:5" ht="17.25" x14ac:dyDescent="0.45">
      <c r="A1910" s="359"/>
      <c r="B1910" s="6"/>
      <c r="C1910" s="6"/>
      <c r="D1910" s="360"/>
      <c r="E1910" s="360"/>
    </row>
    <row r="1911" spans="1:5" ht="17.25" x14ac:dyDescent="0.45">
      <c r="A1911" s="359"/>
      <c r="B1911" s="6"/>
      <c r="C1911" s="6"/>
      <c r="D1911" s="360"/>
      <c r="E1911" s="360"/>
    </row>
    <row r="1912" spans="1:5" ht="17.25" x14ac:dyDescent="0.45">
      <c r="A1912" s="359"/>
      <c r="B1912" s="6"/>
      <c r="C1912" s="6"/>
      <c r="D1912" s="360"/>
      <c r="E1912" s="360"/>
    </row>
    <row r="1913" spans="1:5" ht="17.25" x14ac:dyDescent="0.45">
      <c r="A1913" s="359"/>
      <c r="B1913" s="6"/>
      <c r="C1913" s="6"/>
      <c r="D1913" s="360"/>
      <c r="E1913" s="360"/>
    </row>
    <row r="1914" spans="1:5" ht="17.25" x14ac:dyDescent="0.45">
      <c r="A1914" s="359"/>
      <c r="B1914" s="6"/>
      <c r="C1914" s="6"/>
      <c r="D1914" s="360"/>
      <c r="E1914" s="360"/>
    </row>
    <row r="1915" spans="1:5" ht="17.25" x14ac:dyDescent="0.45">
      <c r="A1915" s="359"/>
      <c r="B1915" s="6"/>
      <c r="C1915" s="6"/>
      <c r="D1915" s="360"/>
      <c r="E1915" s="360"/>
    </row>
    <row r="1916" spans="1:5" ht="17.25" x14ac:dyDescent="0.45">
      <c r="A1916" s="359"/>
      <c r="B1916" s="6"/>
      <c r="C1916" s="6"/>
      <c r="D1916" s="360"/>
      <c r="E1916" s="360"/>
    </row>
    <row r="1917" spans="1:5" ht="17.25" x14ac:dyDescent="0.45">
      <c r="A1917" s="359"/>
      <c r="B1917" s="6"/>
      <c r="C1917" s="6"/>
      <c r="D1917" s="360"/>
      <c r="E1917" s="360"/>
    </row>
    <row r="1918" spans="1:5" ht="17.25" x14ac:dyDescent="0.45">
      <c r="A1918" s="359"/>
      <c r="B1918" s="6"/>
      <c r="C1918" s="6"/>
      <c r="D1918" s="360"/>
      <c r="E1918" s="360"/>
    </row>
    <row r="1919" spans="1:5" ht="17.25" x14ac:dyDescent="0.45">
      <c r="A1919" s="359"/>
      <c r="B1919" s="6"/>
      <c r="C1919" s="6"/>
      <c r="D1919" s="360"/>
      <c r="E1919" s="360"/>
    </row>
    <row r="1920" spans="1:5" ht="17.25" x14ac:dyDescent="0.45">
      <c r="A1920" s="359"/>
      <c r="B1920" s="6"/>
      <c r="C1920" s="6"/>
      <c r="D1920" s="360"/>
      <c r="E1920" s="360"/>
    </row>
    <row r="1921" spans="1:5" ht="17.25" x14ac:dyDescent="0.45">
      <c r="A1921" s="359"/>
      <c r="B1921" s="6"/>
      <c r="C1921" s="6"/>
      <c r="D1921" s="360"/>
      <c r="E1921" s="360"/>
    </row>
    <row r="1922" spans="1:5" ht="17.25" x14ac:dyDescent="0.45">
      <c r="A1922" s="359"/>
      <c r="B1922" s="6"/>
      <c r="C1922" s="6"/>
      <c r="D1922" s="360"/>
      <c r="E1922" s="360"/>
    </row>
    <row r="1923" spans="1:5" ht="17.25" x14ac:dyDescent="0.45">
      <c r="A1923" s="359"/>
      <c r="B1923" s="6"/>
      <c r="C1923" s="6"/>
      <c r="D1923" s="360"/>
      <c r="E1923" s="360"/>
    </row>
    <row r="1924" spans="1:5" ht="17.25" x14ac:dyDescent="0.45">
      <c r="A1924" s="359"/>
      <c r="B1924" s="6"/>
      <c r="C1924" s="6"/>
      <c r="D1924" s="360"/>
      <c r="E1924" s="360"/>
    </row>
    <row r="1925" spans="1:5" ht="17.25" x14ac:dyDescent="0.45">
      <c r="A1925" s="359"/>
      <c r="B1925" s="6"/>
      <c r="C1925" s="6"/>
      <c r="D1925" s="360"/>
      <c r="E1925" s="360"/>
    </row>
    <row r="1926" spans="1:5" ht="17.25" x14ac:dyDescent="0.45">
      <c r="A1926" s="359"/>
      <c r="B1926" s="6"/>
      <c r="C1926" s="6"/>
      <c r="D1926" s="360"/>
      <c r="E1926" s="360"/>
    </row>
    <row r="1927" spans="1:5" ht="17.25" x14ac:dyDescent="0.45">
      <c r="A1927" s="359"/>
      <c r="B1927" s="6"/>
      <c r="C1927" s="6"/>
      <c r="D1927" s="360"/>
      <c r="E1927" s="360"/>
    </row>
    <row r="1928" spans="1:5" ht="17.25" x14ac:dyDescent="0.45">
      <c r="A1928" s="359"/>
      <c r="B1928" s="6"/>
      <c r="C1928" s="6"/>
      <c r="D1928" s="360"/>
      <c r="E1928" s="360"/>
    </row>
    <row r="1929" spans="1:5" ht="17.25" x14ac:dyDescent="0.45">
      <c r="A1929" s="359"/>
      <c r="B1929" s="6"/>
      <c r="C1929" s="6"/>
      <c r="D1929" s="360"/>
      <c r="E1929" s="360"/>
    </row>
    <row r="1930" spans="1:5" ht="17.25" x14ac:dyDescent="0.45">
      <c r="A1930" s="359"/>
      <c r="B1930" s="6"/>
      <c r="C1930" s="6"/>
      <c r="D1930" s="360"/>
      <c r="E1930" s="360"/>
    </row>
    <row r="1931" spans="1:5" ht="17.25" x14ac:dyDescent="0.45">
      <c r="A1931" s="359"/>
      <c r="B1931" s="6"/>
      <c r="C1931" s="6"/>
      <c r="D1931" s="360"/>
      <c r="E1931" s="360"/>
    </row>
    <row r="1932" spans="1:5" ht="17.25" x14ac:dyDescent="0.45">
      <c r="A1932" s="359"/>
      <c r="B1932" s="6"/>
      <c r="C1932" s="6"/>
      <c r="D1932" s="360"/>
      <c r="E1932" s="360"/>
    </row>
    <row r="1933" spans="1:5" ht="17.25" x14ac:dyDescent="0.45">
      <c r="A1933" s="359"/>
      <c r="B1933" s="6"/>
      <c r="C1933" s="6"/>
      <c r="D1933" s="360"/>
      <c r="E1933" s="360"/>
    </row>
    <row r="1934" spans="1:5" ht="17.25" x14ac:dyDescent="0.45">
      <c r="A1934" s="359"/>
      <c r="B1934" s="6"/>
      <c r="C1934" s="6"/>
      <c r="D1934" s="360"/>
      <c r="E1934" s="360"/>
    </row>
    <row r="1935" spans="1:5" ht="17.25" x14ac:dyDescent="0.45">
      <c r="A1935" s="359"/>
      <c r="B1935" s="6"/>
      <c r="C1935" s="6"/>
      <c r="D1935" s="360"/>
      <c r="E1935" s="360"/>
    </row>
    <row r="1936" spans="1:5" ht="17.25" x14ac:dyDescent="0.45">
      <c r="A1936" s="359"/>
      <c r="B1936" s="6"/>
      <c r="C1936" s="6"/>
      <c r="D1936" s="360"/>
      <c r="E1936" s="360"/>
    </row>
    <row r="1937" spans="1:5" ht="17.25" x14ac:dyDescent="0.45">
      <c r="A1937" s="359"/>
      <c r="B1937" s="6"/>
      <c r="C1937" s="6"/>
      <c r="D1937" s="360"/>
      <c r="E1937" s="360"/>
    </row>
    <row r="1938" spans="1:5" ht="17.25" x14ac:dyDescent="0.45">
      <c r="A1938" s="359"/>
      <c r="B1938" s="6"/>
      <c r="C1938" s="6"/>
      <c r="D1938" s="360"/>
      <c r="E1938" s="360"/>
    </row>
    <row r="1939" spans="1:5" ht="17.25" x14ac:dyDescent="0.45">
      <c r="A1939" s="359"/>
      <c r="B1939" s="6"/>
      <c r="C1939" s="6"/>
      <c r="D1939" s="360"/>
      <c r="E1939" s="360"/>
    </row>
    <row r="1940" spans="1:5" ht="17.25" x14ac:dyDescent="0.45">
      <c r="A1940" s="359"/>
      <c r="B1940" s="6"/>
      <c r="C1940" s="6"/>
      <c r="D1940" s="360"/>
      <c r="E1940" s="360"/>
    </row>
    <row r="1941" spans="1:5" ht="17.25" x14ac:dyDescent="0.45">
      <c r="A1941" s="359"/>
      <c r="B1941" s="6"/>
      <c r="C1941" s="6"/>
      <c r="D1941" s="360"/>
      <c r="E1941" s="360"/>
    </row>
    <row r="1942" spans="1:5" ht="17.25" x14ac:dyDescent="0.45">
      <c r="A1942" s="359"/>
      <c r="B1942" s="6"/>
      <c r="C1942" s="6"/>
      <c r="D1942" s="360"/>
      <c r="E1942" s="360"/>
    </row>
    <row r="1943" spans="1:5" ht="17.25" x14ac:dyDescent="0.45">
      <c r="A1943" s="359"/>
      <c r="B1943" s="6"/>
      <c r="C1943" s="6"/>
      <c r="D1943" s="360"/>
      <c r="E1943" s="360"/>
    </row>
    <row r="1944" spans="1:5" ht="17.25" x14ac:dyDescent="0.45">
      <c r="A1944" s="359"/>
      <c r="B1944" s="6"/>
      <c r="C1944" s="6"/>
      <c r="D1944" s="360"/>
      <c r="E1944" s="360"/>
    </row>
    <row r="1945" spans="1:5" ht="17.25" x14ac:dyDescent="0.45">
      <c r="A1945" s="359"/>
      <c r="B1945" s="6"/>
      <c r="C1945" s="6"/>
      <c r="D1945" s="360"/>
      <c r="E1945" s="360"/>
    </row>
    <row r="1946" spans="1:5" ht="17.25" x14ac:dyDescent="0.45">
      <c r="A1946" s="359"/>
      <c r="B1946" s="6"/>
      <c r="C1946" s="6"/>
      <c r="D1946" s="360"/>
      <c r="E1946" s="360"/>
    </row>
    <row r="1947" spans="1:5" ht="17.25" x14ac:dyDescent="0.45">
      <c r="A1947" s="359"/>
      <c r="B1947" s="6"/>
      <c r="C1947" s="6"/>
      <c r="D1947" s="360"/>
      <c r="E1947" s="360"/>
    </row>
    <row r="1948" spans="1:5" ht="17.25" x14ac:dyDescent="0.45">
      <c r="A1948" s="359"/>
      <c r="B1948" s="6"/>
      <c r="C1948" s="6"/>
      <c r="D1948" s="360"/>
      <c r="E1948" s="360"/>
    </row>
    <row r="1949" spans="1:5" ht="17.25" x14ac:dyDescent="0.45">
      <c r="A1949" s="359"/>
      <c r="B1949" s="6"/>
      <c r="C1949" s="6"/>
      <c r="D1949" s="360"/>
      <c r="E1949" s="360"/>
    </row>
    <row r="1950" spans="1:5" ht="17.25" x14ac:dyDescent="0.45">
      <c r="A1950" s="359"/>
      <c r="B1950" s="6"/>
      <c r="C1950" s="6"/>
      <c r="D1950" s="360"/>
      <c r="E1950" s="360"/>
    </row>
    <row r="1951" spans="1:5" ht="17.25" x14ac:dyDescent="0.45">
      <c r="A1951" s="359"/>
      <c r="B1951" s="6"/>
      <c r="C1951" s="6"/>
      <c r="D1951" s="360"/>
      <c r="E1951" s="360"/>
    </row>
    <row r="1952" spans="1:5" ht="17.25" x14ac:dyDescent="0.45">
      <c r="A1952" s="359"/>
      <c r="B1952" s="6"/>
      <c r="C1952" s="6"/>
      <c r="D1952" s="360"/>
      <c r="E1952" s="360"/>
    </row>
    <row r="1953" spans="1:5" ht="17.25" x14ac:dyDescent="0.45">
      <c r="A1953" s="359"/>
      <c r="B1953" s="6"/>
      <c r="C1953" s="6"/>
      <c r="D1953" s="360"/>
      <c r="E1953" s="360"/>
    </row>
    <row r="1954" spans="1:5" ht="17.25" x14ac:dyDescent="0.45">
      <c r="A1954" s="359"/>
      <c r="B1954" s="6"/>
      <c r="C1954" s="6"/>
      <c r="D1954" s="360"/>
      <c r="E1954" s="360"/>
    </row>
    <row r="1955" spans="1:5" ht="17.25" x14ac:dyDescent="0.45">
      <c r="A1955" s="359"/>
      <c r="B1955" s="6"/>
      <c r="C1955" s="6"/>
      <c r="D1955" s="360"/>
      <c r="E1955" s="360"/>
    </row>
    <row r="1956" spans="1:5" ht="17.25" x14ac:dyDescent="0.45">
      <c r="A1956" s="359"/>
      <c r="B1956" s="6"/>
      <c r="C1956" s="6"/>
      <c r="D1956" s="360"/>
      <c r="E1956" s="360"/>
    </row>
    <row r="1957" spans="1:5" ht="17.25" x14ac:dyDescent="0.45">
      <c r="A1957" s="359"/>
      <c r="B1957" s="6"/>
      <c r="C1957" s="6"/>
      <c r="D1957" s="360"/>
      <c r="E1957" s="360"/>
    </row>
    <row r="1958" spans="1:5" ht="17.25" x14ac:dyDescent="0.45">
      <c r="A1958" s="359"/>
      <c r="B1958" s="6"/>
      <c r="C1958" s="6"/>
      <c r="D1958" s="360"/>
      <c r="E1958" s="360"/>
    </row>
    <row r="1959" spans="1:5" ht="17.25" x14ac:dyDescent="0.45">
      <c r="A1959" s="359"/>
      <c r="B1959" s="6"/>
      <c r="C1959" s="6"/>
      <c r="D1959" s="360"/>
      <c r="E1959" s="360"/>
    </row>
    <row r="1960" spans="1:5" ht="17.25" x14ac:dyDescent="0.45">
      <c r="A1960" s="359"/>
      <c r="B1960" s="6"/>
      <c r="C1960" s="6"/>
      <c r="D1960" s="360"/>
      <c r="E1960" s="360"/>
    </row>
    <row r="1961" spans="1:5" ht="17.25" x14ac:dyDescent="0.45">
      <c r="A1961" s="359"/>
      <c r="B1961" s="6"/>
      <c r="C1961" s="6"/>
      <c r="D1961" s="360"/>
      <c r="E1961" s="360"/>
    </row>
    <row r="1962" spans="1:5" ht="17.25" x14ac:dyDescent="0.45">
      <c r="A1962" s="359"/>
      <c r="B1962" s="6"/>
      <c r="C1962" s="6"/>
      <c r="D1962" s="360"/>
      <c r="E1962" s="360"/>
    </row>
    <row r="1963" spans="1:5" ht="17.25" x14ac:dyDescent="0.45">
      <c r="A1963" s="359"/>
      <c r="B1963" s="6"/>
      <c r="C1963" s="6"/>
      <c r="D1963" s="360"/>
      <c r="E1963" s="360"/>
    </row>
    <row r="1964" spans="1:5" ht="17.25" x14ac:dyDescent="0.45">
      <c r="A1964" s="359"/>
      <c r="B1964" s="6"/>
      <c r="C1964" s="6"/>
      <c r="D1964" s="360"/>
      <c r="E1964" s="360"/>
    </row>
    <row r="1965" spans="1:5" ht="17.25" x14ac:dyDescent="0.45">
      <c r="A1965" s="359"/>
      <c r="B1965" s="6"/>
      <c r="C1965" s="6"/>
      <c r="D1965" s="360"/>
      <c r="E1965" s="360"/>
    </row>
    <row r="1966" spans="1:5" ht="17.25" x14ac:dyDescent="0.45">
      <c r="A1966" s="359"/>
      <c r="B1966" s="6"/>
      <c r="C1966" s="6"/>
      <c r="D1966" s="360"/>
      <c r="E1966" s="360"/>
    </row>
    <row r="1967" spans="1:5" ht="17.25" x14ac:dyDescent="0.45">
      <c r="A1967" s="359"/>
      <c r="B1967" s="6"/>
      <c r="C1967" s="6"/>
      <c r="D1967" s="360"/>
      <c r="E1967" s="360"/>
    </row>
    <row r="1968" spans="1:5" ht="17.25" x14ac:dyDescent="0.45">
      <c r="A1968" s="359"/>
      <c r="B1968" s="6"/>
      <c r="C1968" s="6"/>
      <c r="D1968" s="360"/>
      <c r="E1968" s="360"/>
    </row>
    <row r="1969" spans="1:5" ht="17.25" x14ac:dyDescent="0.45">
      <c r="A1969" s="359"/>
      <c r="B1969" s="6"/>
      <c r="C1969" s="6"/>
      <c r="D1969" s="360"/>
      <c r="E1969" s="360"/>
    </row>
    <row r="1970" spans="1:5" ht="17.25" x14ac:dyDescent="0.45">
      <c r="A1970" s="359"/>
      <c r="B1970" s="6"/>
      <c r="C1970" s="6"/>
      <c r="D1970" s="360"/>
      <c r="E1970" s="360"/>
    </row>
    <row r="1971" spans="1:5" ht="17.25" x14ac:dyDescent="0.45">
      <c r="A1971" s="359"/>
      <c r="B1971" s="6"/>
      <c r="C1971" s="6"/>
      <c r="D1971" s="360"/>
      <c r="E1971" s="360"/>
    </row>
    <row r="1972" spans="1:5" ht="17.25" x14ac:dyDescent="0.45">
      <c r="A1972" s="359"/>
      <c r="B1972" s="6"/>
      <c r="C1972" s="6"/>
      <c r="D1972" s="360"/>
      <c r="E1972" s="360"/>
    </row>
    <row r="1973" spans="1:5" ht="17.25" x14ac:dyDescent="0.45">
      <c r="A1973" s="359"/>
      <c r="B1973" s="6"/>
      <c r="C1973" s="6"/>
      <c r="D1973" s="360"/>
      <c r="E1973" s="360"/>
    </row>
    <row r="1974" spans="1:5" ht="17.25" x14ac:dyDescent="0.45">
      <c r="A1974" s="359"/>
      <c r="B1974" s="6"/>
      <c r="C1974" s="6"/>
      <c r="D1974" s="360"/>
      <c r="E1974" s="360"/>
    </row>
    <row r="1975" spans="1:5" ht="17.25" x14ac:dyDescent="0.45">
      <c r="A1975" s="359"/>
      <c r="B1975" s="6"/>
      <c r="C1975" s="6"/>
      <c r="D1975" s="360"/>
      <c r="E1975" s="360"/>
    </row>
    <row r="1976" spans="1:5" ht="17.25" x14ac:dyDescent="0.45">
      <c r="A1976" s="359"/>
      <c r="B1976" s="6"/>
      <c r="C1976" s="6"/>
      <c r="D1976" s="360"/>
      <c r="E1976" s="360"/>
    </row>
    <row r="1977" spans="1:5" ht="17.25" x14ac:dyDescent="0.45">
      <c r="A1977" s="359"/>
      <c r="B1977" s="6"/>
      <c r="C1977" s="6"/>
      <c r="D1977" s="360"/>
      <c r="E1977" s="360"/>
    </row>
    <row r="1978" spans="1:5" ht="17.25" x14ac:dyDescent="0.45">
      <c r="A1978" s="359"/>
      <c r="B1978" s="6"/>
      <c r="C1978" s="6"/>
      <c r="D1978" s="360"/>
      <c r="E1978" s="360"/>
    </row>
    <row r="1979" spans="1:5" ht="17.25" x14ac:dyDescent="0.45">
      <c r="A1979" s="359"/>
      <c r="B1979" s="6"/>
      <c r="C1979" s="6"/>
      <c r="D1979" s="360"/>
      <c r="E1979" s="360"/>
    </row>
    <row r="1980" spans="1:5" ht="17.25" x14ac:dyDescent="0.45">
      <c r="A1980" s="359"/>
      <c r="B1980" s="6"/>
      <c r="C1980" s="6"/>
      <c r="D1980" s="360"/>
      <c r="E1980" s="360"/>
    </row>
    <row r="1981" spans="1:5" ht="17.25" x14ac:dyDescent="0.45">
      <c r="A1981" s="359"/>
      <c r="B1981" s="6"/>
      <c r="C1981" s="6"/>
      <c r="D1981" s="360"/>
      <c r="E1981" s="360"/>
    </row>
    <row r="1982" spans="1:5" ht="17.25" x14ac:dyDescent="0.45">
      <c r="A1982" s="359"/>
      <c r="B1982" s="6"/>
      <c r="C1982" s="6"/>
      <c r="D1982" s="360"/>
      <c r="E1982" s="360"/>
    </row>
    <row r="1983" spans="1:5" ht="17.25" x14ac:dyDescent="0.45">
      <c r="A1983" s="359"/>
      <c r="B1983" s="6"/>
      <c r="C1983" s="6"/>
      <c r="D1983" s="360"/>
      <c r="E1983" s="360"/>
    </row>
    <row r="1984" spans="1:5" ht="17.25" x14ac:dyDescent="0.45">
      <c r="A1984" s="359"/>
      <c r="B1984" s="6"/>
      <c r="C1984" s="6"/>
      <c r="D1984" s="360"/>
      <c r="E1984" s="360"/>
    </row>
    <row r="1985" spans="1:5" ht="17.25" x14ac:dyDescent="0.45">
      <c r="A1985" s="359"/>
      <c r="B1985" s="6"/>
      <c r="C1985" s="6"/>
      <c r="D1985" s="360"/>
      <c r="E1985" s="360"/>
    </row>
    <row r="1986" spans="1:5" ht="17.25" x14ac:dyDescent="0.45">
      <c r="A1986" s="359"/>
      <c r="B1986" s="6"/>
      <c r="C1986" s="6"/>
      <c r="D1986" s="360"/>
      <c r="E1986" s="360"/>
    </row>
    <row r="1987" spans="1:5" ht="17.25" x14ac:dyDescent="0.45">
      <c r="A1987" s="359"/>
      <c r="B1987" s="6"/>
      <c r="C1987" s="6"/>
      <c r="D1987" s="360"/>
      <c r="E1987" s="360"/>
    </row>
    <row r="1988" spans="1:5" ht="17.25" x14ac:dyDescent="0.45">
      <c r="A1988" s="359"/>
      <c r="B1988" s="6"/>
      <c r="C1988" s="6"/>
      <c r="D1988" s="360"/>
      <c r="E1988" s="360"/>
    </row>
    <row r="1989" spans="1:5" ht="17.25" x14ac:dyDescent="0.45">
      <c r="A1989" s="359"/>
      <c r="B1989" s="6"/>
      <c r="C1989" s="6"/>
      <c r="D1989" s="360"/>
      <c r="E1989" s="360"/>
    </row>
    <row r="1990" spans="1:5" ht="17.25" x14ac:dyDescent="0.45">
      <c r="A1990" s="359"/>
      <c r="B1990" s="6"/>
      <c r="C1990" s="6"/>
      <c r="D1990" s="360"/>
      <c r="E1990" s="360"/>
    </row>
    <row r="1991" spans="1:5" ht="17.25" x14ac:dyDescent="0.45">
      <c r="A1991" s="359"/>
      <c r="B1991" s="6"/>
      <c r="C1991" s="6"/>
      <c r="D1991" s="360"/>
      <c r="E1991" s="360"/>
    </row>
    <row r="1992" spans="1:5" ht="17.25" x14ac:dyDescent="0.45">
      <c r="A1992" s="359"/>
      <c r="B1992" s="6"/>
      <c r="C1992" s="6"/>
      <c r="D1992" s="360"/>
      <c r="E1992" s="360"/>
    </row>
    <row r="1993" spans="1:5" ht="17.25" x14ac:dyDescent="0.45">
      <c r="A1993" s="359"/>
      <c r="B1993" s="6"/>
      <c r="C1993" s="6"/>
      <c r="D1993" s="360"/>
      <c r="E1993" s="360"/>
    </row>
    <row r="1994" spans="1:5" ht="17.25" x14ac:dyDescent="0.45">
      <c r="A1994" s="359"/>
      <c r="B1994" s="6"/>
      <c r="C1994" s="6"/>
      <c r="D1994" s="360"/>
      <c r="E1994" s="360"/>
    </row>
    <row r="1995" spans="1:5" ht="17.25" x14ac:dyDescent="0.45">
      <c r="A1995" s="359"/>
      <c r="B1995" s="6"/>
      <c r="C1995" s="6"/>
      <c r="D1995" s="360"/>
      <c r="E1995" s="360"/>
    </row>
    <row r="1996" spans="1:5" ht="17.25" x14ac:dyDescent="0.45">
      <c r="A1996" s="359"/>
      <c r="B1996" s="6"/>
      <c r="C1996" s="6"/>
      <c r="D1996" s="360"/>
      <c r="E1996" s="360"/>
    </row>
    <row r="1997" spans="1:5" ht="17.25" x14ac:dyDescent="0.45">
      <c r="A1997" s="359"/>
      <c r="B1997" s="6"/>
      <c r="C1997" s="6"/>
      <c r="D1997" s="360"/>
      <c r="E1997" s="360"/>
    </row>
    <row r="1998" spans="1:5" ht="17.25" x14ac:dyDescent="0.45">
      <c r="A1998" s="359"/>
      <c r="B1998" s="6"/>
      <c r="C1998" s="6"/>
      <c r="D1998" s="360"/>
      <c r="E1998" s="360"/>
    </row>
    <row r="1999" spans="1:5" ht="17.25" x14ac:dyDescent="0.45">
      <c r="A1999" s="359"/>
      <c r="B1999" s="6"/>
      <c r="C1999" s="6"/>
      <c r="D1999" s="360"/>
      <c r="E1999" s="360"/>
    </row>
    <row r="2000" spans="1:5" ht="17.25" x14ac:dyDescent="0.45">
      <c r="A2000" s="359"/>
      <c r="B2000" s="6"/>
      <c r="C2000" s="6"/>
      <c r="D2000" s="360"/>
      <c r="E2000" s="360"/>
    </row>
    <row r="2001" spans="1:5" ht="17.25" x14ac:dyDescent="0.45">
      <c r="A2001" s="359"/>
      <c r="B2001" s="6"/>
      <c r="C2001" s="6"/>
      <c r="D2001" s="360"/>
      <c r="E2001" s="360"/>
    </row>
    <row r="2002" spans="1:5" ht="17.25" x14ac:dyDescent="0.45">
      <c r="A2002" s="359"/>
      <c r="B2002" s="6"/>
      <c r="C2002" s="6"/>
      <c r="D2002" s="360"/>
      <c r="E2002" s="360"/>
    </row>
    <row r="2003" spans="1:5" ht="17.25" x14ac:dyDescent="0.45">
      <c r="A2003" s="359"/>
      <c r="B2003" s="6"/>
      <c r="C2003" s="6"/>
      <c r="D2003" s="360"/>
      <c r="E2003" s="360"/>
    </row>
    <row r="2004" spans="1:5" ht="17.25" x14ac:dyDescent="0.45">
      <c r="A2004" s="359"/>
      <c r="B2004" s="6"/>
      <c r="C2004" s="6"/>
      <c r="D2004" s="360"/>
      <c r="E2004" s="360"/>
    </row>
    <row r="2005" spans="1:5" ht="17.25" x14ac:dyDescent="0.45">
      <c r="A2005" s="359"/>
      <c r="B2005" s="6"/>
      <c r="C2005" s="6"/>
      <c r="D2005" s="360"/>
      <c r="E2005" s="360"/>
    </row>
    <row r="2006" spans="1:5" ht="17.25" x14ac:dyDescent="0.45">
      <c r="A2006" s="359"/>
      <c r="B2006" s="6"/>
      <c r="C2006" s="6"/>
      <c r="D2006" s="360"/>
      <c r="E2006" s="360"/>
    </row>
    <row r="2007" spans="1:5" ht="17.25" x14ac:dyDescent="0.45">
      <c r="A2007" s="359"/>
      <c r="B2007" s="6"/>
      <c r="C2007" s="6"/>
      <c r="D2007" s="360"/>
      <c r="E2007" s="360"/>
    </row>
    <row r="2008" spans="1:5" ht="17.25" x14ac:dyDescent="0.45">
      <c r="A2008" s="359"/>
      <c r="B2008" s="6"/>
      <c r="C2008" s="6"/>
      <c r="D2008" s="360"/>
      <c r="E2008" s="360"/>
    </row>
    <row r="2009" spans="1:5" ht="17.25" x14ac:dyDescent="0.45">
      <c r="A2009" s="359"/>
      <c r="B2009" s="6"/>
      <c r="C2009" s="6"/>
      <c r="D2009" s="360"/>
      <c r="E2009" s="360"/>
    </row>
    <row r="2010" spans="1:5" ht="17.25" x14ac:dyDescent="0.45">
      <c r="A2010" s="359"/>
      <c r="B2010" s="6"/>
      <c r="C2010" s="6"/>
      <c r="D2010" s="360"/>
      <c r="E2010" s="360"/>
    </row>
    <row r="2011" spans="1:5" ht="17.25" x14ac:dyDescent="0.45">
      <c r="A2011" s="359"/>
      <c r="B2011" s="6"/>
      <c r="C2011" s="6"/>
      <c r="D2011" s="360"/>
      <c r="E2011" s="360"/>
    </row>
    <row r="2012" spans="1:5" ht="17.25" x14ac:dyDescent="0.45">
      <c r="A2012" s="359"/>
      <c r="B2012" s="6"/>
      <c r="C2012" s="6"/>
      <c r="D2012" s="360"/>
      <c r="E2012" s="360"/>
    </row>
    <row r="2013" spans="1:5" ht="17.25" x14ac:dyDescent="0.45">
      <c r="A2013" s="359"/>
      <c r="B2013" s="6"/>
      <c r="C2013" s="6"/>
      <c r="D2013" s="360"/>
      <c r="E2013" s="360"/>
    </row>
    <row r="2014" spans="1:5" ht="17.25" x14ac:dyDescent="0.45">
      <c r="A2014" s="359"/>
      <c r="B2014" s="6"/>
      <c r="C2014" s="6"/>
      <c r="D2014" s="360"/>
      <c r="E2014" s="360"/>
    </row>
    <row r="2015" spans="1:5" ht="17.25" x14ac:dyDescent="0.45">
      <c r="A2015" s="359"/>
      <c r="B2015" s="6"/>
      <c r="C2015" s="6"/>
      <c r="D2015" s="360"/>
      <c r="E2015" s="360"/>
    </row>
    <row r="2016" spans="1:5" ht="17.25" x14ac:dyDescent="0.45">
      <c r="A2016" s="359"/>
      <c r="B2016" s="6"/>
      <c r="C2016" s="6"/>
      <c r="D2016" s="360"/>
      <c r="E2016" s="360"/>
    </row>
    <row r="2017" spans="1:5" ht="17.25" x14ac:dyDescent="0.45">
      <c r="A2017" s="359"/>
      <c r="B2017" s="6"/>
      <c r="C2017" s="6"/>
      <c r="D2017" s="360"/>
      <c r="E2017" s="360"/>
    </row>
    <row r="2018" spans="1:5" ht="17.25" x14ac:dyDescent="0.45">
      <c r="A2018" s="359"/>
      <c r="B2018" s="6"/>
      <c r="C2018" s="6"/>
      <c r="D2018" s="360"/>
      <c r="E2018" s="360"/>
    </row>
    <row r="2019" spans="1:5" ht="17.25" x14ac:dyDescent="0.45">
      <c r="A2019" s="359"/>
      <c r="B2019" s="6"/>
      <c r="C2019" s="6"/>
      <c r="D2019" s="360"/>
      <c r="E2019" s="360"/>
    </row>
    <row r="2020" spans="1:5" ht="17.25" x14ac:dyDescent="0.45">
      <c r="A2020" s="359"/>
      <c r="B2020" s="6"/>
      <c r="C2020" s="6"/>
      <c r="D2020" s="360"/>
      <c r="E2020" s="360"/>
    </row>
    <row r="2021" spans="1:5" ht="17.25" x14ac:dyDescent="0.45">
      <c r="A2021" s="359"/>
      <c r="B2021" s="6"/>
      <c r="C2021" s="6"/>
      <c r="D2021" s="360"/>
      <c r="E2021" s="360"/>
    </row>
    <row r="2022" spans="1:5" ht="17.25" x14ac:dyDescent="0.45">
      <c r="A2022" s="359"/>
      <c r="B2022" s="6"/>
      <c r="C2022" s="6"/>
      <c r="D2022" s="360"/>
      <c r="E2022" s="360"/>
    </row>
    <row r="2023" spans="1:5" ht="17.25" x14ac:dyDescent="0.45">
      <c r="A2023" s="359"/>
      <c r="B2023" s="6"/>
      <c r="C2023" s="6"/>
      <c r="D2023" s="360"/>
      <c r="E2023" s="360"/>
    </row>
    <row r="2024" spans="1:5" ht="17.25" x14ac:dyDescent="0.45">
      <c r="A2024" s="359"/>
      <c r="B2024" s="6"/>
      <c r="C2024" s="6"/>
      <c r="D2024" s="360"/>
      <c r="E2024" s="360"/>
    </row>
    <row r="2025" spans="1:5" ht="17.25" x14ac:dyDescent="0.45">
      <c r="A2025" s="359"/>
      <c r="B2025" s="6"/>
      <c r="C2025" s="6"/>
      <c r="D2025" s="360"/>
      <c r="E2025" s="360"/>
    </row>
    <row r="2026" spans="1:5" ht="17.25" x14ac:dyDescent="0.45">
      <c r="A2026" s="359"/>
      <c r="B2026" s="6"/>
      <c r="C2026" s="6"/>
      <c r="D2026" s="360"/>
      <c r="E2026" s="360"/>
    </row>
    <row r="2027" spans="1:5" ht="17.25" x14ac:dyDescent="0.45">
      <c r="A2027" s="359"/>
      <c r="B2027" s="6"/>
      <c r="C2027" s="6"/>
      <c r="D2027" s="360"/>
      <c r="E2027" s="360"/>
    </row>
    <row r="2028" spans="1:5" ht="17.25" x14ac:dyDescent="0.45">
      <c r="A2028" s="359"/>
      <c r="B2028" s="6"/>
      <c r="C2028" s="6"/>
      <c r="D2028" s="360"/>
      <c r="E2028" s="360"/>
    </row>
    <row r="2029" spans="1:5" ht="17.25" x14ac:dyDescent="0.45">
      <c r="A2029" s="359"/>
      <c r="B2029" s="6"/>
      <c r="C2029" s="6"/>
      <c r="D2029" s="360"/>
      <c r="E2029" s="360"/>
    </row>
    <row r="2030" spans="1:5" ht="17.25" x14ac:dyDescent="0.45">
      <c r="A2030" s="359"/>
      <c r="B2030" s="6"/>
      <c r="C2030" s="6"/>
      <c r="D2030" s="360"/>
      <c r="E2030" s="360"/>
    </row>
    <row r="2031" spans="1:5" ht="17.25" x14ac:dyDescent="0.45">
      <c r="A2031" s="359"/>
      <c r="B2031" s="6"/>
      <c r="C2031" s="6"/>
      <c r="D2031" s="360"/>
      <c r="E2031" s="360"/>
    </row>
    <row r="2032" spans="1:5" ht="17.25" x14ac:dyDescent="0.45">
      <c r="A2032" s="359"/>
      <c r="B2032" s="6"/>
      <c r="C2032" s="6"/>
      <c r="D2032" s="360"/>
      <c r="E2032" s="360"/>
    </row>
    <row r="2033" spans="1:5" ht="17.25" x14ac:dyDescent="0.45">
      <c r="A2033" s="359"/>
      <c r="B2033" s="6"/>
      <c r="C2033" s="6"/>
      <c r="D2033" s="360"/>
      <c r="E2033" s="360"/>
    </row>
    <row r="2034" spans="1:5" ht="17.25" x14ac:dyDescent="0.45">
      <c r="A2034" s="359"/>
      <c r="B2034" s="6"/>
      <c r="C2034" s="6"/>
      <c r="D2034" s="360"/>
      <c r="E2034" s="360"/>
    </row>
    <row r="2035" spans="1:5" ht="17.25" x14ac:dyDescent="0.45">
      <c r="A2035" s="359"/>
      <c r="B2035" s="6"/>
      <c r="C2035" s="6"/>
      <c r="D2035" s="360"/>
      <c r="E2035" s="360"/>
    </row>
    <row r="2036" spans="1:5" ht="17.25" x14ac:dyDescent="0.45">
      <c r="A2036" s="359"/>
      <c r="B2036" s="6"/>
      <c r="C2036" s="6"/>
      <c r="D2036" s="360"/>
      <c r="E2036" s="360"/>
    </row>
    <row r="2037" spans="1:5" ht="17.25" x14ac:dyDescent="0.45">
      <c r="A2037" s="359"/>
      <c r="B2037" s="6"/>
      <c r="C2037" s="6"/>
      <c r="D2037" s="360"/>
      <c r="E2037" s="360"/>
    </row>
    <row r="2038" spans="1:5" ht="17.25" x14ac:dyDescent="0.45">
      <c r="A2038" s="359"/>
      <c r="B2038" s="6"/>
      <c r="C2038" s="6"/>
      <c r="D2038" s="360"/>
      <c r="E2038" s="360"/>
    </row>
    <row r="2039" spans="1:5" ht="17.25" x14ac:dyDescent="0.45">
      <c r="A2039" s="359"/>
      <c r="B2039" s="6"/>
      <c r="C2039" s="6"/>
      <c r="D2039" s="360"/>
      <c r="E2039" s="360"/>
    </row>
    <row r="2040" spans="1:5" ht="17.25" x14ac:dyDescent="0.45">
      <c r="A2040" s="359"/>
      <c r="B2040" s="6"/>
      <c r="C2040" s="6"/>
      <c r="D2040" s="360"/>
      <c r="E2040" s="360"/>
    </row>
    <row r="2041" spans="1:5" ht="17.25" x14ac:dyDescent="0.45">
      <c r="A2041" s="359"/>
      <c r="B2041" s="6"/>
      <c r="C2041" s="6"/>
      <c r="D2041" s="360"/>
      <c r="E2041" s="360"/>
    </row>
    <row r="2042" spans="1:5" ht="17.25" x14ac:dyDescent="0.45">
      <c r="A2042" s="359"/>
      <c r="B2042" s="6"/>
      <c r="C2042" s="6"/>
      <c r="D2042" s="360"/>
      <c r="E2042" s="360"/>
    </row>
    <row r="2043" spans="1:5" ht="17.25" x14ac:dyDescent="0.45">
      <c r="A2043" s="359"/>
      <c r="B2043" s="6"/>
      <c r="C2043" s="6"/>
      <c r="D2043" s="360"/>
      <c r="E2043" s="360"/>
    </row>
    <row r="2044" spans="1:5" ht="17.25" x14ac:dyDescent="0.45">
      <c r="A2044" s="359"/>
      <c r="B2044" s="6"/>
      <c r="C2044" s="6"/>
      <c r="D2044" s="360"/>
      <c r="E2044" s="360"/>
    </row>
    <row r="2045" spans="1:5" ht="17.25" x14ac:dyDescent="0.45">
      <c r="A2045" s="359"/>
      <c r="B2045" s="6"/>
      <c r="C2045" s="6"/>
      <c r="D2045" s="360"/>
      <c r="E2045" s="360"/>
    </row>
    <row r="2046" spans="1:5" ht="17.25" x14ac:dyDescent="0.45">
      <c r="A2046" s="359"/>
      <c r="B2046" s="6"/>
      <c r="C2046" s="6"/>
      <c r="D2046" s="360"/>
      <c r="E2046" s="360"/>
    </row>
    <row r="2047" spans="1:5" ht="17.25" x14ac:dyDescent="0.45">
      <c r="A2047" s="359"/>
      <c r="B2047" s="6"/>
      <c r="C2047" s="6"/>
      <c r="D2047" s="360"/>
      <c r="E2047" s="360"/>
    </row>
    <row r="2048" spans="1:5" ht="17.25" x14ac:dyDescent="0.45">
      <c r="A2048" s="359"/>
      <c r="B2048" s="6"/>
      <c r="C2048" s="6"/>
      <c r="D2048" s="360"/>
      <c r="E2048" s="360"/>
    </row>
    <row r="2049" spans="1:5" ht="17.25" x14ac:dyDescent="0.45">
      <c r="A2049" s="359"/>
      <c r="B2049" s="6"/>
      <c r="C2049" s="6"/>
      <c r="D2049" s="360"/>
      <c r="E2049" s="360"/>
    </row>
    <row r="2050" spans="1:5" ht="17.25" x14ac:dyDescent="0.45">
      <c r="A2050" s="359"/>
      <c r="B2050" s="6"/>
      <c r="C2050" s="6"/>
      <c r="D2050" s="360"/>
      <c r="E2050" s="360"/>
    </row>
    <row r="2051" spans="1:5" ht="17.25" x14ac:dyDescent="0.45">
      <c r="A2051" s="359"/>
      <c r="B2051" s="6"/>
      <c r="C2051" s="6"/>
      <c r="D2051" s="360"/>
      <c r="E2051" s="360"/>
    </row>
    <row r="2052" spans="1:5" ht="17.25" x14ac:dyDescent="0.45">
      <c r="A2052" s="359"/>
      <c r="B2052" s="6"/>
      <c r="C2052" s="6"/>
      <c r="D2052" s="360"/>
      <c r="E2052" s="360"/>
    </row>
    <row r="2053" spans="1:5" ht="17.25" x14ac:dyDescent="0.45">
      <c r="A2053" s="359"/>
      <c r="B2053" s="6"/>
      <c r="C2053" s="6"/>
      <c r="D2053" s="360"/>
      <c r="E2053" s="360"/>
    </row>
  </sheetData>
  <customSheetViews>
    <customSheetView guid="{A74CD2E6-B6A8-410A-A94A-8BDEB74E955F}" filter="1" showAutoFilter="1">
      <pageMargins left="0.7" right="0.7" top="0.75" bottom="0.75" header="0.3" footer="0.3"/>
      <autoFilter ref="A1:E1569" xr:uid="{D45263E4-B02E-4D97-9B24-2EE6DAF26ACD}"/>
    </customSheetView>
  </customSheetView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:B1175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.75" customHeight="1" x14ac:dyDescent="0.4"/>
  <cols>
    <col min="1" max="1" width="40.7109375" customWidth="1"/>
    <col min="2" max="2" width="18.140625" customWidth="1"/>
  </cols>
  <sheetData>
    <row r="1" spans="1:2" ht="15.75" customHeight="1" x14ac:dyDescent="0.5">
      <c r="A1" s="72" t="s">
        <v>0</v>
      </c>
      <c r="B1" s="72" t="s">
        <v>2583</v>
      </c>
    </row>
    <row r="2" spans="1:2" ht="15.75" customHeight="1" x14ac:dyDescent="0.5">
      <c r="A2" s="72" t="s">
        <v>2264</v>
      </c>
      <c r="B2" s="73">
        <v>45259</v>
      </c>
    </row>
    <row r="3" spans="1:2" ht="15.75" customHeight="1" x14ac:dyDescent="0.5">
      <c r="A3" s="72" t="s">
        <v>2186</v>
      </c>
      <c r="B3" s="73">
        <v>45139</v>
      </c>
    </row>
    <row r="4" spans="1:2" ht="15.75" customHeight="1" x14ac:dyDescent="0.5">
      <c r="A4" s="73" t="s">
        <v>184</v>
      </c>
      <c r="B4" s="73">
        <v>44898</v>
      </c>
    </row>
    <row r="5" spans="1:2" ht="15.75" customHeight="1" x14ac:dyDescent="0.5">
      <c r="A5" s="72" t="s">
        <v>1021</v>
      </c>
      <c r="B5" s="73">
        <v>45069</v>
      </c>
    </row>
    <row r="6" spans="1:2" ht="15.75" customHeight="1" x14ac:dyDescent="0.5">
      <c r="A6" s="72" t="s">
        <v>1576</v>
      </c>
      <c r="B6" s="73">
        <v>45364</v>
      </c>
    </row>
    <row r="7" spans="1:2" ht="15.75" customHeight="1" x14ac:dyDescent="0.5">
      <c r="A7" s="72" t="s">
        <v>2094</v>
      </c>
      <c r="B7" s="73">
        <v>45099</v>
      </c>
    </row>
    <row r="8" spans="1:2" ht="15.75" customHeight="1" x14ac:dyDescent="0.5">
      <c r="A8" s="72" t="s">
        <v>1052</v>
      </c>
      <c r="B8" s="73">
        <v>45106</v>
      </c>
    </row>
    <row r="9" spans="1:2" ht="15.75" customHeight="1" x14ac:dyDescent="0.5">
      <c r="A9" s="72" t="s">
        <v>2251</v>
      </c>
      <c r="B9" s="73">
        <v>45254</v>
      </c>
    </row>
    <row r="10" spans="1:2" ht="15.75" customHeight="1" x14ac:dyDescent="0.5">
      <c r="A10" s="72" t="s">
        <v>2303</v>
      </c>
      <c r="B10" s="73">
        <v>45188</v>
      </c>
    </row>
    <row r="11" spans="1:2" ht="15.75" customHeight="1" x14ac:dyDescent="0.5">
      <c r="A11" s="72" t="s">
        <v>167</v>
      </c>
      <c r="B11" s="73">
        <v>45141</v>
      </c>
    </row>
    <row r="12" spans="1:2" ht="15.75" customHeight="1" x14ac:dyDescent="0.5">
      <c r="A12" s="72" t="s">
        <v>433</v>
      </c>
      <c r="B12" s="73">
        <v>45097</v>
      </c>
    </row>
    <row r="13" spans="1:2" ht="15.75" customHeight="1" x14ac:dyDescent="0.5">
      <c r="A13" s="72" t="s">
        <v>1189</v>
      </c>
      <c r="B13" s="73">
        <v>45218</v>
      </c>
    </row>
    <row r="14" spans="1:2" ht="15.75" customHeight="1" x14ac:dyDescent="0.5">
      <c r="A14" s="72" t="s">
        <v>2332</v>
      </c>
      <c r="B14" s="73">
        <v>45314</v>
      </c>
    </row>
    <row r="15" spans="1:2" ht="15.75" customHeight="1" x14ac:dyDescent="0.5">
      <c r="A15" s="72" t="s">
        <v>472</v>
      </c>
      <c r="B15" s="73">
        <v>44922</v>
      </c>
    </row>
    <row r="16" spans="1:2" ht="15.75" customHeight="1" x14ac:dyDescent="0.5">
      <c r="A16" s="72" t="s">
        <v>1631</v>
      </c>
      <c r="B16" s="73">
        <v>44890</v>
      </c>
    </row>
    <row r="17" spans="1:2" ht="15.75" customHeight="1" x14ac:dyDescent="0.5">
      <c r="A17" s="72" t="s">
        <v>439</v>
      </c>
      <c r="B17" s="73">
        <v>45259</v>
      </c>
    </row>
    <row r="18" spans="1:2" ht="15.75" customHeight="1" x14ac:dyDescent="0.5">
      <c r="A18" s="72" t="s">
        <v>947</v>
      </c>
      <c r="B18" s="73">
        <v>45069</v>
      </c>
    </row>
    <row r="19" spans="1:2" ht="15.75" customHeight="1" x14ac:dyDescent="0.5">
      <c r="A19" s="72" t="s">
        <v>610</v>
      </c>
      <c r="B19" s="73">
        <v>44990</v>
      </c>
    </row>
    <row r="20" spans="1:2" ht="15.75" customHeight="1" x14ac:dyDescent="0.5">
      <c r="A20" s="72" t="s">
        <v>1240</v>
      </c>
      <c r="B20" s="73">
        <v>44929</v>
      </c>
    </row>
    <row r="21" spans="1:2" ht="15.75" customHeight="1" x14ac:dyDescent="0.5">
      <c r="A21" s="72" t="s">
        <v>411</v>
      </c>
      <c r="B21" s="73">
        <v>45008</v>
      </c>
    </row>
    <row r="22" spans="1:2" ht="15.75" customHeight="1" x14ac:dyDescent="0.5">
      <c r="A22" s="72" t="s">
        <v>2157</v>
      </c>
      <c r="B22" s="73">
        <v>45139</v>
      </c>
    </row>
    <row r="23" spans="1:2" ht="15.75" customHeight="1" x14ac:dyDescent="0.5">
      <c r="A23" s="72" t="s">
        <v>440</v>
      </c>
      <c r="B23" s="73">
        <v>45254</v>
      </c>
    </row>
    <row r="24" spans="1:2" ht="15.75" customHeight="1" x14ac:dyDescent="0.5">
      <c r="A24" s="73" t="s">
        <v>1697</v>
      </c>
      <c r="B24" s="73">
        <v>44898</v>
      </c>
    </row>
    <row r="25" spans="1:2" ht="15.75" customHeight="1" x14ac:dyDescent="0.5">
      <c r="A25" s="72" t="s">
        <v>1144</v>
      </c>
      <c r="B25" s="73">
        <v>44940</v>
      </c>
    </row>
    <row r="26" spans="1:2" ht="15.75" customHeight="1" x14ac:dyDescent="0.5">
      <c r="A26" s="77" t="s">
        <v>70</v>
      </c>
      <c r="B26" s="76">
        <v>45408</v>
      </c>
    </row>
    <row r="27" spans="1:2" ht="15.75" customHeight="1" x14ac:dyDescent="0.5">
      <c r="A27" s="72" t="s">
        <v>227</v>
      </c>
      <c r="B27" s="73">
        <v>45188</v>
      </c>
    </row>
    <row r="28" spans="1:2" ht="15.75" customHeight="1" x14ac:dyDescent="0.5">
      <c r="A28" s="72" t="s">
        <v>1807</v>
      </c>
      <c r="B28" s="73">
        <v>44974</v>
      </c>
    </row>
    <row r="29" spans="1:2" ht="15.75" customHeight="1" x14ac:dyDescent="0.5">
      <c r="A29" s="72" t="s">
        <v>2425</v>
      </c>
      <c r="B29" s="73">
        <v>45405</v>
      </c>
    </row>
    <row r="30" spans="1:2" ht="15.75" customHeight="1" x14ac:dyDescent="0.5">
      <c r="A30" s="72" t="s">
        <v>1332</v>
      </c>
      <c r="B30" s="73">
        <v>45254</v>
      </c>
    </row>
    <row r="31" spans="1:2" ht="15.75" customHeight="1" x14ac:dyDescent="0.5">
      <c r="A31" s="72" t="s">
        <v>2110</v>
      </c>
      <c r="B31" s="73">
        <v>45314</v>
      </c>
    </row>
    <row r="32" spans="1:2" x14ac:dyDescent="0.5">
      <c r="A32" s="72" t="s">
        <v>1163</v>
      </c>
      <c r="B32" s="73">
        <v>44895</v>
      </c>
    </row>
    <row r="33" spans="1:2" x14ac:dyDescent="0.5">
      <c r="A33" s="73" t="s">
        <v>1350</v>
      </c>
      <c r="B33" s="73">
        <v>44898</v>
      </c>
    </row>
    <row r="34" spans="1:2" x14ac:dyDescent="0.5">
      <c r="A34" s="72" t="s">
        <v>428</v>
      </c>
      <c r="B34" s="73">
        <v>45288</v>
      </c>
    </row>
    <row r="35" spans="1:2" x14ac:dyDescent="0.5">
      <c r="A35" s="72" t="s">
        <v>235</v>
      </c>
      <c r="B35" s="73">
        <v>44898</v>
      </c>
    </row>
    <row r="36" spans="1:2" x14ac:dyDescent="0.5">
      <c r="A36" s="72" t="s">
        <v>1811</v>
      </c>
      <c r="B36" s="73">
        <v>45330</v>
      </c>
    </row>
    <row r="37" spans="1:2" x14ac:dyDescent="0.5">
      <c r="A37" s="72" t="s">
        <v>2117</v>
      </c>
      <c r="B37" s="73">
        <v>45118</v>
      </c>
    </row>
    <row r="38" spans="1:2" x14ac:dyDescent="0.5">
      <c r="A38" s="72" t="s">
        <v>2347</v>
      </c>
      <c r="B38" s="73">
        <v>45330</v>
      </c>
    </row>
    <row r="39" spans="1:2" x14ac:dyDescent="0.5">
      <c r="A39" s="72" t="s">
        <v>1895</v>
      </c>
      <c r="B39" s="73">
        <v>44992</v>
      </c>
    </row>
    <row r="40" spans="1:2" x14ac:dyDescent="0.5">
      <c r="A40" s="72" t="s">
        <v>2351</v>
      </c>
      <c r="B40" s="73">
        <v>45330</v>
      </c>
    </row>
    <row r="41" spans="1:2" x14ac:dyDescent="0.5">
      <c r="A41" s="73" t="s">
        <v>476</v>
      </c>
      <c r="B41" s="73">
        <v>45218</v>
      </c>
    </row>
    <row r="42" spans="1:2" x14ac:dyDescent="0.5">
      <c r="A42" s="77" t="s">
        <v>2350</v>
      </c>
      <c r="B42" s="76">
        <v>45330</v>
      </c>
    </row>
    <row r="43" spans="1:2" x14ac:dyDescent="0.5">
      <c r="A43" s="72" t="s">
        <v>907</v>
      </c>
      <c r="B43" s="73">
        <v>44895</v>
      </c>
    </row>
    <row r="44" spans="1:2" x14ac:dyDescent="0.5">
      <c r="A44" s="72" t="s">
        <v>539</v>
      </c>
      <c r="B44" s="73">
        <v>44974</v>
      </c>
    </row>
    <row r="45" spans="1:2" x14ac:dyDescent="0.5">
      <c r="A45" s="72" t="s">
        <v>1465</v>
      </c>
      <c r="B45" s="73">
        <v>44895</v>
      </c>
    </row>
    <row r="46" spans="1:2" x14ac:dyDescent="0.5">
      <c r="A46" s="72" t="s">
        <v>2119</v>
      </c>
      <c r="B46" s="73">
        <v>45118</v>
      </c>
    </row>
    <row r="47" spans="1:2" x14ac:dyDescent="0.5">
      <c r="A47" s="72" t="s">
        <v>2467</v>
      </c>
      <c r="B47" s="73">
        <v>45420</v>
      </c>
    </row>
    <row r="48" spans="1:2" x14ac:dyDescent="0.5">
      <c r="A48" s="72" t="s">
        <v>2584</v>
      </c>
      <c r="B48" s="73">
        <v>45405</v>
      </c>
    </row>
    <row r="49" spans="1:2" x14ac:dyDescent="0.5">
      <c r="A49" s="72" t="s">
        <v>423</v>
      </c>
      <c r="B49" s="73">
        <v>45356</v>
      </c>
    </row>
    <row r="50" spans="1:2" x14ac:dyDescent="0.5">
      <c r="A50" s="72" t="s">
        <v>541</v>
      </c>
      <c r="B50" s="73">
        <v>44966</v>
      </c>
    </row>
    <row r="51" spans="1:2" x14ac:dyDescent="0.5">
      <c r="A51" s="72" t="s">
        <v>2072</v>
      </c>
      <c r="B51" s="73">
        <v>45077</v>
      </c>
    </row>
    <row r="52" spans="1:2" x14ac:dyDescent="0.5">
      <c r="A52" s="72" t="s">
        <v>1413</v>
      </c>
      <c r="B52" s="73">
        <v>44986</v>
      </c>
    </row>
    <row r="53" spans="1:2" x14ac:dyDescent="0.5">
      <c r="A53" s="72" t="s">
        <v>2423</v>
      </c>
      <c r="B53" s="73">
        <v>45393</v>
      </c>
    </row>
    <row r="54" spans="1:2" x14ac:dyDescent="0.5">
      <c r="A54" s="72" t="s">
        <v>1429</v>
      </c>
      <c r="B54" s="73">
        <v>45259</v>
      </c>
    </row>
    <row r="55" spans="1:2" x14ac:dyDescent="0.5">
      <c r="A55" s="72" t="s">
        <v>2226</v>
      </c>
      <c r="B55" s="73">
        <v>45218</v>
      </c>
    </row>
    <row r="56" spans="1:2" x14ac:dyDescent="0.5">
      <c r="A56" s="72" t="s">
        <v>2247</v>
      </c>
      <c r="B56" s="73">
        <v>45254</v>
      </c>
    </row>
    <row r="57" spans="1:2" x14ac:dyDescent="0.5">
      <c r="A57" s="72" t="s">
        <v>2585</v>
      </c>
      <c r="B57" s="73">
        <v>45147</v>
      </c>
    </row>
    <row r="58" spans="1:2" x14ac:dyDescent="0.5">
      <c r="A58" s="72" t="s">
        <v>2160</v>
      </c>
      <c r="B58" s="73">
        <v>45139</v>
      </c>
    </row>
    <row r="59" spans="1:2" x14ac:dyDescent="0.5">
      <c r="A59" s="72" t="s">
        <v>525</v>
      </c>
      <c r="B59" s="73">
        <v>44995</v>
      </c>
    </row>
    <row r="60" spans="1:2" x14ac:dyDescent="0.5">
      <c r="A60" s="72" t="s">
        <v>242</v>
      </c>
      <c r="B60" s="73">
        <v>44960</v>
      </c>
    </row>
    <row r="61" spans="1:2" x14ac:dyDescent="0.5">
      <c r="A61" s="72" t="s">
        <v>459</v>
      </c>
      <c r="B61" s="73">
        <v>44953</v>
      </c>
    </row>
    <row r="62" spans="1:2" x14ac:dyDescent="0.5">
      <c r="A62" s="72" t="s">
        <v>1486</v>
      </c>
      <c r="B62" s="73">
        <v>44887</v>
      </c>
    </row>
    <row r="63" spans="1:2" x14ac:dyDescent="0.5">
      <c r="A63" s="72" t="s">
        <v>821</v>
      </c>
      <c r="B63" s="73">
        <v>44890</v>
      </c>
    </row>
    <row r="64" spans="1:2" x14ac:dyDescent="0.5">
      <c r="A64" s="72" t="s">
        <v>390</v>
      </c>
      <c r="B64" s="73">
        <v>45174</v>
      </c>
    </row>
    <row r="65" spans="1:2" x14ac:dyDescent="0.5">
      <c r="A65" s="72" t="s">
        <v>87</v>
      </c>
      <c r="B65" s="73">
        <v>45154</v>
      </c>
    </row>
    <row r="66" spans="1:2" x14ac:dyDescent="0.5">
      <c r="A66" s="72" t="s">
        <v>786</v>
      </c>
      <c r="B66" s="73">
        <v>44895</v>
      </c>
    </row>
    <row r="67" spans="1:2" x14ac:dyDescent="0.5">
      <c r="A67" s="72" t="s">
        <v>931</v>
      </c>
      <c r="B67" s="73">
        <v>45408</v>
      </c>
    </row>
    <row r="68" spans="1:2" x14ac:dyDescent="0.5">
      <c r="A68" s="72" t="s">
        <v>108</v>
      </c>
      <c r="B68" s="73">
        <v>45279</v>
      </c>
    </row>
    <row r="69" spans="1:2" x14ac:dyDescent="0.5">
      <c r="A69" s="72" t="s">
        <v>857</v>
      </c>
      <c r="B69" s="73">
        <v>45188</v>
      </c>
    </row>
    <row r="70" spans="1:2" x14ac:dyDescent="0.5">
      <c r="A70" s="72" t="s">
        <v>2586</v>
      </c>
      <c r="B70" s="73">
        <v>45314</v>
      </c>
    </row>
    <row r="71" spans="1:2" x14ac:dyDescent="0.5">
      <c r="A71" s="72" t="s">
        <v>545</v>
      </c>
      <c r="B71" s="73"/>
    </row>
    <row r="72" spans="1:2" x14ac:dyDescent="0.5">
      <c r="A72" s="73" t="s">
        <v>534</v>
      </c>
      <c r="B72" s="73">
        <v>44898</v>
      </c>
    </row>
    <row r="73" spans="1:2" x14ac:dyDescent="0.5">
      <c r="A73" s="72" t="s">
        <v>308</v>
      </c>
      <c r="B73" s="73">
        <v>45330</v>
      </c>
    </row>
    <row r="74" spans="1:2" x14ac:dyDescent="0.5">
      <c r="A74" s="72" t="s">
        <v>831</v>
      </c>
      <c r="B74" s="73">
        <v>44932</v>
      </c>
    </row>
    <row r="75" spans="1:2" x14ac:dyDescent="0.5">
      <c r="A75" s="72" t="s">
        <v>2241</v>
      </c>
      <c r="B75" s="73">
        <v>45247</v>
      </c>
    </row>
    <row r="76" spans="1:2" x14ac:dyDescent="0.5">
      <c r="A76" s="72" t="s">
        <v>1791</v>
      </c>
      <c r="B76" s="73">
        <v>44966</v>
      </c>
    </row>
    <row r="77" spans="1:2" x14ac:dyDescent="0.5">
      <c r="A77" s="72" t="s">
        <v>528</v>
      </c>
      <c r="B77" s="73">
        <v>44992</v>
      </c>
    </row>
    <row r="78" spans="1:2" x14ac:dyDescent="0.5">
      <c r="A78" s="72" t="s">
        <v>588</v>
      </c>
      <c r="B78" s="73">
        <v>45004</v>
      </c>
    </row>
    <row r="79" spans="1:2" x14ac:dyDescent="0.5">
      <c r="A79" s="72" t="s">
        <v>697</v>
      </c>
      <c r="B79" s="73">
        <v>44904</v>
      </c>
    </row>
    <row r="80" spans="1:2" x14ac:dyDescent="0.5">
      <c r="A80" s="72" t="s">
        <v>1292</v>
      </c>
      <c r="B80" s="73">
        <v>45265</v>
      </c>
    </row>
    <row r="81" spans="1:2" x14ac:dyDescent="0.5">
      <c r="A81" s="72" t="s">
        <v>1348</v>
      </c>
      <c r="B81" s="73">
        <v>45097</v>
      </c>
    </row>
    <row r="82" spans="1:2" x14ac:dyDescent="0.5">
      <c r="A82" s="72" t="s">
        <v>938</v>
      </c>
      <c r="B82" s="73">
        <v>44940</v>
      </c>
    </row>
    <row r="83" spans="1:2" x14ac:dyDescent="0.5">
      <c r="A83" s="72" t="s">
        <v>1404</v>
      </c>
      <c r="B83" s="73">
        <v>45083</v>
      </c>
    </row>
    <row r="84" spans="1:2" x14ac:dyDescent="0.5">
      <c r="A84" s="77" t="s">
        <v>950</v>
      </c>
      <c r="B84" s="76">
        <v>44952</v>
      </c>
    </row>
    <row r="85" spans="1:2" x14ac:dyDescent="0.5">
      <c r="A85" s="72" t="s">
        <v>441</v>
      </c>
      <c r="B85" s="73">
        <v>44940</v>
      </c>
    </row>
    <row r="86" spans="1:2" x14ac:dyDescent="0.5">
      <c r="A86" s="72" t="s">
        <v>495</v>
      </c>
      <c r="B86" s="73">
        <v>44884</v>
      </c>
    </row>
    <row r="87" spans="1:2" x14ac:dyDescent="0.5">
      <c r="A87" s="72" t="s">
        <v>500</v>
      </c>
      <c r="B87" s="73">
        <v>44890</v>
      </c>
    </row>
    <row r="88" spans="1:2" x14ac:dyDescent="0.5">
      <c r="A88" s="72" t="s">
        <v>1897</v>
      </c>
      <c r="B88" s="73">
        <v>44992</v>
      </c>
    </row>
    <row r="89" spans="1:2" x14ac:dyDescent="0.5">
      <c r="A89" s="72" t="s">
        <v>447</v>
      </c>
      <c r="B89" s="73">
        <v>44890</v>
      </c>
    </row>
    <row r="90" spans="1:2" x14ac:dyDescent="0.5">
      <c r="A90" s="72" t="s">
        <v>714</v>
      </c>
      <c r="B90" s="73">
        <v>45330</v>
      </c>
    </row>
    <row r="91" spans="1:2" x14ac:dyDescent="0.5">
      <c r="A91" s="72" t="s">
        <v>393</v>
      </c>
      <c r="B91" s="73">
        <v>44950</v>
      </c>
    </row>
    <row r="92" spans="1:2" x14ac:dyDescent="0.5">
      <c r="A92" s="72" t="s">
        <v>933</v>
      </c>
      <c r="B92" s="73">
        <v>45139</v>
      </c>
    </row>
    <row r="93" spans="1:2" x14ac:dyDescent="0.5">
      <c r="A93" s="72" t="s">
        <v>403</v>
      </c>
      <c r="B93" s="73">
        <v>45118</v>
      </c>
    </row>
    <row r="94" spans="1:2" x14ac:dyDescent="0.5">
      <c r="A94" s="73" t="s">
        <v>911</v>
      </c>
      <c r="B94" s="73">
        <v>44898</v>
      </c>
    </row>
    <row r="95" spans="1:2" x14ac:dyDescent="0.5">
      <c r="A95" s="72" t="s">
        <v>990</v>
      </c>
      <c r="B95" s="73">
        <v>45218</v>
      </c>
    </row>
    <row r="96" spans="1:2" x14ac:dyDescent="0.5">
      <c r="A96" s="72" t="s">
        <v>1720</v>
      </c>
      <c r="B96" s="73">
        <v>44950</v>
      </c>
    </row>
    <row r="97" spans="1:2" x14ac:dyDescent="0.5">
      <c r="A97" s="72" t="s">
        <v>1481</v>
      </c>
      <c r="B97" s="73">
        <v>44904</v>
      </c>
    </row>
    <row r="98" spans="1:2" x14ac:dyDescent="0.5">
      <c r="A98" s="72" t="s">
        <v>989</v>
      </c>
      <c r="B98" s="73">
        <v>44972</v>
      </c>
    </row>
    <row r="99" spans="1:2" x14ac:dyDescent="0.5">
      <c r="A99" s="72" t="s">
        <v>496</v>
      </c>
      <c r="B99" s="73">
        <v>45097</v>
      </c>
    </row>
    <row r="100" spans="1:2" x14ac:dyDescent="0.5">
      <c r="A100" s="77" t="s">
        <v>344</v>
      </c>
      <c r="B100" s="76">
        <v>45330</v>
      </c>
    </row>
    <row r="101" spans="1:2" x14ac:dyDescent="0.5">
      <c r="A101" s="77" t="s">
        <v>1804</v>
      </c>
      <c r="B101" s="76">
        <v>44950</v>
      </c>
    </row>
    <row r="102" spans="1:2" x14ac:dyDescent="0.5">
      <c r="A102" s="72" t="s">
        <v>504</v>
      </c>
      <c r="B102" s="73">
        <v>44887</v>
      </c>
    </row>
    <row r="103" spans="1:2" x14ac:dyDescent="0.5">
      <c r="A103" s="72" t="s">
        <v>2589</v>
      </c>
      <c r="B103" s="73">
        <v>44972</v>
      </c>
    </row>
    <row r="104" spans="1:2" x14ac:dyDescent="0.5">
      <c r="A104" s="72" t="s">
        <v>1766</v>
      </c>
      <c r="B104" s="73">
        <v>45405</v>
      </c>
    </row>
    <row r="105" spans="1:2" x14ac:dyDescent="0.5">
      <c r="A105" s="72" t="s">
        <v>761</v>
      </c>
      <c r="B105" s="73">
        <v>45188</v>
      </c>
    </row>
    <row r="106" spans="1:2" x14ac:dyDescent="0.5">
      <c r="A106" s="72" t="s">
        <v>407</v>
      </c>
      <c r="B106" s="73">
        <v>45423</v>
      </c>
    </row>
    <row r="107" spans="1:2" x14ac:dyDescent="0.5">
      <c r="A107" s="72" t="s">
        <v>1265</v>
      </c>
      <c r="B107" s="73">
        <v>44922</v>
      </c>
    </row>
    <row r="108" spans="1:2" x14ac:dyDescent="0.5">
      <c r="A108" s="72" t="s">
        <v>63</v>
      </c>
      <c r="B108" s="73">
        <v>44932</v>
      </c>
    </row>
    <row r="109" spans="1:2" x14ac:dyDescent="0.5">
      <c r="A109" s="77" t="s">
        <v>2418</v>
      </c>
      <c r="B109" s="76">
        <v>45187</v>
      </c>
    </row>
    <row r="110" spans="1:2" x14ac:dyDescent="0.5">
      <c r="A110" s="72" t="s">
        <v>2142</v>
      </c>
      <c r="B110" s="73">
        <v>45129</v>
      </c>
    </row>
    <row r="111" spans="1:2" x14ac:dyDescent="0.5">
      <c r="A111" s="72" t="s">
        <v>1832</v>
      </c>
      <c r="B111" s="73">
        <v>44967</v>
      </c>
    </row>
    <row r="112" spans="1:2" x14ac:dyDescent="0.5">
      <c r="A112" s="72" t="s">
        <v>1103</v>
      </c>
      <c r="B112" s="73">
        <v>44895</v>
      </c>
    </row>
    <row r="113" spans="1:2" x14ac:dyDescent="0.5">
      <c r="A113" s="72" t="s">
        <v>1367</v>
      </c>
      <c r="B113" s="73"/>
    </row>
    <row r="114" spans="1:2" x14ac:dyDescent="0.5">
      <c r="A114" s="77" t="s">
        <v>1836</v>
      </c>
      <c r="B114" s="76">
        <v>44967</v>
      </c>
    </row>
    <row r="115" spans="1:2" x14ac:dyDescent="0.5">
      <c r="A115" s="72" t="s">
        <v>2591</v>
      </c>
      <c r="B115" s="73">
        <v>45408</v>
      </c>
    </row>
    <row r="116" spans="1:2" x14ac:dyDescent="0.5">
      <c r="A116" s="72" t="s">
        <v>2013</v>
      </c>
      <c r="B116" s="73">
        <v>45051</v>
      </c>
    </row>
    <row r="117" spans="1:2" x14ac:dyDescent="0.5">
      <c r="A117" s="72" t="s">
        <v>582</v>
      </c>
      <c r="B117" s="73">
        <v>45169</v>
      </c>
    </row>
    <row r="118" spans="1:2" x14ac:dyDescent="0.5">
      <c r="A118" s="72" t="s">
        <v>1337</v>
      </c>
      <c r="B118" s="73"/>
    </row>
    <row r="119" spans="1:2" x14ac:dyDescent="0.5">
      <c r="A119" s="77" t="s">
        <v>1347</v>
      </c>
      <c r="B119" s="76">
        <v>44895</v>
      </c>
    </row>
    <row r="120" spans="1:2" x14ac:dyDescent="0.5">
      <c r="A120" s="72" t="s">
        <v>2379</v>
      </c>
      <c r="B120" s="73">
        <v>45356</v>
      </c>
    </row>
    <row r="121" spans="1:2" x14ac:dyDescent="0.5">
      <c r="A121" s="72" t="s">
        <v>450</v>
      </c>
      <c r="B121" s="73">
        <v>45408</v>
      </c>
    </row>
    <row r="122" spans="1:2" x14ac:dyDescent="0.5">
      <c r="A122" s="72" t="s">
        <v>69</v>
      </c>
      <c r="B122" s="73">
        <v>45356</v>
      </c>
    </row>
    <row r="123" spans="1:2" x14ac:dyDescent="0.5">
      <c r="A123" s="72" t="s">
        <v>2156</v>
      </c>
      <c r="B123" s="73">
        <v>45139</v>
      </c>
    </row>
    <row r="124" spans="1:2" x14ac:dyDescent="0.5">
      <c r="A124" s="77" t="s">
        <v>547</v>
      </c>
      <c r="B124" s="76">
        <v>44885</v>
      </c>
    </row>
    <row r="125" spans="1:2" x14ac:dyDescent="0.5">
      <c r="A125" s="72" t="s">
        <v>1396</v>
      </c>
      <c r="B125" s="73">
        <v>45080</v>
      </c>
    </row>
    <row r="126" spans="1:2" x14ac:dyDescent="0.5">
      <c r="A126" s="77" t="s">
        <v>1035</v>
      </c>
      <c r="B126" s="76">
        <v>45356</v>
      </c>
    </row>
    <row r="127" spans="1:2" x14ac:dyDescent="0.5">
      <c r="A127" s="77" t="s">
        <v>997</v>
      </c>
      <c r="B127" s="76">
        <v>45028</v>
      </c>
    </row>
    <row r="128" spans="1:2" x14ac:dyDescent="0.5">
      <c r="A128" s="72" t="s">
        <v>2231</v>
      </c>
      <c r="B128" s="73">
        <v>45379</v>
      </c>
    </row>
    <row r="129" spans="1:2" x14ac:dyDescent="0.5">
      <c r="A129" s="72" t="s">
        <v>499</v>
      </c>
      <c r="B129" s="73">
        <v>45218</v>
      </c>
    </row>
    <row r="130" spans="1:2" x14ac:dyDescent="0.5">
      <c r="A130" s="72" t="s">
        <v>2188</v>
      </c>
      <c r="B130" s="73">
        <v>45174</v>
      </c>
    </row>
    <row r="131" spans="1:2" x14ac:dyDescent="0.5">
      <c r="A131" s="72" t="s">
        <v>557</v>
      </c>
      <c r="B131" s="73">
        <v>45097</v>
      </c>
    </row>
    <row r="132" spans="1:2" x14ac:dyDescent="0.5">
      <c r="A132" s="72" t="s">
        <v>73</v>
      </c>
      <c r="B132" s="73">
        <v>44974</v>
      </c>
    </row>
    <row r="133" spans="1:2" x14ac:dyDescent="0.5">
      <c r="A133" s="72" t="s">
        <v>1016</v>
      </c>
      <c r="B133" s="73">
        <v>45058</v>
      </c>
    </row>
    <row r="134" spans="1:2" x14ac:dyDescent="0.5">
      <c r="A134" s="72" t="s">
        <v>222</v>
      </c>
      <c r="B134" s="73">
        <v>45330</v>
      </c>
    </row>
    <row r="135" spans="1:2" x14ac:dyDescent="0.5">
      <c r="A135" s="72" t="s">
        <v>2330</v>
      </c>
      <c r="B135" s="73">
        <v>45317</v>
      </c>
    </row>
    <row r="136" spans="1:2" x14ac:dyDescent="0.5">
      <c r="A136" s="72" t="s">
        <v>708</v>
      </c>
      <c r="B136" s="73">
        <v>45294</v>
      </c>
    </row>
    <row r="137" spans="1:2" x14ac:dyDescent="0.5">
      <c r="A137" s="72" t="s">
        <v>2097</v>
      </c>
      <c r="B137" s="73">
        <v>45099</v>
      </c>
    </row>
    <row r="138" spans="1:2" x14ac:dyDescent="0.5">
      <c r="A138" s="72" t="s">
        <v>995</v>
      </c>
      <c r="B138" s="73">
        <v>44887</v>
      </c>
    </row>
    <row r="139" spans="1:2" x14ac:dyDescent="0.5">
      <c r="A139" s="72" t="s">
        <v>49</v>
      </c>
      <c r="B139" s="73">
        <v>45356</v>
      </c>
    </row>
    <row r="140" spans="1:2" x14ac:dyDescent="0.5">
      <c r="A140" s="77" t="s">
        <v>1293</v>
      </c>
      <c r="B140" s="76">
        <v>44940</v>
      </c>
    </row>
    <row r="141" spans="1:2" x14ac:dyDescent="0.5">
      <c r="A141" s="72" t="s">
        <v>1349</v>
      </c>
      <c r="B141" s="73">
        <v>44887</v>
      </c>
    </row>
    <row r="142" spans="1:2" x14ac:dyDescent="0.5">
      <c r="A142" s="72" t="s">
        <v>320</v>
      </c>
      <c r="B142" s="73">
        <v>45051</v>
      </c>
    </row>
    <row r="143" spans="1:2" x14ac:dyDescent="0.5">
      <c r="A143" s="72" t="s">
        <v>1676</v>
      </c>
      <c r="B143" s="73">
        <v>44932</v>
      </c>
    </row>
    <row r="144" spans="1:2" x14ac:dyDescent="0.5">
      <c r="A144" s="72" t="s">
        <v>1372</v>
      </c>
      <c r="B144" s="73">
        <v>44974</v>
      </c>
    </row>
    <row r="145" spans="1:2" x14ac:dyDescent="0.5">
      <c r="A145" s="72" t="s">
        <v>406</v>
      </c>
      <c r="B145" s="73">
        <v>44887</v>
      </c>
    </row>
    <row r="146" spans="1:2" x14ac:dyDescent="0.5">
      <c r="A146" s="72" t="s">
        <v>488</v>
      </c>
      <c r="B146" s="73">
        <v>44887</v>
      </c>
    </row>
    <row r="147" spans="1:2" x14ac:dyDescent="0.5">
      <c r="A147" s="72" t="s">
        <v>1665</v>
      </c>
      <c r="B147" s="73">
        <v>44890</v>
      </c>
    </row>
    <row r="148" spans="1:2" x14ac:dyDescent="0.5">
      <c r="A148" s="72" t="s">
        <v>76</v>
      </c>
      <c r="B148" s="73"/>
    </row>
    <row r="149" spans="1:2" x14ac:dyDescent="0.5">
      <c r="A149" s="72" t="s">
        <v>1490</v>
      </c>
      <c r="B149" s="73">
        <v>44932</v>
      </c>
    </row>
    <row r="150" spans="1:2" x14ac:dyDescent="0.5">
      <c r="A150" s="72" t="s">
        <v>535</v>
      </c>
      <c r="B150" s="73">
        <v>45139</v>
      </c>
    </row>
    <row r="151" spans="1:2" x14ac:dyDescent="0.5">
      <c r="A151" s="72" t="s">
        <v>456</v>
      </c>
      <c r="B151" s="73">
        <v>44950</v>
      </c>
    </row>
    <row r="152" spans="1:2" x14ac:dyDescent="0.5">
      <c r="A152" s="72" t="s">
        <v>1192</v>
      </c>
      <c r="B152" s="73">
        <v>44940</v>
      </c>
    </row>
    <row r="153" spans="1:2" x14ac:dyDescent="0.5">
      <c r="A153" s="77" t="s">
        <v>2227</v>
      </c>
      <c r="B153" s="76">
        <v>45218</v>
      </c>
    </row>
    <row r="154" spans="1:2" x14ac:dyDescent="0.5">
      <c r="A154" s="73" t="s">
        <v>563</v>
      </c>
      <c r="B154" s="73">
        <v>44898</v>
      </c>
    </row>
    <row r="155" spans="1:2" x14ac:dyDescent="0.5">
      <c r="A155" s="72" t="s">
        <v>1932</v>
      </c>
      <c r="B155" s="73">
        <v>45006</v>
      </c>
    </row>
    <row r="156" spans="1:2" x14ac:dyDescent="0.5">
      <c r="A156" s="72" t="s">
        <v>2243</v>
      </c>
      <c r="B156" s="73">
        <v>45248</v>
      </c>
    </row>
    <row r="157" spans="1:2" x14ac:dyDescent="0.5">
      <c r="A157" s="72" t="s">
        <v>2592</v>
      </c>
      <c r="B157" s="73">
        <v>45408</v>
      </c>
    </row>
    <row r="158" spans="1:2" x14ac:dyDescent="0.5">
      <c r="A158" s="73" t="s">
        <v>1036</v>
      </c>
      <c r="B158" s="73">
        <v>44898</v>
      </c>
    </row>
    <row r="159" spans="1:2" x14ac:dyDescent="0.5">
      <c r="A159" s="72" t="s">
        <v>426</v>
      </c>
      <c r="B159" s="73">
        <v>44895</v>
      </c>
    </row>
    <row r="160" spans="1:2" x14ac:dyDescent="0.5">
      <c r="A160" s="77" t="s">
        <v>1477</v>
      </c>
      <c r="B160" s="76">
        <v>44950</v>
      </c>
    </row>
    <row r="161" spans="1:2" x14ac:dyDescent="0.5">
      <c r="A161" s="72" t="s">
        <v>395</v>
      </c>
      <c r="B161" s="73">
        <v>45314</v>
      </c>
    </row>
    <row r="162" spans="1:2" x14ac:dyDescent="0.5">
      <c r="A162" s="72" t="s">
        <v>240</v>
      </c>
      <c r="B162" s="73">
        <v>44895</v>
      </c>
    </row>
    <row r="163" spans="1:2" x14ac:dyDescent="0.5">
      <c r="A163" s="72" t="s">
        <v>2354</v>
      </c>
      <c r="B163" s="73">
        <v>45330</v>
      </c>
    </row>
    <row r="164" spans="1:2" x14ac:dyDescent="0.5">
      <c r="A164" s="72" t="s">
        <v>1775</v>
      </c>
      <c r="B164" s="73">
        <v>44940</v>
      </c>
    </row>
    <row r="165" spans="1:2" x14ac:dyDescent="0.5">
      <c r="A165" s="72" t="s">
        <v>1178</v>
      </c>
      <c r="B165" s="73">
        <v>44950</v>
      </c>
    </row>
    <row r="166" spans="1:2" x14ac:dyDescent="0.5">
      <c r="A166" s="72" t="s">
        <v>74</v>
      </c>
      <c r="B166" s="73">
        <v>45379</v>
      </c>
    </row>
    <row r="167" spans="1:2" x14ac:dyDescent="0.5">
      <c r="A167" s="72" t="s">
        <v>992</v>
      </c>
      <c r="B167" s="73"/>
    </row>
    <row r="168" spans="1:2" x14ac:dyDescent="0.5">
      <c r="A168" s="72" t="s">
        <v>2221</v>
      </c>
      <c r="B168" s="73">
        <v>45218</v>
      </c>
    </row>
    <row r="169" spans="1:2" x14ac:dyDescent="0.5">
      <c r="A169" s="72" t="s">
        <v>313</v>
      </c>
      <c r="B169" s="73">
        <v>45261</v>
      </c>
    </row>
    <row r="170" spans="1:2" x14ac:dyDescent="0.5">
      <c r="A170" s="72" t="s">
        <v>2277</v>
      </c>
      <c r="B170" s="73">
        <v>45280</v>
      </c>
    </row>
    <row r="171" spans="1:2" x14ac:dyDescent="0.5">
      <c r="A171" s="72" t="s">
        <v>1580</v>
      </c>
      <c r="B171" s="73">
        <v>44884</v>
      </c>
    </row>
    <row r="172" spans="1:2" x14ac:dyDescent="0.5">
      <c r="A172" s="72" t="s">
        <v>529</v>
      </c>
      <c r="B172" s="73">
        <v>44990</v>
      </c>
    </row>
    <row r="173" spans="1:2" x14ac:dyDescent="0.5">
      <c r="A173" s="72" t="s">
        <v>625</v>
      </c>
      <c r="B173" s="73">
        <v>45188</v>
      </c>
    </row>
    <row r="174" spans="1:2" x14ac:dyDescent="0.5">
      <c r="A174" s="72" t="s">
        <v>2257</v>
      </c>
      <c r="B174" s="73">
        <v>45258</v>
      </c>
    </row>
    <row r="175" spans="1:2" x14ac:dyDescent="0.5">
      <c r="A175" s="77" t="s">
        <v>1181</v>
      </c>
      <c r="B175" s="76">
        <v>44895</v>
      </c>
    </row>
    <row r="176" spans="1:2" x14ac:dyDescent="0.5">
      <c r="A176" s="72" t="s">
        <v>2348</v>
      </c>
      <c r="B176" s="73">
        <v>45330</v>
      </c>
    </row>
    <row r="177" spans="1:2" x14ac:dyDescent="0.5">
      <c r="A177" s="72" t="s">
        <v>1180</v>
      </c>
      <c r="B177" s="73">
        <v>45314</v>
      </c>
    </row>
    <row r="178" spans="1:2" x14ac:dyDescent="0.5">
      <c r="A178" s="72" t="s">
        <v>2595</v>
      </c>
      <c r="B178" s="73">
        <v>45314</v>
      </c>
    </row>
    <row r="179" spans="1:2" x14ac:dyDescent="0.5">
      <c r="A179" s="72" t="s">
        <v>1373</v>
      </c>
      <c r="B179" s="73">
        <v>45181</v>
      </c>
    </row>
    <row r="180" spans="1:2" x14ac:dyDescent="0.5">
      <c r="A180" s="72" t="s">
        <v>555</v>
      </c>
      <c r="B180" s="73">
        <v>44887</v>
      </c>
    </row>
    <row r="181" spans="1:2" x14ac:dyDescent="0.5">
      <c r="A181" s="72" t="s">
        <v>2361</v>
      </c>
      <c r="B181" s="73">
        <v>45330</v>
      </c>
    </row>
    <row r="182" spans="1:2" x14ac:dyDescent="0.5">
      <c r="A182" s="72" t="s">
        <v>1898</v>
      </c>
      <c r="B182" s="73">
        <v>44995</v>
      </c>
    </row>
    <row r="183" spans="1:2" x14ac:dyDescent="0.5">
      <c r="A183" s="72" t="s">
        <v>806</v>
      </c>
      <c r="B183" s="73">
        <v>44917</v>
      </c>
    </row>
    <row r="184" spans="1:2" x14ac:dyDescent="0.5">
      <c r="A184" s="72" t="s">
        <v>1056</v>
      </c>
      <c r="B184" s="73">
        <v>44922</v>
      </c>
    </row>
    <row r="185" spans="1:2" x14ac:dyDescent="0.5">
      <c r="A185" s="72" t="s">
        <v>2539</v>
      </c>
      <c r="B185" s="73">
        <v>45408</v>
      </c>
    </row>
    <row r="186" spans="1:2" x14ac:dyDescent="0.5">
      <c r="A186" s="72" t="s">
        <v>399</v>
      </c>
      <c r="B186" s="73">
        <v>44895</v>
      </c>
    </row>
    <row r="187" spans="1:2" x14ac:dyDescent="0.5">
      <c r="A187" s="72" t="s">
        <v>1273</v>
      </c>
      <c r="B187" s="73">
        <v>45218</v>
      </c>
    </row>
    <row r="188" spans="1:2" x14ac:dyDescent="0.5">
      <c r="A188" s="72" t="s">
        <v>449</v>
      </c>
      <c r="B188" s="73">
        <v>45330</v>
      </c>
    </row>
    <row r="189" spans="1:2" x14ac:dyDescent="0.5">
      <c r="A189" s="72" t="s">
        <v>2250</v>
      </c>
      <c r="B189" s="73">
        <v>45254</v>
      </c>
    </row>
    <row r="190" spans="1:2" x14ac:dyDescent="0.5">
      <c r="A190" s="72" t="s">
        <v>100</v>
      </c>
      <c r="B190" s="73">
        <v>45279</v>
      </c>
    </row>
    <row r="191" spans="1:2" x14ac:dyDescent="0.5">
      <c r="A191" s="72" t="s">
        <v>1418</v>
      </c>
      <c r="B191" s="73">
        <v>45258</v>
      </c>
    </row>
    <row r="192" spans="1:2" x14ac:dyDescent="0.5">
      <c r="A192" s="77" t="s">
        <v>1375</v>
      </c>
      <c r="B192" s="76">
        <v>44922</v>
      </c>
    </row>
    <row r="193" spans="1:2" x14ac:dyDescent="0.5">
      <c r="A193" s="72" t="s">
        <v>432</v>
      </c>
      <c r="B193" s="73">
        <v>44887</v>
      </c>
    </row>
    <row r="194" spans="1:2" x14ac:dyDescent="0.5">
      <c r="A194" s="72" t="s">
        <v>1805</v>
      </c>
      <c r="B194" s="73">
        <v>44950</v>
      </c>
    </row>
    <row r="195" spans="1:2" x14ac:dyDescent="0.5">
      <c r="A195" s="72" t="s">
        <v>1783</v>
      </c>
      <c r="B195" s="73">
        <v>44952</v>
      </c>
    </row>
    <row r="196" spans="1:2" x14ac:dyDescent="0.5">
      <c r="A196" s="72" t="s">
        <v>1864</v>
      </c>
      <c r="B196" s="73">
        <v>44974</v>
      </c>
    </row>
    <row r="197" spans="1:2" x14ac:dyDescent="0.5">
      <c r="A197" s="72" t="s">
        <v>1351</v>
      </c>
      <c r="B197" s="73">
        <v>44952</v>
      </c>
    </row>
    <row r="198" spans="1:2" x14ac:dyDescent="0.5">
      <c r="A198" s="72" t="s">
        <v>273</v>
      </c>
      <c r="B198" s="73">
        <v>45141</v>
      </c>
    </row>
    <row r="199" spans="1:2" x14ac:dyDescent="0.5">
      <c r="A199" s="72" t="s">
        <v>2360</v>
      </c>
      <c r="B199" s="73">
        <v>45330</v>
      </c>
    </row>
    <row r="200" spans="1:2" x14ac:dyDescent="0.5">
      <c r="A200" s="72" t="s">
        <v>335</v>
      </c>
      <c r="B200" s="73">
        <v>45051</v>
      </c>
    </row>
    <row r="201" spans="1:2" x14ac:dyDescent="0.5">
      <c r="A201" s="72" t="s">
        <v>2532</v>
      </c>
      <c r="B201" s="73">
        <v>45139</v>
      </c>
    </row>
    <row r="202" spans="1:2" x14ac:dyDescent="0.5">
      <c r="A202" s="77" t="s">
        <v>1776</v>
      </c>
      <c r="B202" s="76">
        <v>44950</v>
      </c>
    </row>
    <row r="203" spans="1:2" x14ac:dyDescent="0.5">
      <c r="A203" s="72" t="s">
        <v>1781</v>
      </c>
      <c r="B203" s="73">
        <v>44952</v>
      </c>
    </row>
    <row r="204" spans="1:2" x14ac:dyDescent="0.5">
      <c r="A204" s="72" t="s">
        <v>1364</v>
      </c>
      <c r="B204" s="73">
        <v>44887</v>
      </c>
    </row>
    <row r="205" spans="1:2" x14ac:dyDescent="0.5">
      <c r="A205" s="72" t="s">
        <v>570</v>
      </c>
      <c r="B205" s="73">
        <v>44890</v>
      </c>
    </row>
    <row r="206" spans="1:2" x14ac:dyDescent="0.5">
      <c r="A206" s="72" t="s">
        <v>1731</v>
      </c>
      <c r="B206" s="73">
        <v>44922</v>
      </c>
    </row>
    <row r="207" spans="1:2" x14ac:dyDescent="0.5">
      <c r="A207" s="72" t="s">
        <v>1459</v>
      </c>
      <c r="B207" s="73">
        <v>44940</v>
      </c>
    </row>
    <row r="208" spans="1:2" x14ac:dyDescent="0.5">
      <c r="A208" s="72" t="s">
        <v>2432</v>
      </c>
      <c r="B208" s="73">
        <v>45420</v>
      </c>
    </row>
    <row r="209" spans="1:2" x14ac:dyDescent="0.5">
      <c r="A209" s="72" t="s">
        <v>2598</v>
      </c>
      <c r="B209" s="73">
        <v>45405</v>
      </c>
    </row>
    <row r="210" spans="1:2" x14ac:dyDescent="0.5">
      <c r="A210" s="72" t="s">
        <v>1365</v>
      </c>
      <c r="B210" s="73">
        <v>44952</v>
      </c>
    </row>
    <row r="211" spans="1:2" x14ac:dyDescent="0.5">
      <c r="A211" s="72" t="s">
        <v>1969</v>
      </c>
      <c r="B211" s="73">
        <v>45364</v>
      </c>
    </row>
    <row r="212" spans="1:2" x14ac:dyDescent="0.5">
      <c r="A212" s="73" t="s">
        <v>585</v>
      </c>
      <c r="B212" s="73">
        <v>44898</v>
      </c>
    </row>
    <row r="213" spans="1:2" x14ac:dyDescent="0.5">
      <c r="A213" s="72" t="s">
        <v>2263</v>
      </c>
      <c r="B213" s="73">
        <v>45259</v>
      </c>
    </row>
    <row r="214" spans="1:2" x14ac:dyDescent="0.5">
      <c r="A214" s="72" t="s">
        <v>443</v>
      </c>
      <c r="B214" s="73">
        <v>44986</v>
      </c>
    </row>
    <row r="215" spans="1:2" x14ac:dyDescent="0.5">
      <c r="A215" s="72" t="s">
        <v>1538</v>
      </c>
      <c r="B215" s="73">
        <v>45315</v>
      </c>
    </row>
    <row r="216" spans="1:2" x14ac:dyDescent="0.5">
      <c r="A216" s="72" t="s">
        <v>2394</v>
      </c>
      <c r="B216" s="73">
        <v>45364</v>
      </c>
    </row>
    <row r="217" spans="1:2" x14ac:dyDescent="0.5">
      <c r="A217" s="72" t="s">
        <v>2334</v>
      </c>
      <c r="B217" s="73">
        <v>45315</v>
      </c>
    </row>
    <row r="218" spans="1:2" x14ac:dyDescent="0.5">
      <c r="A218" s="72" t="s">
        <v>455</v>
      </c>
      <c r="B218" s="73">
        <v>45356</v>
      </c>
    </row>
    <row r="219" spans="1:2" x14ac:dyDescent="0.5">
      <c r="A219" s="72" t="s">
        <v>1294</v>
      </c>
      <c r="B219" s="73">
        <v>44974</v>
      </c>
    </row>
    <row r="220" spans="1:2" x14ac:dyDescent="0.5">
      <c r="A220" s="72" t="s">
        <v>2159</v>
      </c>
      <c r="B220" s="73">
        <v>45139</v>
      </c>
    </row>
    <row r="221" spans="1:2" x14ac:dyDescent="0.5">
      <c r="A221" s="72" t="s">
        <v>2352</v>
      </c>
      <c r="B221" s="73">
        <v>45330</v>
      </c>
    </row>
    <row r="222" spans="1:2" x14ac:dyDescent="0.5">
      <c r="A222" s="72" t="s">
        <v>1341</v>
      </c>
      <c r="B222" s="73">
        <v>44887</v>
      </c>
    </row>
    <row r="223" spans="1:2" x14ac:dyDescent="0.5">
      <c r="A223" s="72" t="s">
        <v>1388</v>
      </c>
      <c r="B223" s="73">
        <v>45254</v>
      </c>
    </row>
    <row r="224" spans="1:2" x14ac:dyDescent="0.5">
      <c r="A224" s="72" t="s">
        <v>391</v>
      </c>
      <c r="B224" s="73">
        <v>44952</v>
      </c>
    </row>
    <row r="225" spans="1:2" x14ac:dyDescent="0.5">
      <c r="A225" s="72" t="s">
        <v>442</v>
      </c>
      <c r="B225" s="73">
        <v>44950</v>
      </c>
    </row>
    <row r="226" spans="1:2" x14ac:dyDescent="0.5">
      <c r="A226" s="72" t="s">
        <v>2349</v>
      </c>
      <c r="B226" s="73">
        <v>45330</v>
      </c>
    </row>
    <row r="227" spans="1:2" x14ac:dyDescent="0.5">
      <c r="A227" s="72" t="s">
        <v>1772</v>
      </c>
      <c r="B227" s="73">
        <v>44940</v>
      </c>
    </row>
    <row r="228" spans="1:2" x14ac:dyDescent="0.5">
      <c r="A228" s="72" t="s">
        <v>1434</v>
      </c>
      <c r="B228" s="73">
        <v>44884</v>
      </c>
    </row>
    <row r="229" spans="1:2" x14ac:dyDescent="0.5">
      <c r="A229" s="72" t="s">
        <v>1377</v>
      </c>
      <c r="B229" s="73">
        <v>44968</v>
      </c>
    </row>
    <row r="230" spans="1:2" x14ac:dyDescent="0.5">
      <c r="A230" s="72" t="s">
        <v>626</v>
      </c>
      <c r="B230" s="73">
        <v>44952</v>
      </c>
    </row>
    <row r="231" spans="1:2" x14ac:dyDescent="0.5">
      <c r="A231" s="72" t="s">
        <v>1243</v>
      </c>
      <c r="B231" s="73">
        <v>45259</v>
      </c>
    </row>
    <row r="232" spans="1:2" x14ac:dyDescent="0.5">
      <c r="A232" s="72" t="s">
        <v>52</v>
      </c>
      <c r="B232" s="73">
        <v>44958</v>
      </c>
    </row>
    <row r="233" spans="1:2" x14ac:dyDescent="0.5">
      <c r="A233" s="72" t="s">
        <v>2599</v>
      </c>
      <c r="B233" s="73">
        <v>45248</v>
      </c>
    </row>
    <row r="234" spans="1:2" x14ac:dyDescent="0.5">
      <c r="A234" s="77" t="s">
        <v>606</v>
      </c>
      <c r="B234" s="76">
        <v>45028</v>
      </c>
    </row>
    <row r="235" spans="1:2" x14ac:dyDescent="0.5">
      <c r="A235" s="72" t="s">
        <v>483</v>
      </c>
      <c r="B235" s="370">
        <v>45408</v>
      </c>
    </row>
    <row r="236" spans="1:2" x14ac:dyDescent="0.5">
      <c r="A236" s="72" t="s">
        <v>1155</v>
      </c>
      <c r="B236" s="73">
        <v>44972</v>
      </c>
    </row>
    <row r="237" spans="1:2" x14ac:dyDescent="0.5">
      <c r="A237" s="72" t="s">
        <v>329</v>
      </c>
      <c r="B237" s="73">
        <v>45118</v>
      </c>
    </row>
    <row r="238" spans="1:2" x14ac:dyDescent="0.5">
      <c r="A238" s="73" t="s">
        <v>980</v>
      </c>
      <c r="B238" s="73">
        <v>44898</v>
      </c>
    </row>
    <row r="239" spans="1:2" x14ac:dyDescent="0.5">
      <c r="A239" s="72" t="s">
        <v>249</v>
      </c>
      <c r="B239" s="73">
        <v>45028</v>
      </c>
    </row>
    <row r="240" spans="1:2" x14ac:dyDescent="0.5">
      <c r="A240" s="72" t="s">
        <v>988</v>
      </c>
      <c r="B240" s="73">
        <v>45259</v>
      </c>
    </row>
    <row r="241" spans="1:2" x14ac:dyDescent="0.5">
      <c r="A241" s="72" t="s">
        <v>755</v>
      </c>
      <c r="B241" s="73">
        <v>44887</v>
      </c>
    </row>
    <row r="242" spans="1:2" x14ac:dyDescent="0.5">
      <c r="A242" s="72" t="s">
        <v>2359</v>
      </c>
      <c r="B242" s="73">
        <v>45330</v>
      </c>
    </row>
    <row r="243" spans="1:2" x14ac:dyDescent="0.5">
      <c r="A243" s="72" t="s">
        <v>904</v>
      </c>
      <c r="B243" s="73">
        <v>45330</v>
      </c>
    </row>
    <row r="244" spans="1:2" x14ac:dyDescent="0.5">
      <c r="A244" s="371" t="s">
        <v>2457</v>
      </c>
      <c r="B244" s="370">
        <v>45408</v>
      </c>
    </row>
    <row r="245" spans="1:2" x14ac:dyDescent="0.5">
      <c r="A245" s="77" t="s">
        <v>1685</v>
      </c>
      <c r="B245" s="76">
        <v>45314</v>
      </c>
    </row>
    <row r="246" spans="1:2" x14ac:dyDescent="0.5">
      <c r="A246" s="72" t="s">
        <v>1304</v>
      </c>
      <c r="B246" s="73">
        <v>44887</v>
      </c>
    </row>
    <row r="247" spans="1:2" x14ac:dyDescent="0.5">
      <c r="A247" s="72" t="s">
        <v>1376</v>
      </c>
      <c r="B247" s="73">
        <v>44932</v>
      </c>
    </row>
    <row r="248" spans="1:2" x14ac:dyDescent="0.5">
      <c r="A248" s="72" t="s">
        <v>362</v>
      </c>
      <c r="B248" s="73">
        <v>45218</v>
      </c>
    </row>
    <row r="249" spans="1:2" x14ac:dyDescent="0.5">
      <c r="A249" s="72" t="s">
        <v>1622</v>
      </c>
      <c r="B249" s="73">
        <v>44890</v>
      </c>
    </row>
    <row r="250" spans="1:2" x14ac:dyDescent="0.5">
      <c r="A250" s="72" t="s">
        <v>501</v>
      </c>
      <c r="B250" s="73">
        <v>44940</v>
      </c>
    </row>
    <row r="251" spans="1:2" x14ac:dyDescent="0.5">
      <c r="A251" s="72" t="s">
        <v>623</v>
      </c>
      <c r="B251" s="73">
        <v>45139</v>
      </c>
    </row>
    <row r="252" spans="1:2" x14ac:dyDescent="0.5">
      <c r="A252" s="72" t="s">
        <v>1503</v>
      </c>
      <c r="B252" s="73">
        <v>45139</v>
      </c>
    </row>
    <row r="253" spans="1:2" x14ac:dyDescent="0.5">
      <c r="A253" s="72" t="s">
        <v>1771</v>
      </c>
      <c r="B253" s="73">
        <v>44940</v>
      </c>
    </row>
    <row r="254" spans="1:2" x14ac:dyDescent="0.5">
      <c r="A254" s="72" t="s">
        <v>2162</v>
      </c>
      <c r="B254" s="73">
        <v>45141</v>
      </c>
    </row>
    <row r="255" spans="1:2" x14ac:dyDescent="0.5">
      <c r="A255" s="72" t="s">
        <v>519</v>
      </c>
      <c r="B255" s="73">
        <v>45294</v>
      </c>
    </row>
    <row r="256" spans="1:2" x14ac:dyDescent="0.5">
      <c r="A256" s="72" t="s">
        <v>404</v>
      </c>
      <c r="B256" s="73">
        <v>44896</v>
      </c>
    </row>
    <row r="257" spans="1:2" x14ac:dyDescent="0.5">
      <c r="A257" s="77" t="s">
        <v>516</v>
      </c>
      <c r="B257" s="76">
        <v>44952</v>
      </c>
    </row>
    <row r="258" spans="1:2" x14ac:dyDescent="0.5">
      <c r="A258" s="72" t="s">
        <v>1345</v>
      </c>
      <c r="B258" s="73">
        <v>45218</v>
      </c>
    </row>
    <row r="259" spans="1:2" x14ac:dyDescent="0.5">
      <c r="A259" s="72" t="s">
        <v>2446</v>
      </c>
      <c r="B259" s="73">
        <v>45408</v>
      </c>
    </row>
    <row r="260" spans="1:2" x14ac:dyDescent="0.5">
      <c r="A260" s="72" t="s">
        <v>2602</v>
      </c>
      <c r="B260" s="73">
        <v>45364</v>
      </c>
    </row>
    <row r="261" spans="1:2" x14ac:dyDescent="0.5">
      <c r="A261" s="72" t="s">
        <v>424</v>
      </c>
      <c r="B261" s="73">
        <v>44968</v>
      </c>
    </row>
    <row r="262" spans="1:2" x14ac:dyDescent="0.5">
      <c r="A262" s="72" t="s">
        <v>2244</v>
      </c>
      <c r="B262" s="73">
        <v>45248</v>
      </c>
    </row>
    <row r="263" spans="1:2" x14ac:dyDescent="0.5">
      <c r="A263" s="72" t="s">
        <v>1689</v>
      </c>
      <c r="B263" s="73">
        <v>44890</v>
      </c>
    </row>
    <row r="264" spans="1:2" x14ac:dyDescent="0.5">
      <c r="A264" s="72" t="s">
        <v>627</v>
      </c>
      <c r="B264" s="73">
        <v>45188</v>
      </c>
    </row>
    <row r="265" spans="1:2" x14ac:dyDescent="0.5">
      <c r="A265" s="72" t="s">
        <v>816</v>
      </c>
      <c r="B265" s="73">
        <v>45423</v>
      </c>
    </row>
    <row r="266" spans="1:2" x14ac:dyDescent="0.5">
      <c r="A266" s="72" t="s">
        <v>473</v>
      </c>
      <c r="B266" s="73">
        <v>44890</v>
      </c>
    </row>
    <row r="267" spans="1:2" x14ac:dyDescent="0.5">
      <c r="A267" s="72" t="s">
        <v>994</v>
      </c>
      <c r="B267" s="73">
        <v>44990</v>
      </c>
    </row>
    <row r="268" spans="1:2" x14ac:dyDescent="0.5">
      <c r="A268" s="72" t="s">
        <v>2321</v>
      </c>
      <c r="B268" s="73">
        <v>45315</v>
      </c>
    </row>
    <row r="269" spans="1:2" x14ac:dyDescent="0.5">
      <c r="A269" s="72" t="s">
        <v>1952</v>
      </c>
      <c r="B269" s="73">
        <v>45008</v>
      </c>
    </row>
    <row r="270" spans="1:2" x14ac:dyDescent="0.5">
      <c r="A270" s="72" t="s">
        <v>1400</v>
      </c>
      <c r="B270" s="73">
        <v>45259</v>
      </c>
    </row>
    <row r="271" spans="1:2" x14ac:dyDescent="0.5">
      <c r="A271" s="72" t="s">
        <v>202</v>
      </c>
      <c r="B271" s="73">
        <v>44922</v>
      </c>
    </row>
    <row r="272" spans="1:2" x14ac:dyDescent="0.5">
      <c r="A272" s="72" t="s">
        <v>511</v>
      </c>
      <c r="B272" s="73">
        <v>45004</v>
      </c>
    </row>
    <row r="273" spans="1:2" x14ac:dyDescent="0.5">
      <c r="A273" s="77" t="s">
        <v>2465</v>
      </c>
      <c r="B273" s="76">
        <v>45420</v>
      </c>
    </row>
    <row r="274" spans="1:2" x14ac:dyDescent="0.5">
      <c r="A274" s="72" t="s">
        <v>2603</v>
      </c>
      <c r="B274" s="73">
        <v>45141</v>
      </c>
    </row>
    <row r="275" spans="1:2" x14ac:dyDescent="0.5">
      <c r="A275" s="72" t="s">
        <v>797</v>
      </c>
      <c r="B275" s="73">
        <v>45020</v>
      </c>
    </row>
    <row r="276" spans="1:2" x14ac:dyDescent="0.5">
      <c r="A276" s="72" t="s">
        <v>991</v>
      </c>
      <c r="B276" s="73">
        <v>44930</v>
      </c>
    </row>
    <row r="277" spans="1:2" x14ac:dyDescent="0.5">
      <c r="A277" s="72" t="s">
        <v>471</v>
      </c>
      <c r="B277" s="73">
        <v>44974</v>
      </c>
    </row>
    <row r="278" spans="1:2" x14ac:dyDescent="0.5">
      <c r="A278" s="73" t="s">
        <v>1357</v>
      </c>
      <c r="B278" s="73">
        <v>44898</v>
      </c>
    </row>
    <row r="279" spans="1:2" x14ac:dyDescent="0.5">
      <c r="A279" s="77" t="s">
        <v>420</v>
      </c>
      <c r="B279" s="76">
        <v>45330</v>
      </c>
    </row>
    <row r="280" spans="1:2" x14ac:dyDescent="0.5">
      <c r="A280" s="72" t="s">
        <v>1837</v>
      </c>
      <c r="B280" s="73">
        <v>44967</v>
      </c>
    </row>
    <row r="281" spans="1:2" x14ac:dyDescent="0.5">
      <c r="A281" s="72" t="s">
        <v>598</v>
      </c>
      <c r="B281" s="73">
        <v>45218</v>
      </c>
    </row>
    <row r="282" spans="1:2" x14ac:dyDescent="0.5">
      <c r="A282" s="72"/>
      <c r="B282" s="72"/>
    </row>
    <row r="283" spans="1:2" x14ac:dyDescent="0.5">
      <c r="A283" s="72"/>
      <c r="B283" s="72"/>
    </row>
    <row r="284" spans="1:2" x14ac:dyDescent="0.5">
      <c r="A284" s="72"/>
      <c r="B284" s="72"/>
    </row>
    <row r="285" spans="1:2" x14ac:dyDescent="0.5">
      <c r="A285" s="72"/>
      <c r="B285" s="72"/>
    </row>
    <row r="286" spans="1:2" x14ac:dyDescent="0.5">
      <c r="A286" s="72"/>
      <c r="B286" s="72"/>
    </row>
    <row r="287" spans="1:2" x14ac:dyDescent="0.5">
      <c r="A287" s="72"/>
      <c r="B287" s="72"/>
    </row>
    <row r="288" spans="1:2" x14ac:dyDescent="0.5">
      <c r="A288" s="72"/>
      <c r="B288" s="72"/>
    </row>
    <row r="289" spans="1:2" x14ac:dyDescent="0.5">
      <c r="A289" s="72"/>
      <c r="B289" s="72"/>
    </row>
    <row r="290" spans="1:2" x14ac:dyDescent="0.5">
      <c r="A290" s="72"/>
      <c r="B290" s="72"/>
    </row>
    <row r="291" spans="1:2" x14ac:dyDescent="0.5">
      <c r="A291" s="72"/>
      <c r="B291" s="72"/>
    </row>
    <row r="292" spans="1:2" x14ac:dyDescent="0.5">
      <c r="A292" s="72"/>
      <c r="B292" s="72"/>
    </row>
    <row r="293" spans="1:2" x14ac:dyDescent="0.5">
      <c r="A293" s="72"/>
      <c r="B293" s="72"/>
    </row>
    <row r="294" spans="1:2" x14ac:dyDescent="0.5">
      <c r="A294" s="72"/>
      <c r="B294" s="72"/>
    </row>
    <row r="295" spans="1:2" x14ac:dyDescent="0.5">
      <c r="A295" s="72"/>
      <c r="B295" s="72"/>
    </row>
    <row r="296" spans="1:2" x14ac:dyDescent="0.5">
      <c r="A296" s="72"/>
      <c r="B296" s="72"/>
    </row>
    <row r="297" spans="1:2" x14ac:dyDescent="0.5">
      <c r="A297" s="72"/>
      <c r="B297" s="72"/>
    </row>
    <row r="298" spans="1:2" x14ac:dyDescent="0.5">
      <c r="A298" s="72"/>
      <c r="B298" s="72"/>
    </row>
    <row r="299" spans="1:2" x14ac:dyDescent="0.5">
      <c r="A299" s="72"/>
      <c r="B299" s="72"/>
    </row>
    <row r="300" spans="1:2" x14ac:dyDescent="0.5">
      <c r="A300" s="72"/>
      <c r="B300" s="72"/>
    </row>
    <row r="301" spans="1:2" x14ac:dyDescent="0.5">
      <c r="A301" s="72"/>
      <c r="B301" s="72"/>
    </row>
    <row r="302" spans="1:2" x14ac:dyDescent="0.5">
      <c r="A302" s="72"/>
      <c r="B302" s="72"/>
    </row>
    <row r="303" spans="1:2" x14ac:dyDescent="0.5">
      <c r="A303" s="72"/>
      <c r="B303" s="72"/>
    </row>
    <row r="304" spans="1:2" x14ac:dyDescent="0.5">
      <c r="A304" s="72"/>
      <c r="B304" s="72"/>
    </row>
    <row r="305" spans="1:2" x14ac:dyDescent="0.5">
      <c r="A305" s="72"/>
      <c r="B305" s="72"/>
    </row>
    <row r="306" spans="1:2" x14ac:dyDescent="0.5">
      <c r="A306" s="72"/>
      <c r="B306" s="72"/>
    </row>
    <row r="307" spans="1:2" x14ac:dyDescent="0.5">
      <c r="A307" s="72"/>
      <c r="B307" s="72"/>
    </row>
    <row r="308" spans="1:2" x14ac:dyDescent="0.5">
      <c r="A308" s="72"/>
      <c r="B308" s="72"/>
    </row>
    <row r="309" spans="1:2" x14ac:dyDescent="0.5">
      <c r="A309" s="72"/>
      <c r="B309" s="72"/>
    </row>
    <row r="310" spans="1:2" x14ac:dyDescent="0.5">
      <c r="A310" s="72"/>
      <c r="B310" s="72"/>
    </row>
    <row r="311" spans="1:2" x14ac:dyDescent="0.5">
      <c r="A311" s="72"/>
      <c r="B311" s="72"/>
    </row>
    <row r="312" spans="1:2" x14ac:dyDescent="0.5">
      <c r="A312" s="72"/>
      <c r="B312" s="72"/>
    </row>
    <row r="313" spans="1:2" x14ac:dyDescent="0.5">
      <c r="A313" s="72"/>
      <c r="B313" s="72"/>
    </row>
    <row r="314" spans="1:2" x14ac:dyDescent="0.5">
      <c r="A314" s="72"/>
      <c r="B314" s="72"/>
    </row>
    <row r="315" spans="1:2" x14ac:dyDescent="0.5">
      <c r="A315" s="72"/>
      <c r="B315" s="72"/>
    </row>
    <row r="316" spans="1:2" x14ac:dyDescent="0.5">
      <c r="A316" s="72"/>
      <c r="B316" s="72"/>
    </row>
    <row r="317" spans="1:2" x14ac:dyDescent="0.5">
      <c r="A317" s="72"/>
      <c r="B317" s="72"/>
    </row>
    <row r="318" spans="1:2" x14ac:dyDescent="0.5">
      <c r="A318" s="72"/>
      <c r="B318" s="72"/>
    </row>
    <row r="319" spans="1:2" x14ac:dyDescent="0.5">
      <c r="A319" s="72"/>
      <c r="B319" s="72"/>
    </row>
    <row r="320" spans="1:2" x14ac:dyDescent="0.5">
      <c r="A320" s="72"/>
      <c r="B320" s="72"/>
    </row>
    <row r="321" spans="1:2" x14ac:dyDescent="0.5">
      <c r="A321" s="72"/>
      <c r="B321" s="72"/>
    </row>
    <row r="322" spans="1:2" x14ac:dyDescent="0.5">
      <c r="A322" s="72"/>
      <c r="B322" s="72"/>
    </row>
    <row r="323" spans="1:2" x14ac:dyDescent="0.5">
      <c r="A323" s="72"/>
      <c r="B323" s="72"/>
    </row>
    <row r="324" spans="1:2" x14ac:dyDescent="0.5">
      <c r="A324" s="72"/>
      <c r="B324" s="72"/>
    </row>
    <row r="325" spans="1:2" x14ac:dyDescent="0.5">
      <c r="A325" s="72"/>
      <c r="B325" s="72"/>
    </row>
    <row r="326" spans="1:2" x14ac:dyDescent="0.5">
      <c r="A326" s="72"/>
      <c r="B326" s="72"/>
    </row>
    <row r="327" spans="1:2" x14ac:dyDescent="0.5">
      <c r="A327" s="72"/>
      <c r="B327" s="72"/>
    </row>
    <row r="328" spans="1:2" x14ac:dyDescent="0.5">
      <c r="A328" s="72"/>
      <c r="B328" s="72"/>
    </row>
    <row r="329" spans="1:2" x14ac:dyDescent="0.5">
      <c r="A329" s="72"/>
      <c r="B329" s="72"/>
    </row>
    <row r="330" spans="1:2" x14ac:dyDescent="0.5">
      <c r="A330" s="72"/>
      <c r="B330" s="72"/>
    </row>
    <row r="331" spans="1:2" x14ac:dyDescent="0.5">
      <c r="A331" s="72"/>
      <c r="B331" s="72"/>
    </row>
    <row r="332" spans="1:2" x14ac:dyDescent="0.5">
      <c r="A332" s="72"/>
      <c r="B332" s="72"/>
    </row>
    <row r="333" spans="1:2" x14ac:dyDescent="0.5">
      <c r="A333" s="72"/>
      <c r="B333" s="72"/>
    </row>
    <row r="334" spans="1:2" x14ac:dyDescent="0.5">
      <c r="A334" s="72"/>
      <c r="B334" s="72"/>
    </row>
    <row r="335" spans="1:2" x14ac:dyDescent="0.5">
      <c r="A335" s="72"/>
      <c r="B335" s="72"/>
    </row>
    <row r="336" spans="1:2" x14ac:dyDescent="0.5">
      <c r="A336" s="72"/>
      <c r="B336" s="72"/>
    </row>
    <row r="337" spans="1:2" x14ac:dyDescent="0.5">
      <c r="A337" s="72"/>
      <c r="B337" s="72"/>
    </row>
    <row r="338" spans="1:2" x14ac:dyDescent="0.5">
      <c r="A338" s="72"/>
      <c r="B338" s="72"/>
    </row>
    <row r="339" spans="1:2" x14ac:dyDescent="0.5">
      <c r="A339" s="72"/>
      <c r="B339" s="72"/>
    </row>
    <row r="340" spans="1:2" x14ac:dyDescent="0.5">
      <c r="A340" s="72"/>
      <c r="B340" s="72"/>
    </row>
    <row r="341" spans="1:2" x14ac:dyDescent="0.5">
      <c r="A341" s="72"/>
      <c r="B341" s="72"/>
    </row>
    <row r="342" spans="1:2" x14ac:dyDescent="0.5">
      <c r="A342" s="72"/>
      <c r="B342" s="72"/>
    </row>
    <row r="343" spans="1:2" x14ac:dyDescent="0.5">
      <c r="A343" s="72"/>
      <c r="B343" s="72"/>
    </row>
    <row r="344" spans="1:2" x14ac:dyDescent="0.5">
      <c r="A344" s="72"/>
      <c r="B344" s="72"/>
    </row>
    <row r="345" spans="1:2" x14ac:dyDescent="0.5">
      <c r="A345" s="72"/>
      <c r="B345" s="72"/>
    </row>
    <row r="346" spans="1:2" x14ac:dyDescent="0.5">
      <c r="A346" s="72"/>
      <c r="B346" s="72"/>
    </row>
    <row r="347" spans="1:2" x14ac:dyDescent="0.5">
      <c r="A347" s="72"/>
      <c r="B347" s="72"/>
    </row>
    <row r="348" spans="1:2" x14ac:dyDescent="0.5">
      <c r="A348" s="72"/>
      <c r="B348" s="72"/>
    </row>
    <row r="349" spans="1:2" x14ac:dyDescent="0.5">
      <c r="A349" s="72"/>
      <c r="B349" s="72"/>
    </row>
    <row r="350" spans="1:2" x14ac:dyDescent="0.5">
      <c r="A350" s="72"/>
      <c r="B350" s="72"/>
    </row>
    <row r="351" spans="1:2" x14ac:dyDescent="0.5">
      <c r="A351" s="72"/>
      <c r="B351" s="72"/>
    </row>
    <row r="352" spans="1:2" x14ac:dyDescent="0.5">
      <c r="A352" s="72"/>
      <c r="B352" s="72"/>
    </row>
    <row r="353" spans="1:2" x14ac:dyDescent="0.5">
      <c r="A353" s="72"/>
      <c r="B353" s="72"/>
    </row>
    <row r="354" spans="1:2" x14ac:dyDescent="0.5">
      <c r="A354" s="72"/>
      <c r="B354" s="72"/>
    </row>
    <row r="355" spans="1:2" x14ac:dyDescent="0.5">
      <c r="A355" s="72"/>
      <c r="B355" s="72"/>
    </row>
    <row r="356" spans="1:2" x14ac:dyDescent="0.5">
      <c r="A356" s="72"/>
      <c r="B356" s="72"/>
    </row>
    <row r="357" spans="1:2" x14ac:dyDescent="0.5">
      <c r="A357" s="72"/>
      <c r="B357" s="72"/>
    </row>
    <row r="358" spans="1:2" x14ac:dyDescent="0.5">
      <c r="A358" s="72"/>
      <c r="B358" s="72"/>
    </row>
    <row r="359" spans="1:2" x14ac:dyDescent="0.5">
      <c r="A359" s="72"/>
      <c r="B359" s="72"/>
    </row>
    <row r="360" spans="1:2" x14ac:dyDescent="0.5">
      <c r="A360" s="72"/>
      <c r="B360" s="72"/>
    </row>
    <row r="361" spans="1:2" x14ac:dyDescent="0.5">
      <c r="A361" s="72"/>
      <c r="B361" s="72"/>
    </row>
    <row r="362" spans="1:2" x14ac:dyDescent="0.5">
      <c r="A362" s="72"/>
      <c r="B362" s="72"/>
    </row>
    <row r="363" spans="1:2" x14ac:dyDescent="0.5">
      <c r="A363" s="72"/>
      <c r="B363" s="72"/>
    </row>
    <row r="364" spans="1:2" x14ac:dyDescent="0.5">
      <c r="A364" s="72"/>
      <c r="B364" s="72"/>
    </row>
    <row r="365" spans="1:2" x14ac:dyDescent="0.5">
      <c r="A365" s="72"/>
      <c r="B365" s="72"/>
    </row>
    <row r="366" spans="1:2" x14ac:dyDescent="0.5">
      <c r="A366" s="72"/>
      <c r="B366" s="72"/>
    </row>
    <row r="367" spans="1:2" x14ac:dyDescent="0.5">
      <c r="A367" s="72"/>
      <c r="B367" s="72"/>
    </row>
    <row r="368" spans="1:2" x14ac:dyDescent="0.5">
      <c r="A368" s="72"/>
      <c r="B368" s="72"/>
    </row>
    <row r="369" spans="1:2" x14ac:dyDescent="0.5">
      <c r="A369" s="72"/>
      <c r="B369" s="72"/>
    </row>
    <row r="370" spans="1:2" x14ac:dyDescent="0.5">
      <c r="A370" s="72"/>
      <c r="B370" s="72"/>
    </row>
    <row r="371" spans="1:2" x14ac:dyDescent="0.5">
      <c r="A371" s="72"/>
      <c r="B371" s="72"/>
    </row>
    <row r="372" spans="1:2" x14ac:dyDescent="0.5">
      <c r="A372" s="72"/>
      <c r="B372" s="72"/>
    </row>
    <row r="373" spans="1:2" x14ac:dyDescent="0.5">
      <c r="A373" s="72"/>
      <c r="B373" s="72"/>
    </row>
    <row r="374" spans="1:2" x14ac:dyDescent="0.5">
      <c r="A374" s="72"/>
      <c r="B374" s="72"/>
    </row>
    <row r="375" spans="1:2" x14ac:dyDescent="0.5">
      <c r="A375" s="72"/>
      <c r="B375" s="72"/>
    </row>
    <row r="376" spans="1:2" x14ac:dyDescent="0.5">
      <c r="A376" s="72"/>
      <c r="B376" s="72"/>
    </row>
    <row r="377" spans="1:2" x14ac:dyDescent="0.5">
      <c r="A377" s="72"/>
      <c r="B377" s="72"/>
    </row>
    <row r="378" spans="1:2" x14ac:dyDescent="0.5">
      <c r="A378" s="72"/>
      <c r="B378" s="72"/>
    </row>
    <row r="379" spans="1:2" x14ac:dyDescent="0.5">
      <c r="A379" s="72"/>
      <c r="B379" s="72"/>
    </row>
    <row r="380" spans="1:2" x14ac:dyDescent="0.5">
      <c r="A380" s="72"/>
      <c r="B380" s="72"/>
    </row>
    <row r="381" spans="1:2" x14ac:dyDescent="0.5">
      <c r="A381" s="72"/>
      <c r="B381" s="72"/>
    </row>
    <row r="382" spans="1:2" x14ac:dyDescent="0.5">
      <c r="A382" s="72"/>
      <c r="B382" s="72"/>
    </row>
    <row r="383" spans="1:2" x14ac:dyDescent="0.5">
      <c r="A383" s="72"/>
      <c r="B383" s="72"/>
    </row>
    <row r="384" spans="1:2" x14ac:dyDescent="0.5">
      <c r="A384" s="72"/>
      <c r="B384" s="72"/>
    </row>
    <row r="385" spans="1:2" x14ac:dyDescent="0.5">
      <c r="A385" s="72"/>
      <c r="B385" s="72"/>
    </row>
    <row r="386" spans="1:2" x14ac:dyDescent="0.5">
      <c r="A386" s="72"/>
      <c r="B386" s="72"/>
    </row>
    <row r="387" spans="1:2" x14ac:dyDescent="0.5">
      <c r="A387" s="72"/>
      <c r="B387" s="72"/>
    </row>
    <row r="388" spans="1:2" x14ac:dyDescent="0.5">
      <c r="A388" s="72"/>
      <c r="B388" s="72"/>
    </row>
    <row r="389" spans="1:2" x14ac:dyDescent="0.5">
      <c r="A389" s="72"/>
      <c r="B389" s="72"/>
    </row>
    <row r="390" spans="1:2" x14ac:dyDescent="0.5">
      <c r="A390" s="72"/>
      <c r="B390" s="72"/>
    </row>
    <row r="391" spans="1:2" x14ac:dyDescent="0.5">
      <c r="A391" s="72"/>
      <c r="B391" s="72"/>
    </row>
    <row r="392" spans="1:2" x14ac:dyDescent="0.5">
      <c r="A392" s="72"/>
      <c r="B392" s="72"/>
    </row>
    <row r="393" spans="1:2" x14ac:dyDescent="0.5">
      <c r="A393" s="72"/>
      <c r="B393" s="72"/>
    </row>
    <row r="394" spans="1:2" x14ac:dyDescent="0.5">
      <c r="A394" s="72"/>
      <c r="B394" s="72"/>
    </row>
    <row r="395" spans="1:2" x14ac:dyDescent="0.5">
      <c r="A395" s="72"/>
      <c r="B395" s="72"/>
    </row>
    <row r="396" spans="1:2" x14ac:dyDescent="0.5">
      <c r="A396" s="72"/>
      <c r="B396" s="72"/>
    </row>
    <row r="397" spans="1:2" x14ac:dyDescent="0.5">
      <c r="A397" s="72"/>
      <c r="B397" s="72"/>
    </row>
    <row r="398" spans="1:2" x14ac:dyDescent="0.5">
      <c r="A398" s="72"/>
      <c r="B398" s="72"/>
    </row>
    <row r="399" spans="1:2" x14ac:dyDescent="0.5">
      <c r="A399" s="72"/>
      <c r="B399" s="72"/>
    </row>
    <row r="400" spans="1:2" x14ac:dyDescent="0.5">
      <c r="A400" s="72"/>
      <c r="B400" s="72"/>
    </row>
    <row r="401" spans="1:2" x14ac:dyDescent="0.5">
      <c r="A401" s="72"/>
      <c r="B401" s="72"/>
    </row>
    <row r="402" spans="1:2" x14ac:dyDescent="0.5">
      <c r="A402" s="72"/>
      <c r="B402" s="72"/>
    </row>
    <row r="403" spans="1:2" x14ac:dyDescent="0.5">
      <c r="A403" s="72"/>
      <c r="B403" s="72"/>
    </row>
    <row r="404" spans="1:2" x14ac:dyDescent="0.5">
      <c r="A404" s="72"/>
      <c r="B404" s="72"/>
    </row>
    <row r="405" spans="1:2" x14ac:dyDescent="0.5">
      <c r="A405" s="72"/>
      <c r="B405" s="72"/>
    </row>
    <row r="406" spans="1:2" x14ac:dyDescent="0.5">
      <c r="A406" s="72"/>
      <c r="B406" s="72"/>
    </row>
    <row r="407" spans="1:2" x14ac:dyDescent="0.5">
      <c r="A407" s="72"/>
      <c r="B407" s="72"/>
    </row>
    <row r="408" spans="1:2" x14ac:dyDescent="0.5">
      <c r="A408" s="72"/>
      <c r="B408" s="72"/>
    </row>
    <row r="409" spans="1:2" x14ac:dyDescent="0.5">
      <c r="A409" s="72"/>
      <c r="B409" s="72"/>
    </row>
    <row r="410" spans="1:2" x14ac:dyDescent="0.5">
      <c r="A410" s="72"/>
      <c r="B410" s="72"/>
    </row>
    <row r="411" spans="1:2" x14ac:dyDescent="0.5">
      <c r="A411" s="72"/>
      <c r="B411" s="72"/>
    </row>
    <row r="412" spans="1:2" x14ac:dyDescent="0.5">
      <c r="A412" s="72"/>
      <c r="B412" s="72"/>
    </row>
    <row r="413" spans="1:2" x14ac:dyDescent="0.5">
      <c r="A413" s="72"/>
      <c r="B413" s="72"/>
    </row>
    <row r="414" spans="1:2" x14ac:dyDescent="0.5">
      <c r="A414" s="72"/>
      <c r="B414" s="72"/>
    </row>
    <row r="415" spans="1:2" x14ac:dyDescent="0.5">
      <c r="A415" s="72"/>
      <c r="B415" s="72"/>
    </row>
    <row r="416" spans="1:2" x14ac:dyDescent="0.5">
      <c r="A416" s="72"/>
      <c r="B416" s="72"/>
    </row>
    <row r="417" spans="1:2" x14ac:dyDescent="0.5">
      <c r="A417" s="72"/>
      <c r="B417" s="72"/>
    </row>
    <row r="418" spans="1:2" x14ac:dyDescent="0.5">
      <c r="A418" s="72"/>
      <c r="B418" s="72"/>
    </row>
    <row r="419" spans="1:2" x14ac:dyDescent="0.5">
      <c r="A419" s="72"/>
      <c r="B419" s="72"/>
    </row>
    <row r="420" spans="1:2" x14ac:dyDescent="0.5">
      <c r="A420" s="72"/>
      <c r="B420" s="72"/>
    </row>
    <row r="421" spans="1:2" x14ac:dyDescent="0.5">
      <c r="A421" s="72"/>
      <c r="B421" s="72"/>
    </row>
    <row r="422" spans="1:2" x14ac:dyDescent="0.5">
      <c r="A422" s="72"/>
      <c r="B422" s="72"/>
    </row>
    <row r="423" spans="1:2" x14ac:dyDescent="0.5">
      <c r="A423" s="72"/>
      <c r="B423" s="72"/>
    </row>
    <row r="424" spans="1:2" x14ac:dyDescent="0.5">
      <c r="A424" s="72"/>
      <c r="B424" s="72"/>
    </row>
    <row r="425" spans="1:2" x14ac:dyDescent="0.5">
      <c r="A425" s="72"/>
      <c r="B425" s="72"/>
    </row>
    <row r="426" spans="1:2" x14ac:dyDescent="0.5">
      <c r="A426" s="72"/>
      <c r="B426" s="72"/>
    </row>
    <row r="427" spans="1:2" x14ac:dyDescent="0.5">
      <c r="A427" s="72"/>
      <c r="B427" s="72"/>
    </row>
    <row r="428" spans="1:2" x14ac:dyDescent="0.5">
      <c r="A428" s="72"/>
      <c r="B428" s="72"/>
    </row>
    <row r="429" spans="1:2" x14ac:dyDescent="0.5">
      <c r="A429" s="72"/>
      <c r="B429" s="72"/>
    </row>
    <row r="430" spans="1:2" x14ac:dyDescent="0.5">
      <c r="A430" s="72"/>
      <c r="B430" s="72"/>
    </row>
    <row r="431" spans="1:2" x14ac:dyDescent="0.5">
      <c r="A431" s="72"/>
      <c r="B431" s="72"/>
    </row>
    <row r="432" spans="1:2" x14ac:dyDescent="0.5">
      <c r="A432" s="72"/>
      <c r="B432" s="72"/>
    </row>
    <row r="433" spans="1:2" x14ac:dyDescent="0.5">
      <c r="A433" s="72"/>
      <c r="B433" s="72"/>
    </row>
    <row r="434" spans="1:2" x14ac:dyDescent="0.5">
      <c r="A434" s="72"/>
      <c r="B434" s="72"/>
    </row>
    <row r="435" spans="1:2" x14ac:dyDescent="0.5">
      <c r="A435" s="72"/>
      <c r="B435" s="72"/>
    </row>
    <row r="436" spans="1:2" x14ac:dyDescent="0.5">
      <c r="A436" s="72"/>
      <c r="B436" s="72"/>
    </row>
    <row r="437" spans="1:2" x14ac:dyDescent="0.5">
      <c r="A437" s="72"/>
      <c r="B437" s="72"/>
    </row>
    <row r="438" spans="1:2" x14ac:dyDescent="0.5">
      <c r="A438" s="72"/>
      <c r="B438" s="72"/>
    </row>
    <row r="439" spans="1:2" x14ac:dyDescent="0.5">
      <c r="A439" s="72"/>
      <c r="B439" s="72"/>
    </row>
    <row r="440" spans="1:2" x14ac:dyDescent="0.5">
      <c r="A440" s="72"/>
      <c r="B440" s="72"/>
    </row>
    <row r="441" spans="1:2" x14ac:dyDescent="0.5">
      <c r="A441" s="72"/>
      <c r="B441" s="72"/>
    </row>
    <row r="442" spans="1:2" x14ac:dyDescent="0.5">
      <c r="A442" s="72"/>
      <c r="B442" s="72"/>
    </row>
    <row r="443" spans="1:2" x14ac:dyDescent="0.5">
      <c r="A443" s="72"/>
      <c r="B443" s="72"/>
    </row>
    <row r="444" spans="1:2" x14ac:dyDescent="0.5">
      <c r="A444" s="72"/>
      <c r="B444" s="72"/>
    </row>
    <row r="445" spans="1:2" x14ac:dyDescent="0.5">
      <c r="A445" s="72"/>
      <c r="B445" s="72"/>
    </row>
    <row r="446" spans="1:2" x14ac:dyDescent="0.5">
      <c r="A446" s="72"/>
      <c r="B446" s="72"/>
    </row>
    <row r="447" spans="1:2" x14ac:dyDescent="0.5">
      <c r="A447" s="72"/>
      <c r="B447" s="72"/>
    </row>
    <row r="448" spans="1:2" x14ac:dyDescent="0.5">
      <c r="A448" s="72"/>
      <c r="B448" s="72"/>
    </row>
    <row r="449" spans="1:2" x14ac:dyDescent="0.5">
      <c r="A449" s="72"/>
      <c r="B449" s="72"/>
    </row>
    <row r="450" spans="1:2" x14ac:dyDescent="0.5">
      <c r="A450" s="72"/>
      <c r="B450" s="72"/>
    </row>
    <row r="451" spans="1:2" x14ac:dyDescent="0.5">
      <c r="A451" s="72"/>
      <c r="B451" s="72"/>
    </row>
    <row r="452" spans="1:2" x14ac:dyDescent="0.5">
      <c r="A452" s="72"/>
      <c r="B452" s="72"/>
    </row>
    <row r="453" spans="1:2" x14ac:dyDescent="0.5">
      <c r="A453" s="72"/>
      <c r="B453" s="72"/>
    </row>
    <row r="454" spans="1:2" x14ac:dyDescent="0.5">
      <c r="A454" s="72"/>
      <c r="B454" s="72"/>
    </row>
    <row r="455" spans="1:2" x14ac:dyDescent="0.5">
      <c r="A455" s="72"/>
      <c r="B455" s="72"/>
    </row>
    <row r="456" spans="1:2" x14ac:dyDescent="0.5">
      <c r="A456" s="72"/>
      <c r="B456" s="72"/>
    </row>
    <row r="457" spans="1:2" x14ac:dyDescent="0.5">
      <c r="A457" s="72"/>
      <c r="B457" s="72"/>
    </row>
    <row r="458" spans="1:2" x14ac:dyDescent="0.5">
      <c r="A458" s="72"/>
      <c r="B458" s="72"/>
    </row>
    <row r="459" spans="1:2" x14ac:dyDescent="0.5">
      <c r="A459" s="72"/>
      <c r="B459" s="72"/>
    </row>
    <row r="460" spans="1:2" x14ac:dyDescent="0.5">
      <c r="A460" s="72"/>
      <c r="B460" s="72"/>
    </row>
    <row r="461" spans="1:2" x14ac:dyDescent="0.5">
      <c r="A461" s="72"/>
      <c r="B461" s="72"/>
    </row>
    <row r="462" spans="1:2" x14ac:dyDescent="0.5">
      <c r="A462" s="72"/>
      <c r="B462" s="72"/>
    </row>
    <row r="463" spans="1:2" x14ac:dyDescent="0.5">
      <c r="A463" s="72"/>
      <c r="B463" s="72"/>
    </row>
    <row r="464" spans="1:2" x14ac:dyDescent="0.5">
      <c r="A464" s="72"/>
      <c r="B464" s="72"/>
    </row>
    <row r="465" spans="1:2" x14ac:dyDescent="0.5">
      <c r="A465" s="72"/>
      <c r="B465" s="72"/>
    </row>
    <row r="466" spans="1:2" x14ac:dyDescent="0.5">
      <c r="A466" s="72"/>
      <c r="B466" s="72"/>
    </row>
    <row r="467" spans="1:2" x14ac:dyDescent="0.5">
      <c r="A467" s="72"/>
      <c r="B467" s="72"/>
    </row>
    <row r="468" spans="1:2" x14ac:dyDescent="0.5">
      <c r="A468" s="72"/>
      <c r="B468" s="72"/>
    </row>
    <row r="469" spans="1:2" x14ac:dyDescent="0.5">
      <c r="A469" s="72"/>
      <c r="B469" s="72"/>
    </row>
    <row r="470" spans="1:2" x14ac:dyDescent="0.5">
      <c r="A470" s="72"/>
      <c r="B470" s="72"/>
    </row>
    <row r="471" spans="1:2" x14ac:dyDescent="0.5">
      <c r="A471" s="72"/>
      <c r="B471" s="72"/>
    </row>
    <row r="472" spans="1:2" x14ac:dyDescent="0.5">
      <c r="A472" s="72"/>
      <c r="B472" s="72"/>
    </row>
    <row r="473" spans="1:2" x14ac:dyDescent="0.5">
      <c r="A473" s="72"/>
      <c r="B473" s="72"/>
    </row>
    <row r="474" spans="1:2" x14ac:dyDescent="0.5">
      <c r="A474" s="72"/>
      <c r="B474" s="72"/>
    </row>
    <row r="475" spans="1:2" x14ac:dyDescent="0.5">
      <c r="A475" s="72"/>
      <c r="B475" s="72"/>
    </row>
    <row r="476" spans="1:2" x14ac:dyDescent="0.5">
      <c r="A476" s="72"/>
      <c r="B476" s="72"/>
    </row>
    <row r="477" spans="1:2" x14ac:dyDescent="0.5">
      <c r="A477" s="72"/>
      <c r="B477" s="72"/>
    </row>
    <row r="478" spans="1:2" x14ac:dyDescent="0.5">
      <c r="A478" s="72"/>
      <c r="B478" s="72"/>
    </row>
    <row r="479" spans="1:2" x14ac:dyDescent="0.5">
      <c r="A479" s="72"/>
      <c r="B479" s="72"/>
    </row>
    <row r="480" spans="1:2" x14ac:dyDescent="0.5">
      <c r="A480" s="72"/>
      <c r="B480" s="72"/>
    </row>
    <row r="481" spans="1:2" x14ac:dyDescent="0.5">
      <c r="A481" s="72"/>
      <c r="B481" s="72"/>
    </row>
    <row r="482" spans="1:2" x14ac:dyDescent="0.5">
      <c r="A482" s="72"/>
      <c r="B482" s="72"/>
    </row>
    <row r="483" spans="1:2" x14ac:dyDescent="0.5">
      <c r="A483" s="72"/>
      <c r="B483" s="72"/>
    </row>
    <row r="484" spans="1:2" x14ac:dyDescent="0.5">
      <c r="A484" s="72"/>
      <c r="B484" s="72"/>
    </row>
    <row r="485" spans="1:2" x14ac:dyDescent="0.5">
      <c r="A485" s="72"/>
      <c r="B485" s="72"/>
    </row>
    <row r="486" spans="1:2" x14ac:dyDescent="0.5">
      <c r="A486" s="72"/>
      <c r="B486" s="72"/>
    </row>
    <row r="487" spans="1:2" x14ac:dyDescent="0.5">
      <c r="A487" s="72"/>
      <c r="B487" s="72"/>
    </row>
    <row r="488" spans="1:2" x14ac:dyDescent="0.5">
      <c r="A488" s="72"/>
      <c r="B488" s="72"/>
    </row>
    <row r="489" spans="1:2" x14ac:dyDescent="0.5">
      <c r="A489" s="72"/>
      <c r="B489" s="72"/>
    </row>
    <row r="490" spans="1:2" x14ac:dyDescent="0.5">
      <c r="A490" s="72"/>
      <c r="B490" s="72"/>
    </row>
    <row r="491" spans="1:2" x14ac:dyDescent="0.5">
      <c r="A491" s="72"/>
      <c r="B491" s="72"/>
    </row>
    <row r="492" spans="1:2" x14ac:dyDescent="0.5">
      <c r="A492" s="72"/>
      <c r="B492" s="72"/>
    </row>
    <row r="493" spans="1:2" x14ac:dyDescent="0.5">
      <c r="A493" s="72"/>
      <c r="B493" s="72"/>
    </row>
    <row r="494" spans="1:2" x14ac:dyDescent="0.5">
      <c r="A494" s="72"/>
      <c r="B494" s="72"/>
    </row>
    <row r="495" spans="1:2" x14ac:dyDescent="0.5">
      <c r="A495" s="72"/>
      <c r="B495" s="72"/>
    </row>
    <row r="496" spans="1:2" x14ac:dyDescent="0.5">
      <c r="A496" s="72"/>
      <c r="B496" s="72"/>
    </row>
    <row r="497" spans="1:2" x14ac:dyDescent="0.5">
      <c r="A497" s="72"/>
      <c r="B497" s="72"/>
    </row>
    <row r="498" spans="1:2" x14ac:dyDescent="0.5">
      <c r="A498" s="72"/>
      <c r="B498" s="72"/>
    </row>
    <row r="499" spans="1:2" x14ac:dyDescent="0.5">
      <c r="A499" s="72"/>
      <c r="B499" s="72"/>
    </row>
    <row r="500" spans="1:2" x14ac:dyDescent="0.5">
      <c r="A500" s="72"/>
      <c r="B500" s="72"/>
    </row>
    <row r="501" spans="1:2" x14ac:dyDescent="0.5">
      <c r="A501" s="72"/>
      <c r="B501" s="72"/>
    </row>
    <row r="502" spans="1:2" x14ac:dyDescent="0.5">
      <c r="A502" s="72"/>
      <c r="B502" s="72"/>
    </row>
    <row r="503" spans="1:2" x14ac:dyDescent="0.5">
      <c r="A503" s="72"/>
      <c r="B503" s="72"/>
    </row>
    <row r="504" spans="1:2" x14ac:dyDescent="0.5">
      <c r="A504" s="72"/>
      <c r="B504" s="72"/>
    </row>
    <row r="505" spans="1:2" x14ac:dyDescent="0.5">
      <c r="A505" s="72"/>
      <c r="B505" s="72"/>
    </row>
    <row r="506" spans="1:2" x14ac:dyDescent="0.5">
      <c r="A506" s="72"/>
      <c r="B506" s="72"/>
    </row>
    <row r="507" spans="1:2" x14ac:dyDescent="0.5">
      <c r="A507" s="72"/>
      <c r="B507" s="72"/>
    </row>
    <row r="508" spans="1:2" x14ac:dyDescent="0.5">
      <c r="A508" s="72"/>
      <c r="B508" s="72"/>
    </row>
    <row r="509" spans="1:2" x14ac:dyDescent="0.5">
      <c r="A509" s="72"/>
      <c r="B509" s="72"/>
    </row>
    <row r="510" spans="1:2" x14ac:dyDescent="0.5">
      <c r="A510" s="72"/>
      <c r="B510" s="72"/>
    </row>
    <row r="511" spans="1:2" x14ac:dyDescent="0.5">
      <c r="A511" s="72"/>
      <c r="B511" s="72"/>
    </row>
    <row r="512" spans="1:2" x14ac:dyDescent="0.5">
      <c r="A512" s="72"/>
      <c r="B512" s="72"/>
    </row>
    <row r="513" spans="1:2" x14ac:dyDescent="0.5">
      <c r="A513" s="72"/>
      <c r="B513" s="72"/>
    </row>
    <row r="514" spans="1:2" x14ac:dyDescent="0.5">
      <c r="A514" s="72"/>
      <c r="B514" s="72"/>
    </row>
    <row r="515" spans="1:2" x14ac:dyDescent="0.5">
      <c r="A515" s="72"/>
      <c r="B515" s="72"/>
    </row>
    <row r="516" spans="1:2" x14ac:dyDescent="0.5">
      <c r="A516" s="72"/>
      <c r="B516" s="72"/>
    </row>
    <row r="517" spans="1:2" x14ac:dyDescent="0.5">
      <c r="A517" s="72"/>
      <c r="B517" s="72"/>
    </row>
    <row r="518" spans="1:2" x14ac:dyDescent="0.5">
      <c r="A518" s="72"/>
      <c r="B518" s="72"/>
    </row>
    <row r="519" spans="1:2" x14ac:dyDescent="0.5">
      <c r="A519" s="72"/>
      <c r="B519" s="72"/>
    </row>
    <row r="520" spans="1:2" x14ac:dyDescent="0.5">
      <c r="A520" s="72"/>
      <c r="B520" s="72"/>
    </row>
    <row r="521" spans="1:2" x14ac:dyDescent="0.5">
      <c r="A521" s="72"/>
      <c r="B521" s="72"/>
    </row>
    <row r="522" spans="1:2" x14ac:dyDescent="0.5">
      <c r="A522" s="72"/>
      <c r="B522" s="72"/>
    </row>
    <row r="523" spans="1:2" x14ac:dyDescent="0.5">
      <c r="A523" s="72"/>
      <c r="B523" s="72"/>
    </row>
    <row r="524" spans="1:2" x14ac:dyDescent="0.5">
      <c r="A524" s="72"/>
      <c r="B524" s="72"/>
    </row>
    <row r="525" spans="1:2" x14ac:dyDescent="0.5">
      <c r="A525" s="72"/>
      <c r="B525" s="72"/>
    </row>
    <row r="526" spans="1:2" x14ac:dyDescent="0.5">
      <c r="A526" s="72"/>
      <c r="B526" s="72"/>
    </row>
    <row r="527" spans="1:2" x14ac:dyDescent="0.5">
      <c r="A527" s="72"/>
      <c r="B527" s="72"/>
    </row>
    <row r="528" spans="1:2" x14ac:dyDescent="0.5">
      <c r="A528" s="72"/>
      <c r="B528" s="72"/>
    </row>
    <row r="529" spans="1:2" x14ac:dyDescent="0.5">
      <c r="A529" s="72"/>
      <c r="B529" s="72"/>
    </row>
    <row r="530" spans="1:2" x14ac:dyDescent="0.5">
      <c r="A530" s="72"/>
      <c r="B530" s="72"/>
    </row>
    <row r="531" spans="1:2" x14ac:dyDescent="0.5">
      <c r="A531" s="72"/>
      <c r="B531" s="72"/>
    </row>
    <row r="532" spans="1:2" x14ac:dyDescent="0.5">
      <c r="A532" s="72"/>
      <c r="B532" s="72"/>
    </row>
    <row r="533" spans="1:2" x14ac:dyDescent="0.5">
      <c r="A533" s="72"/>
      <c r="B533" s="72"/>
    </row>
    <row r="534" spans="1:2" x14ac:dyDescent="0.5">
      <c r="A534" s="72"/>
      <c r="B534" s="72"/>
    </row>
    <row r="535" spans="1:2" x14ac:dyDescent="0.5">
      <c r="A535" s="72"/>
      <c r="B535" s="72"/>
    </row>
    <row r="536" spans="1:2" x14ac:dyDescent="0.5">
      <c r="A536" s="72"/>
      <c r="B536" s="72"/>
    </row>
    <row r="537" spans="1:2" x14ac:dyDescent="0.5">
      <c r="A537" s="72"/>
      <c r="B537" s="72"/>
    </row>
    <row r="538" spans="1:2" x14ac:dyDescent="0.5">
      <c r="A538" s="72"/>
      <c r="B538" s="72"/>
    </row>
    <row r="539" spans="1:2" x14ac:dyDescent="0.5">
      <c r="A539" s="72"/>
      <c r="B539" s="72"/>
    </row>
    <row r="540" spans="1:2" x14ac:dyDescent="0.5">
      <c r="A540" s="72"/>
      <c r="B540" s="72"/>
    </row>
    <row r="541" spans="1:2" x14ac:dyDescent="0.5">
      <c r="A541" s="72"/>
      <c r="B541" s="72"/>
    </row>
    <row r="542" spans="1:2" x14ac:dyDescent="0.5">
      <c r="A542" s="72"/>
      <c r="B542" s="72"/>
    </row>
    <row r="543" spans="1:2" x14ac:dyDescent="0.5">
      <c r="A543" s="72"/>
      <c r="B543" s="72"/>
    </row>
    <row r="544" spans="1:2" x14ac:dyDescent="0.5">
      <c r="A544" s="72"/>
      <c r="B544" s="72"/>
    </row>
    <row r="545" spans="1:2" x14ac:dyDescent="0.5">
      <c r="A545" s="72"/>
      <c r="B545" s="72"/>
    </row>
    <row r="546" spans="1:2" x14ac:dyDescent="0.5">
      <c r="A546" s="72"/>
      <c r="B546" s="72"/>
    </row>
    <row r="547" spans="1:2" x14ac:dyDescent="0.5">
      <c r="A547" s="72"/>
      <c r="B547" s="72"/>
    </row>
    <row r="548" spans="1:2" x14ac:dyDescent="0.5">
      <c r="A548" s="72"/>
      <c r="B548" s="72"/>
    </row>
    <row r="549" spans="1:2" x14ac:dyDescent="0.5">
      <c r="A549" s="72"/>
      <c r="B549" s="72"/>
    </row>
    <row r="550" spans="1:2" x14ac:dyDescent="0.5">
      <c r="A550" s="72"/>
      <c r="B550" s="72"/>
    </row>
    <row r="551" spans="1:2" x14ac:dyDescent="0.5">
      <c r="A551" s="72"/>
      <c r="B551" s="72"/>
    </row>
    <row r="552" spans="1:2" x14ac:dyDescent="0.5">
      <c r="A552" s="72"/>
      <c r="B552" s="72"/>
    </row>
    <row r="553" spans="1:2" x14ac:dyDescent="0.5">
      <c r="A553" s="72"/>
      <c r="B553" s="72"/>
    </row>
    <row r="554" spans="1:2" x14ac:dyDescent="0.5">
      <c r="A554" s="72"/>
      <c r="B554" s="72"/>
    </row>
    <row r="555" spans="1:2" x14ac:dyDescent="0.5">
      <c r="A555" s="72"/>
      <c r="B555" s="72"/>
    </row>
    <row r="556" spans="1:2" x14ac:dyDescent="0.5">
      <c r="A556" s="72"/>
      <c r="B556" s="72"/>
    </row>
    <row r="557" spans="1:2" x14ac:dyDescent="0.5">
      <c r="A557" s="72"/>
      <c r="B557" s="72"/>
    </row>
    <row r="558" spans="1:2" x14ac:dyDescent="0.5">
      <c r="A558" s="72"/>
      <c r="B558" s="72"/>
    </row>
    <row r="559" spans="1:2" x14ac:dyDescent="0.5">
      <c r="A559" s="72"/>
      <c r="B559" s="72"/>
    </row>
    <row r="560" spans="1:2" x14ac:dyDescent="0.5">
      <c r="A560" s="72"/>
      <c r="B560" s="72"/>
    </row>
    <row r="561" spans="1:2" x14ac:dyDescent="0.5">
      <c r="A561" s="72"/>
      <c r="B561" s="72"/>
    </row>
    <row r="562" spans="1:2" x14ac:dyDescent="0.5">
      <c r="A562" s="72"/>
      <c r="B562" s="72"/>
    </row>
    <row r="563" spans="1:2" x14ac:dyDescent="0.5">
      <c r="A563" s="72"/>
      <c r="B563" s="72"/>
    </row>
    <row r="564" spans="1:2" x14ac:dyDescent="0.5">
      <c r="A564" s="72"/>
      <c r="B564" s="72"/>
    </row>
    <row r="565" spans="1:2" x14ac:dyDescent="0.5">
      <c r="A565" s="72"/>
      <c r="B565" s="72"/>
    </row>
    <row r="566" spans="1:2" x14ac:dyDescent="0.5">
      <c r="A566" s="72"/>
      <c r="B566" s="72"/>
    </row>
    <row r="567" spans="1:2" x14ac:dyDescent="0.5">
      <c r="A567" s="72"/>
      <c r="B567" s="72"/>
    </row>
    <row r="568" spans="1:2" x14ac:dyDescent="0.5">
      <c r="A568" s="72"/>
      <c r="B568" s="72"/>
    </row>
    <row r="569" spans="1:2" x14ac:dyDescent="0.5">
      <c r="A569" s="72"/>
      <c r="B569" s="72"/>
    </row>
    <row r="570" spans="1:2" x14ac:dyDescent="0.5">
      <c r="A570" s="72"/>
      <c r="B570" s="72"/>
    </row>
    <row r="571" spans="1:2" x14ac:dyDescent="0.5">
      <c r="A571" s="72"/>
      <c r="B571" s="72"/>
    </row>
    <row r="572" spans="1:2" x14ac:dyDescent="0.5">
      <c r="A572" s="72"/>
      <c r="B572" s="72"/>
    </row>
    <row r="573" spans="1:2" x14ac:dyDescent="0.5">
      <c r="A573" s="72"/>
      <c r="B573" s="72"/>
    </row>
    <row r="574" spans="1:2" x14ac:dyDescent="0.5">
      <c r="A574" s="72"/>
      <c r="B574" s="72"/>
    </row>
    <row r="575" spans="1:2" x14ac:dyDescent="0.5">
      <c r="A575" s="72"/>
      <c r="B575" s="72"/>
    </row>
    <row r="576" spans="1:2" x14ac:dyDescent="0.5">
      <c r="A576" s="72"/>
      <c r="B576" s="72"/>
    </row>
    <row r="577" spans="1:2" x14ac:dyDescent="0.5">
      <c r="A577" s="72"/>
      <c r="B577" s="72"/>
    </row>
    <row r="578" spans="1:2" x14ac:dyDescent="0.5">
      <c r="A578" s="72"/>
      <c r="B578" s="72"/>
    </row>
    <row r="579" spans="1:2" x14ac:dyDescent="0.5">
      <c r="A579" s="72"/>
      <c r="B579" s="72"/>
    </row>
    <row r="580" spans="1:2" x14ac:dyDescent="0.5">
      <c r="A580" s="72"/>
      <c r="B580" s="72"/>
    </row>
    <row r="581" spans="1:2" x14ac:dyDescent="0.5">
      <c r="A581" s="72"/>
      <c r="B581" s="72"/>
    </row>
    <row r="582" spans="1:2" x14ac:dyDescent="0.5">
      <c r="A582" s="72"/>
      <c r="B582" s="72"/>
    </row>
    <row r="583" spans="1:2" x14ac:dyDescent="0.5">
      <c r="A583" s="72"/>
      <c r="B583" s="72"/>
    </row>
    <row r="584" spans="1:2" x14ac:dyDescent="0.5">
      <c r="A584" s="72"/>
      <c r="B584" s="72"/>
    </row>
    <row r="585" spans="1:2" x14ac:dyDescent="0.5">
      <c r="A585" s="72"/>
      <c r="B585" s="72"/>
    </row>
    <row r="586" spans="1:2" x14ac:dyDescent="0.5">
      <c r="A586" s="72"/>
      <c r="B586" s="72"/>
    </row>
    <row r="587" spans="1:2" x14ac:dyDescent="0.5">
      <c r="A587" s="72"/>
      <c r="B587" s="72"/>
    </row>
    <row r="588" spans="1:2" x14ac:dyDescent="0.5">
      <c r="A588" s="72"/>
      <c r="B588" s="72"/>
    </row>
    <row r="589" spans="1:2" x14ac:dyDescent="0.5">
      <c r="A589" s="72"/>
      <c r="B589" s="72"/>
    </row>
    <row r="590" spans="1:2" x14ac:dyDescent="0.5">
      <c r="A590" s="72"/>
      <c r="B590" s="72"/>
    </row>
    <row r="591" spans="1:2" x14ac:dyDescent="0.5">
      <c r="A591" s="72"/>
      <c r="B591" s="72"/>
    </row>
    <row r="592" spans="1:2" x14ac:dyDescent="0.5">
      <c r="A592" s="72"/>
      <c r="B592" s="72"/>
    </row>
    <row r="593" spans="1:2" x14ac:dyDescent="0.5">
      <c r="A593" s="72"/>
      <c r="B593" s="72"/>
    </row>
    <row r="594" spans="1:2" x14ac:dyDescent="0.5">
      <c r="A594" s="72"/>
      <c r="B594" s="72"/>
    </row>
    <row r="595" spans="1:2" x14ac:dyDescent="0.5">
      <c r="A595" s="72"/>
      <c r="B595" s="72"/>
    </row>
    <row r="596" spans="1:2" x14ac:dyDescent="0.5">
      <c r="A596" s="72"/>
      <c r="B596" s="72"/>
    </row>
    <row r="597" spans="1:2" x14ac:dyDescent="0.5">
      <c r="A597" s="72"/>
      <c r="B597" s="72"/>
    </row>
    <row r="598" spans="1:2" x14ac:dyDescent="0.5">
      <c r="A598" s="72"/>
      <c r="B598" s="72"/>
    </row>
    <row r="599" spans="1:2" x14ac:dyDescent="0.5">
      <c r="A599" s="72"/>
      <c r="B599" s="72"/>
    </row>
    <row r="600" spans="1:2" x14ac:dyDescent="0.5">
      <c r="A600" s="72"/>
      <c r="B600" s="72"/>
    </row>
    <row r="601" spans="1:2" x14ac:dyDescent="0.5">
      <c r="A601" s="72"/>
      <c r="B601" s="72"/>
    </row>
    <row r="602" spans="1:2" x14ac:dyDescent="0.5">
      <c r="A602" s="72"/>
      <c r="B602" s="72"/>
    </row>
    <row r="603" spans="1:2" x14ac:dyDescent="0.5">
      <c r="A603" s="72"/>
      <c r="B603" s="72"/>
    </row>
    <row r="604" spans="1:2" x14ac:dyDescent="0.5">
      <c r="A604" s="72"/>
      <c r="B604" s="72"/>
    </row>
    <row r="605" spans="1:2" x14ac:dyDescent="0.5">
      <c r="A605" s="72"/>
      <c r="B605" s="72"/>
    </row>
    <row r="606" spans="1:2" x14ac:dyDescent="0.5">
      <c r="A606" s="72"/>
      <c r="B606" s="72"/>
    </row>
    <row r="607" spans="1:2" x14ac:dyDescent="0.5">
      <c r="A607" s="72"/>
      <c r="B607" s="72"/>
    </row>
    <row r="608" spans="1:2" x14ac:dyDescent="0.5">
      <c r="A608" s="72"/>
      <c r="B608" s="72"/>
    </row>
    <row r="609" spans="1:2" x14ac:dyDescent="0.5">
      <c r="A609" s="72"/>
      <c r="B609" s="72"/>
    </row>
    <row r="610" spans="1:2" x14ac:dyDescent="0.5">
      <c r="A610" s="72"/>
      <c r="B610" s="72"/>
    </row>
    <row r="611" spans="1:2" x14ac:dyDescent="0.5">
      <c r="A611" s="72"/>
      <c r="B611" s="72"/>
    </row>
    <row r="612" spans="1:2" x14ac:dyDescent="0.5">
      <c r="A612" s="72"/>
      <c r="B612" s="72"/>
    </row>
    <row r="613" spans="1:2" x14ac:dyDescent="0.5">
      <c r="A613" s="72"/>
      <c r="B613" s="72"/>
    </row>
    <row r="614" spans="1:2" x14ac:dyDescent="0.5">
      <c r="A614" s="72"/>
      <c r="B614" s="72"/>
    </row>
    <row r="615" spans="1:2" x14ac:dyDescent="0.5">
      <c r="A615" s="72"/>
      <c r="B615" s="72"/>
    </row>
    <row r="616" spans="1:2" x14ac:dyDescent="0.5">
      <c r="A616" s="72"/>
      <c r="B616" s="72"/>
    </row>
    <row r="617" spans="1:2" x14ac:dyDescent="0.5">
      <c r="A617" s="72"/>
      <c r="B617" s="72"/>
    </row>
    <row r="618" spans="1:2" x14ac:dyDescent="0.5">
      <c r="A618" s="72"/>
      <c r="B618" s="72"/>
    </row>
    <row r="619" spans="1:2" x14ac:dyDescent="0.5">
      <c r="A619" s="72"/>
      <c r="B619" s="72"/>
    </row>
    <row r="620" spans="1:2" x14ac:dyDescent="0.5">
      <c r="A620" s="72"/>
      <c r="B620" s="72"/>
    </row>
    <row r="621" spans="1:2" x14ac:dyDescent="0.5">
      <c r="A621" s="72"/>
      <c r="B621" s="72"/>
    </row>
    <row r="622" spans="1:2" x14ac:dyDescent="0.5">
      <c r="A622" s="72"/>
      <c r="B622" s="72"/>
    </row>
    <row r="623" spans="1:2" x14ac:dyDescent="0.5">
      <c r="A623" s="72"/>
      <c r="B623" s="72"/>
    </row>
    <row r="624" spans="1:2" x14ac:dyDescent="0.5">
      <c r="A624" s="72"/>
      <c r="B624" s="72"/>
    </row>
    <row r="625" spans="1:2" x14ac:dyDescent="0.5">
      <c r="A625" s="72"/>
      <c r="B625" s="72"/>
    </row>
    <row r="626" spans="1:2" x14ac:dyDescent="0.5">
      <c r="A626" s="72"/>
      <c r="B626" s="72"/>
    </row>
    <row r="627" spans="1:2" x14ac:dyDescent="0.5">
      <c r="A627" s="72"/>
      <c r="B627" s="72"/>
    </row>
    <row r="628" spans="1:2" x14ac:dyDescent="0.5">
      <c r="A628" s="72"/>
      <c r="B628" s="72"/>
    </row>
    <row r="629" spans="1:2" x14ac:dyDescent="0.5">
      <c r="A629" s="72"/>
      <c r="B629" s="72"/>
    </row>
    <row r="630" spans="1:2" x14ac:dyDescent="0.5">
      <c r="A630" s="72"/>
      <c r="B630" s="72"/>
    </row>
    <row r="631" spans="1:2" x14ac:dyDescent="0.5">
      <c r="A631" s="72"/>
      <c r="B631" s="72"/>
    </row>
    <row r="632" spans="1:2" x14ac:dyDescent="0.5">
      <c r="A632" s="72"/>
      <c r="B632" s="72"/>
    </row>
    <row r="633" spans="1:2" x14ac:dyDescent="0.5">
      <c r="A633" s="72"/>
      <c r="B633" s="72"/>
    </row>
    <row r="634" spans="1:2" x14ac:dyDescent="0.5">
      <c r="A634" s="72"/>
      <c r="B634" s="72"/>
    </row>
    <row r="635" spans="1:2" x14ac:dyDescent="0.5">
      <c r="A635" s="72"/>
      <c r="B635" s="72"/>
    </row>
    <row r="636" spans="1:2" x14ac:dyDescent="0.5">
      <c r="A636" s="72"/>
      <c r="B636" s="72"/>
    </row>
    <row r="637" spans="1:2" x14ac:dyDescent="0.5">
      <c r="A637" s="72"/>
      <c r="B637" s="72"/>
    </row>
    <row r="638" spans="1:2" x14ac:dyDescent="0.5">
      <c r="A638" s="72"/>
      <c r="B638" s="72"/>
    </row>
    <row r="639" spans="1:2" x14ac:dyDescent="0.5">
      <c r="A639" s="72"/>
      <c r="B639" s="72"/>
    </row>
    <row r="640" spans="1:2" x14ac:dyDescent="0.5">
      <c r="A640" s="72"/>
      <c r="B640" s="72"/>
    </row>
    <row r="641" spans="1:2" x14ac:dyDescent="0.5">
      <c r="A641" s="72"/>
      <c r="B641" s="72"/>
    </row>
    <row r="642" spans="1:2" x14ac:dyDescent="0.5">
      <c r="A642" s="72"/>
      <c r="B642" s="72"/>
    </row>
    <row r="643" spans="1:2" x14ac:dyDescent="0.5">
      <c r="A643" s="72"/>
      <c r="B643" s="72"/>
    </row>
    <row r="644" spans="1:2" x14ac:dyDescent="0.5">
      <c r="A644" s="72"/>
      <c r="B644" s="72"/>
    </row>
    <row r="645" spans="1:2" x14ac:dyDescent="0.5">
      <c r="A645" s="72"/>
      <c r="B645" s="72"/>
    </row>
    <row r="646" spans="1:2" x14ac:dyDescent="0.5">
      <c r="A646" s="72"/>
      <c r="B646" s="72"/>
    </row>
    <row r="647" spans="1:2" x14ac:dyDescent="0.5">
      <c r="A647" s="72"/>
      <c r="B647" s="72"/>
    </row>
    <row r="648" spans="1:2" x14ac:dyDescent="0.5">
      <c r="A648" s="72"/>
      <c r="B648" s="72"/>
    </row>
    <row r="649" spans="1:2" x14ac:dyDescent="0.5">
      <c r="A649" s="72"/>
      <c r="B649" s="72"/>
    </row>
    <row r="650" spans="1:2" x14ac:dyDescent="0.5">
      <c r="A650" s="72"/>
      <c r="B650" s="72"/>
    </row>
    <row r="651" spans="1:2" x14ac:dyDescent="0.5">
      <c r="A651" s="72"/>
      <c r="B651" s="72"/>
    </row>
    <row r="652" spans="1:2" x14ac:dyDescent="0.5">
      <c r="A652" s="72"/>
      <c r="B652" s="72"/>
    </row>
    <row r="653" spans="1:2" x14ac:dyDescent="0.5">
      <c r="A653" s="72"/>
      <c r="B653" s="72"/>
    </row>
    <row r="654" spans="1:2" x14ac:dyDescent="0.5">
      <c r="A654" s="72"/>
      <c r="B654" s="72"/>
    </row>
    <row r="655" spans="1:2" x14ac:dyDescent="0.5">
      <c r="A655" s="72"/>
      <c r="B655" s="72"/>
    </row>
    <row r="656" spans="1:2" x14ac:dyDescent="0.5">
      <c r="A656" s="72"/>
      <c r="B656" s="72"/>
    </row>
    <row r="657" spans="1:2" x14ac:dyDescent="0.5">
      <c r="A657" s="72"/>
      <c r="B657" s="72"/>
    </row>
    <row r="658" spans="1:2" x14ac:dyDescent="0.5">
      <c r="A658" s="72"/>
      <c r="B658" s="72"/>
    </row>
    <row r="659" spans="1:2" x14ac:dyDescent="0.5">
      <c r="A659" s="72"/>
      <c r="B659" s="72"/>
    </row>
    <row r="660" spans="1:2" x14ac:dyDescent="0.5">
      <c r="A660" s="72"/>
      <c r="B660" s="72"/>
    </row>
    <row r="661" spans="1:2" x14ac:dyDescent="0.5">
      <c r="A661" s="72"/>
      <c r="B661" s="72"/>
    </row>
    <row r="662" spans="1:2" x14ac:dyDescent="0.5">
      <c r="A662" s="72"/>
      <c r="B662" s="72"/>
    </row>
    <row r="663" spans="1:2" x14ac:dyDescent="0.5">
      <c r="A663" s="72"/>
      <c r="B663" s="72"/>
    </row>
    <row r="664" spans="1:2" x14ac:dyDescent="0.5">
      <c r="A664" s="72"/>
      <c r="B664" s="72"/>
    </row>
    <row r="665" spans="1:2" x14ac:dyDescent="0.5">
      <c r="A665" s="72"/>
      <c r="B665" s="72"/>
    </row>
    <row r="666" spans="1:2" x14ac:dyDescent="0.5">
      <c r="A666" s="72"/>
      <c r="B666" s="72"/>
    </row>
    <row r="667" spans="1:2" x14ac:dyDescent="0.5">
      <c r="A667" s="72"/>
      <c r="B667" s="72"/>
    </row>
    <row r="668" spans="1:2" x14ac:dyDescent="0.5">
      <c r="A668" s="72"/>
      <c r="B668" s="72"/>
    </row>
    <row r="669" spans="1:2" x14ac:dyDescent="0.5">
      <c r="A669" s="72"/>
      <c r="B669" s="72"/>
    </row>
    <row r="670" spans="1:2" x14ac:dyDescent="0.5">
      <c r="A670" s="72"/>
      <c r="B670" s="72"/>
    </row>
    <row r="671" spans="1:2" x14ac:dyDescent="0.5">
      <c r="A671" s="72"/>
      <c r="B671" s="72"/>
    </row>
    <row r="672" spans="1:2" x14ac:dyDescent="0.5">
      <c r="A672" s="72"/>
      <c r="B672" s="72"/>
    </row>
    <row r="673" spans="1:2" x14ac:dyDescent="0.5">
      <c r="A673" s="72"/>
      <c r="B673" s="72"/>
    </row>
    <row r="674" spans="1:2" x14ac:dyDescent="0.5">
      <c r="A674" s="72"/>
      <c r="B674" s="72"/>
    </row>
    <row r="675" spans="1:2" x14ac:dyDescent="0.5">
      <c r="A675" s="72"/>
      <c r="B675" s="72"/>
    </row>
    <row r="676" spans="1:2" x14ac:dyDescent="0.5">
      <c r="A676" s="72"/>
      <c r="B676" s="72"/>
    </row>
    <row r="677" spans="1:2" x14ac:dyDescent="0.5">
      <c r="A677" s="72"/>
      <c r="B677" s="72"/>
    </row>
    <row r="678" spans="1:2" x14ac:dyDescent="0.5">
      <c r="A678" s="72"/>
      <c r="B678" s="72"/>
    </row>
    <row r="679" spans="1:2" x14ac:dyDescent="0.5">
      <c r="A679" s="72"/>
      <c r="B679" s="72"/>
    </row>
    <row r="680" spans="1:2" x14ac:dyDescent="0.5">
      <c r="A680" s="72"/>
      <c r="B680" s="72"/>
    </row>
    <row r="681" spans="1:2" x14ac:dyDescent="0.5">
      <c r="A681" s="72"/>
      <c r="B681" s="72"/>
    </row>
    <row r="682" spans="1:2" x14ac:dyDescent="0.5">
      <c r="A682" s="72"/>
      <c r="B682" s="72"/>
    </row>
    <row r="683" spans="1:2" x14ac:dyDescent="0.5">
      <c r="A683" s="72"/>
      <c r="B683" s="72"/>
    </row>
    <row r="684" spans="1:2" x14ac:dyDescent="0.5">
      <c r="A684" s="72"/>
      <c r="B684" s="72"/>
    </row>
    <row r="685" spans="1:2" x14ac:dyDescent="0.5">
      <c r="A685" s="72"/>
      <c r="B685" s="72"/>
    </row>
    <row r="686" spans="1:2" x14ac:dyDescent="0.5">
      <c r="A686" s="72"/>
      <c r="B686" s="72"/>
    </row>
    <row r="687" spans="1:2" x14ac:dyDescent="0.5">
      <c r="A687" s="72"/>
      <c r="B687" s="72"/>
    </row>
    <row r="688" spans="1:2" x14ac:dyDescent="0.5">
      <c r="A688" s="72"/>
      <c r="B688" s="72"/>
    </row>
    <row r="689" spans="1:2" x14ac:dyDescent="0.5">
      <c r="A689" s="72"/>
      <c r="B689" s="72"/>
    </row>
    <row r="690" spans="1:2" x14ac:dyDescent="0.5">
      <c r="A690" s="72"/>
      <c r="B690" s="72"/>
    </row>
    <row r="691" spans="1:2" x14ac:dyDescent="0.5">
      <c r="A691" s="72"/>
      <c r="B691" s="72"/>
    </row>
    <row r="692" spans="1:2" x14ac:dyDescent="0.5">
      <c r="A692" s="72"/>
      <c r="B692" s="72"/>
    </row>
    <row r="693" spans="1:2" x14ac:dyDescent="0.5">
      <c r="A693" s="72"/>
      <c r="B693" s="72"/>
    </row>
    <row r="694" spans="1:2" x14ac:dyDescent="0.5">
      <c r="A694" s="72"/>
      <c r="B694" s="72"/>
    </row>
    <row r="695" spans="1:2" x14ac:dyDescent="0.5">
      <c r="A695" s="72"/>
      <c r="B695" s="72"/>
    </row>
    <row r="696" spans="1:2" x14ac:dyDescent="0.5">
      <c r="A696" s="72"/>
      <c r="B696" s="72"/>
    </row>
    <row r="697" spans="1:2" x14ac:dyDescent="0.5">
      <c r="A697" s="72"/>
      <c r="B697" s="72"/>
    </row>
    <row r="698" spans="1:2" x14ac:dyDescent="0.5">
      <c r="A698" s="72"/>
      <c r="B698" s="72"/>
    </row>
    <row r="699" spans="1:2" x14ac:dyDescent="0.5">
      <c r="A699" s="72"/>
      <c r="B699" s="72"/>
    </row>
    <row r="700" spans="1:2" x14ac:dyDescent="0.5">
      <c r="A700" s="72"/>
      <c r="B700" s="72"/>
    </row>
    <row r="701" spans="1:2" x14ac:dyDescent="0.5">
      <c r="A701" s="72"/>
      <c r="B701" s="72"/>
    </row>
    <row r="702" spans="1:2" x14ac:dyDescent="0.5">
      <c r="A702" s="72"/>
      <c r="B702" s="72"/>
    </row>
    <row r="703" spans="1:2" x14ac:dyDescent="0.5">
      <c r="A703" s="72"/>
      <c r="B703" s="72"/>
    </row>
    <row r="704" spans="1:2" x14ac:dyDescent="0.5">
      <c r="A704" s="72"/>
      <c r="B704" s="72"/>
    </row>
    <row r="705" spans="1:2" x14ac:dyDescent="0.5">
      <c r="A705" s="72"/>
      <c r="B705" s="72"/>
    </row>
    <row r="706" spans="1:2" x14ac:dyDescent="0.5">
      <c r="A706" s="72"/>
      <c r="B706" s="72"/>
    </row>
    <row r="707" spans="1:2" x14ac:dyDescent="0.5">
      <c r="A707" s="72"/>
      <c r="B707" s="72"/>
    </row>
    <row r="708" spans="1:2" x14ac:dyDescent="0.5">
      <c r="A708" s="72"/>
      <c r="B708" s="72"/>
    </row>
    <row r="709" spans="1:2" x14ac:dyDescent="0.5">
      <c r="A709" s="72"/>
      <c r="B709" s="72"/>
    </row>
    <row r="710" spans="1:2" x14ac:dyDescent="0.5">
      <c r="A710" s="72"/>
      <c r="B710" s="72"/>
    </row>
    <row r="711" spans="1:2" x14ac:dyDescent="0.5">
      <c r="A711" s="72"/>
      <c r="B711" s="72"/>
    </row>
    <row r="712" spans="1:2" x14ac:dyDescent="0.5">
      <c r="A712" s="72"/>
      <c r="B712" s="72"/>
    </row>
    <row r="713" spans="1:2" x14ac:dyDescent="0.5">
      <c r="A713" s="72"/>
      <c r="B713" s="72"/>
    </row>
    <row r="714" spans="1:2" x14ac:dyDescent="0.5">
      <c r="A714" s="72"/>
      <c r="B714" s="72"/>
    </row>
    <row r="715" spans="1:2" x14ac:dyDescent="0.5">
      <c r="A715" s="72"/>
      <c r="B715" s="72"/>
    </row>
    <row r="716" spans="1:2" x14ac:dyDescent="0.5">
      <c r="A716" s="72"/>
      <c r="B716" s="72"/>
    </row>
    <row r="717" spans="1:2" x14ac:dyDescent="0.5">
      <c r="A717" s="72"/>
      <c r="B717" s="72"/>
    </row>
    <row r="718" spans="1:2" x14ac:dyDescent="0.5">
      <c r="A718" s="72"/>
      <c r="B718" s="72"/>
    </row>
    <row r="719" spans="1:2" x14ac:dyDescent="0.5">
      <c r="A719" s="72"/>
      <c r="B719" s="72"/>
    </row>
    <row r="720" spans="1:2" x14ac:dyDescent="0.5">
      <c r="A720" s="72"/>
      <c r="B720" s="72"/>
    </row>
    <row r="721" spans="1:2" x14ac:dyDescent="0.5">
      <c r="A721" s="72"/>
      <c r="B721" s="72"/>
    </row>
    <row r="722" spans="1:2" x14ac:dyDescent="0.5">
      <c r="A722" s="72"/>
      <c r="B722" s="72"/>
    </row>
    <row r="723" spans="1:2" x14ac:dyDescent="0.5">
      <c r="A723" s="72"/>
      <c r="B723" s="72"/>
    </row>
    <row r="724" spans="1:2" x14ac:dyDescent="0.5">
      <c r="A724" s="72"/>
      <c r="B724" s="72"/>
    </row>
    <row r="725" spans="1:2" x14ac:dyDescent="0.5">
      <c r="A725" s="72"/>
      <c r="B725" s="72"/>
    </row>
    <row r="726" spans="1:2" x14ac:dyDescent="0.5">
      <c r="A726" s="72"/>
      <c r="B726" s="72"/>
    </row>
    <row r="727" spans="1:2" x14ac:dyDescent="0.5">
      <c r="A727" s="72"/>
      <c r="B727" s="72"/>
    </row>
    <row r="728" spans="1:2" x14ac:dyDescent="0.5">
      <c r="A728" s="72"/>
      <c r="B728" s="72"/>
    </row>
    <row r="729" spans="1:2" x14ac:dyDescent="0.5">
      <c r="A729" s="72"/>
      <c r="B729" s="72"/>
    </row>
    <row r="730" spans="1:2" x14ac:dyDescent="0.5">
      <c r="A730" s="72"/>
      <c r="B730" s="72"/>
    </row>
    <row r="731" spans="1:2" x14ac:dyDescent="0.5">
      <c r="A731" s="72"/>
      <c r="B731" s="72"/>
    </row>
    <row r="732" spans="1:2" x14ac:dyDescent="0.5">
      <c r="A732" s="72"/>
      <c r="B732" s="72"/>
    </row>
    <row r="733" spans="1:2" x14ac:dyDescent="0.5">
      <c r="A733" s="72"/>
      <c r="B733" s="72"/>
    </row>
    <row r="734" spans="1:2" x14ac:dyDescent="0.5">
      <c r="A734" s="72"/>
      <c r="B734" s="72"/>
    </row>
    <row r="735" spans="1:2" x14ac:dyDescent="0.5">
      <c r="A735" s="72"/>
      <c r="B735" s="72"/>
    </row>
    <row r="736" spans="1:2" x14ac:dyDescent="0.5">
      <c r="A736" s="72"/>
      <c r="B736" s="72"/>
    </row>
    <row r="737" spans="1:2" x14ac:dyDescent="0.5">
      <c r="A737" s="72"/>
      <c r="B737" s="72"/>
    </row>
    <row r="738" spans="1:2" x14ac:dyDescent="0.5">
      <c r="A738" s="72"/>
      <c r="B738" s="72"/>
    </row>
    <row r="739" spans="1:2" x14ac:dyDescent="0.5">
      <c r="A739" s="72"/>
      <c r="B739" s="72"/>
    </row>
    <row r="740" spans="1:2" x14ac:dyDescent="0.5">
      <c r="A740" s="72"/>
      <c r="B740" s="72"/>
    </row>
    <row r="741" spans="1:2" x14ac:dyDescent="0.5">
      <c r="A741" s="72"/>
      <c r="B741" s="72"/>
    </row>
    <row r="742" spans="1:2" x14ac:dyDescent="0.5">
      <c r="A742" s="72"/>
      <c r="B742" s="72"/>
    </row>
    <row r="743" spans="1:2" x14ac:dyDescent="0.5">
      <c r="A743" s="72"/>
      <c r="B743" s="72"/>
    </row>
    <row r="744" spans="1:2" x14ac:dyDescent="0.5">
      <c r="A744" s="72"/>
      <c r="B744" s="72"/>
    </row>
    <row r="745" spans="1:2" x14ac:dyDescent="0.5">
      <c r="A745" s="72"/>
      <c r="B745" s="72"/>
    </row>
    <row r="746" spans="1:2" x14ac:dyDescent="0.5">
      <c r="A746" s="72"/>
      <c r="B746" s="72"/>
    </row>
    <row r="747" spans="1:2" x14ac:dyDescent="0.5">
      <c r="A747" s="72"/>
      <c r="B747" s="72"/>
    </row>
    <row r="748" spans="1:2" x14ac:dyDescent="0.5">
      <c r="A748" s="72"/>
      <c r="B748" s="72"/>
    </row>
    <row r="749" spans="1:2" x14ac:dyDescent="0.5">
      <c r="A749" s="72"/>
      <c r="B749" s="72"/>
    </row>
    <row r="750" spans="1:2" x14ac:dyDescent="0.5">
      <c r="A750" s="72"/>
      <c r="B750" s="72"/>
    </row>
    <row r="751" spans="1:2" x14ac:dyDescent="0.5">
      <c r="A751" s="72"/>
      <c r="B751" s="72"/>
    </row>
    <row r="752" spans="1:2" x14ac:dyDescent="0.5">
      <c r="A752" s="72"/>
      <c r="B752" s="72"/>
    </row>
    <row r="753" spans="1:2" x14ac:dyDescent="0.5">
      <c r="A753" s="72"/>
      <c r="B753" s="72"/>
    </row>
    <row r="754" spans="1:2" x14ac:dyDescent="0.5">
      <c r="A754" s="72"/>
      <c r="B754" s="72"/>
    </row>
    <row r="755" spans="1:2" x14ac:dyDescent="0.5">
      <c r="A755" s="72"/>
      <c r="B755" s="72"/>
    </row>
    <row r="756" spans="1:2" x14ac:dyDescent="0.5">
      <c r="A756" s="72"/>
      <c r="B756" s="72"/>
    </row>
    <row r="757" spans="1:2" x14ac:dyDescent="0.5">
      <c r="A757" s="72"/>
      <c r="B757" s="72"/>
    </row>
    <row r="758" spans="1:2" x14ac:dyDescent="0.5">
      <c r="A758" s="72"/>
      <c r="B758" s="72"/>
    </row>
    <row r="759" spans="1:2" x14ac:dyDescent="0.5">
      <c r="A759" s="72"/>
      <c r="B759" s="72"/>
    </row>
    <row r="760" spans="1:2" x14ac:dyDescent="0.5">
      <c r="A760" s="72"/>
      <c r="B760" s="72"/>
    </row>
    <row r="761" spans="1:2" x14ac:dyDescent="0.5">
      <c r="A761" s="72"/>
      <c r="B761" s="72"/>
    </row>
    <row r="762" spans="1:2" x14ac:dyDescent="0.5">
      <c r="A762" s="72"/>
      <c r="B762" s="72"/>
    </row>
    <row r="763" spans="1:2" x14ac:dyDescent="0.5">
      <c r="A763" s="72"/>
      <c r="B763" s="72"/>
    </row>
    <row r="764" spans="1:2" x14ac:dyDescent="0.5">
      <c r="A764" s="72"/>
      <c r="B764" s="72"/>
    </row>
    <row r="765" spans="1:2" x14ac:dyDescent="0.5">
      <c r="A765" s="72"/>
      <c r="B765" s="72"/>
    </row>
    <row r="766" spans="1:2" x14ac:dyDescent="0.5">
      <c r="A766" s="72"/>
      <c r="B766" s="72"/>
    </row>
    <row r="767" spans="1:2" x14ac:dyDescent="0.5">
      <c r="A767" s="72"/>
      <c r="B767" s="72"/>
    </row>
    <row r="768" spans="1:2" x14ac:dyDescent="0.5">
      <c r="A768" s="72"/>
      <c r="B768" s="72"/>
    </row>
    <row r="769" spans="1:2" x14ac:dyDescent="0.5">
      <c r="A769" s="72"/>
      <c r="B769" s="72"/>
    </row>
    <row r="770" spans="1:2" x14ac:dyDescent="0.5">
      <c r="A770" s="72"/>
      <c r="B770" s="72"/>
    </row>
    <row r="771" spans="1:2" x14ac:dyDescent="0.5">
      <c r="A771" s="72"/>
      <c r="B771" s="72"/>
    </row>
    <row r="772" spans="1:2" x14ac:dyDescent="0.5">
      <c r="A772" s="72"/>
      <c r="B772" s="72"/>
    </row>
    <row r="773" spans="1:2" x14ac:dyDescent="0.5">
      <c r="A773" s="72"/>
      <c r="B773" s="72"/>
    </row>
    <row r="774" spans="1:2" x14ac:dyDescent="0.5">
      <c r="A774" s="72"/>
      <c r="B774" s="72"/>
    </row>
    <row r="775" spans="1:2" x14ac:dyDescent="0.5">
      <c r="A775" s="72"/>
      <c r="B775" s="72"/>
    </row>
    <row r="776" spans="1:2" x14ac:dyDescent="0.5">
      <c r="A776" s="72"/>
      <c r="B776" s="72"/>
    </row>
    <row r="777" spans="1:2" x14ac:dyDescent="0.5">
      <c r="A777" s="72"/>
      <c r="B777" s="72"/>
    </row>
    <row r="778" spans="1:2" x14ac:dyDescent="0.5">
      <c r="A778" s="72"/>
      <c r="B778" s="72"/>
    </row>
    <row r="779" spans="1:2" x14ac:dyDescent="0.5">
      <c r="A779" s="72"/>
      <c r="B779" s="72"/>
    </row>
    <row r="780" spans="1:2" x14ac:dyDescent="0.5">
      <c r="A780" s="72"/>
      <c r="B780" s="72"/>
    </row>
    <row r="781" spans="1:2" x14ac:dyDescent="0.5">
      <c r="A781" s="72"/>
      <c r="B781" s="72"/>
    </row>
    <row r="782" spans="1:2" x14ac:dyDescent="0.5">
      <c r="A782" s="72"/>
      <c r="B782" s="72"/>
    </row>
    <row r="783" spans="1:2" x14ac:dyDescent="0.5">
      <c r="A783" s="72"/>
      <c r="B783" s="72"/>
    </row>
    <row r="784" spans="1:2" x14ac:dyDescent="0.5">
      <c r="A784" s="72"/>
      <c r="B784" s="72"/>
    </row>
    <row r="785" spans="1:2" x14ac:dyDescent="0.5">
      <c r="A785" s="72"/>
      <c r="B785" s="72"/>
    </row>
    <row r="786" spans="1:2" x14ac:dyDescent="0.5">
      <c r="A786" s="72"/>
      <c r="B786" s="72"/>
    </row>
    <row r="787" spans="1:2" x14ac:dyDescent="0.5">
      <c r="A787" s="72"/>
      <c r="B787" s="72"/>
    </row>
    <row r="788" spans="1:2" x14ac:dyDescent="0.5">
      <c r="A788" s="72"/>
      <c r="B788" s="72"/>
    </row>
    <row r="789" spans="1:2" x14ac:dyDescent="0.5">
      <c r="A789" s="72"/>
      <c r="B789" s="72"/>
    </row>
    <row r="790" spans="1:2" x14ac:dyDescent="0.5">
      <c r="A790" s="72"/>
      <c r="B790" s="72"/>
    </row>
    <row r="791" spans="1:2" x14ac:dyDescent="0.5">
      <c r="A791" s="72"/>
      <c r="B791" s="72"/>
    </row>
    <row r="792" spans="1:2" x14ac:dyDescent="0.5">
      <c r="A792" s="72"/>
      <c r="B792" s="72"/>
    </row>
    <row r="793" spans="1:2" x14ac:dyDescent="0.5">
      <c r="A793" s="72"/>
      <c r="B793" s="72"/>
    </row>
    <row r="794" spans="1:2" x14ac:dyDescent="0.5">
      <c r="A794" s="72"/>
      <c r="B794" s="72"/>
    </row>
    <row r="795" spans="1:2" x14ac:dyDescent="0.5">
      <c r="A795" s="72"/>
      <c r="B795" s="72"/>
    </row>
    <row r="796" spans="1:2" x14ac:dyDescent="0.5">
      <c r="A796" s="72"/>
      <c r="B796" s="72"/>
    </row>
    <row r="797" spans="1:2" x14ac:dyDescent="0.5">
      <c r="A797" s="72"/>
      <c r="B797" s="72"/>
    </row>
    <row r="798" spans="1:2" x14ac:dyDescent="0.5">
      <c r="A798" s="72"/>
      <c r="B798" s="72"/>
    </row>
    <row r="799" spans="1:2" x14ac:dyDescent="0.5">
      <c r="A799" s="72"/>
      <c r="B799" s="72"/>
    </row>
    <row r="800" spans="1:2" x14ac:dyDescent="0.5">
      <c r="A800" s="72"/>
      <c r="B800" s="72"/>
    </row>
    <row r="801" spans="1:2" x14ac:dyDescent="0.5">
      <c r="A801" s="72"/>
      <c r="B801" s="72"/>
    </row>
    <row r="802" spans="1:2" x14ac:dyDescent="0.5">
      <c r="A802" s="72"/>
      <c r="B802" s="72"/>
    </row>
    <row r="803" spans="1:2" x14ac:dyDescent="0.5">
      <c r="A803" s="72"/>
      <c r="B803" s="72"/>
    </row>
    <row r="804" spans="1:2" x14ac:dyDescent="0.5">
      <c r="A804" s="72"/>
      <c r="B804" s="72"/>
    </row>
    <row r="805" spans="1:2" x14ac:dyDescent="0.5">
      <c r="A805" s="72"/>
      <c r="B805" s="72"/>
    </row>
    <row r="806" spans="1:2" x14ac:dyDescent="0.5">
      <c r="A806" s="72"/>
      <c r="B806" s="72"/>
    </row>
    <row r="807" spans="1:2" x14ac:dyDescent="0.5">
      <c r="A807" s="72"/>
      <c r="B807" s="72"/>
    </row>
    <row r="808" spans="1:2" x14ac:dyDescent="0.5">
      <c r="A808" s="72"/>
      <c r="B808" s="72"/>
    </row>
    <row r="809" spans="1:2" x14ac:dyDescent="0.5">
      <c r="A809" s="72"/>
      <c r="B809" s="72"/>
    </row>
    <row r="810" spans="1:2" x14ac:dyDescent="0.5">
      <c r="A810" s="72"/>
      <c r="B810" s="72"/>
    </row>
    <row r="811" spans="1:2" x14ac:dyDescent="0.5">
      <c r="A811" s="72"/>
      <c r="B811" s="72"/>
    </row>
    <row r="812" spans="1:2" x14ac:dyDescent="0.5">
      <c r="A812" s="72"/>
      <c r="B812" s="72"/>
    </row>
    <row r="813" spans="1:2" x14ac:dyDescent="0.5">
      <c r="A813" s="72"/>
      <c r="B813" s="72"/>
    </row>
    <row r="814" spans="1:2" x14ac:dyDescent="0.5">
      <c r="A814" s="72"/>
      <c r="B814" s="72"/>
    </row>
    <row r="815" spans="1:2" x14ac:dyDescent="0.5">
      <c r="A815" s="72"/>
      <c r="B815" s="72"/>
    </row>
    <row r="816" spans="1:2" x14ac:dyDescent="0.5">
      <c r="A816" s="72"/>
      <c r="B816" s="72"/>
    </row>
    <row r="817" spans="1:2" x14ac:dyDescent="0.5">
      <c r="A817" s="72"/>
      <c r="B817" s="72"/>
    </row>
    <row r="818" spans="1:2" x14ac:dyDescent="0.5">
      <c r="A818" s="72"/>
      <c r="B818" s="72"/>
    </row>
    <row r="819" spans="1:2" x14ac:dyDescent="0.5">
      <c r="A819" s="72"/>
      <c r="B819" s="72"/>
    </row>
    <row r="820" spans="1:2" x14ac:dyDescent="0.5">
      <c r="A820" s="72"/>
      <c r="B820" s="72"/>
    </row>
    <row r="821" spans="1:2" x14ac:dyDescent="0.5">
      <c r="A821" s="72"/>
      <c r="B821" s="72"/>
    </row>
    <row r="822" spans="1:2" x14ac:dyDescent="0.5">
      <c r="A822" s="72"/>
      <c r="B822" s="72"/>
    </row>
    <row r="823" spans="1:2" x14ac:dyDescent="0.5">
      <c r="A823" s="72"/>
      <c r="B823" s="72"/>
    </row>
    <row r="824" spans="1:2" x14ac:dyDescent="0.5">
      <c r="A824" s="72"/>
      <c r="B824" s="72"/>
    </row>
    <row r="825" spans="1:2" x14ac:dyDescent="0.5">
      <c r="A825" s="72"/>
      <c r="B825" s="72"/>
    </row>
    <row r="826" spans="1:2" x14ac:dyDescent="0.5">
      <c r="A826" s="72"/>
      <c r="B826" s="72"/>
    </row>
    <row r="827" spans="1:2" x14ac:dyDescent="0.5">
      <c r="A827" s="72"/>
      <c r="B827" s="72"/>
    </row>
    <row r="828" spans="1:2" x14ac:dyDescent="0.5">
      <c r="A828" s="72"/>
      <c r="B828" s="72"/>
    </row>
    <row r="829" spans="1:2" x14ac:dyDescent="0.5">
      <c r="A829" s="72"/>
      <c r="B829" s="72"/>
    </row>
    <row r="830" spans="1:2" x14ac:dyDescent="0.5">
      <c r="A830" s="72"/>
      <c r="B830" s="72"/>
    </row>
    <row r="831" spans="1:2" x14ac:dyDescent="0.5">
      <c r="A831" s="72"/>
      <c r="B831" s="72"/>
    </row>
    <row r="832" spans="1:2" x14ac:dyDescent="0.5">
      <c r="A832" s="72"/>
      <c r="B832" s="72"/>
    </row>
    <row r="833" spans="1:2" x14ac:dyDescent="0.5">
      <c r="A833" s="72"/>
      <c r="B833" s="72"/>
    </row>
    <row r="834" spans="1:2" x14ac:dyDescent="0.5">
      <c r="A834" s="72"/>
      <c r="B834" s="72"/>
    </row>
    <row r="835" spans="1:2" x14ac:dyDescent="0.5">
      <c r="A835" s="72"/>
      <c r="B835" s="72"/>
    </row>
    <row r="836" spans="1:2" x14ac:dyDescent="0.5">
      <c r="A836" s="72"/>
      <c r="B836" s="72"/>
    </row>
    <row r="837" spans="1:2" x14ac:dyDescent="0.5">
      <c r="A837" s="72"/>
      <c r="B837" s="72"/>
    </row>
    <row r="838" spans="1:2" x14ac:dyDescent="0.5">
      <c r="A838" s="72"/>
      <c r="B838" s="72"/>
    </row>
    <row r="839" spans="1:2" x14ac:dyDescent="0.5">
      <c r="A839" s="72"/>
      <c r="B839" s="72"/>
    </row>
    <row r="840" spans="1:2" x14ac:dyDescent="0.5">
      <c r="A840" s="72"/>
      <c r="B840" s="72"/>
    </row>
    <row r="841" spans="1:2" x14ac:dyDescent="0.5">
      <c r="A841" s="72"/>
      <c r="B841" s="72"/>
    </row>
    <row r="842" spans="1:2" x14ac:dyDescent="0.5">
      <c r="A842" s="72"/>
      <c r="B842" s="72"/>
    </row>
    <row r="843" spans="1:2" x14ac:dyDescent="0.5">
      <c r="A843" s="72"/>
      <c r="B843" s="72"/>
    </row>
    <row r="844" spans="1:2" x14ac:dyDescent="0.5">
      <c r="A844" s="72"/>
      <c r="B844" s="72"/>
    </row>
    <row r="845" spans="1:2" x14ac:dyDescent="0.5">
      <c r="A845" s="72"/>
      <c r="B845" s="72"/>
    </row>
    <row r="846" spans="1:2" x14ac:dyDescent="0.5">
      <c r="A846" s="72"/>
      <c r="B846" s="72"/>
    </row>
    <row r="847" spans="1:2" x14ac:dyDescent="0.5">
      <c r="A847" s="72"/>
      <c r="B847" s="72"/>
    </row>
    <row r="848" spans="1:2" x14ac:dyDescent="0.5">
      <c r="A848" s="72"/>
      <c r="B848" s="72"/>
    </row>
    <row r="849" spans="1:2" x14ac:dyDescent="0.5">
      <c r="A849" s="72"/>
      <c r="B849" s="72"/>
    </row>
    <row r="850" spans="1:2" x14ac:dyDescent="0.5">
      <c r="A850" s="72"/>
      <c r="B850" s="72"/>
    </row>
    <row r="851" spans="1:2" x14ac:dyDescent="0.5">
      <c r="A851" s="72"/>
      <c r="B851" s="72"/>
    </row>
    <row r="852" spans="1:2" x14ac:dyDescent="0.5">
      <c r="A852" s="72"/>
      <c r="B852" s="72"/>
    </row>
    <row r="853" spans="1:2" x14ac:dyDescent="0.5">
      <c r="A853" s="72"/>
      <c r="B853" s="72"/>
    </row>
    <row r="854" spans="1:2" x14ac:dyDescent="0.5">
      <c r="A854" s="72"/>
      <c r="B854" s="72"/>
    </row>
    <row r="855" spans="1:2" x14ac:dyDescent="0.5">
      <c r="A855" s="72"/>
      <c r="B855" s="72"/>
    </row>
    <row r="856" spans="1:2" x14ac:dyDescent="0.5">
      <c r="A856" s="72"/>
      <c r="B856" s="72"/>
    </row>
    <row r="857" spans="1:2" x14ac:dyDescent="0.5">
      <c r="A857" s="72"/>
      <c r="B857" s="72"/>
    </row>
    <row r="858" spans="1:2" x14ac:dyDescent="0.5">
      <c r="A858" s="72"/>
      <c r="B858" s="72"/>
    </row>
    <row r="859" spans="1:2" x14ac:dyDescent="0.5">
      <c r="A859" s="72"/>
      <c r="B859" s="72"/>
    </row>
    <row r="860" spans="1:2" x14ac:dyDescent="0.5">
      <c r="A860" s="72"/>
      <c r="B860" s="72"/>
    </row>
    <row r="861" spans="1:2" x14ac:dyDescent="0.5">
      <c r="A861" s="72"/>
      <c r="B861" s="72"/>
    </row>
    <row r="862" spans="1:2" x14ac:dyDescent="0.5">
      <c r="A862" s="72"/>
      <c r="B862" s="72"/>
    </row>
    <row r="863" spans="1:2" x14ac:dyDescent="0.5">
      <c r="A863" s="72"/>
      <c r="B863" s="72"/>
    </row>
    <row r="864" spans="1:2" x14ac:dyDescent="0.5">
      <c r="A864" s="72"/>
      <c r="B864" s="72"/>
    </row>
    <row r="865" spans="1:2" x14ac:dyDescent="0.5">
      <c r="A865" s="72"/>
      <c r="B865" s="72"/>
    </row>
    <row r="866" spans="1:2" x14ac:dyDescent="0.5">
      <c r="A866" s="72"/>
      <c r="B866" s="72"/>
    </row>
    <row r="867" spans="1:2" x14ac:dyDescent="0.5">
      <c r="A867" s="72"/>
      <c r="B867" s="72"/>
    </row>
    <row r="868" spans="1:2" x14ac:dyDescent="0.5">
      <c r="A868" s="72"/>
      <c r="B868" s="72"/>
    </row>
    <row r="869" spans="1:2" x14ac:dyDescent="0.5">
      <c r="A869" s="72"/>
      <c r="B869" s="72"/>
    </row>
    <row r="870" spans="1:2" x14ac:dyDescent="0.5">
      <c r="A870" s="72"/>
      <c r="B870" s="72"/>
    </row>
    <row r="871" spans="1:2" x14ac:dyDescent="0.5">
      <c r="A871" s="72"/>
      <c r="B871" s="72"/>
    </row>
    <row r="872" spans="1:2" x14ac:dyDescent="0.5">
      <c r="A872" s="72"/>
      <c r="B872" s="72"/>
    </row>
    <row r="873" spans="1:2" x14ac:dyDescent="0.5">
      <c r="A873" s="72"/>
      <c r="B873" s="72"/>
    </row>
    <row r="874" spans="1:2" x14ac:dyDescent="0.5">
      <c r="A874" s="72"/>
      <c r="B874" s="72"/>
    </row>
    <row r="875" spans="1:2" x14ac:dyDescent="0.5">
      <c r="A875" s="72"/>
      <c r="B875" s="72"/>
    </row>
    <row r="876" spans="1:2" x14ac:dyDescent="0.5">
      <c r="A876" s="72"/>
      <c r="B876" s="72"/>
    </row>
    <row r="877" spans="1:2" x14ac:dyDescent="0.5">
      <c r="A877" s="72"/>
      <c r="B877" s="72"/>
    </row>
    <row r="878" spans="1:2" x14ac:dyDescent="0.5">
      <c r="A878" s="72"/>
      <c r="B878" s="72"/>
    </row>
    <row r="879" spans="1:2" x14ac:dyDescent="0.5">
      <c r="A879" s="72"/>
      <c r="B879" s="72"/>
    </row>
    <row r="880" spans="1:2" x14ac:dyDescent="0.5">
      <c r="A880" s="72"/>
      <c r="B880" s="72"/>
    </row>
    <row r="881" spans="1:2" x14ac:dyDescent="0.5">
      <c r="A881" s="72"/>
      <c r="B881" s="72"/>
    </row>
    <row r="882" spans="1:2" x14ac:dyDescent="0.5">
      <c r="A882" s="72"/>
      <c r="B882" s="72"/>
    </row>
    <row r="883" spans="1:2" x14ac:dyDescent="0.5">
      <c r="A883" s="72"/>
      <c r="B883" s="72"/>
    </row>
    <row r="884" spans="1:2" x14ac:dyDescent="0.5">
      <c r="A884" s="72"/>
      <c r="B884" s="72"/>
    </row>
    <row r="885" spans="1:2" x14ac:dyDescent="0.5">
      <c r="A885" s="72"/>
      <c r="B885" s="72"/>
    </row>
    <row r="886" spans="1:2" x14ac:dyDescent="0.5">
      <c r="A886" s="72"/>
      <c r="B886" s="72"/>
    </row>
    <row r="887" spans="1:2" x14ac:dyDescent="0.5">
      <c r="A887" s="72"/>
      <c r="B887" s="72"/>
    </row>
    <row r="888" spans="1:2" x14ac:dyDescent="0.5">
      <c r="A888" s="72"/>
      <c r="B888" s="72"/>
    </row>
    <row r="889" spans="1:2" x14ac:dyDescent="0.5">
      <c r="A889" s="72"/>
      <c r="B889" s="72"/>
    </row>
    <row r="890" spans="1:2" x14ac:dyDescent="0.5">
      <c r="A890" s="72"/>
      <c r="B890" s="72"/>
    </row>
    <row r="891" spans="1:2" x14ac:dyDescent="0.5">
      <c r="A891" s="72"/>
      <c r="B891" s="72"/>
    </row>
    <row r="892" spans="1:2" x14ac:dyDescent="0.5">
      <c r="A892" s="72"/>
      <c r="B892" s="72"/>
    </row>
    <row r="893" spans="1:2" x14ac:dyDescent="0.5">
      <c r="A893" s="72"/>
      <c r="B893" s="72"/>
    </row>
    <row r="894" spans="1:2" x14ac:dyDescent="0.5">
      <c r="A894" s="72"/>
      <c r="B894" s="72"/>
    </row>
    <row r="895" spans="1:2" x14ac:dyDescent="0.5">
      <c r="A895" s="72"/>
      <c r="B895" s="72"/>
    </row>
    <row r="896" spans="1:2" x14ac:dyDescent="0.5">
      <c r="A896" s="72"/>
      <c r="B896" s="72"/>
    </row>
    <row r="897" spans="1:2" x14ac:dyDescent="0.5">
      <c r="A897" s="72"/>
      <c r="B897" s="72"/>
    </row>
    <row r="898" spans="1:2" x14ac:dyDescent="0.5">
      <c r="A898" s="72"/>
      <c r="B898" s="72"/>
    </row>
    <row r="899" spans="1:2" x14ac:dyDescent="0.5">
      <c r="A899" s="72"/>
      <c r="B899" s="72"/>
    </row>
    <row r="900" spans="1:2" x14ac:dyDescent="0.5">
      <c r="A900" s="72"/>
      <c r="B900" s="72"/>
    </row>
    <row r="901" spans="1:2" x14ac:dyDescent="0.5">
      <c r="A901" s="72"/>
      <c r="B901" s="72"/>
    </row>
    <row r="902" spans="1:2" x14ac:dyDescent="0.5">
      <c r="A902" s="72"/>
      <c r="B902" s="72"/>
    </row>
    <row r="903" spans="1:2" x14ac:dyDescent="0.5">
      <c r="A903" s="72"/>
      <c r="B903" s="72"/>
    </row>
    <row r="904" spans="1:2" x14ac:dyDescent="0.5">
      <c r="A904" s="72"/>
      <c r="B904" s="72"/>
    </row>
    <row r="905" spans="1:2" x14ac:dyDescent="0.5">
      <c r="A905" s="72"/>
      <c r="B905" s="72"/>
    </row>
    <row r="906" spans="1:2" x14ac:dyDescent="0.5">
      <c r="A906" s="72"/>
      <c r="B906" s="72"/>
    </row>
    <row r="907" spans="1:2" x14ac:dyDescent="0.5">
      <c r="A907" s="72"/>
      <c r="B907" s="72"/>
    </row>
    <row r="908" spans="1:2" x14ac:dyDescent="0.5">
      <c r="A908" s="72"/>
      <c r="B908" s="72"/>
    </row>
    <row r="909" spans="1:2" x14ac:dyDescent="0.5">
      <c r="A909" s="72"/>
      <c r="B909" s="72"/>
    </row>
    <row r="910" spans="1:2" x14ac:dyDescent="0.5">
      <c r="A910" s="72"/>
      <c r="B910" s="72"/>
    </row>
    <row r="911" spans="1:2" x14ac:dyDescent="0.5">
      <c r="A911" s="72"/>
      <c r="B911" s="72"/>
    </row>
    <row r="912" spans="1:2" x14ac:dyDescent="0.5">
      <c r="A912" s="72"/>
      <c r="B912" s="72"/>
    </row>
    <row r="913" spans="1:2" x14ac:dyDescent="0.5">
      <c r="A913" s="72"/>
      <c r="B913" s="72"/>
    </row>
    <row r="914" spans="1:2" x14ac:dyDescent="0.5">
      <c r="A914" s="72"/>
      <c r="B914" s="72"/>
    </row>
    <row r="915" spans="1:2" x14ac:dyDescent="0.5">
      <c r="A915" s="72"/>
      <c r="B915" s="72"/>
    </row>
    <row r="916" spans="1:2" x14ac:dyDescent="0.5">
      <c r="A916" s="72"/>
      <c r="B916" s="72"/>
    </row>
    <row r="917" spans="1:2" x14ac:dyDescent="0.5">
      <c r="A917" s="72"/>
      <c r="B917" s="72"/>
    </row>
    <row r="918" spans="1:2" x14ac:dyDescent="0.5">
      <c r="A918" s="72"/>
      <c r="B918" s="72"/>
    </row>
    <row r="919" spans="1:2" x14ac:dyDescent="0.5">
      <c r="A919" s="72"/>
      <c r="B919" s="72"/>
    </row>
    <row r="920" spans="1:2" x14ac:dyDescent="0.5">
      <c r="A920" s="72"/>
      <c r="B920" s="72"/>
    </row>
    <row r="921" spans="1:2" x14ac:dyDescent="0.5">
      <c r="A921" s="72"/>
      <c r="B921" s="72"/>
    </row>
    <row r="922" spans="1:2" x14ac:dyDescent="0.5">
      <c r="A922" s="72"/>
      <c r="B922" s="72"/>
    </row>
    <row r="923" spans="1:2" x14ac:dyDescent="0.5">
      <c r="A923" s="72"/>
      <c r="B923" s="72"/>
    </row>
    <row r="924" spans="1:2" x14ac:dyDescent="0.5">
      <c r="A924" s="72"/>
      <c r="B924" s="72"/>
    </row>
    <row r="925" spans="1:2" x14ac:dyDescent="0.5">
      <c r="A925" s="72"/>
      <c r="B925" s="72"/>
    </row>
    <row r="926" spans="1:2" x14ac:dyDescent="0.5">
      <c r="A926" s="72"/>
      <c r="B926" s="72"/>
    </row>
    <row r="927" spans="1:2" x14ac:dyDescent="0.5">
      <c r="A927" s="72"/>
      <c r="B927" s="72"/>
    </row>
    <row r="928" spans="1:2" x14ac:dyDescent="0.5">
      <c r="A928" s="72"/>
      <c r="B928" s="72"/>
    </row>
    <row r="929" spans="1:2" x14ac:dyDescent="0.5">
      <c r="A929" s="72"/>
      <c r="B929" s="72"/>
    </row>
    <row r="930" spans="1:2" x14ac:dyDescent="0.5">
      <c r="A930" s="72"/>
      <c r="B930" s="72"/>
    </row>
    <row r="931" spans="1:2" x14ac:dyDescent="0.5">
      <c r="A931" s="72"/>
      <c r="B931" s="72"/>
    </row>
    <row r="932" spans="1:2" x14ac:dyDescent="0.5">
      <c r="A932" s="72"/>
      <c r="B932" s="72"/>
    </row>
    <row r="933" spans="1:2" x14ac:dyDescent="0.5">
      <c r="A933" s="72"/>
      <c r="B933" s="72"/>
    </row>
    <row r="934" spans="1:2" x14ac:dyDescent="0.5">
      <c r="A934" s="72"/>
      <c r="B934" s="72"/>
    </row>
    <row r="935" spans="1:2" x14ac:dyDescent="0.5">
      <c r="A935" s="72"/>
      <c r="B935" s="72"/>
    </row>
    <row r="936" spans="1:2" x14ac:dyDescent="0.5">
      <c r="A936" s="72"/>
      <c r="B936" s="72"/>
    </row>
    <row r="937" spans="1:2" x14ac:dyDescent="0.5">
      <c r="A937" s="72"/>
      <c r="B937" s="72"/>
    </row>
    <row r="938" spans="1:2" x14ac:dyDescent="0.5">
      <c r="A938" s="72"/>
      <c r="B938" s="72"/>
    </row>
    <row r="939" spans="1:2" x14ac:dyDescent="0.5">
      <c r="A939" s="72"/>
      <c r="B939" s="72"/>
    </row>
    <row r="940" spans="1:2" x14ac:dyDescent="0.5">
      <c r="A940" s="72"/>
      <c r="B940" s="72"/>
    </row>
    <row r="941" spans="1:2" x14ac:dyDescent="0.5">
      <c r="A941" s="72"/>
      <c r="B941" s="72"/>
    </row>
    <row r="942" spans="1:2" x14ac:dyDescent="0.5">
      <c r="A942" s="72"/>
      <c r="B942" s="72"/>
    </row>
    <row r="943" spans="1:2" x14ac:dyDescent="0.5">
      <c r="A943" s="72"/>
      <c r="B943" s="72"/>
    </row>
    <row r="944" spans="1:2" x14ac:dyDescent="0.5">
      <c r="A944" s="72"/>
      <c r="B944" s="72"/>
    </row>
    <row r="945" spans="1:2" x14ac:dyDescent="0.5">
      <c r="A945" s="72"/>
      <c r="B945" s="72"/>
    </row>
    <row r="946" spans="1:2" x14ac:dyDescent="0.5">
      <c r="A946" s="72"/>
      <c r="B946" s="72"/>
    </row>
    <row r="947" spans="1:2" x14ac:dyDescent="0.5">
      <c r="A947" s="72"/>
      <c r="B947" s="72"/>
    </row>
    <row r="948" spans="1:2" x14ac:dyDescent="0.5">
      <c r="A948" s="72"/>
      <c r="B948" s="72"/>
    </row>
    <row r="949" spans="1:2" x14ac:dyDescent="0.5">
      <c r="A949" s="72"/>
      <c r="B949" s="72"/>
    </row>
    <row r="950" spans="1:2" x14ac:dyDescent="0.5">
      <c r="A950" s="72"/>
      <c r="B950" s="72"/>
    </row>
    <row r="951" spans="1:2" x14ac:dyDescent="0.5">
      <c r="A951" s="72"/>
      <c r="B951" s="72"/>
    </row>
    <row r="952" spans="1:2" x14ac:dyDescent="0.5">
      <c r="A952" s="72"/>
      <c r="B952" s="72"/>
    </row>
    <row r="953" spans="1:2" x14ac:dyDescent="0.5">
      <c r="A953" s="72"/>
      <c r="B953" s="72"/>
    </row>
    <row r="954" spans="1:2" x14ac:dyDescent="0.5">
      <c r="A954" s="72"/>
      <c r="B954" s="72"/>
    </row>
    <row r="955" spans="1:2" x14ac:dyDescent="0.5">
      <c r="A955" s="72"/>
      <c r="B955" s="72"/>
    </row>
    <row r="956" spans="1:2" x14ac:dyDescent="0.5">
      <c r="A956" s="72"/>
      <c r="B956" s="72"/>
    </row>
    <row r="957" spans="1:2" x14ac:dyDescent="0.5">
      <c r="A957" s="72"/>
      <c r="B957" s="72"/>
    </row>
    <row r="958" spans="1:2" x14ac:dyDescent="0.5">
      <c r="A958" s="72"/>
      <c r="B958" s="72"/>
    </row>
    <row r="959" spans="1:2" x14ac:dyDescent="0.5">
      <c r="A959" s="72"/>
      <c r="B959" s="72"/>
    </row>
    <row r="960" spans="1:2" x14ac:dyDescent="0.5">
      <c r="A960" s="72"/>
      <c r="B960" s="72"/>
    </row>
    <row r="961" spans="1:2" x14ac:dyDescent="0.5">
      <c r="A961" s="72"/>
      <c r="B961" s="72"/>
    </row>
    <row r="962" spans="1:2" x14ac:dyDescent="0.5">
      <c r="A962" s="72"/>
      <c r="B962" s="72"/>
    </row>
    <row r="963" spans="1:2" x14ac:dyDescent="0.5">
      <c r="A963" s="72"/>
      <c r="B963" s="72"/>
    </row>
    <row r="964" spans="1:2" x14ac:dyDescent="0.5">
      <c r="A964" s="72"/>
      <c r="B964" s="72"/>
    </row>
    <row r="965" spans="1:2" x14ac:dyDescent="0.5">
      <c r="A965" s="72"/>
      <c r="B965" s="72"/>
    </row>
    <row r="966" spans="1:2" x14ac:dyDescent="0.5">
      <c r="A966" s="72"/>
      <c r="B966" s="72"/>
    </row>
    <row r="967" spans="1:2" x14ac:dyDescent="0.5">
      <c r="A967" s="72"/>
      <c r="B967" s="72"/>
    </row>
    <row r="968" spans="1:2" x14ac:dyDescent="0.5">
      <c r="A968" s="72"/>
      <c r="B968" s="72"/>
    </row>
    <row r="969" spans="1:2" x14ac:dyDescent="0.5">
      <c r="A969" s="72"/>
      <c r="B969" s="72"/>
    </row>
    <row r="970" spans="1:2" x14ac:dyDescent="0.5">
      <c r="A970" s="72"/>
      <c r="B970" s="72"/>
    </row>
    <row r="971" spans="1:2" x14ac:dyDescent="0.5">
      <c r="A971" s="72"/>
      <c r="B971" s="72"/>
    </row>
    <row r="972" spans="1:2" x14ac:dyDescent="0.5">
      <c r="A972" s="72"/>
      <c r="B972" s="72"/>
    </row>
    <row r="973" spans="1:2" x14ac:dyDescent="0.5">
      <c r="A973" s="72"/>
      <c r="B973" s="72"/>
    </row>
    <row r="974" spans="1:2" x14ac:dyDescent="0.5">
      <c r="A974" s="72"/>
      <c r="B974" s="72"/>
    </row>
    <row r="975" spans="1:2" x14ac:dyDescent="0.5">
      <c r="A975" s="72"/>
      <c r="B975" s="72"/>
    </row>
    <row r="976" spans="1:2" x14ac:dyDescent="0.5">
      <c r="A976" s="72"/>
      <c r="B976" s="72"/>
    </row>
    <row r="977" spans="1:2" x14ac:dyDescent="0.5">
      <c r="A977" s="72"/>
      <c r="B977" s="72"/>
    </row>
    <row r="978" spans="1:2" x14ac:dyDescent="0.5">
      <c r="A978" s="72"/>
      <c r="B978" s="72"/>
    </row>
    <row r="979" spans="1:2" x14ac:dyDescent="0.5">
      <c r="A979" s="72"/>
      <c r="B979" s="72"/>
    </row>
    <row r="980" spans="1:2" x14ac:dyDescent="0.5">
      <c r="A980" s="72"/>
      <c r="B980" s="72"/>
    </row>
    <row r="981" spans="1:2" x14ac:dyDescent="0.5">
      <c r="A981" s="72"/>
      <c r="B981" s="72"/>
    </row>
    <row r="982" spans="1:2" x14ac:dyDescent="0.5">
      <c r="A982" s="72"/>
      <c r="B982" s="72"/>
    </row>
    <row r="983" spans="1:2" x14ac:dyDescent="0.5">
      <c r="A983" s="72"/>
      <c r="B983" s="72"/>
    </row>
    <row r="984" spans="1:2" x14ac:dyDescent="0.5">
      <c r="A984" s="72"/>
      <c r="B984" s="72"/>
    </row>
    <row r="985" spans="1:2" x14ac:dyDescent="0.5">
      <c r="A985" s="72"/>
      <c r="B985" s="72"/>
    </row>
    <row r="986" spans="1:2" x14ac:dyDescent="0.5">
      <c r="A986" s="72"/>
      <c r="B986" s="72"/>
    </row>
    <row r="987" spans="1:2" x14ac:dyDescent="0.5">
      <c r="A987" s="72"/>
      <c r="B987" s="72"/>
    </row>
    <row r="988" spans="1:2" x14ac:dyDescent="0.5">
      <c r="A988" s="72"/>
      <c r="B988" s="72"/>
    </row>
    <row r="989" spans="1:2" x14ac:dyDescent="0.5">
      <c r="A989" s="72"/>
      <c r="B989" s="72"/>
    </row>
    <row r="990" spans="1:2" x14ac:dyDescent="0.5">
      <c r="A990" s="72"/>
      <c r="B990" s="72"/>
    </row>
    <row r="991" spans="1:2" x14ac:dyDescent="0.5">
      <c r="A991" s="72"/>
      <c r="B991" s="72"/>
    </row>
    <row r="992" spans="1:2" x14ac:dyDescent="0.5">
      <c r="A992" s="72"/>
      <c r="B992" s="72"/>
    </row>
    <row r="993" spans="1:2" x14ac:dyDescent="0.5">
      <c r="A993" s="72"/>
      <c r="B993" s="72"/>
    </row>
    <row r="994" spans="1:2" x14ac:dyDescent="0.5">
      <c r="A994" s="72"/>
      <c r="B994" s="72"/>
    </row>
    <row r="995" spans="1:2" x14ac:dyDescent="0.5">
      <c r="A995" s="72"/>
      <c r="B995" s="72"/>
    </row>
    <row r="996" spans="1:2" x14ac:dyDescent="0.5">
      <c r="A996" s="72"/>
      <c r="B996" s="72"/>
    </row>
    <row r="997" spans="1:2" x14ac:dyDescent="0.5">
      <c r="A997" s="72"/>
      <c r="B997" s="72"/>
    </row>
    <row r="998" spans="1:2" x14ac:dyDescent="0.5">
      <c r="A998" s="72"/>
      <c r="B998" s="72"/>
    </row>
    <row r="999" spans="1:2" x14ac:dyDescent="0.5">
      <c r="A999" s="72"/>
      <c r="B999" s="72"/>
    </row>
    <row r="1000" spans="1:2" x14ac:dyDescent="0.5">
      <c r="A1000" s="72"/>
      <c r="B1000" s="72"/>
    </row>
    <row r="1001" spans="1:2" x14ac:dyDescent="0.5">
      <c r="A1001" s="72"/>
      <c r="B1001" s="72"/>
    </row>
    <row r="1002" spans="1:2" x14ac:dyDescent="0.5">
      <c r="A1002" s="72"/>
      <c r="B1002" s="72"/>
    </row>
    <row r="1003" spans="1:2" x14ac:dyDescent="0.5">
      <c r="A1003" s="72"/>
      <c r="B1003" s="72"/>
    </row>
    <row r="1004" spans="1:2" x14ac:dyDescent="0.5">
      <c r="A1004" s="72"/>
      <c r="B1004" s="72"/>
    </row>
    <row r="1005" spans="1:2" x14ac:dyDescent="0.5">
      <c r="A1005" s="72"/>
      <c r="B1005" s="72"/>
    </row>
    <row r="1006" spans="1:2" x14ac:dyDescent="0.5">
      <c r="A1006" s="72"/>
      <c r="B1006" s="72"/>
    </row>
    <row r="1007" spans="1:2" x14ac:dyDescent="0.5">
      <c r="A1007" s="72"/>
      <c r="B1007" s="72"/>
    </row>
    <row r="1008" spans="1:2" x14ac:dyDescent="0.5">
      <c r="A1008" s="72"/>
      <c r="B1008" s="72"/>
    </row>
    <row r="1009" spans="1:2" x14ac:dyDescent="0.5">
      <c r="A1009" s="72"/>
      <c r="B1009" s="72"/>
    </row>
    <row r="1010" spans="1:2" x14ac:dyDescent="0.5">
      <c r="A1010" s="72"/>
      <c r="B1010" s="72"/>
    </row>
    <row r="1011" spans="1:2" x14ac:dyDescent="0.5">
      <c r="A1011" s="72"/>
      <c r="B1011" s="72"/>
    </row>
    <row r="1012" spans="1:2" x14ac:dyDescent="0.5">
      <c r="A1012" s="72"/>
      <c r="B1012" s="72"/>
    </row>
    <row r="1013" spans="1:2" x14ac:dyDescent="0.5">
      <c r="A1013" s="72"/>
      <c r="B1013" s="72"/>
    </row>
    <row r="1014" spans="1:2" x14ac:dyDescent="0.5">
      <c r="A1014" s="72"/>
      <c r="B1014" s="72"/>
    </row>
    <row r="1015" spans="1:2" x14ac:dyDescent="0.5">
      <c r="A1015" s="72"/>
      <c r="B1015" s="72"/>
    </row>
    <row r="1016" spans="1:2" x14ac:dyDescent="0.5">
      <c r="A1016" s="72"/>
      <c r="B1016" s="72"/>
    </row>
    <row r="1017" spans="1:2" x14ac:dyDescent="0.5">
      <c r="A1017" s="72"/>
      <c r="B1017" s="72"/>
    </row>
    <row r="1018" spans="1:2" x14ac:dyDescent="0.5">
      <c r="A1018" s="72"/>
      <c r="B1018" s="72"/>
    </row>
    <row r="1019" spans="1:2" x14ac:dyDescent="0.5">
      <c r="A1019" s="72"/>
      <c r="B1019" s="72"/>
    </row>
    <row r="1020" spans="1:2" x14ac:dyDescent="0.5">
      <c r="A1020" s="72"/>
      <c r="B1020" s="72"/>
    </row>
    <row r="1021" spans="1:2" x14ac:dyDescent="0.5">
      <c r="A1021" s="72"/>
      <c r="B1021" s="72"/>
    </row>
    <row r="1022" spans="1:2" x14ac:dyDescent="0.5">
      <c r="A1022" s="72"/>
      <c r="B1022" s="72"/>
    </row>
    <row r="1023" spans="1:2" x14ac:dyDescent="0.5">
      <c r="A1023" s="72"/>
      <c r="B1023" s="72"/>
    </row>
    <row r="1024" spans="1:2" x14ac:dyDescent="0.5">
      <c r="A1024" s="72"/>
      <c r="B1024" s="72"/>
    </row>
    <row r="1025" spans="1:2" x14ac:dyDescent="0.5">
      <c r="A1025" s="72"/>
      <c r="B1025" s="72"/>
    </row>
    <row r="1026" spans="1:2" x14ac:dyDescent="0.5">
      <c r="A1026" s="72"/>
      <c r="B1026" s="72"/>
    </row>
    <row r="1027" spans="1:2" x14ac:dyDescent="0.5">
      <c r="A1027" s="72"/>
      <c r="B1027" s="72"/>
    </row>
    <row r="1028" spans="1:2" x14ac:dyDescent="0.5">
      <c r="A1028" s="72"/>
      <c r="B1028" s="72"/>
    </row>
    <row r="1029" spans="1:2" x14ac:dyDescent="0.5">
      <c r="A1029" s="72"/>
      <c r="B1029" s="72"/>
    </row>
    <row r="1030" spans="1:2" x14ac:dyDescent="0.5">
      <c r="A1030" s="72"/>
      <c r="B1030" s="72"/>
    </row>
    <row r="1031" spans="1:2" x14ac:dyDescent="0.5">
      <c r="A1031" s="72"/>
      <c r="B1031" s="72"/>
    </row>
    <row r="1032" spans="1:2" x14ac:dyDescent="0.5">
      <c r="A1032" s="72"/>
      <c r="B1032" s="72"/>
    </row>
    <row r="1033" spans="1:2" x14ac:dyDescent="0.5">
      <c r="A1033" s="72"/>
      <c r="B1033" s="72"/>
    </row>
    <row r="1034" spans="1:2" x14ac:dyDescent="0.5">
      <c r="A1034" s="72"/>
      <c r="B1034" s="72"/>
    </row>
    <row r="1035" spans="1:2" x14ac:dyDescent="0.5">
      <c r="A1035" s="72"/>
      <c r="B1035" s="72"/>
    </row>
    <row r="1036" spans="1:2" x14ac:dyDescent="0.5">
      <c r="A1036" s="72"/>
      <c r="B1036" s="72"/>
    </row>
    <row r="1037" spans="1:2" x14ac:dyDescent="0.5">
      <c r="A1037" s="72"/>
      <c r="B1037" s="72"/>
    </row>
    <row r="1038" spans="1:2" x14ac:dyDescent="0.5">
      <c r="A1038" s="72"/>
      <c r="B1038" s="72"/>
    </row>
    <row r="1039" spans="1:2" x14ac:dyDescent="0.5">
      <c r="A1039" s="72"/>
      <c r="B1039" s="72"/>
    </row>
    <row r="1040" spans="1:2" x14ac:dyDescent="0.5">
      <c r="A1040" s="72"/>
      <c r="B1040" s="72"/>
    </row>
    <row r="1041" spans="1:2" x14ac:dyDescent="0.5">
      <c r="A1041" s="72"/>
      <c r="B1041" s="72"/>
    </row>
    <row r="1042" spans="1:2" x14ac:dyDescent="0.5">
      <c r="A1042" s="72"/>
      <c r="B1042" s="72"/>
    </row>
    <row r="1043" spans="1:2" x14ac:dyDescent="0.5">
      <c r="A1043" s="72"/>
      <c r="B1043" s="72"/>
    </row>
    <row r="1044" spans="1:2" x14ac:dyDescent="0.5">
      <c r="A1044" s="72"/>
      <c r="B1044" s="72"/>
    </row>
    <row r="1045" spans="1:2" x14ac:dyDescent="0.5">
      <c r="A1045" s="72"/>
      <c r="B1045" s="72"/>
    </row>
    <row r="1046" spans="1:2" x14ac:dyDescent="0.5">
      <c r="A1046" s="72"/>
      <c r="B1046" s="72"/>
    </row>
    <row r="1047" spans="1:2" x14ac:dyDescent="0.5">
      <c r="A1047" s="72"/>
      <c r="B1047" s="72"/>
    </row>
    <row r="1048" spans="1:2" x14ac:dyDescent="0.5">
      <c r="A1048" s="72"/>
      <c r="B1048" s="72"/>
    </row>
    <row r="1049" spans="1:2" x14ac:dyDescent="0.5">
      <c r="A1049" s="72"/>
      <c r="B1049" s="72"/>
    </row>
    <row r="1050" spans="1:2" x14ac:dyDescent="0.5">
      <c r="A1050" s="72"/>
      <c r="B1050" s="72"/>
    </row>
    <row r="1051" spans="1:2" x14ac:dyDescent="0.5">
      <c r="A1051" s="72"/>
      <c r="B1051" s="72"/>
    </row>
    <row r="1052" spans="1:2" x14ac:dyDescent="0.5">
      <c r="A1052" s="72"/>
      <c r="B1052" s="72"/>
    </row>
    <row r="1053" spans="1:2" x14ac:dyDescent="0.5">
      <c r="A1053" s="72"/>
      <c r="B1053" s="72"/>
    </row>
    <row r="1054" spans="1:2" x14ac:dyDescent="0.5">
      <c r="A1054" s="72"/>
      <c r="B1054" s="72"/>
    </row>
    <row r="1055" spans="1:2" x14ac:dyDescent="0.5">
      <c r="A1055" s="72"/>
      <c r="B1055" s="72"/>
    </row>
    <row r="1056" spans="1:2" x14ac:dyDescent="0.5">
      <c r="A1056" s="72"/>
      <c r="B1056" s="72"/>
    </row>
    <row r="1057" spans="1:2" x14ac:dyDescent="0.5">
      <c r="A1057" s="72"/>
      <c r="B1057" s="72"/>
    </row>
    <row r="1058" spans="1:2" x14ac:dyDescent="0.5">
      <c r="A1058" s="72"/>
      <c r="B1058" s="72"/>
    </row>
    <row r="1059" spans="1:2" x14ac:dyDescent="0.5">
      <c r="A1059" s="72"/>
      <c r="B1059" s="72"/>
    </row>
    <row r="1060" spans="1:2" x14ac:dyDescent="0.5">
      <c r="A1060" s="72"/>
      <c r="B1060" s="72"/>
    </row>
    <row r="1061" spans="1:2" x14ac:dyDescent="0.5">
      <c r="A1061" s="72"/>
      <c r="B1061" s="72"/>
    </row>
    <row r="1062" spans="1:2" x14ac:dyDescent="0.5">
      <c r="A1062" s="72"/>
      <c r="B1062" s="72"/>
    </row>
    <row r="1063" spans="1:2" x14ac:dyDescent="0.5">
      <c r="A1063" s="72"/>
      <c r="B1063" s="72"/>
    </row>
    <row r="1064" spans="1:2" x14ac:dyDescent="0.5">
      <c r="A1064" s="72"/>
      <c r="B1064" s="72"/>
    </row>
    <row r="1065" spans="1:2" x14ac:dyDescent="0.5">
      <c r="A1065" s="72"/>
      <c r="B1065" s="72"/>
    </row>
    <row r="1066" spans="1:2" x14ac:dyDescent="0.5">
      <c r="A1066" s="72"/>
      <c r="B1066" s="72"/>
    </row>
    <row r="1067" spans="1:2" x14ac:dyDescent="0.5">
      <c r="A1067" s="72"/>
      <c r="B1067" s="72"/>
    </row>
    <row r="1068" spans="1:2" x14ac:dyDescent="0.5">
      <c r="A1068" s="72"/>
      <c r="B1068" s="72"/>
    </row>
    <row r="1069" spans="1:2" x14ac:dyDescent="0.5">
      <c r="A1069" s="72"/>
      <c r="B1069" s="72"/>
    </row>
    <row r="1070" spans="1:2" x14ac:dyDescent="0.5">
      <c r="A1070" s="72"/>
      <c r="B1070" s="72"/>
    </row>
    <row r="1071" spans="1:2" x14ac:dyDescent="0.5">
      <c r="A1071" s="72"/>
      <c r="B1071" s="72"/>
    </row>
    <row r="1072" spans="1:2" x14ac:dyDescent="0.5">
      <c r="A1072" s="72"/>
      <c r="B1072" s="72"/>
    </row>
    <row r="1073" spans="1:2" x14ac:dyDescent="0.5">
      <c r="A1073" s="72"/>
      <c r="B1073" s="72"/>
    </row>
    <row r="1074" spans="1:2" x14ac:dyDescent="0.5">
      <c r="A1074" s="72"/>
      <c r="B1074" s="72"/>
    </row>
    <row r="1075" spans="1:2" x14ac:dyDescent="0.5">
      <c r="A1075" s="72"/>
      <c r="B1075" s="72"/>
    </row>
    <row r="1076" spans="1:2" x14ac:dyDescent="0.5">
      <c r="A1076" s="72"/>
      <c r="B1076" s="72"/>
    </row>
    <row r="1077" spans="1:2" x14ac:dyDescent="0.5">
      <c r="A1077" s="72"/>
      <c r="B1077" s="72"/>
    </row>
    <row r="1078" spans="1:2" x14ac:dyDescent="0.5">
      <c r="A1078" s="72"/>
      <c r="B1078" s="72"/>
    </row>
    <row r="1079" spans="1:2" x14ac:dyDescent="0.5">
      <c r="A1079" s="72"/>
      <c r="B1079" s="72"/>
    </row>
    <row r="1080" spans="1:2" x14ac:dyDescent="0.5">
      <c r="A1080" s="72"/>
      <c r="B1080" s="72"/>
    </row>
    <row r="1081" spans="1:2" x14ac:dyDescent="0.5">
      <c r="A1081" s="72"/>
      <c r="B1081" s="72"/>
    </row>
    <row r="1082" spans="1:2" x14ac:dyDescent="0.5">
      <c r="A1082" s="72"/>
      <c r="B1082" s="72"/>
    </row>
    <row r="1083" spans="1:2" x14ac:dyDescent="0.5">
      <c r="A1083" s="72"/>
      <c r="B1083" s="72"/>
    </row>
    <row r="1084" spans="1:2" x14ac:dyDescent="0.5">
      <c r="A1084" s="72"/>
      <c r="B1084" s="72"/>
    </row>
    <row r="1085" spans="1:2" x14ac:dyDescent="0.5">
      <c r="A1085" s="72"/>
      <c r="B1085" s="72"/>
    </row>
    <row r="1086" spans="1:2" x14ac:dyDescent="0.5">
      <c r="A1086" s="72"/>
      <c r="B1086" s="72"/>
    </row>
    <row r="1087" spans="1:2" x14ac:dyDescent="0.5">
      <c r="A1087" s="72"/>
      <c r="B1087" s="72"/>
    </row>
    <row r="1088" spans="1:2" x14ac:dyDescent="0.5">
      <c r="A1088" s="72"/>
      <c r="B1088" s="72"/>
    </row>
    <row r="1089" spans="1:2" x14ac:dyDescent="0.5">
      <c r="A1089" s="72"/>
      <c r="B1089" s="72"/>
    </row>
    <row r="1090" spans="1:2" x14ac:dyDescent="0.5">
      <c r="A1090" s="72"/>
      <c r="B1090" s="72"/>
    </row>
    <row r="1091" spans="1:2" x14ac:dyDescent="0.5">
      <c r="A1091" s="72"/>
      <c r="B1091" s="72"/>
    </row>
    <row r="1092" spans="1:2" x14ac:dyDescent="0.5">
      <c r="A1092" s="72"/>
      <c r="B1092" s="72"/>
    </row>
    <row r="1093" spans="1:2" x14ac:dyDescent="0.5">
      <c r="A1093" s="72"/>
      <c r="B1093" s="72"/>
    </row>
    <row r="1094" spans="1:2" x14ac:dyDescent="0.5">
      <c r="A1094" s="72"/>
      <c r="B1094" s="72"/>
    </row>
    <row r="1095" spans="1:2" x14ac:dyDescent="0.5">
      <c r="A1095" s="72"/>
      <c r="B1095" s="72"/>
    </row>
    <row r="1096" spans="1:2" x14ac:dyDescent="0.5">
      <c r="A1096" s="72"/>
      <c r="B1096" s="72"/>
    </row>
    <row r="1097" spans="1:2" x14ac:dyDescent="0.5">
      <c r="A1097" s="72"/>
      <c r="B1097" s="72"/>
    </row>
    <row r="1098" spans="1:2" x14ac:dyDescent="0.5">
      <c r="A1098" s="72"/>
      <c r="B1098" s="72"/>
    </row>
    <row r="1099" spans="1:2" x14ac:dyDescent="0.5">
      <c r="A1099" s="72"/>
      <c r="B1099" s="72"/>
    </row>
    <row r="1100" spans="1:2" x14ac:dyDescent="0.5">
      <c r="A1100" s="72"/>
      <c r="B1100" s="72"/>
    </row>
    <row r="1101" spans="1:2" x14ac:dyDescent="0.5">
      <c r="A1101" s="72"/>
      <c r="B1101" s="72"/>
    </row>
    <row r="1102" spans="1:2" x14ac:dyDescent="0.5">
      <c r="A1102" s="72"/>
      <c r="B1102" s="72"/>
    </row>
    <row r="1103" spans="1:2" x14ac:dyDescent="0.5">
      <c r="A1103" s="72"/>
      <c r="B1103" s="72"/>
    </row>
    <row r="1104" spans="1:2" x14ac:dyDescent="0.5">
      <c r="A1104" s="72"/>
      <c r="B1104" s="72"/>
    </row>
    <row r="1105" spans="1:2" x14ac:dyDescent="0.5">
      <c r="A1105" s="72"/>
      <c r="B1105" s="72"/>
    </row>
    <row r="1106" spans="1:2" x14ac:dyDescent="0.5">
      <c r="A1106" s="72"/>
      <c r="B1106" s="72"/>
    </row>
    <row r="1107" spans="1:2" x14ac:dyDescent="0.5">
      <c r="A1107" s="72"/>
      <c r="B1107" s="72"/>
    </row>
    <row r="1108" spans="1:2" x14ac:dyDescent="0.5">
      <c r="A1108" s="72"/>
      <c r="B1108" s="72"/>
    </row>
    <row r="1109" spans="1:2" x14ac:dyDescent="0.5">
      <c r="A1109" s="72"/>
      <c r="B1109" s="72"/>
    </row>
    <row r="1110" spans="1:2" x14ac:dyDescent="0.5">
      <c r="A1110" s="72"/>
      <c r="B1110" s="72"/>
    </row>
    <row r="1111" spans="1:2" x14ac:dyDescent="0.5">
      <c r="A1111" s="72"/>
      <c r="B1111" s="72"/>
    </row>
    <row r="1112" spans="1:2" x14ac:dyDescent="0.5">
      <c r="A1112" s="72"/>
      <c r="B1112" s="72"/>
    </row>
    <row r="1113" spans="1:2" x14ac:dyDescent="0.5">
      <c r="A1113" s="72"/>
      <c r="B1113" s="72"/>
    </row>
    <row r="1114" spans="1:2" x14ac:dyDescent="0.5">
      <c r="A1114" s="72"/>
      <c r="B1114" s="72"/>
    </row>
    <row r="1115" spans="1:2" x14ac:dyDescent="0.5">
      <c r="A1115" s="72"/>
      <c r="B1115" s="72"/>
    </row>
    <row r="1116" spans="1:2" x14ac:dyDescent="0.5">
      <c r="A1116" s="72"/>
      <c r="B1116" s="72"/>
    </row>
    <row r="1117" spans="1:2" x14ac:dyDescent="0.5">
      <c r="A1117" s="72"/>
      <c r="B1117" s="72"/>
    </row>
    <row r="1118" spans="1:2" x14ac:dyDescent="0.5">
      <c r="A1118" s="72"/>
      <c r="B1118" s="72"/>
    </row>
    <row r="1119" spans="1:2" x14ac:dyDescent="0.5">
      <c r="A1119" s="72"/>
      <c r="B1119" s="72"/>
    </row>
    <row r="1120" spans="1:2" x14ac:dyDescent="0.5">
      <c r="A1120" s="72"/>
      <c r="B1120" s="72"/>
    </row>
    <row r="1121" spans="1:2" x14ac:dyDescent="0.5">
      <c r="A1121" s="72"/>
      <c r="B1121" s="72"/>
    </row>
    <row r="1122" spans="1:2" x14ac:dyDescent="0.5">
      <c r="A1122" s="72"/>
      <c r="B1122" s="72"/>
    </row>
    <row r="1123" spans="1:2" x14ac:dyDescent="0.5">
      <c r="A1123" s="72"/>
      <c r="B1123" s="72"/>
    </row>
    <row r="1124" spans="1:2" x14ac:dyDescent="0.5">
      <c r="A1124" s="72"/>
      <c r="B1124" s="72"/>
    </row>
    <row r="1125" spans="1:2" x14ac:dyDescent="0.5">
      <c r="A1125" s="72"/>
      <c r="B1125" s="72"/>
    </row>
    <row r="1126" spans="1:2" x14ac:dyDescent="0.5">
      <c r="A1126" s="72"/>
      <c r="B1126" s="72"/>
    </row>
    <row r="1127" spans="1:2" x14ac:dyDescent="0.5">
      <c r="A1127" s="72"/>
      <c r="B1127" s="72"/>
    </row>
    <row r="1128" spans="1:2" x14ac:dyDescent="0.5">
      <c r="A1128" s="72"/>
      <c r="B1128" s="72"/>
    </row>
    <row r="1129" spans="1:2" x14ac:dyDescent="0.5">
      <c r="A1129" s="72"/>
      <c r="B1129" s="72"/>
    </row>
    <row r="1130" spans="1:2" x14ac:dyDescent="0.5">
      <c r="A1130" s="72"/>
      <c r="B1130" s="72"/>
    </row>
    <row r="1131" spans="1:2" x14ac:dyDescent="0.5">
      <c r="A1131" s="72"/>
      <c r="B1131" s="72"/>
    </row>
    <row r="1132" spans="1:2" x14ac:dyDescent="0.5">
      <c r="A1132" s="72"/>
      <c r="B1132" s="72"/>
    </row>
    <row r="1133" spans="1:2" x14ac:dyDescent="0.5">
      <c r="A1133" s="72"/>
      <c r="B1133" s="72"/>
    </row>
    <row r="1134" spans="1:2" x14ac:dyDescent="0.5">
      <c r="A1134" s="72"/>
      <c r="B1134" s="72"/>
    </row>
    <row r="1135" spans="1:2" x14ac:dyDescent="0.5">
      <c r="A1135" s="72"/>
      <c r="B1135" s="72"/>
    </row>
    <row r="1136" spans="1:2" x14ac:dyDescent="0.5">
      <c r="A1136" s="72"/>
      <c r="B1136" s="72"/>
    </row>
    <row r="1137" spans="1:2" x14ac:dyDescent="0.5">
      <c r="A1137" s="72"/>
      <c r="B1137" s="72"/>
    </row>
    <row r="1138" spans="1:2" x14ac:dyDescent="0.5">
      <c r="A1138" s="72"/>
      <c r="B1138" s="72"/>
    </row>
    <row r="1139" spans="1:2" x14ac:dyDescent="0.5">
      <c r="A1139" s="72"/>
      <c r="B1139" s="72"/>
    </row>
    <row r="1140" spans="1:2" x14ac:dyDescent="0.5">
      <c r="A1140" s="72"/>
      <c r="B1140" s="72"/>
    </row>
    <row r="1141" spans="1:2" x14ac:dyDescent="0.5">
      <c r="A1141" s="72"/>
      <c r="B1141" s="72"/>
    </row>
    <row r="1142" spans="1:2" x14ac:dyDescent="0.5">
      <c r="A1142" s="72"/>
      <c r="B1142" s="72"/>
    </row>
    <row r="1143" spans="1:2" x14ac:dyDescent="0.5">
      <c r="A1143" s="72"/>
      <c r="B1143" s="72"/>
    </row>
    <row r="1144" spans="1:2" x14ac:dyDescent="0.5">
      <c r="A1144" s="72"/>
      <c r="B1144" s="72"/>
    </row>
    <row r="1145" spans="1:2" x14ac:dyDescent="0.5">
      <c r="A1145" s="72"/>
      <c r="B1145" s="72"/>
    </row>
    <row r="1146" spans="1:2" x14ac:dyDescent="0.5">
      <c r="A1146" s="72"/>
      <c r="B1146" s="72"/>
    </row>
    <row r="1147" spans="1:2" x14ac:dyDescent="0.5">
      <c r="A1147" s="72"/>
      <c r="B1147" s="72"/>
    </row>
    <row r="1148" spans="1:2" x14ac:dyDescent="0.5">
      <c r="A1148" s="72"/>
      <c r="B1148" s="72"/>
    </row>
    <row r="1149" spans="1:2" x14ac:dyDescent="0.5">
      <c r="A1149" s="72"/>
      <c r="B1149" s="72"/>
    </row>
    <row r="1150" spans="1:2" x14ac:dyDescent="0.5">
      <c r="A1150" s="72"/>
      <c r="B1150" s="72"/>
    </row>
    <row r="1151" spans="1:2" x14ac:dyDescent="0.5">
      <c r="A1151" s="72"/>
      <c r="B1151" s="72"/>
    </row>
    <row r="1152" spans="1:2" x14ac:dyDescent="0.5">
      <c r="A1152" s="72"/>
      <c r="B1152" s="72"/>
    </row>
    <row r="1153" spans="1:2" x14ac:dyDescent="0.5">
      <c r="A1153" s="72"/>
      <c r="B1153" s="72"/>
    </row>
    <row r="1154" spans="1:2" x14ac:dyDescent="0.5">
      <c r="A1154" s="72"/>
      <c r="B1154" s="72"/>
    </row>
    <row r="1155" spans="1:2" x14ac:dyDescent="0.5">
      <c r="A1155" s="72"/>
      <c r="B1155" s="72"/>
    </row>
    <row r="1156" spans="1:2" x14ac:dyDescent="0.5">
      <c r="A1156" s="72"/>
      <c r="B1156" s="72"/>
    </row>
    <row r="1157" spans="1:2" x14ac:dyDescent="0.5">
      <c r="A1157" s="72"/>
      <c r="B1157" s="72"/>
    </row>
    <row r="1158" spans="1:2" x14ac:dyDescent="0.5">
      <c r="A1158" s="72"/>
      <c r="B1158" s="72"/>
    </row>
    <row r="1159" spans="1:2" x14ac:dyDescent="0.5">
      <c r="A1159" s="72"/>
      <c r="B1159" s="72"/>
    </row>
    <row r="1160" spans="1:2" x14ac:dyDescent="0.5">
      <c r="A1160" s="72"/>
      <c r="B1160" s="72"/>
    </row>
    <row r="1161" spans="1:2" x14ac:dyDescent="0.5">
      <c r="A1161" s="72"/>
      <c r="B1161" s="72"/>
    </row>
    <row r="1162" spans="1:2" x14ac:dyDescent="0.5">
      <c r="A1162" s="72"/>
      <c r="B1162" s="72"/>
    </row>
    <row r="1163" spans="1:2" x14ac:dyDescent="0.5">
      <c r="A1163" s="72"/>
      <c r="B1163" s="72"/>
    </row>
    <row r="1164" spans="1:2" x14ac:dyDescent="0.5">
      <c r="A1164" s="72"/>
      <c r="B1164" s="72"/>
    </row>
    <row r="1165" spans="1:2" x14ac:dyDescent="0.5">
      <c r="A1165" s="72"/>
      <c r="B1165" s="72"/>
    </row>
    <row r="1166" spans="1:2" x14ac:dyDescent="0.5">
      <c r="A1166" s="72"/>
      <c r="B1166" s="72"/>
    </row>
    <row r="1167" spans="1:2" x14ac:dyDescent="0.5">
      <c r="A1167" s="72"/>
      <c r="B1167" s="72"/>
    </row>
    <row r="1168" spans="1:2" x14ac:dyDescent="0.5">
      <c r="A1168" s="72"/>
      <c r="B1168" s="72"/>
    </row>
    <row r="1169" spans="1:2" x14ac:dyDescent="0.5">
      <c r="A1169" s="72"/>
      <c r="B1169" s="72"/>
    </row>
    <row r="1170" spans="1:2" x14ac:dyDescent="0.5">
      <c r="A1170" s="72"/>
      <c r="B1170" s="72"/>
    </row>
    <row r="1171" spans="1:2" x14ac:dyDescent="0.5">
      <c r="A1171" s="72"/>
      <c r="B1171" s="72"/>
    </row>
    <row r="1172" spans="1:2" x14ac:dyDescent="0.5">
      <c r="A1172" s="72"/>
      <c r="B1172" s="72"/>
    </row>
    <row r="1173" spans="1:2" x14ac:dyDescent="0.5">
      <c r="A1173" s="72"/>
      <c r="B1173" s="72"/>
    </row>
    <row r="1174" spans="1:2" x14ac:dyDescent="0.5">
      <c r="A1174" s="72"/>
      <c r="B1174" s="72"/>
    </row>
    <row r="1175" spans="1:2" x14ac:dyDescent="0.5">
      <c r="A1175" s="72"/>
      <c r="B1175" s="72"/>
    </row>
  </sheetData>
  <autoFilter ref="A1:B261" xr:uid="{00000000-0009-0000-0000-00001B000000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outlinePr summaryBelow="0" summaryRight="0"/>
    <pageSetUpPr fitToPage="1"/>
  </sheetPr>
  <dimension ref="A1:P32"/>
  <sheetViews>
    <sheetView workbookViewId="0"/>
  </sheetViews>
  <sheetFormatPr defaultColWidth="14.42578125" defaultRowHeight="15.75" customHeight="1" x14ac:dyDescent="0.4"/>
  <cols>
    <col min="1" max="1" width="8.85546875" customWidth="1"/>
    <col min="2" max="2" width="6.85546875" customWidth="1"/>
    <col min="3" max="3" width="25.140625" customWidth="1"/>
    <col min="4" max="4" width="8.85546875" customWidth="1"/>
    <col min="5" max="5" width="24.28515625" customWidth="1"/>
    <col min="6" max="6" width="13.28515625" customWidth="1"/>
    <col min="7" max="7" width="12.85546875" customWidth="1"/>
  </cols>
  <sheetData>
    <row r="1" spans="1:16" ht="15.75" customHeight="1" x14ac:dyDescent="0.7">
      <c r="A1" s="518" t="s">
        <v>2618</v>
      </c>
      <c r="B1" s="498"/>
      <c r="C1" s="498"/>
      <c r="D1" s="498"/>
      <c r="E1" s="498"/>
      <c r="F1" s="498"/>
      <c r="G1" s="498"/>
    </row>
    <row r="2" spans="1:16" ht="15.75" customHeight="1" x14ac:dyDescent="0.55000000000000004">
      <c r="A2" s="372"/>
      <c r="B2" s="372"/>
      <c r="C2" s="372"/>
      <c r="D2" s="372"/>
      <c r="E2" s="372"/>
      <c r="F2" s="372"/>
      <c r="G2" s="372"/>
    </row>
    <row r="3" spans="1:16" ht="15.75" customHeight="1" x14ac:dyDescent="0.7">
      <c r="A3" s="518" t="s">
        <v>2619</v>
      </c>
      <c r="B3" s="498"/>
      <c r="C3" s="498"/>
      <c r="D3" s="498"/>
      <c r="E3" s="498"/>
      <c r="F3" s="498"/>
      <c r="G3" s="498"/>
    </row>
    <row r="4" spans="1:16" ht="15.75" customHeight="1" x14ac:dyDescent="0.55000000000000004">
      <c r="A4" s="372"/>
      <c r="B4" s="372"/>
      <c r="C4" s="372"/>
      <c r="D4" s="372"/>
      <c r="E4" s="372"/>
      <c r="F4" s="372"/>
      <c r="G4" s="372"/>
    </row>
    <row r="5" spans="1:16" ht="15.75" customHeight="1" x14ac:dyDescent="0.55000000000000004">
      <c r="A5" s="372" t="s">
        <v>2620</v>
      </c>
      <c r="B5" s="372" t="s">
        <v>6</v>
      </c>
      <c r="C5" s="372" t="s">
        <v>2621</v>
      </c>
      <c r="D5" s="372" t="s">
        <v>20</v>
      </c>
      <c r="E5" s="372" t="s">
        <v>2</v>
      </c>
      <c r="F5" s="372" t="s">
        <v>33</v>
      </c>
      <c r="G5" s="372" t="s">
        <v>34</v>
      </c>
    </row>
    <row r="6" spans="1:16" ht="15.75" customHeight="1" x14ac:dyDescent="0.55000000000000004">
      <c r="A6" s="373">
        <f t="shared" ref="A6:B6" si="0">K6</f>
        <v>32</v>
      </c>
      <c r="B6" s="373">
        <f t="shared" si="0"/>
        <v>32</v>
      </c>
      <c r="C6" s="373" t="str">
        <f t="shared" ref="C6:C32" si="1">J6</f>
        <v>Mendocino Waters</v>
      </c>
      <c r="D6" s="373" t="str">
        <f t="shared" ref="D6:D32" si="2">MIN(K6:L6)&amp;" x "&amp;MAX(K6:L6)</f>
        <v>32 x 32</v>
      </c>
      <c r="E6" s="373" t="str">
        <f t="shared" ref="E6:E32" si="3">P6</f>
        <v>Kimberly Costas</v>
      </c>
      <c r="F6" s="373" t="str">
        <f t="shared" ref="F6:F32" si="4">IF(MAX(K6:L6)&gt;30,"YES","")</f>
        <v>YES</v>
      </c>
      <c r="G6" s="373" t="str">
        <f t="shared" ref="G6:G32" si="5">IF(MAX(K6:L6)&gt;45,"YES","")</f>
        <v/>
      </c>
      <c r="I6" s="8" t="s">
        <v>210</v>
      </c>
      <c r="J6" s="8" t="s">
        <v>488</v>
      </c>
      <c r="K6" s="8">
        <v>32</v>
      </c>
      <c r="L6" s="8">
        <v>32</v>
      </c>
      <c r="M6" s="8">
        <v>505.75</v>
      </c>
      <c r="N6" s="8">
        <v>0</v>
      </c>
      <c r="O6" s="8">
        <v>40</v>
      </c>
      <c r="P6" s="8" t="s">
        <v>2580</v>
      </c>
    </row>
    <row r="7" spans="1:16" ht="15.75" customHeight="1" x14ac:dyDescent="0.55000000000000004">
      <c r="A7" s="373">
        <f t="shared" ref="A7:B7" si="6">K7</f>
        <v>20</v>
      </c>
      <c r="B7" s="373">
        <f t="shared" si="6"/>
        <v>34</v>
      </c>
      <c r="C7" s="373" t="str">
        <f t="shared" si="1"/>
        <v>Sedona Vista</v>
      </c>
      <c r="D7" s="373" t="str">
        <f t="shared" si="2"/>
        <v>20 x 34</v>
      </c>
      <c r="E7" s="373" t="str">
        <f t="shared" si="3"/>
        <v>Laurie  Tayrien</v>
      </c>
      <c r="F7" s="373" t="str">
        <f t="shared" si="4"/>
        <v>YES</v>
      </c>
      <c r="G7" s="373" t="str">
        <f t="shared" si="5"/>
        <v/>
      </c>
      <c r="I7" s="8" t="s">
        <v>250</v>
      </c>
      <c r="J7" s="8" t="s">
        <v>585</v>
      </c>
      <c r="K7" s="8">
        <v>20</v>
      </c>
      <c r="L7" s="8">
        <v>34</v>
      </c>
      <c r="M7" s="8">
        <v>650</v>
      </c>
      <c r="N7" s="8">
        <v>0</v>
      </c>
      <c r="O7" s="8">
        <v>40</v>
      </c>
      <c r="P7" s="8" t="s">
        <v>2587</v>
      </c>
    </row>
    <row r="8" spans="1:16" ht="15.75" customHeight="1" x14ac:dyDescent="0.55000000000000004">
      <c r="A8" s="373">
        <f t="shared" ref="A8:B8" si="7">K8</f>
        <v>27</v>
      </c>
      <c r="B8" s="373">
        <f t="shared" si="7"/>
        <v>41</v>
      </c>
      <c r="C8" s="373" t="str">
        <f t="shared" si="1"/>
        <v>Vineyard Oak</v>
      </c>
      <c r="D8" s="373" t="str">
        <f t="shared" si="2"/>
        <v>27 x 41</v>
      </c>
      <c r="E8" s="373" t="str">
        <f t="shared" si="3"/>
        <v>Amy Hulett</v>
      </c>
      <c r="F8" s="373" t="str">
        <f t="shared" si="4"/>
        <v>YES</v>
      </c>
      <c r="G8" s="373" t="str">
        <f t="shared" si="5"/>
        <v/>
      </c>
      <c r="I8" s="8" t="s">
        <v>323</v>
      </c>
      <c r="J8" s="8" t="s">
        <v>408</v>
      </c>
      <c r="K8" s="8">
        <v>27</v>
      </c>
      <c r="L8" s="8">
        <v>41</v>
      </c>
      <c r="M8" s="8">
        <v>684.25</v>
      </c>
      <c r="N8" s="8">
        <v>0</v>
      </c>
      <c r="O8" s="8">
        <v>40</v>
      </c>
      <c r="P8" s="8" t="s">
        <v>2590</v>
      </c>
    </row>
    <row r="9" spans="1:16" ht="15.75" customHeight="1" x14ac:dyDescent="0.55000000000000004">
      <c r="A9" s="373">
        <f t="shared" ref="A9:B9" si="8">K9</f>
        <v>29</v>
      </c>
      <c r="B9" s="373">
        <f t="shared" si="8"/>
        <v>48</v>
      </c>
      <c r="C9" s="373" t="str">
        <f t="shared" si="1"/>
        <v>Aspen Forest</v>
      </c>
      <c r="D9" s="373" t="str">
        <f t="shared" si="2"/>
        <v>29 x 48</v>
      </c>
      <c r="E9" s="373" t="str">
        <f t="shared" si="3"/>
        <v>Clint Justice</v>
      </c>
      <c r="F9" s="373" t="str">
        <f t="shared" si="4"/>
        <v>YES</v>
      </c>
      <c r="G9" s="373" t="str">
        <f t="shared" si="5"/>
        <v>YES</v>
      </c>
      <c r="I9" s="8" t="s">
        <v>159</v>
      </c>
      <c r="J9" s="8" t="s">
        <v>472</v>
      </c>
      <c r="K9" s="8">
        <v>29</v>
      </c>
      <c r="L9" s="8">
        <v>48</v>
      </c>
      <c r="M9" s="8">
        <v>811.75</v>
      </c>
      <c r="N9" s="8" t="s">
        <v>1289</v>
      </c>
      <c r="O9" s="8">
        <v>40</v>
      </c>
      <c r="P9" s="8" t="s">
        <v>2593</v>
      </c>
    </row>
    <row r="10" spans="1:16" ht="15.75" customHeight="1" x14ac:dyDescent="0.55000000000000004">
      <c r="A10" s="373">
        <f t="shared" ref="A10:B10" si="9">K10</f>
        <v>32</v>
      </c>
      <c r="B10" s="373">
        <f t="shared" si="9"/>
        <v>47</v>
      </c>
      <c r="C10" s="373" t="str">
        <f t="shared" si="1"/>
        <v>Summer Light</v>
      </c>
      <c r="D10" s="373" t="str">
        <f t="shared" si="2"/>
        <v>32 x 47</v>
      </c>
      <c r="E10" s="373" t="str">
        <f t="shared" si="3"/>
        <v>Clint Justice</v>
      </c>
      <c r="F10" s="373" t="str">
        <f t="shared" si="4"/>
        <v>YES</v>
      </c>
      <c r="G10" s="373" t="str">
        <f t="shared" si="5"/>
        <v>YES</v>
      </c>
      <c r="I10" s="8" t="s">
        <v>352</v>
      </c>
      <c r="J10" s="8" t="s">
        <v>2596</v>
      </c>
      <c r="K10" s="8">
        <v>32</v>
      </c>
      <c r="L10" s="8">
        <v>47</v>
      </c>
      <c r="M10" s="8">
        <v>871.25</v>
      </c>
      <c r="N10" s="8" t="s">
        <v>1289</v>
      </c>
      <c r="O10" s="8">
        <v>40</v>
      </c>
      <c r="P10" s="8" t="s">
        <v>2593</v>
      </c>
    </row>
    <row r="11" spans="1:16" ht="15.75" customHeight="1" x14ac:dyDescent="0.55000000000000004">
      <c r="A11" s="373">
        <f t="shared" ref="A11:B11" si="10">K11</f>
        <v>20</v>
      </c>
      <c r="B11" s="373">
        <f t="shared" si="10"/>
        <v>29</v>
      </c>
      <c r="C11" s="373" t="str">
        <f t="shared" si="1"/>
        <v>Fields of Sunflowers</v>
      </c>
      <c r="D11" s="373" t="str">
        <f t="shared" si="2"/>
        <v>20 x 29</v>
      </c>
      <c r="E11" s="373" t="str">
        <f t="shared" si="3"/>
        <v>Glenn Nuttall</v>
      </c>
      <c r="F11" s="373" t="str">
        <f t="shared" si="4"/>
        <v/>
      </c>
      <c r="G11" s="373" t="str">
        <f t="shared" si="5"/>
        <v/>
      </c>
      <c r="I11" s="8" t="s">
        <v>2622</v>
      </c>
      <c r="J11" s="8" t="s">
        <v>1368</v>
      </c>
      <c r="K11" s="8">
        <v>20</v>
      </c>
      <c r="L11" s="8">
        <v>29</v>
      </c>
      <c r="M11" s="8">
        <v>403.75</v>
      </c>
      <c r="N11" s="8" t="s">
        <v>1289</v>
      </c>
      <c r="O11" s="8">
        <v>40</v>
      </c>
      <c r="P11" s="8" t="s">
        <v>2606</v>
      </c>
    </row>
    <row r="12" spans="1:16" ht="15.75" customHeight="1" x14ac:dyDescent="0.55000000000000004">
      <c r="A12" s="373">
        <f t="shared" ref="A12:B12" si="11">K12</f>
        <v>24</v>
      </c>
      <c r="B12" s="373">
        <f t="shared" si="11"/>
        <v>38</v>
      </c>
      <c r="C12" s="373" t="str">
        <f t="shared" si="1"/>
        <v>Quilted Color</v>
      </c>
      <c r="D12" s="373" t="str">
        <f t="shared" si="2"/>
        <v>24 x 38</v>
      </c>
      <c r="E12" s="373" t="str">
        <f t="shared" si="3"/>
        <v>Glenn Nuttall</v>
      </c>
      <c r="F12" s="373" t="str">
        <f t="shared" si="4"/>
        <v>YES</v>
      </c>
      <c r="G12" s="373" t="str">
        <f t="shared" si="5"/>
        <v/>
      </c>
      <c r="I12" s="8" t="s">
        <v>304</v>
      </c>
      <c r="J12" s="8" t="s">
        <v>2607</v>
      </c>
      <c r="K12" s="8">
        <v>24</v>
      </c>
      <c r="L12" s="8">
        <v>38</v>
      </c>
      <c r="M12" s="8">
        <v>471.75</v>
      </c>
      <c r="N12" s="8" t="s">
        <v>1289</v>
      </c>
      <c r="O12" s="8">
        <v>40</v>
      </c>
      <c r="P12" s="8" t="s">
        <v>2606</v>
      </c>
    </row>
    <row r="13" spans="1:16" ht="15.75" customHeight="1" x14ac:dyDescent="0.55000000000000004">
      <c r="A13" s="373">
        <f t="shared" ref="A13:B13" si="12">K13</f>
        <v>32</v>
      </c>
      <c r="B13" s="373">
        <f t="shared" si="12"/>
        <v>58</v>
      </c>
      <c r="C13" s="373" t="str">
        <f t="shared" si="1"/>
        <v>Maple Zen</v>
      </c>
      <c r="D13" s="373" t="str">
        <f t="shared" si="2"/>
        <v>32 x 58</v>
      </c>
      <c r="E13" s="373" t="str">
        <f t="shared" si="3"/>
        <v>Karen Cook</v>
      </c>
      <c r="F13" s="373" t="str">
        <f t="shared" si="4"/>
        <v>YES</v>
      </c>
      <c r="G13" s="373" t="str">
        <f t="shared" si="5"/>
        <v>YES</v>
      </c>
      <c r="I13" s="8" t="s">
        <v>266</v>
      </c>
      <c r="J13" s="8" t="s">
        <v>406</v>
      </c>
      <c r="K13" s="8">
        <v>32</v>
      </c>
      <c r="L13" s="8">
        <v>58</v>
      </c>
      <c r="M13" s="8">
        <v>1049.75</v>
      </c>
      <c r="N13" s="8">
        <v>0</v>
      </c>
      <c r="O13" s="8">
        <v>40</v>
      </c>
      <c r="P13" s="8" t="s">
        <v>2609</v>
      </c>
    </row>
    <row r="14" spans="1:16" ht="15.75" customHeight="1" x14ac:dyDescent="0.55000000000000004">
      <c r="A14" s="373">
        <f t="shared" ref="A14:B14" si="13">K14</f>
        <v>21</v>
      </c>
      <c r="B14" s="373">
        <f t="shared" si="13"/>
        <v>26</v>
      </c>
      <c r="C14" s="373" t="str">
        <f t="shared" si="1"/>
        <v>Oregon Coast</v>
      </c>
      <c r="D14" s="373" t="str">
        <f t="shared" si="2"/>
        <v>21 x 26</v>
      </c>
      <c r="E14" s="373" t="str">
        <f t="shared" si="3"/>
        <v>KATHERINE ANDERSON</v>
      </c>
      <c r="F14" s="373" t="str">
        <f t="shared" si="4"/>
        <v/>
      </c>
      <c r="G14" s="373" t="str">
        <f t="shared" si="5"/>
        <v/>
      </c>
      <c r="I14" s="8" t="s">
        <v>259</v>
      </c>
      <c r="J14" s="8" t="s">
        <v>2035</v>
      </c>
      <c r="K14" s="8">
        <v>21</v>
      </c>
      <c r="L14" s="8">
        <v>26</v>
      </c>
      <c r="M14" s="8">
        <v>399.5</v>
      </c>
      <c r="N14" s="8">
        <v>0</v>
      </c>
      <c r="O14" s="8">
        <v>40</v>
      </c>
      <c r="P14" s="8" t="s">
        <v>2605</v>
      </c>
    </row>
    <row r="15" spans="1:16" ht="15.75" customHeight="1" x14ac:dyDescent="0.55000000000000004">
      <c r="A15" s="373">
        <f t="shared" ref="A15:B15" si="14">K15</f>
        <v>23</v>
      </c>
      <c r="B15" s="373">
        <f t="shared" si="14"/>
        <v>40</v>
      </c>
      <c r="C15" s="373" t="str">
        <f t="shared" si="1"/>
        <v>Texas in Bloom</v>
      </c>
      <c r="D15" s="373" t="str">
        <f t="shared" si="2"/>
        <v>23 x 40</v>
      </c>
      <c r="E15" s="373" t="str">
        <f t="shared" si="3"/>
        <v>Kathryn Jenevein</v>
      </c>
      <c r="F15" s="373" t="str">
        <f t="shared" si="4"/>
        <v>YES</v>
      </c>
      <c r="G15" s="373" t="str">
        <f t="shared" si="5"/>
        <v/>
      </c>
      <c r="I15" s="8" t="s">
        <v>294</v>
      </c>
      <c r="J15" s="8" t="s">
        <v>980</v>
      </c>
      <c r="K15" s="8">
        <v>23</v>
      </c>
      <c r="L15" s="8">
        <v>40</v>
      </c>
      <c r="M15" s="8">
        <v>476</v>
      </c>
      <c r="N15" s="8">
        <v>0</v>
      </c>
      <c r="O15" s="8">
        <v>40</v>
      </c>
      <c r="P15" s="8" t="s">
        <v>2610</v>
      </c>
    </row>
    <row r="16" spans="1:16" ht="15.75" customHeight="1" x14ac:dyDescent="0.55000000000000004">
      <c r="A16" s="373">
        <f t="shared" ref="A16:B16" si="15">K16</f>
        <v>28</v>
      </c>
      <c r="B16" s="373">
        <f t="shared" si="15"/>
        <v>35</v>
      </c>
      <c r="C16" s="373" t="str">
        <f t="shared" si="1"/>
        <v>Tahoe Waters</v>
      </c>
      <c r="D16" s="373" t="str">
        <f t="shared" si="2"/>
        <v>28 x 35</v>
      </c>
      <c r="E16" s="373" t="str">
        <f t="shared" si="3"/>
        <v>Rebecca Ostrom</v>
      </c>
      <c r="F16" s="373" t="str">
        <f t="shared" si="4"/>
        <v>YES</v>
      </c>
      <c r="G16" s="373" t="str">
        <f t="shared" si="5"/>
        <v/>
      </c>
      <c r="I16" s="8" t="s">
        <v>330</v>
      </c>
      <c r="J16" s="8" t="s">
        <v>1155</v>
      </c>
      <c r="K16" s="8">
        <v>28</v>
      </c>
      <c r="L16" s="8">
        <v>35</v>
      </c>
      <c r="M16" s="8">
        <v>493</v>
      </c>
      <c r="N16" s="8" t="s">
        <v>1289</v>
      </c>
      <c r="O16" s="8">
        <v>40</v>
      </c>
      <c r="P16" s="8" t="s">
        <v>1448</v>
      </c>
    </row>
    <row r="17" spans="1:16" ht="15.75" customHeight="1" x14ac:dyDescent="0.55000000000000004">
      <c r="A17" s="373">
        <f t="shared" ref="A17:B17" si="16">K17</f>
        <v>27</v>
      </c>
      <c r="B17" s="373">
        <f t="shared" si="16"/>
        <v>44</v>
      </c>
      <c r="C17" s="373" t="str">
        <f t="shared" si="1"/>
        <v>Tahoe Dawn</v>
      </c>
      <c r="D17" s="373" t="str">
        <f t="shared" si="2"/>
        <v>27 x 44</v>
      </c>
      <c r="E17" s="373" t="str">
        <f t="shared" si="3"/>
        <v>Rebecca Ostrom</v>
      </c>
      <c r="F17" s="373" t="str">
        <f t="shared" si="4"/>
        <v>YES</v>
      </c>
      <c r="G17" s="373" t="str">
        <f t="shared" si="5"/>
        <v/>
      </c>
      <c r="I17" s="8" t="s">
        <v>327</v>
      </c>
      <c r="J17" s="8" t="s">
        <v>483</v>
      </c>
      <c r="K17" s="8">
        <v>27</v>
      </c>
      <c r="L17" s="8">
        <v>44</v>
      </c>
      <c r="M17" s="8">
        <v>561</v>
      </c>
      <c r="N17" s="8" t="s">
        <v>1289</v>
      </c>
      <c r="O17" s="8">
        <v>40</v>
      </c>
      <c r="P17" s="8" t="s">
        <v>1448</v>
      </c>
    </row>
    <row r="18" spans="1:16" ht="15.75" customHeight="1" x14ac:dyDescent="0.55000000000000004">
      <c r="A18" s="373">
        <f t="shared" ref="A18:B18" si="17">K18</f>
        <v>15</v>
      </c>
      <c r="B18" s="373">
        <f t="shared" si="17"/>
        <v>19</v>
      </c>
      <c r="C18" s="373" t="str">
        <f t="shared" si="1"/>
        <v>Reflected Vista</v>
      </c>
      <c r="D18" s="373" t="str">
        <f t="shared" si="2"/>
        <v>15 x 19</v>
      </c>
      <c r="E18" s="373" t="str">
        <f t="shared" si="3"/>
        <v>Rebecca Ostrom</v>
      </c>
      <c r="F18" s="373" t="str">
        <f t="shared" si="4"/>
        <v/>
      </c>
      <c r="G18" s="373" t="str">
        <f t="shared" si="5"/>
        <v/>
      </c>
      <c r="I18" s="8" t="s">
        <v>1284</v>
      </c>
      <c r="J18" s="8" t="s">
        <v>912</v>
      </c>
      <c r="K18" s="8">
        <v>15</v>
      </c>
      <c r="L18" s="8">
        <v>19</v>
      </c>
      <c r="M18" s="8">
        <v>272</v>
      </c>
      <c r="N18" s="8" t="s">
        <v>1289</v>
      </c>
      <c r="O18" s="8">
        <v>40</v>
      </c>
      <c r="P18" s="8" t="s">
        <v>1448</v>
      </c>
    </row>
    <row r="19" spans="1:16" ht="15.75" customHeight="1" x14ac:dyDescent="0.55000000000000004">
      <c r="A19" s="373">
        <f t="shared" ref="A19:B19" si="18">K19</f>
        <v>27</v>
      </c>
      <c r="B19" s="373">
        <f t="shared" si="18"/>
        <v>36</v>
      </c>
      <c r="C19" s="373" t="str">
        <f t="shared" si="1"/>
        <v>Tahoe Blues</v>
      </c>
      <c r="D19" s="373" t="str">
        <f t="shared" si="2"/>
        <v>27 x 36</v>
      </c>
      <c r="E19" s="373" t="str">
        <f t="shared" si="3"/>
        <v>Rebecca Ostrom</v>
      </c>
      <c r="F19" s="373" t="str">
        <f t="shared" si="4"/>
        <v>YES</v>
      </c>
      <c r="G19" s="373" t="str">
        <f t="shared" si="5"/>
        <v/>
      </c>
      <c r="I19" s="8" t="s">
        <v>194</v>
      </c>
      <c r="J19" s="8" t="s">
        <v>1528</v>
      </c>
      <c r="K19" s="8">
        <v>27</v>
      </c>
      <c r="L19" s="8">
        <v>36</v>
      </c>
      <c r="M19" s="8">
        <v>488.75</v>
      </c>
      <c r="N19" s="8" t="s">
        <v>1289</v>
      </c>
      <c r="O19" s="8">
        <v>40</v>
      </c>
      <c r="P19" s="8" t="s">
        <v>1448</v>
      </c>
    </row>
    <row r="20" spans="1:16" ht="15.75" customHeight="1" x14ac:dyDescent="0.55000000000000004">
      <c r="A20" s="373">
        <f t="shared" ref="A20:B20" si="19">K20</f>
        <v>30</v>
      </c>
      <c r="B20" s="373">
        <f t="shared" si="19"/>
        <v>42</v>
      </c>
      <c r="C20" s="373" t="str">
        <f t="shared" si="1"/>
        <v>California in Bloom</v>
      </c>
      <c r="D20" s="373" t="str">
        <f t="shared" si="2"/>
        <v>30 x 42</v>
      </c>
      <c r="E20" s="373" t="str">
        <f t="shared" si="3"/>
        <v>Gabrielle Robin</v>
      </c>
      <c r="F20" s="373" t="str">
        <f t="shared" si="4"/>
        <v>YES</v>
      </c>
      <c r="G20" s="373" t="str">
        <f t="shared" si="5"/>
        <v/>
      </c>
      <c r="I20" s="8" t="s">
        <v>2623</v>
      </c>
      <c r="J20" s="8" t="s">
        <v>848</v>
      </c>
      <c r="K20" s="8">
        <v>30</v>
      </c>
      <c r="L20" s="8">
        <v>42</v>
      </c>
      <c r="M20" s="8">
        <v>582.25</v>
      </c>
      <c r="N20" s="8" t="s">
        <v>1289</v>
      </c>
      <c r="O20" s="8">
        <v>40</v>
      </c>
      <c r="P20" s="8" t="s">
        <v>2597</v>
      </c>
    </row>
    <row r="21" spans="1:16" ht="15.75" customHeight="1" x14ac:dyDescent="0.55000000000000004">
      <c r="A21" s="373">
        <f t="shared" ref="A21:B21" si="20">K21</f>
        <v>28</v>
      </c>
      <c r="B21" s="373">
        <f t="shared" si="20"/>
        <v>41</v>
      </c>
      <c r="C21" s="373" t="str">
        <f t="shared" si="1"/>
        <v>Coachella Dawn</v>
      </c>
      <c r="D21" s="373" t="str">
        <f t="shared" si="2"/>
        <v>28 x 41</v>
      </c>
      <c r="E21" s="373" t="str">
        <f t="shared" si="3"/>
        <v>Gabrielle Robin</v>
      </c>
      <c r="F21" s="373" t="str">
        <f t="shared" si="4"/>
        <v>YES</v>
      </c>
      <c r="G21" s="373" t="str">
        <f t="shared" si="5"/>
        <v/>
      </c>
      <c r="I21" s="8" t="s">
        <v>334</v>
      </c>
      <c r="J21" s="8" t="s">
        <v>961</v>
      </c>
      <c r="K21" s="8">
        <v>28</v>
      </c>
      <c r="L21" s="8">
        <v>41</v>
      </c>
      <c r="M21" s="8">
        <v>548.25</v>
      </c>
      <c r="N21" s="8" t="s">
        <v>1289</v>
      </c>
      <c r="O21" s="8">
        <v>40</v>
      </c>
      <c r="P21" s="8" t="s">
        <v>2597</v>
      </c>
    </row>
    <row r="22" spans="1:16" ht="15.75" customHeight="1" x14ac:dyDescent="0.55000000000000004">
      <c r="A22" s="373">
        <f t="shared" ref="A22:B22" si="21">K22</f>
        <v>15</v>
      </c>
      <c r="B22" s="373">
        <f t="shared" si="21"/>
        <v>19</v>
      </c>
      <c r="C22" s="373" t="str">
        <f t="shared" si="1"/>
        <v>Hill Country in Bloom</v>
      </c>
      <c r="D22" s="373" t="str">
        <f t="shared" si="2"/>
        <v>15 x 19</v>
      </c>
      <c r="E22" s="373" t="str">
        <f t="shared" si="3"/>
        <v>Dana Jorgensen</v>
      </c>
      <c r="F22" s="373" t="str">
        <f t="shared" si="4"/>
        <v/>
      </c>
      <c r="G22" s="373" t="str">
        <f t="shared" si="5"/>
        <v/>
      </c>
      <c r="I22" s="8" t="s">
        <v>79</v>
      </c>
      <c r="J22" s="8" t="s">
        <v>2601</v>
      </c>
      <c r="K22" s="8">
        <v>15</v>
      </c>
      <c r="L22" s="8">
        <v>19</v>
      </c>
      <c r="M22" s="8">
        <v>157.25</v>
      </c>
      <c r="N22" s="8">
        <v>0</v>
      </c>
      <c r="O22" s="8">
        <v>40</v>
      </c>
      <c r="P22" s="8" t="s">
        <v>2600</v>
      </c>
    </row>
    <row r="23" spans="1:16" ht="15.75" customHeight="1" x14ac:dyDescent="0.55000000000000004">
      <c r="A23" s="373">
        <f t="shared" ref="A23:B23" si="22">K23</f>
        <v>30</v>
      </c>
      <c r="B23" s="373">
        <f t="shared" si="22"/>
        <v>38</v>
      </c>
      <c r="C23" s="373" t="str">
        <f t="shared" si="1"/>
        <v>Crystal Dawn</v>
      </c>
      <c r="D23" s="373" t="str">
        <f t="shared" si="2"/>
        <v>30 x 38</v>
      </c>
      <c r="E23" s="373" t="str">
        <f t="shared" si="3"/>
        <v>Julia Batta</v>
      </c>
      <c r="F23" s="373" t="str">
        <f t="shared" si="4"/>
        <v>YES</v>
      </c>
      <c r="G23" s="373" t="str">
        <f t="shared" si="5"/>
        <v/>
      </c>
      <c r="I23" s="8" t="s">
        <v>291</v>
      </c>
      <c r="J23" s="8" t="s">
        <v>1033</v>
      </c>
      <c r="K23" s="8">
        <v>30</v>
      </c>
      <c r="L23" s="8">
        <v>38</v>
      </c>
      <c r="M23" s="8">
        <v>697</v>
      </c>
      <c r="N23" s="8">
        <v>0</v>
      </c>
      <c r="O23" s="8">
        <v>40</v>
      </c>
      <c r="P23" s="8" t="s">
        <v>396</v>
      </c>
    </row>
    <row r="24" spans="1:16" ht="15.75" customHeight="1" x14ac:dyDescent="0.55000000000000004">
      <c r="A24" s="373">
        <f t="shared" ref="A24:B24" si="23">K24</f>
        <v>23</v>
      </c>
      <c r="B24" s="373">
        <f t="shared" si="23"/>
        <v>47</v>
      </c>
      <c r="C24" s="373" t="str">
        <f t="shared" si="1"/>
        <v>River Running</v>
      </c>
      <c r="D24" s="373" t="str">
        <f t="shared" si="2"/>
        <v>23 x 47</v>
      </c>
      <c r="E24" s="373" t="str">
        <f t="shared" si="3"/>
        <v>Julie Avellana</v>
      </c>
      <c r="F24" s="373" t="str">
        <f t="shared" si="4"/>
        <v>YES</v>
      </c>
      <c r="G24" s="373" t="str">
        <f t="shared" si="5"/>
        <v>YES</v>
      </c>
      <c r="I24" s="8" t="s">
        <v>295</v>
      </c>
      <c r="J24" s="8" t="s">
        <v>1479</v>
      </c>
      <c r="K24" s="8">
        <v>23</v>
      </c>
      <c r="L24" s="8">
        <v>47</v>
      </c>
      <c r="M24" s="8">
        <v>790</v>
      </c>
      <c r="N24" s="8" t="s">
        <v>1289</v>
      </c>
      <c r="O24" s="8">
        <v>40</v>
      </c>
      <c r="P24" s="8" t="s">
        <v>2613</v>
      </c>
    </row>
    <row r="25" spans="1:16" ht="15.75" customHeight="1" x14ac:dyDescent="0.55000000000000004">
      <c r="A25" s="373">
        <f t="shared" ref="A25:B25" si="24">K25</f>
        <v>27</v>
      </c>
      <c r="B25" s="373">
        <f t="shared" si="24"/>
        <v>36</v>
      </c>
      <c r="C25" s="373" t="str">
        <f t="shared" si="1"/>
        <v>Maple Reflections</v>
      </c>
      <c r="D25" s="373" t="str">
        <f t="shared" si="2"/>
        <v>27 x 36</v>
      </c>
      <c r="E25" s="373" t="str">
        <f t="shared" si="3"/>
        <v>Julie Avellana</v>
      </c>
      <c r="F25" s="373" t="str">
        <f t="shared" si="4"/>
        <v>YES</v>
      </c>
      <c r="G25" s="373" t="str">
        <f t="shared" si="5"/>
        <v/>
      </c>
      <c r="I25" s="8" t="s">
        <v>194</v>
      </c>
      <c r="J25" s="8" t="s">
        <v>320</v>
      </c>
      <c r="K25" s="8">
        <v>27</v>
      </c>
      <c r="L25" s="8">
        <v>36</v>
      </c>
      <c r="M25" s="8">
        <v>735</v>
      </c>
      <c r="N25" s="8" t="s">
        <v>1289</v>
      </c>
      <c r="O25" s="8">
        <v>40</v>
      </c>
      <c r="P25" s="8" t="s">
        <v>2613</v>
      </c>
    </row>
    <row r="26" spans="1:16" ht="15.75" customHeight="1" x14ac:dyDescent="0.55000000000000004">
      <c r="A26" s="373">
        <f t="shared" ref="A26:B26" si="25">K26</f>
        <v>15</v>
      </c>
      <c r="B26" s="373">
        <f t="shared" si="25"/>
        <v>19</v>
      </c>
      <c r="C26" s="373" t="str">
        <f t="shared" si="1"/>
        <v>Reflected Vista</v>
      </c>
      <c r="D26" s="373" t="str">
        <f t="shared" si="2"/>
        <v>15 x 19</v>
      </c>
      <c r="E26" s="373" t="str">
        <f t="shared" si="3"/>
        <v>Julie Avellana</v>
      </c>
      <c r="F26" s="373" t="str">
        <f t="shared" si="4"/>
        <v/>
      </c>
      <c r="G26" s="373" t="str">
        <f t="shared" si="5"/>
        <v/>
      </c>
      <c r="I26" s="8" t="s">
        <v>1284</v>
      </c>
      <c r="J26" s="8" t="s">
        <v>912</v>
      </c>
      <c r="K26" s="8">
        <v>15</v>
      </c>
      <c r="L26" s="8">
        <v>19</v>
      </c>
      <c r="M26" s="8">
        <v>430</v>
      </c>
      <c r="N26" s="8" t="s">
        <v>1289</v>
      </c>
      <c r="O26" s="8">
        <v>40</v>
      </c>
      <c r="P26" s="8" t="s">
        <v>2613</v>
      </c>
    </row>
    <row r="27" spans="1:16" ht="15.75" customHeight="1" x14ac:dyDescent="0.55000000000000004">
      <c r="A27" s="373">
        <f t="shared" ref="A27:B27" si="26">K27</f>
        <v>36</v>
      </c>
      <c r="B27" s="373">
        <f t="shared" si="26"/>
        <v>51</v>
      </c>
      <c r="C27" s="373" t="str">
        <f t="shared" si="1"/>
        <v>Cottonwood Shadow</v>
      </c>
      <c r="D27" s="373" t="str">
        <f t="shared" si="2"/>
        <v>36 x 51</v>
      </c>
      <c r="E27" s="373" t="str">
        <f t="shared" si="3"/>
        <v>Bob Russman</v>
      </c>
      <c r="F27" s="373" t="str">
        <f t="shared" si="4"/>
        <v>YES</v>
      </c>
      <c r="G27" s="373" t="str">
        <f t="shared" si="5"/>
        <v>YES</v>
      </c>
      <c r="I27" s="8" t="s">
        <v>363</v>
      </c>
      <c r="J27" s="8" t="s">
        <v>1061</v>
      </c>
      <c r="K27" s="8">
        <v>36</v>
      </c>
      <c r="L27" s="8">
        <v>51</v>
      </c>
      <c r="M27" s="8">
        <v>824.5</v>
      </c>
      <c r="N27" s="8">
        <v>0</v>
      </c>
      <c r="O27" s="8">
        <v>40</v>
      </c>
      <c r="P27" s="8" t="s">
        <v>2614</v>
      </c>
    </row>
    <row r="28" spans="1:16" ht="15.75" customHeight="1" x14ac:dyDescent="0.55000000000000004">
      <c r="A28" s="373">
        <f t="shared" ref="A28:B28" si="27">K28</f>
        <v>20</v>
      </c>
      <c r="B28" s="373">
        <f t="shared" si="27"/>
        <v>25</v>
      </c>
      <c r="C28" s="373" t="str">
        <f t="shared" si="1"/>
        <v>Ocean Blooms</v>
      </c>
      <c r="D28" s="373" t="str">
        <f t="shared" si="2"/>
        <v>20 x 25</v>
      </c>
      <c r="E28" s="373" t="str">
        <f t="shared" si="3"/>
        <v>Lisa Rafferty</v>
      </c>
      <c r="F28" s="373" t="str">
        <f t="shared" si="4"/>
        <v/>
      </c>
      <c r="G28" s="373" t="str">
        <f t="shared" si="5"/>
        <v/>
      </c>
      <c r="I28" s="8" t="s">
        <v>245</v>
      </c>
      <c r="J28" s="8" t="s">
        <v>74</v>
      </c>
      <c r="K28" s="8">
        <v>20</v>
      </c>
      <c r="L28" s="8">
        <v>25</v>
      </c>
      <c r="M28" s="8">
        <v>615</v>
      </c>
      <c r="N28" s="8">
        <v>0</v>
      </c>
      <c r="O28" s="8">
        <v>40</v>
      </c>
      <c r="P28" s="8" t="s">
        <v>2616</v>
      </c>
    </row>
    <row r="29" spans="1:16" ht="15.75" customHeight="1" x14ac:dyDescent="0.55000000000000004">
      <c r="A29" s="373">
        <f t="shared" ref="A29:B29" si="28">K29</f>
        <v>26</v>
      </c>
      <c r="B29" s="373">
        <f t="shared" si="28"/>
        <v>43</v>
      </c>
      <c r="C29" s="373" t="str">
        <f t="shared" si="1"/>
        <v>Aspen Forest</v>
      </c>
      <c r="D29" s="373" t="str">
        <f t="shared" si="2"/>
        <v>26 x 43</v>
      </c>
      <c r="E29" s="373" t="str">
        <f t="shared" si="3"/>
        <v>Janet Prince</v>
      </c>
      <c r="F29" s="373" t="str">
        <f t="shared" si="4"/>
        <v>YES</v>
      </c>
      <c r="G29" s="373" t="str">
        <f t="shared" si="5"/>
        <v/>
      </c>
      <c r="I29" s="8" t="s">
        <v>203</v>
      </c>
      <c r="J29" s="8" t="s">
        <v>472</v>
      </c>
      <c r="K29" s="8">
        <v>26</v>
      </c>
      <c r="L29" s="8">
        <v>43</v>
      </c>
      <c r="M29" s="8">
        <v>635</v>
      </c>
      <c r="N29" s="8">
        <v>0</v>
      </c>
      <c r="O29" s="8">
        <v>40</v>
      </c>
      <c r="P29" s="8" t="s">
        <v>1383</v>
      </c>
    </row>
    <row r="30" spans="1:16" ht="18" x14ac:dyDescent="0.55000000000000004">
      <c r="A30" s="373">
        <f t="shared" ref="A30:B30" si="29">K30</f>
        <v>38</v>
      </c>
      <c r="B30" s="373">
        <f t="shared" si="29"/>
        <v>38</v>
      </c>
      <c r="C30" s="373" t="str">
        <f t="shared" si="1"/>
        <v>Saguaro Sky</v>
      </c>
      <c r="D30" s="373" t="str">
        <f t="shared" si="2"/>
        <v>38 x 38</v>
      </c>
      <c r="E30" s="373" t="str">
        <f t="shared" si="3"/>
        <v>Amanda Compton</v>
      </c>
      <c r="F30" s="373" t="str">
        <f t="shared" si="4"/>
        <v>YES</v>
      </c>
      <c r="G30" s="373" t="str">
        <f t="shared" si="5"/>
        <v/>
      </c>
      <c r="I30" s="8" t="s">
        <v>367</v>
      </c>
      <c r="J30" s="8" t="s">
        <v>445</v>
      </c>
      <c r="K30" s="8">
        <v>38</v>
      </c>
      <c r="L30" s="8">
        <v>38</v>
      </c>
      <c r="M30" s="8">
        <v>990</v>
      </c>
      <c r="N30" s="8">
        <v>0</v>
      </c>
      <c r="O30" s="8">
        <v>40</v>
      </c>
      <c r="P30" s="8" t="s">
        <v>680</v>
      </c>
    </row>
    <row r="31" spans="1:16" ht="18" x14ac:dyDescent="0.55000000000000004">
      <c r="A31" s="373">
        <f t="shared" ref="A31:B31" si="30">K31</f>
        <v>34</v>
      </c>
      <c r="B31" s="373">
        <f t="shared" si="30"/>
        <v>43</v>
      </c>
      <c r="C31" s="373" t="str">
        <f t="shared" si="1"/>
        <v>Blooming Field</v>
      </c>
      <c r="D31" s="373" t="str">
        <f t="shared" si="2"/>
        <v>34 x 43</v>
      </c>
      <c r="E31" s="373" t="str">
        <f t="shared" si="3"/>
        <v>Greg Horne</v>
      </c>
      <c r="F31" s="373" t="str">
        <f t="shared" si="4"/>
        <v>YES</v>
      </c>
      <c r="G31" s="373" t="str">
        <f t="shared" si="5"/>
        <v/>
      </c>
      <c r="I31" s="8" t="s">
        <v>359</v>
      </c>
      <c r="J31" s="8" t="s">
        <v>1332</v>
      </c>
      <c r="K31" s="8">
        <v>34</v>
      </c>
      <c r="L31" s="8">
        <v>43</v>
      </c>
      <c r="M31" s="8">
        <v>702</v>
      </c>
      <c r="N31" s="8">
        <v>0</v>
      </c>
      <c r="O31" s="8">
        <v>40</v>
      </c>
      <c r="P31" s="8" t="s">
        <v>2582</v>
      </c>
    </row>
    <row r="32" spans="1:16" ht="18" x14ac:dyDescent="0.55000000000000004">
      <c r="A32" s="373">
        <f t="shared" ref="A32:B32" si="31">K32</f>
        <v>36</v>
      </c>
      <c r="B32" s="373">
        <f t="shared" si="31"/>
        <v>47</v>
      </c>
      <c r="C32" s="373" t="str">
        <f t="shared" si="1"/>
        <v>Radiant Clouds</v>
      </c>
      <c r="D32" s="373" t="str">
        <f t="shared" si="2"/>
        <v>36 x 47</v>
      </c>
      <c r="E32" s="373" t="str">
        <f t="shared" si="3"/>
        <v>Michelle V. Cammarano</v>
      </c>
      <c r="F32" s="373" t="str">
        <f t="shared" si="4"/>
        <v>YES</v>
      </c>
      <c r="G32" s="373" t="str">
        <f t="shared" si="5"/>
        <v>YES</v>
      </c>
      <c r="I32" s="8" t="s">
        <v>174</v>
      </c>
      <c r="J32" s="8" t="s">
        <v>1067</v>
      </c>
      <c r="K32" s="8">
        <v>36</v>
      </c>
      <c r="L32" s="8">
        <v>47</v>
      </c>
      <c r="M32" s="8">
        <v>895</v>
      </c>
      <c r="N32" s="8">
        <v>0</v>
      </c>
      <c r="O32" s="8">
        <v>40</v>
      </c>
      <c r="P32" s="8" t="s">
        <v>2615</v>
      </c>
    </row>
  </sheetData>
  <mergeCells count="2">
    <mergeCell ref="A1:G1"/>
    <mergeCell ref="A3:G3"/>
  </mergeCells>
  <printOptions horizontalCentered="1" gridLines="1"/>
  <pageMargins left="0.7" right="0.7" top="0.75" bottom="0.75" header="0" footer="0"/>
  <pageSetup fitToHeight="0" pageOrder="overThenDown" orientation="portrait" cellComments="atEnd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outlinePr summaryBelow="0" summaryRight="0"/>
    <pageSetUpPr fitToPage="1"/>
  </sheetPr>
  <dimension ref="A1:V1004"/>
  <sheetViews>
    <sheetView workbookViewId="0"/>
  </sheetViews>
  <sheetFormatPr defaultColWidth="14.42578125" defaultRowHeight="15.75" customHeight="1" x14ac:dyDescent="0.4"/>
  <cols>
    <col min="1" max="1" width="8.85546875" customWidth="1"/>
    <col min="2" max="2" width="10" customWidth="1"/>
    <col min="3" max="3" width="11" customWidth="1"/>
    <col min="4" max="4" width="25.42578125" customWidth="1"/>
    <col min="5" max="5" width="15.28515625" customWidth="1"/>
    <col min="6" max="6" width="14" customWidth="1"/>
    <col min="7" max="7" width="15.140625" customWidth="1"/>
    <col min="8" max="8" width="12.28515625" customWidth="1"/>
    <col min="9" max="9" width="11" customWidth="1"/>
    <col min="10" max="10" width="12.140625" customWidth="1"/>
    <col min="11" max="11" width="10.85546875" customWidth="1"/>
    <col min="15" max="15" width="15.5703125" customWidth="1"/>
  </cols>
  <sheetData>
    <row r="1" spans="1:22" ht="15.75" customHeight="1" x14ac:dyDescent="0.55000000000000004">
      <c r="A1" s="372"/>
      <c r="B1" s="372"/>
      <c r="C1" s="519" t="s">
        <v>2627</v>
      </c>
      <c r="D1" s="498"/>
      <c r="E1" s="498"/>
      <c r="F1" s="372"/>
      <c r="G1" s="372"/>
      <c r="H1" s="372"/>
      <c r="I1" s="372"/>
      <c r="J1" s="372"/>
      <c r="K1" s="372"/>
      <c r="L1" s="372"/>
      <c r="M1" s="372"/>
      <c r="N1" s="374" t="s">
        <v>11</v>
      </c>
      <c r="O1" s="372" t="s">
        <v>2628</v>
      </c>
      <c r="P1" s="372"/>
      <c r="Q1" s="372"/>
      <c r="R1" s="372"/>
      <c r="S1" s="372"/>
      <c r="T1" s="372"/>
      <c r="U1" s="372"/>
      <c r="V1" s="372"/>
    </row>
    <row r="2" spans="1:22" ht="15.75" customHeight="1" x14ac:dyDescent="0.55000000000000004">
      <c r="A2" s="372" t="s">
        <v>2620</v>
      </c>
      <c r="B2" s="372" t="s">
        <v>2629</v>
      </c>
      <c r="C2" s="374" t="s">
        <v>20</v>
      </c>
      <c r="D2" s="374" t="s">
        <v>2630</v>
      </c>
      <c r="E2" s="374" t="s">
        <v>11</v>
      </c>
      <c r="F2" s="372" t="s">
        <v>2631</v>
      </c>
      <c r="G2" s="372" t="s">
        <v>2632</v>
      </c>
      <c r="H2" s="372" t="s">
        <v>2633</v>
      </c>
      <c r="I2" s="372" t="s">
        <v>2634</v>
      </c>
      <c r="J2" s="372" t="s">
        <v>21</v>
      </c>
      <c r="K2" s="372" t="s">
        <v>22</v>
      </c>
      <c r="L2" s="372" t="s">
        <v>2624</v>
      </c>
      <c r="M2" s="372"/>
      <c r="N2" s="375" t="s">
        <v>2635</v>
      </c>
      <c r="O2" s="376">
        <f>6+(7/8)</f>
        <v>6.875</v>
      </c>
      <c r="P2" s="372"/>
      <c r="Q2" s="372"/>
      <c r="R2" s="372"/>
      <c r="S2" s="372"/>
      <c r="T2" s="372"/>
      <c r="U2" s="372"/>
      <c r="V2" s="372"/>
    </row>
    <row r="3" spans="1:22" ht="15.75" customHeight="1" x14ac:dyDescent="0.55000000000000004">
      <c r="A3" s="373">
        <v>11</v>
      </c>
      <c r="B3" s="373">
        <v>14</v>
      </c>
      <c r="C3" s="375" t="str">
        <f t="shared" ref="C3:C33" si="0">MIN(A3:B3)&amp;" x "&amp;MAX(A3:B3)</f>
        <v>11 x 14</v>
      </c>
      <c r="D3" s="375" t="s">
        <v>2636</v>
      </c>
      <c r="E3" s="375" t="s">
        <v>2637</v>
      </c>
      <c r="F3" s="376">
        <f>A3+VLOOKUP(E3,N:O,2,FALSE)</f>
        <v>19.5625</v>
      </c>
      <c r="G3" s="376">
        <f>B3+VLOOKUP(E3,N:O,2,FALSE)</f>
        <v>22.5625</v>
      </c>
      <c r="H3" s="376">
        <f t="shared" ref="H3:I3" si="1">A3+1+(1/16)</f>
        <v>12.0625</v>
      </c>
      <c r="I3" s="376">
        <f t="shared" si="1"/>
        <v>15.0625</v>
      </c>
      <c r="J3" s="373">
        <f t="shared" ref="J3:K3" si="2">A3+7</f>
        <v>18</v>
      </c>
      <c r="K3" s="373">
        <f t="shared" si="2"/>
        <v>21</v>
      </c>
      <c r="L3" s="373" t="s">
        <v>565</v>
      </c>
      <c r="M3" s="373"/>
      <c r="N3" s="375" t="s">
        <v>2638</v>
      </c>
      <c r="O3" s="376">
        <f t="shared" ref="O3:O4" si="3">8+(9/16)</f>
        <v>8.5625</v>
      </c>
      <c r="P3" s="373"/>
      <c r="Q3" s="373"/>
      <c r="R3" s="373"/>
      <c r="S3" s="373"/>
      <c r="T3" s="373"/>
      <c r="U3" s="373"/>
      <c r="V3" s="373"/>
    </row>
    <row r="4" spans="1:22" ht="15.75" customHeight="1" x14ac:dyDescent="0.55000000000000004">
      <c r="A4" s="373">
        <v>24</v>
      </c>
      <c r="B4" s="373">
        <v>46</v>
      </c>
      <c r="C4" s="375" t="str">
        <f t="shared" si="0"/>
        <v>24 x 46</v>
      </c>
      <c r="D4" s="375" t="s">
        <v>47</v>
      </c>
      <c r="E4" s="375" t="s">
        <v>2635</v>
      </c>
      <c r="F4" s="376">
        <f t="shared" ref="F4:G4" si="4">A4+6+(15/16)</f>
        <v>30.9375</v>
      </c>
      <c r="G4" s="376">
        <f t="shared" si="4"/>
        <v>52.9375</v>
      </c>
      <c r="H4" s="376">
        <f t="shared" ref="H4:I4" si="5">A4+1.125</f>
        <v>25.125</v>
      </c>
      <c r="I4" s="376">
        <f t="shared" si="5"/>
        <v>47.125</v>
      </c>
      <c r="J4" s="373">
        <f t="shared" ref="J4:K4" si="6">A4+7</f>
        <v>31</v>
      </c>
      <c r="K4" s="373">
        <f t="shared" si="6"/>
        <v>53</v>
      </c>
      <c r="L4" s="373" t="s">
        <v>565</v>
      </c>
      <c r="M4" s="373"/>
      <c r="N4" s="375" t="s">
        <v>2637</v>
      </c>
      <c r="O4" s="376">
        <f t="shared" si="3"/>
        <v>8.5625</v>
      </c>
      <c r="P4" s="373"/>
      <c r="Q4" s="373"/>
      <c r="R4" s="373"/>
      <c r="S4" s="373"/>
      <c r="T4" s="373"/>
      <c r="U4" s="373"/>
      <c r="V4" s="373"/>
    </row>
    <row r="5" spans="1:22" ht="15.75" customHeight="1" x14ac:dyDescent="0.55000000000000004">
      <c r="A5" s="373">
        <v>36</v>
      </c>
      <c r="B5" s="373">
        <v>36</v>
      </c>
      <c r="C5" s="375" t="str">
        <f t="shared" si="0"/>
        <v>36 x 36</v>
      </c>
      <c r="D5" s="375" t="s">
        <v>2640</v>
      </c>
      <c r="E5" s="375" t="s">
        <v>2635</v>
      </c>
      <c r="F5" s="376">
        <f t="shared" ref="F5:G5" si="7">A5+6+(15/16)</f>
        <v>42.9375</v>
      </c>
      <c r="G5" s="376">
        <f t="shared" si="7"/>
        <v>42.9375</v>
      </c>
      <c r="H5" s="376">
        <f t="shared" ref="H5:I5" si="8">A5+1.125</f>
        <v>37.125</v>
      </c>
      <c r="I5" s="376">
        <f t="shared" si="8"/>
        <v>37.125</v>
      </c>
      <c r="J5" s="373">
        <f t="shared" ref="J5:K5" si="9">A5+7</f>
        <v>43</v>
      </c>
      <c r="K5" s="373">
        <f t="shared" si="9"/>
        <v>43</v>
      </c>
      <c r="L5" s="373" t="s">
        <v>565</v>
      </c>
      <c r="M5" s="373"/>
      <c r="N5" s="373"/>
      <c r="O5" s="373"/>
      <c r="P5" s="373"/>
      <c r="Q5" s="373"/>
      <c r="R5" s="373"/>
      <c r="S5" s="373"/>
      <c r="T5" s="373"/>
      <c r="U5" s="373"/>
      <c r="V5" s="373"/>
    </row>
    <row r="6" spans="1:22" ht="15.75" customHeight="1" x14ac:dyDescent="0.55000000000000004">
      <c r="A6" s="373">
        <v>6</v>
      </c>
      <c r="B6" s="373">
        <v>8</v>
      </c>
      <c r="C6" s="375" t="str">
        <f t="shared" si="0"/>
        <v>6 x 8</v>
      </c>
      <c r="D6" s="375" t="s">
        <v>2641</v>
      </c>
      <c r="E6" s="375" t="s">
        <v>2635</v>
      </c>
      <c r="F6" s="376">
        <f t="shared" ref="F6:G6" si="10">A6+6+(15/16)</f>
        <v>12.9375</v>
      </c>
      <c r="G6" s="376">
        <f t="shared" si="10"/>
        <v>14.9375</v>
      </c>
      <c r="H6" s="376">
        <f t="shared" ref="H6:I6" si="11">A6+1.125</f>
        <v>7.125</v>
      </c>
      <c r="I6" s="376">
        <f t="shared" si="11"/>
        <v>9.125</v>
      </c>
      <c r="J6" s="373">
        <f t="shared" ref="J6:K6" si="12">A6+7</f>
        <v>13</v>
      </c>
      <c r="K6" s="373">
        <f t="shared" si="12"/>
        <v>15</v>
      </c>
      <c r="L6" s="373" t="s">
        <v>568</v>
      </c>
      <c r="M6" s="373"/>
      <c r="N6" s="373"/>
      <c r="O6" s="373"/>
      <c r="P6" s="373"/>
      <c r="Q6" s="373"/>
      <c r="R6" s="373"/>
      <c r="S6" s="373"/>
      <c r="T6" s="373"/>
      <c r="U6" s="373"/>
      <c r="V6" s="373"/>
    </row>
    <row r="7" spans="1:22" ht="15.75" customHeight="1" x14ac:dyDescent="0.55000000000000004">
      <c r="A7" s="373">
        <v>5</v>
      </c>
      <c r="B7" s="373">
        <v>7</v>
      </c>
      <c r="C7" s="375" t="str">
        <f t="shared" si="0"/>
        <v>5 x 7</v>
      </c>
      <c r="D7" s="375" t="s">
        <v>2642</v>
      </c>
      <c r="E7" s="375" t="s">
        <v>2638</v>
      </c>
      <c r="F7" s="376">
        <f t="shared" ref="F7:G7" si="13">A7+8+(9/16)</f>
        <v>13.5625</v>
      </c>
      <c r="G7" s="376">
        <f t="shared" si="13"/>
        <v>15.5625</v>
      </c>
      <c r="H7" s="376">
        <f t="shared" ref="H7:I7" si="14">A7+1.125</f>
        <v>6.125</v>
      </c>
      <c r="I7" s="376">
        <f t="shared" si="14"/>
        <v>8.125</v>
      </c>
      <c r="J7" s="373">
        <f t="shared" ref="J7:K7" si="15">A7+9</f>
        <v>14</v>
      </c>
      <c r="K7" s="373">
        <f t="shared" si="15"/>
        <v>16</v>
      </c>
      <c r="L7" s="373" t="s">
        <v>568</v>
      </c>
      <c r="M7" s="373"/>
      <c r="O7" s="373"/>
      <c r="P7" s="373"/>
      <c r="Q7" s="373"/>
      <c r="R7" s="373"/>
      <c r="S7" s="373"/>
      <c r="T7" s="373"/>
      <c r="U7" s="373"/>
      <c r="V7" s="373"/>
    </row>
    <row r="8" spans="1:22" ht="15.75" customHeight="1" x14ac:dyDescent="0.55000000000000004">
      <c r="A8" s="373">
        <v>6</v>
      </c>
      <c r="B8" s="373">
        <v>8</v>
      </c>
      <c r="C8" s="375" t="str">
        <f t="shared" si="0"/>
        <v>6 x 8</v>
      </c>
      <c r="D8" s="375" t="s">
        <v>2643</v>
      </c>
      <c r="E8" s="375" t="s">
        <v>2638</v>
      </c>
      <c r="F8" s="376">
        <f t="shared" ref="F8:G8" si="16">A8+8+(9/16)</f>
        <v>14.5625</v>
      </c>
      <c r="G8" s="376">
        <f t="shared" si="16"/>
        <v>16.5625</v>
      </c>
      <c r="H8" s="376">
        <f t="shared" ref="H8:I8" si="17">A8+1.125</f>
        <v>7.125</v>
      </c>
      <c r="I8" s="376">
        <f t="shared" si="17"/>
        <v>9.125</v>
      </c>
      <c r="J8" s="373">
        <f t="shared" ref="J8:K8" si="18">A8+9</f>
        <v>15</v>
      </c>
      <c r="K8" s="373">
        <f t="shared" si="18"/>
        <v>17</v>
      </c>
      <c r="L8" s="373" t="s">
        <v>568</v>
      </c>
      <c r="M8" s="373"/>
      <c r="O8" s="373"/>
      <c r="P8" s="373"/>
      <c r="Q8" s="373"/>
      <c r="R8" s="373"/>
      <c r="S8" s="373"/>
      <c r="T8" s="373"/>
      <c r="U8" s="373"/>
      <c r="V8" s="373"/>
    </row>
    <row r="9" spans="1:22" ht="15.75" customHeight="1" x14ac:dyDescent="0.55000000000000004">
      <c r="A9" s="373">
        <v>6</v>
      </c>
      <c r="B9" s="373">
        <v>8</v>
      </c>
      <c r="C9" s="375" t="str">
        <f t="shared" si="0"/>
        <v>6 x 8</v>
      </c>
      <c r="D9" s="375" t="s">
        <v>2644</v>
      </c>
      <c r="E9" s="375" t="s">
        <v>2637</v>
      </c>
      <c r="F9" s="376">
        <f t="shared" ref="F9:G9" si="19">A9+8+(9/16)</f>
        <v>14.5625</v>
      </c>
      <c r="G9" s="376">
        <f t="shared" si="19"/>
        <v>16.5625</v>
      </c>
      <c r="H9" s="376">
        <f t="shared" ref="H9:I9" si="20">A9+1.125</f>
        <v>7.125</v>
      </c>
      <c r="I9" s="376">
        <f t="shared" si="20"/>
        <v>9.125</v>
      </c>
      <c r="J9" s="373">
        <f t="shared" ref="J9:K9" si="21">A9+9</f>
        <v>15</v>
      </c>
      <c r="K9" s="373">
        <f t="shared" si="21"/>
        <v>17</v>
      </c>
      <c r="L9" s="373" t="s">
        <v>568</v>
      </c>
      <c r="M9" s="373"/>
      <c r="O9" s="373"/>
      <c r="P9" s="373"/>
      <c r="Q9" s="373"/>
      <c r="R9" s="373"/>
      <c r="S9" s="373"/>
      <c r="T9" s="373"/>
      <c r="U9" s="373"/>
      <c r="V9" s="373"/>
    </row>
    <row r="10" spans="1:22" ht="15.75" customHeight="1" x14ac:dyDescent="0.55000000000000004">
      <c r="A10" s="373">
        <v>8</v>
      </c>
      <c r="B10" s="373">
        <v>16</v>
      </c>
      <c r="C10" s="375" t="str">
        <f t="shared" si="0"/>
        <v>8 x 16</v>
      </c>
      <c r="D10" s="375" t="s">
        <v>2645</v>
      </c>
      <c r="E10" s="375" t="s">
        <v>2635</v>
      </c>
      <c r="F10" s="376">
        <f t="shared" ref="F10:G10" si="22">A10+6+(15/16)</f>
        <v>14.9375</v>
      </c>
      <c r="G10" s="376">
        <f t="shared" si="22"/>
        <v>22.9375</v>
      </c>
      <c r="H10" s="376">
        <f t="shared" ref="H10:I10" si="23">A10+1.125</f>
        <v>9.125</v>
      </c>
      <c r="I10" s="376">
        <f t="shared" si="23"/>
        <v>17.125</v>
      </c>
      <c r="J10" s="373">
        <f t="shared" ref="J10:K10" si="24">A10+7</f>
        <v>15</v>
      </c>
      <c r="K10" s="373">
        <f t="shared" si="24"/>
        <v>23</v>
      </c>
      <c r="L10" s="373" t="s">
        <v>568</v>
      </c>
      <c r="M10" s="373"/>
      <c r="O10" s="373"/>
      <c r="P10" s="373"/>
      <c r="Q10" s="373"/>
      <c r="R10" s="373"/>
      <c r="S10" s="373"/>
      <c r="T10" s="373"/>
      <c r="U10" s="373"/>
      <c r="V10" s="373"/>
    </row>
    <row r="11" spans="1:22" ht="15.75" customHeight="1" x14ac:dyDescent="0.55000000000000004">
      <c r="A11" s="373">
        <v>8</v>
      </c>
      <c r="B11" s="373">
        <v>16</v>
      </c>
      <c r="C11" s="375" t="str">
        <f t="shared" si="0"/>
        <v>8 x 16</v>
      </c>
      <c r="D11" s="375" t="s">
        <v>2646</v>
      </c>
      <c r="E11" s="375" t="s">
        <v>2635</v>
      </c>
      <c r="F11" s="376">
        <f t="shared" ref="F11:G11" si="25">A11+6+(15/16)</f>
        <v>14.9375</v>
      </c>
      <c r="G11" s="376">
        <f t="shared" si="25"/>
        <v>22.9375</v>
      </c>
      <c r="H11" s="376">
        <f t="shared" ref="H11:I11" si="26">A11+1.125</f>
        <v>9.125</v>
      </c>
      <c r="I11" s="376">
        <f t="shared" si="26"/>
        <v>17.125</v>
      </c>
      <c r="J11" s="373">
        <f t="shared" ref="J11:K11" si="27">A11+7</f>
        <v>15</v>
      </c>
      <c r="K11" s="373">
        <f t="shared" si="27"/>
        <v>23</v>
      </c>
      <c r="L11" s="373" t="s">
        <v>568</v>
      </c>
      <c r="M11" s="373"/>
      <c r="O11" s="373"/>
      <c r="P11" s="373"/>
      <c r="Q11" s="373"/>
      <c r="R11" s="373"/>
      <c r="S11" s="373"/>
      <c r="T11" s="373"/>
      <c r="U11" s="373"/>
      <c r="V11" s="373"/>
    </row>
    <row r="12" spans="1:22" ht="15.75" customHeight="1" x14ac:dyDescent="0.55000000000000004">
      <c r="A12" s="373">
        <v>9</v>
      </c>
      <c r="B12" s="373">
        <v>12</v>
      </c>
      <c r="C12" s="375" t="str">
        <f t="shared" si="0"/>
        <v>9 x 12</v>
      </c>
      <c r="D12" s="375" t="s">
        <v>2647</v>
      </c>
      <c r="E12" s="375" t="s">
        <v>2635</v>
      </c>
      <c r="F12" s="376">
        <f t="shared" ref="F12:G12" si="28">A12+6+(15/16)</f>
        <v>15.9375</v>
      </c>
      <c r="G12" s="376">
        <f t="shared" si="28"/>
        <v>18.9375</v>
      </c>
      <c r="H12" s="376">
        <f t="shared" ref="H12:I12" si="29">A12+1.125</f>
        <v>10.125</v>
      </c>
      <c r="I12" s="376">
        <f t="shared" si="29"/>
        <v>13.125</v>
      </c>
      <c r="J12" s="373">
        <f t="shared" ref="J12:K12" si="30">A12+7</f>
        <v>16</v>
      </c>
      <c r="K12" s="373">
        <f t="shared" si="30"/>
        <v>19</v>
      </c>
      <c r="L12" s="373" t="s">
        <v>568</v>
      </c>
      <c r="M12" s="373"/>
      <c r="O12" s="373"/>
      <c r="P12" s="373"/>
      <c r="Q12" s="373"/>
      <c r="R12" s="373"/>
      <c r="S12" s="373"/>
      <c r="T12" s="373"/>
      <c r="U12" s="373"/>
      <c r="V12" s="373"/>
    </row>
    <row r="13" spans="1:22" ht="15.75" customHeight="1" x14ac:dyDescent="0.55000000000000004">
      <c r="A13" s="373">
        <v>9</v>
      </c>
      <c r="B13" s="373">
        <v>12</v>
      </c>
      <c r="C13" s="375" t="str">
        <f t="shared" si="0"/>
        <v>9 x 12</v>
      </c>
      <c r="D13" s="375" t="s">
        <v>2648</v>
      </c>
      <c r="E13" s="375" t="s">
        <v>2635</v>
      </c>
      <c r="F13" s="376">
        <f t="shared" ref="F13:G13" si="31">A13+6+(15/16)</f>
        <v>15.9375</v>
      </c>
      <c r="G13" s="376">
        <f t="shared" si="31"/>
        <v>18.9375</v>
      </c>
      <c r="H13" s="376">
        <f t="shared" ref="H13:I13" si="32">A13+1.125</f>
        <v>10.125</v>
      </c>
      <c r="I13" s="376">
        <f t="shared" si="32"/>
        <v>13.125</v>
      </c>
      <c r="J13" s="373">
        <f t="shared" ref="J13:K13" si="33">A13+7</f>
        <v>16</v>
      </c>
      <c r="K13" s="373">
        <f t="shared" si="33"/>
        <v>19</v>
      </c>
      <c r="L13" s="373" t="s">
        <v>568</v>
      </c>
      <c r="M13" s="373"/>
      <c r="O13" s="373"/>
      <c r="P13" s="373"/>
      <c r="Q13" s="373"/>
      <c r="R13" s="373"/>
      <c r="S13" s="373"/>
      <c r="T13" s="373"/>
      <c r="U13" s="373"/>
      <c r="V13" s="373"/>
    </row>
    <row r="14" spans="1:22" ht="15.75" customHeight="1" x14ac:dyDescent="0.55000000000000004">
      <c r="A14" s="373">
        <v>9</v>
      </c>
      <c r="B14" s="373">
        <v>12</v>
      </c>
      <c r="C14" s="375" t="str">
        <f t="shared" si="0"/>
        <v>9 x 12</v>
      </c>
      <c r="D14" s="375" t="s">
        <v>2649</v>
      </c>
      <c r="E14" s="375" t="s">
        <v>2635</v>
      </c>
      <c r="F14" s="376">
        <f t="shared" ref="F14:G14" si="34">A14+6+(15/16)</f>
        <v>15.9375</v>
      </c>
      <c r="G14" s="376">
        <f t="shared" si="34"/>
        <v>18.9375</v>
      </c>
      <c r="H14" s="376">
        <f t="shared" ref="H14:I14" si="35">A14+1.125</f>
        <v>10.125</v>
      </c>
      <c r="I14" s="376">
        <f t="shared" si="35"/>
        <v>13.125</v>
      </c>
      <c r="J14" s="373">
        <f t="shared" ref="J14:K14" si="36">A14+7</f>
        <v>16</v>
      </c>
      <c r="K14" s="373">
        <f t="shared" si="36"/>
        <v>19</v>
      </c>
      <c r="L14" s="373" t="s">
        <v>568</v>
      </c>
      <c r="M14" s="373"/>
      <c r="O14" s="373"/>
      <c r="P14" s="373"/>
      <c r="Q14" s="373"/>
      <c r="R14" s="373"/>
      <c r="S14" s="373"/>
      <c r="T14" s="373"/>
      <c r="U14" s="373"/>
      <c r="V14" s="373"/>
    </row>
    <row r="15" spans="1:22" ht="15.75" customHeight="1" x14ac:dyDescent="0.55000000000000004">
      <c r="A15" s="373">
        <v>8</v>
      </c>
      <c r="B15" s="373">
        <v>16</v>
      </c>
      <c r="C15" s="375" t="str">
        <f t="shared" si="0"/>
        <v>8 x 16</v>
      </c>
      <c r="D15" s="375" t="s">
        <v>2650</v>
      </c>
      <c r="E15" s="375" t="s">
        <v>2638</v>
      </c>
      <c r="F15" s="376">
        <f t="shared" ref="F15:G15" si="37">A15+8+(9/16)</f>
        <v>16.5625</v>
      </c>
      <c r="G15" s="376">
        <f t="shared" si="37"/>
        <v>24.5625</v>
      </c>
      <c r="H15" s="376">
        <f t="shared" ref="H15:I15" si="38">A15+1.125</f>
        <v>9.125</v>
      </c>
      <c r="I15" s="376">
        <f t="shared" si="38"/>
        <v>17.125</v>
      </c>
      <c r="J15" s="373">
        <f t="shared" ref="J15:K15" si="39">A15+9</f>
        <v>17</v>
      </c>
      <c r="K15" s="373">
        <f t="shared" si="39"/>
        <v>25</v>
      </c>
      <c r="L15" s="373" t="s">
        <v>474</v>
      </c>
      <c r="M15" s="373"/>
      <c r="O15" s="373"/>
      <c r="P15" s="373"/>
      <c r="Q15" s="373"/>
      <c r="R15" s="373"/>
      <c r="S15" s="373"/>
      <c r="T15" s="373"/>
      <c r="U15" s="373"/>
      <c r="V15" s="373"/>
    </row>
    <row r="16" spans="1:22" ht="15.75" customHeight="1" x14ac:dyDescent="0.55000000000000004">
      <c r="A16" s="373">
        <v>9</v>
      </c>
      <c r="B16" s="373">
        <v>12</v>
      </c>
      <c r="C16" s="375" t="str">
        <f t="shared" si="0"/>
        <v>9 x 12</v>
      </c>
      <c r="D16" s="375" t="s">
        <v>2651</v>
      </c>
      <c r="E16" s="375" t="s">
        <v>2638</v>
      </c>
      <c r="F16" s="376">
        <f t="shared" ref="F16:G16" si="40">A16+8+(9/16)</f>
        <v>17.5625</v>
      </c>
      <c r="G16" s="376">
        <f t="shared" si="40"/>
        <v>20.5625</v>
      </c>
      <c r="H16" s="376">
        <f t="shared" ref="H16:I16" si="41">A16+1.125</f>
        <v>10.125</v>
      </c>
      <c r="I16" s="376">
        <f t="shared" si="41"/>
        <v>13.125</v>
      </c>
      <c r="J16" s="373">
        <f t="shared" ref="J16:K16" si="42">A16+9</f>
        <v>18</v>
      </c>
      <c r="K16" s="373">
        <f t="shared" si="42"/>
        <v>21</v>
      </c>
      <c r="L16" s="373" t="s">
        <v>568</v>
      </c>
      <c r="M16" s="373"/>
      <c r="O16" s="373"/>
      <c r="P16" s="373"/>
      <c r="Q16" s="373"/>
      <c r="R16" s="373"/>
      <c r="S16" s="373"/>
      <c r="T16" s="373"/>
      <c r="U16" s="373"/>
      <c r="V16" s="373"/>
    </row>
    <row r="17" spans="1:22" ht="15.75" customHeight="1" x14ac:dyDescent="0.55000000000000004">
      <c r="A17" s="373">
        <v>11</v>
      </c>
      <c r="B17" s="373">
        <v>14</v>
      </c>
      <c r="C17" s="375" t="str">
        <f t="shared" si="0"/>
        <v>11 x 14</v>
      </c>
      <c r="D17" s="375" t="s">
        <v>2652</v>
      </c>
      <c r="E17" s="375" t="s">
        <v>2635</v>
      </c>
      <c r="F17" s="376">
        <f t="shared" ref="F17:G17" si="43">A17+6+(15/16)</f>
        <v>17.9375</v>
      </c>
      <c r="G17" s="376">
        <f t="shared" si="43"/>
        <v>20.9375</v>
      </c>
      <c r="H17" s="376">
        <f t="shared" ref="H17:I17" si="44">A17+1.125</f>
        <v>12.125</v>
      </c>
      <c r="I17" s="376">
        <f t="shared" si="44"/>
        <v>15.125</v>
      </c>
      <c r="J17" s="373">
        <f t="shared" ref="J17:K17" si="45">A17+7</f>
        <v>18</v>
      </c>
      <c r="K17" s="373">
        <f t="shared" si="45"/>
        <v>21</v>
      </c>
      <c r="L17" s="373" t="s">
        <v>568</v>
      </c>
      <c r="M17" s="373"/>
      <c r="O17" s="373"/>
      <c r="P17" s="373"/>
      <c r="Q17" s="373"/>
      <c r="R17" s="373"/>
      <c r="S17" s="373"/>
      <c r="T17" s="373"/>
      <c r="U17" s="373"/>
      <c r="V17" s="373"/>
    </row>
    <row r="18" spans="1:22" ht="15.75" customHeight="1" x14ac:dyDescent="0.55000000000000004">
      <c r="A18" s="373">
        <v>11</v>
      </c>
      <c r="B18" s="373">
        <v>14</v>
      </c>
      <c r="C18" s="375" t="str">
        <f t="shared" si="0"/>
        <v>11 x 14</v>
      </c>
      <c r="D18" s="375" t="s">
        <v>2653</v>
      </c>
      <c r="E18" s="375" t="s">
        <v>2635</v>
      </c>
      <c r="F18" s="376">
        <f t="shared" ref="F18:G18" si="46">A18+6+(15/16)</f>
        <v>17.9375</v>
      </c>
      <c r="G18" s="376">
        <f t="shared" si="46"/>
        <v>20.9375</v>
      </c>
      <c r="H18" s="376">
        <f t="shared" ref="H18:I18" si="47">A18+1.125</f>
        <v>12.125</v>
      </c>
      <c r="I18" s="376">
        <f t="shared" si="47"/>
        <v>15.125</v>
      </c>
      <c r="J18" s="373">
        <f t="shared" ref="J18:K18" si="48">A18+7</f>
        <v>18</v>
      </c>
      <c r="K18" s="373">
        <f t="shared" si="48"/>
        <v>21</v>
      </c>
      <c r="L18" s="373" t="s">
        <v>568</v>
      </c>
      <c r="M18" s="373"/>
      <c r="O18" s="373"/>
      <c r="P18" s="373"/>
      <c r="Q18" s="373"/>
      <c r="R18" s="373"/>
      <c r="S18" s="373"/>
      <c r="T18" s="373"/>
      <c r="U18" s="373"/>
      <c r="V18" s="373"/>
    </row>
    <row r="19" spans="1:22" ht="15.75" customHeight="1" x14ac:dyDescent="0.55000000000000004">
      <c r="A19" s="373">
        <v>12</v>
      </c>
      <c r="B19" s="373">
        <v>12</v>
      </c>
      <c r="C19" s="375" t="str">
        <f t="shared" si="0"/>
        <v>12 x 12</v>
      </c>
      <c r="D19" s="375" t="s">
        <v>2654</v>
      </c>
      <c r="E19" s="375" t="s">
        <v>2635</v>
      </c>
      <c r="F19" s="376">
        <f t="shared" ref="F19:G19" si="49">A19+6+(15/16)</f>
        <v>18.9375</v>
      </c>
      <c r="G19" s="376">
        <f t="shared" si="49"/>
        <v>18.9375</v>
      </c>
      <c r="H19" s="376">
        <f t="shared" ref="H19:I19" si="50">A19+1.125</f>
        <v>13.125</v>
      </c>
      <c r="I19" s="376">
        <f t="shared" si="50"/>
        <v>13.125</v>
      </c>
      <c r="J19" s="373">
        <f t="shared" ref="J19:K19" si="51">A19+7</f>
        <v>19</v>
      </c>
      <c r="K19" s="373">
        <f t="shared" si="51"/>
        <v>19</v>
      </c>
      <c r="L19" s="373" t="s">
        <v>474</v>
      </c>
      <c r="M19" s="373"/>
      <c r="O19" s="373"/>
      <c r="P19" s="373"/>
      <c r="Q19" s="373"/>
      <c r="R19" s="373"/>
      <c r="S19" s="373"/>
      <c r="T19" s="373"/>
      <c r="U19" s="373"/>
      <c r="V19" s="373"/>
    </row>
    <row r="20" spans="1:22" ht="15.75" customHeight="1" x14ac:dyDescent="0.55000000000000004">
      <c r="A20" s="373">
        <v>12</v>
      </c>
      <c r="B20" s="373">
        <v>12</v>
      </c>
      <c r="C20" s="375" t="str">
        <f t="shared" si="0"/>
        <v>12 x 12</v>
      </c>
      <c r="D20" s="375" t="s">
        <v>2655</v>
      </c>
      <c r="E20" s="375" t="s">
        <v>2635</v>
      </c>
      <c r="F20" s="376">
        <f t="shared" ref="F20:G20" si="52">A20+6+(15/16)</f>
        <v>18.9375</v>
      </c>
      <c r="G20" s="376">
        <f t="shared" si="52"/>
        <v>18.9375</v>
      </c>
      <c r="H20" s="376">
        <f t="shared" ref="H20:I20" si="53">A20+1.125</f>
        <v>13.125</v>
      </c>
      <c r="I20" s="376">
        <f t="shared" si="53"/>
        <v>13.125</v>
      </c>
      <c r="J20" s="373">
        <f t="shared" ref="J20:K20" si="54">A20+7</f>
        <v>19</v>
      </c>
      <c r="K20" s="373">
        <f t="shared" si="54"/>
        <v>19</v>
      </c>
      <c r="L20" s="373" t="s">
        <v>474</v>
      </c>
      <c r="M20" s="373"/>
      <c r="O20" s="373"/>
      <c r="P20" s="373"/>
      <c r="Q20" s="373"/>
      <c r="R20" s="373"/>
      <c r="S20" s="373"/>
      <c r="T20" s="373"/>
      <c r="U20" s="373"/>
      <c r="V20" s="373"/>
    </row>
    <row r="21" spans="1:22" ht="15.75" customHeight="1" x14ac:dyDescent="0.55000000000000004">
      <c r="A21" s="373">
        <v>12</v>
      </c>
      <c r="B21" s="373">
        <v>16</v>
      </c>
      <c r="C21" s="375" t="str">
        <f t="shared" si="0"/>
        <v>12 x 16</v>
      </c>
      <c r="D21" s="375" t="s">
        <v>2656</v>
      </c>
      <c r="E21" s="375" t="s">
        <v>2635</v>
      </c>
      <c r="F21" s="376">
        <f t="shared" ref="F21:G21" si="55">A21+6+(15/16)</f>
        <v>18.9375</v>
      </c>
      <c r="G21" s="376">
        <f t="shared" si="55"/>
        <v>22.9375</v>
      </c>
      <c r="H21" s="376">
        <f t="shared" ref="H21:I21" si="56">A21+1.125</f>
        <v>13.125</v>
      </c>
      <c r="I21" s="376">
        <f t="shared" si="56"/>
        <v>17.125</v>
      </c>
      <c r="J21" s="373">
        <f t="shared" ref="J21:K21" si="57">A21+7</f>
        <v>19</v>
      </c>
      <c r="K21" s="373">
        <f t="shared" si="57"/>
        <v>23</v>
      </c>
      <c r="L21" s="373" t="s">
        <v>474</v>
      </c>
      <c r="M21" s="373"/>
      <c r="O21" s="373"/>
      <c r="P21" s="373"/>
      <c r="Q21" s="373"/>
      <c r="R21" s="373"/>
      <c r="S21" s="373"/>
      <c r="T21" s="373"/>
      <c r="U21" s="373"/>
      <c r="V21" s="373"/>
    </row>
    <row r="22" spans="1:22" ht="15.75" customHeight="1" x14ac:dyDescent="0.55000000000000004">
      <c r="A22" s="373">
        <v>11</v>
      </c>
      <c r="B22" s="373">
        <v>14</v>
      </c>
      <c r="C22" s="375" t="str">
        <f t="shared" si="0"/>
        <v>11 x 14</v>
      </c>
      <c r="D22" s="375" t="s">
        <v>2657</v>
      </c>
      <c r="E22" s="375" t="s">
        <v>2638</v>
      </c>
      <c r="F22" s="376">
        <f t="shared" ref="F22:G22" si="58">A22+8+(9/16)</f>
        <v>19.5625</v>
      </c>
      <c r="G22" s="376">
        <f t="shared" si="58"/>
        <v>22.5625</v>
      </c>
      <c r="H22" s="376">
        <f t="shared" ref="H22:I22" si="59">A22+1.125</f>
        <v>12.125</v>
      </c>
      <c r="I22" s="376">
        <f t="shared" si="59"/>
        <v>15.125</v>
      </c>
      <c r="J22" s="373">
        <f t="shared" ref="J22:K22" si="60">A22+9</f>
        <v>20</v>
      </c>
      <c r="K22" s="373">
        <f t="shared" si="60"/>
        <v>23</v>
      </c>
      <c r="L22" s="373" t="s">
        <v>474</v>
      </c>
      <c r="M22" s="373"/>
      <c r="O22" s="373"/>
      <c r="P22" s="373"/>
      <c r="Q22" s="373"/>
      <c r="R22" s="373"/>
      <c r="S22" s="373"/>
      <c r="T22" s="373"/>
      <c r="U22" s="373"/>
      <c r="V22" s="373"/>
    </row>
    <row r="23" spans="1:22" ht="15.75" customHeight="1" x14ac:dyDescent="0.55000000000000004">
      <c r="A23" s="373">
        <v>11</v>
      </c>
      <c r="B23" s="373">
        <v>14</v>
      </c>
      <c r="C23" s="375" t="str">
        <f t="shared" si="0"/>
        <v>11 x 14</v>
      </c>
      <c r="D23" s="375" t="s">
        <v>2658</v>
      </c>
      <c r="E23" s="375" t="s">
        <v>2638</v>
      </c>
      <c r="F23" s="376">
        <f t="shared" ref="F23:G23" si="61">A23+8+(9/16)</f>
        <v>19.5625</v>
      </c>
      <c r="G23" s="376">
        <f t="shared" si="61"/>
        <v>22.5625</v>
      </c>
      <c r="H23" s="376">
        <f t="shared" ref="H23:I23" si="62">A23+1.125</f>
        <v>12.125</v>
      </c>
      <c r="I23" s="376">
        <f t="shared" si="62"/>
        <v>15.125</v>
      </c>
      <c r="J23" s="373">
        <f t="shared" ref="J23:K23" si="63">A23+9</f>
        <v>20</v>
      </c>
      <c r="K23" s="373">
        <f t="shared" si="63"/>
        <v>23</v>
      </c>
      <c r="L23" s="373" t="s">
        <v>474</v>
      </c>
      <c r="M23" s="373"/>
      <c r="O23" s="373"/>
      <c r="P23" s="373"/>
      <c r="Q23" s="373"/>
      <c r="R23" s="373"/>
      <c r="S23" s="373"/>
      <c r="T23" s="373"/>
      <c r="U23" s="373"/>
      <c r="V23" s="373"/>
    </row>
    <row r="24" spans="1:22" ht="15.75" customHeight="1" x14ac:dyDescent="0.55000000000000004">
      <c r="A24" s="373">
        <v>11</v>
      </c>
      <c r="B24" s="373">
        <v>14</v>
      </c>
      <c r="C24" s="375" t="str">
        <f t="shared" si="0"/>
        <v>11 x 14</v>
      </c>
      <c r="D24" s="375" t="s">
        <v>1578</v>
      </c>
      <c r="E24" s="375" t="s">
        <v>2638</v>
      </c>
      <c r="F24" s="376">
        <f t="shared" ref="F24:G24" si="64">A24+8+(9/16)</f>
        <v>19.5625</v>
      </c>
      <c r="G24" s="376">
        <f t="shared" si="64"/>
        <v>22.5625</v>
      </c>
      <c r="H24" s="376">
        <f t="shared" ref="H24:I24" si="65">A24+1.125</f>
        <v>12.125</v>
      </c>
      <c r="I24" s="376">
        <f t="shared" si="65"/>
        <v>15.125</v>
      </c>
      <c r="J24" s="373">
        <f t="shared" ref="J24:K24" si="66">A24+9</f>
        <v>20</v>
      </c>
      <c r="K24" s="373">
        <f t="shared" si="66"/>
        <v>23</v>
      </c>
      <c r="L24" s="373" t="s">
        <v>474</v>
      </c>
      <c r="M24" s="373"/>
      <c r="O24" s="373"/>
      <c r="P24" s="373"/>
      <c r="Q24" s="373"/>
      <c r="R24" s="373"/>
      <c r="S24" s="373"/>
      <c r="T24" s="373"/>
      <c r="U24" s="373"/>
      <c r="V24" s="373"/>
    </row>
    <row r="25" spans="1:22" ht="15.75" customHeight="1" x14ac:dyDescent="0.55000000000000004">
      <c r="A25" s="373">
        <v>11</v>
      </c>
      <c r="B25" s="373">
        <v>14</v>
      </c>
      <c r="C25" s="375" t="str">
        <f t="shared" si="0"/>
        <v>11 x 14</v>
      </c>
      <c r="D25" s="375" t="s">
        <v>2659</v>
      </c>
      <c r="E25" s="375" t="s">
        <v>2637</v>
      </c>
      <c r="F25" s="376">
        <f t="shared" ref="F25:G25" si="67">A25+8+(9/16)</f>
        <v>19.5625</v>
      </c>
      <c r="G25" s="376">
        <f t="shared" si="67"/>
        <v>22.5625</v>
      </c>
      <c r="H25" s="376">
        <f t="shared" ref="H25:I25" si="68">A25+1.125</f>
        <v>12.125</v>
      </c>
      <c r="I25" s="376">
        <f t="shared" si="68"/>
        <v>15.125</v>
      </c>
      <c r="J25" s="373">
        <f t="shared" ref="J25:K25" si="69">A25+9</f>
        <v>20</v>
      </c>
      <c r="K25" s="373">
        <f t="shared" si="69"/>
        <v>23</v>
      </c>
      <c r="L25" s="373" t="s">
        <v>474</v>
      </c>
      <c r="M25" s="373"/>
      <c r="O25" s="373"/>
      <c r="P25" s="373"/>
      <c r="Q25" s="373"/>
      <c r="R25" s="373"/>
      <c r="S25" s="373"/>
      <c r="T25" s="373"/>
      <c r="U25" s="373"/>
      <c r="V25" s="373"/>
    </row>
    <row r="26" spans="1:22" ht="15.75" customHeight="1" x14ac:dyDescent="0.55000000000000004">
      <c r="A26" s="373">
        <v>12</v>
      </c>
      <c r="B26" s="373">
        <v>12</v>
      </c>
      <c r="C26" s="375" t="str">
        <f t="shared" si="0"/>
        <v>12 x 12</v>
      </c>
      <c r="D26" s="375" t="s">
        <v>1717</v>
      </c>
      <c r="E26" s="375" t="s">
        <v>2638</v>
      </c>
      <c r="F26" s="376">
        <f t="shared" ref="F26:G26" si="70">A26+8+(9/16)</f>
        <v>20.5625</v>
      </c>
      <c r="G26" s="376">
        <f t="shared" si="70"/>
        <v>20.5625</v>
      </c>
      <c r="H26" s="376">
        <f t="shared" ref="H26:I26" si="71">A26+1.125</f>
        <v>13.125</v>
      </c>
      <c r="I26" s="376">
        <f t="shared" si="71"/>
        <v>13.125</v>
      </c>
      <c r="J26" s="373">
        <f t="shared" ref="J26:K26" si="72">A26+9</f>
        <v>21</v>
      </c>
      <c r="K26" s="373">
        <f t="shared" si="72"/>
        <v>21</v>
      </c>
      <c r="L26" s="373" t="s">
        <v>474</v>
      </c>
      <c r="M26" s="373"/>
      <c r="O26" s="373"/>
      <c r="P26" s="373"/>
      <c r="Q26" s="373"/>
      <c r="R26" s="373"/>
      <c r="S26" s="373"/>
      <c r="T26" s="373"/>
      <c r="U26" s="373"/>
      <c r="V26" s="373"/>
    </row>
    <row r="27" spans="1:22" ht="15.75" customHeight="1" x14ac:dyDescent="0.55000000000000004">
      <c r="A27" s="373">
        <v>12</v>
      </c>
      <c r="B27" s="373">
        <v>12</v>
      </c>
      <c r="C27" s="375" t="str">
        <f t="shared" si="0"/>
        <v>12 x 12</v>
      </c>
      <c r="D27" s="375" t="s">
        <v>2603</v>
      </c>
      <c r="E27" s="375" t="s">
        <v>2637</v>
      </c>
      <c r="F27" s="376">
        <f t="shared" ref="F27:G27" si="73">A27+8+(9/16)</f>
        <v>20.5625</v>
      </c>
      <c r="G27" s="376">
        <f t="shared" si="73"/>
        <v>20.5625</v>
      </c>
      <c r="H27" s="376">
        <f t="shared" ref="H27:I27" si="74">A27+1.125</f>
        <v>13.125</v>
      </c>
      <c r="I27" s="376">
        <f t="shared" si="74"/>
        <v>13.125</v>
      </c>
      <c r="J27" s="373">
        <f t="shared" ref="J27:K27" si="75">A27+9</f>
        <v>21</v>
      </c>
      <c r="K27" s="373">
        <f t="shared" si="75"/>
        <v>21</v>
      </c>
      <c r="L27" s="373" t="s">
        <v>474</v>
      </c>
      <c r="M27" s="373"/>
      <c r="O27" s="373"/>
      <c r="P27" s="373"/>
      <c r="Q27" s="373"/>
      <c r="R27" s="373"/>
      <c r="S27" s="373"/>
      <c r="T27" s="373"/>
      <c r="U27" s="373"/>
      <c r="V27" s="373"/>
    </row>
    <row r="28" spans="1:22" ht="15.75" customHeight="1" x14ac:dyDescent="0.55000000000000004">
      <c r="A28" s="373">
        <v>12</v>
      </c>
      <c r="B28" s="373">
        <v>16</v>
      </c>
      <c r="C28" s="375" t="str">
        <f t="shared" si="0"/>
        <v>12 x 16</v>
      </c>
      <c r="D28" s="375" t="s">
        <v>2660</v>
      </c>
      <c r="E28" s="375" t="s">
        <v>2637</v>
      </c>
      <c r="F28" s="376">
        <f t="shared" ref="F28:G28" si="76">A28+8+(9/16)</f>
        <v>20.5625</v>
      </c>
      <c r="G28" s="376">
        <f t="shared" si="76"/>
        <v>24.5625</v>
      </c>
      <c r="H28" s="376">
        <f t="shared" ref="H28:I28" si="77">A28+1.125</f>
        <v>13.125</v>
      </c>
      <c r="I28" s="376">
        <f t="shared" si="77"/>
        <v>17.125</v>
      </c>
      <c r="J28" s="373">
        <f t="shared" ref="J28:K28" si="78">A28+9</f>
        <v>21</v>
      </c>
      <c r="K28" s="373">
        <f t="shared" si="78"/>
        <v>25</v>
      </c>
      <c r="L28" s="373" t="s">
        <v>474</v>
      </c>
      <c r="M28" s="373"/>
      <c r="O28" s="373"/>
      <c r="P28" s="373"/>
      <c r="Q28" s="373"/>
      <c r="R28" s="373"/>
      <c r="S28" s="373"/>
      <c r="T28" s="373"/>
      <c r="U28" s="373"/>
      <c r="V28" s="373"/>
    </row>
    <row r="29" spans="1:22" ht="15.75" customHeight="1" x14ac:dyDescent="0.55000000000000004">
      <c r="A29" s="373">
        <v>12</v>
      </c>
      <c r="B29" s="373">
        <v>16</v>
      </c>
      <c r="C29" s="375" t="str">
        <f t="shared" si="0"/>
        <v>12 x 16</v>
      </c>
      <c r="D29" s="375" t="s">
        <v>273</v>
      </c>
      <c r="E29" s="375" t="s">
        <v>2637</v>
      </c>
      <c r="F29" s="376">
        <f t="shared" ref="F29:G29" si="79">A29+8+(9/16)</f>
        <v>20.5625</v>
      </c>
      <c r="G29" s="376">
        <f t="shared" si="79"/>
        <v>24.5625</v>
      </c>
      <c r="H29" s="376">
        <f t="shared" ref="H29:I29" si="80">A29+1.125</f>
        <v>13.125</v>
      </c>
      <c r="I29" s="376">
        <f t="shared" si="80"/>
        <v>17.125</v>
      </c>
      <c r="J29" s="373">
        <f t="shared" ref="J29:K29" si="81">A29+9</f>
        <v>21</v>
      </c>
      <c r="K29" s="373">
        <f t="shared" si="81"/>
        <v>25</v>
      </c>
      <c r="L29" s="373" t="s">
        <v>474</v>
      </c>
      <c r="M29" s="373"/>
      <c r="O29" s="373"/>
      <c r="P29" s="373"/>
      <c r="Q29" s="373"/>
      <c r="R29" s="373"/>
      <c r="S29" s="373"/>
      <c r="T29" s="373"/>
      <c r="U29" s="373"/>
      <c r="V29" s="373"/>
    </row>
    <row r="30" spans="1:22" ht="18" x14ac:dyDescent="0.55000000000000004">
      <c r="A30" s="373">
        <v>14</v>
      </c>
      <c r="B30" s="373">
        <v>18</v>
      </c>
      <c r="C30" s="375" t="str">
        <f t="shared" si="0"/>
        <v>14 x 18</v>
      </c>
      <c r="D30" s="375" t="s">
        <v>1932</v>
      </c>
      <c r="E30" s="375" t="s">
        <v>2638</v>
      </c>
      <c r="F30" s="376">
        <f t="shared" ref="F30:G30" si="82">A30+8+(9/16)</f>
        <v>22.5625</v>
      </c>
      <c r="G30" s="376">
        <f t="shared" si="82"/>
        <v>26.5625</v>
      </c>
      <c r="H30" s="376">
        <f t="shared" ref="H30:I30" si="83">A30+1.125</f>
        <v>15.125</v>
      </c>
      <c r="I30" s="376">
        <f t="shared" si="83"/>
        <v>19.125</v>
      </c>
      <c r="J30" s="373">
        <f t="shared" ref="J30:K30" si="84">A30+9</f>
        <v>23</v>
      </c>
      <c r="K30" s="373">
        <f t="shared" si="84"/>
        <v>27</v>
      </c>
      <c r="L30" s="373" t="s">
        <v>474</v>
      </c>
      <c r="M30" s="373"/>
      <c r="O30" s="373"/>
      <c r="P30" s="373"/>
      <c r="Q30" s="373"/>
      <c r="R30" s="373"/>
      <c r="S30" s="373"/>
      <c r="T30" s="373"/>
      <c r="U30" s="373"/>
      <c r="V30" s="373"/>
    </row>
    <row r="31" spans="1:22" ht="18" x14ac:dyDescent="0.55000000000000004">
      <c r="A31" s="373">
        <v>16</v>
      </c>
      <c r="B31" s="373">
        <v>20</v>
      </c>
      <c r="C31" s="375" t="str">
        <f t="shared" si="0"/>
        <v>16 x 20</v>
      </c>
      <c r="D31" s="375" t="s">
        <v>1631</v>
      </c>
      <c r="E31" s="375" t="s">
        <v>2635</v>
      </c>
      <c r="F31" s="376">
        <f t="shared" ref="F31:G31" si="85">A31+6+(15/16)</f>
        <v>22.9375</v>
      </c>
      <c r="G31" s="376">
        <f t="shared" si="85"/>
        <v>26.9375</v>
      </c>
      <c r="H31" s="376">
        <f t="shared" ref="H31:I31" si="86">A31+1.125</f>
        <v>17.125</v>
      </c>
      <c r="I31" s="376">
        <f t="shared" si="86"/>
        <v>21.125</v>
      </c>
      <c r="J31" s="373">
        <f t="shared" ref="J31:K31" si="87">A31+7</f>
        <v>23</v>
      </c>
      <c r="K31" s="373">
        <f t="shared" si="87"/>
        <v>27</v>
      </c>
      <c r="L31" s="373" t="s">
        <v>474</v>
      </c>
      <c r="M31" s="373"/>
      <c r="O31" s="373"/>
      <c r="P31" s="373"/>
      <c r="Q31" s="373"/>
      <c r="R31" s="373"/>
      <c r="S31" s="373"/>
      <c r="T31" s="373"/>
      <c r="U31" s="373"/>
      <c r="V31" s="373"/>
    </row>
    <row r="32" spans="1:22" ht="18" x14ac:dyDescent="0.55000000000000004">
      <c r="A32" s="373">
        <v>20</v>
      </c>
      <c r="B32" s="373">
        <v>24</v>
      </c>
      <c r="C32" s="375" t="str">
        <f t="shared" si="0"/>
        <v>20 x 24</v>
      </c>
      <c r="D32" s="375" t="s">
        <v>2482</v>
      </c>
      <c r="E32" s="375" t="s">
        <v>2635</v>
      </c>
      <c r="F32" s="376">
        <f t="shared" ref="F32:G32" si="88">A32+6+(15/16)</f>
        <v>26.9375</v>
      </c>
      <c r="G32" s="376">
        <f t="shared" si="88"/>
        <v>30.9375</v>
      </c>
      <c r="H32" s="376">
        <f t="shared" ref="H32:I32" si="89">A32+1.125</f>
        <v>21.125</v>
      </c>
      <c r="I32" s="376">
        <f t="shared" si="89"/>
        <v>25.125</v>
      </c>
      <c r="J32" s="373">
        <f t="shared" ref="J32:K32" si="90">A32+7</f>
        <v>27</v>
      </c>
      <c r="K32" s="373">
        <f t="shared" si="90"/>
        <v>31</v>
      </c>
      <c r="L32" s="373" t="s">
        <v>480</v>
      </c>
      <c r="M32" s="373"/>
      <c r="O32" s="373"/>
      <c r="P32" s="373"/>
      <c r="Q32" s="373"/>
      <c r="R32" s="373"/>
      <c r="S32" s="373"/>
      <c r="T32" s="373"/>
      <c r="U32" s="373"/>
      <c r="V32" s="373"/>
    </row>
    <row r="33" spans="1:22" ht="18" x14ac:dyDescent="0.55000000000000004">
      <c r="A33" s="373">
        <v>20</v>
      </c>
      <c r="B33" s="373">
        <v>24</v>
      </c>
      <c r="C33" s="375" t="str">
        <f t="shared" si="0"/>
        <v>20 x 24</v>
      </c>
      <c r="D33" s="375" t="s">
        <v>2636</v>
      </c>
      <c r="E33" s="375" t="s">
        <v>2638</v>
      </c>
      <c r="F33" s="376">
        <f t="shared" ref="F33:G33" si="91">A33+8+(9/16)</f>
        <v>28.5625</v>
      </c>
      <c r="G33" s="376">
        <f t="shared" si="91"/>
        <v>32.5625</v>
      </c>
      <c r="H33" s="376">
        <f t="shared" ref="H33:I33" si="92">A33+1.125</f>
        <v>21.125</v>
      </c>
      <c r="I33" s="376">
        <f t="shared" si="92"/>
        <v>25.125</v>
      </c>
      <c r="J33" s="373">
        <f t="shared" ref="J33:K33" si="93">A33+9</f>
        <v>29</v>
      </c>
      <c r="K33" s="373">
        <f t="shared" si="93"/>
        <v>33</v>
      </c>
      <c r="L33" s="373" t="s">
        <v>480</v>
      </c>
      <c r="M33" s="373"/>
      <c r="O33" s="373"/>
      <c r="P33" s="373"/>
      <c r="Q33" s="373"/>
      <c r="R33" s="373"/>
      <c r="S33" s="373"/>
      <c r="T33" s="373"/>
      <c r="U33" s="373"/>
      <c r="V33" s="373"/>
    </row>
    <row r="34" spans="1:22" ht="18" x14ac:dyDescent="0.55000000000000004">
      <c r="A34" s="373"/>
      <c r="B34" s="373"/>
      <c r="C34" s="375"/>
      <c r="D34" s="375"/>
      <c r="E34" s="375"/>
      <c r="F34" s="376"/>
      <c r="G34" s="376"/>
      <c r="H34" s="376"/>
      <c r="I34" s="376"/>
      <c r="J34" s="373"/>
      <c r="K34" s="373"/>
      <c r="L34" s="373"/>
      <c r="M34" s="373"/>
      <c r="N34" s="373"/>
      <c r="O34" s="373"/>
      <c r="P34" s="373"/>
      <c r="Q34" s="373"/>
      <c r="R34" s="373"/>
      <c r="S34" s="373"/>
      <c r="T34" s="373"/>
      <c r="U34" s="373"/>
      <c r="V34" s="373"/>
    </row>
    <row r="35" spans="1:22" ht="18" x14ac:dyDescent="0.55000000000000004">
      <c r="A35" s="373"/>
      <c r="B35" s="373"/>
      <c r="C35" s="375"/>
      <c r="D35" s="375"/>
      <c r="E35" s="375"/>
      <c r="F35" s="376"/>
      <c r="G35" s="376"/>
      <c r="H35" s="376"/>
      <c r="I35" s="376"/>
      <c r="J35" s="373"/>
      <c r="K35" s="373"/>
      <c r="L35" s="373"/>
      <c r="M35" s="373"/>
      <c r="N35" s="373"/>
      <c r="O35" s="373"/>
      <c r="P35" s="373"/>
      <c r="Q35" s="373"/>
      <c r="R35" s="373"/>
      <c r="S35" s="373"/>
      <c r="T35" s="373"/>
      <c r="U35" s="373"/>
      <c r="V35" s="373"/>
    </row>
    <row r="36" spans="1:22" ht="18" x14ac:dyDescent="0.55000000000000004">
      <c r="A36" s="373"/>
      <c r="B36" s="373"/>
      <c r="C36" s="373"/>
      <c r="D36" s="373"/>
      <c r="E36" s="373"/>
      <c r="F36" s="373"/>
      <c r="G36" s="373"/>
      <c r="H36" s="373"/>
      <c r="I36" s="373"/>
      <c r="J36" s="373"/>
      <c r="K36" s="373"/>
      <c r="L36" s="373"/>
      <c r="M36" s="373"/>
      <c r="N36" s="373"/>
      <c r="O36" s="373"/>
      <c r="P36" s="373"/>
      <c r="Q36" s="373"/>
      <c r="R36" s="373"/>
      <c r="S36" s="373"/>
      <c r="T36" s="373"/>
      <c r="U36" s="373"/>
      <c r="V36" s="373"/>
    </row>
    <row r="37" spans="1:22" ht="18" x14ac:dyDescent="0.55000000000000004">
      <c r="A37" s="373"/>
      <c r="B37" s="373"/>
      <c r="C37" s="373"/>
      <c r="D37" s="373"/>
      <c r="E37" s="373"/>
      <c r="F37" s="373"/>
      <c r="G37" s="373"/>
      <c r="H37" s="373"/>
      <c r="I37" s="373"/>
      <c r="J37" s="373"/>
      <c r="K37" s="373"/>
      <c r="L37" s="373"/>
      <c r="M37" s="373"/>
      <c r="N37" s="373"/>
      <c r="O37" s="373"/>
      <c r="P37" s="373"/>
      <c r="Q37" s="373"/>
      <c r="R37" s="373"/>
      <c r="S37" s="373"/>
      <c r="T37" s="373"/>
      <c r="U37" s="373"/>
      <c r="V37" s="373"/>
    </row>
    <row r="38" spans="1:22" ht="18" x14ac:dyDescent="0.55000000000000004">
      <c r="A38" s="373"/>
      <c r="B38" s="373"/>
      <c r="C38" s="373"/>
      <c r="D38" s="373"/>
      <c r="E38" s="373"/>
      <c r="F38" s="373"/>
      <c r="G38" s="373"/>
      <c r="H38" s="373"/>
      <c r="I38" s="373"/>
      <c r="J38" s="373"/>
      <c r="K38" s="373"/>
      <c r="L38" s="373"/>
      <c r="M38" s="373"/>
      <c r="N38" s="373"/>
      <c r="O38" s="373"/>
      <c r="P38" s="373"/>
      <c r="Q38" s="373"/>
      <c r="R38" s="373"/>
      <c r="S38" s="373"/>
      <c r="T38" s="373"/>
      <c r="U38" s="373"/>
      <c r="V38" s="373"/>
    </row>
    <row r="39" spans="1:22" ht="18" x14ac:dyDescent="0.55000000000000004">
      <c r="A39" s="373"/>
      <c r="B39" s="373"/>
      <c r="C39" s="373"/>
      <c r="D39" s="373"/>
      <c r="E39" s="373"/>
      <c r="F39" s="373"/>
      <c r="G39" s="373"/>
      <c r="H39" s="373"/>
      <c r="I39" s="373"/>
      <c r="J39" s="373"/>
      <c r="K39" s="373"/>
      <c r="L39" s="373"/>
      <c r="M39" s="373"/>
      <c r="N39" s="373"/>
      <c r="O39" s="373"/>
      <c r="P39" s="373"/>
      <c r="Q39" s="373"/>
      <c r="R39" s="373"/>
      <c r="S39" s="373"/>
      <c r="T39" s="373"/>
      <c r="U39" s="373"/>
      <c r="V39" s="373"/>
    </row>
    <row r="40" spans="1:22" ht="18" x14ac:dyDescent="0.55000000000000004">
      <c r="A40" s="373"/>
      <c r="B40" s="373"/>
      <c r="C40" s="373"/>
      <c r="D40" s="373"/>
      <c r="E40" s="373"/>
      <c r="F40" s="373"/>
      <c r="G40" s="373"/>
      <c r="H40" s="373"/>
      <c r="I40" s="373"/>
      <c r="J40" s="373"/>
      <c r="K40" s="373"/>
      <c r="L40" s="373"/>
      <c r="M40" s="373"/>
      <c r="N40" s="373"/>
      <c r="O40" s="373"/>
      <c r="P40" s="373"/>
      <c r="Q40" s="373"/>
      <c r="R40" s="373"/>
      <c r="S40" s="373"/>
      <c r="T40" s="373"/>
      <c r="U40" s="373"/>
      <c r="V40" s="373"/>
    </row>
    <row r="41" spans="1:22" ht="18" x14ac:dyDescent="0.55000000000000004">
      <c r="A41" s="373"/>
      <c r="B41" s="373"/>
      <c r="C41" s="373"/>
      <c r="D41" s="373"/>
      <c r="E41" s="373"/>
      <c r="F41" s="373"/>
      <c r="G41" s="373"/>
      <c r="H41" s="373"/>
      <c r="I41" s="373"/>
      <c r="J41" s="373"/>
      <c r="K41" s="373"/>
      <c r="L41" s="373"/>
      <c r="M41" s="373"/>
      <c r="N41" s="373"/>
      <c r="O41" s="373"/>
      <c r="P41" s="373"/>
      <c r="Q41" s="373"/>
      <c r="R41" s="373"/>
      <c r="S41" s="373"/>
      <c r="T41" s="373"/>
      <c r="U41" s="373"/>
      <c r="V41" s="373"/>
    </row>
    <row r="42" spans="1:22" ht="18" x14ac:dyDescent="0.55000000000000004">
      <c r="A42" s="373"/>
      <c r="B42" s="373"/>
      <c r="C42" s="373"/>
      <c r="D42" s="373"/>
      <c r="E42" s="373"/>
      <c r="F42" s="373"/>
      <c r="G42" s="373"/>
      <c r="H42" s="373"/>
      <c r="I42" s="373"/>
      <c r="J42" s="373"/>
      <c r="K42" s="373"/>
      <c r="L42" s="373"/>
      <c r="M42" s="373"/>
      <c r="N42" s="373"/>
      <c r="O42" s="373"/>
      <c r="P42" s="373"/>
      <c r="Q42" s="373"/>
      <c r="R42" s="373"/>
      <c r="S42" s="373"/>
      <c r="T42" s="373"/>
      <c r="U42" s="373"/>
      <c r="V42" s="373"/>
    </row>
    <row r="43" spans="1:22" ht="18" x14ac:dyDescent="0.55000000000000004">
      <c r="A43" s="373"/>
      <c r="B43" s="373"/>
      <c r="C43" s="373"/>
      <c r="D43" s="373"/>
      <c r="E43" s="373"/>
      <c r="F43" s="373"/>
      <c r="G43" s="373"/>
      <c r="H43" s="373"/>
      <c r="I43" s="373"/>
      <c r="J43" s="373"/>
      <c r="K43" s="373"/>
      <c r="L43" s="373"/>
      <c r="M43" s="373"/>
      <c r="N43" s="373"/>
      <c r="O43" s="373"/>
      <c r="P43" s="373"/>
      <c r="Q43" s="373"/>
      <c r="R43" s="373"/>
      <c r="S43" s="373"/>
      <c r="T43" s="373"/>
      <c r="U43" s="373"/>
      <c r="V43" s="373"/>
    </row>
    <row r="44" spans="1:22" ht="18" x14ac:dyDescent="0.55000000000000004">
      <c r="A44" s="373"/>
      <c r="B44" s="373"/>
      <c r="C44" s="373"/>
      <c r="D44" s="373"/>
      <c r="E44" s="373"/>
      <c r="F44" s="373"/>
      <c r="G44" s="373"/>
      <c r="H44" s="373"/>
      <c r="I44" s="373"/>
      <c r="J44" s="373"/>
      <c r="K44" s="373"/>
      <c r="L44" s="373"/>
      <c r="M44" s="373"/>
      <c r="N44" s="373"/>
      <c r="O44" s="373"/>
      <c r="P44" s="373"/>
      <c r="Q44" s="373"/>
      <c r="R44" s="373"/>
      <c r="S44" s="373"/>
      <c r="T44" s="373"/>
      <c r="U44" s="373"/>
      <c r="V44" s="373"/>
    </row>
    <row r="45" spans="1:22" ht="18" x14ac:dyDescent="0.55000000000000004">
      <c r="A45" s="373"/>
      <c r="B45" s="373"/>
      <c r="C45" s="373"/>
      <c r="D45" s="373"/>
      <c r="E45" s="373"/>
      <c r="F45" s="373"/>
      <c r="G45" s="373"/>
      <c r="H45" s="373"/>
      <c r="I45" s="373"/>
      <c r="J45" s="373"/>
      <c r="K45" s="373"/>
      <c r="L45" s="373"/>
      <c r="M45" s="373"/>
      <c r="N45" s="373"/>
      <c r="O45" s="373"/>
      <c r="P45" s="373"/>
      <c r="Q45" s="373"/>
      <c r="R45" s="373"/>
      <c r="S45" s="373"/>
      <c r="T45" s="373"/>
      <c r="U45" s="373"/>
      <c r="V45" s="373"/>
    </row>
    <row r="46" spans="1:22" ht="18" x14ac:dyDescent="0.55000000000000004">
      <c r="A46" s="373"/>
      <c r="B46" s="373"/>
      <c r="C46" s="373"/>
      <c r="D46" s="373"/>
      <c r="E46" s="373"/>
      <c r="F46" s="373"/>
      <c r="G46" s="373"/>
      <c r="H46" s="373"/>
      <c r="I46" s="373"/>
      <c r="J46" s="373"/>
      <c r="K46" s="373"/>
      <c r="L46" s="373"/>
      <c r="M46" s="373"/>
      <c r="N46" s="373"/>
      <c r="O46" s="373"/>
      <c r="P46" s="373"/>
      <c r="Q46" s="373"/>
      <c r="R46" s="373"/>
      <c r="S46" s="373"/>
      <c r="T46" s="373"/>
      <c r="U46" s="373"/>
      <c r="V46" s="373"/>
    </row>
    <row r="47" spans="1:22" ht="18" x14ac:dyDescent="0.55000000000000004">
      <c r="A47" s="373"/>
      <c r="B47" s="373"/>
      <c r="C47" s="373"/>
      <c r="D47" s="373"/>
      <c r="E47" s="373"/>
      <c r="F47" s="373"/>
      <c r="G47" s="373"/>
      <c r="H47" s="373"/>
      <c r="I47" s="373"/>
      <c r="J47" s="373"/>
      <c r="K47" s="373"/>
      <c r="L47" s="373"/>
      <c r="M47" s="373"/>
      <c r="N47" s="373"/>
      <c r="O47" s="373"/>
      <c r="P47" s="373"/>
      <c r="Q47" s="373"/>
      <c r="R47" s="373"/>
      <c r="S47" s="373"/>
      <c r="T47" s="373"/>
      <c r="U47" s="373"/>
      <c r="V47" s="373"/>
    </row>
    <row r="48" spans="1:22" ht="18" x14ac:dyDescent="0.55000000000000004">
      <c r="A48" s="373"/>
      <c r="B48" s="373"/>
      <c r="C48" s="373"/>
      <c r="D48" s="373"/>
      <c r="E48" s="373"/>
      <c r="F48" s="373"/>
      <c r="G48" s="373"/>
      <c r="H48" s="373"/>
      <c r="I48" s="373"/>
      <c r="J48" s="373"/>
      <c r="K48" s="373"/>
      <c r="L48" s="373"/>
      <c r="M48" s="373"/>
      <c r="N48" s="373"/>
      <c r="O48" s="373"/>
      <c r="P48" s="373"/>
      <c r="Q48" s="373"/>
      <c r="R48" s="373"/>
      <c r="S48" s="373"/>
      <c r="T48" s="373"/>
      <c r="U48" s="373"/>
      <c r="V48" s="373"/>
    </row>
    <row r="49" spans="1:22" ht="18" x14ac:dyDescent="0.55000000000000004">
      <c r="A49" s="373"/>
      <c r="B49" s="373"/>
      <c r="C49" s="373"/>
      <c r="D49" s="373"/>
      <c r="E49" s="373"/>
      <c r="F49" s="373"/>
      <c r="G49" s="373"/>
      <c r="H49" s="373"/>
      <c r="I49" s="373"/>
      <c r="J49" s="373"/>
      <c r="K49" s="373"/>
      <c r="L49" s="373"/>
      <c r="M49" s="373"/>
      <c r="N49" s="373"/>
      <c r="O49" s="373"/>
      <c r="P49" s="373"/>
      <c r="Q49" s="373"/>
      <c r="R49" s="373"/>
      <c r="S49" s="373"/>
      <c r="T49" s="373"/>
      <c r="U49" s="373"/>
      <c r="V49" s="373"/>
    </row>
    <row r="50" spans="1:22" ht="18" x14ac:dyDescent="0.55000000000000004">
      <c r="A50" s="373"/>
      <c r="B50" s="373"/>
      <c r="C50" s="373"/>
      <c r="D50" s="373"/>
      <c r="E50" s="373"/>
      <c r="F50" s="373"/>
      <c r="G50" s="373"/>
      <c r="H50" s="373"/>
      <c r="I50" s="373"/>
      <c r="J50" s="373"/>
      <c r="K50" s="373"/>
      <c r="L50" s="373"/>
      <c r="M50" s="373"/>
      <c r="N50" s="373"/>
      <c r="O50" s="373"/>
      <c r="P50" s="373"/>
      <c r="Q50" s="373"/>
      <c r="R50" s="373"/>
      <c r="S50" s="373"/>
      <c r="T50" s="373"/>
      <c r="U50" s="373"/>
      <c r="V50" s="373"/>
    </row>
    <row r="51" spans="1:22" ht="18" x14ac:dyDescent="0.55000000000000004">
      <c r="A51" s="373"/>
      <c r="B51" s="373"/>
      <c r="C51" s="373"/>
      <c r="D51" s="373"/>
      <c r="E51" s="373"/>
      <c r="F51" s="373"/>
      <c r="G51" s="373"/>
      <c r="H51" s="373"/>
      <c r="I51" s="373"/>
      <c r="J51" s="373"/>
      <c r="K51" s="373"/>
      <c r="L51" s="373"/>
      <c r="M51" s="373"/>
      <c r="N51" s="373"/>
      <c r="O51" s="373"/>
      <c r="P51" s="373"/>
      <c r="Q51" s="373"/>
      <c r="R51" s="373"/>
      <c r="S51" s="373"/>
      <c r="T51" s="373"/>
      <c r="U51" s="373"/>
      <c r="V51" s="373"/>
    </row>
    <row r="52" spans="1:22" ht="18" x14ac:dyDescent="0.55000000000000004">
      <c r="A52" s="373"/>
      <c r="B52" s="373"/>
      <c r="C52" s="373"/>
      <c r="D52" s="373"/>
      <c r="E52" s="373"/>
      <c r="F52" s="373"/>
      <c r="G52" s="373"/>
      <c r="H52" s="373"/>
      <c r="I52" s="373"/>
      <c r="J52" s="373"/>
      <c r="K52" s="373"/>
      <c r="L52" s="373"/>
      <c r="M52" s="373"/>
      <c r="N52" s="373"/>
      <c r="O52" s="373"/>
      <c r="P52" s="373"/>
      <c r="Q52" s="373"/>
      <c r="R52" s="373"/>
      <c r="S52" s="373"/>
      <c r="T52" s="373"/>
      <c r="U52" s="373"/>
      <c r="V52" s="373"/>
    </row>
    <row r="53" spans="1:22" ht="18" x14ac:dyDescent="0.55000000000000004">
      <c r="A53" s="373"/>
      <c r="B53" s="373"/>
      <c r="C53" s="373"/>
      <c r="D53" s="373"/>
      <c r="E53" s="373"/>
      <c r="F53" s="373"/>
      <c r="G53" s="373"/>
      <c r="H53" s="373"/>
      <c r="I53" s="373"/>
      <c r="J53" s="373"/>
      <c r="K53" s="373"/>
      <c r="L53" s="373"/>
      <c r="M53" s="373"/>
      <c r="N53" s="373"/>
      <c r="O53" s="373"/>
      <c r="P53" s="373"/>
      <c r="Q53" s="373"/>
      <c r="R53" s="373"/>
      <c r="S53" s="373"/>
      <c r="T53" s="373"/>
      <c r="U53" s="373"/>
      <c r="V53" s="373"/>
    </row>
    <row r="54" spans="1:22" ht="18" x14ac:dyDescent="0.55000000000000004">
      <c r="A54" s="373"/>
      <c r="B54" s="373"/>
      <c r="C54" s="373"/>
      <c r="D54" s="373"/>
      <c r="E54" s="373"/>
      <c r="F54" s="373"/>
      <c r="G54" s="373"/>
      <c r="H54" s="373"/>
      <c r="I54" s="373"/>
      <c r="J54" s="373"/>
      <c r="K54" s="373"/>
      <c r="L54" s="373"/>
      <c r="M54" s="373"/>
      <c r="N54" s="373"/>
      <c r="O54" s="373"/>
      <c r="P54" s="373"/>
      <c r="Q54" s="373"/>
      <c r="R54" s="373"/>
      <c r="S54" s="373"/>
      <c r="T54" s="373"/>
      <c r="U54" s="373"/>
      <c r="V54" s="373"/>
    </row>
    <row r="55" spans="1:22" ht="18" x14ac:dyDescent="0.55000000000000004">
      <c r="A55" s="373"/>
      <c r="B55" s="373"/>
      <c r="C55" s="373"/>
      <c r="D55" s="373"/>
      <c r="E55" s="373"/>
      <c r="F55" s="373"/>
      <c r="G55" s="373"/>
      <c r="H55" s="373"/>
      <c r="I55" s="373"/>
      <c r="J55" s="373"/>
      <c r="K55" s="373"/>
      <c r="L55" s="373"/>
      <c r="M55" s="373"/>
      <c r="N55" s="373"/>
      <c r="O55" s="373"/>
      <c r="P55" s="373"/>
      <c r="Q55" s="373"/>
      <c r="R55" s="373"/>
      <c r="S55" s="373"/>
      <c r="T55" s="373"/>
      <c r="U55" s="373"/>
      <c r="V55" s="373"/>
    </row>
    <row r="56" spans="1:22" ht="18" x14ac:dyDescent="0.55000000000000004">
      <c r="A56" s="373"/>
      <c r="B56" s="373"/>
      <c r="C56" s="373"/>
      <c r="D56" s="373"/>
      <c r="E56" s="373"/>
      <c r="F56" s="373"/>
      <c r="G56" s="373"/>
      <c r="H56" s="373"/>
      <c r="I56" s="373"/>
      <c r="J56" s="373"/>
      <c r="K56" s="373"/>
      <c r="L56" s="373"/>
      <c r="M56" s="373"/>
      <c r="N56" s="373"/>
      <c r="O56" s="373"/>
      <c r="P56" s="373"/>
      <c r="Q56" s="373"/>
      <c r="R56" s="373"/>
      <c r="S56" s="373"/>
      <c r="T56" s="373"/>
      <c r="U56" s="373"/>
      <c r="V56" s="373"/>
    </row>
    <row r="57" spans="1:22" ht="18" x14ac:dyDescent="0.55000000000000004">
      <c r="A57" s="373"/>
      <c r="B57" s="373"/>
      <c r="C57" s="373"/>
      <c r="D57" s="373"/>
      <c r="E57" s="373"/>
      <c r="F57" s="373"/>
      <c r="G57" s="373"/>
      <c r="H57" s="373"/>
      <c r="I57" s="373"/>
      <c r="J57" s="373"/>
      <c r="K57" s="373"/>
      <c r="L57" s="373"/>
      <c r="M57" s="373"/>
      <c r="N57" s="373"/>
      <c r="O57" s="373"/>
      <c r="P57" s="373"/>
      <c r="Q57" s="373"/>
      <c r="R57" s="373"/>
      <c r="S57" s="373"/>
      <c r="T57" s="373"/>
      <c r="U57" s="373"/>
      <c r="V57" s="373"/>
    </row>
    <row r="58" spans="1:22" ht="18" x14ac:dyDescent="0.55000000000000004">
      <c r="A58" s="373"/>
      <c r="B58" s="373"/>
      <c r="C58" s="373"/>
      <c r="D58" s="373"/>
      <c r="E58" s="373"/>
      <c r="F58" s="373"/>
      <c r="G58" s="373"/>
      <c r="H58" s="373"/>
      <c r="I58" s="373"/>
      <c r="J58" s="373"/>
      <c r="K58" s="373"/>
      <c r="L58" s="373"/>
      <c r="M58" s="373"/>
      <c r="N58" s="373"/>
      <c r="O58" s="373"/>
      <c r="P58" s="373"/>
      <c r="Q58" s="373"/>
      <c r="R58" s="373"/>
      <c r="S58" s="373"/>
      <c r="T58" s="373"/>
      <c r="U58" s="373"/>
      <c r="V58" s="373"/>
    </row>
    <row r="59" spans="1:22" ht="18" x14ac:dyDescent="0.55000000000000004">
      <c r="A59" s="373"/>
      <c r="B59" s="373"/>
      <c r="C59" s="373"/>
      <c r="D59" s="373"/>
      <c r="E59" s="373"/>
      <c r="F59" s="373"/>
      <c r="G59" s="373"/>
      <c r="H59" s="373"/>
      <c r="I59" s="373"/>
      <c r="J59" s="373"/>
      <c r="K59" s="373"/>
      <c r="L59" s="373"/>
      <c r="M59" s="373"/>
      <c r="N59" s="373"/>
      <c r="O59" s="373"/>
      <c r="P59" s="373"/>
      <c r="Q59" s="373"/>
      <c r="R59" s="373"/>
      <c r="S59" s="373"/>
      <c r="T59" s="373"/>
      <c r="U59" s="373"/>
      <c r="V59" s="373"/>
    </row>
    <row r="60" spans="1:22" ht="18" x14ac:dyDescent="0.55000000000000004">
      <c r="A60" s="373"/>
      <c r="B60" s="373"/>
      <c r="C60" s="373"/>
      <c r="D60" s="373"/>
      <c r="E60" s="373"/>
      <c r="F60" s="373"/>
      <c r="G60" s="373"/>
      <c r="H60" s="373"/>
      <c r="I60" s="373"/>
      <c r="J60" s="373"/>
      <c r="K60" s="373"/>
      <c r="L60" s="373"/>
      <c r="M60" s="373"/>
      <c r="N60" s="373"/>
      <c r="O60" s="373"/>
      <c r="P60" s="373"/>
      <c r="Q60" s="373"/>
      <c r="R60" s="373"/>
      <c r="S60" s="373"/>
      <c r="T60" s="373"/>
      <c r="U60" s="373"/>
      <c r="V60" s="373"/>
    </row>
    <row r="61" spans="1:22" ht="18" x14ac:dyDescent="0.55000000000000004">
      <c r="A61" s="373"/>
      <c r="B61" s="373"/>
      <c r="C61" s="373"/>
      <c r="D61" s="373"/>
      <c r="E61" s="373"/>
      <c r="F61" s="373"/>
      <c r="G61" s="373"/>
      <c r="H61" s="373"/>
      <c r="I61" s="373"/>
      <c r="J61" s="373"/>
      <c r="K61" s="373"/>
      <c r="L61" s="373"/>
      <c r="M61" s="373"/>
      <c r="N61" s="373"/>
      <c r="O61" s="373"/>
      <c r="P61" s="373"/>
      <c r="Q61" s="373"/>
      <c r="R61" s="373"/>
      <c r="S61" s="373"/>
      <c r="T61" s="373"/>
      <c r="U61" s="373"/>
      <c r="V61" s="373"/>
    </row>
    <row r="62" spans="1:22" ht="18" x14ac:dyDescent="0.55000000000000004">
      <c r="A62" s="373"/>
      <c r="B62" s="373"/>
      <c r="C62" s="373"/>
      <c r="D62" s="373"/>
      <c r="E62" s="373"/>
      <c r="F62" s="373"/>
      <c r="G62" s="373"/>
      <c r="H62" s="373"/>
      <c r="I62" s="373"/>
      <c r="J62" s="373"/>
      <c r="K62" s="373"/>
      <c r="L62" s="373"/>
      <c r="M62" s="373"/>
      <c r="N62" s="373"/>
      <c r="O62" s="373"/>
      <c r="P62" s="373"/>
      <c r="Q62" s="373"/>
      <c r="R62" s="373"/>
      <c r="S62" s="373"/>
      <c r="T62" s="373"/>
      <c r="U62" s="373"/>
      <c r="V62" s="373"/>
    </row>
    <row r="63" spans="1:22" ht="18" x14ac:dyDescent="0.55000000000000004">
      <c r="A63" s="373"/>
      <c r="B63" s="373"/>
      <c r="C63" s="373"/>
      <c r="D63" s="373"/>
      <c r="E63" s="373"/>
      <c r="F63" s="373"/>
      <c r="G63" s="373"/>
      <c r="H63" s="373"/>
      <c r="I63" s="373"/>
      <c r="J63" s="373"/>
      <c r="K63" s="373"/>
      <c r="L63" s="373"/>
      <c r="M63" s="373"/>
      <c r="N63" s="373"/>
      <c r="O63" s="373"/>
      <c r="P63" s="373"/>
      <c r="Q63" s="373"/>
      <c r="R63" s="373"/>
      <c r="S63" s="373"/>
      <c r="T63" s="373"/>
      <c r="U63" s="373"/>
      <c r="V63" s="373"/>
    </row>
    <row r="64" spans="1:22" ht="18" x14ac:dyDescent="0.55000000000000004">
      <c r="A64" s="373"/>
      <c r="B64" s="373"/>
      <c r="C64" s="373"/>
      <c r="D64" s="373"/>
      <c r="E64" s="373"/>
      <c r="F64" s="373"/>
      <c r="G64" s="373"/>
      <c r="H64" s="373"/>
      <c r="I64" s="373"/>
      <c r="J64" s="373"/>
      <c r="K64" s="373"/>
      <c r="L64" s="373"/>
      <c r="M64" s="373"/>
      <c r="N64" s="373"/>
      <c r="O64" s="373"/>
      <c r="P64" s="373"/>
      <c r="Q64" s="373"/>
      <c r="R64" s="373"/>
      <c r="S64" s="373"/>
      <c r="T64" s="373"/>
      <c r="U64" s="373"/>
      <c r="V64" s="373"/>
    </row>
    <row r="65" spans="1:22" ht="18" x14ac:dyDescent="0.55000000000000004">
      <c r="A65" s="373"/>
      <c r="B65" s="373"/>
      <c r="C65" s="373"/>
      <c r="D65" s="373"/>
      <c r="E65" s="373"/>
      <c r="F65" s="373"/>
      <c r="G65" s="373"/>
      <c r="H65" s="373"/>
      <c r="I65" s="373"/>
      <c r="J65" s="373"/>
      <c r="K65" s="373"/>
      <c r="L65" s="373"/>
      <c r="M65" s="373"/>
      <c r="N65" s="373"/>
      <c r="O65" s="373"/>
      <c r="P65" s="373"/>
      <c r="Q65" s="373"/>
      <c r="R65" s="373"/>
      <c r="S65" s="373"/>
      <c r="T65" s="373"/>
      <c r="U65" s="373"/>
      <c r="V65" s="373"/>
    </row>
    <row r="66" spans="1:22" ht="18" x14ac:dyDescent="0.55000000000000004">
      <c r="A66" s="373"/>
      <c r="B66" s="373"/>
      <c r="C66" s="373"/>
      <c r="D66" s="373"/>
      <c r="E66" s="373"/>
      <c r="F66" s="373"/>
      <c r="G66" s="373"/>
      <c r="H66" s="373"/>
      <c r="I66" s="373"/>
      <c r="J66" s="373"/>
      <c r="K66" s="373"/>
      <c r="L66" s="373"/>
      <c r="M66" s="373"/>
      <c r="N66" s="373"/>
      <c r="O66" s="373"/>
      <c r="P66" s="373"/>
      <c r="Q66" s="373"/>
      <c r="R66" s="373"/>
      <c r="S66" s="373"/>
      <c r="T66" s="373"/>
      <c r="U66" s="373"/>
      <c r="V66" s="373"/>
    </row>
    <row r="67" spans="1:22" ht="18" x14ac:dyDescent="0.55000000000000004">
      <c r="A67" s="373"/>
      <c r="B67" s="373"/>
      <c r="C67" s="373"/>
      <c r="D67" s="373"/>
      <c r="E67" s="373"/>
      <c r="F67" s="373"/>
      <c r="G67" s="373"/>
      <c r="H67" s="373"/>
      <c r="I67" s="373"/>
      <c r="J67" s="373"/>
      <c r="K67" s="373"/>
      <c r="L67" s="373"/>
      <c r="M67" s="373"/>
      <c r="N67" s="373"/>
      <c r="O67" s="373"/>
      <c r="P67" s="373"/>
      <c r="Q67" s="373"/>
      <c r="R67" s="373"/>
      <c r="S67" s="373"/>
      <c r="T67" s="373"/>
      <c r="U67" s="373"/>
      <c r="V67" s="373"/>
    </row>
    <row r="68" spans="1:22" ht="18" x14ac:dyDescent="0.55000000000000004">
      <c r="A68" s="373"/>
      <c r="B68" s="373"/>
      <c r="C68" s="373"/>
      <c r="D68" s="373"/>
      <c r="E68" s="373"/>
      <c r="F68" s="373"/>
      <c r="G68" s="373"/>
      <c r="H68" s="373"/>
      <c r="I68" s="373"/>
      <c r="J68" s="373"/>
      <c r="K68" s="373"/>
      <c r="L68" s="373"/>
      <c r="M68" s="373"/>
      <c r="N68" s="373"/>
      <c r="O68" s="373"/>
      <c r="P68" s="373"/>
      <c r="Q68" s="373"/>
      <c r="R68" s="373"/>
      <c r="S68" s="373"/>
      <c r="T68" s="373"/>
      <c r="U68" s="373"/>
      <c r="V68" s="373"/>
    </row>
    <row r="69" spans="1:22" ht="18" x14ac:dyDescent="0.55000000000000004">
      <c r="A69" s="373"/>
      <c r="B69" s="373"/>
      <c r="C69" s="373"/>
      <c r="D69" s="373"/>
      <c r="E69" s="373"/>
      <c r="F69" s="373"/>
      <c r="G69" s="373"/>
      <c r="H69" s="373"/>
      <c r="I69" s="373"/>
      <c r="J69" s="373"/>
      <c r="K69" s="373"/>
      <c r="L69" s="373"/>
      <c r="M69" s="373"/>
      <c r="N69" s="373"/>
      <c r="O69" s="373"/>
      <c r="P69" s="373"/>
      <c r="Q69" s="373"/>
      <c r="R69" s="373"/>
      <c r="S69" s="373"/>
      <c r="T69" s="373"/>
      <c r="U69" s="373"/>
      <c r="V69" s="373"/>
    </row>
    <row r="70" spans="1:22" ht="18" x14ac:dyDescent="0.55000000000000004">
      <c r="A70" s="373"/>
      <c r="B70" s="373"/>
      <c r="C70" s="373"/>
      <c r="D70" s="373"/>
      <c r="E70" s="373"/>
      <c r="F70" s="373"/>
      <c r="G70" s="373"/>
      <c r="H70" s="373"/>
      <c r="I70" s="373"/>
      <c r="J70" s="373"/>
      <c r="K70" s="373"/>
      <c r="L70" s="373"/>
      <c r="M70" s="373"/>
      <c r="N70" s="373"/>
      <c r="O70" s="373"/>
      <c r="P70" s="373"/>
      <c r="Q70" s="373"/>
      <c r="R70" s="373"/>
      <c r="S70" s="373"/>
      <c r="T70" s="373"/>
      <c r="U70" s="373"/>
      <c r="V70" s="373"/>
    </row>
    <row r="71" spans="1:22" ht="18" x14ac:dyDescent="0.55000000000000004">
      <c r="A71" s="373"/>
      <c r="B71" s="373"/>
      <c r="C71" s="373"/>
      <c r="D71" s="373"/>
      <c r="E71" s="373"/>
      <c r="F71" s="373"/>
      <c r="G71" s="373"/>
      <c r="H71" s="373"/>
      <c r="I71" s="373"/>
      <c r="J71" s="373"/>
      <c r="K71" s="373"/>
      <c r="L71" s="373"/>
      <c r="M71" s="373"/>
      <c r="N71" s="373"/>
      <c r="O71" s="373"/>
      <c r="P71" s="373"/>
      <c r="Q71" s="373"/>
      <c r="R71" s="373"/>
      <c r="S71" s="373"/>
      <c r="T71" s="373"/>
      <c r="U71" s="373"/>
      <c r="V71" s="373"/>
    </row>
    <row r="72" spans="1:22" ht="18" x14ac:dyDescent="0.55000000000000004">
      <c r="A72" s="373"/>
      <c r="B72" s="373"/>
      <c r="C72" s="373"/>
      <c r="D72" s="373"/>
      <c r="E72" s="373"/>
      <c r="F72" s="373"/>
      <c r="G72" s="373"/>
      <c r="H72" s="373"/>
      <c r="I72" s="373"/>
      <c r="J72" s="373"/>
      <c r="K72" s="373"/>
      <c r="L72" s="373"/>
      <c r="M72" s="373"/>
      <c r="N72" s="373"/>
      <c r="O72" s="373"/>
      <c r="P72" s="373"/>
      <c r="Q72" s="373"/>
      <c r="R72" s="373"/>
      <c r="S72" s="373"/>
      <c r="T72" s="373"/>
      <c r="U72" s="373"/>
      <c r="V72" s="373"/>
    </row>
    <row r="73" spans="1:22" ht="18" x14ac:dyDescent="0.55000000000000004">
      <c r="A73" s="373"/>
      <c r="B73" s="373"/>
      <c r="C73" s="373"/>
      <c r="D73" s="373"/>
      <c r="E73" s="373"/>
      <c r="F73" s="373"/>
      <c r="G73" s="373"/>
      <c r="H73" s="373"/>
      <c r="I73" s="373"/>
      <c r="J73" s="373"/>
      <c r="K73" s="373"/>
      <c r="L73" s="373"/>
      <c r="M73" s="373"/>
      <c r="N73" s="373"/>
      <c r="O73" s="373"/>
      <c r="P73" s="373"/>
      <c r="Q73" s="373"/>
      <c r="R73" s="373"/>
      <c r="S73" s="373"/>
      <c r="T73" s="373"/>
      <c r="U73" s="373"/>
      <c r="V73" s="373"/>
    </row>
    <row r="74" spans="1:22" ht="18" x14ac:dyDescent="0.55000000000000004">
      <c r="A74" s="373"/>
      <c r="B74" s="373"/>
      <c r="C74" s="373"/>
      <c r="D74" s="373"/>
      <c r="E74" s="373"/>
      <c r="F74" s="373"/>
      <c r="G74" s="373"/>
      <c r="H74" s="373"/>
      <c r="I74" s="373"/>
      <c r="J74" s="373"/>
      <c r="K74" s="373"/>
      <c r="L74" s="373"/>
      <c r="M74" s="373"/>
      <c r="N74" s="373"/>
      <c r="O74" s="373"/>
      <c r="P74" s="373"/>
      <c r="Q74" s="373"/>
      <c r="R74" s="373"/>
      <c r="S74" s="373"/>
      <c r="T74" s="373"/>
      <c r="U74" s="373"/>
      <c r="V74" s="373"/>
    </row>
    <row r="75" spans="1:22" ht="18" x14ac:dyDescent="0.55000000000000004">
      <c r="A75" s="373"/>
      <c r="B75" s="373"/>
      <c r="C75" s="373"/>
      <c r="D75" s="373"/>
      <c r="E75" s="373"/>
      <c r="F75" s="373"/>
      <c r="G75" s="373"/>
      <c r="H75" s="373"/>
      <c r="I75" s="373"/>
      <c r="J75" s="373"/>
      <c r="K75" s="373"/>
      <c r="L75" s="373"/>
      <c r="M75" s="373"/>
      <c r="N75" s="373"/>
      <c r="O75" s="373"/>
      <c r="P75" s="373"/>
      <c r="Q75" s="373"/>
      <c r="R75" s="373"/>
      <c r="S75" s="373"/>
      <c r="T75" s="373"/>
      <c r="U75" s="373"/>
      <c r="V75" s="373"/>
    </row>
    <row r="76" spans="1:22" ht="18" x14ac:dyDescent="0.55000000000000004">
      <c r="A76" s="373"/>
      <c r="B76" s="373"/>
      <c r="C76" s="373"/>
      <c r="D76" s="373"/>
      <c r="E76" s="373"/>
      <c r="F76" s="373"/>
      <c r="G76" s="373"/>
      <c r="H76" s="373"/>
      <c r="I76" s="373"/>
      <c r="J76" s="373"/>
      <c r="K76" s="373"/>
      <c r="L76" s="373"/>
      <c r="M76" s="373"/>
      <c r="N76" s="373"/>
      <c r="O76" s="373"/>
      <c r="P76" s="373"/>
      <c r="Q76" s="373"/>
      <c r="R76" s="373"/>
      <c r="S76" s="373"/>
      <c r="T76" s="373"/>
      <c r="U76" s="373"/>
      <c r="V76" s="373"/>
    </row>
    <row r="77" spans="1:22" ht="18" x14ac:dyDescent="0.55000000000000004">
      <c r="A77" s="373"/>
      <c r="B77" s="373"/>
      <c r="C77" s="373"/>
      <c r="D77" s="373"/>
      <c r="E77" s="373"/>
      <c r="F77" s="373"/>
      <c r="G77" s="373"/>
      <c r="H77" s="373"/>
      <c r="I77" s="373"/>
      <c r="J77" s="373"/>
      <c r="K77" s="373"/>
      <c r="L77" s="373"/>
      <c r="M77" s="373"/>
      <c r="N77" s="373"/>
      <c r="O77" s="373"/>
      <c r="P77" s="373"/>
      <c r="Q77" s="373"/>
      <c r="R77" s="373"/>
      <c r="S77" s="373"/>
      <c r="T77" s="373"/>
      <c r="U77" s="373"/>
      <c r="V77" s="373"/>
    </row>
    <row r="78" spans="1:22" ht="18" x14ac:dyDescent="0.55000000000000004">
      <c r="A78" s="373"/>
      <c r="B78" s="373"/>
      <c r="C78" s="373"/>
      <c r="D78" s="373"/>
      <c r="E78" s="373"/>
      <c r="F78" s="373"/>
      <c r="G78" s="373"/>
      <c r="H78" s="373"/>
      <c r="I78" s="373"/>
      <c r="J78" s="373"/>
      <c r="K78" s="373"/>
      <c r="L78" s="373"/>
      <c r="M78" s="373"/>
      <c r="N78" s="373"/>
      <c r="O78" s="373"/>
      <c r="P78" s="373"/>
      <c r="Q78" s="373"/>
      <c r="R78" s="373"/>
      <c r="S78" s="373"/>
      <c r="T78" s="373"/>
      <c r="U78" s="373"/>
      <c r="V78" s="373"/>
    </row>
    <row r="79" spans="1:22" ht="18" x14ac:dyDescent="0.55000000000000004">
      <c r="A79" s="373"/>
      <c r="B79" s="373"/>
      <c r="C79" s="373"/>
      <c r="D79" s="373"/>
      <c r="E79" s="373"/>
      <c r="F79" s="373"/>
      <c r="G79" s="373"/>
      <c r="H79" s="373"/>
      <c r="I79" s="373"/>
      <c r="J79" s="373"/>
      <c r="K79" s="373"/>
      <c r="L79" s="373"/>
      <c r="M79" s="373"/>
      <c r="N79" s="373"/>
      <c r="O79" s="373"/>
      <c r="P79" s="373"/>
      <c r="Q79" s="373"/>
      <c r="R79" s="373"/>
      <c r="S79" s="373"/>
      <c r="T79" s="373"/>
      <c r="U79" s="373"/>
      <c r="V79" s="373"/>
    </row>
    <row r="80" spans="1:22" ht="18" x14ac:dyDescent="0.55000000000000004">
      <c r="A80" s="373"/>
      <c r="B80" s="373"/>
      <c r="C80" s="373"/>
      <c r="D80" s="373"/>
      <c r="E80" s="373"/>
      <c r="F80" s="373"/>
      <c r="G80" s="373"/>
      <c r="H80" s="373"/>
      <c r="I80" s="373"/>
      <c r="J80" s="373"/>
      <c r="K80" s="373"/>
      <c r="L80" s="373"/>
      <c r="M80" s="373"/>
      <c r="N80" s="373"/>
      <c r="O80" s="373"/>
      <c r="P80" s="373"/>
      <c r="Q80" s="373"/>
      <c r="R80" s="373"/>
      <c r="S80" s="373"/>
      <c r="T80" s="373"/>
      <c r="U80" s="373"/>
      <c r="V80" s="373"/>
    </row>
    <row r="81" spans="1:22" ht="18" x14ac:dyDescent="0.55000000000000004">
      <c r="A81" s="373"/>
      <c r="B81" s="373"/>
      <c r="C81" s="373"/>
      <c r="D81" s="373"/>
      <c r="E81" s="373"/>
      <c r="F81" s="373"/>
      <c r="G81" s="373"/>
      <c r="H81" s="373"/>
      <c r="I81" s="373"/>
      <c r="J81" s="373"/>
      <c r="K81" s="373"/>
      <c r="L81" s="373"/>
      <c r="M81" s="373"/>
      <c r="N81" s="373"/>
      <c r="O81" s="373"/>
      <c r="P81" s="373"/>
      <c r="Q81" s="373"/>
      <c r="R81" s="373"/>
      <c r="S81" s="373"/>
      <c r="T81" s="373"/>
      <c r="U81" s="373"/>
      <c r="V81" s="373"/>
    </row>
    <row r="82" spans="1:22" ht="18" x14ac:dyDescent="0.55000000000000004">
      <c r="A82" s="373"/>
      <c r="B82" s="373"/>
      <c r="C82" s="373"/>
      <c r="D82" s="373"/>
      <c r="E82" s="373"/>
      <c r="F82" s="373"/>
      <c r="G82" s="373"/>
      <c r="H82" s="373"/>
      <c r="I82" s="373"/>
      <c r="J82" s="373"/>
      <c r="K82" s="373"/>
      <c r="L82" s="373"/>
      <c r="M82" s="373"/>
      <c r="N82" s="373"/>
      <c r="O82" s="373"/>
      <c r="P82" s="373"/>
      <c r="Q82" s="373"/>
      <c r="R82" s="373"/>
      <c r="S82" s="373"/>
      <c r="T82" s="373"/>
      <c r="U82" s="373"/>
      <c r="V82" s="373"/>
    </row>
    <row r="83" spans="1:22" ht="18" x14ac:dyDescent="0.55000000000000004">
      <c r="A83" s="373"/>
      <c r="B83" s="373"/>
      <c r="C83" s="373"/>
      <c r="D83" s="373"/>
      <c r="E83" s="373"/>
      <c r="F83" s="373"/>
      <c r="G83" s="373"/>
      <c r="H83" s="373"/>
      <c r="I83" s="373"/>
      <c r="J83" s="373"/>
      <c r="K83" s="373"/>
      <c r="L83" s="373"/>
      <c r="M83" s="373"/>
      <c r="N83" s="373"/>
      <c r="O83" s="373"/>
      <c r="P83" s="373"/>
      <c r="Q83" s="373"/>
      <c r="R83" s="373"/>
      <c r="S83" s="373"/>
      <c r="T83" s="373"/>
      <c r="U83" s="373"/>
      <c r="V83" s="373"/>
    </row>
    <row r="84" spans="1:22" ht="18" x14ac:dyDescent="0.55000000000000004">
      <c r="A84" s="373"/>
      <c r="B84" s="373"/>
      <c r="C84" s="373"/>
      <c r="D84" s="373"/>
      <c r="E84" s="373"/>
      <c r="F84" s="373"/>
      <c r="G84" s="373"/>
      <c r="H84" s="373"/>
      <c r="I84" s="373"/>
      <c r="J84" s="373"/>
      <c r="K84" s="373"/>
      <c r="L84" s="373"/>
      <c r="M84" s="373"/>
      <c r="N84" s="373"/>
      <c r="O84" s="373"/>
      <c r="P84" s="373"/>
      <c r="Q84" s="373"/>
      <c r="R84" s="373"/>
      <c r="S84" s="373"/>
      <c r="T84" s="373"/>
      <c r="U84" s="373"/>
      <c r="V84" s="373"/>
    </row>
    <row r="85" spans="1:22" ht="18" x14ac:dyDescent="0.55000000000000004">
      <c r="A85" s="373"/>
      <c r="B85" s="373"/>
      <c r="C85" s="373"/>
      <c r="D85" s="373"/>
      <c r="E85" s="373"/>
      <c r="F85" s="373"/>
      <c r="G85" s="373"/>
      <c r="H85" s="373"/>
      <c r="I85" s="373"/>
      <c r="J85" s="373"/>
      <c r="K85" s="373"/>
      <c r="L85" s="373"/>
      <c r="M85" s="373"/>
      <c r="N85" s="373"/>
      <c r="O85" s="373"/>
      <c r="P85" s="373"/>
      <c r="Q85" s="373"/>
      <c r="R85" s="373"/>
      <c r="S85" s="373"/>
      <c r="T85" s="373"/>
      <c r="U85" s="373"/>
      <c r="V85" s="373"/>
    </row>
    <row r="86" spans="1:22" ht="18" x14ac:dyDescent="0.55000000000000004">
      <c r="A86" s="373"/>
      <c r="B86" s="373"/>
      <c r="C86" s="373"/>
      <c r="D86" s="373"/>
      <c r="E86" s="373"/>
      <c r="F86" s="373"/>
      <c r="G86" s="373"/>
      <c r="H86" s="373"/>
      <c r="I86" s="373"/>
      <c r="J86" s="373"/>
      <c r="K86" s="373"/>
      <c r="L86" s="373"/>
      <c r="M86" s="373"/>
      <c r="N86" s="373"/>
      <c r="O86" s="373"/>
      <c r="P86" s="373"/>
      <c r="Q86" s="373"/>
      <c r="R86" s="373"/>
      <c r="S86" s="373"/>
      <c r="T86" s="373"/>
      <c r="U86" s="373"/>
      <c r="V86" s="373"/>
    </row>
    <row r="87" spans="1:22" ht="18" x14ac:dyDescent="0.55000000000000004">
      <c r="A87" s="373"/>
      <c r="B87" s="373"/>
      <c r="C87" s="373"/>
      <c r="D87" s="373"/>
      <c r="E87" s="373"/>
      <c r="F87" s="373"/>
      <c r="G87" s="373"/>
      <c r="H87" s="373"/>
      <c r="I87" s="373"/>
      <c r="J87" s="373"/>
      <c r="K87" s="373"/>
      <c r="L87" s="373"/>
      <c r="M87" s="373"/>
      <c r="N87" s="373"/>
      <c r="O87" s="373"/>
      <c r="P87" s="373"/>
      <c r="Q87" s="373"/>
      <c r="R87" s="373"/>
      <c r="S87" s="373"/>
      <c r="T87" s="373"/>
      <c r="U87" s="373"/>
      <c r="V87" s="373"/>
    </row>
    <row r="88" spans="1:22" ht="18" x14ac:dyDescent="0.55000000000000004">
      <c r="A88" s="373"/>
      <c r="B88" s="373"/>
      <c r="C88" s="373"/>
      <c r="D88" s="373"/>
      <c r="E88" s="373"/>
      <c r="F88" s="373"/>
      <c r="G88" s="373"/>
      <c r="H88" s="373"/>
      <c r="I88" s="373"/>
      <c r="J88" s="373"/>
      <c r="K88" s="373"/>
      <c r="L88" s="373"/>
      <c r="M88" s="373"/>
      <c r="N88" s="373"/>
      <c r="O88" s="373"/>
      <c r="P88" s="373"/>
      <c r="Q88" s="373"/>
      <c r="R88" s="373"/>
      <c r="S88" s="373"/>
      <c r="T88" s="373"/>
      <c r="U88" s="373"/>
      <c r="V88" s="373"/>
    </row>
    <row r="89" spans="1:22" ht="18" x14ac:dyDescent="0.55000000000000004">
      <c r="A89" s="373"/>
      <c r="B89" s="373"/>
      <c r="C89" s="373"/>
      <c r="D89" s="373"/>
      <c r="E89" s="373"/>
      <c r="F89" s="373"/>
      <c r="G89" s="373"/>
      <c r="H89" s="373"/>
      <c r="I89" s="373"/>
      <c r="J89" s="373"/>
      <c r="K89" s="373"/>
      <c r="L89" s="373"/>
      <c r="M89" s="373"/>
      <c r="N89" s="373"/>
      <c r="O89" s="373"/>
      <c r="P89" s="373"/>
      <c r="Q89" s="373"/>
      <c r="R89" s="373"/>
      <c r="S89" s="373"/>
      <c r="T89" s="373"/>
      <c r="U89" s="373"/>
      <c r="V89" s="373"/>
    </row>
    <row r="90" spans="1:22" ht="18" x14ac:dyDescent="0.55000000000000004">
      <c r="A90" s="373"/>
      <c r="B90" s="373"/>
      <c r="C90" s="373"/>
      <c r="D90" s="373"/>
      <c r="E90" s="373"/>
      <c r="F90" s="373"/>
      <c r="G90" s="373"/>
      <c r="H90" s="373"/>
      <c r="I90" s="373"/>
      <c r="J90" s="373"/>
      <c r="K90" s="373"/>
      <c r="L90" s="373"/>
      <c r="M90" s="373"/>
      <c r="N90" s="373"/>
      <c r="O90" s="373"/>
      <c r="P90" s="373"/>
      <c r="Q90" s="373"/>
      <c r="R90" s="373"/>
      <c r="S90" s="373"/>
      <c r="T90" s="373"/>
      <c r="U90" s="373"/>
      <c r="V90" s="373"/>
    </row>
    <row r="91" spans="1:22" ht="18" x14ac:dyDescent="0.55000000000000004">
      <c r="A91" s="373"/>
      <c r="B91" s="373"/>
      <c r="C91" s="373"/>
      <c r="D91" s="373"/>
      <c r="E91" s="373"/>
      <c r="F91" s="373"/>
      <c r="G91" s="373"/>
      <c r="H91" s="373"/>
      <c r="I91" s="373"/>
      <c r="J91" s="373"/>
      <c r="K91" s="373"/>
      <c r="L91" s="373"/>
      <c r="M91" s="373"/>
      <c r="N91" s="373"/>
      <c r="O91" s="373"/>
      <c r="P91" s="373"/>
      <c r="Q91" s="373"/>
      <c r="R91" s="373"/>
      <c r="S91" s="373"/>
      <c r="T91" s="373"/>
      <c r="U91" s="373"/>
      <c r="V91" s="373"/>
    </row>
    <row r="92" spans="1:22" ht="18" x14ac:dyDescent="0.55000000000000004">
      <c r="A92" s="373"/>
      <c r="B92" s="373"/>
      <c r="C92" s="373"/>
      <c r="D92" s="373"/>
      <c r="E92" s="373"/>
      <c r="F92" s="373"/>
      <c r="G92" s="373"/>
      <c r="H92" s="373"/>
      <c r="I92" s="373"/>
      <c r="J92" s="373"/>
      <c r="K92" s="373"/>
      <c r="L92" s="373"/>
      <c r="M92" s="373"/>
      <c r="N92" s="373"/>
      <c r="O92" s="373"/>
      <c r="P92" s="373"/>
      <c r="Q92" s="373"/>
      <c r="R92" s="373"/>
      <c r="S92" s="373"/>
      <c r="T92" s="373"/>
      <c r="U92" s="373"/>
      <c r="V92" s="373"/>
    </row>
    <row r="93" spans="1:22" ht="18" x14ac:dyDescent="0.55000000000000004">
      <c r="A93" s="373"/>
      <c r="B93" s="373"/>
      <c r="C93" s="373"/>
      <c r="D93" s="373"/>
      <c r="E93" s="373"/>
      <c r="F93" s="373"/>
      <c r="G93" s="373"/>
      <c r="H93" s="373"/>
      <c r="I93" s="373"/>
      <c r="J93" s="373"/>
      <c r="K93" s="373"/>
      <c r="L93" s="373"/>
      <c r="M93" s="373"/>
      <c r="N93" s="373"/>
      <c r="O93" s="373"/>
      <c r="P93" s="373"/>
      <c r="Q93" s="373"/>
      <c r="R93" s="373"/>
      <c r="S93" s="373"/>
      <c r="T93" s="373"/>
      <c r="U93" s="373"/>
      <c r="V93" s="373"/>
    </row>
    <row r="94" spans="1:22" ht="18" x14ac:dyDescent="0.55000000000000004">
      <c r="A94" s="373"/>
      <c r="B94" s="373"/>
      <c r="C94" s="373"/>
      <c r="D94" s="373"/>
      <c r="E94" s="373"/>
      <c r="F94" s="373"/>
      <c r="G94" s="373"/>
      <c r="H94" s="373"/>
      <c r="I94" s="373"/>
      <c r="J94" s="373"/>
      <c r="K94" s="373"/>
      <c r="L94" s="373"/>
      <c r="M94" s="373"/>
      <c r="N94" s="373"/>
      <c r="O94" s="373"/>
      <c r="P94" s="373"/>
      <c r="Q94" s="373"/>
      <c r="R94" s="373"/>
      <c r="S94" s="373"/>
      <c r="T94" s="373"/>
      <c r="U94" s="373"/>
      <c r="V94" s="373"/>
    </row>
    <row r="95" spans="1:22" ht="18" x14ac:dyDescent="0.55000000000000004">
      <c r="A95" s="373"/>
      <c r="B95" s="373"/>
      <c r="C95" s="373"/>
      <c r="D95" s="373"/>
      <c r="E95" s="373"/>
      <c r="F95" s="373"/>
      <c r="G95" s="373"/>
      <c r="H95" s="373"/>
      <c r="I95" s="373"/>
      <c r="J95" s="373"/>
      <c r="K95" s="373"/>
      <c r="L95" s="373"/>
      <c r="M95" s="373"/>
      <c r="N95" s="373"/>
      <c r="O95" s="373"/>
      <c r="P95" s="373"/>
      <c r="Q95" s="373"/>
      <c r="R95" s="373"/>
      <c r="S95" s="373"/>
      <c r="T95" s="373"/>
      <c r="U95" s="373"/>
      <c r="V95" s="373"/>
    </row>
    <row r="96" spans="1:22" ht="18" x14ac:dyDescent="0.55000000000000004">
      <c r="A96" s="373"/>
      <c r="B96" s="373"/>
      <c r="C96" s="373"/>
      <c r="D96" s="373"/>
      <c r="E96" s="373"/>
      <c r="F96" s="373"/>
      <c r="G96" s="373"/>
      <c r="H96" s="373"/>
      <c r="I96" s="373"/>
      <c r="J96" s="373"/>
      <c r="K96" s="373"/>
      <c r="L96" s="373"/>
      <c r="M96" s="373"/>
      <c r="N96" s="373"/>
      <c r="O96" s="373"/>
      <c r="P96" s="373"/>
      <c r="Q96" s="373"/>
      <c r="R96" s="373"/>
      <c r="S96" s="373"/>
      <c r="T96" s="373"/>
      <c r="U96" s="373"/>
      <c r="V96" s="373"/>
    </row>
    <row r="97" spans="1:22" ht="18" x14ac:dyDescent="0.55000000000000004">
      <c r="A97" s="373"/>
      <c r="B97" s="373"/>
      <c r="C97" s="373"/>
      <c r="D97" s="373"/>
      <c r="E97" s="373"/>
      <c r="F97" s="373"/>
      <c r="G97" s="373"/>
      <c r="H97" s="373"/>
      <c r="I97" s="373"/>
      <c r="J97" s="373"/>
      <c r="K97" s="373"/>
      <c r="L97" s="373"/>
      <c r="M97" s="373"/>
      <c r="N97" s="373"/>
      <c r="O97" s="373"/>
      <c r="P97" s="373"/>
      <c r="Q97" s="373"/>
      <c r="R97" s="373"/>
      <c r="S97" s="373"/>
      <c r="T97" s="373"/>
      <c r="U97" s="373"/>
      <c r="V97" s="373"/>
    </row>
    <row r="98" spans="1:22" ht="18" x14ac:dyDescent="0.55000000000000004">
      <c r="A98" s="373"/>
      <c r="B98" s="373"/>
      <c r="C98" s="373"/>
      <c r="D98" s="373"/>
      <c r="E98" s="373"/>
      <c r="F98" s="373"/>
      <c r="G98" s="373"/>
      <c r="H98" s="373"/>
      <c r="I98" s="373"/>
      <c r="J98" s="373"/>
      <c r="K98" s="373"/>
      <c r="L98" s="373"/>
      <c r="M98" s="373"/>
      <c r="N98" s="373"/>
      <c r="O98" s="373"/>
      <c r="P98" s="373"/>
      <c r="Q98" s="373"/>
      <c r="R98" s="373"/>
      <c r="S98" s="373"/>
      <c r="T98" s="373"/>
      <c r="U98" s="373"/>
      <c r="V98" s="373"/>
    </row>
    <row r="99" spans="1:22" ht="18" x14ac:dyDescent="0.55000000000000004">
      <c r="A99" s="373"/>
      <c r="B99" s="373"/>
      <c r="C99" s="373"/>
      <c r="D99" s="373"/>
      <c r="E99" s="373"/>
      <c r="F99" s="373"/>
      <c r="G99" s="373"/>
      <c r="H99" s="373"/>
      <c r="I99" s="373"/>
      <c r="J99" s="373"/>
      <c r="K99" s="373"/>
      <c r="L99" s="373"/>
      <c r="M99" s="373"/>
      <c r="N99" s="373"/>
      <c r="O99" s="373"/>
      <c r="P99" s="373"/>
      <c r="Q99" s="373"/>
      <c r="R99" s="373"/>
      <c r="S99" s="373"/>
      <c r="T99" s="373"/>
      <c r="U99" s="373"/>
      <c r="V99" s="373"/>
    </row>
    <row r="100" spans="1:22" ht="18" x14ac:dyDescent="0.55000000000000004">
      <c r="A100" s="373"/>
      <c r="B100" s="373"/>
      <c r="C100" s="373"/>
      <c r="D100" s="373"/>
      <c r="E100" s="373"/>
      <c r="F100" s="373"/>
      <c r="G100" s="373"/>
      <c r="H100" s="373"/>
      <c r="I100" s="373"/>
      <c r="J100" s="373"/>
      <c r="K100" s="373"/>
      <c r="L100" s="373"/>
      <c r="M100" s="373"/>
      <c r="N100" s="373"/>
      <c r="O100" s="373"/>
      <c r="P100" s="373"/>
      <c r="Q100" s="373"/>
      <c r="R100" s="373"/>
      <c r="S100" s="373"/>
      <c r="T100" s="373"/>
      <c r="U100" s="373"/>
      <c r="V100" s="373"/>
    </row>
    <row r="101" spans="1:22" ht="18" x14ac:dyDescent="0.55000000000000004">
      <c r="A101" s="373"/>
      <c r="B101" s="373"/>
      <c r="C101" s="373"/>
      <c r="D101" s="373"/>
      <c r="E101" s="373"/>
      <c r="F101" s="373"/>
      <c r="G101" s="373"/>
      <c r="H101" s="373"/>
      <c r="I101" s="373"/>
      <c r="J101" s="373"/>
      <c r="K101" s="373"/>
      <c r="L101" s="373"/>
      <c r="M101" s="373"/>
      <c r="N101" s="373"/>
      <c r="O101" s="373"/>
      <c r="P101" s="373"/>
      <c r="Q101" s="373"/>
      <c r="R101" s="373"/>
      <c r="S101" s="373"/>
      <c r="T101" s="373"/>
      <c r="U101" s="373"/>
      <c r="V101" s="373"/>
    </row>
    <row r="102" spans="1:22" ht="18" x14ac:dyDescent="0.55000000000000004">
      <c r="A102" s="373"/>
      <c r="B102" s="373"/>
      <c r="C102" s="373"/>
      <c r="D102" s="373"/>
      <c r="E102" s="373"/>
      <c r="F102" s="373"/>
      <c r="G102" s="373"/>
      <c r="H102" s="373"/>
      <c r="I102" s="373"/>
      <c r="J102" s="373"/>
      <c r="K102" s="373"/>
      <c r="L102" s="373"/>
      <c r="M102" s="373"/>
      <c r="N102" s="373"/>
      <c r="O102" s="373"/>
      <c r="P102" s="373"/>
      <c r="Q102" s="373"/>
      <c r="R102" s="373"/>
      <c r="S102" s="373"/>
      <c r="T102" s="373"/>
      <c r="U102" s="373"/>
      <c r="V102" s="373"/>
    </row>
    <row r="103" spans="1:22" ht="18" x14ac:dyDescent="0.55000000000000004">
      <c r="A103" s="373"/>
      <c r="B103" s="373"/>
      <c r="C103" s="373"/>
      <c r="D103" s="373"/>
      <c r="E103" s="373"/>
      <c r="F103" s="373"/>
      <c r="G103" s="373"/>
      <c r="H103" s="373"/>
      <c r="I103" s="373"/>
      <c r="J103" s="373"/>
      <c r="K103" s="373"/>
      <c r="L103" s="373"/>
      <c r="M103" s="373"/>
      <c r="N103" s="373"/>
      <c r="O103" s="373"/>
      <c r="P103" s="373"/>
      <c r="Q103" s="373"/>
      <c r="R103" s="373"/>
      <c r="S103" s="373"/>
      <c r="T103" s="373"/>
      <c r="U103" s="373"/>
      <c r="V103" s="373"/>
    </row>
    <row r="104" spans="1:22" ht="18" x14ac:dyDescent="0.55000000000000004">
      <c r="A104" s="373"/>
      <c r="B104" s="373"/>
      <c r="C104" s="373"/>
      <c r="D104" s="373"/>
      <c r="E104" s="373"/>
      <c r="F104" s="373"/>
      <c r="G104" s="373"/>
      <c r="H104" s="373"/>
      <c r="I104" s="373"/>
      <c r="J104" s="373"/>
      <c r="K104" s="373"/>
      <c r="L104" s="373"/>
      <c r="M104" s="373"/>
      <c r="N104" s="373"/>
      <c r="O104" s="373"/>
      <c r="P104" s="373"/>
      <c r="Q104" s="373"/>
      <c r="R104" s="373"/>
      <c r="S104" s="373"/>
      <c r="T104" s="373"/>
      <c r="U104" s="373"/>
      <c r="V104" s="373"/>
    </row>
    <row r="105" spans="1:22" ht="18" x14ac:dyDescent="0.55000000000000004">
      <c r="A105" s="373"/>
      <c r="B105" s="373"/>
      <c r="C105" s="373"/>
      <c r="D105" s="373"/>
      <c r="E105" s="373"/>
      <c r="F105" s="373"/>
      <c r="G105" s="373"/>
      <c r="H105" s="373"/>
      <c r="I105" s="373"/>
      <c r="J105" s="373"/>
      <c r="K105" s="373"/>
      <c r="L105" s="373"/>
      <c r="M105" s="373"/>
      <c r="N105" s="373"/>
      <c r="O105" s="373"/>
      <c r="P105" s="373"/>
      <c r="Q105" s="373"/>
      <c r="R105" s="373"/>
      <c r="S105" s="373"/>
      <c r="T105" s="373"/>
      <c r="U105" s="373"/>
      <c r="V105" s="373"/>
    </row>
    <row r="106" spans="1:22" ht="18" x14ac:dyDescent="0.55000000000000004">
      <c r="A106" s="373"/>
      <c r="B106" s="373"/>
      <c r="C106" s="373"/>
      <c r="D106" s="373"/>
      <c r="E106" s="373"/>
      <c r="F106" s="373"/>
      <c r="G106" s="373"/>
      <c r="H106" s="373"/>
      <c r="I106" s="373"/>
      <c r="J106" s="373"/>
      <c r="K106" s="373"/>
      <c r="L106" s="373"/>
      <c r="M106" s="373"/>
      <c r="N106" s="373"/>
      <c r="O106" s="373"/>
      <c r="P106" s="373"/>
      <c r="Q106" s="373"/>
      <c r="R106" s="373"/>
      <c r="S106" s="373"/>
      <c r="T106" s="373"/>
      <c r="U106" s="373"/>
      <c r="V106" s="373"/>
    </row>
    <row r="107" spans="1:22" ht="18" x14ac:dyDescent="0.55000000000000004">
      <c r="A107" s="373"/>
      <c r="B107" s="373"/>
      <c r="C107" s="373"/>
      <c r="D107" s="373"/>
      <c r="E107" s="373"/>
      <c r="F107" s="373"/>
      <c r="G107" s="373"/>
      <c r="H107" s="373"/>
      <c r="I107" s="373"/>
      <c r="J107" s="373"/>
      <c r="K107" s="373"/>
      <c r="L107" s="373"/>
      <c r="M107" s="373"/>
      <c r="N107" s="373"/>
      <c r="O107" s="373"/>
      <c r="P107" s="373"/>
      <c r="Q107" s="373"/>
      <c r="R107" s="373"/>
      <c r="S107" s="373"/>
      <c r="T107" s="373"/>
      <c r="U107" s="373"/>
      <c r="V107" s="373"/>
    </row>
    <row r="108" spans="1:22" ht="18" x14ac:dyDescent="0.55000000000000004">
      <c r="A108" s="373"/>
      <c r="B108" s="373"/>
      <c r="C108" s="373"/>
      <c r="D108" s="373"/>
      <c r="E108" s="373"/>
      <c r="F108" s="373"/>
      <c r="G108" s="373"/>
      <c r="H108" s="373"/>
      <c r="I108" s="373"/>
      <c r="J108" s="373"/>
      <c r="K108" s="373"/>
      <c r="L108" s="373"/>
      <c r="M108" s="373"/>
      <c r="N108" s="373"/>
      <c r="O108" s="373"/>
      <c r="P108" s="373"/>
      <c r="Q108" s="373"/>
      <c r="R108" s="373"/>
      <c r="S108" s="373"/>
      <c r="T108" s="373"/>
      <c r="U108" s="373"/>
      <c r="V108" s="373"/>
    </row>
    <row r="109" spans="1:22" ht="18" x14ac:dyDescent="0.55000000000000004">
      <c r="A109" s="373"/>
      <c r="B109" s="373"/>
      <c r="C109" s="373"/>
      <c r="D109" s="373"/>
      <c r="E109" s="373"/>
      <c r="F109" s="373"/>
      <c r="G109" s="373"/>
      <c r="H109" s="373"/>
      <c r="I109" s="373"/>
      <c r="J109" s="373"/>
      <c r="K109" s="373"/>
      <c r="L109" s="373"/>
      <c r="M109" s="373"/>
      <c r="N109" s="373"/>
      <c r="O109" s="373"/>
      <c r="P109" s="373"/>
      <c r="Q109" s="373"/>
      <c r="R109" s="373"/>
      <c r="S109" s="373"/>
      <c r="T109" s="373"/>
      <c r="U109" s="373"/>
      <c r="V109" s="373"/>
    </row>
    <row r="110" spans="1:22" ht="18" x14ac:dyDescent="0.55000000000000004">
      <c r="A110" s="373"/>
      <c r="B110" s="373"/>
      <c r="C110" s="373"/>
      <c r="D110" s="373"/>
      <c r="E110" s="373"/>
      <c r="F110" s="373"/>
      <c r="G110" s="373"/>
      <c r="H110" s="373"/>
      <c r="I110" s="373"/>
      <c r="J110" s="373"/>
      <c r="K110" s="373"/>
      <c r="L110" s="373"/>
      <c r="M110" s="373"/>
      <c r="N110" s="373"/>
      <c r="O110" s="373"/>
      <c r="P110" s="373"/>
      <c r="Q110" s="373"/>
      <c r="R110" s="373"/>
      <c r="S110" s="373"/>
      <c r="T110" s="373"/>
      <c r="U110" s="373"/>
      <c r="V110" s="373"/>
    </row>
    <row r="111" spans="1:22" ht="18" x14ac:dyDescent="0.55000000000000004">
      <c r="A111" s="373"/>
      <c r="B111" s="373"/>
      <c r="C111" s="373"/>
      <c r="D111" s="373"/>
      <c r="E111" s="373"/>
      <c r="F111" s="373"/>
      <c r="G111" s="373"/>
      <c r="H111" s="373"/>
      <c r="I111" s="373"/>
      <c r="J111" s="373"/>
      <c r="K111" s="373"/>
      <c r="L111" s="373"/>
      <c r="M111" s="373"/>
      <c r="N111" s="373"/>
      <c r="O111" s="373"/>
      <c r="P111" s="373"/>
      <c r="Q111" s="373"/>
      <c r="R111" s="373"/>
      <c r="S111" s="373"/>
      <c r="T111" s="373"/>
      <c r="U111" s="373"/>
      <c r="V111" s="373"/>
    </row>
    <row r="112" spans="1:22" ht="18" x14ac:dyDescent="0.55000000000000004">
      <c r="A112" s="373"/>
      <c r="B112" s="373"/>
      <c r="C112" s="373"/>
      <c r="D112" s="373"/>
      <c r="E112" s="373"/>
      <c r="F112" s="373"/>
      <c r="G112" s="373"/>
      <c r="H112" s="373"/>
      <c r="I112" s="373"/>
      <c r="J112" s="373"/>
      <c r="K112" s="373"/>
      <c r="L112" s="373"/>
      <c r="M112" s="373"/>
      <c r="N112" s="373"/>
      <c r="O112" s="373"/>
      <c r="P112" s="373"/>
      <c r="Q112" s="373"/>
      <c r="R112" s="373"/>
      <c r="S112" s="373"/>
      <c r="T112" s="373"/>
      <c r="U112" s="373"/>
      <c r="V112" s="373"/>
    </row>
    <row r="113" spans="1:22" ht="18" x14ac:dyDescent="0.55000000000000004">
      <c r="A113" s="373"/>
      <c r="B113" s="373"/>
      <c r="C113" s="373"/>
      <c r="D113" s="373"/>
      <c r="E113" s="373"/>
      <c r="F113" s="373"/>
      <c r="G113" s="373"/>
      <c r="H113" s="373"/>
      <c r="I113" s="373"/>
      <c r="J113" s="373"/>
      <c r="K113" s="373"/>
      <c r="L113" s="373"/>
      <c r="M113" s="373"/>
      <c r="N113" s="373"/>
      <c r="O113" s="373"/>
      <c r="P113" s="373"/>
      <c r="Q113" s="373"/>
      <c r="R113" s="373"/>
      <c r="S113" s="373"/>
      <c r="T113" s="373"/>
      <c r="U113" s="373"/>
      <c r="V113" s="373"/>
    </row>
    <row r="114" spans="1:22" ht="18" x14ac:dyDescent="0.55000000000000004">
      <c r="A114" s="373"/>
      <c r="B114" s="373"/>
      <c r="C114" s="373"/>
      <c r="D114" s="373"/>
      <c r="E114" s="373"/>
      <c r="F114" s="373"/>
      <c r="G114" s="373"/>
      <c r="H114" s="373"/>
      <c r="I114" s="373"/>
      <c r="J114" s="373"/>
      <c r="K114" s="373"/>
      <c r="L114" s="373"/>
      <c r="M114" s="373"/>
      <c r="N114" s="373"/>
      <c r="O114" s="373"/>
      <c r="P114" s="373"/>
      <c r="Q114" s="373"/>
      <c r="R114" s="373"/>
      <c r="S114" s="373"/>
      <c r="T114" s="373"/>
      <c r="U114" s="373"/>
      <c r="V114" s="373"/>
    </row>
    <row r="115" spans="1:22" ht="18" x14ac:dyDescent="0.55000000000000004">
      <c r="A115" s="373"/>
      <c r="B115" s="373"/>
      <c r="C115" s="373"/>
      <c r="D115" s="373"/>
      <c r="E115" s="373"/>
      <c r="F115" s="373"/>
      <c r="G115" s="373"/>
      <c r="H115" s="373"/>
      <c r="I115" s="373"/>
      <c r="J115" s="373"/>
      <c r="K115" s="373"/>
      <c r="L115" s="373"/>
      <c r="M115" s="373"/>
      <c r="N115" s="373"/>
      <c r="O115" s="373"/>
      <c r="P115" s="373"/>
      <c r="Q115" s="373"/>
      <c r="R115" s="373"/>
      <c r="S115" s="373"/>
      <c r="T115" s="373"/>
      <c r="U115" s="373"/>
      <c r="V115" s="373"/>
    </row>
    <row r="116" spans="1:22" ht="18" x14ac:dyDescent="0.55000000000000004">
      <c r="A116" s="373"/>
      <c r="B116" s="373"/>
      <c r="C116" s="373"/>
      <c r="D116" s="373"/>
      <c r="E116" s="373"/>
      <c r="F116" s="373"/>
      <c r="G116" s="373"/>
      <c r="H116" s="373"/>
      <c r="I116" s="373"/>
      <c r="J116" s="373"/>
      <c r="K116" s="373"/>
      <c r="L116" s="373"/>
      <c r="M116" s="373"/>
      <c r="N116" s="373"/>
      <c r="O116" s="373"/>
      <c r="P116" s="373"/>
      <c r="Q116" s="373"/>
      <c r="R116" s="373"/>
      <c r="S116" s="373"/>
      <c r="T116" s="373"/>
      <c r="U116" s="373"/>
      <c r="V116" s="373"/>
    </row>
    <row r="117" spans="1:22" ht="18" x14ac:dyDescent="0.55000000000000004">
      <c r="A117" s="373"/>
      <c r="B117" s="373"/>
      <c r="C117" s="373"/>
      <c r="D117" s="373"/>
      <c r="E117" s="373"/>
      <c r="F117" s="373"/>
      <c r="G117" s="373"/>
      <c r="H117" s="373"/>
      <c r="I117" s="373"/>
      <c r="J117" s="373"/>
      <c r="K117" s="373"/>
      <c r="L117" s="373"/>
      <c r="M117" s="373"/>
      <c r="N117" s="373"/>
      <c r="O117" s="373"/>
      <c r="P117" s="373"/>
      <c r="Q117" s="373"/>
      <c r="R117" s="373"/>
      <c r="S117" s="373"/>
      <c r="T117" s="373"/>
      <c r="U117" s="373"/>
      <c r="V117" s="373"/>
    </row>
    <row r="118" spans="1:22" ht="18" x14ac:dyDescent="0.55000000000000004">
      <c r="A118" s="373"/>
      <c r="B118" s="373"/>
      <c r="C118" s="373"/>
      <c r="D118" s="373"/>
      <c r="E118" s="373"/>
      <c r="F118" s="373"/>
      <c r="G118" s="373"/>
      <c r="H118" s="373"/>
      <c r="I118" s="373"/>
      <c r="J118" s="373"/>
      <c r="K118" s="373"/>
      <c r="L118" s="373"/>
      <c r="M118" s="373"/>
      <c r="N118" s="373"/>
      <c r="O118" s="373"/>
      <c r="P118" s="373"/>
      <c r="Q118" s="373"/>
      <c r="R118" s="373"/>
      <c r="S118" s="373"/>
      <c r="T118" s="373"/>
      <c r="U118" s="373"/>
      <c r="V118" s="373"/>
    </row>
    <row r="119" spans="1:22" ht="18" x14ac:dyDescent="0.55000000000000004">
      <c r="A119" s="373"/>
      <c r="B119" s="373"/>
      <c r="C119" s="373"/>
      <c r="D119" s="373"/>
      <c r="E119" s="373"/>
      <c r="F119" s="373"/>
      <c r="G119" s="373"/>
      <c r="H119" s="373"/>
      <c r="I119" s="373"/>
      <c r="J119" s="373"/>
      <c r="K119" s="373"/>
      <c r="L119" s="373"/>
      <c r="M119" s="373"/>
      <c r="N119" s="373"/>
      <c r="O119" s="373"/>
      <c r="P119" s="373"/>
      <c r="Q119" s="373"/>
      <c r="R119" s="373"/>
      <c r="S119" s="373"/>
      <c r="T119" s="373"/>
      <c r="U119" s="373"/>
      <c r="V119" s="373"/>
    </row>
    <row r="120" spans="1:22" ht="18" x14ac:dyDescent="0.55000000000000004">
      <c r="A120" s="373"/>
      <c r="B120" s="373"/>
      <c r="C120" s="373"/>
      <c r="D120" s="373"/>
      <c r="E120" s="373"/>
      <c r="F120" s="373"/>
      <c r="G120" s="373"/>
      <c r="H120" s="373"/>
      <c r="I120" s="373"/>
      <c r="J120" s="373"/>
      <c r="K120" s="373"/>
      <c r="L120" s="373"/>
      <c r="M120" s="373"/>
      <c r="N120" s="373"/>
      <c r="O120" s="373"/>
      <c r="P120" s="373"/>
      <c r="Q120" s="373"/>
      <c r="R120" s="373"/>
      <c r="S120" s="373"/>
      <c r="T120" s="373"/>
      <c r="U120" s="373"/>
      <c r="V120" s="373"/>
    </row>
    <row r="121" spans="1:22" ht="18" x14ac:dyDescent="0.55000000000000004">
      <c r="A121" s="373"/>
      <c r="B121" s="373"/>
      <c r="C121" s="373"/>
      <c r="D121" s="373"/>
      <c r="E121" s="373"/>
      <c r="F121" s="373"/>
      <c r="G121" s="373"/>
      <c r="H121" s="373"/>
      <c r="I121" s="373"/>
      <c r="J121" s="373"/>
      <c r="K121" s="373"/>
      <c r="L121" s="373"/>
      <c r="M121" s="373"/>
      <c r="N121" s="373"/>
      <c r="O121" s="373"/>
      <c r="P121" s="373"/>
      <c r="Q121" s="373"/>
      <c r="R121" s="373"/>
      <c r="S121" s="373"/>
      <c r="T121" s="373"/>
      <c r="U121" s="373"/>
      <c r="V121" s="373"/>
    </row>
    <row r="122" spans="1:22" ht="18" x14ac:dyDescent="0.55000000000000004">
      <c r="A122" s="373"/>
      <c r="B122" s="373"/>
      <c r="C122" s="373"/>
      <c r="D122" s="373"/>
      <c r="E122" s="373"/>
      <c r="F122" s="373"/>
      <c r="G122" s="373"/>
      <c r="H122" s="373"/>
      <c r="I122" s="373"/>
      <c r="J122" s="373"/>
      <c r="K122" s="373"/>
      <c r="L122" s="373"/>
      <c r="M122" s="373"/>
      <c r="N122" s="373"/>
      <c r="O122" s="373"/>
      <c r="P122" s="373"/>
      <c r="Q122" s="373"/>
      <c r="R122" s="373"/>
      <c r="S122" s="373"/>
      <c r="T122" s="373"/>
      <c r="U122" s="373"/>
      <c r="V122" s="373"/>
    </row>
    <row r="123" spans="1:22" ht="18" x14ac:dyDescent="0.55000000000000004">
      <c r="A123" s="373"/>
      <c r="B123" s="373"/>
      <c r="C123" s="373"/>
      <c r="D123" s="373"/>
      <c r="E123" s="373"/>
      <c r="F123" s="373"/>
      <c r="G123" s="373"/>
      <c r="H123" s="373"/>
      <c r="I123" s="373"/>
      <c r="J123" s="373"/>
      <c r="K123" s="373"/>
      <c r="L123" s="373"/>
      <c r="M123" s="373"/>
      <c r="N123" s="373"/>
      <c r="O123" s="373"/>
      <c r="P123" s="373"/>
      <c r="Q123" s="373"/>
      <c r="R123" s="373"/>
      <c r="S123" s="373"/>
      <c r="T123" s="373"/>
      <c r="U123" s="373"/>
      <c r="V123" s="373"/>
    </row>
    <row r="124" spans="1:22" ht="18" x14ac:dyDescent="0.55000000000000004">
      <c r="A124" s="373"/>
      <c r="B124" s="373"/>
      <c r="C124" s="373"/>
      <c r="D124" s="373"/>
      <c r="E124" s="373"/>
      <c r="F124" s="373"/>
      <c r="G124" s="373"/>
      <c r="H124" s="373"/>
      <c r="I124" s="373"/>
      <c r="J124" s="373"/>
      <c r="K124" s="373"/>
      <c r="L124" s="373"/>
      <c r="M124" s="373"/>
      <c r="N124" s="373"/>
      <c r="O124" s="373"/>
      <c r="P124" s="373"/>
      <c r="Q124" s="373"/>
      <c r="R124" s="373"/>
      <c r="S124" s="373"/>
      <c r="T124" s="373"/>
      <c r="U124" s="373"/>
      <c r="V124" s="373"/>
    </row>
    <row r="125" spans="1:22" ht="18" x14ac:dyDescent="0.55000000000000004">
      <c r="A125" s="373"/>
      <c r="B125" s="373"/>
      <c r="C125" s="373"/>
      <c r="D125" s="373"/>
      <c r="E125" s="373"/>
      <c r="F125" s="373"/>
      <c r="G125" s="373"/>
      <c r="H125" s="373"/>
      <c r="I125" s="373"/>
      <c r="J125" s="373"/>
      <c r="K125" s="373"/>
      <c r="L125" s="373"/>
      <c r="M125" s="373"/>
      <c r="N125" s="373"/>
      <c r="O125" s="373"/>
      <c r="P125" s="373"/>
      <c r="Q125" s="373"/>
      <c r="R125" s="373"/>
      <c r="S125" s="373"/>
      <c r="T125" s="373"/>
      <c r="U125" s="373"/>
      <c r="V125" s="373"/>
    </row>
    <row r="126" spans="1:22" ht="18" x14ac:dyDescent="0.55000000000000004">
      <c r="A126" s="373"/>
      <c r="B126" s="373"/>
      <c r="C126" s="373"/>
      <c r="D126" s="373"/>
      <c r="E126" s="373"/>
      <c r="F126" s="373"/>
      <c r="G126" s="373"/>
      <c r="H126" s="373"/>
      <c r="I126" s="373"/>
      <c r="J126" s="373"/>
      <c r="K126" s="373"/>
      <c r="L126" s="373"/>
      <c r="M126" s="373"/>
      <c r="N126" s="373"/>
      <c r="O126" s="373"/>
      <c r="P126" s="373"/>
      <c r="Q126" s="373"/>
      <c r="R126" s="373"/>
      <c r="S126" s="373"/>
      <c r="T126" s="373"/>
      <c r="U126" s="373"/>
      <c r="V126" s="373"/>
    </row>
    <row r="127" spans="1:22" ht="18" x14ac:dyDescent="0.55000000000000004">
      <c r="A127" s="373"/>
      <c r="B127" s="373"/>
      <c r="C127" s="373"/>
      <c r="D127" s="373"/>
      <c r="E127" s="373"/>
      <c r="F127" s="373"/>
      <c r="G127" s="373"/>
      <c r="H127" s="373"/>
      <c r="I127" s="373"/>
      <c r="J127" s="373"/>
      <c r="K127" s="373"/>
      <c r="L127" s="373"/>
      <c r="M127" s="373"/>
      <c r="N127" s="373"/>
      <c r="O127" s="373"/>
      <c r="P127" s="373"/>
      <c r="Q127" s="373"/>
      <c r="R127" s="373"/>
      <c r="S127" s="373"/>
      <c r="T127" s="373"/>
      <c r="U127" s="373"/>
      <c r="V127" s="373"/>
    </row>
    <row r="128" spans="1:22" ht="18" x14ac:dyDescent="0.55000000000000004">
      <c r="A128" s="373"/>
      <c r="B128" s="373"/>
      <c r="C128" s="373"/>
      <c r="D128" s="373"/>
      <c r="E128" s="373"/>
      <c r="F128" s="373"/>
      <c r="G128" s="373"/>
      <c r="H128" s="373"/>
      <c r="I128" s="373"/>
      <c r="J128" s="373"/>
      <c r="K128" s="373"/>
      <c r="L128" s="373"/>
      <c r="M128" s="373"/>
      <c r="N128" s="373"/>
      <c r="O128" s="373"/>
      <c r="P128" s="373"/>
      <c r="Q128" s="373"/>
      <c r="R128" s="373"/>
      <c r="S128" s="373"/>
      <c r="T128" s="373"/>
      <c r="U128" s="373"/>
      <c r="V128" s="373"/>
    </row>
    <row r="129" spans="1:22" ht="18" x14ac:dyDescent="0.55000000000000004">
      <c r="A129" s="373"/>
      <c r="B129" s="373"/>
      <c r="C129" s="373"/>
      <c r="D129" s="373"/>
      <c r="E129" s="373"/>
      <c r="F129" s="373"/>
      <c r="G129" s="373"/>
      <c r="H129" s="373"/>
      <c r="I129" s="373"/>
      <c r="J129" s="373"/>
      <c r="K129" s="373"/>
      <c r="L129" s="373"/>
      <c r="M129" s="373"/>
      <c r="N129" s="373"/>
      <c r="O129" s="373"/>
      <c r="P129" s="373"/>
      <c r="Q129" s="373"/>
      <c r="R129" s="373"/>
      <c r="S129" s="373"/>
      <c r="T129" s="373"/>
      <c r="U129" s="373"/>
      <c r="V129" s="373"/>
    </row>
    <row r="130" spans="1:22" ht="18" x14ac:dyDescent="0.55000000000000004">
      <c r="A130" s="373"/>
      <c r="B130" s="373"/>
      <c r="C130" s="373"/>
      <c r="D130" s="373"/>
      <c r="E130" s="373"/>
      <c r="F130" s="373"/>
      <c r="G130" s="373"/>
      <c r="H130" s="373"/>
      <c r="I130" s="373"/>
      <c r="J130" s="373"/>
      <c r="K130" s="373"/>
      <c r="L130" s="373"/>
      <c r="M130" s="373"/>
      <c r="N130" s="373"/>
      <c r="O130" s="373"/>
      <c r="P130" s="373"/>
      <c r="Q130" s="373"/>
      <c r="R130" s="373"/>
      <c r="S130" s="373"/>
      <c r="T130" s="373"/>
      <c r="U130" s="373"/>
      <c r="V130" s="373"/>
    </row>
    <row r="131" spans="1:22" ht="18" x14ac:dyDescent="0.55000000000000004">
      <c r="A131" s="373"/>
      <c r="B131" s="373"/>
      <c r="C131" s="373"/>
      <c r="D131" s="373"/>
      <c r="E131" s="373"/>
      <c r="F131" s="373"/>
      <c r="G131" s="373"/>
      <c r="H131" s="373"/>
      <c r="I131" s="373"/>
      <c r="J131" s="373"/>
      <c r="K131" s="373"/>
      <c r="L131" s="373"/>
      <c r="M131" s="373"/>
      <c r="N131" s="373"/>
      <c r="O131" s="373"/>
      <c r="P131" s="373"/>
      <c r="Q131" s="373"/>
      <c r="R131" s="373"/>
      <c r="S131" s="373"/>
      <c r="T131" s="373"/>
      <c r="U131" s="373"/>
      <c r="V131" s="373"/>
    </row>
    <row r="132" spans="1:22" ht="18" x14ac:dyDescent="0.55000000000000004">
      <c r="A132" s="373"/>
      <c r="B132" s="373"/>
      <c r="C132" s="373"/>
      <c r="D132" s="373"/>
      <c r="E132" s="373"/>
      <c r="F132" s="373"/>
      <c r="G132" s="373"/>
      <c r="H132" s="373"/>
      <c r="I132" s="373"/>
      <c r="J132" s="373"/>
      <c r="K132" s="373"/>
      <c r="L132" s="373"/>
      <c r="M132" s="373"/>
      <c r="N132" s="373"/>
      <c r="O132" s="373"/>
      <c r="P132" s="373"/>
      <c r="Q132" s="373"/>
      <c r="R132" s="373"/>
      <c r="S132" s="373"/>
      <c r="T132" s="373"/>
      <c r="U132" s="373"/>
      <c r="V132" s="373"/>
    </row>
    <row r="133" spans="1:22" ht="18" x14ac:dyDescent="0.55000000000000004">
      <c r="A133" s="373"/>
      <c r="B133" s="373"/>
      <c r="C133" s="373"/>
      <c r="D133" s="373"/>
      <c r="E133" s="373"/>
      <c r="F133" s="373"/>
      <c r="G133" s="373"/>
      <c r="H133" s="373"/>
      <c r="I133" s="373"/>
      <c r="J133" s="373"/>
      <c r="K133" s="373"/>
      <c r="L133" s="373"/>
      <c r="M133" s="373"/>
      <c r="N133" s="373"/>
      <c r="O133" s="373"/>
      <c r="P133" s="373"/>
      <c r="Q133" s="373"/>
      <c r="R133" s="373"/>
      <c r="S133" s="373"/>
      <c r="T133" s="373"/>
      <c r="U133" s="373"/>
      <c r="V133" s="373"/>
    </row>
    <row r="134" spans="1:22" ht="18" x14ac:dyDescent="0.55000000000000004">
      <c r="A134" s="373"/>
      <c r="B134" s="373"/>
      <c r="C134" s="373"/>
      <c r="D134" s="373"/>
      <c r="E134" s="373"/>
      <c r="F134" s="373"/>
      <c r="G134" s="373"/>
      <c r="H134" s="373"/>
      <c r="I134" s="373"/>
      <c r="J134" s="373"/>
      <c r="K134" s="373"/>
      <c r="L134" s="373"/>
      <c r="M134" s="373"/>
      <c r="N134" s="373"/>
      <c r="O134" s="373"/>
      <c r="P134" s="373"/>
      <c r="Q134" s="373"/>
      <c r="R134" s="373"/>
      <c r="S134" s="373"/>
      <c r="T134" s="373"/>
      <c r="U134" s="373"/>
      <c r="V134" s="373"/>
    </row>
    <row r="135" spans="1:22" ht="18" x14ac:dyDescent="0.55000000000000004">
      <c r="A135" s="373"/>
      <c r="B135" s="373"/>
      <c r="C135" s="373"/>
      <c r="D135" s="373"/>
      <c r="E135" s="373"/>
      <c r="F135" s="373"/>
      <c r="G135" s="373"/>
      <c r="H135" s="373"/>
      <c r="I135" s="373"/>
      <c r="J135" s="373"/>
      <c r="K135" s="373"/>
      <c r="L135" s="373"/>
      <c r="M135" s="373"/>
      <c r="N135" s="373"/>
      <c r="O135" s="373"/>
      <c r="P135" s="373"/>
      <c r="Q135" s="373"/>
      <c r="R135" s="373"/>
      <c r="S135" s="373"/>
      <c r="T135" s="373"/>
      <c r="U135" s="373"/>
      <c r="V135" s="373"/>
    </row>
    <row r="136" spans="1:22" ht="18" x14ac:dyDescent="0.55000000000000004">
      <c r="A136" s="373"/>
      <c r="B136" s="373"/>
      <c r="C136" s="373"/>
      <c r="D136" s="373"/>
      <c r="E136" s="373"/>
      <c r="F136" s="373"/>
      <c r="G136" s="373"/>
      <c r="H136" s="373"/>
      <c r="I136" s="373"/>
      <c r="J136" s="373"/>
      <c r="K136" s="373"/>
      <c r="L136" s="373"/>
      <c r="M136" s="373"/>
      <c r="N136" s="373"/>
      <c r="O136" s="373"/>
      <c r="P136" s="373"/>
      <c r="Q136" s="373"/>
      <c r="R136" s="373"/>
      <c r="S136" s="373"/>
      <c r="T136" s="373"/>
      <c r="U136" s="373"/>
      <c r="V136" s="373"/>
    </row>
    <row r="137" spans="1:22" ht="18" x14ac:dyDescent="0.55000000000000004">
      <c r="A137" s="373"/>
      <c r="B137" s="373"/>
      <c r="C137" s="373"/>
      <c r="D137" s="373"/>
      <c r="E137" s="373"/>
      <c r="F137" s="373"/>
      <c r="G137" s="373"/>
      <c r="H137" s="373"/>
      <c r="I137" s="373"/>
      <c r="J137" s="373"/>
      <c r="K137" s="373"/>
      <c r="L137" s="373"/>
      <c r="M137" s="373"/>
      <c r="N137" s="373"/>
      <c r="O137" s="373"/>
      <c r="P137" s="373"/>
      <c r="Q137" s="373"/>
      <c r="R137" s="373"/>
      <c r="S137" s="373"/>
      <c r="T137" s="373"/>
      <c r="U137" s="373"/>
      <c r="V137" s="373"/>
    </row>
    <row r="138" spans="1:22" ht="18" x14ac:dyDescent="0.55000000000000004">
      <c r="A138" s="373"/>
      <c r="B138" s="373"/>
      <c r="C138" s="373"/>
      <c r="D138" s="373"/>
      <c r="E138" s="373"/>
      <c r="F138" s="373"/>
      <c r="G138" s="373"/>
      <c r="H138" s="373"/>
      <c r="I138" s="373"/>
      <c r="J138" s="373"/>
      <c r="K138" s="373"/>
      <c r="L138" s="373"/>
      <c r="M138" s="373"/>
      <c r="N138" s="373"/>
      <c r="O138" s="373"/>
      <c r="P138" s="373"/>
      <c r="Q138" s="373"/>
      <c r="R138" s="373"/>
      <c r="S138" s="373"/>
      <c r="T138" s="373"/>
      <c r="U138" s="373"/>
      <c r="V138" s="373"/>
    </row>
    <row r="139" spans="1:22" ht="18" x14ac:dyDescent="0.55000000000000004">
      <c r="A139" s="373"/>
      <c r="B139" s="373"/>
      <c r="C139" s="373"/>
      <c r="D139" s="373"/>
      <c r="E139" s="373"/>
      <c r="F139" s="373"/>
      <c r="G139" s="373"/>
      <c r="H139" s="373"/>
      <c r="I139" s="373"/>
      <c r="J139" s="373"/>
      <c r="K139" s="373"/>
      <c r="L139" s="373"/>
      <c r="M139" s="373"/>
      <c r="N139" s="373"/>
      <c r="O139" s="373"/>
      <c r="P139" s="373"/>
      <c r="Q139" s="373"/>
      <c r="R139" s="373"/>
      <c r="S139" s="373"/>
      <c r="T139" s="373"/>
      <c r="U139" s="373"/>
      <c r="V139" s="373"/>
    </row>
    <row r="140" spans="1:22" ht="18" x14ac:dyDescent="0.55000000000000004">
      <c r="A140" s="373"/>
      <c r="B140" s="373"/>
      <c r="C140" s="373"/>
      <c r="D140" s="373"/>
      <c r="E140" s="373"/>
      <c r="F140" s="373"/>
      <c r="G140" s="373"/>
      <c r="H140" s="373"/>
      <c r="I140" s="373"/>
      <c r="J140" s="373"/>
      <c r="K140" s="373"/>
      <c r="L140" s="373"/>
      <c r="M140" s="373"/>
      <c r="N140" s="373"/>
      <c r="O140" s="373"/>
      <c r="P140" s="373"/>
      <c r="Q140" s="373"/>
      <c r="R140" s="373"/>
      <c r="S140" s="373"/>
      <c r="T140" s="373"/>
      <c r="U140" s="373"/>
      <c r="V140" s="373"/>
    </row>
    <row r="141" spans="1:22" ht="18" x14ac:dyDescent="0.55000000000000004">
      <c r="A141" s="373"/>
      <c r="B141" s="373"/>
      <c r="C141" s="373"/>
      <c r="D141" s="373"/>
      <c r="E141" s="373"/>
      <c r="F141" s="373"/>
      <c r="G141" s="373"/>
      <c r="H141" s="373"/>
      <c r="I141" s="373"/>
      <c r="J141" s="373"/>
      <c r="K141" s="373"/>
      <c r="L141" s="373"/>
      <c r="M141" s="373"/>
      <c r="N141" s="373"/>
      <c r="O141" s="373"/>
      <c r="P141" s="373"/>
      <c r="Q141" s="373"/>
      <c r="R141" s="373"/>
      <c r="S141" s="373"/>
      <c r="T141" s="373"/>
      <c r="U141" s="373"/>
      <c r="V141" s="373"/>
    </row>
    <row r="142" spans="1:22" ht="18" x14ac:dyDescent="0.55000000000000004">
      <c r="A142" s="373"/>
      <c r="B142" s="373"/>
      <c r="C142" s="373"/>
      <c r="D142" s="373"/>
      <c r="E142" s="373"/>
      <c r="F142" s="373"/>
      <c r="G142" s="373"/>
      <c r="H142" s="373"/>
      <c r="I142" s="373"/>
      <c r="J142" s="373"/>
      <c r="K142" s="373"/>
      <c r="L142" s="373"/>
      <c r="M142" s="373"/>
      <c r="N142" s="373"/>
      <c r="O142" s="373"/>
      <c r="P142" s="373"/>
      <c r="Q142" s="373"/>
      <c r="R142" s="373"/>
      <c r="S142" s="373"/>
      <c r="T142" s="373"/>
      <c r="U142" s="373"/>
      <c r="V142" s="373"/>
    </row>
    <row r="143" spans="1:22" ht="18" x14ac:dyDescent="0.55000000000000004">
      <c r="A143" s="373"/>
      <c r="B143" s="373"/>
      <c r="C143" s="373"/>
      <c r="D143" s="373"/>
      <c r="E143" s="373"/>
      <c r="F143" s="373"/>
      <c r="G143" s="373"/>
      <c r="H143" s="373"/>
      <c r="I143" s="373"/>
      <c r="J143" s="373"/>
      <c r="K143" s="373"/>
      <c r="L143" s="373"/>
      <c r="M143" s="373"/>
      <c r="N143" s="373"/>
      <c r="O143" s="373"/>
      <c r="P143" s="373"/>
      <c r="Q143" s="373"/>
      <c r="R143" s="373"/>
      <c r="S143" s="373"/>
      <c r="T143" s="373"/>
      <c r="U143" s="373"/>
      <c r="V143" s="373"/>
    </row>
    <row r="144" spans="1:22" ht="18" x14ac:dyDescent="0.55000000000000004">
      <c r="A144" s="373"/>
      <c r="B144" s="373"/>
      <c r="C144" s="373"/>
      <c r="D144" s="373"/>
      <c r="E144" s="373"/>
      <c r="F144" s="373"/>
      <c r="G144" s="373"/>
      <c r="H144" s="373"/>
      <c r="I144" s="373"/>
      <c r="J144" s="373"/>
      <c r="K144" s="373"/>
      <c r="L144" s="373"/>
      <c r="M144" s="373"/>
      <c r="N144" s="373"/>
      <c r="O144" s="373"/>
      <c r="P144" s="373"/>
      <c r="Q144" s="373"/>
      <c r="R144" s="373"/>
      <c r="S144" s="373"/>
      <c r="T144" s="373"/>
      <c r="U144" s="373"/>
      <c r="V144" s="373"/>
    </row>
    <row r="145" spans="1:22" ht="18" x14ac:dyDescent="0.55000000000000004">
      <c r="A145" s="373"/>
      <c r="B145" s="373"/>
      <c r="C145" s="373"/>
      <c r="D145" s="373"/>
      <c r="E145" s="373"/>
      <c r="F145" s="373"/>
      <c r="G145" s="373"/>
      <c r="H145" s="373"/>
      <c r="I145" s="373"/>
      <c r="J145" s="373"/>
      <c r="K145" s="373"/>
      <c r="L145" s="373"/>
      <c r="M145" s="373"/>
      <c r="N145" s="373"/>
      <c r="O145" s="373"/>
      <c r="P145" s="373"/>
      <c r="Q145" s="373"/>
      <c r="R145" s="373"/>
      <c r="S145" s="373"/>
      <c r="T145" s="373"/>
      <c r="U145" s="373"/>
      <c r="V145" s="373"/>
    </row>
    <row r="146" spans="1:22" ht="18" x14ac:dyDescent="0.55000000000000004">
      <c r="A146" s="373"/>
      <c r="B146" s="373"/>
      <c r="C146" s="373"/>
      <c r="D146" s="373"/>
      <c r="E146" s="373"/>
      <c r="F146" s="373"/>
      <c r="G146" s="373"/>
      <c r="H146" s="373"/>
      <c r="I146" s="373"/>
      <c r="J146" s="373"/>
      <c r="K146" s="373"/>
      <c r="L146" s="373"/>
      <c r="M146" s="373"/>
      <c r="N146" s="373"/>
      <c r="O146" s="373"/>
      <c r="P146" s="373"/>
      <c r="Q146" s="373"/>
      <c r="R146" s="373"/>
      <c r="S146" s="373"/>
      <c r="T146" s="373"/>
      <c r="U146" s="373"/>
      <c r="V146" s="373"/>
    </row>
    <row r="147" spans="1:22" ht="18" x14ac:dyDescent="0.55000000000000004">
      <c r="A147" s="373"/>
      <c r="B147" s="373"/>
      <c r="C147" s="373"/>
      <c r="D147" s="373"/>
      <c r="E147" s="373"/>
      <c r="F147" s="373"/>
      <c r="G147" s="373"/>
      <c r="H147" s="373"/>
      <c r="I147" s="373"/>
      <c r="J147" s="373"/>
      <c r="K147" s="373"/>
      <c r="L147" s="373"/>
      <c r="M147" s="373"/>
      <c r="N147" s="373"/>
      <c r="O147" s="373"/>
      <c r="P147" s="373"/>
      <c r="Q147" s="373"/>
      <c r="R147" s="373"/>
      <c r="S147" s="373"/>
      <c r="T147" s="373"/>
      <c r="U147" s="373"/>
      <c r="V147" s="373"/>
    </row>
    <row r="148" spans="1:22" ht="18" x14ac:dyDescent="0.55000000000000004">
      <c r="A148" s="373"/>
      <c r="B148" s="373"/>
      <c r="C148" s="373"/>
      <c r="D148" s="373"/>
      <c r="E148" s="373"/>
      <c r="F148" s="373"/>
      <c r="G148" s="373"/>
      <c r="H148" s="373"/>
      <c r="I148" s="373"/>
      <c r="J148" s="373"/>
      <c r="K148" s="373"/>
      <c r="L148" s="373"/>
      <c r="M148" s="373"/>
      <c r="N148" s="373"/>
      <c r="O148" s="373"/>
      <c r="P148" s="373"/>
      <c r="Q148" s="373"/>
      <c r="R148" s="373"/>
      <c r="S148" s="373"/>
      <c r="T148" s="373"/>
      <c r="U148" s="373"/>
      <c r="V148" s="373"/>
    </row>
    <row r="149" spans="1:22" ht="18" x14ac:dyDescent="0.55000000000000004">
      <c r="A149" s="373"/>
      <c r="B149" s="373"/>
      <c r="C149" s="373"/>
      <c r="D149" s="373"/>
      <c r="E149" s="373"/>
      <c r="F149" s="373"/>
      <c r="G149" s="373"/>
      <c r="H149" s="373"/>
      <c r="I149" s="373"/>
      <c r="J149" s="373"/>
      <c r="K149" s="373"/>
      <c r="L149" s="373"/>
      <c r="M149" s="373"/>
      <c r="N149" s="373"/>
      <c r="O149" s="373"/>
      <c r="P149" s="373"/>
      <c r="Q149" s="373"/>
      <c r="R149" s="373"/>
      <c r="S149" s="373"/>
      <c r="T149" s="373"/>
      <c r="U149" s="373"/>
      <c r="V149" s="373"/>
    </row>
    <row r="150" spans="1:22" ht="18" x14ac:dyDescent="0.55000000000000004">
      <c r="A150" s="373"/>
      <c r="B150" s="373"/>
      <c r="C150" s="373"/>
      <c r="D150" s="373"/>
      <c r="E150" s="373"/>
      <c r="F150" s="373"/>
      <c r="G150" s="373"/>
      <c r="H150" s="373"/>
      <c r="I150" s="373"/>
      <c r="J150" s="373"/>
      <c r="K150" s="373"/>
      <c r="L150" s="373"/>
      <c r="M150" s="373"/>
      <c r="N150" s="373"/>
      <c r="O150" s="373"/>
      <c r="P150" s="373"/>
      <c r="Q150" s="373"/>
      <c r="R150" s="373"/>
      <c r="S150" s="373"/>
      <c r="T150" s="373"/>
      <c r="U150" s="373"/>
      <c r="V150" s="373"/>
    </row>
    <row r="151" spans="1:22" ht="18" x14ac:dyDescent="0.55000000000000004">
      <c r="A151" s="373"/>
      <c r="B151" s="373"/>
      <c r="C151" s="373"/>
      <c r="D151" s="373"/>
      <c r="E151" s="373"/>
      <c r="F151" s="373"/>
      <c r="G151" s="373"/>
      <c r="H151" s="373"/>
      <c r="I151" s="373"/>
      <c r="J151" s="373"/>
      <c r="K151" s="373"/>
      <c r="L151" s="373"/>
      <c r="M151" s="373"/>
      <c r="N151" s="373"/>
      <c r="O151" s="373"/>
      <c r="P151" s="373"/>
      <c r="Q151" s="373"/>
      <c r="R151" s="373"/>
      <c r="S151" s="373"/>
      <c r="T151" s="373"/>
      <c r="U151" s="373"/>
      <c r="V151" s="373"/>
    </row>
    <row r="152" spans="1:22" ht="18" x14ac:dyDescent="0.55000000000000004">
      <c r="A152" s="373"/>
      <c r="B152" s="373"/>
      <c r="C152" s="373"/>
      <c r="D152" s="373"/>
      <c r="E152" s="373"/>
      <c r="F152" s="373"/>
      <c r="G152" s="373"/>
      <c r="H152" s="373"/>
      <c r="I152" s="373"/>
      <c r="J152" s="373"/>
      <c r="K152" s="373"/>
      <c r="L152" s="373"/>
      <c r="M152" s="373"/>
      <c r="N152" s="373"/>
      <c r="O152" s="373"/>
      <c r="P152" s="373"/>
      <c r="Q152" s="373"/>
      <c r="R152" s="373"/>
      <c r="S152" s="373"/>
      <c r="T152" s="373"/>
      <c r="U152" s="373"/>
      <c r="V152" s="373"/>
    </row>
    <row r="153" spans="1:22" ht="18" x14ac:dyDescent="0.55000000000000004">
      <c r="A153" s="373"/>
      <c r="B153" s="373"/>
      <c r="C153" s="373"/>
      <c r="D153" s="373"/>
      <c r="E153" s="373"/>
      <c r="F153" s="373"/>
      <c r="G153" s="373"/>
      <c r="H153" s="373"/>
      <c r="I153" s="373"/>
      <c r="J153" s="373"/>
      <c r="K153" s="373"/>
      <c r="L153" s="373"/>
      <c r="M153" s="373"/>
      <c r="N153" s="373"/>
      <c r="O153" s="373"/>
      <c r="P153" s="373"/>
      <c r="Q153" s="373"/>
      <c r="R153" s="373"/>
      <c r="S153" s="373"/>
      <c r="T153" s="373"/>
      <c r="U153" s="373"/>
      <c r="V153" s="373"/>
    </row>
    <row r="154" spans="1:22" ht="18" x14ac:dyDescent="0.55000000000000004">
      <c r="A154" s="373"/>
      <c r="B154" s="373"/>
      <c r="C154" s="373"/>
      <c r="D154" s="373"/>
      <c r="E154" s="373"/>
      <c r="F154" s="373"/>
      <c r="G154" s="373"/>
      <c r="H154" s="373"/>
      <c r="I154" s="373"/>
      <c r="J154" s="373"/>
      <c r="K154" s="373"/>
      <c r="L154" s="373"/>
      <c r="M154" s="373"/>
      <c r="N154" s="373"/>
      <c r="O154" s="373"/>
      <c r="P154" s="373"/>
      <c r="Q154" s="373"/>
      <c r="R154" s="373"/>
      <c r="S154" s="373"/>
      <c r="T154" s="373"/>
      <c r="U154" s="373"/>
      <c r="V154" s="373"/>
    </row>
    <row r="155" spans="1:22" ht="18" x14ac:dyDescent="0.55000000000000004">
      <c r="A155" s="373"/>
      <c r="B155" s="373"/>
      <c r="C155" s="373"/>
      <c r="D155" s="373"/>
      <c r="E155" s="373"/>
      <c r="F155" s="373"/>
      <c r="G155" s="373"/>
      <c r="H155" s="373"/>
      <c r="I155" s="373"/>
      <c r="J155" s="373"/>
      <c r="K155" s="373"/>
      <c r="L155" s="373"/>
      <c r="M155" s="373"/>
      <c r="N155" s="373"/>
      <c r="O155" s="373"/>
      <c r="P155" s="373"/>
      <c r="Q155" s="373"/>
      <c r="R155" s="373"/>
      <c r="S155" s="373"/>
      <c r="T155" s="373"/>
      <c r="U155" s="373"/>
      <c r="V155" s="373"/>
    </row>
    <row r="156" spans="1:22" ht="18" x14ac:dyDescent="0.55000000000000004">
      <c r="A156" s="373"/>
      <c r="B156" s="373"/>
      <c r="C156" s="373"/>
      <c r="D156" s="373"/>
      <c r="E156" s="373"/>
      <c r="F156" s="373"/>
      <c r="G156" s="373"/>
      <c r="H156" s="373"/>
      <c r="I156" s="373"/>
      <c r="J156" s="373"/>
      <c r="K156" s="373"/>
      <c r="L156" s="373"/>
      <c r="M156" s="373"/>
      <c r="N156" s="373"/>
      <c r="O156" s="373"/>
      <c r="P156" s="373"/>
      <c r="Q156" s="373"/>
      <c r="R156" s="373"/>
      <c r="S156" s="373"/>
      <c r="T156" s="373"/>
      <c r="U156" s="373"/>
      <c r="V156" s="373"/>
    </row>
    <row r="157" spans="1:22" ht="18" x14ac:dyDescent="0.55000000000000004">
      <c r="A157" s="373"/>
      <c r="B157" s="373"/>
      <c r="C157" s="373"/>
      <c r="D157" s="373"/>
      <c r="E157" s="373"/>
      <c r="F157" s="373"/>
      <c r="G157" s="373"/>
      <c r="H157" s="373"/>
      <c r="I157" s="373"/>
      <c r="J157" s="373"/>
      <c r="K157" s="373"/>
      <c r="L157" s="373"/>
      <c r="M157" s="373"/>
      <c r="N157" s="373"/>
      <c r="O157" s="373"/>
      <c r="P157" s="373"/>
      <c r="Q157" s="373"/>
      <c r="R157" s="373"/>
      <c r="S157" s="373"/>
      <c r="T157" s="373"/>
      <c r="U157" s="373"/>
      <c r="V157" s="373"/>
    </row>
    <row r="158" spans="1:22" ht="18" x14ac:dyDescent="0.55000000000000004">
      <c r="A158" s="373"/>
      <c r="B158" s="373"/>
      <c r="C158" s="373"/>
      <c r="D158" s="373"/>
      <c r="E158" s="373"/>
      <c r="F158" s="373"/>
      <c r="G158" s="373"/>
      <c r="H158" s="373"/>
      <c r="I158" s="373"/>
      <c r="J158" s="373"/>
      <c r="K158" s="373"/>
      <c r="L158" s="373"/>
      <c r="M158" s="373"/>
      <c r="N158" s="373"/>
      <c r="O158" s="373"/>
      <c r="P158" s="373"/>
      <c r="Q158" s="373"/>
      <c r="R158" s="373"/>
      <c r="S158" s="373"/>
      <c r="T158" s="373"/>
      <c r="U158" s="373"/>
      <c r="V158" s="373"/>
    </row>
    <row r="159" spans="1:22" ht="18" x14ac:dyDescent="0.55000000000000004">
      <c r="A159" s="373"/>
      <c r="B159" s="373"/>
      <c r="C159" s="373"/>
      <c r="D159" s="373"/>
      <c r="E159" s="373"/>
      <c r="F159" s="373"/>
      <c r="G159" s="373"/>
      <c r="H159" s="373"/>
      <c r="I159" s="373"/>
      <c r="J159" s="373"/>
      <c r="K159" s="373"/>
      <c r="L159" s="373"/>
      <c r="M159" s="373"/>
      <c r="N159" s="373"/>
      <c r="O159" s="373"/>
      <c r="P159" s="373"/>
      <c r="Q159" s="373"/>
      <c r="R159" s="373"/>
      <c r="S159" s="373"/>
      <c r="T159" s="373"/>
      <c r="U159" s="373"/>
      <c r="V159" s="373"/>
    </row>
    <row r="160" spans="1:22" ht="18" x14ac:dyDescent="0.55000000000000004">
      <c r="A160" s="373"/>
      <c r="B160" s="373"/>
      <c r="C160" s="373"/>
      <c r="D160" s="373"/>
      <c r="E160" s="373"/>
      <c r="F160" s="373"/>
      <c r="G160" s="373"/>
      <c r="H160" s="373"/>
      <c r="I160" s="373"/>
      <c r="J160" s="373"/>
      <c r="K160" s="373"/>
      <c r="L160" s="373"/>
      <c r="M160" s="373"/>
      <c r="N160" s="373"/>
      <c r="O160" s="373"/>
      <c r="P160" s="373"/>
      <c r="Q160" s="373"/>
      <c r="R160" s="373"/>
      <c r="S160" s="373"/>
      <c r="T160" s="373"/>
      <c r="U160" s="373"/>
      <c r="V160" s="373"/>
    </row>
    <row r="161" spans="1:22" ht="18" x14ac:dyDescent="0.55000000000000004">
      <c r="A161" s="373"/>
      <c r="B161" s="373"/>
      <c r="C161" s="373"/>
      <c r="D161" s="373"/>
      <c r="E161" s="373"/>
      <c r="F161" s="373"/>
      <c r="G161" s="373"/>
      <c r="H161" s="373"/>
      <c r="I161" s="373"/>
      <c r="J161" s="373"/>
      <c r="K161" s="373"/>
      <c r="L161" s="373"/>
      <c r="M161" s="373"/>
      <c r="N161" s="373"/>
      <c r="O161" s="373"/>
      <c r="P161" s="373"/>
      <c r="Q161" s="373"/>
      <c r="R161" s="373"/>
      <c r="S161" s="373"/>
      <c r="T161" s="373"/>
      <c r="U161" s="373"/>
      <c r="V161" s="373"/>
    </row>
    <row r="162" spans="1:22" ht="18" x14ac:dyDescent="0.55000000000000004">
      <c r="A162" s="373"/>
      <c r="B162" s="373"/>
      <c r="C162" s="373"/>
      <c r="D162" s="373"/>
      <c r="E162" s="373"/>
      <c r="F162" s="373"/>
      <c r="G162" s="373"/>
      <c r="H162" s="373"/>
      <c r="I162" s="373"/>
      <c r="J162" s="373"/>
      <c r="K162" s="373"/>
      <c r="L162" s="373"/>
      <c r="M162" s="373"/>
      <c r="N162" s="373"/>
      <c r="O162" s="373"/>
      <c r="P162" s="373"/>
      <c r="Q162" s="373"/>
      <c r="R162" s="373"/>
      <c r="S162" s="373"/>
      <c r="T162" s="373"/>
      <c r="U162" s="373"/>
      <c r="V162" s="373"/>
    </row>
    <row r="163" spans="1:22" ht="18" x14ac:dyDescent="0.55000000000000004">
      <c r="A163" s="373"/>
      <c r="B163" s="373"/>
      <c r="C163" s="373"/>
      <c r="D163" s="373"/>
      <c r="E163" s="373"/>
      <c r="F163" s="373"/>
      <c r="G163" s="373"/>
      <c r="H163" s="373"/>
      <c r="I163" s="373"/>
      <c r="J163" s="373"/>
      <c r="K163" s="373"/>
      <c r="L163" s="373"/>
      <c r="M163" s="373"/>
      <c r="N163" s="373"/>
      <c r="O163" s="373"/>
      <c r="P163" s="373"/>
      <c r="Q163" s="373"/>
      <c r="R163" s="373"/>
      <c r="S163" s="373"/>
      <c r="T163" s="373"/>
      <c r="U163" s="373"/>
      <c r="V163" s="373"/>
    </row>
    <row r="164" spans="1:22" ht="18" x14ac:dyDescent="0.55000000000000004">
      <c r="A164" s="373"/>
      <c r="B164" s="373"/>
      <c r="C164" s="373"/>
      <c r="D164" s="373"/>
      <c r="E164" s="373"/>
      <c r="F164" s="373"/>
      <c r="G164" s="373"/>
      <c r="H164" s="373"/>
      <c r="I164" s="373"/>
      <c r="J164" s="373"/>
      <c r="K164" s="373"/>
      <c r="L164" s="373"/>
      <c r="M164" s="373"/>
      <c r="N164" s="373"/>
      <c r="O164" s="373"/>
      <c r="P164" s="373"/>
      <c r="Q164" s="373"/>
      <c r="R164" s="373"/>
      <c r="S164" s="373"/>
      <c r="T164" s="373"/>
      <c r="U164" s="373"/>
      <c r="V164" s="373"/>
    </row>
    <row r="165" spans="1:22" ht="18" x14ac:dyDescent="0.55000000000000004">
      <c r="A165" s="373"/>
      <c r="B165" s="373"/>
      <c r="C165" s="373"/>
      <c r="D165" s="373"/>
      <c r="E165" s="373"/>
      <c r="F165" s="373"/>
      <c r="G165" s="373"/>
      <c r="H165" s="373"/>
      <c r="I165" s="373"/>
      <c r="J165" s="373"/>
      <c r="K165" s="373"/>
      <c r="L165" s="373"/>
      <c r="M165" s="373"/>
      <c r="N165" s="373"/>
      <c r="O165" s="373"/>
      <c r="P165" s="373"/>
      <c r="Q165" s="373"/>
      <c r="R165" s="373"/>
      <c r="S165" s="373"/>
      <c r="T165" s="373"/>
      <c r="U165" s="373"/>
      <c r="V165" s="373"/>
    </row>
    <row r="166" spans="1:22" ht="18" x14ac:dyDescent="0.55000000000000004">
      <c r="A166" s="373"/>
      <c r="B166" s="373"/>
      <c r="C166" s="373"/>
      <c r="D166" s="373"/>
      <c r="E166" s="373"/>
      <c r="F166" s="373"/>
      <c r="G166" s="373"/>
      <c r="H166" s="373"/>
      <c r="I166" s="373"/>
      <c r="J166" s="373"/>
      <c r="K166" s="373"/>
      <c r="L166" s="373"/>
      <c r="M166" s="373"/>
      <c r="N166" s="373"/>
      <c r="O166" s="373"/>
      <c r="P166" s="373"/>
      <c r="Q166" s="373"/>
      <c r="R166" s="373"/>
      <c r="S166" s="373"/>
      <c r="T166" s="373"/>
      <c r="U166" s="373"/>
      <c r="V166" s="373"/>
    </row>
    <row r="167" spans="1:22" ht="18" x14ac:dyDescent="0.55000000000000004">
      <c r="A167" s="373"/>
      <c r="B167" s="373"/>
      <c r="C167" s="373"/>
      <c r="D167" s="373"/>
      <c r="E167" s="373"/>
      <c r="F167" s="373"/>
      <c r="G167" s="373"/>
      <c r="H167" s="373"/>
      <c r="I167" s="373"/>
      <c r="J167" s="373"/>
      <c r="K167" s="373"/>
      <c r="L167" s="373"/>
      <c r="M167" s="373"/>
      <c r="N167" s="373"/>
      <c r="O167" s="373"/>
      <c r="P167" s="373"/>
      <c r="Q167" s="373"/>
      <c r="R167" s="373"/>
      <c r="S167" s="373"/>
      <c r="T167" s="373"/>
      <c r="U167" s="373"/>
      <c r="V167" s="373"/>
    </row>
    <row r="168" spans="1:22" ht="18" x14ac:dyDescent="0.55000000000000004">
      <c r="A168" s="373"/>
      <c r="B168" s="373"/>
      <c r="C168" s="373"/>
      <c r="D168" s="373"/>
      <c r="E168" s="373"/>
      <c r="F168" s="373"/>
      <c r="G168" s="373"/>
      <c r="H168" s="373"/>
      <c r="I168" s="373"/>
      <c r="J168" s="373"/>
      <c r="K168" s="373"/>
      <c r="L168" s="373"/>
      <c r="M168" s="373"/>
      <c r="N168" s="373"/>
      <c r="O168" s="373"/>
      <c r="P168" s="373"/>
      <c r="Q168" s="373"/>
      <c r="R168" s="373"/>
      <c r="S168" s="373"/>
      <c r="T168" s="373"/>
      <c r="U168" s="373"/>
      <c r="V168" s="373"/>
    </row>
    <row r="169" spans="1:22" ht="18" x14ac:dyDescent="0.55000000000000004">
      <c r="A169" s="373"/>
      <c r="B169" s="373"/>
      <c r="C169" s="373"/>
      <c r="D169" s="373"/>
      <c r="E169" s="373"/>
      <c r="F169" s="373"/>
      <c r="G169" s="373"/>
      <c r="H169" s="373"/>
      <c r="I169" s="373"/>
      <c r="J169" s="373"/>
      <c r="K169" s="373"/>
      <c r="L169" s="373"/>
      <c r="M169" s="373"/>
      <c r="N169" s="373"/>
      <c r="O169" s="373"/>
      <c r="P169" s="373"/>
      <c r="Q169" s="373"/>
      <c r="R169" s="373"/>
      <c r="S169" s="373"/>
      <c r="T169" s="373"/>
      <c r="U169" s="373"/>
      <c r="V169" s="373"/>
    </row>
    <row r="170" spans="1:22" ht="18" x14ac:dyDescent="0.55000000000000004">
      <c r="A170" s="373"/>
      <c r="B170" s="373"/>
      <c r="C170" s="373"/>
      <c r="D170" s="373"/>
      <c r="E170" s="373"/>
      <c r="F170" s="373"/>
      <c r="G170" s="373"/>
      <c r="H170" s="373"/>
      <c r="I170" s="373"/>
      <c r="J170" s="373"/>
      <c r="K170" s="373"/>
      <c r="L170" s="373"/>
      <c r="M170" s="373"/>
      <c r="N170" s="373"/>
      <c r="O170" s="373"/>
      <c r="P170" s="373"/>
      <c r="Q170" s="373"/>
      <c r="R170" s="373"/>
      <c r="S170" s="373"/>
      <c r="T170" s="373"/>
      <c r="U170" s="373"/>
      <c r="V170" s="373"/>
    </row>
    <row r="171" spans="1:22" ht="18" x14ac:dyDescent="0.55000000000000004">
      <c r="A171" s="373"/>
      <c r="B171" s="373"/>
      <c r="C171" s="373"/>
      <c r="D171" s="373"/>
      <c r="E171" s="373"/>
      <c r="F171" s="373"/>
      <c r="G171" s="373"/>
      <c r="H171" s="373"/>
      <c r="I171" s="373"/>
      <c r="J171" s="373"/>
      <c r="K171" s="373"/>
      <c r="L171" s="373"/>
      <c r="M171" s="373"/>
      <c r="N171" s="373"/>
      <c r="O171" s="373"/>
      <c r="P171" s="373"/>
      <c r="Q171" s="373"/>
      <c r="R171" s="373"/>
      <c r="S171" s="373"/>
      <c r="T171" s="373"/>
      <c r="U171" s="373"/>
      <c r="V171" s="373"/>
    </row>
    <row r="172" spans="1:22" ht="18" x14ac:dyDescent="0.55000000000000004">
      <c r="A172" s="373"/>
      <c r="B172" s="373"/>
      <c r="C172" s="373"/>
      <c r="D172" s="373"/>
      <c r="E172" s="373"/>
      <c r="F172" s="373"/>
      <c r="G172" s="373"/>
      <c r="H172" s="373"/>
      <c r="I172" s="373"/>
      <c r="J172" s="373"/>
      <c r="K172" s="373"/>
      <c r="L172" s="373"/>
      <c r="M172" s="373"/>
      <c r="N172" s="373"/>
      <c r="O172" s="373"/>
      <c r="P172" s="373"/>
      <c r="Q172" s="373"/>
      <c r="R172" s="373"/>
      <c r="S172" s="373"/>
      <c r="T172" s="373"/>
      <c r="U172" s="373"/>
      <c r="V172" s="373"/>
    </row>
    <row r="173" spans="1:22" ht="18" x14ac:dyDescent="0.55000000000000004">
      <c r="A173" s="373"/>
      <c r="B173" s="373"/>
      <c r="C173" s="373"/>
      <c r="D173" s="373"/>
      <c r="E173" s="373"/>
      <c r="F173" s="373"/>
      <c r="G173" s="373"/>
      <c r="H173" s="373"/>
      <c r="I173" s="373"/>
      <c r="J173" s="373"/>
      <c r="K173" s="373"/>
      <c r="L173" s="373"/>
      <c r="M173" s="373"/>
      <c r="N173" s="373"/>
      <c r="O173" s="373"/>
      <c r="P173" s="373"/>
      <c r="Q173" s="373"/>
      <c r="R173" s="373"/>
      <c r="S173" s="373"/>
      <c r="T173" s="373"/>
      <c r="U173" s="373"/>
      <c r="V173" s="373"/>
    </row>
    <row r="174" spans="1:22" ht="18" x14ac:dyDescent="0.55000000000000004">
      <c r="A174" s="373"/>
      <c r="B174" s="373"/>
      <c r="C174" s="373"/>
      <c r="D174" s="373"/>
      <c r="E174" s="373"/>
      <c r="F174" s="373"/>
      <c r="G174" s="373"/>
      <c r="H174" s="373"/>
      <c r="I174" s="373"/>
      <c r="J174" s="373"/>
      <c r="K174" s="373"/>
      <c r="L174" s="373"/>
      <c r="M174" s="373"/>
      <c r="N174" s="373"/>
      <c r="O174" s="373"/>
      <c r="P174" s="373"/>
      <c r="Q174" s="373"/>
      <c r="R174" s="373"/>
      <c r="S174" s="373"/>
      <c r="T174" s="373"/>
      <c r="U174" s="373"/>
      <c r="V174" s="373"/>
    </row>
    <row r="175" spans="1:22" ht="18" x14ac:dyDescent="0.55000000000000004">
      <c r="A175" s="373"/>
      <c r="B175" s="373"/>
      <c r="C175" s="373"/>
      <c r="D175" s="373"/>
      <c r="E175" s="373"/>
      <c r="F175" s="373"/>
      <c r="G175" s="373"/>
      <c r="H175" s="373"/>
      <c r="I175" s="373"/>
      <c r="J175" s="373"/>
      <c r="K175" s="373"/>
      <c r="L175" s="373"/>
      <c r="M175" s="373"/>
      <c r="N175" s="373"/>
      <c r="O175" s="373"/>
      <c r="P175" s="373"/>
      <c r="Q175" s="373"/>
      <c r="R175" s="373"/>
      <c r="S175" s="373"/>
      <c r="T175" s="373"/>
      <c r="U175" s="373"/>
      <c r="V175" s="373"/>
    </row>
    <row r="176" spans="1:22" ht="18" x14ac:dyDescent="0.55000000000000004">
      <c r="A176" s="373"/>
      <c r="B176" s="373"/>
      <c r="C176" s="373"/>
      <c r="D176" s="373"/>
      <c r="E176" s="373"/>
      <c r="F176" s="373"/>
      <c r="G176" s="373"/>
      <c r="H176" s="373"/>
      <c r="I176" s="373"/>
      <c r="J176" s="373"/>
      <c r="K176" s="373"/>
      <c r="L176" s="373"/>
      <c r="M176" s="373"/>
      <c r="N176" s="373"/>
      <c r="O176" s="373"/>
      <c r="P176" s="373"/>
      <c r="Q176" s="373"/>
      <c r="R176" s="373"/>
      <c r="S176" s="373"/>
      <c r="T176" s="373"/>
      <c r="U176" s="373"/>
      <c r="V176" s="373"/>
    </row>
    <row r="177" spans="1:22" ht="18" x14ac:dyDescent="0.55000000000000004">
      <c r="A177" s="373"/>
      <c r="B177" s="373"/>
      <c r="C177" s="373"/>
      <c r="D177" s="373"/>
      <c r="E177" s="373"/>
      <c r="F177" s="373"/>
      <c r="G177" s="373"/>
      <c r="H177" s="373"/>
      <c r="I177" s="373"/>
      <c r="J177" s="373"/>
      <c r="K177" s="373"/>
      <c r="L177" s="373"/>
      <c r="M177" s="373"/>
      <c r="N177" s="373"/>
      <c r="O177" s="373"/>
      <c r="P177" s="373"/>
      <c r="Q177" s="373"/>
      <c r="R177" s="373"/>
      <c r="S177" s="373"/>
      <c r="T177" s="373"/>
      <c r="U177" s="373"/>
      <c r="V177" s="373"/>
    </row>
    <row r="178" spans="1:22" ht="18" x14ac:dyDescent="0.55000000000000004">
      <c r="A178" s="373"/>
      <c r="B178" s="373"/>
      <c r="C178" s="373"/>
      <c r="D178" s="373"/>
      <c r="E178" s="373"/>
      <c r="F178" s="373"/>
      <c r="G178" s="373"/>
      <c r="H178" s="373"/>
      <c r="I178" s="373"/>
      <c r="J178" s="373"/>
      <c r="K178" s="373"/>
      <c r="L178" s="373"/>
      <c r="M178" s="373"/>
      <c r="N178" s="373"/>
      <c r="O178" s="373"/>
      <c r="P178" s="373"/>
      <c r="Q178" s="373"/>
      <c r="R178" s="373"/>
      <c r="S178" s="373"/>
      <c r="T178" s="373"/>
      <c r="U178" s="373"/>
      <c r="V178" s="373"/>
    </row>
    <row r="179" spans="1:22" ht="18" x14ac:dyDescent="0.55000000000000004">
      <c r="A179" s="373"/>
      <c r="B179" s="373"/>
      <c r="C179" s="373"/>
      <c r="D179" s="373"/>
      <c r="E179" s="373"/>
      <c r="F179" s="373"/>
      <c r="G179" s="373"/>
      <c r="H179" s="373"/>
      <c r="I179" s="373"/>
      <c r="J179" s="373"/>
      <c r="K179" s="373"/>
      <c r="L179" s="373"/>
      <c r="M179" s="373"/>
      <c r="N179" s="373"/>
      <c r="O179" s="373"/>
      <c r="P179" s="373"/>
      <c r="Q179" s="373"/>
      <c r="R179" s="373"/>
      <c r="S179" s="373"/>
      <c r="T179" s="373"/>
      <c r="U179" s="373"/>
      <c r="V179" s="373"/>
    </row>
    <row r="180" spans="1:22" ht="18" x14ac:dyDescent="0.55000000000000004">
      <c r="A180" s="373"/>
      <c r="B180" s="373"/>
      <c r="C180" s="373"/>
      <c r="D180" s="373"/>
      <c r="E180" s="373"/>
      <c r="F180" s="373"/>
      <c r="G180" s="373"/>
      <c r="H180" s="373"/>
      <c r="I180" s="373"/>
      <c r="J180" s="373"/>
      <c r="K180" s="373"/>
      <c r="L180" s="373"/>
      <c r="M180" s="373"/>
      <c r="N180" s="373"/>
      <c r="O180" s="373"/>
      <c r="P180" s="373"/>
      <c r="Q180" s="373"/>
      <c r="R180" s="373"/>
      <c r="S180" s="373"/>
      <c r="T180" s="373"/>
      <c r="U180" s="373"/>
      <c r="V180" s="373"/>
    </row>
    <row r="181" spans="1:22" ht="18" x14ac:dyDescent="0.55000000000000004">
      <c r="A181" s="373"/>
      <c r="B181" s="373"/>
      <c r="C181" s="373"/>
      <c r="D181" s="373"/>
      <c r="E181" s="373"/>
      <c r="F181" s="373"/>
      <c r="G181" s="373"/>
      <c r="H181" s="373"/>
      <c r="I181" s="373"/>
      <c r="J181" s="373"/>
      <c r="K181" s="373"/>
      <c r="L181" s="373"/>
      <c r="M181" s="373"/>
      <c r="N181" s="373"/>
      <c r="O181" s="373"/>
      <c r="P181" s="373"/>
      <c r="Q181" s="373"/>
      <c r="R181" s="373"/>
      <c r="S181" s="373"/>
      <c r="T181" s="373"/>
      <c r="U181" s="373"/>
      <c r="V181" s="373"/>
    </row>
    <row r="182" spans="1:22" ht="18" x14ac:dyDescent="0.55000000000000004">
      <c r="A182" s="373"/>
      <c r="B182" s="373"/>
      <c r="C182" s="373"/>
      <c r="D182" s="373"/>
      <c r="E182" s="373"/>
      <c r="F182" s="373"/>
      <c r="G182" s="373"/>
      <c r="H182" s="373"/>
      <c r="I182" s="373"/>
      <c r="J182" s="373"/>
      <c r="K182" s="373"/>
      <c r="L182" s="373"/>
      <c r="M182" s="373"/>
      <c r="N182" s="373"/>
      <c r="O182" s="373"/>
      <c r="P182" s="373"/>
      <c r="Q182" s="373"/>
      <c r="R182" s="373"/>
      <c r="S182" s="373"/>
      <c r="T182" s="373"/>
      <c r="U182" s="373"/>
      <c r="V182" s="373"/>
    </row>
    <row r="183" spans="1:22" ht="18" x14ac:dyDescent="0.55000000000000004">
      <c r="A183" s="373"/>
      <c r="B183" s="373"/>
      <c r="C183" s="373"/>
      <c r="D183" s="373"/>
      <c r="E183" s="373"/>
      <c r="F183" s="373"/>
      <c r="G183" s="373"/>
      <c r="H183" s="373"/>
      <c r="I183" s="373"/>
      <c r="J183" s="373"/>
      <c r="K183" s="373"/>
      <c r="L183" s="373"/>
      <c r="M183" s="373"/>
      <c r="N183" s="373"/>
      <c r="O183" s="373"/>
      <c r="P183" s="373"/>
      <c r="Q183" s="373"/>
      <c r="R183" s="373"/>
      <c r="S183" s="373"/>
      <c r="T183" s="373"/>
      <c r="U183" s="373"/>
      <c r="V183" s="373"/>
    </row>
    <row r="184" spans="1:22" ht="18" x14ac:dyDescent="0.55000000000000004">
      <c r="A184" s="373"/>
      <c r="B184" s="373"/>
      <c r="C184" s="373"/>
      <c r="D184" s="373"/>
      <c r="E184" s="373"/>
      <c r="F184" s="373"/>
      <c r="G184" s="373"/>
      <c r="H184" s="373"/>
      <c r="I184" s="373"/>
      <c r="J184" s="373"/>
      <c r="K184" s="373"/>
      <c r="L184" s="373"/>
      <c r="M184" s="373"/>
      <c r="N184" s="373"/>
      <c r="O184" s="373"/>
      <c r="P184" s="373"/>
      <c r="Q184" s="373"/>
      <c r="R184" s="373"/>
      <c r="S184" s="373"/>
      <c r="T184" s="373"/>
      <c r="U184" s="373"/>
      <c r="V184" s="373"/>
    </row>
    <row r="185" spans="1:22" ht="18" x14ac:dyDescent="0.55000000000000004">
      <c r="A185" s="373"/>
      <c r="B185" s="373"/>
      <c r="C185" s="373"/>
      <c r="D185" s="373"/>
      <c r="E185" s="373"/>
      <c r="F185" s="373"/>
      <c r="G185" s="373"/>
      <c r="H185" s="373"/>
      <c r="I185" s="373"/>
      <c r="J185" s="373"/>
      <c r="K185" s="373"/>
      <c r="L185" s="373"/>
      <c r="M185" s="373"/>
      <c r="N185" s="373"/>
      <c r="O185" s="373"/>
      <c r="P185" s="373"/>
      <c r="Q185" s="373"/>
      <c r="R185" s="373"/>
      <c r="S185" s="373"/>
      <c r="T185" s="373"/>
      <c r="U185" s="373"/>
      <c r="V185" s="373"/>
    </row>
    <row r="186" spans="1:22" ht="18" x14ac:dyDescent="0.55000000000000004">
      <c r="A186" s="373"/>
      <c r="B186" s="373"/>
      <c r="C186" s="373"/>
      <c r="D186" s="373"/>
      <c r="E186" s="373"/>
      <c r="F186" s="373"/>
      <c r="G186" s="373"/>
      <c r="H186" s="373"/>
      <c r="I186" s="373"/>
      <c r="J186" s="373"/>
      <c r="K186" s="373"/>
      <c r="L186" s="373"/>
      <c r="M186" s="373"/>
      <c r="N186" s="373"/>
      <c r="O186" s="373"/>
      <c r="P186" s="373"/>
      <c r="Q186" s="373"/>
      <c r="R186" s="373"/>
      <c r="S186" s="373"/>
      <c r="T186" s="373"/>
      <c r="U186" s="373"/>
      <c r="V186" s="373"/>
    </row>
    <row r="187" spans="1:22" ht="18" x14ac:dyDescent="0.55000000000000004">
      <c r="A187" s="373"/>
      <c r="B187" s="373"/>
      <c r="C187" s="373"/>
      <c r="D187" s="373"/>
      <c r="E187" s="373"/>
      <c r="F187" s="373"/>
      <c r="G187" s="373"/>
      <c r="H187" s="373"/>
      <c r="I187" s="373"/>
      <c r="J187" s="373"/>
      <c r="K187" s="373"/>
      <c r="L187" s="373"/>
      <c r="M187" s="373"/>
      <c r="N187" s="373"/>
      <c r="O187" s="373"/>
      <c r="P187" s="373"/>
      <c r="Q187" s="373"/>
      <c r="R187" s="373"/>
      <c r="S187" s="373"/>
      <c r="T187" s="373"/>
      <c r="U187" s="373"/>
      <c r="V187" s="373"/>
    </row>
    <row r="188" spans="1:22" ht="18" x14ac:dyDescent="0.55000000000000004">
      <c r="A188" s="373"/>
      <c r="B188" s="373"/>
      <c r="C188" s="373"/>
      <c r="D188" s="373"/>
      <c r="E188" s="373"/>
      <c r="F188" s="373"/>
      <c r="G188" s="373"/>
      <c r="H188" s="373"/>
      <c r="I188" s="373"/>
      <c r="J188" s="373"/>
      <c r="K188" s="373"/>
      <c r="L188" s="373"/>
      <c r="M188" s="373"/>
      <c r="N188" s="373"/>
      <c r="O188" s="373"/>
      <c r="P188" s="373"/>
      <c r="Q188" s="373"/>
      <c r="R188" s="373"/>
      <c r="S188" s="373"/>
      <c r="T188" s="373"/>
      <c r="U188" s="373"/>
      <c r="V188" s="373"/>
    </row>
    <row r="189" spans="1:22" ht="18" x14ac:dyDescent="0.55000000000000004">
      <c r="A189" s="373"/>
      <c r="B189" s="373"/>
      <c r="C189" s="373"/>
      <c r="D189" s="373"/>
      <c r="E189" s="373"/>
      <c r="F189" s="373"/>
      <c r="G189" s="373"/>
      <c r="H189" s="373"/>
      <c r="I189" s="373"/>
      <c r="J189" s="373"/>
      <c r="K189" s="373"/>
      <c r="L189" s="373"/>
      <c r="M189" s="373"/>
      <c r="N189" s="373"/>
      <c r="O189" s="373"/>
      <c r="P189" s="373"/>
      <c r="Q189" s="373"/>
      <c r="R189" s="373"/>
      <c r="S189" s="373"/>
      <c r="T189" s="373"/>
      <c r="U189" s="373"/>
      <c r="V189" s="373"/>
    </row>
    <row r="190" spans="1:22" ht="18" x14ac:dyDescent="0.55000000000000004">
      <c r="A190" s="373"/>
      <c r="B190" s="373"/>
      <c r="C190" s="373"/>
      <c r="D190" s="373"/>
      <c r="E190" s="373"/>
      <c r="F190" s="373"/>
      <c r="G190" s="373"/>
      <c r="H190" s="373"/>
      <c r="I190" s="373"/>
      <c r="J190" s="373"/>
      <c r="K190" s="373"/>
      <c r="L190" s="373"/>
      <c r="M190" s="373"/>
      <c r="N190" s="373"/>
      <c r="O190" s="373"/>
      <c r="P190" s="373"/>
      <c r="Q190" s="373"/>
      <c r="R190" s="373"/>
      <c r="S190" s="373"/>
      <c r="T190" s="373"/>
      <c r="U190" s="373"/>
      <c r="V190" s="373"/>
    </row>
    <row r="191" spans="1:22" ht="18" x14ac:dyDescent="0.55000000000000004">
      <c r="A191" s="373"/>
      <c r="B191" s="373"/>
      <c r="C191" s="373"/>
      <c r="D191" s="373"/>
      <c r="E191" s="373"/>
      <c r="F191" s="373"/>
      <c r="G191" s="373"/>
      <c r="H191" s="373"/>
      <c r="I191" s="373"/>
      <c r="J191" s="373"/>
      <c r="K191" s="373"/>
      <c r="L191" s="373"/>
      <c r="M191" s="373"/>
      <c r="N191" s="373"/>
      <c r="O191" s="373"/>
      <c r="P191" s="373"/>
      <c r="Q191" s="373"/>
      <c r="R191" s="373"/>
      <c r="S191" s="373"/>
      <c r="T191" s="373"/>
      <c r="U191" s="373"/>
      <c r="V191" s="373"/>
    </row>
    <row r="192" spans="1:22" ht="18" x14ac:dyDescent="0.55000000000000004">
      <c r="A192" s="373"/>
      <c r="B192" s="373"/>
      <c r="C192" s="373"/>
      <c r="D192" s="373"/>
      <c r="E192" s="373"/>
      <c r="F192" s="373"/>
      <c r="G192" s="373"/>
      <c r="H192" s="373"/>
      <c r="I192" s="373"/>
      <c r="J192" s="373"/>
      <c r="K192" s="373"/>
      <c r="L192" s="373"/>
      <c r="M192" s="373"/>
      <c r="N192" s="373"/>
      <c r="O192" s="373"/>
      <c r="P192" s="373"/>
      <c r="Q192" s="373"/>
      <c r="R192" s="373"/>
      <c r="S192" s="373"/>
      <c r="T192" s="373"/>
      <c r="U192" s="373"/>
      <c r="V192" s="373"/>
    </row>
    <row r="193" spans="1:22" ht="18" x14ac:dyDescent="0.55000000000000004">
      <c r="A193" s="373"/>
      <c r="B193" s="373"/>
      <c r="C193" s="373"/>
      <c r="D193" s="373"/>
      <c r="E193" s="373"/>
      <c r="F193" s="373"/>
      <c r="G193" s="373"/>
      <c r="H193" s="373"/>
      <c r="I193" s="373"/>
      <c r="J193" s="373"/>
      <c r="K193" s="373"/>
      <c r="L193" s="373"/>
      <c r="M193" s="373"/>
      <c r="N193" s="373"/>
      <c r="O193" s="373"/>
      <c r="P193" s="373"/>
      <c r="Q193" s="373"/>
      <c r="R193" s="373"/>
      <c r="S193" s="373"/>
      <c r="T193" s="373"/>
      <c r="U193" s="373"/>
      <c r="V193" s="373"/>
    </row>
    <row r="194" spans="1:22" ht="18" x14ac:dyDescent="0.55000000000000004">
      <c r="A194" s="373"/>
      <c r="B194" s="373"/>
      <c r="C194" s="373"/>
      <c r="D194" s="373"/>
      <c r="E194" s="373"/>
      <c r="F194" s="373"/>
      <c r="G194" s="373"/>
      <c r="H194" s="373"/>
      <c r="I194" s="373"/>
      <c r="J194" s="373"/>
      <c r="K194" s="373"/>
      <c r="L194" s="373"/>
      <c r="M194" s="373"/>
      <c r="N194" s="373"/>
      <c r="O194" s="373"/>
      <c r="P194" s="373"/>
      <c r="Q194" s="373"/>
      <c r="R194" s="373"/>
      <c r="S194" s="373"/>
      <c r="T194" s="373"/>
      <c r="U194" s="373"/>
      <c r="V194" s="373"/>
    </row>
    <row r="195" spans="1:22" ht="18" x14ac:dyDescent="0.55000000000000004">
      <c r="A195" s="373"/>
      <c r="B195" s="373"/>
      <c r="C195" s="373"/>
      <c r="D195" s="373"/>
      <c r="E195" s="373"/>
      <c r="F195" s="373"/>
      <c r="G195" s="373"/>
      <c r="H195" s="373"/>
      <c r="I195" s="373"/>
      <c r="J195" s="373"/>
      <c r="K195" s="373"/>
      <c r="L195" s="373"/>
      <c r="M195" s="373"/>
      <c r="N195" s="373"/>
      <c r="O195" s="373"/>
      <c r="P195" s="373"/>
      <c r="Q195" s="373"/>
      <c r="R195" s="373"/>
      <c r="S195" s="373"/>
      <c r="T195" s="373"/>
      <c r="U195" s="373"/>
      <c r="V195" s="373"/>
    </row>
    <row r="196" spans="1:22" ht="18" x14ac:dyDescent="0.55000000000000004">
      <c r="A196" s="373"/>
      <c r="B196" s="373"/>
      <c r="C196" s="373"/>
      <c r="D196" s="373"/>
      <c r="E196" s="373"/>
      <c r="F196" s="373"/>
      <c r="G196" s="373"/>
      <c r="H196" s="373"/>
      <c r="I196" s="373"/>
      <c r="J196" s="373"/>
      <c r="K196" s="373"/>
      <c r="L196" s="373"/>
      <c r="M196" s="373"/>
      <c r="N196" s="373"/>
      <c r="O196" s="373"/>
      <c r="P196" s="373"/>
      <c r="Q196" s="373"/>
      <c r="R196" s="373"/>
      <c r="S196" s="373"/>
      <c r="T196" s="373"/>
      <c r="U196" s="373"/>
      <c r="V196" s="373"/>
    </row>
    <row r="197" spans="1:22" ht="18" x14ac:dyDescent="0.55000000000000004">
      <c r="A197" s="373"/>
      <c r="B197" s="373"/>
      <c r="C197" s="373"/>
      <c r="D197" s="373"/>
      <c r="E197" s="373"/>
      <c r="F197" s="373"/>
      <c r="G197" s="373"/>
      <c r="H197" s="373"/>
      <c r="I197" s="373"/>
      <c r="J197" s="373"/>
      <c r="K197" s="373"/>
      <c r="L197" s="373"/>
      <c r="M197" s="373"/>
      <c r="N197" s="373"/>
      <c r="O197" s="373"/>
      <c r="P197" s="373"/>
      <c r="Q197" s="373"/>
      <c r="R197" s="373"/>
      <c r="S197" s="373"/>
      <c r="T197" s="373"/>
      <c r="U197" s="373"/>
      <c r="V197" s="373"/>
    </row>
    <row r="198" spans="1:22" ht="18" x14ac:dyDescent="0.55000000000000004">
      <c r="A198" s="373"/>
      <c r="B198" s="373"/>
      <c r="C198" s="373"/>
      <c r="D198" s="373"/>
      <c r="E198" s="373"/>
      <c r="F198" s="373"/>
      <c r="G198" s="373"/>
      <c r="H198" s="373"/>
      <c r="I198" s="373"/>
      <c r="J198" s="373"/>
      <c r="K198" s="373"/>
      <c r="L198" s="373"/>
      <c r="M198" s="373"/>
      <c r="N198" s="373"/>
      <c r="O198" s="373"/>
      <c r="P198" s="373"/>
      <c r="Q198" s="373"/>
      <c r="R198" s="373"/>
      <c r="S198" s="373"/>
      <c r="T198" s="373"/>
      <c r="U198" s="373"/>
      <c r="V198" s="373"/>
    </row>
    <row r="199" spans="1:22" ht="18" x14ac:dyDescent="0.55000000000000004">
      <c r="A199" s="373"/>
      <c r="B199" s="373"/>
      <c r="C199" s="373"/>
      <c r="D199" s="373"/>
      <c r="E199" s="373"/>
      <c r="F199" s="373"/>
      <c r="G199" s="373"/>
      <c r="H199" s="373"/>
      <c r="I199" s="373"/>
      <c r="J199" s="373"/>
      <c r="K199" s="373"/>
      <c r="L199" s="373"/>
      <c r="M199" s="373"/>
      <c r="N199" s="373"/>
      <c r="O199" s="373"/>
      <c r="P199" s="373"/>
      <c r="Q199" s="373"/>
      <c r="R199" s="373"/>
      <c r="S199" s="373"/>
      <c r="T199" s="373"/>
      <c r="U199" s="373"/>
      <c r="V199" s="373"/>
    </row>
    <row r="200" spans="1:22" ht="18" x14ac:dyDescent="0.55000000000000004">
      <c r="A200" s="373"/>
      <c r="B200" s="373"/>
      <c r="C200" s="373"/>
      <c r="D200" s="373"/>
      <c r="E200" s="373"/>
      <c r="F200" s="373"/>
      <c r="G200" s="373"/>
      <c r="H200" s="373"/>
      <c r="I200" s="373"/>
      <c r="J200" s="373"/>
      <c r="K200" s="373"/>
      <c r="L200" s="373"/>
      <c r="M200" s="373"/>
      <c r="N200" s="373"/>
      <c r="O200" s="373"/>
      <c r="P200" s="373"/>
      <c r="Q200" s="373"/>
      <c r="R200" s="373"/>
      <c r="S200" s="373"/>
      <c r="T200" s="373"/>
      <c r="U200" s="373"/>
      <c r="V200" s="373"/>
    </row>
    <row r="201" spans="1:22" ht="18" x14ac:dyDescent="0.55000000000000004">
      <c r="A201" s="373"/>
      <c r="B201" s="373"/>
      <c r="C201" s="373"/>
      <c r="D201" s="373"/>
      <c r="E201" s="373"/>
      <c r="F201" s="373"/>
      <c r="G201" s="373"/>
      <c r="H201" s="373"/>
      <c r="I201" s="373"/>
      <c r="J201" s="373"/>
      <c r="K201" s="373"/>
      <c r="L201" s="373"/>
      <c r="M201" s="373"/>
      <c r="N201" s="373"/>
      <c r="O201" s="373"/>
      <c r="P201" s="373"/>
      <c r="Q201" s="373"/>
      <c r="R201" s="373"/>
      <c r="S201" s="373"/>
      <c r="T201" s="373"/>
      <c r="U201" s="373"/>
      <c r="V201" s="373"/>
    </row>
    <row r="202" spans="1:22" ht="18" x14ac:dyDescent="0.55000000000000004">
      <c r="A202" s="373"/>
      <c r="B202" s="373"/>
      <c r="C202" s="373"/>
      <c r="D202" s="373"/>
      <c r="E202" s="373"/>
      <c r="F202" s="373"/>
      <c r="G202" s="373"/>
      <c r="H202" s="373"/>
      <c r="I202" s="373"/>
      <c r="J202" s="373"/>
      <c r="K202" s="373"/>
      <c r="L202" s="373"/>
      <c r="M202" s="373"/>
      <c r="N202" s="373"/>
      <c r="O202" s="373"/>
      <c r="P202" s="373"/>
      <c r="Q202" s="373"/>
      <c r="R202" s="373"/>
      <c r="S202" s="373"/>
      <c r="T202" s="373"/>
      <c r="U202" s="373"/>
      <c r="V202" s="373"/>
    </row>
    <row r="203" spans="1:22" ht="18" x14ac:dyDescent="0.55000000000000004">
      <c r="A203" s="373"/>
      <c r="B203" s="373"/>
      <c r="C203" s="373"/>
      <c r="D203" s="373"/>
      <c r="E203" s="373"/>
      <c r="F203" s="373"/>
      <c r="G203" s="373"/>
      <c r="H203" s="373"/>
      <c r="I203" s="373"/>
      <c r="J203" s="373"/>
      <c r="K203" s="373"/>
      <c r="L203" s="373"/>
      <c r="M203" s="373"/>
      <c r="N203" s="373"/>
      <c r="O203" s="373"/>
      <c r="P203" s="373"/>
      <c r="Q203" s="373"/>
      <c r="R203" s="373"/>
      <c r="S203" s="373"/>
      <c r="T203" s="373"/>
      <c r="U203" s="373"/>
      <c r="V203" s="373"/>
    </row>
    <row r="204" spans="1:22" ht="18" x14ac:dyDescent="0.55000000000000004">
      <c r="A204" s="373"/>
      <c r="B204" s="373"/>
      <c r="C204" s="373"/>
      <c r="D204" s="373"/>
      <c r="E204" s="373"/>
      <c r="F204" s="373"/>
      <c r="G204" s="373"/>
      <c r="H204" s="373"/>
      <c r="I204" s="373"/>
      <c r="J204" s="373"/>
      <c r="K204" s="373"/>
      <c r="L204" s="373"/>
      <c r="M204" s="373"/>
      <c r="N204" s="373"/>
      <c r="O204" s="373"/>
      <c r="P204" s="373"/>
      <c r="Q204" s="373"/>
      <c r="R204" s="373"/>
      <c r="S204" s="373"/>
      <c r="T204" s="373"/>
      <c r="U204" s="373"/>
      <c r="V204" s="373"/>
    </row>
    <row r="205" spans="1:22" ht="18" x14ac:dyDescent="0.55000000000000004">
      <c r="A205" s="373"/>
      <c r="B205" s="373"/>
      <c r="C205" s="373"/>
      <c r="D205" s="373"/>
      <c r="E205" s="373"/>
      <c r="F205" s="373"/>
      <c r="G205" s="373"/>
      <c r="H205" s="373"/>
      <c r="I205" s="373"/>
      <c r="J205" s="373"/>
      <c r="K205" s="373"/>
      <c r="L205" s="373"/>
      <c r="M205" s="373"/>
      <c r="N205" s="373"/>
      <c r="O205" s="373"/>
      <c r="P205" s="373"/>
      <c r="Q205" s="373"/>
      <c r="R205" s="373"/>
      <c r="S205" s="373"/>
      <c r="T205" s="373"/>
      <c r="U205" s="373"/>
      <c r="V205" s="373"/>
    </row>
    <row r="206" spans="1:22" ht="18" x14ac:dyDescent="0.55000000000000004">
      <c r="A206" s="373"/>
      <c r="B206" s="373"/>
      <c r="C206" s="373"/>
      <c r="D206" s="373"/>
      <c r="E206" s="373"/>
      <c r="F206" s="373"/>
      <c r="G206" s="373"/>
      <c r="H206" s="373"/>
      <c r="I206" s="373"/>
      <c r="J206" s="373"/>
      <c r="K206" s="373"/>
      <c r="L206" s="373"/>
      <c r="M206" s="373"/>
      <c r="N206" s="373"/>
      <c r="O206" s="373"/>
      <c r="P206" s="373"/>
      <c r="Q206" s="373"/>
      <c r="R206" s="373"/>
      <c r="S206" s="373"/>
      <c r="T206" s="373"/>
      <c r="U206" s="373"/>
      <c r="V206" s="373"/>
    </row>
    <row r="207" spans="1:22" ht="18" x14ac:dyDescent="0.55000000000000004">
      <c r="A207" s="373"/>
      <c r="B207" s="373"/>
      <c r="C207" s="373"/>
      <c r="D207" s="373"/>
      <c r="E207" s="373"/>
      <c r="F207" s="373"/>
      <c r="G207" s="373"/>
      <c r="H207" s="373"/>
      <c r="I207" s="373"/>
      <c r="J207" s="373"/>
      <c r="K207" s="373"/>
      <c r="L207" s="373"/>
      <c r="M207" s="373"/>
      <c r="N207" s="373"/>
      <c r="O207" s="373"/>
      <c r="P207" s="373"/>
      <c r="Q207" s="373"/>
      <c r="R207" s="373"/>
      <c r="S207" s="373"/>
      <c r="T207" s="373"/>
      <c r="U207" s="373"/>
      <c r="V207" s="373"/>
    </row>
    <row r="208" spans="1:22" ht="18" x14ac:dyDescent="0.55000000000000004">
      <c r="A208" s="373"/>
      <c r="B208" s="373"/>
      <c r="C208" s="373"/>
      <c r="D208" s="373"/>
      <c r="E208" s="373"/>
      <c r="F208" s="373"/>
      <c r="G208" s="373"/>
      <c r="H208" s="373"/>
      <c r="I208" s="373"/>
      <c r="J208" s="373"/>
      <c r="K208" s="373"/>
      <c r="L208" s="373"/>
      <c r="M208" s="373"/>
      <c r="N208" s="373"/>
      <c r="O208" s="373"/>
      <c r="P208" s="373"/>
      <c r="Q208" s="373"/>
      <c r="R208" s="373"/>
      <c r="S208" s="373"/>
      <c r="T208" s="373"/>
      <c r="U208" s="373"/>
      <c r="V208" s="373"/>
    </row>
    <row r="209" spans="1:22" ht="18" x14ac:dyDescent="0.55000000000000004">
      <c r="A209" s="373"/>
      <c r="B209" s="373"/>
      <c r="C209" s="373"/>
      <c r="D209" s="373"/>
      <c r="E209" s="373"/>
      <c r="F209" s="373"/>
      <c r="G209" s="373"/>
      <c r="H209" s="373"/>
      <c r="I209" s="373"/>
      <c r="J209" s="373"/>
      <c r="K209" s="373"/>
      <c r="L209" s="373"/>
      <c r="M209" s="373"/>
      <c r="N209" s="373"/>
      <c r="O209" s="373"/>
      <c r="P209" s="373"/>
      <c r="Q209" s="373"/>
      <c r="R209" s="373"/>
      <c r="S209" s="373"/>
      <c r="T209" s="373"/>
      <c r="U209" s="373"/>
      <c r="V209" s="373"/>
    </row>
    <row r="210" spans="1:22" ht="18" x14ac:dyDescent="0.55000000000000004">
      <c r="A210" s="373"/>
      <c r="B210" s="373"/>
      <c r="C210" s="373"/>
      <c r="D210" s="373"/>
      <c r="E210" s="373"/>
      <c r="F210" s="373"/>
      <c r="G210" s="373"/>
      <c r="H210" s="373"/>
      <c r="I210" s="373"/>
      <c r="J210" s="373"/>
      <c r="K210" s="373"/>
      <c r="L210" s="373"/>
      <c r="M210" s="373"/>
      <c r="N210" s="373"/>
      <c r="O210" s="373"/>
      <c r="P210" s="373"/>
      <c r="Q210" s="373"/>
      <c r="R210" s="373"/>
      <c r="S210" s="373"/>
      <c r="T210" s="373"/>
      <c r="U210" s="373"/>
      <c r="V210" s="373"/>
    </row>
    <row r="211" spans="1:22" ht="18" x14ac:dyDescent="0.55000000000000004">
      <c r="A211" s="373"/>
      <c r="B211" s="373"/>
      <c r="C211" s="373"/>
      <c r="D211" s="373"/>
      <c r="E211" s="373"/>
      <c r="F211" s="373"/>
      <c r="G211" s="373"/>
      <c r="H211" s="373"/>
      <c r="I211" s="373"/>
      <c r="J211" s="373"/>
      <c r="K211" s="373"/>
      <c r="L211" s="373"/>
      <c r="M211" s="373"/>
      <c r="N211" s="373"/>
      <c r="O211" s="373"/>
      <c r="P211" s="373"/>
      <c r="Q211" s="373"/>
      <c r="R211" s="373"/>
      <c r="S211" s="373"/>
      <c r="T211" s="373"/>
      <c r="U211" s="373"/>
      <c r="V211" s="373"/>
    </row>
    <row r="212" spans="1:22" ht="18" x14ac:dyDescent="0.55000000000000004">
      <c r="A212" s="373"/>
      <c r="B212" s="373"/>
      <c r="C212" s="373"/>
      <c r="D212" s="373"/>
      <c r="E212" s="373"/>
      <c r="F212" s="373"/>
      <c r="G212" s="373"/>
      <c r="H212" s="373"/>
      <c r="I212" s="373"/>
      <c r="J212" s="373"/>
      <c r="K212" s="373"/>
      <c r="L212" s="373"/>
      <c r="M212" s="373"/>
      <c r="N212" s="373"/>
      <c r="O212" s="373"/>
      <c r="P212" s="373"/>
      <c r="Q212" s="373"/>
      <c r="R212" s="373"/>
      <c r="S212" s="373"/>
      <c r="T212" s="373"/>
      <c r="U212" s="373"/>
      <c r="V212" s="373"/>
    </row>
    <row r="213" spans="1:22" ht="18" x14ac:dyDescent="0.55000000000000004">
      <c r="A213" s="373"/>
      <c r="B213" s="373"/>
      <c r="C213" s="373"/>
      <c r="D213" s="373"/>
      <c r="E213" s="373"/>
      <c r="F213" s="373"/>
      <c r="G213" s="373"/>
      <c r="H213" s="373"/>
      <c r="I213" s="373"/>
      <c r="J213" s="373"/>
      <c r="K213" s="373"/>
      <c r="L213" s="373"/>
      <c r="M213" s="373"/>
      <c r="N213" s="373"/>
      <c r="O213" s="373"/>
      <c r="P213" s="373"/>
      <c r="Q213" s="373"/>
      <c r="R213" s="373"/>
      <c r="S213" s="373"/>
      <c r="T213" s="373"/>
      <c r="U213" s="373"/>
      <c r="V213" s="373"/>
    </row>
    <row r="214" spans="1:22" ht="18" x14ac:dyDescent="0.55000000000000004">
      <c r="A214" s="373"/>
      <c r="B214" s="373"/>
      <c r="C214" s="373"/>
      <c r="D214" s="373"/>
      <c r="E214" s="373"/>
      <c r="F214" s="373"/>
      <c r="G214" s="373"/>
      <c r="H214" s="373"/>
      <c r="I214" s="373"/>
      <c r="J214" s="373"/>
      <c r="K214" s="373"/>
      <c r="L214" s="373"/>
      <c r="M214" s="373"/>
      <c r="N214" s="373"/>
      <c r="O214" s="373"/>
      <c r="P214" s="373"/>
      <c r="Q214" s="373"/>
      <c r="R214" s="373"/>
      <c r="S214" s="373"/>
      <c r="T214" s="373"/>
      <c r="U214" s="373"/>
      <c r="V214" s="373"/>
    </row>
    <row r="215" spans="1:22" ht="18" x14ac:dyDescent="0.55000000000000004">
      <c r="A215" s="373"/>
      <c r="B215" s="373"/>
      <c r="C215" s="373"/>
      <c r="D215" s="373"/>
      <c r="E215" s="373"/>
      <c r="F215" s="373"/>
      <c r="G215" s="373"/>
      <c r="H215" s="373"/>
      <c r="I215" s="373"/>
      <c r="J215" s="373"/>
      <c r="K215" s="373"/>
      <c r="L215" s="373"/>
      <c r="M215" s="373"/>
      <c r="N215" s="373"/>
      <c r="O215" s="373"/>
      <c r="P215" s="373"/>
      <c r="Q215" s="373"/>
      <c r="R215" s="373"/>
      <c r="S215" s="373"/>
      <c r="T215" s="373"/>
      <c r="U215" s="373"/>
      <c r="V215" s="373"/>
    </row>
    <row r="216" spans="1:22" ht="18" x14ac:dyDescent="0.55000000000000004">
      <c r="A216" s="373"/>
      <c r="B216" s="373"/>
      <c r="C216" s="373"/>
      <c r="D216" s="373"/>
      <c r="E216" s="373"/>
      <c r="F216" s="373"/>
      <c r="G216" s="373"/>
      <c r="H216" s="373"/>
      <c r="I216" s="373"/>
      <c r="J216" s="373"/>
      <c r="K216" s="373"/>
      <c r="L216" s="373"/>
      <c r="M216" s="373"/>
      <c r="N216" s="373"/>
      <c r="O216" s="373"/>
      <c r="P216" s="373"/>
      <c r="Q216" s="373"/>
      <c r="R216" s="373"/>
      <c r="S216" s="373"/>
      <c r="T216" s="373"/>
      <c r="U216" s="373"/>
      <c r="V216" s="373"/>
    </row>
    <row r="217" spans="1:22" ht="18" x14ac:dyDescent="0.55000000000000004">
      <c r="A217" s="373"/>
      <c r="B217" s="373"/>
      <c r="C217" s="373"/>
      <c r="D217" s="373"/>
      <c r="E217" s="373"/>
      <c r="F217" s="373"/>
      <c r="G217" s="373"/>
      <c r="H217" s="373"/>
      <c r="I217" s="373"/>
      <c r="J217" s="373"/>
      <c r="K217" s="373"/>
      <c r="L217" s="373"/>
      <c r="M217" s="373"/>
      <c r="N217" s="373"/>
      <c r="O217" s="373"/>
      <c r="P217" s="373"/>
      <c r="Q217" s="373"/>
      <c r="R217" s="373"/>
      <c r="S217" s="373"/>
      <c r="T217" s="373"/>
      <c r="U217" s="373"/>
      <c r="V217" s="373"/>
    </row>
    <row r="218" spans="1:22" ht="18" x14ac:dyDescent="0.55000000000000004">
      <c r="A218" s="373"/>
      <c r="B218" s="373"/>
      <c r="C218" s="373"/>
      <c r="D218" s="373"/>
      <c r="E218" s="373"/>
      <c r="F218" s="373"/>
      <c r="G218" s="373"/>
      <c r="H218" s="373"/>
      <c r="I218" s="373"/>
      <c r="J218" s="373"/>
      <c r="K218" s="373"/>
      <c r="L218" s="373"/>
      <c r="M218" s="373"/>
      <c r="N218" s="373"/>
      <c r="O218" s="373"/>
      <c r="P218" s="373"/>
      <c r="Q218" s="373"/>
      <c r="R218" s="373"/>
      <c r="S218" s="373"/>
      <c r="T218" s="373"/>
      <c r="U218" s="373"/>
      <c r="V218" s="373"/>
    </row>
    <row r="219" spans="1:22" ht="18" x14ac:dyDescent="0.55000000000000004">
      <c r="A219" s="373"/>
      <c r="B219" s="373"/>
      <c r="C219" s="373"/>
      <c r="D219" s="373"/>
      <c r="E219" s="373"/>
      <c r="F219" s="373"/>
      <c r="G219" s="373"/>
      <c r="H219" s="373"/>
      <c r="I219" s="373"/>
      <c r="J219" s="373"/>
      <c r="K219" s="373"/>
      <c r="L219" s="373"/>
      <c r="M219" s="373"/>
      <c r="N219" s="373"/>
      <c r="O219" s="373"/>
      <c r="P219" s="373"/>
      <c r="Q219" s="373"/>
      <c r="R219" s="373"/>
      <c r="S219" s="373"/>
      <c r="T219" s="373"/>
      <c r="U219" s="373"/>
      <c r="V219" s="373"/>
    </row>
    <row r="220" spans="1:22" ht="18" x14ac:dyDescent="0.55000000000000004">
      <c r="A220" s="373"/>
      <c r="B220" s="373"/>
      <c r="C220" s="373"/>
      <c r="D220" s="373"/>
      <c r="E220" s="373"/>
      <c r="F220" s="373"/>
      <c r="G220" s="373"/>
      <c r="H220" s="373"/>
      <c r="I220" s="373"/>
      <c r="J220" s="373"/>
      <c r="K220" s="373"/>
      <c r="L220" s="373"/>
      <c r="M220" s="373"/>
      <c r="N220" s="373"/>
      <c r="O220" s="373"/>
      <c r="P220" s="373"/>
      <c r="Q220" s="373"/>
      <c r="R220" s="373"/>
      <c r="S220" s="373"/>
      <c r="T220" s="373"/>
      <c r="U220" s="373"/>
      <c r="V220" s="373"/>
    </row>
    <row r="221" spans="1:22" ht="18" x14ac:dyDescent="0.55000000000000004">
      <c r="A221" s="373"/>
      <c r="B221" s="373"/>
      <c r="C221" s="373"/>
      <c r="D221" s="373"/>
      <c r="E221" s="373"/>
      <c r="F221" s="373"/>
      <c r="G221" s="373"/>
      <c r="H221" s="373"/>
      <c r="I221" s="373"/>
      <c r="J221" s="373"/>
      <c r="K221" s="373"/>
      <c r="L221" s="373"/>
      <c r="M221" s="373"/>
      <c r="N221" s="373"/>
      <c r="O221" s="373"/>
      <c r="P221" s="373"/>
      <c r="Q221" s="373"/>
      <c r="R221" s="373"/>
      <c r="S221" s="373"/>
      <c r="T221" s="373"/>
      <c r="U221" s="373"/>
      <c r="V221" s="373"/>
    </row>
    <row r="222" spans="1:22" ht="18" x14ac:dyDescent="0.55000000000000004">
      <c r="A222" s="373"/>
      <c r="B222" s="373"/>
      <c r="C222" s="373"/>
      <c r="D222" s="373"/>
      <c r="E222" s="373"/>
      <c r="F222" s="373"/>
      <c r="G222" s="373"/>
      <c r="H222" s="373"/>
      <c r="I222" s="373"/>
      <c r="J222" s="373"/>
      <c r="K222" s="373"/>
      <c r="L222" s="373"/>
      <c r="M222" s="373"/>
      <c r="N222" s="373"/>
      <c r="O222" s="373"/>
      <c r="P222" s="373"/>
      <c r="Q222" s="373"/>
      <c r="R222" s="373"/>
      <c r="S222" s="373"/>
      <c r="T222" s="373"/>
      <c r="U222" s="373"/>
      <c r="V222" s="373"/>
    </row>
    <row r="223" spans="1:22" ht="18" x14ac:dyDescent="0.55000000000000004">
      <c r="A223" s="373"/>
      <c r="B223" s="373"/>
      <c r="C223" s="373"/>
      <c r="D223" s="373"/>
      <c r="E223" s="373"/>
      <c r="F223" s="373"/>
      <c r="G223" s="373"/>
      <c r="H223" s="373"/>
      <c r="I223" s="373"/>
      <c r="J223" s="373"/>
      <c r="K223" s="373"/>
      <c r="L223" s="373"/>
      <c r="M223" s="373"/>
      <c r="N223" s="373"/>
      <c r="O223" s="373"/>
      <c r="P223" s="373"/>
      <c r="Q223" s="373"/>
      <c r="R223" s="373"/>
      <c r="S223" s="373"/>
      <c r="T223" s="373"/>
      <c r="U223" s="373"/>
      <c r="V223" s="373"/>
    </row>
    <row r="224" spans="1:22" ht="18" x14ac:dyDescent="0.55000000000000004">
      <c r="A224" s="373"/>
      <c r="B224" s="373"/>
      <c r="C224" s="373"/>
      <c r="D224" s="373"/>
      <c r="E224" s="373"/>
      <c r="F224" s="373"/>
      <c r="G224" s="373"/>
      <c r="H224" s="373"/>
      <c r="I224" s="373"/>
      <c r="J224" s="373"/>
      <c r="K224" s="373"/>
      <c r="L224" s="373"/>
      <c r="M224" s="373"/>
      <c r="N224" s="373"/>
      <c r="O224" s="373"/>
      <c r="P224" s="373"/>
      <c r="Q224" s="373"/>
      <c r="R224" s="373"/>
      <c r="S224" s="373"/>
      <c r="T224" s="373"/>
      <c r="U224" s="373"/>
      <c r="V224" s="373"/>
    </row>
    <row r="225" spans="1:22" ht="18" x14ac:dyDescent="0.55000000000000004">
      <c r="A225" s="373"/>
      <c r="B225" s="373"/>
      <c r="C225" s="373"/>
      <c r="D225" s="373"/>
      <c r="E225" s="373"/>
      <c r="F225" s="373"/>
      <c r="G225" s="373"/>
      <c r="H225" s="373"/>
      <c r="I225" s="373"/>
      <c r="J225" s="373"/>
      <c r="K225" s="373"/>
      <c r="L225" s="373"/>
      <c r="M225" s="373"/>
      <c r="N225" s="373"/>
      <c r="O225" s="373"/>
      <c r="P225" s="373"/>
      <c r="Q225" s="373"/>
      <c r="R225" s="373"/>
      <c r="S225" s="373"/>
      <c r="T225" s="373"/>
      <c r="U225" s="373"/>
      <c r="V225" s="373"/>
    </row>
    <row r="226" spans="1:22" ht="18" x14ac:dyDescent="0.55000000000000004">
      <c r="A226" s="373"/>
      <c r="B226" s="373"/>
      <c r="C226" s="373"/>
      <c r="D226" s="373"/>
      <c r="E226" s="373"/>
      <c r="F226" s="373"/>
      <c r="G226" s="373"/>
      <c r="H226" s="373"/>
      <c r="I226" s="373"/>
      <c r="J226" s="373"/>
      <c r="K226" s="373"/>
      <c r="L226" s="373"/>
      <c r="M226" s="373"/>
      <c r="N226" s="373"/>
      <c r="O226" s="373"/>
      <c r="P226" s="373"/>
      <c r="Q226" s="373"/>
      <c r="R226" s="373"/>
      <c r="S226" s="373"/>
      <c r="T226" s="373"/>
      <c r="U226" s="373"/>
      <c r="V226" s="373"/>
    </row>
    <row r="227" spans="1:22" ht="18" x14ac:dyDescent="0.55000000000000004">
      <c r="A227" s="373"/>
      <c r="B227" s="373"/>
      <c r="C227" s="373"/>
      <c r="D227" s="373"/>
      <c r="E227" s="373"/>
      <c r="F227" s="373"/>
      <c r="G227" s="373"/>
      <c r="H227" s="373"/>
      <c r="I227" s="373"/>
      <c r="J227" s="373"/>
      <c r="K227" s="373"/>
      <c r="L227" s="373"/>
      <c r="M227" s="373"/>
      <c r="N227" s="373"/>
      <c r="O227" s="373"/>
      <c r="P227" s="373"/>
      <c r="Q227" s="373"/>
      <c r="R227" s="373"/>
      <c r="S227" s="373"/>
      <c r="T227" s="373"/>
      <c r="U227" s="373"/>
      <c r="V227" s="373"/>
    </row>
    <row r="228" spans="1:22" ht="18" x14ac:dyDescent="0.55000000000000004">
      <c r="A228" s="373"/>
      <c r="B228" s="373"/>
      <c r="C228" s="373"/>
      <c r="D228" s="373"/>
      <c r="E228" s="373"/>
      <c r="F228" s="373"/>
      <c r="G228" s="373"/>
      <c r="H228" s="373"/>
      <c r="I228" s="373"/>
      <c r="J228" s="373"/>
      <c r="K228" s="373"/>
      <c r="L228" s="373"/>
      <c r="M228" s="373"/>
      <c r="N228" s="373"/>
      <c r="O228" s="373"/>
      <c r="P228" s="373"/>
      <c r="Q228" s="373"/>
      <c r="R228" s="373"/>
      <c r="S228" s="373"/>
      <c r="T228" s="373"/>
      <c r="U228" s="373"/>
      <c r="V228" s="373"/>
    </row>
    <row r="229" spans="1:22" ht="18" x14ac:dyDescent="0.55000000000000004">
      <c r="A229" s="373"/>
      <c r="B229" s="373"/>
      <c r="C229" s="373"/>
      <c r="D229" s="373"/>
      <c r="E229" s="373"/>
      <c r="F229" s="373"/>
      <c r="G229" s="373"/>
      <c r="H229" s="373"/>
      <c r="I229" s="373"/>
      <c r="J229" s="373"/>
      <c r="K229" s="373"/>
      <c r="L229" s="373"/>
      <c r="M229" s="373"/>
      <c r="N229" s="373"/>
      <c r="O229" s="373"/>
      <c r="P229" s="373"/>
      <c r="Q229" s="373"/>
      <c r="R229" s="373"/>
      <c r="S229" s="373"/>
      <c r="T229" s="373"/>
      <c r="U229" s="373"/>
      <c r="V229" s="373"/>
    </row>
    <row r="230" spans="1:22" ht="18" x14ac:dyDescent="0.55000000000000004">
      <c r="A230" s="373"/>
      <c r="B230" s="373"/>
      <c r="C230" s="373"/>
      <c r="D230" s="373"/>
      <c r="E230" s="373"/>
      <c r="F230" s="373"/>
      <c r="G230" s="373"/>
      <c r="H230" s="373"/>
      <c r="I230" s="373"/>
      <c r="J230" s="373"/>
      <c r="K230" s="373"/>
      <c r="L230" s="373"/>
      <c r="M230" s="373"/>
      <c r="N230" s="373"/>
      <c r="O230" s="373"/>
      <c r="P230" s="373"/>
      <c r="Q230" s="373"/>
      <c r="R230" s="373"/>
      <c r="S230" s="373"/>
      <c r="T230" s="373"/>
      <c r="U230" s="373"/>
      <c r="V230" s="373"/>
    </row>
    <row r="231" spans="1:22" ht="18" x14ac:dyDescent="0.55000000000000004">
      <c r="A231" s="373"/>
      <c r="B231" s="373"/>
      <c r="C231" s="373"/>
      <c r="D231" s="373"/>
      <c r="E231" s="373"/>
      <c r="F231" s="373"/>
      <c r="G231" s="373"/>
      <c r="H231" s="373"/>
      <c r="I231" s="373"/>
      <c r="J231" s="373"/>
      <c r="K231" s="373"/>
      <c r="L231" s="373"/>
      <c r="M231" s="373"/>
      <c r="N231" s="373"/>
      <c r="O231" s="373"/>
      <c r="P231" s="373"/>
      <c r="Q231" s="373"/>
      <c r="R231" s="373"/>
      <c r="S231" s="373"/>
      <c r="T231" s="373"/>
      <c r="U231" s="373"/>
      <c r="V231" s="373"/>
    </row>
    <row r="232" spans="1:22" ht="18" x14ac:dyDescent="0.55000000000000004">
      <c r="A232" s="373"/>
      <c r="B232" s="373"/>
      <c r="C232" s="373"/>
      <c r="D232" s="373"/>
      <c r="E232" s="373"/>
      <c r="F232" s="373"/>
      <c r="G232" s="373"/>
      <c r="H232" s="373"/>
      <c r="I232" s="373"/>
      <c r="J232" s="373"/>
      <c r="K232" s="373"/>
      <c r="L232" s="373"/>
      <c r="M232" s="373"/>
      <c r="N232" s="373"/>
      <c r="O232" s="373"/>
      <c r="P232" s="373"/>
      <c r="Q232" s="373"/>
      <c r="R232" s="373"/>
      <c r="S232" s="373"/>
      <c r="T232" s="373"/>
      <c r="U232" s="373"/>
      <c r="V232" s="373"/>
    </row>
    <row r="233" spans="1:22" ht="18" x14ac:dyDescent="0.55000000000000004">
      <c r="A233" s="373"/>
      <c r="B233" s="373"/>
      <c r="C233" s="373"/>
      <c r="D233" s="373"/>
      <c r="E233" s="373"/>
      <c r="F233" s="373"/>
      <c r="G233" s="373"/>
      <c r="H233" s="373"/>
      <c r="I233" s="373"/>
      <c r="J233" s="373"/>
      <c r="K233" s="373"/>
      <c r="L233" s="373"/>
      <c r="M233" s="373"/>
      <c r="N233" s="373"/>
      <c r="O233" s="373"/>
      <c r="P233" s="373"/>
      <c r="Q233" s="373"/>
      <c r="R233" s="373"/>
      <c r="S233" s="373"/>
      <c r="T233" s="373"/>
      <c r="U233" s="373"/>
      <c r="V233" s="373"/>
    </row>
    <row r="234" spans="1:22" ht="18" x14ac:dyDescent="0.55000000000000004">
      <c r="A234" s="373"/>
      <c r="B234" s="373"/>
      <c r="C234" s="373"/>
      <c r="D234" s="373"/>
      <c r="E234" s="373"/>
      <c r="F234" s="373"/>
      <c r="G234" s="373"/>
      <c r="H234" s="373"/>
      <c r="I234" s="373"/>
      <c r="J234" s="373"/>
      <c r="K234" s="373"/>
      <c r="L234" s="373"/>
      <c r="M234" s="373"/>
      <c r="N234" s="373"/>
      <c r="O234" s="373"/>
      <c r="P234" s="373"/>
      <c r="Q234" s="373"/>
      <c r="R234" s="373"/>
      <c r="S234" s="373"/>
      <c r="T234" s="373"/>
      <c r="U234" s="373"/>
      <c r="V234" s="373"/>
    </row>
    <row r="235" spans="1:22" ht="18" x14ac:dyDescent="0.55000000000000004">
      <c r="A235" s="373"/>
      <c r="B235" s="373"/>
      <c r="C235" s="373"/>
      <c r="D235" s="373"/>
      <c r="E235" s="373"/>
      <c r="F235" s="373"/>
      <c r="G235" s="373"/>
      <c r="H235" s="373"/>
      <c r="I235" s="373"/>
      <c r="J235" s="373"/>
      <c r="K235" s="373"/>
      <c r="L235" s="373"/>
      <c r="M235" s="373"/>
      <c r="N235" s="373"/>
      <c r="O235" s="373"/>
      <c r="P235" s="373"/>
      <c r="Q235" s="373"/>
      <c r="R235" s="373"/>
      <c r="S235" s="373"/>
      <c r="T235" s="373"/>
      <c r="U235" s="373"/>
      <c r="V235" s="373"/>
    </row>
    <row r="236" spans="1:22" ht="18" x14ac:dyDescent="0.55000000000000004">
      <c r="A236" s="373"/>
      <c r="B236" s="373"/>
      <c r="C236" s="373"/>
      <c r="D236" s="373"/>
      <c r="E236" s="373"/>
      <c r="F236" s="373"/>
      <c r="G236" s="373"/>
      <c r="H236" s="373"/>
      <c r="I236" s="373"/>
      <c r="J236" s="373"/>
      <c r="K236" s="373"/>
      <c r="L236" s="373"/>
      <c r="M236" s="373"/>
      <c r="N236" s="373"/>
      <c r="O236" s="373"/>
      <c r="P236" s="373"/>
      <c r="Q236" s="373"/>
      <c r="R236" s="373"/>
      <c r="S236" s="373"/>
      <c r="T236" s="373"/>
      <c r="U236" s="373"/>
      <c r="V236" s="373"/>
    </row>
    <row r="237" spans="1:22" ht="18" x14ac:dyDescent="0.55000000000000004">
      <c r="A237" s="373"/>
      <c r="B237" s="373"/>
      <c r="C237" s="373"/>
      <c r="D237" s="373"/>
      <c r="E237" s="373"/>
      <c r="F237" s="373"/>
      <c r="G237" s="373"/>
      <c r="H237" s="373"/>
      <c r="I237" s="373"/>
      <c r="J237" s="373"/>
      <c r="K237" s="373"/>
      <c r="L237" s="373"/>
      <c r="M237" s="373"/>
      <c r="N237" s="373"/>
      <c r="O237" s="373"/>
      <c r="P237" s="373"/>
      <c r="Q237" s="373"/>
      <c r="R237" s="373"/>
      <c r="S237" s="373"/>
      <c r="T237" s="373"/>
      <c r="U237" s="373"/>
      <c r="V237" s="373"/>
    </row>
    <row r="238" spans="1:22" ht="18" x14ac:dyDescent="0.55000000000000004">
      <c r="A238" s="373"/>
      <c r="B238" s="373"/>
      <c r="C238" s="373"/>
      <c r="D238" s="373"/>
      <c r="E238" s="373"/>
      <c r="F238" s="373"/>
      <c r="G238" s="373"/>
      <c r="H238" s="373"/>
      <c r="I238" s="373"/>
      <c r="J238" s="373"/>
      <c r="K238" s="373"/>
      <c r="L238" s="373"/>
      <c r="M238" s="373"/>
      <c r="N238" s="373"/>
      <c r="O238" s="373"/>
      <c r="P238" s="373"/>
      <c r="Q238" s="373"/>
      <c r="R238" s="373"/>
      <c r="S238" s="373"/>
      <c r="T238" s="373"/>
      <c r="U238" s="373"/>
      <c r="V238" s="373"/>
    </row>
    <row r="239" spans="1:22" ht="18" x14ac:dyDescent="0.55000000000000004">
      <c r="A239" s="373"/>
      <c r="B239" s="373"/>
      <c r="C239" s="373"/>
      <c r="D239" s="373"/>
      <c r="E239" s="373"/>
      <c r="F239" s="373"/>
      <c r="G239" s="373"/>
      <c r="H239" s="373"/>
      <c r="I239" s="373"/>
      <c r="J239" s="373"/>
      <c r="K239" s="373"/>
      <c r="L239" s="373"/>
      <c r="M239" s="373"/>
      <c r="N239" s="373"/>
      <c r="O239" s="373"/>
      <c r="P239" s="373"/>
      <c r="Q239" s="373"/>
      <c r="R239" s="373"/>
      <c r="S239" s="373"/>
      <c r="T239" s="373"/>
      <c r="U239" s="373"/>
      <c r="V239" s="373"/>
    </row>
    <row r="240" spans="1:22" ht="18" x14ac:dyDescent="0.55000000000000004">
      <c r="A240" s="373"/>
      <c r="B240" s="373"/>
      <c r="C240" s="373"/>
      <c r="D240" s="373"/>
      <c r="E240" s="373"/>
      <c r="F240" s="373"/>
      <c r="G240" s="373"/>
      <c r="H240" s="373"/>
      <c r="I240" s="373"/>
      <c r="J240" s="373"/>
      <c r="K240" s="373"/>
      <c r="L240" s="373"/>
      <c r="M240" s="373"/>
      <c r="N240" s="373"/>
      <c r="O240" s="373"/>
      <c r="P240" s="373"/>
      <c r="Q240" s="373"/>
      <c r="R240" s="373"/>
      <c r="S240" s="373"/>
      <c r="T240" s="373"/>
      <c r="U240" s="373"/>
      <c r="V240" s="373"/>
    </row>
    <row r="241" spans="1:22" ht="18" x14ac:dyDescent="0.55000000000000004">
      <c r="A241" s="373"/>
      <c r="B241" s="373"/>
      <c r="C241" s="373"/>
      <c r="D241" s="373"/>
      <c r="E241" s="373"/>
      <c r="F241" s="373"/>
      <c r="G241" s="373"/>
      <c r="H241" s="373"/>
      <c r="I241" s="373"/>
      <c r="J241" s="373"/>
      <c r="K241" s="373"/>
      <c r="L241" s="373"/>
      <c r="M241" s="373"/>
      <c r="N241" s="373"/>
      <c r="O241" s="373"/>
      <c r="P241" s="373"/>
      <c r="Q241" s="373"/>
      <c r="R241" s="373"/>
      <c r="S241" s="373"/>
      <c r="T241" s="373"/>
      <c r="U241" s="373"/>
      <c r="V241" s="373"/>
    </row>
    <row r="242" spans="1:22" ht="18" x14ac:dyDescent="0.55000000000000004">
      <c r="A242" s="373"/>
      <c r="B242" s="373"/>
      <c r="C242" s="373"/>
      <c r="D242" s="373"/>
      <c r="E242" s="373"/>
      <c r="F242" s="373"/>
      <c r="G242" s="373"/>
      <c r="H242" s="373"/>
      <c r="I242" s="373"/>
      <c r="J242" s="373"/>
      <c r="K242" s="373"/>
      <c r="L242" s="373"/>
      <c r="M242" s="373"/>
      <c r="N242" s="373"/>
      <c r="O242" s="373"/>
      <c r="P242" s="373"/>
      <c r="Q242" s="373"/>
      <c r="R242" s="373"/>
      <c r="S242" s="373"/>
      <c r="T242" s="373"/>
      <c r="U242" s="373"/>
      <c r="V242" s="373"/>
    </row>
    <row r="243" spans="1:22" ht="18" x14ac:dyDescent="0.55000000000000004">
      <c r="A243" s="373"/>
      <c r="B243" s="373"/>
      <c r="C243" s="373"/>
      <c r="D243" s="373"/>
      <c r="E243" s="373"/>
      <c r="F243" s="373"/>
      <c r="G243" s="373"/>
      <c r="H243" s="373"/>
      <c r="I243" s="373"/>
      <c r="J243" s="373"/>
      <c r="K243" s="373"/>
      <c r="L243" s="373"/>
      <c r="M243" s="373"/>
      <c r="N243" s="373"/>
      <c r="O243" s="373"/>
      <c r="P243" s="373"/>
      <c r="Q243" s="373"/>
      <c r="R243" s="373"/>
      <c r="S243" s="373"/>
      <c r="T243" s="373"/>
      <c r="U243" s="373"/>
      <c r="V243" s="373"/>
    </row>
    <row r="244" spans="1:22" ht="18" x14ac:dyDescent="0.55000000000000004">
      <c r="A244" s="373"/>
      <c r="B244" s="373"/>
      <c r="C244" s="373"/>
      <c r="D244" s="373"/>
      <c r="E244" s="373"/>
      <c r="F244" s="373"/>
      <c r="G244" s="373"/>
      <c r="H244" s="373"/>
      <c r="I244" s="373"/>
      <c r="J244" s="373"/>
      <c r="K244" s="373"/>
      <c r="L244" s="373"/>
      <c r="M244" s="373"/>
      <c r="N244" s="373"/>
      <c r="O244" s="373"/>
      <c r="P244" s="373"/>
      <c r="Q244" s="373"/>
      <c r="R244" s="373"/>
      <c r="S244" s="373"/>
      <c r="T244" s="373"/>
      <c r="U244" s="373"/>
      <c r="V244" s="373"/>
    </row>
    <row r="245" spans="1:22" ht="18" x14ac:dyDescent="0.55000000000000004">
      <c r="A245" s="373"/>
      <c r="B245" s="373"/>
      <c r="C245" s="373"/>
      <c r="D245" s="373"/>
      <c r="E245" s="373"/>
      <c r="F245" s="373"/>
      <c r="G245" s="373"/>
      <c r="H245" s="373"/>
      <c r="I245" s="373"/>
      <c r="J245" s="373"/>
      <c r="K245" s="373"/>
      <c r="L245" s="373"/>
      <c r="M245" s="373"/>
      <c r="N245" s="373"/>
      <c r="O245" s="373"/>
      <c r="P245" s="373"/>
      <c r="Q245" s="373"/>
      <c r="R245" s="373"/>
      <c r="S245" s="373"/>
      <c r="T245" s="373"/>
      <c r="U245" s="373"/>
      <c r="V245" s="373"/>
    </row>
    <row r="246" spans="1:22" ht="18" x14ac:dyDescent="0.55000000000000004">
      <c r="A246" s="373"/>
      <c r="B246" s="373"/>
      <c r="C246" s="373"/>
      <c r="D246" s="373"/>
      <c r="E246" s="373"/>
      <c r="F246" s="373"/>
      <c r="G246" s="373"/>
      <c r="H246" s="373"/>
      <c r="I246" s="373"/>
      <c r="J246" s="373"/>
      <c r="K246" s="373"/>
      <c r="L246" s="373"/>
      <c r="M246" s="373"/>
      <c r="N246" s="373"/>
      <c r="O246" s="373"/>
      <c r="P246" s="373"/>
      <c r="Q246" s="373"/>
      <c r="R246" s="373"/>
      <c r="S246" s="373"/>
      <c r="T246" s="373"/>
      <c r="U246" s="373"/>
      <c r="V246" s="373"/>
    </row>
    <row r="247" spans="1:22" ht="18" x14ac:dyDescent="0.55000000000000004">
      <c r="A247" s="373"/>
      <c r="B247" s="373"/>
      <c r="C247" s="373"/>
      <c r="D247" s="373"/>
      <c r="E247" s="373"/>
      <c r="F247" s="373"/>
      <c r="G247" s="373"/>
      <c r="H247" s="373"/>
      <c r="I247" s="373"/>
      <c r="J247" s="373"/>
      <c r="K247" s="373"/>
      <c r="L247" s="373"/>
      <c r="M247" s="373"/>
      <c r="N247" s="373"/>
      <c r="O247" s="373"/>
      <c r="P247" s="373"/>
      <c r="Q247" s="373"/>
      <c r="R247" s="373"/>
      <c r="S247" s="373"/>
      <c r="T247" s="373"/>
      <c r="U247" s="373"/>
      <c r="V247" s="373"/>
    </row>
    <row r="248" spans="1:22" ht="18" x14ac:dyDescent="0.55000000000000004">
      <c r="A248" s="373"/>
      <c r="B248" s="373"/>
      <c r="C248" s="373"/>
      <c r="D248" s="373"/>
      <c r="E248" s="373"/>
      <c r="F248" s="373"/>
      <c r="G248" s="373"/>
      <c r="H248" s="373"/>
      <c r="I248" s="373"/>
      <c r="J248" s="373"/>
      <c r="K248" s="373"/>
      <c r="L248" s="373"/>
      <c r="M248" s="373"/>
      <c r="N248" s="373"/>
      <c r="O248" s="373"/>
      <c r="P248" s="373"/>
      <c r="Q248" s="373"/>
      <c r="R248" s="373"/>
      <c r="S248" s="373"/>
      <c r="T248" s="373"/>
      <c r="U248" s="373"/>
      <c r="V248" s="373"/>
    </row>
    <row r="249" spans="1:22" ht="18" x14ac:dyDescent="0.55000000000000004">
      <c r="A249" s="373"/>
      <c r="B249" s="373"/>
      <c r="C249" s="373"/>
      <c r="D249" s="373"/>
      <c r="E249" s="373"/>
      <c r="F249" s="373"/>
      <c r="G249" s="373"/>
      <c r="H249" s="373"/>
      <c r="I249" s="373"/>
      <c r="J249" s="373"/>
      <c r="K249" s="373"/>
      <c r="L249" s="373"/>
      <c r="M249" s="373"/>
      <c r="N249" s="373"/>
      <c r="O249" s="373"/>
      <c r="P249" s="373"/>
      <c r="Q249" s="373"/>
      <c r="R249" s="373"/>
      <c r="S249" s="373"/>
      <c r="T249" s="373"/>
      <c r="U249" s="373"/>
      <c r="V249" s="373"/>
    </row>
    <row r="250" spans="1:22" ht="18" x14ac:dyDescent="0.55000000000000004">
      <c r="A250" s="373"/>
      <c r="B250" s="373"/>
      <c r="C250" s="373"/>
      <c r="D250" s="373"/>
      <c r="E250" s="373"/>
      <c r="F250" s="373"/>
      <c r="G250" s="373"/>
      <c r="H250" s="373"/>
      <c r="I250" s="373"/>
      <c r="J250" s="373"/>
      <c r="K250" s="373"/>
      <c r="L250" s="373"/>
      <c r="M250" s="373"/>
      <c r="N250" s="373"/>
      <c r="O250" s="373"/>
      <c r="P250" s="373"/>
      <c r="Q250" s="373"/>
      <c r="R250" s="373"/>
      <c r="S250" s="373"/>
      <c r="T250" s="373"/>
      <c r="U250" s="373"/>
      <c r="V250" s="373"/>
    </row>
    <row r="251" spans="1:22" ht="18" x14ac:dyDescent="0.55000000000000004">
      <c r="A251" s="373"/>
      <c r="B251" s="373"/>
      <c r="C251" s="373"/>
      <c r="D251" s="373"/>
      <c r="E251" s="373"/>
      <c r="F251" s="373"/>
      <c r="G251" s="373"/>
      <c r="H251" s="373"/>
      <c r="I251" s="373"/>
      <c r="J251" s="373"/>
      <c r="K251" s="373"/>
      <c r="L251" s="373"/>
      <c r="M251" s="373"/>
      <c r="N251" s="373"/>
      <c r="O251" s="373"/>
      <c r="P251" s="373"/>
      <c r="Q251" s="373"/>
      <c r="R251" s="373"/>
      <c r="S251" s="373"/>
      <c r="T251" s="373"/>
      <c r="U251" s="373"/>
      <c r="V251" s="373"/>
    </row>
    <row r="252" spans="1:22" ht="18" x14ac:dyDescent="0.55000000000000004">
      <c r="A252" s="373"/>
      <c r="B252" s="373"/>
      <c r="C252" s="373"/>
      <c r="D252" s="373"/>
      <c r="E252" s="373"/>
      <c r="F252" s="373"/>
      <c r="G252" s="373"/>
      <c r="H252" s="373"/>
      <c r="I252" s="373"/>
      <c r="J252" s="373"/>
      <c r="K252" s="373"/>
      <c r="L252" s="373"/>
      <c r="M252" s="373"/>
      <c r="N252" s="373"/>
      <c r="O252" s="373"/>
      <c r="P252" s="373"/>
      <c r="Q252" s="373"/>
      <c r="R252" s="373"/>
      <c r="S252" s="373"/>
      <c r="T252" s="373"/>
      <c r="U252" s="373"/>
      <c r="V252" s="373"/>
    </row>
    <row r="253" spans="1:22" ht="18" x14ac:dyDescent="0.55000000000000004">
      <c r="A253" s="373"/>
      <c r="B253" s="373"/>
      <c r="C253" s="373"/>
      <c r="D253" s="373"/>
      <c r="E253" s="373"/>
      <c r="F253" s="373"/>
      <c r="G253" s="373"/>
      <c r="H253" s="373"/>
      <c r="I253" s="373"/>
      <c r="J253" s="373"/>
      <c r="K253" s="373"/>
      <c r="L253" s="373"/>
      <c r="M253" s="373"/>
      <c r="N253" s="373"/>
      <c r="O253" s="373"/>
      <c r="P253" s="373"/>
      <c r="Q253" s="373"/>
      <c r="R253" s="373"/>
      <c r="S253" s="373"/>
      <c r="T253" s="373"/>
      <c r="U253" s="373"/>
      <c r="V253" s="373"/>
    </row>
    <row r="254" spans="1:22" ht="18" x14ac:dyDescent="0.55000000000000004">
      <c r="A254" s="373"/>
      <c r="B254" s="373"/>
      <c r="C254" s="373"/>
      <c r="D254" s="373"/>
      <c r="E254" s="373"/>
      <c r="F254" s="373"/>
      <c r="G254" s="373"/>
      <c r="H254" s="373"/>
      <c r="I254" s="373"/>
      <c r="J254" s="373"/>
      <c r="K254" s="373"/>
      <c r="L254" s="373"/>
      <c r="M254" s="373"/>
      <c r="N254" s="373"/>
      <c r="O254" s="373"/>
      <c r="P254" s="373"/>
      <c r="Q254" s="373"/>
      <c r="R254" s="373"/>
      <c r="S254" s="373"/>
      <c r="T254" s="373"/>
      <c r="U254" s="373"/>
      <c r="V254" s="373"/>
    </row>
    <row r="255" spans="1:22" ht="18" x14ac:dyDescent="0.55000000000000004">
      <c r="A255" s="373"/>
      <c r="B255" s="373"/>
      <c r="C255" s="373"/>
      <c r="D255" s="373"/>
      <c r="E255" s="373"/>
      <c r="F255" s="373"/>
      <c r="G255" s="373"/>
      <c r="H255" s="373"/>
      <c r="I255" s="373"/>
      <c r="J255" s="373"/>
      <c r="K255" s="373"/>
      <c r="L255" s="373"/>
      <c r="M255" s="373"/>
      <c r="N255" s="373"/>
      <c r="O255" s="373"/>
      <c r="P255" s="373"/>
      <c r="Q255" s="373"/>
      <c r="R255" s="373"/>
      <c r="S255" s="373"/>
      <c r="T255" s="373"/>
      <c r="U255" s="373"/>
      <c r="V255" s="373"/>
    </row>
    <row r="256" spans="1:22" ht="18" x14ac:dyDescent="0.55000000000000004">
      <c r="A256" s="373"/>
      <c r="B256" s="373"/>
      <c r="C256" s="373"/>
      <c r="D256" s="373"/>
      <c r="E256" s="373"/>
      <c r="F256" s="373"/>
      <c r="G256" s="373"/>
      <c r="H256" s="373"/>
      <c r="I256" s="373"/>
      <c r="J256" s="373"/>
      <c r="K256" s="373"/>
      <c r="L256" s="373"/>
      <c r="M256" s="373"/>
      <c r="N256" s="373"/>
      <c r="O256" s="373"/>
      <c r="P256" s="373"/>
      <c r="Q256" s="373"/>
      <c r="R256" s="373"/>
      <c r="S256" s="373"/>
      <c r="T256" s="373"/>
      <c r="U256" s="373"/>
      <c r="V256" s="373"/>
    </row>
    <row r="257" spans="1:22" ht="18" x14ac:dyDescent="0.55000000000000004">
      <c r="A257" s="373"/>
      <c r="B257" s="373"/>
      <c r="C257" s="373"/>
      <c r="D257" s="373"/>
      <c r="E257" s="373"/>
      <c r="F257" s="373"/>
      <c r="G257" s="373"/>
      <c r="H257" s="373"/>
      <c r="I257" s="373"/>
      <c r="J257" s="373"/>
      <c r="K257" s="373"/>
      <c r="L257" s="373"/>
      <c r="M257" s="373"/>
      <c r="N257" s="373"/>
      <c r="O257" s="373"/>
      <c r="P257" s="373"/>
      <c r="Q257" s="373"/>
      <c r="R257" s="373"/>
      <c r="S257" s="373"/>
      <c r="T257" s="373"/>
      <c r="U257" s="373"/>
      <c r="V257" s="373"/>
    </row>
    <row r="258" spans="1:22" ht="18" x14ac:dyDescent="0.55000000000000004">
      <c r="A258" s="373"/>
      <c r="B258" s="373"/>
      <c r="C258" s="373"/>
      <c r="D258" s="373"/>
      <c r="E258" s="373"/>
      <c r="F258" s="373"/>
      <c r="G258" s="373"/>
      <c r="H258" s="373"/>
      <c r="I258" s="373"/>
      <c r="J258" s="373"/>
      <c r="K258" s="373"/>
      <c r="L258" s="373"/>
      <c r="M258" s="373"/>
      <c r="N258" s="373"/>
      <c r="O258" s="373"/>
      <c r="P258" s="373"/>
      <c r="Q258" s="373"/>
      <c r="R258" s="373"/>
      <c r="S258" s="373"/>
      <c r="T258" s="373"/>
      <c r="U258" s="373"/>
      <c r="V258" s="373"/>
    </row>
    <row r="259" spans="1:22" ht="18" x14ac:dyDescent="0.55000000000000004">
      <c r="A259" s="373"/>
      <c r="B259" s="373"/>
      <c r="C259" s="373"/>
      <c r="D259" s="373"/>
      <c r="E259" s="373"/>
      <c r="F259" s="373"/>
      <c r="G259" s="373"/>
      <c r="H259" s="373"/>
      <c r="I259" s="373"/>
      <c r="J259" s="373"/>
      <c r="K259" s="373"/>
      <c r="L259" s="373"/>
      <c r="M259" s="373"/>
      <c r="N259" s="373"/>
      <c r="O259" s="373"/>
      <c r="P259" s="373"/>
      <c r="Q259" s="373"/>
      <c r="R259" s="373"/>
      <c r="S259" s="373"/>
      <c r="T259" s="373"/>
      <c r="U259" s="373"/>
      <c r="V259" s="373"/>
    </row>
    <row r="260" spans="1:22" ht="18" x14ac:dyDescent="0.55000000000000004">
      <c r="A260" s="373"/>
      <c r="B260" s="373"/>
      <c r="C260" s="373"/>
      <c r="D260" s="373"/>
      <c r="E260" s="373"/>
      <c r="F260" s="373"/>
      <c r="G260" s="373"/>
      <c r="H260" s="373"/>
      <c r="I260" s="373"/>
      <c r="J260" s="373"/>
      <c r="K260" s="373"/>
      <c r="L260" s="373"/>
      <c r="M260" s="373"/>
      <c r="N260" s="373"/>
      <c r="O260" s="373"/>
      <c r="P260" s="373"/>
      <c r="Q260" s="373"/>
      <c r="R260" s="373"/>
      <c r="S260" s="373"/>
      <c r="T260" s="373"/>
      <c r="U260" s="373"/>
      <c r="V260" s="373"/>
    </row>
    <row r="261" spans="1:22" ht="18" x14ac:dyDescent="0.55000000000000004">
      <c r="A261" s="373"/>
      <c r="B261" s="373"/>
      <c r="C261" s="373"/>
      <c r="D261" s="373"/>
      <c r="E261" s="373"/>
      <c r="F261" s="373"/>
      <c r="G261" s="373"/>
      <c r="H261" s="373"/>
      <c r="I261" s="373"/>
      <c r="J261" s="373"/>
      <c r="K261" s="373"/>
      <c r="L261" s="373"/>
      <c r="M261" s="373"/>
      <c r="N261" s="373"/>
      <c r="O261" s="373"/>
      <c r="P261" s="373"/>
      <c r="Q261" s="373"/>
      <c r="R261" s="373"/>
      <c r="S261" s="373"/>
      <c r="T261" s="373"/>
      <c r="U261" s="373"/>
      <c r="V261" s="373"/>
    </row>
    <row r="262" spans="1:22" ht="18" x14ac:dyDescent="0.55000000000000004">
      <c r="A262" s="373"/>
      <c r="B262" s="373"/>
      <c r="C262" s="373"/>
      <c r="D262" s="373"/>
      <c r="E262" s="373"/>
      <c r="F262" s="373"/>
      <c r="G262" s="373"/>
      <c r="H262" s="373"/>
      <c r="I262" s="373"/>
      <c r="J262" s="373"/>
      <c r="K262" s="373"/>
      <c r="L262" s="373"/>
      <c r="M262" s="373"/>
      <c r="N262" s="373"/>
      <c r="O262" s="373"/>
      <c r="P262" s="373"/>
      <c r="Q262" s="373"/>
      <c r="R262" s="373"/>
      <c r="S262" s="373"/>
      <c r="T262" s="373"/>
      <c r="U262" s="373"/>
      <c r="V262" s="373"/>
    </row>
    <row r="263" spans="1:22" ht="18" x14ac:dyDescent="0.55000000000000004">
      <c r="A263" s="373"/>
      <c r="B263" s="373"/>
      <c r="C263" s="373"/>
      <c r="D263" s="373"/>
      <c r="E263" s="373"/>
      <c r="F263" s="373"/>
      <c r="G263" s="373"/>
      <c r="H263" s="373"/>
      <c r="I263" s="373"/>
      <c r="J263" s="373"/>
      <c r="K263" s="373"/>
      <c r="L263" s="373"/>
      <c r="M263" s="373"/>
      <c r="N263" s="373"/>
      <c r="O263" s="373"/>
      <c r="P263" s="373"/>
      <c r="Q263" s="373"/>
      <c r="R263" s="373"/>
      <c r="S263" s="373"/>
      <c r="T263" s="373"/>
      <c r="U263" s="373"/>
      <c r="V263" s="373"/>
    </row>
    <row r="264" spans="1:22" ht="18" x14ac:dyDescent="0.55000000000000004">
      <c r="A264" s="373"/>
      <c r="B264" s="373"/>
      <c r="C264" s="373"/>
      <c r="D264" s="373"/>
      <c r="E264" s="373"/>
      <c r="F264" s="373"/>
      <c r="G264" s="373"/>
      <c r="H264" s="373"/>
      <c r="I264" s="373"/>
      <c r="J264" s="373"/>
      <c r="K264" s="373"/>
      <c r="L264" s="373"/>
      <c r="M264" s="373"/>
      <c r="N264" s="373"/>
      <c r="O264" s="373"/>
      <c r="P264" s="373"/>
      <c r="Q264" s="373"/>
      <c r="R264" s="373"/>
      <c r="S264" s="373"/>
      <c r="T264" s="373"/>
      <c r="U264" s="373"/>
      <c r="V264" s="373"/>
    </row>
    <row r="265" spans="1:22" ht="18" x14ac:dyDescent="0.55000000000000004">
      <c r="A265" s="373"/>
      <c r="B265" s="373"/>
      <c r="C265" s="373"/>
      <c r="D265" s="373"/>
      <c r="E265" s="373"/>
      <c r="F265" s="373"/>
      <c r="G265" s="373"/>
      <c r="H265" s="373"/>
      <c r="I265" s="373"/>
      <c r="J265" s="373"/>
      <c r="K265" s="373"/>
      <c r="L265" s="373"/>
      <c r="M265" s="373"/>
      <c r="N265" s="373"/>
      <c r="O265" s="373"/>
      <c r="P265" s="373"/>
      <c r="Q265" s="373"/>
      <c r="R265" s="373"/>
      <c r="S265" s="373"/>
      <c r="T265" s="373"/>
      <c r="U265" s="373"/>
      <c r="V265" s="373"/>
    </row>
    <row r="266" spans="1:22" ht="18" x14ac:dyDescent="0.55000000000000004">
      <c r="A266" s="373"/>
      <c r="B266" s="373"/>
      <c r="C266" s="373"/>
      <c r="D266" s="373"/>
      <c r="E266" s="373"/>
      <c r="F266" s="373"/>
      <c r="G266" s="373"/>
      <c r="H266" s="373"/>
      <c r="I266" s="373"/>
      <c r="J266" s="373"/>
      <c r="K266" s="373"/>
      <c r="L266" s="373"/>
      <c r="M266" s="373"/>
      <c r="N266" s="373"/>
      <c r="O266" s="373"/>
      <c r="P266" s="373"/>
      <c r="Q266" s="373"/>
      <c r="R266" s="373"/>
      <c r="S266" s="373"/>
      <c r="T266" s="373"/>
      <c r="U266" s="373"/>
      <c r="V266" s="373"/>
    </row>
    <row r="267" spans="1:22" ht="18" x14ac:dyDescent="0.55000000000000004">
      <c r="A267" s="373"/>
      <c r="B267" s="373"/>
      <c r="C267" s="373"/>
      <c r="D267" s="373"/>
      <c r="E267" s="373"/>
      <c r="F267" s="373"/>
      <c r="G267" s="373"/>
      <c r="H267" s="373"/>
      <c r="I267" s="373"/>
      <c r="J267" s="373"/>
      <c r="K267" s="373"/>
      <c r="L267" s="373"/>
      <c r="M267" s="373"/>
      <c r="N267" s="373"/>
      <c r="O267" s="373"/>
      <c r="P267" s="373"/>
      <c r="Q267" s="373"/>
      <c r="R267" s="373"/>
      <c r="S267" s="373"/>
      <c r="T267" s="373"/>
      <c r="U267" s="373"/>
      <c r="V267" s="373"/>
    </row>
    <row r="268" spans="1:22" ht="18" x14ac:dyDescent="0.55000000000000004">
      <c r="A268" s="373"/>
      <c r="B268" s="373"/>
      <c r="C268" s="373"/>
      <c r="D268" s="373"/>
      <c r="E268" s="373"/>
      <c r="F268" s="373"/>
      <c r="G268" s="373"/>
      <c r="H268" s="373"/>
      <c r="I268" s="373"/>
      <c r="J268" s="373"/>
      <c r="K268" s="373"/>
      <c r="L268" s="373"/>
      <c r="M268" s="373"/>
      <c r="N268" s="373"/>
      <c r="O268" s="373"/>
      <c r="P268" s="373"/>
      <c r="Q268" s="373"/>
      <c r="R268" s="373"/>
      <c r="S268" s="373"/>
      <c r="T268" s="373"/>
      <c r="U268" s="373"/>
      <c r="V268" s="373"/>
    </row>
    <row r="269" spans="1:22" ht="18" x14ac:dyDescent="0.55000000000000004">
      <c r="A269" s="373"/>
      <c r="B269" s="373"/>
      <c r="C269" s="373"/>
      <c r="D269" s="373"/>
      <c r="E269" s="373"/>
      <c r="F269" s="373"/>
      <c r="G269" s="373"/>
      <c r="H269" s="373"/>
      <c r="I269" s="373"/>
      <c r="J269" s="373"/>
      <c r="K269" s="373"/>
      <c r="L269" s="373"/>
      <c r="M269" s="373"/>
      <c r="N269" s="373"/>
      <c r="O269" s="373"/>
      <c r="P269" s="373"/>
      <c r="Q269" s="373"/>
      <c r="R269" s="373"/>
      <c r="S269" s="373"/>
      <c r="T269" s="373"/>
      <c r="U269" s="373"/>
      <c r="V269" s="373"/>
    </row>
    <row r="270" spans="1:22" ht="18" x14ac:dyDescent="0.55000000000000004">
      <c r="A270" s="373"/>
      <c r="B270" s="373"/>
      <c r="C270" s="373"/>
      <c r="D270" s="373"/>
      <c r="E270" s="373"/>
      <c r="F270" s="373"/>
      <c r="G270" s="373"/>
      <c r="H270" s="373"/>
      <c r="I270" s="373"/>
      <c r="J270" s="373"/>
      <c r="K270" s="373"/>
      <c r="L270" s="373"/>
      <c r="M270" s="373"/>
      <c r="N270" s="373"/>
      <c r="O270" s="373"/>
      <c r="P270" s="373"/>
      <c r="Q270" s="373"/>
      <c r="R270" s="373"/>
      <c r="S270" s="373"/>
      <c r="T270" s="373"/>
      <c r="U270" s="373"/>
      <c r="V270" s="373"/>
    </row>
    <row r="271" spans="1:22" ht="18" x14ac:dyDescent="0.55000000000000004">
      <c r="A271" s="373"/>
      <c r="B271" s="373"/>
      <c r="C271" s="373"/>
      <c r="D271" s="373"/>
      <c r="E271" s="373"/>
      <c r="F271" s="373"/>
      <c r="G271" s="373"/>
      <c r="H271" s="373"/>
      <c r="I271" s="373"/>
      <c r="J271" s="373"/>
      <c r="K271" s="373"/>
      <c r="L271" s="373"/>
      <c r="M271" s="373"/>
      <c r="N271" s="373"/>
      <c r="O271" s="373"/>
      <c r="P271" s="373"/>
      <c r="Q271" s="373"/>
      <c r="R271" s="373"/>
      <c r="S271" s="373"/>
      <c r="T271" s="373"/>
      <c r="U271" s="373"/>
      <c r="V271" s="373"/>
    </row>
    <row r="272" spans="1:22" ht="18" x14ac:dyDescent="0.55000000000000004">
      <c r="A272" s="373"/>
      <c r="B272" s="373"/>
      <c r="C272" s="373"/>
      <c r="D272" s="373"/>
      <c r="E272" s="373"/>
      <c r="F272" s="373"/>
      <c r="G272" s="373"/>
      <c r="H272" s="373"/>
      <c r="I272" s="373"/>
      <c r="J272" s="373"/>
      <c r="K272" s="373"/>
      <c r="L272" s="373"/>
      <c r="M272" s="373"/>
      <c r="N272" s="373"/>
      <c r="O272" s="373"/>
      <c r="P272" s="373"/>
      <c r="Q272" s="373"/>
      <c r="R272" s="373"/>
      <c r="S272" s="373"/>
      <c r="T272" s="373"/>
      <c r="U272" s="373"/>
      <c r="V272" s="373"/>
    </row>
    <row r="273" spans="1:22" ht="18" x14ac:dyDescent="0.55000000000000004">
      <c r="A273" s="373"/>
      <c r="B273" s="373"/>
      <c r="C273" s="373"/>
      <c r="D273" s="373"/>
      <c r="E273" s="373"/>
      <c r="F273" s="373"/>
      <c r="G273" s="373"/>
      <c r="H273" s="373"/>
      <c r="I273" s="373"/>
      <c r="J273" s="373"/>
      <c r="K273" s="373"/>
      <c r="L273" s="373"/>
      <c r="M273" s="373"/>
      <c r="N273" s="373"/>
      <c r="O273" s="373"/>
      <c r="P273" s="373"/>
      <c r="Q273" s="373"/>
      <c r="R273" s="373"/>
      <c r="S273" s="373"/>
      <c r="T273" s="373"/>
      <c r="U273" s="373"/>
      <c r="V273" s="373"/>
    </row>
    <row r="274" spans="1:22" ht="18" x14ac:dyDescent="0.55000000000000004">
      <c r="A274" s="373"/>
      <c r="B274" s="373"/>
      <c r="C274" s="373"/>
      <c r="D274" s="373"/>
      <c r="E274" s="373"/>
      <c r="F274" s="373"/>
      <c r="G274" s="373"/>
      <c r="H274" s="373"/>
      <c r="I274" s="373"/>
      <c r="J274" s="373"/>
      <c r="K274" s="373"/>
      <c r="L274" s="373"/>
      <c r="M274" s="373"/>
      <c r="N274" s="373"/>
      <c r="O274" s="373"/>
      <c r="P274" s="373"/>
      <c r="Q274" s="373"/>
      <c r="R274" s="373"/>
      <c r="S274" s="373"/>
      <c r="T274" s="373"/>
      <c r="U274" s="373"/>
      <c r="V274" s="373"/>
    </row>
    <row r="275" spans="1:22" ht="18" x14ac:dyDescent="0.55000000000000004">
      <c r="A275" s="373"/>
      <c r="B275" s="373"/>
      <c r="C275" s="373"/>
      <c r="D275" s="373"/>
      <c r="E275" s="373"/>
      <c r="F275" s="373"/>
      <c r="G275" s="373"/>
      <c r="H275" s="373"/>
      <c r="I275" s="373"/>
      <c r="J275" s="373"/>
      <c r="K275" s="373"/>
      <c r="L275" s="373"/>
      <c r="M275" s="373"/>
      <c r="N275" s="373"/>
      <c r="O275" s="373"/>
      <c r="P275" s="373"/>
      <c r="Q275" s="373"/>
      <c r="R275" s="373"/>
      <c r="S275" s="373"/>
      <c r="T275" s="373"/>
      <c r="U275" s="373"/>
      <c r="V275" s="373"/>
    </row>
    <row r="276" spans="1:22" ht="18" x14ac:dyDescent="0.55000000000000004">
      <c r="A276" s="373"/>
      <c r="B276" s="373"/>
      <c r="C276" s="373"/>
      <c r="D276" s="373"/>
      <c r="E276" s="373"/>
      <c r="F276" s="373"/>
      <c r="G276" s="373"/>
      <c r="H276" s="373"/>
      <c r="I276" s="373"/>
      <c r="J276" s="373"/>
      <c r="K276" s="373"/>
      <c r="L276" s="373"/>
      <c r="M276" s="373"/>
      <c r="N276" s="373"/>
      <c r="O276" s="373"/>
      <c r="P276" s="373"/>
      <c r="Q276" s="373"/>
      <c r="R276" s="373"/>
      <c r="S276" s="373"/>
      <c r="T276" s="373"/>
      <c r="U276" s="373"/>
      <c r="V276" s="373"/>
    </row>
    <row r="277" spans="1:22" ht="18" x14ac:dyDescent="0.55000000000000004">
      <c r="A277" s="373"/>
      <c r="B277" s="373"/>
      <c r="C277" s="373"/>
      <c r="D277" s="373"/>
      <c r="E277" s="373"/>
      <c r="F277" s="373"/>
      <c r="G277" s="373"/>
      <c r="H277" s="373"/>
      <c r="I277" s="373"/>
      <c r="J277" s="373"/>
      <c r="K277" s="373"/>
      <c r="L277" s="373"/>
      <c r="M277" s="373"/>
      <c r="N277" s="373"/>
      <c r="O277" s="373"/>
      <c r="P277" s="373"/>
      <c r="Q277" s="373"/>
      <c r="R277" s="373"/>
      <c r="S277" s="373"/>
      <c r="T277" s="373"/>
      <c r="U277" s="373"/>
      <c r="V277" s="373"/>
    </row>
    <row r="278" spans="1:22" ht="18" x14ac:dyDescent="0.55000000000000004">
      <c r="A278" s="373"/>
      <c r="B278" s="373"/>
      <c r="C278" s="373"/>
      <c r="D278" s="373"/>
      <c r="E278" s="373"/>
      <c r="F278" s="373"/>
      <c r="G278" s="373"/>
      <c r="H278" s="373"/>
      <c r="I278" s="373"/>
      <c r="J278" s="373"/>
      <c r="K278" s="373"/>
      <c r="L278" s="373"/>
      <c r="M278" s="373"/>
      <c r="N278" s="373"/>
      <c r="O278" s="373"/>
      <c r="P278" s="373"/>
      <c r="Q278" s="373"/>
      <c r="R278" s="373"/>
      <c r="S278" s="373"/>
      <c r="T278" s="373"/>
      <c r="U278" s="373"/>
      <c r="V278" s="373"/>
    </row>
    <row r="279" spans="1:22" ht="18" x14ac:dyDescent="0.55000000000000004">
      <c r="A279" s="373"/>
      <c r="B279" s="373"/>
      <c r="C279" s="373"/>
      <c r="D279" s="373"/>
      <c r="E279" s="373"/>
      <c r="F279" s="373"/>
      <c r="G279" s="373"/>
      <c r="H279" s="373"/>
      <c r="I279" s="373"/>
      <c r="J279" s="373"/>
      <c r="K279" s="373"/>
      <c r="L279" s="373"/>
      <c r="M279" s="373"/>
      <c r="N279" s="373"/>
      <c r="O279" s="373"/>
      <c r="P279" s="373"/>
      <c r="Q279" s="373"/>
      <c r="R279" s="373"/>
      <c r="S279" s="373"/>
      <c r="T279" s="373"/>
      <c r="U279" s="373"/>
      <c r="V279" s="373"/>
    </row>
    <row r="280" spans="1:22" ht="18" x14ac:dyDescent="0.55000000000000004">
      <c r="A280" s="373"/>
      <c r="B280" s="373"/>
      <c r="C280" s="373"/>
      <c r="D280" s="373"/>
      <c r="E280" s="373"/>
      <c r="F280" s="373"/>
      <c r="G280" s="373"/>
      <c r="H280" s="373"/>
      <c r="I280" s="373"/>
      <c r="J280" s="373"/>
      <c r="K280" s="373"/>
      <c r="L280" s="373"/>
      <c r="M280" s="373"/>
      <c r="N280" s="373"/>
      <c r="O280" s="373"/>
      <c r="P280" s="373"/>
      <c r="Q280" s="373"/>
      <c r="R280" s="373"/>
      <c r="S280" s="373"/>
      <c r="T280" s="373"/>
      <c r="U280" s="373"/>
      <c r="V280" s="373"/>
    </row>
    <row r="281" spans="1:22" ht="18" x14ac:dyDescent="0.55000000000000004">
      <c r="A281" s="373"/>
      <c r="B281" s="373"/>
      <c r="C281" s="373"/>
      <c r="D281" s="373"/>
      <c r="E281" s="373"/>
      <c r="F281" s="373"/>
      <c r="G281" s="373"/>
      <c r="H281" s="373"/>
      <c r="I281" s="373"/>
      <c r="J281" s="373"/>
      <c r="K281" s="373"/>
      <c r="L281" s="373"/>
      <c r="M281" s="373"/>
      <c r="N281" s="373"/>
      <c r="O281" s="373"/>
      <c r="P281" s="373"/>
      <c r="Q281" s="373"/>
      <c r="R281" s="373"/>
      <c r="S281" s="373"/>
      <c r="T281" s="373"/>
      <c r="U281" s="373"/>
      <c r="V281" s="373"/>
    </row>
    <row r="282" spans="1:22" ht="18" x14ac:dyDescent="0.55000000000000004">
      <c r="A282" s="373"/>
      <c r="B282" s="373"/>
      <c r="C282" s="373"/>
      <c r="D282" s="373"/>
      <c r="E282" s="373"/>
      <c r="F282" s="373"/>
      <c r="G282" s="373"/>
      <c r="H282" s="373"/>
      <c r="I282" s="373"/>
      <c r="J282" s="373"/>
      <c r="K282" s="373"/>
      <c r="L282" s="373"/>
      <c r="M282" s="373"/>
      <c r="N282" s="373"/>
      <c r="O282" s="373"/>
      <c r="P282" s="373"/>
      <c r="Q282" s="373"/>
      <c r="R282" s="373"/>
      <c r="S282" s="373"/>
      <c r="T282" s="373"/>
      <c r="U282" s="373"/>
      <c r="V282" s="373"/>
    </row>
    <row r="283" spans="1:22" ht="18" x14ac:dyDescent="0.55000000000000004">
      <c r="A283" s="373"/>
      <c r="B283" s="373"/>
      <c r="C283" s="373"/>
      <c r="D283" s="373"/>
      <c r="E283" s="373"/>
      <c r="F283" s="373"/>
      <c r="G283" s="373"/>
      <c r="H283" s="373"/>
      <c r="I283" s="373"/>
      <c r="J283" s="373"/>
      <c r="K283" s="373"/>
      <c r="L283" s="373"/>
      <c r="M283" s="373"/>
      <c r="N283" s="373"/>
      <c r="O283" s="373"/>
      <c r="P283" s="373"/>
      <c r="Q283" s="373"/>
      <c r="R283" s="373"/>
      <c r="S283" s="373"/>
      <c r="T283" s="373"/>
      <c r="U283" s="373"/>
      <c r="V283" s="373"/>
    </row>
    <row r="284" spans="1:22" ht="18" x14ac:dyDescent="0.55000000000000004">
      <c r="A284" s="373"/>
      <c r="B284" s="373"/>
      <c r="C284" s="373"/>
      <c r="D284" s="373"/>
      <c r="E284" s="373"/>
      <c r="F284" s="373"/>
      <c r="G284" s="373"/>
      <c r="H284" s="373"/>
      <c r="I284" s="373"/>
      <c r="J284" s="373"/>
      <c r="K284" s="373"/>
      <c r="L284" s="373"/>
      <c r="M284" s="373"/>
      <c r="N284" s="373"/>
      <c r="O284" s="373"/>
      <c r="P284" s="373"/>
      <c r="Q284" s="373"/>
      <c r="R284" s="373"/>
      <c r="S284" s="373"/>
      <c r="T284" s="373"/>
      <c r="U284" s="373"/>
      <c r="V284" s="373"/>
    </row>
    <row r="285" spans="1:22" ht="18" x14ac:dyDescent="0.55000000000000004">
      <c r="A285" s="373"/>
      <c r="B285" s="373"/>
      <c r="C285" s="373"/>
      <c r="D285" s="373"/>
      <c r="E285" s="373"/>
      <c r="F285" s="373"/>
      <c r="G285" s="373"/>
      <c r="H285" s="373"/>
      <c r="I285" s="373"/>
      <c r="J285" s="373"/>
      <c r="K285" s="373"/>
      <c r="L285" s="373"/>
      <c r="M285" s="373"/>
      <c r="N285" s="373"/>
      <c r="O285" s="373"/>
      <c r="P285" s="373"/>
      <c r="Q285" s="373"/>
      <c r="R285" s="373"/>
      <c r="S285" s="373"/>
      <c r="T285" s="373"/>
      <c r="U285" s="373"/>
      <c r="V285" s="373"/>
    </row>
    <row r="286" spans="1:22" ht="18" x14ac:dyDescent="0.55000000000000004">
      <c r="A286" s="373"/>
      <c r="B286" s="373"/>
      <c r="C286" s="373"/>
      <c r="D286" s="373"/>
      <c r="E286" s="373"/>
      <c r="F286" s="373"/>
      <c r="G286" s="373"/>
      <c r="H286" s="373"/>
      <c r="I286" s="373"/>
      <c r="J286" s="373"/>
      <c r="K286" s="373"/>
      <c r="L286" s="373"/>
      <c r="M286" s="373"/>
      <c r="N286" s="373"/>
      <c r="O286" s="373"/>
      <c r="P286" s="373"/>
      <c r="Q286" s="373"/>
      <c r="R286" s="373"/>
      <c r="S286" s="373"/>
      <c r="T286" s="373"/>
      <c r="U286" s="373"/>
      <c r="V286" s="373"/>
    </row>
    <row r="287" spans="1:22" ht="18" x14ac:dyDescent="0.55000000000000004">
      <c r="A287" s="373"/>
      <c r="B287" s="373"/>
      <c r="C287" s="373"/>
      <c r="D287" s="373"/>
      <c r="E287" s="373"/>
      <c r="F287" s="373"/>
      <c r="G287" s="373"/>
      <c r="H287" s="373"/>
      <c r="I287" s="373"/>
      <c r="J287" s="373"/>
      <c r="K287" s="373"/>
      <c r="L287" s="373"/>
      <c r="M287" s="373"/>
      <c r="N287" s="373"/>
      <c r="O287" s="373"/>
      <c r="P287" s="373"/>
      <c r="Q287" s="373"/>
      <c r="R287" s="373"/>
      <c r="S287" s="373"/>
      <c r="T287" s="373"/>
      <c r="U287" s="373"/>
      <c r="V287" s="373"/>
    </row>
    <row r="288" spans="1:22" ht="18" x14ac:dyDescent="0.55000000000000004">
      <c r="A288" s="373"/>
      <c r="B288" s="373"/>
      <c r="C288" s="373"/>
      <c r="D288" s="373"/>
      <c r="E288" s="373"/>
      <c r="F288" s="373"/>
      <c r="G288" s="373"/>
      <c r="H288" s="373"/>
      <c r="I288" s="373"/>
      <c r="J288" s="373"/>
      <c r="K288" s="373"/>
      <c r="L288" s="373"/>
      <c r="M288" s="373"/>
      <c r="N288" s="373"/>
      <c r="O288" s="373"/>
      <c r="P288" s="373"/>
      <c r="Q288" s="373"/>
      <c r="R288" s="373"/>
      <c r="S288" s="373"/>
      <c r="T288" s="373"/>
      <c r="U288" s="373"/>
      <c r="V288" s="373"/>
    </row>
    <row r="289" spans="1:22" ht="18" x14ac:dyDescent="0.55000000000000004">
      <c r="A289" s="373"/>
      <c r="B289" s="373"/>
      <c r="C289" s="373"/>
      <c r="D289" s="373"/>
      <c r="E289" s="373"/>
      <c r="F289" s="373"/>
      <c r="G289" s="373"/>
      <c r="H289" s="373"/>
      <c r="I289" s="373"/>
      <c r="J289" s="373"/>
      <c r="K289" s="373"/>
      <c r="L289" s="373"/>
      <c r="M289" s="373"/>
      <c r="N289" s="373"/>
      <c r="O289" s="373"/>
      <c r="P289" s="373"/>
      <c r="Q289" s="373"/>
      <c r="R289" s="373"/>
      <c r="S289" s="373"/>
      <c r="T289" s="373"/>
      <c r="U289" s="373"/>
      <c r="V289" s="373"/>
    </row>
    <row r="290" spans="1:22" ht="18" x14ac:dyDescent="0.55000000000000004">
      <c r="A290" s="373"/>
      <c r="B290" s="373"/>
      <c r="C290" s="373"/>
      <c r="D290" s="373"/>
      <c r="E290" s="373"/>
      <c r="F290" s="373"/>
      <c r="G290" s="373"/>
      <c r="H290" s="373"/>
      <c r="I290" s="373"/>
      <c r="J290" s="373"/>
      <c r="K290" s="373"/>
      <c r="L290" s="373"/>
      <c r="M290" s="373"/>
      <c r="N290" s="373"/>
      <c r="O290" s="373"/>
      <c r="P290" s="373"/>
      <c r="Q290" s="373"/>
      <c r="R290" s="373"/>
      <c r="S290" s="373"/>
      <c r="T290" s="373"/>
      <c r="U290" s="373"/>
      <c r="V290" s="373"/>
    </row>
    <row r="291" spans="1:22" ht="18" x14ac:dyDescent="0.55000000000000004">
      <c r="A291" s="373"/>
      <c r="B291" s="373"/>
      <c r="C291" s="373"/>
      <c r="D291" s="373"/>
      <c r="E291" s="373"/>
      <c r="F291" s="373"/>
      <c r="G291" s="373"/>
      <c r="H291" s="373"/>
      <c r="I291" s="373"/>
      <c r="J291" s="373"/>
      <c r="K291" s="373"/>
      <c r="L291" s="373"/>
      <c r="M291" s="373"/>
      <c r="N291" s="373"/>
      <c r="O291" s="373"/>
      <c r="P291" s="373"/>
      <c r="Q291" s="373"/>
      <c r="R291" s="373"/>
      <c r="S291" s="373"/>
      <c r="T291" s="373"/>
      <c r="U291" s="373"/>
      <c r="V291" s="373"/>
    </row>
    <row r="292" spans="1:22" ht="18" x14ac:dyDescent="0.55000000000000004">
      <c r="A292" s="373"/>
      <c r="B292" s="373"/>
      <c r="C292" s="373"/>
      <c r="D292" s="373"/>
      <c r="E292" s="373"/>
      <c r="F292" s="373"/>
      <c r="G292" s="373"/>
      <c r="H292" s="373"/>
      <c r="I292" s="373"/>
      <c r="J292" s="373"/>
      <c r="K292" s="373"/>
      <c r="L292" s="373"/>
      <c r="M292" s="373"/>
      <c r="N292" s="373"/>
      <c r="O292" s="373"/>
      <c r="P292" s="373"/>
      <c r="Q292" s="373"/>
      <c r="R292" s="373"/>
      <c r="S292" s="373"/>
      <c r="T292" s="373"/>
      <c r="U292" s="373"/>
      <c r="V292" s="373"/>
    </row>
    <row r="293" spans="1:22" ht="18" x14ac:dyDescent="0.55000000000000004">
      <c r="A293" s="373"/>
      <c r="B293" s="373"/>
      <c r="C293" s="373"/>
      <c r="D293" s="373"/>
      <c r="E293" s="373"/>
      <c r="F293" s="373"/>
      <c r="G293" s="373"/>
      <c r="H293" s="373"/>
      <c r="I293" s="373"/>
      <c r="J293" s="373"/>
      <c r="K293" s="373"/>
      <c r="L293" s="373"/>
      <c r="M293" s="373"/>
      <c r="N293" s="373"/>
      <c r="O293" s="373"/>
      <c r="P293" s="373"/>
      <c r="Q293" s="373"/>
      <c r="R293" s="373"/>
      <c r="S293" s="373"/>
      <c r="T293" s="373"/>
      <c r="U293" s="373"/>
      <c r="V293" s="373"/>
    </row>
    <row r="294" spans="1:22" ht="18" x14ac:dyDescent="0.55000000000000004">
      <c r="A294" s="373"/>
      <c r="B294" s="373"/>
      <c r="C294" s="373"/>
      <c r="D294" s="373"/>
      <c r="E294" s="373"/>
      <c r="F294" s="373"/>
      <c r="G294" s="373"/>
      <c r="H294" s="373"/>
      <c r="I294" s="373"/>
      <c r="J294" s="373"/>
      <c r="K294" s="373"/>
      <c r="L294" s="373"/>
      <c r="M294" s="373"/>
      <c r="N294" s="373"/>
      <c r="O294" s="373"/>
      <c r="P294" s="373"/>
      <c r="Q294" s="373"/>
      <c r="R294" s="373"/>
      <c r="S294" s="373"/>
      <c r="T294" s="373"/>
      <c r="U294" s="373"/>
      <c r="V294" s="373"/>
    </row>
    <row r="295" spans="1:22" ht="18" x14ac:dyDescent="0.55000000000000004">
      <c r="A295" s="373"/>
      <c r="B295" s="373"/>
      <c r="C295" s="373"/>
      <c r="D295" s="373"/>
      <c r="E295" s="373"/>
      <c r="F295" s="373"/>
      <c r="G295" s="373"/>
      <c r="H295" s="373"/>
      <c r="I295" s="373"/>
      <c r="J295" s="373"/>
      <c r="K295" s="373"/>
      <c r="L295" s="373"/>
      <c r="M295" s="373"/>
      <c r="N295" s="373"/>
      <c r="O295" s="373"/>
      <c r="P295" s="373"/>
      <c r="Q295" s="373"/>
      <c r="R295" s="373"/>
      <c r="S295" s="373"/>
      <c r="T295" s="373"/>
      <c r="U295" s="373"/>
      <c r="V295" s="373"/>
    </row>
    <row r="296" spans="1:22" ht="18" x14ac:dyDescent="0.55000000000000004">
      <c r="A296" s="373"/>
      <c r="B296" s="373"/>
      <c r="C296" s="373"/>
      <c r="D296" s="373"/>
      <c r="E296" s="373"/>
      <c r="F296" s="373"/>
      <c r="G296" s="373"/>
      <c r="H296" s="373"/>
      <c r="I296" s="373"/>
      <c r="J296" s="373"/>
      <c r="K296" s="373"/>
      <c r="L296" s="373"/>
      <c r="M296" s="373"/>
      <c r="N296" s="373"/>
      <c r="O296" s="373"/>
      <c r="P296" s="373"/>
      <c r="Q296" s="373"/>
      <c r="R296" s="373"/>
      <c r="S296" s="373"/>
      <c r="T296" s="373"/>
      <c r="U296" s="373"/>
      <c r="V296" s="373"/>
    </row>
    <row r="297" spans="1:22" ht="18" x14ac:dyDescent="0.55000000000000004">
      <c r="A297" s="373"/>
      <c r="B297" s="373"/>
      <c r="C297" s="373"/>
      <c r="D297" s="373"/>
      <c r="E297" s="373"/>
      <c r="F297" s="373"/>
      <c r="G297" s="373"/>
      <c r="H297" s="373"/>
      <c r="I297" s="373"/>
      <c r="J297" s="373"/>
      <c r="K297" s="373"/>
      <c r="L297" s="373"/>
      <c r="M297" s="373"/>
      <c r="N297" s="373"/>
      <c r="O297" s="373"/>
      <c r="P297" s="373"/>
      <c r="Q297" s="373"/>
      <c r="R297" s="373"/>
      <c r="S297" s="373"/>
      <c r="T297" s="373"/>
      <c r="U297" s="373"/>
      <c r="V297" s="373"/>
    </row>
    <row r="298" spans="1:22" ht="18" x14ac:dyDescent="0.55000000000000004">
      <c r="A298" s="373"/>
      <c r="B298" s="373"/>
      <c r="C298" s="373"/>
      <c r="D298" s="373"/>
      <c r="E298" s="373"/>
      <c r="F298" s="373"/>
      <c r="G298" s="373"/>
      <c r="H298" s="373"/>
      <c r="I298" s="373"/>
      <c r="J298" s="373"/>
      <c r="K298" s="373"/>
      <c r="L298" s="373"/>
      <c r="M298" s="373"/>
      <c r="N298" s="373"/>
      <c r="O298" s="373"/>
      <c r="P298" s="373"/>
      <c r="Q298" s="373"/>
      <c r="R298" s="373"/>
      <c r="S298" s="373"/>
      <c r="T298" s="373"/>
      <c r="U298" s="373"/>
      <c r="V298" s="373"/>
    </row>
    <row r="299" spans="1:22" ht="18" x14ac:dyDescent="0.55000000000000004">
      <c r="A299" s="373"/>
      <c r="B299" s="373"/>
      <c r="C299" s="373"/>
      <c r="D299" s="373"/>
      <c r="E299" s="373"/>
      <c r="F299" s="373"/>
      <c r="G299" s="373"/>
      <c r="H299" s="373"/>
      <c r="I299" s="373"/>
      <c r="J299" s="373"/>
      <c r="K299" s="373"/>
      <c r="L299" s="373"/>
      <c r="M299" s="373"/>
      <c r="N299" s="373"/>
      <c r="O299" s="373"/>
      <c r="P299" s="373"/>
      <c r="Q299" s="373"/>
      <c r="R299" s="373"/>
      <c r="S299" s="373"/>
      <c r="T299" s="373"/>
      <c r="U299" s="373"/>
      <c r="V299" s="373"/>
    </row>
    <row r="300" spans="1:22" ht="18" x14ac:dyDescent="0.55000000000000004">
      <c r="A300" s="373"/>
      <c r="B300" s="373"/>
      <c r="C300" s="373"/>
      <c r="D300" s="373"/>
      <c r="E300" s="373"/>
      <c r="F300" s="373"/>
      <c r="G300" s="373"/>
      <c r="H300" s="373"/>
      <c r="I300" s="373"/>
      <c r="J300" s="373"/>
      <c r="K300" s="373"/>
      <c r="L300" s="373"/>
      <c r="M300" s="373"/>
      <c r="N300" s="373"/>
      <c r="O300" s="373"/>
      <c r="P300" s="373"/>
      <c r="Q300" s="373"/>
      <c r="R300" s="373"/>
      <c r="S300" s="373"/>
      <c r="T300" s="373"/>
      <c r="U300" s="373"/>
      <c r="V300" s="373"/>
    </row>
    <row r="301" spans="1:22" ht="18" x14ac:dyDescent="0.55000000000000004">
      <c r="A301" s="373"/>
      <c r="B301" s="373"/>
      <c r="C301" s="373"/>
      <c r="D301" s="373"/>
      <c r="E301" s="373"/>
      <c r="F301" s="373"/>
      <c r="G301" s="373"/>
      <c r="H301" s="373"/>
      <c r="I301" s="373"/>
      <c r="J301" s="373"/>
      <c r="K301" s="373"/>
      <c r="L301" s="373"/>
      <c r="M301" s="373"/>
      <c r="N301" s="373"/>
      <c r="O301" s="373"/>
      <c r="P301" s="373"/>
      <c r="Q301" s="373"/>
      <c r="R301" s="373"/>
      <c r="S301" s="373"/>
      <c r="T301" s="373"/>
      <c r="U301" s="373"/>
      <c r="V301" s="373"/>
    </row>
    <row r="302" spans="1:22" ht="18" x14ac:dyDescent="0.55000000000000004">
      <c r="A302" s="373"/>
      <c r="B302" s="373"/>
      <c r="C302" s="373"/>
      <c r="D302" s="373"/>
      <c r="E302" s="373"/>
      <c r="F302" s="373"/>
      <c r="G302" s="373"/>
      <c r="H302" s="373"/>
      <c r="I302" s="373"/>
      <c r="J302" s="373"/>
      <c r="K302" s="373"/>
      <c r="L302" s="373"/>
      <c r="M302" s="373"/>
      <c r="N302" s="373"/>
      <c r="O302" s="373"/>
      <c r="P302" s="373"/>
      <c r="Q302" s="373"/>
      <c r="R302" s="373"/>
      <c r="S302" s="373"/>
      <c r="T302" s="373"/>
      <c r="U302" s="373"/>
      <c r="V302" s="373"/>
    </row>
    <row r="303" spans="1:22" ht="18" x14ac:dyDescent="0.55000000000000004">
      <c r="A303" s="373"/>
      <c r="B303" s="373"/>
      <c r="C303" s="373"/>
      <c r="D303" s="373"/>
      <c r="E303" s="373"/>
      <c r="F303" s="373"/>
      <c r="G303" s="373"/>
      <c r="H303" s="373"/>
      <c r="I303" s="373"/>
      <c r="J303" s="373"/>
      <c r="K303" s="373"/>
      <c r="L303" s="373"/>
      <c r="M303" s="373"/>
      <c r="N303" s="373"/>
      <c r="O303" s="373"/>
      <c r="P303" s="373"/>
      <c r="Q303" s="373"/>
      <c r="R303" s="373"/>
      <c r="S303" s="373"/>
      <c r="T303" s="373"/>
      <c r="U303" s="373"/>
      <c r="V303" s="373"/>
    </row>
    <row r="304" spans="1:22" ht="18" x14ac:dyDescent="0.55000000000000004">
      <c r="A304" s="373"/>
      <c r="B304" s="373"/>
      <c r="C304" s="373"/>
      <c r="D304" s="373"/>
      <c r="E304" s="373"/>
      <c r="F304" s="373"/>
      <c r="G304" s="373"/>
      <c r="H304" s="373"/>
      <c r="I304" s="373"/>
      <c r="J304" s="373"/>
      <c r="K304" s="373"/>
      <c r="L304" s="373"/>
      <c r="M304" s="373"/>
      <c r="N304" s="373"/>
      <c r="O304" s="373"/>
      <c r="P304" s="373"/>
      <c r="Q304" s="373"/>
      <c r="R304" s="373"/>
      <c r="S304" s="373"/>
      <c r="T304" s="373"/>
      <c r="U304" s="373"/>
      <c r="V304" s="373"/>
    </row>
    <row r="305" spans="1:22" ht="18" x14ac:dyDescent="0.55000000000000004">
      <c r="A305" s="373"/>
      <c r="B305" s="373"/>
      <c r="C305" s="373"/>
      <c r="D305" s="373"/>
      <c r="E305" s="373"/>
      <c r="F305" s="373"/>
      <c r="G305" s="373"/>
      <c r="H305" s="373"/>
      <c r="I305" s="373"/>
      <c r="J305" s="373"/>
      <c r="K305" s="373"/>
      <c r="L305" s="373"/>
      <c r="M305" s="373"/>
      <c r="N305" s="373"/>
      <c r="O305" s="373"/>
      <c r="P305" s="373"/>
      <c r="Q305" s="373"/>
      <c r="R305" s="373"/>
      <c r="S305" s="373"/>
      <c r="T305" s="373"/>
      <c r="U305" s="373"/>
      <c r="V305" s="373"/>
    </row>
    <row r="306" spans="1:22" ht="18" x14ac:dyDescent="0.55000000000000004">
      <c r="A306" s="373"/>
      <c r="B306" s="373"/>
      <c r="C306" s="373"/>
      <c r="D306" s="373"/>
      <c r="E306" s="373"/>
      <c r="F306" s="373"/>
      <c r="G306" s="373"/>
      <c r="H306" s="373"/>
      <c r="I306" s="373"/>
      <c r="J306" s="373"/>
      <c r="K306" s="373"/>
      <c r="L306" s="373"/>
      <c r="M306" s="373"/>
      <c r="N306" s="373"/>
      <c r="O306" s="373"/>
      <c r="P306" s="373"/>
      <c r="Q306" s="373"/>
      <c r="R306" s="373"/>
      <c r="S306" s="373"/>
      <c r="T306" s="373"/>
      <c r="U306" s="373"/>
      <c r="V306" s="373"/>
    </row>
    <row r="307" spans="1:22" ht="18" x14ac:dyDescent="0.55000000000000004">
      <c r="A307" s="373"/>
      <c r="B307" s="373"/>
      <c r="C307" s="373"/>
      <c r="D307" s="373"/>
      <c r="E307" s="373"/>
      <c r="F307" s="373"/>
      <c r="G307" s="373"/>
      <c r="H307" s="373"/>
      <c r="I307" s="373"/>
      <c r="J307" s="373"/>
      <c r="K307" s="373"/>
      <c r="L307" s="373"/>
      <c r="M307" s="373"/>
      <c r="N307" s="373"/>
      <c r="O307" s="373"/>
      <c r="P307" s="373"/>
      <c r="Q307" s="373"/>
      <c r="R307" s="373"/>
      <c r="S307" s="373"/>
      <c r="T307" s="373"/>
      <c r="U307" s="373"/>
      <c r="V307" s="373"/>
    </row>
    <row r="308" spans="1:22" ht="18" x14ac:dyDescent="0.55000000000000004">
      <c r="A308" s="373"/>
      <c r="B308" s="373"/>
      <c r="C308" s="373"/>
      <c r="D308" s="373"/>
      <c r="E308" s="373"/>
      <c r="F308" s="373"/>
      <c r="G308" s="373"/>
      <c r="H308" s="373"/>
      <c r="I308" s="373"/>
      <c r="J308" s="373"/>
      <c r="K308" s="373"/>
      <c r="L308" s="373"/>
      <c r="M308" s="373"/>
      <c r="N308" s="373"/>
      <c r="O308" s="373"/>
      <c r="P308" s="373"/>
      <c r="Q308" s="373"/>
      <c r="R308" s="373"/>
      <c r="S308" s="373"/>
      <c r="T308" s="373"/>
      <c r="U308" s="373"/>
      <c r="V308" s="373"/>
    </row>
    <row r="309" spans="1:22" ht="18" x14ac:dyDescent="0.55000000000000004">
      <c r="A309" s="373"/>
      <c r="B309" s="373"/>
      <c r="C309" s="373"/>
      <c r="D309" s="373"/>
      <c r="E309" s="373"/>
      <c r="F309" s="373"/>
      <c r="G309" s="373"/>
      <c r="H309" s="373"/>
      <c r="I309" s="373"/>
      <c r="J309" s="373"/>
      <c r="K309" s="373"/>
      <c r="L309" s="373"/>
      <c r="M309" s="373"/>
      <c r="N309" s="373"/>
      <c r="O309" s="373"/>
      <c r="P309" s="373"/>
      <c r="Q309" s="373"/>
      <c r="R309" s="373"/>
      <c r="S309" s="373"/>
      <c r="T309" s="373"/>
      <c r="U309" s="373"/>
      <c r="V309" s="373"/>
    </row>
    <row r="310" spans="1:22" ht="18" x14ac:dyDescent="0.55000000000000004">
      <c r="A310" s="373"/>
      <c r="B310" s="373"/>
      <c r="C310" s="373"/>
      <c r="D310" s="373"/>
      <c r="E310" s="373"/>
      <c r="F310" s="373"/>
      <c r="G310" s="373"/>
      <c r="H310" s="373"/>
      <c r="I310" s="373"/>
      <c r="J310" s="373"/>
      <c r="K310" s="373"/>
      <c r="L310" s="373"/>
      <c r="M310" s="373"/>
      <c r="N310" s="373"/>
      <c r="O310" s="373"/>
      <c r="P310" s="373"/>
      <c r="Q310" s="373"/>
      <c r="R310" s="373"/>
      <c r="S310" s="373"/>
      <c r="T310" s="373"/>
      <c r="U310" s="373"/>
      <c r="V310" s="373"/>
    </row>
    <row r="311" spans="1:22" ht="18" x14ac:dyDescent="0.55000000000000004">
      <c r="A311" s="373"/>
      <c r="B311" s="373"/>
      <c r="C311" s="373"/>
      <c r="D311" s="373"/>
      <c r="E311" s="373"/>
      <c r="F311" s="373"/>
      <c r="G311" s="373"/>
      <c r="H311" s="373"/>
      <c r="I311" s="373"/>
      <c r="J311" s="373"/>
      <c r="K311" s="373"/>
      <c r="L311" s="373"/>
      <c r="M311" s="373"/>
      <c r="N311" s="373"/>
      <c r="O311" s="373"/>
      <c r="P311" s="373"/>
      <c r="Q311" s="373"/>
      <c r="R311" s="373"/>
      <c r="S311" s="373"/>
      <c r="T311" s="373"/>
      <c r="U311" s="373"/>
      <c r="V311" s="373"/>
    </row>
    <row r="312" spans="1:22" ht="18" x14ac:dyDescent="0.55000000000000004">
      <c r="A312" s="373"/>
      <c r="B312" s="373"/>
      <c r="C312" s="373"/>
      <c r="D312" s="373"/>
      <c r="E312" s="373"/>
      <c r="F312" s="373"/>
      <c r="G312" s="373"/>
      <c r="H312" s="373"/>
      <c r="I312" s="373"/>
      <c r="J312" s="373"/>
      <c r="K312" s="373"/>
      <c r="L312" s="373"/>
      <c r="M312" s="373"/>
      <c r="N312" s="373"/>
      <c r="O312" s="373"/>
      <c r="P312" s="373"/>
      <c r="Q312" s="373"/>
      <c r="R312" s="373"/>
      <c r="S312" s="373"/>
      <c r="T312" s="373"/>
      <c r="U312" s="373"/>
      <c r="V312" s="373"/>
    </row>
    <row r="313" spans="1:22" ht="18" x14ac:dyDescent="0.55000000000000004">
      <c r="A313" s="373"/>
      <c r="B313" s="373"/>
      <c r="C313" s="373"/>
      <c r="D313" s="373"/>
      <c r="E313" s="373"/>
      <c r="F313" s="373"/>
      <c r="G313" s="373"/>
      <c r="H313" s="373"/>
      <c r="I313" s="373"/>
      <c r="J313" s="373"/>
      <c r="K313" s="373"/>
      <c r="L313" s="373"/>
      <c r="M313" s="373"/>
      <c r="N313" s="373"/>
      <c r="O313" s="373"/>
      <c r="P313" s="373"/>
      <c r="Q313" s="373"/>
      <c r="R313" s="373"/>
      <c r="S313" s="373"/>
      <c r="T313" s="373"/>
      <c r="U313" s="373"/>
      <c r="V313" s="373"/>
    </row>
    <row r="314" spans="1:22" ht="18" x14ac:dyDescent="0.55000000000000004">
      <c r="A314" s="373"/>
      <c r="B314" s="373"/>
      <c r="C314" s="373"/>
      <c r="D314" s="373"/>
      <c r="E314" s="373"/>
      <c r="F314" s="373"/>
      <c r="G314" s="373"/>
      <c r="H314" s="373"/>
      <c r="I314" s="373"/>
      <c r="J314" s="373"/>
      <c r="K314" s="373"/>
      <c r="L314" s="373"/>
      <c r="M314" s="373"/>
      <c r="N314" s="373"/>
      <c r="O314" s="373"/>
      <c r="P314" s="373"/>
      <c r="Q314" s="373"/>
      <c r="R314" s="373"/>
      <c r="S314" s="373"/>
      <c r="T314" s="373"/>
      <c r="U314" s="373"/>
      <c r="V314" s="373"/>
    </row>
    <row r="315" spans="1:22" ht="18" x14ac:dyDescent="0.55000000000000004">
      <c r="A315" s="373"/>
      <c r="B315" s="373"/>
      <c r="C315" s="373"/>
      <c r="D315" s="373"/>
      <c r="E315" s="373"/>
      <c r="F315" s="373"/>
      <c r="G315" s="373"/>
      <c r="H315" s="373"/>
      <c r="I315" s="373"/>
      <c r="J315" s="373"/>
      <c r="K315" s="373"/>
      <c r="L315" s="373"/>
      <c r="M315" s="373"/>
      <c r="N315" s="373"/>
      <c r="O315" s="373"/>
      <c r="P315" s="373"/>
      <c r="Q315" s="373"/>
      <c r="R315" s="373"/>
      <c r="S315" s="373"/>
      <c r="T315" s="373"/>
      <c r="U315" s="373"/>
      <c r="V315" s="373"/>
    </row>
    <row r="316" spans="1:22" ht="18" x14ac:dyDescent="0.55000000000000004">
      <c r="A316" s="373"/>
      <c r="B316" s="373"/>
      <c r="C316" s="373"/>
      <c r="D316" s="373"/>
      <c r="E316" s="373"/>
      <c r="F316" s="373"/>
      <c r="G316" s="373"/>
      <c r="H316" s="373"/>
      <c r="I316" s="373"/>
      <c r="J316" s="373"/>
      <c r="K316" s="373"/>
      <c r="L316" s="373"/>
      <c r="M316" s="373"/>
      <c r="N316" s="373"/>
      <c r="O316" s="373"/>
      <c r="P316" s="373"/>
      <c r="Q316" s="373"/>
      <c r="R316" s="373"/>
      <c r="S316" s="373"/>
      <c r="T316" s="373"/>
      <c r="U316" s="373"/>
      <c r="V316" s="373"/>
    </row>
    <row r="317" spans="1:22" ht="18" x14ac:dyDescent="0.55000000000000004">
      <c r="A317" s="373"/>
      <c r="B317" s="373"/>
      <c r="C317" s="373"/>
      <c r="D317" s="373"/>
      <c r="E317" s="373"/>
      <c r="F317" s="373"/>
      <c r="G317" s="373"/>
      <c r="H317" s="373"/>
      <c r="I317" s="373"/>
      <c r="J317" s="373"/>
      <c r="K317" s="373"/>
      <c r="L317" s="373"/>
      <c r="M317" s="373"/>
      <c r="N317" s="373"/>
      <c r="O317" s="373"/>
      <c r="P317" s="373"/>
      <c r="Q317" s="373"/>
      <c r="R317" s="373"/>
      <c r="S317" s="373"/>
      <c r="T317" s="373"/>
      <c r="U317" s="373"/>
      <c r="V317" s="373"/>
    </row>
    <row r="318" spans="1:22" ht="18" x14ac:dyDescent="0.55000000000000004">
      <c r="A318" s="373"/>
      <c r="B318" s="373"/>
      <c r="C318" s="373"/>
      <c r="D318" s="373"/>
      <c r="E318" s="373"/>
      <c r="F318" s="373"/>
      <c r="G318" s="373"/>
      <c r="H318" s="373"/>
      <c r="I318" s="373"/>
      <c r="J318" s="373"/>
      <c r="K318" s="373"/>
      <c r="L318" s="373"/>
      <c r="M318" s="373"/>
      <c r="N318" s="373"/>
      <c r="O318" s="373"/>
      <c r="P318" s="373"/>
      <c r="Q318" s="373"/>
      <c r="R318" s="373"/>
      <c r="S318" s="373"/>
      <c r="T318" s="373"/>
      <c r="U318" s="373"/>
      <c r="V318" s="373"/>
    </row>
    <row r="319" spans="1:22" ht="18" x14ac:dyDescent="0.55000000000000004">
      <c r="A319" s="373"/>
      <c r="B319" s="373"/>
      <c r="C319" s="373"/>
      <c r="D319" s="373"/>
      <c r="E319" s="373"/>
      <c r="F319" s="373"/>
      <c r="G319" s="373"/>
      <c r="H319" s="373"/>
      <c r="I319" s="373"/>
      <c r="J319" s="373"/>
      <c r="K319" s="373"/>
      <c r="L319" s="373"/>
      <c r="M319" s="373"/>
      <c r="N319" s="373"/>
      <c r="O319" s="373"/>
      <c r="P319" s="373"/>
      <c r="Q319" s="373"/>
      <c r="R319" s="373"/>
      <c r="S319" s="373"/>
      <c r="T319" s="373"/>
      <c r="U319" s="373"/>
      <c r="V319" s="373"/>
    </row>
    <row r="320" spans="1:22" ht="18" x14ac:dyDescent="0.55000000000000004">
      <c r="A320" s="373"/>
      <c r="B320" s="373"/>
      <c r="C320" s="373"/>
      <c r="D320" s="373"/>
      <c r="E320" s="373"/>
      <c r="F320" s="373"/>
      <c r="G320" s="373"/>
      <c r="H320" s="373"/>
      <c r="I320" s="373"/>
      <c r="J320" s="373"/>
      <c r="K320" s="373"/>
      <c r="L320" s="373"/>
      <c r="M320" s="373"/>
      <c r="N320" s="373"/>
      <c r="O320" s="373"/>
      <c r="P320" s="373"/>
      <c r="Q320" s="373"/>
      <c r="R320" s="373"/>
      <c r="S320" s="373"/>
      <c r="T320" s="373"/>
      <c r="U320" s="373"/>
      <c r="V320" s="373"/>
    </row>
    <row r="321" spans="1:22" ht="18" x14ac:dyDescent="0.55000000000000004">
      <c r="A321" s="373"/>
      <c r="B321" s="373"/>
      <c r="C321" s="373"/>
      <c r="D321" s="373"/>
      <c r="E321" s="373"/>
      <c r="F321" s="373"/>
      <c r="G321" s="373"/>
      <c r="H321" s="373"/>
      <c r="I321" s="373"/>
      <c r="J321" s="373"/>
      <c r="K321" s="373"/>
      <c r="L321" s="373"/>
      <c r="M321" s="373"/>
      <c r="N321" s="373"/>
      <c r="O321" s="373"/>
      <c r="P321" s="373"/>
      <c r="Q321" s="373"/>
      <c r="R321" s="373"/>
      <c r="S321" s="373"/>
      <c r="T321" s="373"/>
      <c r="U321" s="373"/>
      <c r="V321" s="373"/>
    </row>
    <row r="322" spans="1:22" ht="18" x14ac:dyDescent="0.55000000000000004">
      <c r="A322" s="373"/>
      <c r="B322" s="373"/>
      <c r="C322" s="373"/>
      <c r="D322" s="373"/>
      <c r="E322" s="373"/>
      <c r="F322" s="373"/>
      <c r="G322" s="373"/>
      <c r="H322" s="373"/>
      <c r="I322" s="373"/>
      <c r="J322" s="373"/>
      <c r="K322" s="373"/>
      <c r="L322" s="373"/>
      <c r="M322" s="373"/>
      <c r="N322" s="373"/>
      <c r="O322" s="373"/>
      <c r="P322" s="373"/>
      <c r="Q322" s="373"/>
      <c r="R322" s="373"/>
      <c r="S322" s="373"/>
      <c r="T322" s="373"/>
      <c r="U322" s="373"/>
      <c r="V322" s="373"/>
    </row>
    <row r="323" spans="1:22" ht="18" x14ac:dyDescent="0.55000000000000004">
      <c r="A323" s="373"/>
      <c r="B323" s="373"/>
      <c r="C323" s="373"/>
      <c r="D323" s="373"/>
      <c r="E323" s="373"/>
      <c r="F323" s="373"/>
      <c r="G323" s="373"/>
      <c r="H323" s="373"/>
      <c r="I323" s="373"/>
      <c r="J323" s="373"/>
      <c r="K323" s="373"/>
      <c r="L323" s="373"/>
      <c r="M323" s="373"/>
      <c r="N323" s="373"/>
      <c r="O323" s="373"/>
      <c r="P323" s="373"/>
      <c r="Q323" s="373"/>
      <c r="R323" s="373"/>
      <c r="S323" s="373"/>
      <c r="T323" s="373"/>
      <c r="U323" s="373"/>
      <c r="V323" s="373"/>
    </row>
    <row r="324" spans="1:22" ht="18" x14ac:dyDescent="0.55000000000000004">
      <c r="A324" s="373"/>
      <c r="B324" s="373"/>
      <c r="C324" s="373"/>
      <c r="D324" s="373"/>
      <c r="E324" s="373"/>
      <c r="F324" s="373"/>
      <c r="G324" s="373"/>
      <c r="H324" s="373"/>
      <c r="I324" s="373"/>
      <c r="J324" s="373"/>
      <c r="K324" s="373"/>
      <c r="L324" s="373"/>
      <c r="M324" s="373"/>
      <c r="N324" s="373"/>
      <c r="O324" s="373"/>
      <c r="P324" s="373"/>
      <c r="Q324" s="373"/>
      <c r="R324" s="373"/>
      <c r="S324" s="373"/>
      <c r="T324" s="373"/>
      <c r="U324" s="373"/>
      <c r="V324" s="373"/>
    </row>
    <row r="325" spans="1:22" ht="18" x14ac:dyDescent="0.55000000000000004">
      <c r="A325" s="373"/>
      <c r="B325" s="373"/>
      <c r="C325" s="373"/>
      <c r="D325" s="373"/>
      <c r="E325" s="373"/>
      <c r="F325" s="373"/>
      <c r="G325" s="373"/>
      <c r="H325" s="373"/>
      <c r="I325" s="373"/>
      <c r="J325" s="373"/>
      <c r="K325" s="373"/>
      <c r="L325" s="373"/>
      <c r="M325" s="373"/>
      <c r="N325" s="373"/>
      <c r="O325" s="373"/>
      <c r="P325" s="373"/>
      <c r="Q325" s="373"/>
      <c r="R325" s="373"/>
      <c r="S325" s="373"/>
      <c r="T325" s="373"/>
      <c r="U325" s="373"/>
      <c r="V325" s="373"/>
    </row>
    <row r="326" spans="1:22" ht="18" x14ac:dyDescent="0.55000000000000004">
      <c r="A326" s="373"/>
      <c r="B326" s="373"/>
      <c r="C326" s="373"/>
      <c r="D326" s="373"/>
      <c r="E326" s="373"/>
      <c r="F326" s="373"/>
      <c r="G326" s="373"/>
      <c r="H326" s="373"/>
      <c r="I326" s="373"/>
      <c r="J326" s="373"/>
      <c r="K326" s="373"/>
      <c r="L326" s="373"/>
      <c r="M326" s="373"/>
      <c r="N326" s="373"/>
      <c r="O326" s="373"/>
      <c r="P326" s="373"/>
      <c r="Q326" s="373"/>
      <c r="R326" s="373"/>
      <c r="S326" s="373"/>
      <c r="T326" s="373"/>
      <c r="U326" s="373"/>
      <c r="V326" s="373"/>
    </row>
    <row r="327" spans="1:22" ht="18" x14ac:dyDescent="0.55000000000000004">
      <c r="A327" s="373"/>
      <c r="B327" s="373"/>
      <c r="C327" s="373"/>
      <c r="D327" s="373"/>
      <c r="E327" s="373"/>
      <c r="F327" s="373"/>
      <c r="G327" s="373"/>
      <c r="H327" s="373"/>
      <c r="I327" s="373"/>
      <c r="J327" s="373"/>
      <c r="K327" s="373"/>
      <c r="L327" s="373"/>
      <c r="M327" s="373"/>
      <c r="N327" s="373"/>
      <c r="O327" s="373"/>
      <c r="P327" s="373"/>
      <c r="Q327" s="373"/>
      <c r="R327" s="373"/>
      <c r="S327" s="373"/>
      <c r="T327" s="373"/>
      <c r="U327" s="373"/>
      <c r="V327" s="373"/>
    </row>
    <row r="328" spans="1:22" ht="18" x14ac:dyDescent="0.55000000000000004">
      <c r="A328" s="373"/>
      <c r="B328" s="373"/>
      <c r="C328" s="373"/>
      <c r="D328" s="373"/>
      <c r="E328" s="373"/>
      <c r="F328" s="373"/>
      <c r="G328" s="373"/>
      <c r="H328" s="373"/>
      <c r="I328" s="373"/>
      <c r="J328" s="373"/>
      <c r="K328" s="373"/>
      <c r="L328" s="373"/>
      <c r="M328" s="373"/>
      <c r="N328" s="373"/>
      <c r="O328" s="373"/>
      <c r="P328" s="373"/>
      <c r="Q328" s="373"/>
      <c r="R328" s="373"/>
      <c r="S328" s="373"/>
      <c r="T328" s="373"/>
      <c r="U328" s="373"/>
      <c r="V328" s="373"/>
    </row>
    <row r="329" spans="1:22" ht="18" x14ac:dyDescent="0.55000000000000004">
      <c r="A329" s="373"/>
      <c r="B329" s="373"/>
      <c r="C329" s="373"/>
      <c r="D329" s="373"/>
      <c r="E329" s="373"/>
      <c r="F329" s="373"/>
      <c r="G329" s="373"/>
      <c r="H329" s="373"/>
      <c r="I329" s="373"/>
      <c r="J329" s="373"/>
      <c r="K329" s="373"/>
      <c r="L329" s="373"/>
      <c r="M329" s="373"/>
      <c r="N329" s="373"/>
      <c r="O329" s="373"/>
      <c r="P329" s="373"/>
      <c r="Q329" s="373"/>
      <c r="R329" s="373"/>
      <c r="S329" s="373"/>
      <c r="T329" s="373"/>
      <c r="U329" s="373"/>
      <c r="V329" s="373"/>
    </row>
    <row r="330" spans="1:22" ht="18" x14ac:dyDescent="0.55000000000000004">
      <c r="A330" s="373"/>
      <c r="B330" s="373"/>
      <c r="C330" s="373"/>
      <c r="D330" s="373"/>
      <c r="E330" s="373"/>
      <c r="F330" s="373"/>
      <c r="G330" s="373"/>
      <c r="H330" s="373"/>
      <c r="I330" s="373"/>
      <c r="J330" s="373"/>
      <c r="K330" s="373"/>
      <c r="L330" s="373"/>
      <c r="M330" s="373"/>
      <c r="N330" s="373"/>
      <c r="O330" s="373"/>
      <c r="P330" s="373"/>
      <c r="Q330" s="373"/>
      <c r="R330" s="373"/>
      <c r="S330" s="373"/>
      <c r="T330" s="373"/>
      <c r="U330" s="373"/>
      <c r="V330" s="373"/>
    </row>
    <row r="331" spans="1:22" ht="18" x14ac:dyDescent="0.55000000000000004">
      <c r="A331" s="373"/>
      <c r="B331" s="373"/>
      <c r="C331" s="373"/>
      <c r="D331" s="373"/>
      <c r="E331" s="373"/>
      <c r="F331" s="373"/>
      <c r="G331" s="373"/>
      <c r="H331" s="373"/>
      <c r="I331" s="373"/>
      <c r="J331" s="373"/>
      <c r="K331" s="373"/>
      <c r="L331" s="373"/>
      <c r="M331" s="373"/>
      <c r="N331" s="373"/>
      <c r="O331" s="373"/>
      <c r="P331" s="373"/>
      <c r="Q331" s="373"/>
      <c r="R331" s="373"/>
      <c r="S331" s="373"/>
      <c r="T331" s="373"/>
      <c r="U331" s="373"/>
      <c r="V331" s="373"/>
    </row>
    <row r="332" spans="1:22" ht="18" x14ac:dyDescent="0.55000000000000004">
      <c r="A332" s="373"/>
      <c r="B332" s="373"/>
      <c r="C332" s="373"/>
      <c r="D332" s="373"/>
      <c r="E332" s="373"/>
      <c r="F332" s="373"/>
      <c r="G332" s="373"/>
      <c r="H332" s="373"/>
      <c r="I332" s="373"/>
      <c r="J332" s="373"/>
      <c r="K332" s="373"/>
      <c r="L332" s="373"/>
      <c r="M332" s="373"/>
      <c r="N332" s="373"/>
      <c r="O332" s="373"/>
      <c r="P332" s="373"/>
      <c r="Q332" s="373"/>
      <c r="R332" s="373"/>
      <c r="S332" s="373"/>
      <c r="T332" s="373"/>
      <c r="U332" s="373"/>
      <c r="V332" s="373"/>
    </row>
    <row r="333" spans="1:22" ht="18" x14ac:dyDescent="0.55000000000000004">
      <c r="A333" s="373"/>
      <c r="B333" s="373"/>
      <c r="C333" s="373"/>
      <c r="D333" s="373"/>
      <c r="E333" s="373"/>
      <c r="F333" s="373"/>
      <c r="G333" s="373"/>
      <c r="H333" s="373"/>
      <c r="I333" s="373"/>
      <c r="J333" s="373"/>
      <c r="K333" s="373"/>
      <c r="L333" s="373"/>
      <c r="M333" s="373"/>
      <c r="N333" s="373"/>
      <c r="O333" s="373"/>
      <c r="P333" s="373"/>
      <c r="Q333" s="373"/>
      <c r="R333" s="373"/>
      <c r="S333" s="373"/>
      <c r="T333" s="373"/>
      <c r="U333" s="373"/>
      <c r="V333" s="373"/>
    </row>
    <row r="334" spans="1:22" ht="18" x14ac:dyDescent="0.55000000000000004">
      <c r="A334" s="373"/>
      <c r="B334" s="373"/>
      <c r="C334" s="373"/>
      <c r="D334" s="373"/>
      <c r="E334" s="373"/>
      <c r="F334" s="373"/>
      <c r="G334" s="373"/>
      <c r="H334" s="373"/>
      <c r="I334" s="373"/>
      <c r="J334" s="373"/>
      <c r="K334" s="373"/>
      <c r="L334" s="373"/>
      <c r="M334" s="373"/>
      <c r="N334" s="373"/>
      <c r="O334" s="373"/>
      <c r="P334" s="373"/>
      <c r="Q334" s="373"/>
      <c r="R334" s="373"/>
      <c r="S334" s="373"/>
      <c r="T334" s="373"/>
      <c r="U334" s="373"/>
      <c r="V334" s="373"/>
    </row>
    <row r="335" spans="1:22" ht="18" x14ac:dyDescent="0.55000000000000004">
      <c r="A335" s="373"/>
      <c r="B335" s="373"/>
      <c r="C335" s="373"/>
      <c r="D335" s="373"/>
      <c r="E335" s="373"/>
      <c r="F335" s="373"/>
      <c r="G335" s="373"/>
      <c r="H335" s="373"/>
      <c r="I335" s="373"/>
      <c r="J335" s="373"/>
      <c r="K335" s="373"/>
      <c r="L335" s="373"/>
      <c r="M335" s="373"/>
      <c r="N335" s="373"/>
      <c r="O335" s="373"/>
      <c r="P335" s="373"/>
      <c r="Q335" s="373"/>
      <c r="R335" s="373"/>
      <c r="S335" s="373"/>
      <c r="T335" s="373"/>
      <c r="U335" s="373"/>
      <c r="V335" s="373"/>
    </row>
    <row r="336" spans="1:22" ht="18" x14ac:dyDescent="0.55000000000000004">
      <c r="A336" s="373"/>
      <c r="B336" s="373"/>
      <c r="C336" s="373"/>
      <c r="D336" s="373"/>
      <c r="E336" s="373"/>
      <c r="F336" s="373"/>
      <c r="G336" s="373"/>
      <c r="H336" s="373"/>
      <c r="I336" s="373"/>
      <c r="J336" s="373"/>
      <c r="K336" s="373"/>
      <c r="L336" s="373"/>
      <c r="M336" s="373"/>
      <c r="N336" s="373"/>
      <c r="O336" s="373"/>
      <c r="P336" s="373"/>
      <c r="Q336" s="373"/>
      <c r="R336" s="373"/>
      <c r="S336" s="373"/>
      <c r="T336" s="373"/>
      <c r="U336" s="373"/>
      <c r="V336" s="373"/>
    </row>
    <row r="337" spans="1:22" ht="18" x14ac:dyDescent="0.55000000000000004">
      <c r="A337" s="373"/>
      <c r="B337" s="373"/>
      <c r="C337" s="373"/>
      <c r="D337" s="373"/>
      <c r="E337" s="373"/>
      <c r="F337" s="373"/>
      <c r="G337" s="373"/>
      <c r="H337" s="373"/>
      <c r="I337" s="373"/>
      <c r="J337" s="373"/>
      <c r="K337" s="373"/>
      <c r="L337" s="373"/>
      <c r="M337" s="373"/>
      <c r="N337" s="373"/>
      <c r="O337" s="373"/>
      <c r="P337" s="373"/>
      <c r="Q337" s="373"/>
      <c r="R337" s="373"/>
      <c r="S337" s="373"/>
      <c r="T337" s="373"/>
      <c r="U337" s="373"/>
      <c r="V337" s="373"/>
    </row>
    <row r="338" spans="1:22" ht="18" x14ac:dyDescent="0.55000000000000004">
      <c r="A338" s="373"/>
      <c r="B338" s="373"/>
      <c r="C338" s="373"/>
      <c r="D338" s="373"/>
      <c r="E338" s="373"/>
      <c r="F338" s="373"/>
      <c r="G338" s="373"/>
      <c r="H338" s="373"/>
      <c r="I338" s="373"/>
      <c r="J338" s="373"/>
      <c r="K338" s="373"/>
      <c r="L338" s="373"/>
      <c r="M338" s="373"/>
      <c r="N338" s="373"/>
      <c r="O338" s="373"/>
      <c r="P338" s="373"/>
      <c r="Q338" s="373"/>
      <c r="R338" s="373"/>
      <c r="S338" s="373"/>
      <c r="T338" s="373"/>
      <c r="U338" s="373"/>
      <c r="V338" s="373"/>
    </row>
    <row r="339" spans="1:22" ht="18" x14ac:dyDescent="0.55000000000000004">
      <c r="A339" s="373"/>
      <c r="B339" s="373"/>
      <c r="C339" s="373"/>
      <c r="D339" s="373"/>
      <c r="E339" s="373"/>
      <c r="F339" s="373"/>
      <c r="G339" s="373"/>
      <c r="H339" s="373"/>
      <c r="I339" s="373"/>
      <c r="J339" s="373"/>
      <c r="K339" s="373"/>
      <c r="L339" s="373"/>
      <c r="M339" s="373"/>
      <c r="N339" s="373"/>
      <c r="O339" s="373"/>
      <c r="P339" s="373"/>
      <c r="Q339" s="373"/>
      <c r="R339" s="373"/>
      <c r="S339" s="373"/>
      <c r="T339" s="373"/>
      <c r="U339" s="373"/>
      <c r="V339" s="373"/>
    </row>
    <row r="340" spans="1:22" ht="18" x14ac:dyDescent="0.55000000000000004">
      <c r="A340" s="373"/>
      <c r="B340" s="373"/>
      <c r="C340" s="373"/>
      <c r="D340" s="373"/>
      <c r="E340" s="373"/>
      <c r="F340" s="373"/>
      <c r="G340" s="373"/>
      <c r="H340" s="373"/>
      <c r="I340" s="373"/>
      <c r="J340" s="373"/>
      <c r="K340" s="373"/>
      <c r="L340" s="373"/>
      <c r="M340" s="373"/>
      <c r="N340" s="373"/>
      <c r="O340" s="373"/>
      <c r="P340" s="373"/>
      <c r="Q340" s="373"/>
      <c r="R340" s="373"/>
      <c r="S340" s="373"/>
      <c r="T340" s="373"/>
      <c r="U340" s="373"/>
      <c r="V340" s="373"/>
    </row>
    <row r="341" spans="1:22" ht="18" x14ac:dyDescent="0.55000000000000004">
      <c r="A341" s="373"/>
      <c r="B341" s="373"/>
      <c r="C341" s="373"/>
      <c r="D341" s="373"/>
      <c r="E341" s="373"/>
      <c r="F341" s="373"/>
      <c r="G341" s="373"/>
      <c r="H341" s="373"/>
      <c r="I341" s="373"/>
      <c r="J341" s="373"/>
      <c r="K341" s="373"/>
      <c r="L341" s="373"/>
      <c r="M341" s="373"/>
      <c r="N341" s="373"/>
      <c r="O341" s="373"/>
      <c r="P341" s="373"/>
      <c r="Q341" s="373"/>
      <c r="R341" s="373"/>
      <c r="S341" s="373"/>
      <c r="T341" s="373"/>
      <c r="U341" s="373"/>
      <c r="V341" s="373"/>
    </row>
    <row r="342" spans="1:22" ht="18" x14ac:dyDescent="0.55000000000000004">
      <c r="A342" s="373"/>
      <c r="B342" s="373"/>
      <c r="C342" s="373"/>
      <c r="D342" s="373"/>
      <c r="E342" s="373"/>
      <c r="F342" s="373"/>
      <c r="G342" s="373"/>
      <c r="H342" s="373"/>
      <c r="I342" s="373"/>
      <c r="J342" s="373"/>
      <c r="K342" s="373"/>
      <c r="L342" s="373"/>
      <c r="M342" s="373"/>
      <c r="N342" s="373"/>
      <c r="O342" s="373"/>
      <c r="P342" s="373"/>
      <c r="Q342" s="373"/>
      <c r="R342" s="373"/>
      <c r="S342" s="373"/>
      <c r="T342" s="373"/>
      <c r="U342" s="373"/>
      <c r="V342" s="373"/>
    </row>
    <row r="343" spans="1:22" ht="18" x14ac:dyDescent="0.55000000000000004">
      <c r="A343" s="373"/>
      <c r="B343" s="373"/>
      <c r="C343" s="373"/>
      <c r="D343" s="373"/>
      <c r="E343" s="373"/>
      <c r="F343" s="373"/>
      <c r="G343" s="373"/>
      <c r="H343" s="373"/>
      <c r="I343" s="373"/>
      <c r="J343" s="373"/>
      <c r="K343" s="373"/>
      <c r="L343" s="373"/>
      <c r="M343" s="373"/>
      <c r="N343" s="373"/>
      <c r="O343" s="373"/>
      <c r="P343" s="373"/>
      <c r="Q343" s="373"/>
      <c r="R343" s="373"/>
      <c r="S343" s="373"/>
      <c r="T343" s="373"/>
      <c r="U343" s="373"/>
      <c r="V343" s="373"/>
    </row>
    <row r="344" spans="1:22" ht="18" x14ac:dyDescent="0.55000000000000004">
      <c r="A344" s="373"/>
      <c r="B344" s="373"/>
      <c r="C344" s="373"/>
      <c r="D344" s="373"/>
      <c r="E344" s="373"/>
      <c r="F344" s="373"/>
      <c r="G344" s="373"/>
      <c r="H344" s="373"/>
      <c r="I344" s="373"/>
      <c r="J344" s="373"/>
      <c r="K344" s="373"/>
      <c r="L344" s="373"/>
      <c r="M344" s="373"/>
      <c r="N344" s="373"/>
      <c r="O344" s="373"/>
      <c r="P344" s="373"/>
      <c r="Q344" s="373"/>
      <c r="R344" s="373"/>
      <c r="S344" s="373"/>
      <c r="T344" s="373"/>
      <c r="U344" s="373"/>
      <c r="V344" s="373"/>
    </row>
    <row r="345" spans="1:22" ht="18" x14ac:dyDescent="0.55000000000000004">
      <c r="A345" s="373"/>
      <c r="B345" s="373"/>
      <c r="C345" s="373"/>
      <c r="D345" s="373"/>
      <c r="E345" s="373"/>
      <c r="F345" s="373"/>
      <c r="G345" s="373"/>
      <c r="H345" s="373"/>
      <c r="I345" s="373"/>
      <c r="J345" s="373"/>
      <c r="K345" s="373"/>
      <c r="L345" s="373"/>
      <c r="M345" s="373"/>
      <c r="N345" s="373"/>
      <c r="O345" s="373"/>
      <c r="P345" s="373"/>
      <c r="Q345" s="373"/>
      <c r="R345" s="373"/>
      <c r="S345" s="373"/>
      <c r="T345" s="373"/>
      <c r="U345" s="373"/>
      <c r="V345" s="373"/>
    </row>
    <row r="346" spans="1:22" ht="18" x14ac:dyDescent="0.55000000000000004">
      <c r="A346" s="373"/>
      <c r="B346" s="373"/>
      <c r="C346" s="373"/>
      <c r="D346" s="373"/>
      <c r="E346" s="373"/>
      <c r="F346" s="373"/>
      <c r="G346" s="373"/>
      <c r="H346" s="373"/>
      <c r="I346" s="373"/>
      <c r="J346" s="373"/>
      <c r="K346" s="373"/>
      <c r="L346" s="373"/>
      <c r="M346" s="373"/>
      <c r="N346" s="373"/>
      <c r="O346" s="373"/>
      <c r="P346" s="373"/>
      <c r="Q346" s="373"/>
      <c r="R346" s="373"/>
      <c r="S346" s="373"/>
      <c r="T346" s="373"/>
      <c r="U346" s="373"/>
      <c r="V346" s="373"/>
    </row>
    <row r="347" spans="1:22" ht="18" x14ac:dyDescent="0.55000000000000004">
      <c r="A347" s="373"/>
      <c r="B347" s="373"/>
      <c r="C347" s="373"/>
      <c r="D347" s="373"/>
      <c r="E347" s="373"/>
      <c r="F347" s="373"/>
      <c r="G347" s="373"/>
      <c r="H347" s="373"/>
      <c r="I347" s="373"/>
      <c r="J347" s="373"/>
      <c r="K347" s="373"/>
      <c r="L347" s="373"/>
      <c r="M347" s="373"/>
      <c r="N347" s="373"/>
      <c r="O347" s="373"/>
      <c r="P347" s="373"/>
      <c r="Q347" s="373"/>
      <c r="R347" s="373"/>
      <c r="S347" s="373"/>
      <c r="T347" s="373"/>
      <c r="U347" s="373"/>
      <c r="V347" s="373"/>
    </row>
    <row r="348" spans="1:22" ht="18" x14ac:dyDescent="0.55000000000000004">
      <c r="A348" s="373"/>
      <c r="B348" s="373"/>
      <c r="C348" s="373"/>
      <c r="D348" s="373"/>
      <c r="E348" s="373"/>
      <c r="F348" s="373"/>
      <c r="G348" s="373"/>
      <c r="H348" s="373"/>
      <c r="I348" s="373"/>
      <c r="J348" s="373"/>
      <c r="K348" s="373"/>
      <c r="L348" s="373"/>
      <c r="M348" s="373"/>
      <c r="N348" s="373"/>
      <c r="O348" s="373"/>
      <c r="P348" s="373"/>
      <c r="Q348" s="373"/>
      <c r="R348" s="373"/>
      <c r="S348" s="373"/>
      <c r="T348" s="373"/>
      <c r="U348" s="373"/>
      <c r="V348" s="373"/>
    </row>
    <row r="349" spans="1:22" ht="18" x14ac:dyDescent="0.55000000000000004">
      <c r="A349" s="373"/>
      <c r="B349" s="373"/>
      <c r="C349" s="373"/>
      <c r="D349" s="373"/>
      <c r="E349" s="373"/>
      <c r="F349" s="373"/>
      <c r="G349" s="373"/>
      <c r="H349" s="373"/>
      <c r="I349" s="373"/>
      <c r="J349" s="373"/>
      <c r="K349" s="373"/>
      <c r="L349" s="373"/>
      <c r="M349" s="373"/>
      <c r="N349" s="373"/>
      <c r="O349" s="373"/>
      <c r="P349" s="373"/>
      <c r="Q349" s="373"/>
      <c r="R349" s="373"/>
      <c r="S349" s="373"/>
      <c r="T349" s="373"/>
      <c r="U349" s="373"/>
      <c r="V349" s="373"/>
    </row>
    <row r="350" spans="1:22" ht="18" x14ac:dyDescent="0.55000000000000004">
      <c r="A350" s="373"/>
      <c r="B350" s="373"/>
      <c r="C350" s="373"/>
      <c r="D350" s="373"/>
      <c r="E350" s="373"/>
      <c r="F350" s="373"/>
      <c r="G350" s="373"/>
      <c r="H350" s="373"/>
      <c r="I350" s="373"/>
      <c r="J350" s="373"/>
      <c r="K350" s="373"/>
      <c r="L350" s="373"/>
      <c r="M350" s="373"/>
      <c r="N350" s="373"/>
      <c r="O350" s="373"/>
      <c r="P350" s="373"/>
      <c r="Q350" s="373"/>
      <c r="R350" s="373"/>
      <c r="S350" s="373"/>
      <c r="T350" s="373"/>
      <c r="U350" s="373"/>
      <c r="V350" s="373"/>
    </row>
    <row r="351" spans="1:22" ht="18" x14ac:dyDescent="0.55000000000000004">
      <c r="A351" s="373"/>
      <c r="B351" s="373"/>
      <c r="C351" s="373"/>
      <c r="D351" s="373"/>
      <c r="E351" s="373"/>
      <c r="F351" s="373"/>
      <c r="G351" s="373"/>
      <c r="H351" s="373"/>
      <c r="I351" s="373"/>
      <c r="J351" s="373"/>
      <c r="K351" s="373"/>
      <c r="L351" s="373"/>
      <c r="M351" s="373"/>
      <c r="N351" s="373"/>
      <c r="O351" s="373"/>
      <c r="P351" s="373"/>
      <c r="Q351" s="373"/>
      <c r="R351" s="373"/>
      <c r="S351" s="373"/>
      <c r="T351" s="373"/>
      <c r="U351" s="373"/>
      <c r="V351" s="373"/>
    </row>
    <row r="352" spans="1:22" ht="18" x14ac:dyDescent="0.55000000000000004">
      <c r="A352" s="373"/>
      <c r="B352" s="373"/>
      <c r="C352" s="373"/>
      <c r="D352" s="373"/>
      <c r="E352" s="373"/>
      <c r="F352" s="373"/>
      <c r="G352" s="373"/>
      <c r="H352" s="373"/>
      <c r="I352" s="373"/>
      <c r="J352" s="373"/>
      <c r="K352" s="373"/>
      <c r="L352" s="373"/>
      <c r="M352" s="373"/>
      <c r="N352" s="373"/>
      <c r="O352" s="373"/>
      <c r="P352" s="373"/>
      <c r="Q352" s="373"/>
      <c r="R352" s="373"/>
      <c r="S352" s="373"/>
      <c r="T352" s="373"/>
      <c r="U352" s="373"/>
      <c r="V352" s="373"/>
    </row>
    <row r="353" spans="1:22" ht="18" x14ac:dyDescent="0.55000000000000004">
      <c r="A353" s="373"/>
      <c r="B353" s="373"/>
      <c r="C353" s="373"/>
      <c r="D353" s="373"/>
      <c r="E353" s="373"/>
      <c r="F353" s="373"/>
      <c r="G353" s="373"/>
      <c r="H353" s="373"/>
      <c r="I353" s="373"/>
      <c r="J353" s="373"/>
      <c r="K353" s="373"/>
      <c r="L353" s="373"/>
      <c r="M353" s="373"/>
      <c r="N353" s="373"/>
      <c r="O353" s="373"/>
      <c r="P353" s="373"/>
      <c r="Q353" s="373"/>
      <c r="R353" s="373"/>
      <c r="S353" s="373"/>
      <c r="T353" s="373"/>
      <c r="U353" s="373"/>
      <c r="V353" s="373"/>
    </row>
    <row r="354" spans="1:22" ht="18" x14ac:dyDescent="0.55000000000000004">
      <c r="A354" s="373"/>
      <c r="B354" s="373"/>
      <c r="C354" s="373"/>
      <c r="D354" s="373"/>
      <c r="E354" s="373"/>
      <c r="F354" s="373"/>
      <c r="G354" s="373"/>
      <c r="H354" s="373"/>
      <c r="I354" s="373"/>
      <c r="J354" s="373"/>
      <c r="K354" s="373"/>
      <c r="L354" s="373"/>
      <c r="M354" s="373"/>
      <c r="N354" s="373"/>
      <c r="O354" s="373"/>
      <c r="P354" s="373"/>
      <c r="Q354" s="373"/>
      <c r="R354" s="373"/>
      <c r="S354" s="373"/>
      <c r="T354" s="373"/>
      <c r="U354" s="373"/>
      <c r="V354" s="373"/>
    </row>
    <row r="355" spans="1:22" ht="18" x14ac:dyDescent="0.55000000000000004">
      <c r="A355" s="373"/>
      <c r="B355" s="373"/>
      <c r="C355" s="373"/>
      <c r="D355" s="373"/>
      <c r="E355" s="373"/>
      <c r="F355" s="373"/>
      <c r="G355" s="373"/>
      <c r="H355" s="373"/>
      <c r="I355" s="373"/>
      <c r="J355" s="373"/>
      <c r="K355" s="373"/>
      <c r="L355" s="373"/>
      <c r="M355" s="373"/>
      <c r="N355" s="373"/>
      <c r="O355" s="373"/>
      <c r="P355" s="373"/>
      <c r="Q355" s="373"/>
      <c r="R355" s="373"/>
      <c r="S355" s="373"/>
      <c r="T355" s="373"/>
      <c r="U355" s="373"/>
      <c r="V355" s="373"/>
    </row>
    <row r="356" spans="1:22" ht="18" x14ac:dyDescent="0.55000000000000004">
      <c r="A356" s="373"/>
      <c r="B356" s="373"/>
      <c r="C356" s="373"/>
      <c r="D356" s="373"/>
      <c r="E356" s="373"/>
      <c r="F356" s="373"/>
      <c r="G356" s="373"/>
      <c r="H356" s="373"/>
      <c r="I356" s="373"/>
      <c r="J356" s="373"/>
      <c r="K356" s="373"/>
      <c r="L356" s="373"/>
      <c r="M356" s="373"/>
      <c r="N356" s="373"/>
      <c r="O356" s="373"/>
      <c r="P356" s="373"/>
      <c r="Q356" s="373"/>
      <c r="R356" s="373"/>
      <c r="S356" s="373"/>
      <c r="T356" s="373"/>
      <c r="U356" s="373"/>
      <c r="V356" s="373"/>
    </row>
    <row r="357" spans="1:22" ht="18" x14ac:dyDescent="0.55000000000000004">
      <c r="A357" s="373"/>
      <c r="B357" s="373"/>
      <c r="C357" s="373"/>
      <c r="D357" s="373"/>
      <c r="E357" s="373"/>
      <c r="F357" s="373"/>
      <c r="G357" s="373"/>
      <c r="H357" s="373"/>
      <c r="I357" s="373"/>
      <c r="J357" s="373"/>
      <c r="K357" s="373"/>
      <c r="L357" s="373"/>
      <c r="M357" s="373"/>
      <c r="N357" s="373"/>
      <c r="O357" s="373"/>
      <c r="P357" s="373"/>
      <c r="Q357" s="373"/>
      <c r="R357" s="373"/>
      <c r="S357" s="373"/>
      <c r="T357" s="373"/>
      <c r="U357" s="373"/>
      <c r="V357" s="373"/>
    </row>
    <row r="358" spans="1:22" ht="18" x14ac:dyDescent="0.55000000000000004">
      <c r="A358" s="373"/>
      <c r="B358" s="373"/>
      <c r="C358" s="373"/>
      <c r="D358" s="373"/>
      <c r="E358" s="373"/>
      <c r="F358" s="373"/>
      <c r="G358" s="373"/>
      <c r="H358" s="373"/>
      <c r="I358" s="373"/>
      <c r="J358" s="373"/>
      <c r="K358" s="373"/>
      <c r="L358" s="373"/>
      <c r="M358" s="373"/>
      <c r="N358" s="373"/>
      <c r="O358" s="373"/>
      <c r="P358" s="373"/>
      <c r="Q358" s="373"/>
      <c r="R358" s="373"/>
      <c r="S358" s="373"/>
      <c r="T358" s="373"/>
      <c r="U358" s="373"/>
      <c r="V358" s="373"/>
    </row>
    <row r="359" spans="1:22" ht="18" x14ac:dyDescent="0.55000000000000004">
      <c r="A359" s="373"/>
      <c r="B359" s="373"/>
      <c r="C359" s="373"/>
      <c r="D359" s="373"/>
      <c r="E359" s="373"/>
      <c r="F359" s="373"/>
      <c r="G359" s="373"/>
      <c r="H359" s="373"/>
      <c r="I359" s="373"/>
      <c r="J359" s="373"/>
      <c r="K359" s="373"/>
      <c r="L359" s="373"/>
      <c r="M359" s="373"/>
      <c r="N359" s="373"/>
      <c r="O359" s="373"/>
      <c r="P359" s="373"/>
      <c r="Q359" s="373"/>
      <c r="R359" s="373"/>
      <c r="S359" s="373"/>
      <c r="T359" s="373"/>
      <c r="U359" s="373"/>
      <c r="V359" s="373"/>
    </row>
    <row r="360" spans="1:22" ht="18" x14ac:dyDescent="0.55000000000000004">
      <c r="A360" s="373"/>
      <c r="B360" s="373"/>
      <c r="C360" s="373"/>
      <c r="D360" s="373"/>
      <c r="E360" s="373"/>
      <c r="F360" s="373"/>
      <c r="G360" s="373"/>
      <c r="H360" s="373"/>
      <c r="I360" s="373"/>
      <c r="J360" s="373"/>
      <c r="K360" s="373"/>
      <c r="L360" s="373"/>
      <c r="M360" s="373"/>
      <c r="N360" s="373"/>
      <c r="O360" s="373"/>
      <c r="P360" s="373"/>
      <c r="Q360" s="373"/>
      <c r="R360" s="373"/>
      <c r="S360" s="373"/>
      <c r="T360" s="373"/>
      <c r="U360" s="373"/>
      <c r="V360" s="373"/>
    </row>
    <row r="361" spans="1:22" ht="18" x14ac:dyDescent="0.55000000000000004">
      <c r="A361" s="373"/>
      <c r="B361" s="373"/>
      <c r="C361" s="373"/>
      <c r="D361" s="373"/>
      <c r="E361" s="373"/>
      <c r="F361" s="373"/>
      <c r="G361" s="373"/>
      <c r="H361" s="373"/>
      <c r="I361" s="373"/>
      <c r="J361" s="373"/>
      <c r="K361" s="373"/>
      <c r="L361" s="373"/>
      <c r="M361" s="373"/>
      <c r="N361" s="373"/>
      <c r="O361" s="373"/>
      <c r="P361" s="373"/>
      <c r="Q361" s="373"/>
      <c r="R361" s="373"/>
      <c r="S361" s="373"/>
      <c r="T361" s="373"/>
      <c r="U361" s="373"/>
      <c r="V361" s="373"/>
    </row>
    <row r="362" spans="1:22" ht="18" x14ac:dyDescent="0.55000000000000004">
      <c r="A362" s="373"/>
      <c r="B362" s="373"/>
      <c r="C362" s="373"/>
      <c r="D362" s="373"/>
      <c r="E362" s="373"/>
      <c r="F362" s="373"/>
      <c r="G362" s="373"/>
      <c r="H362" s="373"/>
      <c r="I362" s="373"/>
      <c r="J362" s="373"/>
      <c r="K362" s="373"/>
      <c r="L362" s="373"/>
      <c r="M362" s="373"/>
      <c r="N362" s="373"/>
      <c r="O362" s="373"/>
      <c r="P362" s="373"/>
      <c r="Q362" s="373"/>
      <c r="R362" s="373"/>
      <c r="S362" s="373"/>
      <c r="T362" s="373"/>
      <c r="U362" s="373"/>
      <c r="V362" s="373"/>
    </row>
    <row r="363" spans="1:22" ht="18" x14ac:dyDescent="0.55000000000000004">
      <c r="A363" s="373"/>
      <c r="B363" s="373"/>
      <c r="C363" s="373"/>
      <c r="D363" s="373"/>
      <c r="E363" s="373"/>
      <c r="F363" s="373"/>
      <c r="G363" s="373"/>
      <c r="H363" s="373"/>
      <c r="I363" s="373"/>
      <c r="J363" s="373"/>
      <c r="K363" s="373"/>
      <c r="L363" s="373"/>
      <c r="M363" s="373"/>
      <c r="N363" s="373"/>
      <c r="O363" s="373"/>
      <c r="P363" s="373"/>
      <c r="Q363" s="373"/>
      <c r="R363" s="373"/>
      <c r="S363" s="373"/>
      <c r="T363" s="373"/>
      <c r="U363" s="373"/>
      <c r="V363" s="373"/>
    </row>
    <row r="364" spans="1:22" ht="18" x14ac:dyDescent="0.55000000000000004">
      <c r="A364" s="373"/>
      <c r="B364" s="373"/>
      <c r="C364" s="373"/>
      <c r="D364" s="373"/>
      <c r="E364" s="373"/>
      <c r="F364" s="373"/>
      <c r="G364" s="373"/>
      <c r="H364" s="373"/>
      <c r="I364" s="373"/>
      <c r="J364" s="373"/>
      <c r="K364" s="373"/>
      <c r="L364" s="373"/>
      <c r="M364" s="373"/>
      <c r="N364" s="373"/>
      <c r="O364" s="373"/>
      <c r="P364" s="373"/>
      <c r="Q364" s="373"/>
      <c r="R364" s="373"/>
      <c r="S364" s="373"/>
      <c r="T364" s="373"/>
      <c r="U364" s="373"/>
      <c r="V364" s="373"/>
    </row>
    <row r="365" spans="1:22" ht="18" x14ac:dyDescent="0.55000000000000004">
      <c r="A365" s="373"/>
      <c r="B365" s="373"/>
      <c r="C365" s="373"/>
      <c r="D365" s="373"/>
      <c r="E365" s="373"/>
      <c r="F365" s="373"/>
      <c r="G365" s="373"/>
      <c r="H365" s="373"/>
      <c r="I365" s="373"/>
      <c r="J365" s="373"/>
      <c r="K365" s="373"/>
      <c r="L365" s="373"/>
      <c r="M365" s="373"/>
      <c r="N365" s="373"/>
      <c r="O365" s="373"/>
      <c r="P365" s="373"/>
      <c r="Q365" s="373"/>
      <c r="R365" s="373"/>
      <c r="S365" s="373"/>
      <c r="T365" s="373"/>
      <c r="U365" s="373"/>
      <c r="V365" s="373"/>
    </row>
    <row r="366" spans="1:22" ht="18" x14ac:dyDescent="0.55000000000000004">
      <c r="A366" s="373"/>
      <c r="B366" s="373"/>
      <c r="C366" s="373"/>
      <c r="D366" s="373"/>
      <c r="E366" s="373"/>
      <c r="F366" s="373"/>
      <c r="G366" s="373"/>
      <c r="H366" s="373"/>
      <c r="I366" s="373"/>
      <c r="J366" s="373"/>
      <c r="K366" s="373"/>
      <c r="L366" s="373"/>
      <c r="M366" s="373"/>
      <c r="N366" s="373"/>
      <c r="O366" s="373"/>
      <c r="P366" s="373"/>
      <c r="Q366" s="373"/>
      <c r="R366" s="373"/>
      <c r="S366" s="373"/>
      <c r="T366" s="373"/>
      <c r="U366" s="373"/>
      <c r="V366" s="373"/>
    </row>
    <row r="367" spans="1:22" ht="18" x14ac:dyDescent="0.55000000000000004">
      <c r="A367" s="373"/>
      <c r="B367" s="373"/>
      <c r="C367" s="373"/>
      <c r="D367" s="373"/>
      <c r="E367" s="373"/>
      <c r="F367" s="373"/>
      <c r="G367" s="373"/>
      <c r="H367" s="373"/>
      <c r="I367" s="373"/>
      <c r="J367" s="373"/>
      <c r="K367" s="373"/>
      <c r="L367" s="373"/>
      <c r="M367" s="373"/>
      <c r="N367" s="373"/>
      <c r="O367" s="373"/>
      <c r="P367" s="373"/>
      <c r="Q367" s="373"/>
      <c r="R367" s="373"/>
      <c r="S367" s="373"/>
      <c r="T367" s="373"/>
      <c r="U367" s="373"/>
      <c r="V367" s="373"/>
    </row>
    <row r="368" spans="1:22" ht="18" x14ac:dyDescent="0.55000000000000004">
      <c r="A368" s="373"/>
      <c r="B368" s="373"/>
      <c r="C368" s="373"/>
      <c r="D368" s="373"/>
      <c r="E368" s="373"/>
      <c r="F368" s="373"/>
      <c r="G368" s="373"/>
      <c r="H368" s="373"/>
      <c r="I368" s="373"/>
      <c r="J368" s="373"/>
      <c r="K368" s="373"/>
      <c r="L368" s="373"/>
      <c r="M368" s="373"/>
      <c r="N368" s="373"/>
      <c r="O368" s="373"/>
      <c r="P368" s="373"/>
      <c r="Q368" s="373"/>
      <c r="R368" s="373"/>
      <c r="S368" s="373"/>
      <c r="T368" s="373"/>
      <c r="U368" s="373"/>
      <c r="V368" s="373"/>
    </row>
    <row r="369" spans="1:22" ht="18" x14ac:dyDescent="0.55000000000000004">
      <c r="A369" s="373"/>
      <c r="B369" s="373"/>
      <c r="C369" s="373"/>
      <c r="D369" s="373"/>
      <c r="E369" s="373"/>
      <c r="F369" s="373"/>
      <c r="G369" s="373"/>
      <c r="H369" s="373"/>
      <c r="I369" s="373"/>
      <c r="J369" s="373"/>
      <c r="K369" s="373"/>
      <c r="L369" s="373"/>
      <c r="M369" s="373"/>
      <c r="N369" s="373"/>
      <c r="O369" s="373"/>
      <c r="P369" s="373"/>
      <c r="Q369" s="373"/>
      <c r="R369" s="373"/>
      <c r="S369" s="373"/>
      <c r="T369" s="373"/>
      <c r="U369" s="373"/>
      <c r="V369" s="373"/>
    </row>
    <row r="370" spans="1:22" ht="18" x14ac:dyDescent="0.55000000000000004">
      <c r="A370" s="373"/>
      <c r="B370" s="373"/>
      <c r="C370" s="373"/>
      <c r="D370" s="373"/>
      <c r="E370" s="373"/>
      <c r="F370" s="373"/>
      <c r="G370" s="373"/>
      <c r="H370" s="373"/>
      <c r="I370" s="373"/>
      <c r="J370" s="373"/>
      <c r="K370" s="373"/>
      <c r="L370" s="373"/>
      <c r="M370" s="373"/>
      <c r="N370" s="373"/>
      <c r="O370" s="373"/>
      <c r="P370" s="373"/>
      <c r="Q370" s="373"/>
      <c r="R370" s="373"/>
      <c r="S370" s="373"/>
      <c r="T370" s="373"/>
      <c r="U370" s="373"/>
      <c r="V370" s="373"/>
    </row>
    <row r="371" spans="1:22" ht="18" x14ac:dyDescent="0.55000000000000004">
      <c r="A371" s="373"/>
      <c r="B371" s="373"/>
      <c r="C371" s="373"/>
      <c r="D371" s="373"/>
      <c r="E371" s="373"/>
      <c r="F371" s="373"/>
      <c r="G371" s="373"/>
      <c r="H371" s="373"/>
      <c r="I371" s="373"/>
      <c r="J371" s="373"/>
      <c r="K371" s="373"/>
      <c r="L371" s="373"/>
      <c r="M371" s="373"/>
      <c r="N371" s="373"/>
      <c r="O371" s="373"/>
      <c r="P371" s="373"/>
      <c r="Q371" s="373"/>
      <c r="R371" s="373"/>
      <c r="S371" s="373"/>
      <c r="T371" s="373"/>
      <c r="U371" s="373"/>
      <c r="V371" s="373"/>
    </row>
    <row r="372" spans="1:22" ht="18" x14ac:dyDescent="0.55000000000000004">
      <c r="A372" s="373"/>
      <c r="B372" s="373"/>
      <c r="C372" s="373"/>
      <c r="D372" s="373"/>
      <c r="E372" s="373"/>
      <c r="F372" s="373"/>
      <c r="G372" s="373"/>
      <c r="H372" s="373"/>
      <c r="I372" s="373"/>
      <c r="J372" s="373"/>
      <c r="K372" s="373"/>
      <c r="L372" s="373"/>
      <c r="M372" s="373"/>
      <c r="N372" s="373"/>
      <c r="O372" s="373"/>
      <c r="P372" s="373"/>
      <c r="Q372" s="373"/>
      <c r="R372" s="373"/>
      <c r="S372" s="373"/>
      <c r="T372" s="373"/>
      <c r="U372" s="373"/>
      <c r="V372" s="373"/>
    </row>
    <row r="373" spans="1:22" ht="18" x14ac:dyDescent="0.55000000000000004">
      <c r="A373" s="373"/>
      <c r="B373" s="373"/>
      <c r="C373" s="373"/>
      <c r="D373" s="373"/>
      <c r="E373" s="373"/>
      <c r="F373" s="373"/>
      <c r="G373" s="373"/>
      <c r="H373" s="373"/>
      <c r="I373" s="373"/>
      <c r="J373" s="373"/>
      <c r="K373" s="373"/>
      <c r="L373" s="373"/>
      <c r="M373" s="373"/>
      <c r="N373" s="373"/>
      <c r="O373" s="373"/>
      <c r="P373" s="373"/>
      <c r="Q373" s="373"/>
      <c r="R373" s="373"/>
      <c r="S373" s="373"/>
      <c r="T373" s="373"/>
      <c r="U373" s="373"/>
      <c r="V373" s="373"/>
    </row>
    <row r="374" spans="1:22" ht="18" x14ac:dyDescent="0.55000000000000004">
      <c r="A374" s="373"/>
      <c r="B374" s="373"/>
      <c r="C374" s="373"/>
      <c r="D374" s="373"/>
      <c r="E374" s="373"/>
      <c r="F374" s="373"/>
      <c r="G374" s="373"/>
      <c r="H374" s="373"/>
      <c r="I374" s="373"/>
      <c r="J374" s="373"/>
      <c r="K374" s="373"/>
      <c r="L374" s="373"/>
      <c r="M374" s="373"/>
      <c r="N374" s="373"/>
      <c r="O374" s="373"/>
      <c r="P374" s="373"/>
      <c r="Q374" s="373"/>
      <c r="R374" s="373"/>
      <c r="S374" s="373"/>
      <c r="T374" s="373"/>
      <c r="U374" s="373"/>
      <c r="V374" s="373"/>
    </row>
    <row r="375" spans="1:22" ht="18" x14ac:dyDescent="0.55000000000000004">
      <c r="A375" s="373"/>
      <c r="B375" s="373"/>
      <c r="C375" s="373"/>
      <c r="D375" s="373"/>
      <c r="E375" s="373"/>
      <c r="F375" s="373"/>
      <c r="G375" s="373"/>
      <c r="H375" s="373"/>
      <c r="I375" s="373"/>
      <c r="J375" s="373"/>
      <c r="K375" s="373"/>
      <c r="L375" s="373"/>
      <c r="M375" s="373"/>
      <c r="N375" s="373"/>
      <c r="O375" s="373"/>
      <c r="P375" s="373"/>
      <c r="Q375" s="373"/>
      <c r="R375" s="373"/>
      <c r="S375" s="373"/>
      <c r="T375" s="373"/>
      <c r="U375" s="373"/>
      <c r="V375" s="373"/>
    </row>
    <row r="376" spans="1:22" ht="18" x14ac:dyDescent="0.55000000000000004">
      <c r="A376" s="373"/>
      <c r="B376" s="373"/>
      <c r="C376" s="373"/>
      <c r="D376" s="373"/>
      <c r="E376" s="373"/>
      <c r="F376" s="373"/>
      <c r="G376" s="373"/>
      <c r="H376" s="373"/>
      <c r="I376" s="373"/>
      <c r="J376" s="373"/>
      <c r="K376" s="373"/>
      <c r="L376" s="373"/>
      <c r="M376" s="373"/>
      <c r="N376" s="373"/>
      <c r="O376" s="373"/>
      <c r="P376" s="373"/>
      <c r="Q376" s="373"/>
      <c r="R376" s="373"/>
      <c r="S376" s="373"/>
      <c r="T376" s="373"/>
      <c r="U376" s="373"/>
      <c r="V376" s="373"/>
    </row>
    <row r="377" spans="1:22" ht="18" x14ac:dyDescent="0.55000000000000004">
      <c r="A377" s="373"/>
      <c r="B377" s="373"/>
      <c r="C377" s="373"/>
      <c r="D377" s="373"/>
      <c r="E377" s="373"/>
      <c r="F377" s="373"/>
      <c r="G377" s="373"/>
      <c r="H377" s="373"/>
      <c r="I377" s="373"/>
      <c r="J377" s="373"/>
      <c r="K377" s="373"/>
      <c r="L377" s="373"/>
      <c r="M377" s="373"/>
      <c r="N377" s="373"/>
      <c r="O377" s="373"/>
      <c r="P377" s="373"/>
      <c r="Q377" s="373"/>
      <c r="R377" s="373"/>
      <c r="S377" s="373"/>
      <c r="T377" s="373"/>
      <c r="U377" s="373"/>
      <c r="V377" s="373"/>
    </row>
    <row r="378" spans="1:22" ht="18" x14ac:dyDescent="0.55000000000000004">
      <c r="A378" s="373"/>
      <c r="B378" s="373"/>
      <c r="C378" s="373"/>
      <c r="D378" s="373"/>
      <c r="E378" s="373"/>
      <c r="F378" s="373"/>
      <c r="G378" s="373"/>
      <c r="H378" s="373"/>
      <c r="I378" s="373"/>
      <c r="J378" s="373"/>
      <c r="K378" s="373"/>
      <c r="L378" s="373"/>
      <c r="M378" s="373"/>
      <c r="N378" s="373"/>
      <c r="O378" s="373"/>
      <c r="P378" s="373"/>
      <c r="Q378" s="373"/>
      <c r="R378" s="373"/>
      <c r="S378" s="373"/>
      <c r="T378" s="373"/>
      <c r="U378" s="373"/>
      <c r="V378" s="373"/>
    </row>
    <row r="379" spans="1:22" ht="18" x14ac:dyDescent="0.55000000000000004">
      <c r="A379" s="373"/>
      <c r="B379" s="373"/>
      <c r="C379" s="373"/>
      <c r="D379" s="373"/>
      <c r="E379" s="373"/>
      <c r="F379" s="373"/>
      <c r="G379" s="373"/>
      <c r="H379" s="373"/>
      <c r="I379" s="373"/>
      <c r="J379" s="373"/>
      <c r="K379" s="373"/>
      <c r="L379" s="373"/>
      <c r="M379" s="373"/>
      <c r="N379" s="373"/>
      <c r="O379" s="373"/>
      <c r="P379" s="373"/>
      <c r="Q379" s="373"/>
      <c r="R379" s="373"/>
      <c r="S379" s="373"/>
      <c r="T379" s="373"/>
      <c r="U379" s="373"/>
      <c r="V379" s="373"/>
    </row>
    <row r="380" spans="1:22" ht="18" x14ac:dyDescent="0.55000000000000004">
      <c r="A380" s="373"/>
      <c r="B380" s="373"/>
      <c r="C380" s="373"/>
      <c r="D380" s="373"/>
      <c r="E380" s="373"/>
      <c r="F380" s="373"/>
      <c r="G380" s="373"/>
      <c r="H380" s="373"/>
      <c r="I380" s="373"/>
      <c r="J380" s="373"/>
      <c r="K380" s="373"/>
      <c r="L380" s="373"/>
      <c r="M380" s="373"/>
      <c r="N380" s="373"/>
      <c r="O380" s="373"/>
      <c r="P380" s="373"/>
      <c r="Q380" s="373"/>
      <c r="R380" s="373"/>
      <c r="S380" s="373"/>
      <c r="T380" s="373"/>
      <c r="U380" s="373"/>
      <c r="V380" s="373"/>
    </row>
    <row r="381" spans="1:22" ht="18" x14ac:dyDescent="0.55000000000000004">
      <c r="A381" s="373"/>
      <c r="B381" s="373"/>
      <c r="C381" s="373"/>
      <c r="D381" s="373"/>
      <c r="E381" s="373"/>
      <c r="F381" s="373"/>
      <c r="G381" s="373"/>
      <c r="H381" s="373"/>
      <c r="I381" s="373"/>
      <c r="J381" s="373"/>
      <c r="K381" s="373"/>
      <c r="L381" s="373"/>
      <c r="M381" s="373"/>
      <c r="N381" s="373"/>
      <c r="O381" s="373"/>
      <c r="P381" s="373"/>
      <c r="Q381" s="373"/>
      <c r="R381" s="373"/>
      <c r="S381" s="373"/>
      <c r="T381" s="373"/>
      <c r="U381" s="373"/>
      <c r="V381" s="373"/>
    </row>
    <row r="382" spans="1:22" ht="18" x14ac:dyDescent="0.55000000000000004">
      <c r="A382" s="373"/>
      <c r="B382" s="373"/>
      <c r="C382" s="373"/>
      <c r="D382" s="373"/>
      <c r="E382" s="373"/>
      <c r="F382" s="373"/>
      <c r="G382" s="373"/>
      <c r="H382" s="373"/>
      <c r="I382" s="373"/>
      <c r="J382" s="373"/>
      <c r="K382" s="373"/>
      <c r="L382" s="373"/>
      <c r="M382" s="373"/>
      <c r="N382" s="373"/>
      <c r="O382" s="373"/>
      <c r="P382" s="373"/>
      <c r="Q382" s="373"/>
      <c r="R382" s="373"/>
      <c r="S382" s="373"/>
      <c r="T382" s="373"/>
      <c r="U382" s="373"/>
      <c r="V382" s="373"/>
    </row>
    <row r="383" spans="1:22" ht="18" x14ac:dyDescent="0.55000000000000004">
      <c r="A383" s="373"/>
      <c r="B383" s="373"/>
      <c r="C383" s="373"/>
      <c r="D383" s="373"/>
      <c r="E383" s="373"/>
      <c r="F383" s="373"/>
      <c r="G383" s="373"/>
      <c r="H383" s="373"/>
      <c r="I383" s="373"/>
      <c r="J383" s="373"/>
      <c r="K383" s="373"/>
      <c r="L383" s="373"/>
      <c r="M383" s="373"/>
      <c r="N383" s="373"/>
      <c r="O383" s="373"/>
      <c r="P383" s="373"/>
      <c r="Q383" s="373"/>
      <c r="R383" s="373"/>
      <c r="S383" s="373"/>
      <c r="T383" s="373"/>
      <c r="U383" s="373"/>
      <c r="V383" s="373"/>
    </row>
    <row r="384" spans="1:22" ht="18" x14ac:dyDescent="0.55000000000000004">
      <c r="A384" s="373"/>
      <c r="B384" s="373"/>
      <c r="C384" s="373"/>
      <c r="D384" s="373"/>
      <c r="E384" s="373"/>
      <c r="F384" s="373"/>
      <c r="G384" s="373"/>
      <c r="H384" s="373"/>
      <c r="I384" s="373"/>
      <c r="J384" s="373"/>
      <c r="K384" s="373"/>
      <c r="L384" s="373"/>
      <c r="M384" s="373"/>
      <c r="N384" s="373"/>
      <c r="O384" s="373"/>
      <c r="P384" s="373"/>
      <c r="Q384" s="373"/>
      <c r="R384" s="373"/>
      <c r="S384" s="373"/>
      <c r="T384" s="373"/>
      <c r="U384" s="373"/>
      <c r="V384" s="373"/>
    </row>
    <row r="385" spans="1:22" ht="18" x14ac:dyDescent="0.55000000000000004">
      <c r="A385" s="373"/>
      <c r="B385" s="373"/>
      <c r="C385" s="373"/>
      <c r="D385" s="373"/>
      <c r="E385" s="373"/>
      <c r="F385" s="373"/>
      <c r="G385" s="373"/>
      <c r="H385" s="373"/>
      <c r="I385" s="373"/>
      <c r="J385" s="373"/>
      <c r="K385" s="373"/>
      <c r="L385" s="373"/>
      <c r="M385" s="373"/>
      <c r="N385" s="373"/>
      <c r="O385" s="373"/>
      <c r="P385" s="373"/>
      <c r="Q385" s="373"/>
      <c r="R385" s="373"/>
      <c r="S385" s="373"/>
      <c r="T385" s="373"/>
      <c r="U385" s="373"/>
      <c r="V385" s="373"/>
    </row>
    <row r="386" spans="1:22" ht="18" x14ac:dyDescent="0.55000000000000004">
      <c r="A386" s="373"/>
      <c r="B386" s="373"/>
      <c r="C386" s="373"/>
      <c r="D386" s="373"/>
      <c r="E386" s="373"/>
      <c r="F386" s="373"/>
      <c r="G386" s="373"/>
      <c r="H386" s="373"/>
      <c r="I386" s="373"/>
      <c r="J386" s="373"/>
      <c r="K386" s="373"/>
      <c r="L386" s="373"/>
      <c r="M386" s="373"/>
      <c r="N386" s="373"/>
      <c r="O386" s="373"/>
      <c r="P386" s="373"/>
      <c r="Q386" s="373"/>
      <c r="R386" s="373"/>
      <c r="S386" s="373"/>
      <c r="T386" s="373"/>
      <c r="U386" s="373"/>
      <c r="V386" s="373"/>
    </row>
    <row r="387" spans="1:22" ht="18" x14ac:dyDescent="0.55000000000000004">
      <c r="A387" s="373"/>
      <c r="B387" s="373"/>
      <c r="C387" s="373"/>
      <c r="D387" s="373"/>
      <c r="E387" s="373"/>
      <c r="F387" s="373"/>
      <c r="G387" s="373"/>
      <c r="H387" s="373"/>
      <c r="I387" s="373"/>
      <c r="J387" s="373"/>
      <c r="K387" s="373"/>
      <c r="L387" s="373"/>
      <c r="M387" s="373"/>
      <c r="N387" s="373"/>
      <c r="O387" s="373"/>
      <c r="P387" s="373"/>
      <c r="Q387" s="373"/>
      <c r="R387" s="373"/>
      <c r="S387" s="373"/>
      <c r="T387" s="373"/>
      <c r="U387" s="373"/>
      <c r="V387" s="373"/>
    </row>
    <row r="388" spans="1:22" ht="18" x14ac:dyDescent="0.55000000000000004">
      <c r="A388" s="373"/>
      <c r="B388" s="373"/>
      <c r="C388" s="373"/>
      <c r="D388" s="373"/>
      <c r="E388" s="373"/>
      <c r="F388" s="373"/>
      <c r="G388" s="373"/>
      <c r="H388" s="373"/>
      <c r="I388" s="373"/>
      <c r="J388" s="373"/>
      <c r="K388" s="373"/>
      <c r="L388" s="373"/>
      <c r="M388" s="373"/>
      <c r="N388" s="373"/>
      <c r="O388" s="373"/>
      <c r="P388" s="373"/>
      <c r="Q388" s="373"/>
      <c r="R388" s="373"/>
      <c r="S388" s="373"/>
      <c r="T388" s="373"/>
      <c r="U388" s="373"/>
      <c r="V388" s="373"/>
    </row>
    <row r="389" spans="1:22" ht="18" x14ac:dyDescent="0.55000000000000004">
      <c r="A389" s="373"/>
      <c r="B389" s="373"/>
      <c r="C389" s="373"/>
      <c r="D389" s="373"/>
      <c r="E389" s="373"/>
      <c r="F389" s="373"/>
      <c r="G389" s="373"/>
      <c r="H389" s="373"/>
      <c r="I389" s="373"/>
      <c r="J389" s="373"/>
      <c r="K389" s="373"/>
      <c r="L389" s="373"/>
      <c r="M389" s="373"/>
      <c r="N389" s="373"/>
      <c r="O389" s="373"/>
      <c r="P389" s="373"/>
      <c r="Q389" s="373"/>
      <c r="R389" s="373"/>
      <c r="S389" s="373"/>
      <c r="T389" s="373"/>
      <c r="U389" s="373"/>
      <c r="V389" s="373"/>
    </row>
    <row r="390" spans="1:22" ht="18" x14ac:dyDescent="0.55000000000000004">
      <c r="A390" s="373"/>
      <c r="B390" s="373"/>
      <c r="C390" s="373"/>
      <c r="D390" s="373"/>
      <c r="E390" s="373"/>
      <c r="F390" s="373"/>
      <c r="G390" s="373"/>
      <c r="H390" s="373"/>
      <c r="I390" s="373"/>
      <c r="J390" s="373"/>
      <c r="K390" s="373"/>
      <c r="L390" s="373"/>
      <c r="M390" s="373"/>
      <c r="N390" s="373"/>
      <c r="O390" s="373"/>
      <c r="P390" s="373"/>
      <c r="Q390" s="373"/>
      <c r="R390" s="373"/>
      <c r="S390" s="373"/>
      <c r="T390" s="373"/>
      <c r="U390" s="373"/>
      <c r="V390" s="373"/>
    </row>
    <row r="391" spans="1:22" ht="18" x14ac:dyDescent="0.55000000000000004">
      <c r="A391" s="373"/>
      <c r="B391" s="373"/>
      <c r="C391" s="373"/>
      <c r="D391" s="373"/>
      <c r="E391" s="373"/>
      <c r="F391" s="373"/>
      <c r="G391" s="373"/>
      <c r="H391" s="373"/>
      <c r="I391" s="373"/>
      <c r="J391" s="373"/>
      <c r="K391" s="373"/>
      <c r="L391" s="373"/>
      <c r="M391" s="373"/>
      <c r="N391" s="373"/>
      <c r="O391" s="373"/>
      <c r="P391" s="373"/>
      <c r="Q391" s="373"/>
      <c r="R391" s="373"/>
      <c r="S391" s="373"/>
      <c r="T391" s="373"/>
      <c r="U391" s="373"/>
      <c r="V391" s="373"/>
    </row>
    <row r="392" spans="1:22" ht="18" x14ac:dyDescent="0.55000000000000004">
      <c r="A392" s="373"/>
      <c r="B392" s="373"/>
      <c r="C392" s="373"/>
      <c r="D392" s="373"/>
      <c r="E392" s="373"/>
      <c r="F392" s="373"/>
      <c r="G392" s="373"/>
      <c r="H392" s="373"/>
      <c r="I392" s="373"/>
      <c r="J392" s="373"/>
      <c r="K392" s="373"/>
      <c r="L392" s="373"/>
      <c r="M392" s="373"/>
      <c r="N392" s="373"/>
      <c r="O392" s="373"/>
      <c r="P392" s="373"/>
      <c r="Q392" s="373"/>
      <c r="R392" s="373"/>
      <c r="S392" s="373"/>
      <c r="T392" s="373"/>
      <c r="U392" s="373"/>
      <c r="V392" s="373"/>
    </row>
    <row r="393" spans="1:22" ht="18" x14ac:dyDescent="0.55000000000000004">
      <c r="A393" s="373"/>
      <c r="B393" s="373"/>
      <c r="C393" s="373"/>
      <c r="D393" s="373"/>
      <c r="E393" s="373"/>
      <c r="F393" s="373"/>
      <c r="G393" s="373"/>
      <c r="H393" s="373"/>
      <c r="I393" s="373"/>
      <c r="J393" s="373"/>
      <c r="K393" s="373"/>
      <c r="L393" s="373"/>
      <c r="M393" s="373"/>
      <c r="N393" s="373"/>
      <c r="O393" s="373"/>
      <c r="P393" s="373"/>
      <c r="Q393" s="373"/>
      <c r="R393" s="373"/>
      <c r="S393" s="373"/>
      <c r="T393" s="373"/>
      <c r="U393" s="373"/>
      <c r="V393" s="373"/>
    </row>
    <row r="394" spans="1:22" ht="18" x14ac:dyDescent="0.55000000000000004">
      <c r="A394" s="373"/>
      <c r="B394" s="373"/>
      <c r="C394" s="373"/>
      <c r="D394" s="373"/>
      <c r="E394" s="373"/>
      <c r="F394" s="373"/>
      <c r="G394" s="373"/>
      <c r="H394" s="373"/>
      <c r="I394" s="373"/>
      <c r="J394" s="373"/>
      <c r="K394" s="373"/>
      <c r="L394" s="373"/>
      <c r="M394" s="373"/>
      <c r="N394" s="373"/>
      <c r="O394" s="373"/>
      <c r="P394" s="373"/>
      <c r="Q394" s="373"/>
      <c r="R394" s="373"/>
      <c r="S394" s="373"/>
      <c r="T394" s="373"/>
      <c r="U394" s="373"/>
      <c r="V394" s="373"/>
    </row>
    <row r="395" spans="1:22" ht="18" x14ac:dyDescent="0.55000000000000004">
      <c r="A395" s="373"/>
      <c r="B395" s="373"/>
      <c r="C395" s="373"/>
      <c r="D395" s="373"/>
      <c r="E395" s="373"/>
      <c r="F395" s="373"/>
      <c r="G395" s="373"/>
      <c r="H395" s="373"/>
      <c r="I395" s="373"/>
      <c r="J395" s="373"/>
      <c r="K395" s="373"/>
      <c r="L395" s="373"/>
      <c r="M395" s="373"/>
      <c r="N395" s="373"/>
      <c r="O395" s="373"/>
      <c r="P395" s="373"/>
      <c r="Q395" s="373"/>
      <c r="R395" s="373"/>
      <c r="S395" s="373"/>
      <c r="T395" s="373"/>
      <c r="U395" s="373"/>
      <c r="V395" s="373"/>
    </row>
    <row r="396" spans="1:22" ht="18" x14ac:dyDescent="0.55000000000000004">
      <c r="A396" s="373"/>
      <c r="B396" s="373"/>
      <c r="C396" s="373"/>
      <c r="D396" s="373"/>
      <c r="E396" s="373"/>
      <c r="F396" s="373"/>
      <c r="G396" s="373"/>
      <c r="H396" s="373"/>
      <c r="I396" s="373"/>
      <c r="J396" s="373"/>
      <c r="K396" s="373"/>
      <c r="L396" s="373"/>
      <c r="M396" s="373"/>
      <c r="N396" s="373"/>
      <c r="O396" s="373"/>
      <c r="P396" s="373"/>
      <c r="Q396" s="373"/>
      <c r="R396" s="373"/>
      <c r="S396" s="373"/>
      <c r="T396" s="373"/>
      <c r="U396" s="373"/>
      <c r="V396" s="373"/>
    </row>
    <row r="397" spans="1:22" ht="18" x14ac:dyDescent="0.55000000000000004">
      <c r="A397" s="373"/>
      <c r="B397" s="373"/>
      <c r="C397" s="373"/>
      <c r="D397" s="373"/>
      <c r="E397" s="373"/>
      <c r="F397" s="373"/>
      <c r="G397" s="373"/>
      <c r="H397" s="373"/>
      <c r="I397" s="373"/>
      <c r="J397" s="373"/>
      <c r="K397" s="373"/>
      <c r="L397" s="373"/>
      <c r="M397" s="373"/>
      <c r="N397" s="373"/>
      <c r="O397" s="373"/>
      <c r="P397" s="373"/>
      <c r="Q397" s="373"/>
      <c r="R397" s="373"/>
      <c r="S397" s="373"/>
      <c r="T397" s="373"/>
      <c r="U397" s="373"/>
      <c r="V397" s="373"/>
    </row>
    <row r="398" spans="1:22" ht="18" x14ac:dyDescent="0.55000000000000004">
      <c r="A398" s="373"/>
      <c r="B398" s="373"/>
      <c r="C398" s="373"/>
      <c r="D398" s="373"/>
      <c r="E398" s="373"/>
      <c r="F398" s="373"/>
      <c r="G398" s="373"/>
      <c r="H398" s="373"/>
      <c r="I398" s="373"/>
      <c r="J398" s="373"/>
      <c r="K398" s="373"/>
      <c r="L398" s="373"/>
      <c r="M398" s="373"/>
      <c r="N398" s="373"/>
      <c r="O398" s="373"/>
      <c r="P398" s="373"/>
      <c r="Q398" s="373"/>
      <c r="R398" s="373"/>
      <c r="S398" s="373"/>
      <c r="T398" s="373"/>
      <c r="U398" s="373"/>
      <c r="V398" s="373"/>
    </row>
    <row r="399" spans="1:22" ht="18" x14ac:dyDescent="0.55000000000000004">
      <c r="A399" s="373"/>
      <c r="B399" s="373"/>
      <c r="C399" s="373"/>
      <c r="D399" s="373"/>
      <c r="E399" s="373"/>
      <c r="F399" s="373"/>
      <c r="G399" s="373"/>
      <c r="H399" s="373"/>
      <c r="I399" s="373"/>
      <c r="J399" s="373"/>
      <c r="K399" s="373"/>
      <c r="L399" s="373"/>
      <c r="M399" s="373"/>
      <c r="N399" s="373"/>
      <c r="O399" s="373"/>
      <c r="P399" s="373"/>
      <c r="Q399" s="373"/>
      <c r="R399" s="373"/>
      <c r="S399" s="373"/>
      <c r="T399" s="373"/>
      <c r="U399" s="373"/>
      <c r="V399" s="373"/>
    </row>
    <row r="400" spans="1:22" ht="18" x14ac:dyDescent="0.55000000000000004">
      <c r="A400" s="373"/>
      <c r="B400" s="373"/>
      <c r="C400" s="373"/>
      <c r="D400" s="373"/>
      <c r="E400" s="373"/>
      <c r="F400" s="373"/>
      <c r="G400" s="373"/>
      <c r="H400" s="373"/>
      <c r="I400" s="373"/>
      <c r="J400" s="373"/>
      <c r="K400" s="373"/>
      <c r="L400" s="373"/>
      <c r="M400" s="373"/>
      <c r="N400" s="373"/>
      <c r="O400" s="373"/>
      <c r="P400" s="373"/>
      <c r="Q400" s="373"/>
      <c r="R400" s="373"/>
      <c r="S400" s="373"/>
      <c r="T400" s="373"/>
      <c r="U400" s="373"/>
      <c r="V400" s="373"/>
    </row>
    <row r="401" spans="1:22" ht="18" x14ac:dyDescent="0.55000000000000004">
      <c r="A401" s="373"/>
      <c r="B401" s="373"/>
      <c r="C401" s="373"/>
      <c r="D401" s="373"/>
      <c r="E401" s="373"/>
      <c r="F401" s="373"/>
      <c r="G401" s="373"/>
      <c r="H401" s="373"/>
      <c r="I401" s="373"/>
      <c r="J401" s="373"/>
      <c r="K401" s="373"/>
      <c r="L401" s="373"/>
      <c r="M401" s="373"/>
      <c r="N401" s="373"/>
      <c r="O401" s="373"/>
      <c r="P401" s="373"/>
      <c r="Q401" s="373"/>
      <c r="R401" s="373"/>
      <c r="S401" s="373"/>
      <c r="T401" s="373"/>
      <c r="U401" s="373"/>
      <c r="V401" s="373"/>
    </row>
    <row r="402" spans="1:22" ht="18" x14ac:dyDescent="0.55000000000000004">
      <c r="A402" s="373"/>
      <c r="B402" s="373"/>
      <c r="C402" s="373"/>
      <c r="D402" s="373"/>
      <c r="E402" s="373"/>
      <c r="F402" s="373"/>
      <c r="G402" s="373"/>
      <c r="H402" s="373"/>
      <c r="I402" s="373"/>
      <c r="J402" s="373"/>
      <c r="K402" s="373"/>
      <c r="L402" s="373"/>
      <c r="M402" s="373"/>
      <c r="N402" s="373"/>
      <c r="O402" s="373"/>
      <c r="P402" s="373"/>
      <c r="Q402" s="373"/>
      <c r="R402" s="373"/>
      <c r="S402" s="373"/>
      <c r="T402" s="373"/>
      <c r="U402" s="373"/>
      <c r="V402" s="373"/>
    </row>
    <row r="403" spans="1:22" ht="18" x14ac:dyDescent="0.55000000000000004">
      <c r="A403" s="373"/>
      <c r="B403" s="373"/>
      <c r="C403" s="373"/>
      <c r="D403" s="373"/>
      <c r="E403" s="373"/>
      <c r="F403" s="373"/>
      <c r="G403" s="373"/>
      <c r="H403" s="373"/>
      <c r="I403" s="373"/>
      <c r="J403" s="373"/>
      <c r="K403" s="373"/>
      <c r="L403" s="373"/>
      <c r="M403" s="373"/>
      <c r="N403" s="373"/>
      <c r="O403" s="373"/>
      <c r="P403" s="373"/>
      <c r="Q403" s="373"/>
      <c r="R403" s="373"/>
      <c r="S403" s="373"/>
      <c r="T403" s="373"/>
      <c r="U403" s="373"/>
      <c r="V403" s="373"/>
    </row>
    <row r="404" spans="1:22" ht="18" x14ac:dyDescent="0.55000000000000004">
      <c r="A404" s="373"/>
      <c r="B404" s="373"/>
      <c r="C404" s="373"/>
      <c r="D404" s="373"/>
      <c r="E404" s="373"/>
      <c r="F404" s="373"/>
      <c r="G404" s="373"/>
      <c r="H404" s="373"/>
      <c r="I404" s="373"/>
      <c r="J404" s="373"/>
      <c r="K404" s="373"/>
      <c r="L404" s="373"/>
      <c r="M404" s="373"/>
      <c r="N404" s="373"/>
      <c r="O404" s="373"/>
      <c r="P404" s="373"/>
      <c r="Q404" s="373"/>
      <c r="R404" s="373"/>
      <c r="S404" s="373"/>
      <c r="T404" s="373"/>
      <c r="U404" s="373"/>
      <c r="V404" s="373"/>
    </row>
    <row r="405" spans="1:22" ht="18" x14ac:dyDescent="0.55000000000000004">
      <c r="A405" s="373"/>
      <c r="B405" s="373"/>
      <c r="C405" s="373"/>
      <c r="D405" s="373"/>
      <c r="E405" s="373"/>
      <c r="F405" s="373"/>
      <c r="G405" s="373"/>
      <c r="H405" s="373"/>
      <c r="I405" s="373"/>
      <c r="J405" s="373"/>
      <c r="K405" s="373"/>
      <c r="L405" s="373"/>
      <c r="M405" s="373"/>
      <c r="N405" s="373"/>
      <c r="O405" s="373"/>
      <c r="P405" s="373"/>
      <c r="Q405" s="373"/>
      <c r="R405" s="373"/>
      <c r="S405" s="373"/>
      <c r="T405" s="373"/>
      <c r="U405" s="373"/>
      <c r="V405" s="373"/>
    </row>
    <row r="406" spans="1:22" ht="18" x14ac:dyDescent="0.55000000000000004">
      <c r="A406" s="373"/>
      <c r="B406" s="373"/>
      <c r="C406" s="373"/>
      <c r="D406" s="373"/>
      <c r="E406" s="373"/>
      <c r="F406" s="373"/>
      <c r="G406" s="373"/>
      <c r="H406" s="373"/>
      <c r="I406" s="373"/>
      <c r="J406" s="373"/>
      <c r="K406" s="373"/>
      <c r="L406" s="373"/>
      <c r="M406" s="373"/>
      <c r="N406" s="373"/>
      <c r="O406" s="373"/>
      <c r="P406" s="373"/>
      <c r="Q406" s="373"/>
      <c r="R406" s="373"/>
      <c r="S406" s="373"/>
      <c r="T406" s="373"/>
      <c r="U406" s="373"/>
      <c r="V406" s="373"/>
    </row>
    <row r="407" spans="1:22" ht="18" x14ac:dyDescent="0.55000000000000004">
      <c r="A407" s="373"/>
      <c r="B407" s="373"/>
      <c r="C407" s="373"/>
      <c r="D407" s="373"/>
      <c r="E407" s="373"/>
      <c r="F407" s="373"/>
      <c r="G407" s="373"/>
      <c r="H407" s="373"/>
      <c r="I407" s="373"/>
      <c r="J407" s="373"/>
      <c r="K407" s="373"/>
      <c r="L407" s="373"/>
      <c r="M407" s="373"/>
      <c r="N407" s="373"/>
      <c r="O407" s="373"/>
      <c r="P407" s="373"/>
      <c r="Q407" s="373"/>
      <c r="R407" s="373"/>
      <c r="S407" s="373"/>
      <c r="T407" s="373"/>
      <c r="U407" s="373"/>
      <c r="V407" s="373"/>
    </row>
    <row r="408" spans="1:22" ht="18" x14ac:dyDescent="0.55000000000000004">
      <c r="A408" s="373"/>
      <c r="B408" s="373"/>
      <c r="C408" s="373"/>
      <c r="D408" s="373"/>
      <c r="E408" s="373"/>
      <c r="F408" s="373"/>
      <c r="G408" s="373"/>
      <c r="H408" s="373"/>
      <c r="I408" s="373"/>
      <c r="J408" s="373"/>
      <c r="K408" s="373"/>
      <c r="L408" s="373"/>
      <c r="M408" s="373"/>
      <c r="N408" s="373"/>
      <c r="O408" s="373"/>
      <c r="P408" s="373"/>
      <c r="Q408" s="373"/>
      <c r="R408" s="373"/>
      <c r="S408" s="373"/>
      <c r="T408" s="373"/>
      <c r="U408" s="373"/>
      <c r="V408" s="373"/>
    </row>
    <row r="409" spans="1:22" ht="18" x14ac:dyDescent="0.55000000000000004">
      <c r="A409" s="373"/>
      <c r="B409" s="373"/>
      <c r="C409" s="373"/>
      <c r="D409" s="373"/>
      <c r="E409" s="373"/>
      <c r="F409" s="373"/>
      <c r="G409" s="373"/>
      <c r="H409" s="373"/>
      <c r="I409" s="373"/>
      <c r="J409" s="373"/>
      <c r="K409" s="373"/>
      <c r="L409" s="373"/>
      <c r="M409" s="373"/>
      <c r="N409" s="373"/>
      <c r="O409" s="373"/>
      <c r="P409" s="373"/>
      <c r="Q409" s="373"/>
      <c r="R409" s="373"/>
      <c r="S409" s="373"/>
      <c r="T409" s="373"/>
      <c r="U409" s="373"/>
      <c r="V409" s="373"/>
    </row>
    <row r="410" spans="1:22" ht="18" x14ac:dyDescent="0.55000000000000004">
      <c r="A410" s="373"/>
      <c r="B410" s="373"/>
      <c r="C410" s="373"/>
      <c r="D410" s="373"/>
      <c r="E410" s="373"/>
      <c r="F410" s="373"/>
      <c r="G410" s="373"/>
      <c r="H410" s="373"/>
      <c r="I410" s="373"/>
      <c r="J410" s="373"/>
      <c r="K410" s="373"/>
      <c r="L410" s="373"/>
      <c r="M410" s="373"/>
      <c r="N410" s="373"/>
      <c r="O410" s="373"/>
      <c r="P410" s="373"/>
      <c r="Q410" s="373"/>
      <c r="R410" s="373"/>
      <c r="S410" s="373"/>
      <c r="T410" s="373"/>
      <c r="U410" s="373"/>
      <c r="V410" s="373"/>
    </row>
    <row r="411" spans="1:22" ht="18" x14ac:dyDescent="0.55000000000000004">
      <c r="A411" s="373"/>
      <c r="B411" s="373"/>
      <c r="C411" s="373"/>
      <c r="D411" s="373"/>
      <c r="E411" s="373"/>
      <c r="F411" s="373"/>
      <c r="G411" s="373"/>
      <c r="H411" s="373"/>
      <c r="I411" s="373"/>
      <c r="J411" s="373"/>
      <c r="K411" s="373"/>
      <c r="L411" s="373"/>
      <c r="M411" s="373"/>
      <c r="N411" s="373"/>
      <c r="O411" s="373"/>
      <c r="P411" s="373"/>
      <c r="Q411" s="373"/>
      <c r="R411" s="373"/>
      <c r="S411" s="373"/>
      <c r="T411" s="373"/>
      <c r="U411" s="373"/>
      <c r="V411" s="373"/>
    </row>
    <row r="412" spans="1:22" ht="18" x14ac:dyDescent="0.55000000000000004">
      <c r="A412" s="373"/>
      <c r="B412" s="373"/>
      <c r="C412" s="373"/>
      <c r="D412" s="373"/>
      <c r="E412" s="373"/>
      <c r="F412" s="373"/>
      <c r="G412" s="373"/>
      <c r="H412" s="373"/>
      <c r="I412" s="373"/>
      <c r="J412" s="373"/>
      <c r="K412" s="373"/>
      <c r="L412" s="373"/>
      <c r="M412" s="373"/>
      <c r="N412" s="373"/>
      <c r="O412" s="373"/>
      <c r="P412" s="373"/>
      <c r="Q412" s="373"/>
      <c r="R412" s="373"/>
      <c r="S412" s="373"/>
      <c r="T412" s="373"/>
      <c r="U412" s="373"/>
      <c r="V412" s="373"/>
    </row>
    <row r="413" spans="1:22" ht="18" x14ac:dyDescent="0.55000000000000004">
      <c r="A413" s="373"/>
      <c r="B413" s="373"/>
      <c r="C413" s="373"/>
      <c r="D413" s="373"/>
      <c r="E413" s="373"/>
      <c r="F413" s="373"/>
      <c r="G413" s="373"/>
      <c r="H413" s="373"/>
      <c r="I413" s="373"/>
      <c r="J413" s="373"/>
      <c r="K413" s="373"/>
      <c r="L413" s="373"/>
      <c r="M413" s="373"/>
      <c r="N413" s="373"/>
      <c r="O413" s="373"/>
      <c r="P413" s="373"/>
      <c r="Q413" s="373"/>
      <c r="R413" s="373"/>
      <c r="S413" s="373"/>
      <c r="T413" s="373"/>
      <c r="U413" s="373"/>
      <c r="V413" s="373"/>
    </row>
    <row r="414" spans="1:22" ht="18" x14ac:dyDescent="0.55000000000000004">
      <c r="A414" s="373"/>
      <c r="B414" s="373"/>
      <c r="C414" s="373"/>
      <c r="D414" s="373"/>
      <c r="E414" s="373"/>
      <c r="F414" s="373"/>
      <c r="G414" s="373"/>
      <c r="H414" s="373"/>
      <c r="I414" s="373"/>
      <c r="J414" s="373"/>
      <c r="K414" s="373"/>
      <c r="L414" s="373"/>
      <c r="M414" s="373"/>
      <c r="N414" s="373"/>
      <c r="O414" s="373"/>
      <c r="P414" s="373"/>
      <c r="Q414" s="373"/>
      <c r="R414" s="373"/>
      <c r="S414" s="373"/>
      <c r="T414" s="373"/>
      <c r="U414" s="373"/>
      <c r="V414" s="373"/>
    </row>
    <row r="415" spans="1:22" ht="18" x14ac:dyDescent="0.55000000000000004">
      <c r="A415" s="373"/>
      <c r="B415" s="373"/>
      <c r="C415" s="373"/>
      <c r="D415" s="373"/>
      <c r="E415" s="373"/>
      <c r="F415" s="373"/>
      <c r="G415" s="373"/>
      <c r="H415" s="373"/>
      <c r="I415" s="373"/>
      <c r="J415" s="373"/>
      <c r="K415" s="373"/>
      <c r="L415" s="373"/>
      <c r="M415" s="373"/>
      <c r="N415" s="373"/>
      <c r="O415" s="373"/>
      <c r="P415" s="373"/>
      <c r="Q415" s="373"/>
      <c r="R415" s="373"/>
      <c r="S415" s="373"/>
      <c r="T415" s="373"/>
      <c r="U415" s="373"/>
      <c r="V415" s="373"/>
    </row>
    <row r="416" spans="1:22" ht="18" x14ac:dyDescent="0.55000000000000004">
      <c r="A416" s="373"/>
      <c r="B416" s="373"/>
      <c r="C416" s="373"/>
      <c r="D416" s="373"/>
      <c r="E416" s="373"/>
      <c r="F416" s="373"/>
      <c r="G416" s="373"/>
      <c r="H416" s="373"/>
      <c r="I416" s="373"/>
      <c r="J416" s="373"/>
      <c r="K416" s="373"/>
      <c r="L416" s="373"/>
      <c r="M416" s="373"/>
      <c r="N416" s="373"/>
      <c r="O416" s="373"/>
      <c r="P416" s="373"/>
      <c r="Q416" s="373"/>
      <c r="R416" s="373"/>
      <c r="S416" s="373"/>
      <c r="T416" s="373"/>
      <c r="U416" s="373"/>
      <c r="V416" s="373"/>
    </row>
    <row r="417" spans="1:22" ht="18" x14ac:dyDescent="0.55000000000000004">
      <c r="A417" s="373"/>
      <c r="B417" s="373"/>
      <c r="C417" s="373"/>
      <c r="D417" s="373"/>
      <c r="E417" s="373"/>
      <c r="F417" s="373"/>
      <c r="G417" s="373"/>
      <c r="H417" s="373"/>
      <c r="I417" s="373"/>
      <c r="J417" s="373"/>
      <c r="K417" s="373"/>
      <c r="L417" s="373"/>
      <c r="M417" s="373"/>
      <c r="N417" s="373"/>
      <c r="O417" s="373"/>
      <c r="P417" s="373"/>
      <c r="Q417" s="373"/>
      <c r="R417" s="373"/>
      <c r="S417" s="373"/>
      <c r="T417" s="373"/>
      <c r="U417" s="373"/>
      <c r="V417" s="373"/>
    </row>
    <row r="418" spans="1:22" ht="18" x14ac:dyDescent="0.55000000000000004">
      <c r="A418" s="373"/>
      <c r="B418" s="373"/>
      <c r="C418" s="373"/>
      <c r="D418" s="373"/>
      <c r="E418" s="373"/>
      <c r="F418" s="373"/>
      <c r="G418" s="373"/>
      <c r="H418" s="373"/>
      <c r="I418" s="373"/>
      <c r="J418" s="373"/>
      <c r="K418" s="373"/>
      <c r="L418" s="373"/>
      <c r="M418" s="373"/>
      <c r="N418" s="373"/>
      <c r="O418" s="373"/>
      <c r="P418" s="373"/>
      <c r="Q418" s="373"/>
      <c r="R418" s="373"/>
      <c r="S418" s="373"/>
      <c r="T418" s="373"/>
      <c r="U418" s="373"/>
      <c r="V418" s="373"/>
    </row>
    <row r="419" spans="1:22" ht="18" x14ac:dyDescent="0.55000000000000004">
      <c r="A419" s="373"/>
      <c r="B419" s="373"/>
      <c r="C419" s="373"/>
      <c r="D419" s="373"/>
      <c r="E419" s="373"/>
      <c r="F419" s="373"/>
      <c r="G419" s="373"/>
      <c r="H419" s="373"/>
      <c r="I419" s="373"/>
      <c r="J419" s="373"/>
      <c r="K419" s="373"/>
      <c r="L419" s="373"/>
      <c r="M419" s="373"/>
      <c r="N419" s="373"/>
      <c r="O419" s="373"/>
      <c r="P419" s="373"/>
      <c r="Q419" s="373"/>
      <c r="R419" s="373"/>
      <c r="S419" s="373"/>
      <c r="T419" s="373"/>
      <c r="U419" s="373"/>
      <c r="V419" s="373"/>
    </row>
    <row r="420" spans="1:22" ht="18" x14ac:dyDescent="0.55000000000000004">
      <c r="A420" s="373"/>
      <c r="B420" s="373"/>
      <c r="C420" s="373"/>
      <c r="D420" s="373"/>
      <c r="E420" s="373"/>
      <c r="F420" s="373"/>
      <c r="G420" s="373"/>
      <c r="H420" s="373"/>
      <c r="I420" s="373"/>
      <c r="J420" s="373"/>
      <c r="K420" s="373"/>
      <c r="L420" s="373"/>
      <c r="M420" s="373"/>
      <c r="N420" s="373"/>
      <c r="O420" s="373"/>
      <c r="P420" s="373"/>
      <c r="Q420" s="373"/>
      <c r="R420" s="373"/>
      <c r="S420" s="373"/>
      <c r="T420" s="373"/>
      <c r="U420" s="373"/>
      <c r="V420" s="373"/>
    </row>
    <row r="421" spans="1:22" ht="18" x14ac:dyDescent="0.55000000000000004">
      <c r="A421" s="373"/>
      <c r="B421" s="373"/>
      <c r="C421" s="373"/>
      <c r="D421" s="373"/>
      <c r="E421" s="373"/>
      <c r="F421" s="373"/>
      <c r="G421" s="373"/>
      <c r="H421" s="373"/>
      <c r="I421" s="373"/>
      <c r="J421" s="373"/>
      <c r="K421" s="373"/>
      <c r="L421" s="373"/>
      <c r="M421" s="373"/>
      <c r="N421" s="373"/>
      <c r="O421" s="373"/>
      <c r="P421" s="373"/>
      <c r="Q421" s="373"/>
      <c r="R421" s="373"/>
      <c r="S421" s="373"/>
      <c r="T421" s="373"/>
      <c r="U421" s="373"/>
      <c r="V421" s="373"/>
    </row>
    <row r="422" spans="1:22" ht="18" x14ac:dyDescent="0.55000000000000004">
      <c r="A422" s="373"/>
      <c r="B422" s="373"/>
      <c r="C422" s="373"/>
      <c r="D422" s="373"/>
      <c r="E422" s="373"/>
      <c r="F422" s="373"/>
      <c r="G422" s="373"/>
      <c r="H422" s="373"/>
      <c r="I422" s="373"/>
      <c r="J422" s="373"/>
      <c r="K422" s="373"/>
      <c r="L422" s="373"/>
      <c r="M422" s="373"/>
      <c r="N422" s="373"/>
      <c r="O422" s="373"/>
      <c r="P422" s="373"/>
      <c r="Q422" s="373"/>
      <c r="R422" s="373"/>
      <c r="S422" s="373"/>
      <c r="T422" s="373"/>
      <c r="U422" s="373"/>
      <c r="V422" s="373"/>
    </row>
    <row r="423" spans="1:22" ht="18" x14ac:dyDescent="0.55000000000000004">
      <c r="A423" s="373"/>
      <c r="B423" s="373"/>
      <c r="C423" s="373"/>
      <c r="D423" s="373"/>
      <c r="E423" s="373"/>
      <c r="F423" s="373"/>
      <c r="G423" s="373"/>
      <c r="H423" s="373"/>
      <c r="I423" s="373"/>
      <c r="J423" s="373"/>
      <c r="K423" s="373"/>
      <c r="L423" s="373"/>
      <c r="M423" s="373"/>
      <c r="N423" s="373"/>
      <c r="O423" s="373"/>
      <c r="P423" s="373"/>
      <c r="Q423" s="373"/>
      <c r="R423" s="373"/>
      <c r="S423" s="373"/>
      <c r="T423" s="373"/>
      <c r="U423" s="373"/>
      <c r="V423" s="373"/>
    </row>
    <row r="424" spans="1:22" ht="18" x14ac:dyDescent="0.55000000000000004">
      <c r="A424" s="373"/>
      <c r="B424" s="373"/>
      <c r="C424" s="373"/>
      <c r="D424" s="373"/>
      <c r="E424" s="373"/>
      <c r="F424" s="373"/>
      <c r="G424" s="373"/>
      <c r="H424" s="373"/>
      <c r="I424" s="373"/>
      <c r="J424" s="373"/>
      <c r="K424" s="373"/>
      <c r="L424" s="373"/>
      <c r="M424" s="373"/>
      <c r="N424" s="373"/>
      <c r="O424" s="373"/>
      <c r="P424" s="373"/>
      <c r="Q424" s="373"/>
      <c r="R424" s="373"/>
      <c r="S424" s="373"/>
      <c r="T424" s="373"/>
      <c r="U424" s="373"/>
      <c r="V424" s="373"/>
    </row>
    <row r="425" spans="1:22" ht="18" x14ac:dyDescent="0.55000000000000004">
      <c r="A425" s="373"/>
      <c r="B425" s="373"/>
      <c r="C425" s="373"/>
      <c r="D425" s="373"/>
      <c r="E425" s="373"/>
      <c r="F425" s="373"/>
      <c r="G425" s="373"/>
      <c r="H425" s="373"/>
      <c r="I425" s="373"/>
      <c r="J425" s="373"/>
      <c r="K425" s="373"/>
      <c r="L425" s="373"/>
      <c r="M425" s="373"/>
      <c r="N425" s="373"/>
      <c r="O425" s="373"/>
      <c r="P425" s="373"/>
      <c r="Q425" s="373"/>
      <c r="R425" s="373"/>
      <c r="S425" s="373"/>
      <c r="T425" s="373"/>
      <c r="U425" s="373"/>
      <c r="V425" s="373"/>
    </row>
    <row r="426" spans="1:22" ht="18" x14ac:dyDescent="0.55000000000000004">
      <c r="A426" s="373"/>
      <c r="B426" s="373"/>
      <c r="C426" s="373"/>
      <c r="D426" s="373"/>
      <c r="E426" s="373"/>
      <c r="F426" s="373"/>
      <c r="G426" s="373"/>
      <c r="H426" s="373"/>
      <c r="I426" s="373"/>
      <c r="J426" s="373"/>
      <c r="K426" s="373"/>
      <c r="L426" s="373"/>
      <c r="M426" s="373"/>
      <c r="N426" s="373"/>
      <c r="O426" s="373"/>
      <c r="P426" s="373"/>
      <c r="Q426" s="373"/>
      <c r="R426" s="373"/>
      <c r="S426" s="373"/>
      <c r="T426" s="373"/>
      <c r="U426" s="373"/>
      <c r="V426" s="373"/>
    </row>
    <row r="427" spans="1:22" ht="18" x14ac:dyDescent="0.55000000000000004">
      <c r="A427" s="373"/>
      <c r="B427" s="373"/>
      <c r="C427" s="373"/>
      <c r="D427" s="373"/>
      <c r="E427" s="373"/>
      <c r="F427" s="373"/>
      <c r="G427" s="373"/>
      <c r="H427" s="373"/>
      <c r="I427" s="373"/>
      <c r="J427" s="373"/>
      <c r="K427" s="373"/>
      <c r="L427" s="373"/>
      <c r="M427" s="373"/>
      <c r="N427" s="373"/>
      <c r="O427" s="373"/>
      <c r="P427" s="373"/>
      <c r="Q427" s="373"/>
      <c r="R427" s="373"/>
      <c r="S427" s="373"/>
      <c r="T427" s="373"/>
      <c r="U427" s="373"/>
      <c r="V427" s="373"/>
    </row>
    <row r="428" spans="1:22" ht="18" x14ac:dyDescent="0.55000000000000004">
      <c r="A428" s="373"/>
      <c r="B428" s="373"/>
      <c r="C428" s="373"/>
      <c r="D428" s="373"/>
      <c r="E428" s="373"/>
      <c r="F428" s="373"/>
      <c r="G428" s="373"/>
      <c r="H428" s="373"/>
      <c r="I428" s="373"/>
      <c r="J428" s="373"/>
      <c r="K428" s="373"/>
      <c r="L428" s="373"/>
      <c r="M428" s="373"/>
      <c r="N428" s="373"/>
      <c r="O428" s="373"/>
      <c r="P428" s="373"/>
      <c r="Q428" s="373"/>
      <c r="R428" s="373"/>
      <c r="S428" s="373"/>
      <c r="T428" s="373"/>
      <c r="U428" s="373"/>
      <c r="V428" s="373"/>
    </row>
    <row r="429" spans="1:22" ht="18" x14ac:dyDescent="0.55000000000000004">
      <c r="A429" s="373"/>
      <c r="B429" s="373"/>
      <c r="C429" s="373"/>
      <c r="D429" s="373"/>
      <c r="E429" s="373"/>
      <c r="F429" s="373"/>
      <c r="G429" s="373"/>
      <c r="H429" s="373"/>
      <c r="I429" s="373"/>
      <c r="J429" s="373"/>
      <c r="K429" s="373"/>
      <c r="L429" s="373"/>
      <c r="M429" s="373"/>
      <c r="N429" s="373"/>
      <c r="O429" s="373"/>
      <c r="P429" s="373"/>
      <c r="Q429" s="373"/>
      <c r="R429" s="373"/>
      <c r="S429" s="373"/>
      <c r="T429" s="373"/>
      <c r="U429" s="373"/>
      <c r="V429" s="373"/>
    </row>
    <row r="430" spans="1:22" ht="18" x14ac:dyDescent="0.55000000000000004">
      <c r="A430" s="373"/>
      <c r="B430" s="373"/>
      <c r="C430" s="373"/>
      <c r="D430" s="373"/>
      <c r="E430" s="373"/>
      <c r="F430" s="373"/>
      <c r="G430" s="373"/>
      <c r="H430" s="373"/>
      <c r="I430" s="373"/>
      <c r="J430" s="373"/>
      <c r="K430" s="373"/>
      <c r="L430" s="373"/>
      <c r="M430" s="373"/>
      <c r="N430" s="373"/>
      <c r="O430" s="373"/>
      <c r="P430" s="373"/>
      <c r="Q430" s="373"/>
      <c r="R430" s="373"/>
      <c r="S430" s="373"/>
      <c r="T430" s="373"/>
      <c r="U430" s="373"/>
      <c r="V430" s="373"/>
    </row>
    <row r="431" spans="1:22" ht="18" x14ac:dyDescent="0.55000000000000004">
      <c r="A431" s="373"/>
      <c r="B431" s="373"/>
      <c r="C431" s="373"/>
      <c r="D431" s="373"/>
      <c r="E431" s="373"/>
      <c r="F431" s="373"/>
      <c r="G431" s="373"/>
      <c r="H431" s="373"/>
      <c r="I431" s="373"/>
      <c r="J431" s="373"/>
      <c r="K431" s="373"/>
      <c r="L431" s="373"/>
      <c r="M431" s="373"/>
      <c r="N431" s="373"/>
      <c r="O431" s="373"/>
      <c r="P431" s="373"/>
      <c r="Q431" s="373"/>
      <c r="R431" s="373"/>
      <c r="S431" s="373"/>
      <c r="T431" s="373"/>
      <c r="U431" s="373"/>
      <c r="V431" s="373"/>
    </row>
    <row r="432" spans="1:22" ht="18" x14ac:dyDescent="0.55000000000000004">
      <c r="A432" s="373"/>
      <c r="B432" s="373"/>
      <c r="C432" s="373"/>
      <c r="D432" s="373"/>
      <c r="E432" s="373"/>
      <c r="F432" s="373"/>
      <c r="G432" s="373"/>
      <c r="H432" s="373"/>
      <c r="I432" s="373"/>
      <c r="J432" s="373"/>
      <c r="K432" s="373"/>
      <c r="L432" s="373"/>
      <c r="M432" s="373"/>
      <c r="N432" s="373"/>
      <c r="O432" s="373"/>
      <c r="P432" s="373"/>
      <c r="Q432" s="373"/>
      <c r="R432" s="373"/>
      <c r="S432" s="373"/>
      <c r="T432" s="373"/>
      <c r="U432" s="373"/>
      <c r="V432" s="373"/>
    </row>
    <row r="433" spans="1:22" ht="18" x14ac:dyDescent="0.55000000000000004">
      <c r="A433" s="373"/>
      <c r="B433" s="373"/>
      <c r="C433" s="373"/>
      <c r="D433" s="373"/>
      <c r="E433" s="373"/>
      <c r="F433" s="373"/>
      <c r="G433" s="373"/>
      <c r="H433" s="373"/>
      <c r="I433" s="373"/>
      <c r="J433" s="373"/>
      <c r="K433" s="373"/>
      <c r="L433" s="373"/>
      <c r="M433" s="373"/>
      <c r="N433" s="373"/>
      <c r="O433" s="373"/>
      <c r="P433" s="373"/>
      <c r="Q433" s="373"/>
      <c r="R433" s="373"/>
      <c r="S433" s="373"/>
      <c r="T433" s="373"/>
      <c r="U433" s="373"/>
      <c r="V433" s="373"/>
    </row>
    <row r="434" spans="1:22" ht="18" x14ac:dyDescent="0.55000000000000004">
      <c r="A434" s="373"/>
      <c r="B434" s="373"/>
      <c r="C434" s="373"/>
      <c r="D434" s="373"/>
      <c r="E434" s="373"/>
      <c r="F434" s="373"/>
      <c r="G434" s="373"/>
      <c r="H434" s="373"/>
      <c r="I434" s="373"/>
      <c r="J434" s="373"/>
      <c r="K434" s="373"/>
      <c r="L434" s="373"/>
      <c r="M434" s="373"/>
      <c r="N434" s="373"/>
      <c r="O434" s="373"/>
      <c r="P434" s="373"/>
      <c r="Q434" s="373"/>
      <c r="R434" s="373"/>
      <c r="S434" s="373"/>
      <c r="T434" s="373"/>
      <c r="U434" s="373"/>
      <c r="V434" s="373"/>
    </row>
    <row r="435" spans="1:22" ht="18" x14ac:dyDescent="0.55000000000000004">
      <c r="A435" s="373"/>
      <c r="B435" s="373"/>
      <c r="C435" s="373"/>
      <c r="D435" s="373"/>
      <c r="E435" s="373"/>
      <c r="F435" s="373"/>
      <c r="G435" s="373"/>
      <c r="H435" s="373"/>
      <c r="I435" s="373"/>
      <c r="J435" s="373"/>
      <c r="K435" s="373"/>
      <c r="L435" s="373"/>
      <c r="M435" s="373"/>
      <c r="N435" s="373"/>
      <c r="O435" s="373"/>
      <c r="P435" s="373"/>
      <c r="Q435" s="373"/>
      <c r="R435" s="373"/>
      <c r="S435" s="373"/>
      <c r="T435" s="373"/>
      <c r="U435" s="373"/>
      <c r="V435" s="373"/>
    </row>
    <row r="436" spans="1:22" ht="18" x14ac:dyDescent="0.55000000000000004">
      <c r="A436" s="373"/>
      <c r="B436" s="373"/>
      <c r="C436" s="373"/>
      <c r="D436" s="373"/>
      <c r="E436" s="373"/>
      <c r="F436" s="373"/>
      <c r="G436" s="373"/>
      <c r="H436" s="373"/>
      <c r="I436" s="373"/>
      <c r="J436" s="373"/>
      <c r="K436" s="373"/>
      <c r="L436" s="373"/>
      <c r="M436" s="373"/>
      <c r="N436" s="373"/>
      <c r="O436" s="373"/>
      <c r="P436" s="373"/>
      <c r="Q436" s="373"/>
      <c r="R436" s="373"/>
      <c r="S436" s="373"/>
      <c r="T436" s="373"/>
      <c r="U436" s="373"/>
      <c r="V436" s="373"/>
    </row>
    <row r="437" spans="1:22" ht="18" x14ac:dyDescent="0.55000000000000004">
      <c r="A437" s="373"/>
      <c r="B437" s="373"/>
      <c r="C437" s="373"/>
      <c r="D437" s="373"/>
      <c r="E437" s="373"/>
      <c r="F437" s="373"/>
      <c r="G437" s="373"/>
      <c r="H437" s="373"/>
      <c r="I437" s="373"/>
      <c r="J437" s="373"/>
      <c r="K437" s="373"/>
      <c r="L437" s="373"/>
      <c r="M437" s="373"/>
      <c r="N437" s="373"/>
      <c r="O437" s="373"/>
      <c r="P437" s="373"/>
      <c r="Q437" s="373"/>
      <c r="R437" s="373"/>
      <c r="S437" s="373"/>
      <c r="T437" s="373"/>
      <c r="U437" s="373"/>
      <c r="V437" s="373"/>
    </row>
    <row r="438" spans="1:22" ht="18" x14ac:dyDescent="0.55000000000000004">
      <c r="A438" s="373"/>
      <c r="B438" s="373"/>
      <c r="C438" s="373"/>
      <c r="D438" s="373"/>
      <c r="E438" s="373"/>
      <c r="F438" s="373"/>
      <c r="G438" s="373"/>
      <c r="H438" s="373"/>
      <c r="I438" s="373"/>
      <c r="J438" s="373"/>
      <c r="K438" s="373"/>
      <c r="L438" s="373"/>
      <c r="M438" s="373"/>
      <c r="N438" s="373"/>
      <c r="O438" s="373"/>
      <c r="P438" s="373"/>
      <c r="Q438" s="373"/>
      <c r="R438" s="373"/>
      <c r="S438" s="373"/>
      <c r="T438" s="373"/>
      <c r="U438" s="373"/>
      <c r="V438" s="373"/>
    </row>
    <row r="439" spans="1:22" ht="18" x14ac:dyDescent="0.55000000000000004">
      <c r="A439" s="373"/>
      <c r="B439" s="373"/>
      <c r="C439" s="373"/>
      <c r="D439" s="373"/>
      <c r="E439" s="373"/>
      <c r="F439" s="373"/>
      <c r="G439" s="373"/>
      <c r="H439" s="373"/>
      <c r="I439" s="373"/>
      <c r="J439" s="373"/>
      <c r="K439" s="373"/>
      <c r="L439" s="373"/>
      <c r="M439" s="373"/>
      <c r="N439" s="373"/>
      <c r="O439" s="373"/>
      <c r="P439" s="373"/>
      <c r="Q439" s="373"/>
      <c r="R439" s="373"/>
      <c r="S439" s="373"/>
      <c r="T439" s="373"/>
      <c r="U439" s="373"/>
      <c r="V439" s="373"/>
    </row>
    <row r="440" spans="1:22" ht="18" x14ac:dyDescent="0.55000000000000004">
      <c r="A440" s="373"/>
      <c r="B440" s="373"/>
      <c r="C440" s="373"/>
      <c r="D440" s="373"/>
      <c r="E440" s="373"/>
      <c r="F440" s="373"/>
      <c r="G440" s="373"/>
      <c r="H440" s="373"/>
      <c r="I440" s="373"/>
      <c r="J440" s="373"/>
      <c r="K440" s="373"/>
      <c r="L440" s="373"/>
      <c r="M440" s="373"/>
      <c r="N440" s="373"/>
      <c r="O440" s="373"/>
      <c r="P440" s="373"/>
      <c r="Q440" s="373"/>
      <c r="R440" s="373"/>
      <c r="S440" s="373"/>
      <c r="T440" s="373"/>
      <c r="U440" s="373"/>
      <c r="V440" s="373"/>
    </row>
    <row r="441" spans="1:22" ht="18" x14ac:dyDescent="0.55000000000000004">
      <c r="A441" s="373"/>
      <c r="B441" s="373"/>
      <c r="C441" s="373"/>
      <c r="D441" s="373"/>
      <c r="E441" s="373"/>
      <c r="F441" s="373"/>
      <c r="G441" s="373"/>
      <c r="H441" s="373"/>
      <c r="I441" s="373"/>
      <c r="J441" s="373"/>
      <c r="K441" s="373"/>
      <c r="L441" s="373"/>
      <c r="M441" s="373"/>
      <c r="N441" s="373"/>
      <c r="O441" s="373"/>
      <c r="P441" s="373"/>
      <c r="Q441" s="373"/>
      <c r="R441" s="373"/>
      <c r="S441" s="373"/>
      <c r="T441" s="373"/>
      <c r="U441" s="373"/>
      <c r="V441" s="373"/>
    </row>
    <row r="442" spans="1:22" ht="18" x14ac:dyDescent="0.55000000000000004">
      <c r="A442" s="373"/>
      <c r="B442" s="373"/>
      <c r="C442" s="373"/>
      <c r="D442" s="373"/>
      <c r="E442" s="373"/>
      <c r="F442" s="373"/>
      <c r="G442" s="373"/>
      <c r="H442" s="373"/>
      <c r="I442" s="373"/>
      <c r="J442" s="373"/>
      <c r="K442" s="373"/>
      <c r="L442" s="373"/>
      <c r="M442" s="373"/>
      <c r="N442" s="373"/>
      <c r="O442" s="373"/>
      <c r="P442" s="373"/>
      <c r="Q442" s="373"/>
      <c r="R442" s="373"/>
      <c r="S442" s="373"/>
      <c r="T442" s="373"/>
      <c r="U442" s="373"/>
      <c r="V442" s="373"/>
    </row>
    <row r="443" spans="1:22" ht="18" x14ac:dyDescent="0.55000000000000004">
      <c r="A443" s="373"/>
      <c r="B443" s="373"/>
      <c r="C443" s="373"/>
      <c r="D443" s="373"/>
      <c r="E443" s="373"/>
      <c r="F443" s="373"/>
      <c r="G443" s="373"/>
      <c r="H443" s="373"/>
      <c r="I443" s="373"/>
      <c r="J443" s="373"/>
      <c r="K443" s="373"/>
      <c r="L443" s="373"/>
      <c r="M443" s="373"/>
      <c r="N443" s="373"/>
      <c r="O443" s="373"/>
      <c r="P443" s="373"/>
      <c r="Q443" s="373"/>
      <c r="R443" s="373"/>
      <c r="S443" s="373"/>
      <c r="T443" s="373"/>
      <c r="U443" s="373"/>
      <c r="V443" s="373"/>
    </row>
    <row r="444" spans="1:22" ht="18" x14ac:dyDescent="0.55000000000000004">
      <c r="A444" s="373"/>
      <c r="B444" s="373"/>
      <c r="C444" s="373"/>
      <c r="D444" s="373"/>
      <c r="E444" s="373"/>
      <c r="F444" s="373"/>
      <c r="G444" s="373"/>
      <c r="H444" s="373"/>
      <c r="I444" s="373"/>
      <c r="J444" s="373"/>
      <c r="K444" s="373"/>
      <c r="L444" s="373"/>
      <c r="M444" s="373"/>
      <c r="N444" s="373"/>
      <c r="O444" s="373"/>
      <c r="P444" s="373"/>
      <c r="Q444" s="373"/>
      <c r="R444" s="373"/>
      <c r="S444" s="373"/>
      <c r="T444" s="373"/>
      <c r="U444" s="373"/>
      <c r="V444" s="373"/>
    </row>
    <row r="445" spans="1:22" ht="18" x14ac:dyDescent="0.55000000000000004">
      <c r="A445" s="373"/>
      <c r="B445" s="373"/>
      <c r="C445" s="373"/>
      <c r="D445" s="373"/>
      <c r="E445" s="373"/>
      <c r="F445" s="373"/>
      <c r="G445" s="373"/>
      <c r="H445" s="373"/>
      <c r="I445" s="373"/>
      <c r="J445" s="373"/>
      <c r="K445" s="373"/>
      <c r="L445" s="373"/>
      <c r="M445" s="373"/>
      <c r="N445" s="373"/>
      <c r="O445" s="373"/>
      <c r="P445" s="373"/>
      <c r="Q445" s="373"/>
      <c r="R445" s="373"/>
      <c r="S445" s="373"/>
      <c r="T445" s="373"/>
      <c r="U445" s="373"/>
      <c r="V445" s="373"/>
    </row>
    <row r="446" spans="1:22" ht="18" x14ac:dyDescent="0.55000000000000004">
      <c r="A446" s="373"/>
      <c r="B446" s="373"/>
      <c r="C446" s="373"/>
      <c r="D446" s="373"/>
      <c r="E446" s="373"/>
      <c r="F446" s="373"/>
      <c r="G446" s="373"/>
      <c r="H446" s="373"/>
      <c r="I446" s="373"/>
      <c r="J446" s="373"/>
      <c r="K446" s="373"/>
      <c r="L446" s="373"/>
      <c r="M446" s="373"/>
      <c r="N446" s="373"/>
      <c r="O446" s="373"/>
      <c r="P446" s="373"/>
      <c r="Q446" s="373"/>
      <c r="R446" s="373"/>
      <c r="S446" s="373"/>
      <c r="T446" s="373"/>
      <c r="U446" s="373"/>
      <c r="V446" s="373"/>
    </row>
    <row r="447" spans="1:22" ht="18" x14ac:dyDescent="0.55000000000000004">
      <c r="A447" s="373"/>
      <c r="B447" s="373"/>
      <c r="C447" s="373"/>
      <c r="D447" s="373"/>
      <c r="E447" s="373"/>
      <c r="F447" s="373"/>
      <c r="G447" s="373"/>
      <c r="H447" s="373"/>
      <c r="I447" s="373"/>
      <c r="J447" s="373"/>
      <c r="K447" s="373"/>
      <c r="L447" s="373"/>
      <c r="M447" s="373"/>
      <c r="N447" s="373"/>
      <c r="O447" s="373"/>
      <c r="P447" s="373"/>
      <c r="Q447" s="373"/>
      <c r="R447" s="373"/>
      <c r="S447" s="373"/>
      <c r="T447" s="373"/>
      <c r="U447" s="373"/>
      <c r="V447" s="373"/>
    </row>
    <row r="448" spans="1:22" ht="18" x14ac:dyDescent="0.55000000000000004">
      <c r="A448" s="373"/>
      <c r="B448" s="373"/>
      <c r="C448" s="373"/>
      <c r="D448" s="373"/>
      <c r="E448" s="373"/>
      <c r="F448" s="373"/>
      <c r="G448" s="373"/>
      <c r="H448" s="373"/>
      <c r="I448" s="373"/>
      <c r="J448" s="373"/>
      <c r="K448" s="373"/>
      <c r="L448" s="373"/>
      <c r="M448" s="373"/>
      <c r="N448" s="373"/>
      <c r="O448" s="373"/>
      <c r="P448" s="373"/>
      <c r="Q448" s="373"/>
      <c r="R448" s="373"/>
      <c r="S448" s="373"/>
      <c r="T448" s="373"/>
      <c r="U448" s="373"/>
      <c r="V448" s="373"/>
    </row>
    <row r="449" spans="1:22" ht="18" x14ac:dyDescent="0.55000000000000004">
      <c r="A449" s="373"/>
      <c r="B449" s="373"/>
      <c r="C449" s="373"/>
      <c r="D449" s="373"/>
      <c r="E449" s="373"/>
      <c r="F449" s="373"/>
      <c r="G449" s="373"/>
      <c r="H449" s="373"/>
      <c r="I449" s="373"/>
      <c r="J449" s="373"/>
      <c r="K449" s="373"/>
      <c r="L449" s="373"/>
      <c r="M449" s="373"/>
      <c r="N449" s="373"/>
      <c r="O449" s="373"/>
      <c r="P449" s="373"/>
      <c r="Q449" s="373"/>
      <c r="R449" s="373"/>
      <c r="S449" s="373"/>
      <c r="T449" s="373"/>
      <c r="U449" s="373"/>
      <c r="V449" s="373"/>
    </row>
    <row r="450" spans="1:22" ht="18" x14ac:dyDescent="0.55000000000000004">
      <c r="A450" s="373"/>
      <c r="B450" s="373"/>
      <c r="C450" s="373"/>
      <c r="D450" s="373"/>
      <c r="E450" s="373"/>
      <c r="F450" s="373"/>
      <c r="G450" s="373"/>
      <c r="H450" s="373"/>
      <c r="I450" s="373"/>
      <c r="J450" s="373"/>
      <c r="K450" s="373"/>
      <c r="L450" s="373"/>
      <c r="M450" s="373"/>
      <c r="N450" s="373"/>
      <c r="O450" s="373"/>
      <c r="P450" s="373"/>
      <c r="Q450" s="373"/>
      <c r="R450" s="373"/>
      <c r="S450" s="373"/>
      <c r="T450" s="373"/>
      <c r="U450" s="373"/>
      <c r="V450" s="373"/>
    </row>
    <row r="451" spans="1:22" ht="18" x14ac:dyDescent="0.55000000000000004">
      <c r="A451" s="373"/>
      <c r="B451" s="373"/>
      <c r="C451" s="373"/>
      <c r="D451" s="373"/>
      <c r="E451" s="373"/>
      <c r="F451" s="373"/>
      <c r="G451" s="373"/>
      <c r="H451" s="373"/>
      <c r="I451" s="373"/>
      <c r="J451" s="373"/>
      <c r="K451" s="373"/>
      <c r="L451" s="373"/>
      <c r="M451" s="373"/>
      <c r="N451" s="373"/>
      <c r="O451" s="373"/>
      <c r="P451" s="373"/>
      <c r="Q451" s="373"/>
      <c r="R451" s="373"/>
      <c r="S451" s="373"/>
      <c r="T451" s="373"/>
      <c r="U451" s="373"/>
      <c r="V451" s="373"/>
    </row>
    <row r="452" spans="1:22" ht="18" x14ac:dyDescent="0.55000000000000004">
      <c r="A452" s="373"/>
      <c r="B452" s="373"/>
      <c r="C452" s="373"/>
      <c r="D452" s="373"/>
      <c r="E452" s="373"/>
      <c r="F452" s="373"/>
      <c r="G452" s="373"/>
      <c r="H452" s="373"/>
      <c r="I452" s="373"/>
      <c r="J452" s="373"/>
      <c r="K452" s="373"/>
      <c r="L452" s="373"/>
      <c r="M452" s="373"/>
      <c r="N452" s="373"/>
      <c r="O452" s="373"/>
      <c r="P452" s="373"/>
      <c r="Q452" s="373"/>
      <c r="R452" s="373"/>
      <c r="S452" s="373"/>
      <c r="T452" s="373"/>
      <c r="U452" s="373"/>
      <c r="V452" s="373"/>
    </row>
    <row r="453" spans="1:22" ht="18" x14ac:dyDescent="0.55000000000000004">
      <c r="A453" s="373"/>
      <c r="B453" s="373"/>
      <c r="C453" s="373"/>
      <c r="D453" s="373"/>
      <c r="E453" s="373"/>
      <c r="F453" s="373"/>
      <c r="G453" s="373"/>
      <c r="H453" s="373"/>
      <c r="I453" s="373"/>
      <c r="J453" s="373"/>
      <c r="K453" s="373"/>
      <c r="L453" s="373"/>
      <c r="M453" s="373"/>
      <c r="N453" s="373"/>
      <c r="O453" s="373"/>
      <c r="P453" s="373"/>
      <c r="Q453" s="373"/>
      <c r="R453" s="373"/>
      <c r="S453" s="373"/>
      <c r="T453" s="373"/>
      <c r="U453" s="373"/>
      <c r="V453" s="373"/>
    </row>
    <row r="454" spans="1:22" ht="18" x14ac:dyDescent="0.55000000000000004">
      <c r="A454" s="373"/>
      <c r="B454" s="373"/>
      <c r="C454" s="373"/>
      <c r="D454" s="373"/>
      <c r="E454" s="373"/>
      <c r="F454" s="373"/>
      <c r="G454" s="373"/>
      <c r="H454" s="373"/>
      <c r="I454" s="373"/>
      <c r="J454" s="373"/>
      <c r="K454" s="373"/>
      <c r="L454" s="373"/>
      <c r="M454" s="373"/>
      <c r="N454" s="373"/>
      <c r="O454" s="373"/>
      <c r="P454" s="373"/>
      <c r="Q454" s="373"/>
      <c r="R454" s="373"/>
      <c r="S454" s="373"/>
      <c r="T454" s="373"/>
      <c r="U454" s="373"/>
      <c r="V454" s="373"/>
    </row>
    <row r="455" spans="1:22" ht="18" x14ac:dyDescent="0.55000000000000004">
      <c r="A455" s="373"/>
      <c r="B455" s="373"/>
      <c r="C455" s="373"/>
      <c r="D455" s="373"/>
      <c r="E455" s="373"/>
      <c r="F455" s="373"/>
      <c r="G455" s="373"/>
      <c r="H455" s="373"/>
      <c r="I455" s="373"/>
      <c r="J455" s="373"/>
      <c r="K455" s="373"/>
      <c r="L455" s="373"/>
      <c r="M455" s="373"/>
      <c r="N455" s="373"/>
      <c r="O455" s="373"/>
      <c r="P455" s="373"/>
      <c r="Q455" s="373"/>
      <c r="R455" s="373"/>
      <c r="S455" s="373"/>
      <c r="T455" s="373"/>
      <c r="U455" s="373"/>
      <c r="V455" s="373"/>
    </row>
    <row r="456" spans="1:22" ht="18" x14ac:dyDescent="0.55000000000000004">
      <c r="A456" s="373"/>
      <c r="B456" s="373"/>
      <c r="C456" s="373"/>
      <c r="D456" s="373"/>
      <c r="E456" s="373"/>
      <c r="F456" s="373"/>
      <c r="G456" s="373"/>
      <c r="H456" s="373"/>
      <c r="I456" s="373"/>
      <c r="J456" s="373"/>
      <c r="K456" s="373"/>
      <c r="L456" s="373"/>
      <c r="M456" s="373"/>
      <c r="N456" s="373"/>
      <c r="O456" s="373"/>
      <c r="P456" s="373"/>
      <c r="Q456" s="373"/>
      <c r="R456" s="373"/>
      <c r="S456" s="373"/>
      <c r="T456" s="373"/>
      <c r="U456" s="373"/>
      <c r="V456" s="373"/>
    </row>
    <row r="457" spans="1:22" ht="18" x14ac:dyDescent="0.55000000000000004">
      <c r="A457" s="373"/>
      <c r="B457" s="373"/>
      <c r="C457" s="373"/>
      <c r="D457" s="373"/>
      <c r="E457" s="373"/>
      <c r="F457" s="373"/>
      <c r="G457" s="373"/>
      <c r="H457" s="373"/>
      <c r="I457" s="373"/>
      <c r="J457" s="373"/>
      <c r="K457" s="373"/>
      <c r="L457" s="373"/>
      <c r="M457" s="373"/>
      <c r="N457" s="373"/>
      <c r="O457" s="373"/>
      <c r="P457" s="373"/>
      <c r="Q457" s="373"/>
      <c r="R457" s="373"/>
      <c r="S457" s="373"/>
      <c r="T457" s="373"/>
      <c r="U457" s="373"/>
      <c r="V457" s="373"/>
    </row>
    <row r="458" spans="1:22" ht="18" x14ac:dyDescent="0.55000000000000004">
      <c r="A458" s="373"/>
      <c r="B458" s="373"/>
      <c r="C458" s="373"/>
      <c r="D458" s="373"/>
      <c r="E458" s="373"/>
      <c r="F458" s="373"/>
      <c r="G458" s="373"/>
      <c r="H458" s="373"/>
      <c r="I458" s="373"/>
      <c r="J458" s="373"/>
      <c r="K458" s="373"/>
      <c r="L458" s="373"/>
      <c r="M458" s="373"/>
      <c r="N458" s="373"/>
      <c r="O458" s="373"/>
      <c r="P458" s="373"/>
      <c r="Q458" s="373"/>
      <c r="R458" s="373"/>
      <c r="S458" s="373"/>
      <c r="T458" s="373"/>
      <c r="U458" s="373"/>
      <c r="V458" s="373"/>
    </row>
    <row r="459" spans="1:22" ht="18" x14ac:dyDescent="0.55000000000000004">
      <c r="A459" s="373"/>
      <c r="B459" s="373"/>
      <c r="C459" s="373"/>
      <c r="D459" s="373"/>
      <c r="E459" s="373"/>
      <c r="F459" s="373"/>
      <c r="G459" s="373"/>
      <c r="H459" s="373"/>
      <c r="I459" s="373"/>
      <c r="J459" s="373"/>
      <c r="K459" s="373"/>
      <c r="L459" s="373"/>
      <c r="M459" s="373"/>
      <c r="N459" s="373"/>
      <c r="O459" s="373"/>
      <c r="P459" s="373"/>
      <c r="Q459" s="373"/>
      <c r="R459" s="373"/>
      <c r="S459" s="373"/>
      <c r="T459" s="373"/>
      <c r="U459" s="373"/>
      <c r="V459" s="373"/>
    </row>
    <row r="460" spans="1:22" ht="18" x14ac:dyDescent="0.55000000000000004">
      <c r="A460" s="373"/>
      <c r="B460" s="373"/>
      <c r="C460" s="373"/>
      <c r="D460" s="373"/>
      <c r="E460" s="373"/>
      <c r="F460" s="373"/>
      <c r="G460" s="373"/>
      <c r="H460" s="373"/>
      <c r="I460" s="373"/>
      <c r="J460" s="373"/>
      <c r="K460" s="373"/>
      <c r="L460" s="373"/>
      <c r="M460" s="373"/>
      <c r="N460" s="373"/>
      <c r="O460" s="373"/>
      <c r="P460" s="373"/>
      <c r="Q460" s="373"/>
      <c r="R460" s="373"/>
      <c r="S460" s="373"/>
      <c r="T460" s="373"/>
      <c r="U460" s="373"/>
      <c r="V460" s="373"/>
    </row>
    <row r="461" spans="1:22" ht="18" x14ac:dyDescent="0.55000000000000004">
      <c r="A461" s="373"/>
      <c r="B461" s="373"/>
      <c r="C461" s="373"/>
      <c r="D461" s="373"/>
      <c r="E461" s="373"/>
      <c r="F461" s="373"/>
      <c r="G461" s="373"/>
      <c r="H461" s="373"/>
      <c r="I461" s="373"/>
      <c r="J461" s="373"/>
      <c r="K461" s="373"/>
      <c r="L461" s="373"/>
      <c r="M461" s="373"/>
      <c r="N461" s="373"/>
      <c r="O461" s="373"/>
      <c r="P461" s="373"/>
      <c r="Q461" s="373"/>
      <c r="R461" s="373"/>
      <c r="S461" s="373"/>
      <c r="T461" s="373"/>
      <c r="U461" s="373"/>
      <c r="V461" s="373"/>
    </row>
    <row r="462" spans="1:22" ht="18" x14ac:dyDescent="0.55000000000000004">
      <c r="A462" s="373"/>
      <c r="B462" s="373"/>
      <c r="C462" s="373"/>
      <c r="D462" s="373"/>
      <c r="E462" s="373"/>
      <c r="F462" s="373"/>
      <c r="G462" s="373"/>
      <c r="H462" s="373"/>
      <c r="I462" s="373"/>
      <c r="J462" s="373"/>
      <c r="K462" s="373"/>
      <c r="L462" s="373"/>
      <c r="M462" s="373"/>
      <c r="N462" s="373"/>
      <c r="O462" s="373"/>
      <c r="P462" s="373"/>
      <c r="Q462" s="373"/>
      <c r="R462" s="373"/>
      <c r="S462" s="373"/>
      <c r="T462" s="373"/>
      <c r="U462" s="373"/>
      <c r="V462" s="373"/>
    </row>
    <row r="463" spans="1:22" ht="18" x14ac:dyDescent="0.55000000000000004">
      <c r="A463" s="373"/>
      <c r="B463" s="373"/>
      <c r="C463" s="373"/>
      <c r="D463" s="373"/>
      <c r="E463" s="373"/>
      <c r="F463" s="373"/>
      <c r="G463" s="373"/>
      <c r="H463" s="373"/>
      <c r="I463" s="373"/>
      <c r="J463" s="373"/>
      <c r="K463" s="373"/>
      <c r="L463" s="373"/>
      <c r="M463" s="373"/>
      <c r="N463" s="373"/>
      <c r="O463" s="373"/>
      <c r="P463" s="373"/>
      <c r="Q463" s="373"/>
      <c r="R463" s="373"/>
      <c r="S463" s="373"/>
      <c r="T463" s="373"/>
      <c r="U463" s="373"/>
      <c r="V463" s="373"/>
    </row>
    <row r="464" spans="1:22" ht="18" x14ac:dyDescent="0.55000000000000004">
      <c r="A464" s="373"/>
      <c r="B464" s="373"/>
      <c r="C464" s="373"/>
      <c r="D464" s="373"/>
      <c r="E464" s="373"/>
      <c r="F464" s="373"/>
      <c r="G464" s="373"/>
      <c r="H464" s="373"/>
      <c r="I464" s="373"/>
      <c r="J464" s="373"/>
      <c r="K464" s="373"/>
      <c r="L464" s="373"/>
      <c r="M464" s="373"/>
      <c r="N464" s="373"/>
      <c r="O464" s="373"/>
      <c r="P464" s="373"/>
      <c r="Q464" s="373"/>
      <c r="R464" s="373"/>
      <c r="S464" s="373"/>
      <c r="T464" s="373"/>
      <c r="U464" s="373"/>
      <c r="V464" s="373"/>
    </row>
    <row r="465" spans="1:22" ht="18" x14ac:dyDescent="0.55000000000000004">
      <c r="A465" s="373"/>
      <c r="B465" s="373"/>
      <c r="C465" s="373"/>
      <c r="D465" s="373"/>
      <c r="E465" s="373"/>
      <c r="F465" s="373"/>
      <c r="G465" s="373"/>
      <c r="H465" s="373"/>
      <c r="I465" s="373"/>
      <c r="J465" s="373"/>
      <c r="K465" s="373"/>
      <c r="L465" s="373"/>
      <c r="M465" s="373"/>
      <c r="N465" s="373"/>
      <c r="O465" s="373"/>
      <c r="P465" s="373"/>
      <c r="Q465" s="373"/>
      <c r="R465" s="373"/>
      <c r="S465" s="373"/>
      <c r="T465" s="373"/>
      <c r="U465" s="373"/>
      <c r="V465" s="373"/>
    </row>
    <row r="466" spans="1:22" ht="18" x14ac:dyDescent="0.55000000000000004">
      <c r="A466" s="373"/>
      <c r="B466" s="373"/>
      <c r="C466" s="373"/>
      <c r="D466" s="373"/>
      <c r="E466" s="373"/>
      <c r="F466" s="373"/>
      <c r="G466" s="373"/>
      <c r="H466" s="373"/>
      <c r="I466" s="373"/>
      <c r="J466" s="373"/>
      <c r="K466" s="373"/>
      <c r="L466" s="373"/>
      <c r="M466" s="373"/>
      <c r="N466" s="373"/>
      <c r="O466" s="373"/>
      <c r="P466" s="373"/>
      <c r="Q466" s="373"/>
      <c r="R466" s="373"/>
      <c r="S466" s="373"/>
      <c r="T466" s="373"/>
      <c r="U466" s="373"/>
      <c r="V466" s="373"/>
    </row>
    <row r="467" spans="1:22" ht="18" x14ac:dyDescent="0.55000000000000004">
      <c r="A467" s="373"/>
      <c r="B467" s="373"/>
      <c r="C467" s="373"/>
      <c r="D467" s="373"/>
      <c r="E467" s="373"/>
      <c r="F467" s="373"/>
      <c r="G467" s="373"/>
      <c r="H467" s="373"/>
      <c r="I467" s="373"/>
      <c r="J467" s="373"/>
      <c r="K467" s="373"/>
      <c r="L467" s="373"/>
      <c r="M467" s="373"/>
      <c r="N467" s="373"/>
      <c r="O467" s="373"/>
      <c r="P467" s="373"/>
      <c r="Q467" s="373"/>
      <c r="R467" s="373"/>
      <c r="S467" s="373"/>
      <c r="T467" s="373"/>
      <c r="U467" s="373"/>
      <c r="V467" s="373"/>
    </row>
    <row r="468" spans="1:22" ht="18" x14ac:dyDescent="0.55000000000000004">
      <c r="A468" s="373"/>
      <c r="B468" s="373"/>
      <c r="C468" s="373"/>
      <c r="D468" s="373"/>
      <c r="E468" s="373"/>
      <c r="F468" s="373"/>
      <c r="G468" s="373"/>
      <c r="H468" s="373"/>
      <c r="I468" s="373"/>
      <c r="J468" s="373"/>
      <c r="K468" s="373"/>
      <c r="L468" s="373"/>
      <c r="M468" s="373"/>
      <c r="N468" s="373"/>
      <c r="O468" s="373"/>
      <c r="P468" s="373"/>
      <c r="Q468" s="373"/>
      <c r="R468" s="373"/>
      <c r="S468" s="373"/>
      <c r="T468" s="373"/>
      <c r="U468" s="373"/>
      <c r="V468" s="373"/>
    </row>
    <row r="469" spans="1:22" ht="18" x14ac:dyDescent="0.55000000000000004">
      <c r="A469" s="373"/>
      <c r="B469" s="373"/>
      <c r="C469" s="373"/>
      <c r="D469" s="373"/>
      <c r="E469" s="373"/>
      <c r="F469" s="373"/>
      <c r="G469" s="373"/>
      <c r="H469" s="373"/>
      <c r="I469" s="373"/>
      <c r="J469" s="373"/>
      <c r="K469" s="373"/>
      <c r="L469" s="373"/>
      <c r="M469" s="373"/>
      <c r="N469" s="373"/>
      <c r="O469" s="373"/>
      <c r="P469" s="373"/>
      <c r="Q469" s="373"/>
      <c r="R469" s="373"/>
      <c r="S469" s="373"/>
      <c r="T469" s="373"/>
      <c r="U469" s="373"/>
      <c r="V469" s="373"/>
    </row>
    <row r="470" spans="1:22" ht="18" x14ac:dyDescent="0.55000000000000004">
      <c r="A470" s="373"/>
      <c r="B470" s="373"/>
      <c r="C470" s="373"/>
      <c r="D470" s="373"/>
      <c r="E470" s="373"/>
      <c r="F470" s="373"/>
      <c r="G470" s="373"/>
      <c r="H470" s="373"/>
      <c r="I470" s="373"/>
      <c r="J470" s="373"/>
      <c r="K470" s="373"/>
      <c r="L470" s="373"/>
      <c r="M470" s="373"/>
      <c r="N470" s="373"/>
      <c r="O470" s="373"/>
      <c r="P470" s="373"/>
      <c r="Q470" s="373"/>
      <c r="R470" s="373"/>
      <c r="S470" s="373"/>
      <c r="T470" s="373"/>
      <c r="U470" s="373"/>
      <c r="V470" s="373"/>
    </row>
    <row r="471" spans="1:22" ht="18" x14ac:dyDescent="0.55000000000000004">
      <c r="A471" s="373"/>
      <c r="B471" s="373"/>
      <c r="C471" s="373"/>
      <c r="D471" s="373"/>
      <c r="E471" s="373"/>
      <c r="F471" s="373"/>
      <c r="G471" s="373"/>
      <c r="H471" s="373"/>
      <c r="I471" s="373"/>
      <c r="J471" s="373"/>
      <c r="K471" s="373"/>
      <c r="L471" s="373"/>
      <c r="M471" s="373"/>
      <c r="N471" s="373"/>
      <c r="O471" s="373"/>
      <c r="P471" s="373"/>
      <c r="Q471" s="373"/>
      <c r="R471" s="373"/>
      <c r="S471" s="373"/>
      <c r="T471" s="373"/>
      <c r="U471" s="373"/>
      <c r="V471" s="373"/>
    </row>
    <row r="472" spans="1:22" ht="18" x14ac:dyDescent="0.55000000000000004">
      <c r="A472" s="373"/>
      <c r="B472" s="373"/>
      <c r="C472" s="373"/>
      <c r="D472" s="373"/>
      <c r="E472" s="373"/>
      <c r="F472" s="373"/>
      <c r="G472" s="373"/>
      <c r="H472" s="373"/>
      <c r="I472" s="373"/>
      <c r="J472" s="373"/>
      <c r="K472" s="373"/>
      <c r="L472" s="373"/>
      <c r="M472" s="373"/>
      <c r="N472" s="373"/>
      <c r="O472" s="373"/>
      <c r="P472" s="373"/>
      <c r="Q472" s="373"/>
      <c r="R472" s="373"/>
      <c r="S472" s="373"/>
      <c r="T472" s="373"/>
      <c r="U472" s="373"/>
      <c r="V472" s="373"/>
    </row>
    <row r="473" spans="1:22" ht="18" x14ac:dyDescent="0.55000000000000004">
      <c r="A473" s="373"/>
      <c r="B473" s="373"/>
      <c r="C473" s="373"/>
      <c r="D473" s="373"/>
      <c r="E473" s="373"/>
      <c r="F473" s="373"/>
      <c r="G473" s="373"/>
      <c r="H473" s="373"/>
      <c r="I473" s="373"/>
      <c r="J473" s="373"/>
      <c r="K473" s="373"/>
      <c r="L473" s="373"/>
      <c r="M473" s="373"/>
      <c r="N473" s="373"/>
      <c r="O473" s="373"/>
      <c r="P473" s="373"/>
      <c r="Q473" s="373"/>
      <c r="R473" s="373"/>
      <c r="S473" s="373"/>
      <c r="T473" s="373"/>
      <c r="U473" s="373"/>
      <c r="V473" s="373"/>
    </row>
    <row r="474" spans="1:22" ht="18" x14ac:dyDescent="0.55000000000000004">
      <c r="A474" s="373"/>
      <c r="B474" s="373"/>
      <c r="C474" s="373"/>
      <c r="D474" s="373"/>
      <c r="E474" s="373"/>
      <c r="F474" s="373"/>
      <c r="G474" s="373"/>
      <c r="H474" s="373"/>
      <c r="I474" s="373"/>
      <c r="J474" s="373"/>
      <c r="K474" s="373"/>
      <c r="L474" s="373"/>
      <c r="M474" s="373"/>
      <c r="N474" s="373"/>
      <c r="O474" s="373"/>
      <c r="P474" s="373"/>
      <c r="Q474" s="373"/>
      <c r="R474" s="373"/>
      <c r="S474" s="373"/>
      <c r="T474" s="373"/>
      <c r="U474" s="373"/>
      <c r="V474" s="373"/>
    </row>
    <row r="475" spans="1:22" ht="18" x14ac:dyDescent="0.55000000000000004">
      <c r="A475" s="373"/>
      <c r="B475" s="373"/>
      <c r="C475" s="373"/>
      <c r="D475" s="373"/>
      <c r="E475" s="373"/>
      <c r="F475" s="373"/>
      <c r="G475" s="373"/>
      <c r="H475" s="373"/>
      <c r="I475" s="373"/>
      <c r="J475" s="373"/>
      <c r="K475" s="373"/>
      <c r="L475" s="373"/>
      <c r="M475" s="373"/>
      <c r="N475" s="373"/>
      <c r="O475" s="373"/>
      <c r="P475" s="373"/>
      <c r="Q475" s="373"/>
      <c r="R475" s="373"/>
      <c r="S475" s="373"/>
      <c r="T475" s="373"/>
      <c r="U475" s="373"/>
      <c r="V475" s="373"/>
    </row>
    <row r="476" spans="1:22" ht="18" x14ac:dyDescent="0.55000000000000004">
      <c r="A476" s="373"/>
      <c r="B476" s="373"/>
      <c r="C476" s="373"/>
      <c r="D476" s="373"/>
      <c r="E476" s="373"/>
      <c r="F476" s="373"/>
      <c r="G476" s="373"/>
      <c r="H476" s="373"/>
      <c r="I476" s="373"/>
      <c r="J476" s="373"/>
      <c r="K476" s="373"/>
      <c r="L476" s="373"/>
      <c r="M476" s="373"/>
      <c r="N476" s="373"/>
      <c r="O476" s="373"/>
      <c r="P476" s="373"/>
      <c r="Q476" s="373"/>
      <c r="R476" s="373"/>
      <c r="S476" s="373"/>
      <c r="T476" s="373"/>
      <c r="U476" s="373"/>
      <c r="V476" s="373"/>
    </row>
    <row r="477" spans="1:22" ht="18" x14ac:dyDescent="0.55000000000000004">
      <c r="A477" s="373"/>
      <c r="B477" s="373"/>
      <c r="C477" s="373"/>
      <c r="D477" s="373"/>
      <c r="E477" s="373"/>
      <c r="F477" s="373"/>
      <c r="G477" s="373"/>
      <c r="H477" s="373"/>
      <c r="I477" s="373"/>
      <c r="J477" s="373"/>
      <c r="K477" s="373"/>
      <c r="L477" s="373"/>
      <c r="M477" s="373"/>
      <c r="N477" s="373"/>
      <c r="O477" s="373"/>
      <c r="P477" s="373"/>
      <c r="Q477" s="373"/>
      <c r="R477" s="373"/>
      <c r="S477" s="373"/>
      <c r="T477" s="373"/>
      <c r="U477" s="373"/>
      <c r="V477" s="373"/>
    </row>
    <row r="478" spans="1:22" ht="18" x14ac:dyDescent="0.55000000000000004">
      <c r="A478" s="373"/>
      <c r="B478" s="373"/>
      <c r="C478" s="373"/>
      <c r="D478" s="373"/>
      <c r="E478" s="373"/>
      <c r="F478" s="373"/>
      <c r="G478" s="373"/>
      <c r="H478" s="373"/>
      <c r="I478" s="373"/>
      <c r="J478" s="373"/>
      <c r="K478" s="373"/>
      <c r="L478" s="373"/>
      <c r="M478" s="373"/>
      <c r="N478" s="373"/>
      <c r="O478" s="373"/>
      <c r="P478" s="373"/>
      <c r="Q478" s="373"/>
      <c r="R478" s="373"/>
      <c r="S478" s="373"/>
      <c r="T478" s="373"/>
      <c r="U478" s="373"/>
      <c r="V478" s="373"/>
    </row>
    <row r="479" spans="1:22" ht="18" x14ac:dyDescent="0.55000000000000004">
      <c r="A479" s="373"/>
      <c r="B479" s="373"/>
      <c r="C479" s="373"/>
      <c r="D479" s="373"/>
      <c r="E479" s="373"/>
      <c r="F479" s="373"/>
      <c r="G479" s="373"/>
      <c r="H479" s="373"/>
      <c r="I479" s="373"/>
      <c r="J479" s="373"/>
      <c r="K479" s="373"/>
      <c r="L479" s="373"/>
      <c r="M479" s="373"/>
      <c r="N479" s="373"/>
      <c r="O479" s="373"/>
      <c r="P479" s="373"/>
      <c r="Q479" s="373"/>
      <c r="R479" s="373"/>
      <c r="S479" s="373"/>
      <c r="T479" s="373"/>
      <c r="U479" s="373"/>
      <c r="V479" s="373"/>
    </row>
    <row r="480" spans="1:22" ht="18" x14ac:dyDescent="0.55000000000000004">
      <c r="A480" s="373"/>
      <c r="B480" s="373"/>
      <c r="C480" s="373"/>
      <c r="D480" s="373"/>
      <c r="E480" s="373"/>
      <c r="F480" s="373"/>
      <c r="G480" s="373"/>
      <c r="H480" s="373"/>
      <c r="I480" s="373"/>
      <c r="J480" s="373"/>
      <c r="K480" s="373"/>
      <c r="L480" s="373"/>
      <c r="M480" s="373"/>
      <c r="N480" s="373"/>
      <c r="O480" s="373"/>
      <c r="P480" s="373"/>
      <c r="Q480" s="373"/>
      <c r="R480" s="373"/>
      <c r="S480" s="373"/>
      <c r="T480" s="373"/>
      <c r="U480" s="373"/>
      <c r="V480" s="373"/>
    </row>
    <row r="481" spans="1:22" ht="18" x14ac:dyDescent="0.55000000000000004">
      <c r="A481" s="373"/>
      <c r="B481" s="373"/>
      <c r="C481" s="373"/>
      <c r="D481" s="373"/>
      <c r="E481" s="373"/>
      <c r="F481" s="373"/>
      <c r="G481" s="373"/>
      <c r="H481" s="373"/>
      <c r="I481" s="373"/>
      <c r="J481" s="373"/>
      <c r="K481" s="373"/>
      <c r="L481" s="373"/>
      <c r="M481" s="373"/>
      <c r="N481" s="373"/>
      <c r="O481" s="373"/>
      <c r="P481" s="373"/>
      <c r="Q481" s="373"/>
      <c r="R481" s="373"/>
      <c r="S481" s="373"/>
      <c r="T481" s="373"/>
      <c r="U481" s="373"/>
      <c r="V481" s="373"/>
    </row>
    <row r="482" spans="1:22" ht="18" x14ac:dyDescent="0.55000000000000004">
      <c r="A482" s="373"/>
      <c r="B482" s="373"/>
      <c r="C482" s="373"/>
      <c r="D482" s="373"/>
      <c r="E482" s="373"/>
      <c r="F482" s="373"/>
      <c r="G482" s="373"/>
      <c r="H482" s="373"/>
      <c r="I482" s="373"/>
      <c r="J482" s="373"/>
      <c r="K482" s="373"/>
      <c r="L482" s="373"/>
      <c r="M482" s="373"/>
      <c r="N482" s="373"/>
      <c r="O482" s="373"/>
      <c r="P482" s="373"/>
      <c r="Q482" s="373"/>
      <c r="R482" s="373"/>
      <c r="S482" s="373"/>
      <c r="T482" s="373"/>
      <c r="U482" s="373"/>
      <c r="V482" s="373"/>
    </row>
    <row r="483" spans="1:22" ht="18" x14ac:dyDescent="0.55000000000000004">
      <c r="A483" s="373"/>
      <c r="B483" s="373"/>
      <c r="C483" s="373"/>
      <c r="D483" s="373"/>
      <c r="E483" s="373"/>
      <c r="F483" s="373"/>
      <c r="G483" s="373"/>
      <c r="H483" s="373"/>
      <c r="I483" s="373"/>
      <c r="J483" s="373"/>
      <c r="K483" s="373"/>
      <c r="L483" s="373"/>
      <c r="M483" s="373"/>
      <c r="N483" s="373"/>
      <c r="O483" s="373"/>
      <c r="P483" s="373"/>
      <c r="Q483" s="373"/>
      <c r="R483" s="373"/>
      <c r="S483" s="373"/>
      <c r="T483" s="373"/>
      <c r="U483" s="373"/>
      <c r="V483" s="373"/>
    </row>
    <row r="484" spans="1:22" ht="18" x14ac:dyDescent="0.55000000000000004">
      <c r="A484" s="373"/>
      <c r="B484" s="373"/>
      <c r="C484" s="373"/>
      <c r="D484" s="373"/>
      <c r="E484" s="373"/>
      <c r="F484" s="373"/>
      <c r="G484" s="373"/>
      <c r="H484" s="373"/>
      <c r="I484" s="373"/>
      <c r="J484" s="373"/>
      <c r="K484" s="373"/>
      <c r="L484" s="373"/>
      <c r="M484" s="373"/>
      <c r="N484" s="373"/>
      <c r="O484" s="373"/>
      <c r="P484" s="373"/>
      <c r="Q484" s="373"/>
      <c r="R484" s="373"/>
      <c r="S484" s="373"/>
      <c r="T484" s="373"/>
      <c r="U484" s="373"/>
      <c r="V484" s="373"/>
    </row>
    <row r="485" spans="1:22" ht="18" x14ac:dyDescent="0.55000000000000004">
      <c r="A485" s="373"/>
      <c r="B485" s="373"/>
      <c r="C485" s="373"/>
      <c r="D485" s="373"/>
      <c r="E485" s="373"/>
      <c r="F485" s="373"/>
      <c r="G485" s="373"/>
      <c r="H485" s="373"/>
      <c r="I485" s="373"/>
      <c r="J485" s="373"/>
      <c r="K485" s="373"/>
      <c r="L485" s="373"/>
      <c r="M485" s="373"/>
      <c r="N485" s="373"/>
      <c r="O485" s="373"/>
      <c r="P485" s="373"/>
      <c r="Q485" s="373"/>
      <c r="R485" s="373"/>
      <c r="S485" s="373"/>
      <c r="T485" s="373"/>
      <c r="U485" s="373"/>
      <c r="V485" s="373"/>
    </row>
    <row r="486" spans="1:22" ht="18" x14ac:dyDescent="0.55000000000000004">
      <c r="A486" s="373"/>
      <c r="B486" s="373"/>
      <c r="C486" s="373"/>
      <c r="D486" s="373"/>
      <c r="E486" s="373"/>
      <c r="F486" s="373"/>
      <c r="G486" s="373"/>
      <c r="H486" s="373"/>
      <c r="I486" s="373"/>
      <c r="J486" s="373"/>
      <c r="K486" s="373"/>
      <c r="L486" s="373"/>
      <c r="M486" s="373"/>
      <c r="N486" s="373"/>
      <c r="O486" s="373"/>
      <c r="P486" s="373"/>
      <c r="Q486" s="373"/>
      <c r="R486" s="373"/>
      <c r="S486" s="373"/>
      <c r="T486" s="373"/>
      <c r="U486" s="373"/>
      <c r="V486" s="373"/>
    </row>
    <row r="487" spans="1:22" ht="18" x14ac:dyDescent="0.55000000000000004">
      <c r="A487" s="373"/>
      <c r="B487" s="373"/>
      <c r="C487" s="373"/>
      <c r="D487" s="373"/>
      <c r="E487" s="373"/>
      <c r="F487" s="373"/>
      <c r="G487" s="373"/>
      <c r="H487" s="373"/>
      <c r="I487" s="373"/>
      <c r="J487" s="373"/>
      <c r="K487" s="373"/>
      <c r="L487" s="373"/>
      <c r="M487" s="373"/>
      <c r="N487" s="373"/>
      <c r="O487" s="373"/>
      <c r="P487" s="373"/>
      <c r="Q487" s="373"/>
      <c r="R487" s="373"/>
      <c r="S487" s="373"/>
      <c r="T487" s="373"/>
      <c r="U487" s="373"/>
      <c r="V487" s="373"/>
    </row>
    <row r="488" spans="1:22" ht="18" x14ac:dyDescent="0.55000000000000004">
      <c r="A488" s="373"/>
      <c r="B488" s="373"/>
      <c r="C488" s="373"/>
      <c r="D488" s="373"/>
      <c r="E488" s="373"/>
      <c r="F488" s="373"/>
      <c r="G488" s="373"/>
      <c r="H488" s="373"/>
      <c r="I488" s="373"/>
      <c r="J488" s="373"/>
      <c r="K488" s="373"/>
      <c r="L488" s="373"/>
      <c r="M488" s="373"/>
      <c r="N488" s="373"/>
      <c r="O488" s="373"/>
      <c r="P488" s="373"/>
      <c r="Q488" s="373"/>
      <c r="R488" s="373"/>
      <c r="S488" s="373"/>
      <c r="T488" s="373"/>
      <c r="U488" s="373"/>
      <c r="V488" s="373"/>
    </row>
    <row r="489" spans="1:22" ht="18" x14ac:dyDescent="0.55000000000000004">
      <c r="A489" s="373"/>
      <c r="B489" s="373"/>
      <c r="C489" s="373"/>
      <c r="D489" s="373"/>
      <c r="E489" s="373"/>
      <c r="F489" s="373"/>
      <c r="G489" s="373"/>
      <c r="H489" s="373"/>
      <c r="I489" s="373"/>
      <c r="J489" s="373"/>
      <c r="K489" s="373"/>
      <c r="L489" s="373"/>
      <c r="M489" s="373"/>
      <c r="N489" s="373"/>
      <c r="O489" s="373"/>
      <c r="P489" s="373"/>
      <c r="Q489" s="373"/>
      <c r="R489" s="373"/>
      <c r="S489" s="373"/>
      <c r="T489" s="373"/>
      <c r="U489" s="373"/>
      <c r="V489" s="373"/>
    </row>
    <row r="490" spans="1:22" ht="18" x14ac:dyDescent="0.55000000000000004">
      <c r="A490" s="373"/>
      <c r="B490" s="373"/>
      <c r="C490" s="373"/>
      <c r="D490" s="373"/>
      <c r="E490" s="373"/>
      <c r="F490" s="373"/>
      <c r="G490" s="373"/>
      <c r="H490" s="373"/>
      <c r="I490" s="373"/>
      <c r="J490" s="373"/>
      <c r="K490" s="373"/>
      <c r="L490" s="373"/>
      <c r="M490" s="373"/>
      <c r="N490" s="373"/>
      <c r="O490" s="373"/>
      <c r="P490" s="373"/>
      <c r="Q490" s="373"/>
      <c r="R490" s="373"/>
      <c r="S490" s="373"/>
      <c r="T490" s="373"/>
      <c r="U490" s="373"/>
      <c r="V490" s="373"/>
    </row>
    <row r="491" spans="1:22" ht="18" x14ac:dyDescent="0.55000000000000004">
      <c r="A491" s="373"/>
      <c r="B491" s="373"/>
      <c r="C491" s="373"/>
      <c r="D491" s="373"/>
      <c r="E491" s="373"/>
      <c r="F491" s="373"/>
      <c r="G491" s="373"/>
      <c r="H491" s="373"/>
      <c r="I491" s="373"/>
      <c r="J491" s="373"/>
      <c r="K491" s="373"/>
      <c r="L491" s="373"/>
      <c r="M491" s="373"/>
      <c r="N491" s="373"/>
      <c r="O491" s="373"/>
      <c r="P491" s="373"/>
      <c r="Q491" s="373"/>
      <c r="R491" s="373"/>
      <c r="S491" s="373"/>
      <c r="T491" s="373"/>
      <c r="U491" s="373"/>
      <c r="V491" s="373"/>
    </row>
    <row r="492" spans="1:22" ht="18" x14ac:dyDescent="0.55000000000000004">
      <c r="A492" s="373"/>
      <c r="B492" s="373"/>
      <c r="C492" s="373"/>
      <c r="D492" s="373"/>
      <c r="E492" s="373"/>
      <c r="F492" s="373"/>
      <c r="G492" s="373"/>
      <c r="H492" s="373"/>
      <c r="I492" s="373"/>
      <c r="J492" s="373"/>
      <c r="K492" s="373"/>
      <c r="L492" s="373"/>
      <c r="M492" s="373"/>
      <c r="N492" s="373"/>
      <c r="O492" s="373"/>
      <c r="P492" s="373"/>
      <c r="Q492" s="373"/>
      <c r="R492" s="373"/>
      <c r="S492" s="373"/>
      <c r="T492" s="373"/>
      <c r="U492" s="373"/>
      <c r="V492" s="373"/>
    </row>
    <row r="493" spans="1:22" ht="18" x14ac:dyDescent="0.55000000000000004">
      <c r="A493" s="373"/>
      <c r="B493" s="373"/>
      <c r="C493" s="373"/>
      <c r="D493" s="373"/>
      <c r="E493" s="373"/>
      <c r="F493" s="373"/>
      <c r="G493" s="373"/>
      <c r="H493" s="373"/>
      <c r="I493" s="373"/>
      <c r="J493" s="373"/>
      <c r="K493" s="373"/>
      <c r="L493" s="373"/>
      <c r="M493" s="373"/>
      <c r="N493" s="373"/>
      <c r="O493" s="373"/>
      <c r="P493" s="373"/>
      <c r="Q493" s="373"/>
      <c r="R493" s="373"/>
      <c r="S493" s="373"/>
      <c r="T493" s="373"/>
      <c r="U493" s="373"/>
      <c r="V493" s="373"/>
    </row>
    <row r="494" spans="1:22" ht="18" x14ac:dyDescent="0.55000000000000004">
      <c r="A494" s="373"/>
      <c r="B494" s="373"/>
      <c r="C494" s="373"/>
      <c r="D494" s="373"/>
      <c r="E494" s="373"/>
      <c r="F494" s="373"/>
      <c r="G494" s="373"/>
      <c r="H494" s="373"/>
      <c r="I494" s="373"/>
      <c r="J494" s="373"/>
      <c r="K494" s="373"/>
      <c r="L494" s="373"/>
      <c r="M494" s="373"/>
      <c r="N494" s="373"/>
      <c r="O494" s="373"/>
      <c r="P494" s="373"/>
      <c r="Q494" s="373"/>
      <c r="R494" s="373"/>
      <c r="S494" s="373"/>
      <c r="T494" s="373"/>
      <c r="U494" s="373"/>
      <c r="V494" s="373"/>
    </row>
    <row r="495" spans="1:22" ht="18" x14ac:dyDescent="0.55000000000000004">
      <c r="A495" s="373"/>
      <c r="B495" s="373"/>
      <c r="C495" s="373"/>
      <c r="D495" s="373"/>
      <c r="E495" s="373"/>
      <c r="F495" s="373"/>
      <c r="G495" s="373"/>
      <c r="H495" s="373"/>
      <c r="I495" s="373"/>
      <c r="J495" s="373"/>
      <c r="K495" s="373"/>
      <c r="L495" s="373"/>
      <c r="M495" s="373"/>
      <c r="N495" s="373"/>
      <c r="O495" s="373"/>
      <c r="P495" s="373"/>
      <c r="Q495" s="373"/>
      <c r="R495" s="373"/>
      <c r="S495" s="373"/>
      <c r="T495" s="373"/>
      <c r="U495" s="373"/>
      <c r="V495" s="373"/>
    </row>
    <row r="496" spans="1:22" ht="18" x14ac:dyDescent="0.55000000000000004">
      <c r="A496" s="373"/>
      <c r="B496" s="373"/>
      <c r="C496" s="373"/>
      <c r="D496" s="373"/>
      <c r="E496" s="373"/>
      <c r="F496" s="373"/>
      <c r="G496" s="373"/>
      <c r="H496" s="373"/>
      <c r="I496" s="373"/>
      <c r="J496" s="373"/>
      <c r="K496" s="373"/>
      <c r="L496" s="373"/>
      <c r="M496" s="373"/>
      <c r="N496" s="373"/>
      <c r="O496" s="373"/>
      <c r="P496" s="373"/>
      <c r="Q496" s="373"/>
      <c r="R496" s="373"/>
      <c r="S496" s="373"/>
      <c r="T496" s="373"/>
      <c r="U496" s="373"/>
      <c r="V496" s="373"/>
    </row>
    <row r="497" spans="1:22" ht="18" x14ac:dyDescent="0.55000000000000004">
      <c r="A497" s="373"/>
      <c r="B497" s="373"/>
      <c r="C497" s="373"/>
      <c r="D497" s="373"/>
      <c r="E497" s="373"/>
      <c r="F497" s="373"/>
      <c r="G497" s="373"/>
      <c r="H497" s="373"/>
      <c r="I497" s="373"/>
      <c r="J497" s="373"/>
      <c r="K497" s="373"/>
      <c r="L497" s="373"/>
      <c r="M497" s="373"/>
      <c r="N497" s="373"/>
      <c r="O497" s="373"/>
      <c r="P497" s="373"/>
      <c r="Q497" s="373"/>
      <c r="R497" s="373"/>
      <c r="S497" s="373"/>
      <c r="T497" s="373"/>
      <c r="U497" s="373"/>
      <c r="V497" s="373"/>
    </row>
    <row r="498" spans="1:22" ht="18" x14ac:dyDescent="0.55000000000000004">
      <c r="A498" s="373"/>
      <c r="B498" s="373"/>
      <c r="C498" s="373"/>
      <c r="D498" s="373"/>
      <c r="E498" s="373"/>
      <c r="F498" s="373"/>
      <c r="G498" s="373"/>
      <c r="H498" s="373"/>
      <c r="I498" s="373"/>
      <c r="J498" s="373"/>
      <c r="K498" s="373"/>
      <c r="L498" s="373"/>
      <c r="M498" s="373"/>
      <c r="N498" s="373"/>
      <c r="O498" s="373"/>
      <c r="P498" s="373"/>
      <c r="Q498" s="373"/>
      <c r="R498" s="373"/>
      <c r="S498" s="373"/>
      <c r="T498" s="373"/>
      <c r="U498" s="373"/>
      <c r="V498" s="373"/>
    </row>
    <row r="499" spans="1:22" ht="18" x14ac:dyDescent="0.55000000000000004">
      <c r="A499" s="373"/>
      <c r="B499" s="373"/>
      <c r="C499" s="373"/>
      <c r="D499" s="373"/>
      <c r="E499" s="373"/>
      <c r="F499" s="373"/>
      <c r="G499" s="373"/>
      <c r="H499" s="373"/>
      <c r="I499" s="373"/>
      <c r="J499" s="373"/>
      <c r="K499" s="373"/>
      <c r="L499" s="373"/>
      <c r="M499" s="373"/>
      <c r="N499" s="373"/>
      <c r="O499" s="373"/>
      <c r="P499" s="373"/>
      <c r="Q499" s="373"/>
      <c r="R499" s="373"/>
      <c r="S499" s="373"/>
      <c r="T499" s="373"/>
      <c r="U499" s="373"/>
      <c r="V499" s="373"/>
    </row>
    <row r="500" spans="1:22" ht="18" x14ac:dyDescent="0.55000000000000004">
      <c r="A500" s="373"/>
      <c r="B500" s="373"/>
      <c r="C500" s="373"/>
      <c r="D500" s="373"/>
      <c r="E500" s="373"/>
      <c r="F500" s="373"/>
      <c r="G500" s="373"/>
      <c r="H500" s="373"/>
      <c r="I500" s="373"/>
      <c r="J500" s="373"/>
      <c r="K500" s="373"/>
      <c r="L500" s="373"/>
      <c r="M500" s="373"/>
      <c r="N500" s="373"/>
      <c r="O500" s="373"/>
      <c r="P500" s="373"/>
      <c r="Q500" s="373"/>
      <c r="R500" s="373"/>
      <c r="S500" s="373"/>
      <c r="T500" s="373"/>
      <c r="U500" s="373"/>
      <c r="V500" s="373"/>
    </row>
    <row r="501" spans="1:22" ht="18" x14ac:dyDescent="0.55000000000000004">
      <c r="A501" s="373"/>
      <c r="B501" s="373"/>
      <c r="C501" s="373"/>
      <c r="D501" s="373"/>
      <c r="E501" s="373"/>
      <c r="F501" s="373"/>
      <c r="G501" s="373"/>
      <c r="H501" s="373"/>
      <c r="I501" s="373"/>
      <c r="J501" s="373"/>
      <c r="K501" s="373"/>
      <c r="L501" s="373"/>
      <c r="M501" s="373"/>
      <c r="N501" s="373"/>
      <c r="O501" s="373"/>
      <c r="P501" s="373"/>
      <c r="Q501" s="373"/>
      <c r="R501" s="373"/>
      <c r="S501" s="373"/>
      <c r="T501" s="373"/>
      <c r="U501" s="373"/>
      <c r="V501" s="373"/>
    </row>
    <row r="502" spans="1:22" ht="18" x14ac:dyDescent="0.55000000000000004">
      <c r="A502" s="373"/>
      <c r="B502" s="373"/>
      <c r="C502" s="373"/>
      <c r="D502" s="373"/>
      <c r="E502" s="373"/>
      <c r="F502" s="373"/>
      <c r="G502" s="373"/>
      <c r="H502" s="373"/>
      <c r="I502" s="373"/>
      <c r="J502" s="373"/>
      <c r="K502" s="373"/>
      <c r="L502" s="373"/>
      <c r="M502" s="373"/>
      <c r="N502" s="373"/>
      <c r="O502" s="373"/>
      <c r="P502" s="373"/>
      <c r="Q502" s="373"/>
      <c r="R502" s="373"/>
      <c r="S502" s="373"/>
      <c r="T502" s="373"/>
      <c r="U502" s="373"/>
      <c r="V502" s="373"/>
    </row>
    <row r="503" spans="1:22" ht="18" x14ac:dyDescent="0.55000000000000004">
      <c r="A503" s="373"/>
      <c r="B503" s="373"/>
      <c r="C503" s="373"/>
      <c r="D503" s="373"/>
      <c r="E503" s="373"/>
      <c r="F503" s="373"/>
      <c r="G503" s="373"/>
      <c r="H503" s="373"/>
      <c r="I503" s="373"/>
      <c r="J503" s="373"/>
      <c r="K503" s="373"/>
      <c r="L503" s="373"/>
      <c r="M503" s="373"/>
      <c r="N503" s="373"/>
      <c r="O503" s="373"/>
      <c r="P503" s="373"/>
      <c r="Q503" s="373"/>
      <c r="R503" s="373"/>
      <c r="S503" s="373"/>
      <c r="T503" s="373"/>
      <c r="U503" s="373"/>
      <c r="V503" s="373"/>
    </row>
    <row r="504" spans="1:22" ht="18" x14ac:dyDescent="0.55000000000000004">
      <c r="A504" s="373"/>
      <c r="B504" s="373"/>
      <c r="C504" s="373"/>
      <c r="D504" s="373"/>
      <c r="E504" s="373"/>
      <c r="F504" s="373"/>
      <c r="G504" s="373"/>
      <c r="H504" s="373"/>
      <c r="I504" s="373"/>
      <c r="J504" s="373"/>
      <c r="K504" s="373"/>
      <c r="L504" s="373"/>
      <c r="M504" s="373"/>
      <c r="N504" s="373"/>
      <c r="O504" s="373"/>
      <c r="P504" s="373"/>
      <c r="Q504" s="373"/>
      <c r="R504" s="373"/>
      <c r="S504" s="373"/>
      <c r="T504" s="373"/>
      <c r="U504" s="373"/>
      <c r="V504" s="373"/>
    </row>
    <row r="505" spans="1:22" ht="18" x14ac:dyDescent="0.55000000000000004">
      <c r="A505" s="373"/>
      <c r="B505" s="373"/>
      <c r="C505" s="373"/>
      <c r="D505" s="373"/>
      <c r="E505" s="373"/>
      <c r="F505" s="373"/>
      <c r="G505" s="373"/>
      <c r="H505" s="373"/>
      <c r="I505" s="373"/>
      <c r="J505" s="373"/>
      <c r="K505" s="373"/>
      <c r="L505" s="373"/>
      <c r="M505" s="373"/>
      <c r="N505" s="373"/>
      <c r="O505" s="373"/>
      <c r="P505" s="373"/>
      <c r="Q505" s="373"/>
      <c r="R505" s="373"/>
      <c r="S505" s="373"/>
      <c r="T505" s="373"/>
      <c r="U505" s="373"/>
      <c r="V505" s="373"/>
    </row>
    <row r="506" spans="1:22" ht="18" x14ac:dyDescent="0.55000000000000004">
      <c r="A506" s="373"/>
      <c r="B506" s="373"/>
      <c r="C506" s="373"/>
      <c r="D506" s="373"/>
      <c r="E506" s="373"/>
      <c r="F506" s="373"/>
      <c r="G506" s="373"/>
      <c r="H506" s="373"/>
      <c r="I506" s="373"/>
      <c r="J506" s="373"/>
      <c r="K506" s="373"/>
      <c r="L506" s="373"/>
      <c r="M506" s="373"/>
      <c r="N506" s="373"/>
      <c r="O506" s="373"/>
      <c r="P506" s="373"/>
      <c r="Q506" s="373"/>
      <c r="R506" s="373"/>
      <c r="S506" s="373"/>
      <c r="T506" s="373"/>
      <c r="U506" s="373"/>
      <c r="V506" s="373"/>
    </row>
    <row r="507" spans="1:22" ht="18" x14ac:dyDescent="0.55000000000000004">
      <c r="A507" s="373"/>
      <c r="B507" s="373"/>
      <c r="C507" s="373"/>
      <c r="D507" s="373"/>
      <c r="E507" s="373"/>
      <c r="F507" s="373"/>
      <c r="G507" s="373"/>
      <c r="H507" s="373"/>
      <c r="I507" s="373"/>
      <c r="J507" s="373"/>
      <c r="K507" s="373"/>
      <c r="L507" s="373"/>
      <c r="M507" s="373"/>
      <c r="N507" s="373"/>
      <c r="O507" s="373"/>
      <c r="P507" s="373"/>
      <c r="Q507" s="373"/>
      <c r="R507" s="373"/>
      <c r="S507" s="373"/>
      <c r="T507" s="373"/>
      <c r="U507" s="373"/>
      <c r="V507" s="373"/>
    </row>
    <row r="508" spans="1:22" ht="18" x14ac:dyDescent="0.55000000000000004">
      <c r="A508" s="373"/>
      <c r="B508" s="373"/>
      <c r="C508" s="373"/>
      <c r="D508" s="373"/>
      <c r="E508" s="373"/>
      <c r="F508" s="373"/>
      <c r="G508" s="373"/>
      <c r="H508" s="373"/>
      <c r="I508" s="373"/>
      <c r="J508" s="373"/>
      <c r="K508" s="373"/>
      <c r="L508" s="373"/>
      <c r="M508" s="373"/>
      <c r="N508" s="373"/>
      <c r="O508" s="373"/>
      <c r="P508" s="373"/>
      <c r="Q508" s="373"/>
      <c r="R508" s="373"/>
      <c r="S508" s="373"/>
      <c r="T508" s="373"/>
      <c r="U508" s="373"/>
      <c r="V508" s="373"/>
    </row>
    <row r="509" spans="1:22" ht="18" x14ac:dyDescent="0.55000000000000004">
      <c r="A509" s="373"/>
      <c r="B509" s="373"/>
      <c r="C509" s="373"/>
      <c r="D509" s="373"/>
      <c r="E509" s="373"/>
      <c r="F509" s="373"/>
      <c r="G509" s="373"/>
      <c r="H509" s="373"/>
      <c r="I509" s="373"/>
      <c r="J509" s="373"/>
      <c r="K509" s="373"/>
      <c r="L509" s="373"/>
      <c r="M509" s="373"/>
      <c r="N509" s="373"/>
      <c r="O509" s="373"/>
      <c r="P509" s="373"/>
      <c r="Q509" s="373"/>
      <c r="R509" s="373"/>
      <c r="S509" s="373"/>
      <c r="T509" s="373"/>
      <c r="U509" s="373"/>
      <c r="V509" s="373"/>
    </row>
    <row r="510" spans="1:22" ht="18" x14ac:dyDescent="0.55000000000000004">
      <c r="A510" s="373"/>
      <c r="B510" s="373"/>
      <c r="C510" s="373"/>
      <c r="D510" s="373"/>
      <c r="E510" s="373"/>
      <c r="F510" s="373"/>
      <c r="G510" s="373"/>
      <c r="H510" s="373"/>
      <c r="I510" s="373"/>
      <c r="J510" s="373"/>
      <c r="K510" s="373"/>
      <c r="L510" s="373"/>
      <c r="M510" s="373"/>
      <c r="N510" s="373"/>
      <c r="O510" s="373"/>
      <c r="P510" s="373"/>
      <c r="Q510" s="373"/>
      <c r="R510" s="373"/>
      <c r="S510" s="373"/>
      <c r="T510" s="373"/>
      <c r="U510" s="373"/>
      <c r="V510" s="373"/>
    </row>
    <row r="511" spans="1:22" ht="18" x14ac:dyDescent="0.55000000000000004">
      <c r="A511" s="373"/>
      <c r="B511" s="373"/>
      <c r="C511" s="373"/>
      <c r="D511" s="373"/>
      <c r="E511" s="373"/>
      <c r="F511" s="373"/>
      <c r="G511" s="373"/>
      <c r="H511" s="373"/>
      <c r="I511" s="373"/>
      <c r="J511" s="373"/>
      <c r="K511" s="373"/>
      <c r="L511" s="373"/>
      <c r="M511" s="373"/>
      <c r="N511" s="373"/>
      <c r="O511" s="373"/>
      <c r="P511" s="373"/>
      <c r="Q511" s="373"/>
      <c r="R511" s="373"/>
      <c r="S511" s="373"/>
      <c r="T511" s="373"/>
      <c r="U511" s="373"/>
      <c r="V511" s="373"/>
    </row>
    <row r="512" spans="1:22" ht="18" x14ac:dyDescent="0.55000000000000004">
      <c r="A512" s="373"/>
      <c r="B512" s="373"/>
      <c r="C512" s="373"/>
      <c r="D512" s="373"/>
      <c r="E512" s="373"/>
      <c r="F512" s="373"/>
      <c r="G512" s="373"/>
      <c r="H512" s="373"/>
      <c r="I512" s="373"/>
      <c r="J512" s="373"/>
      <c r="K512" s="373"/>
      <c r="L512" s="373"/>
      <c r="M512" s="373"/>
      <c r="N512" s="373"/>
      <c r="O512" s="373"/>
      <c r="P512" s="373"/>
      <c r="Q512" s="373"/>
      <c r="R512" s="373"/>
      <c r="S512" s="373"/>
      <c r="T512" s="373"/>
      <c r="U512" s="373"/>
      <c r="V512" s="373"/>
    </row>
    <row r="513" spans="1:22" ht="18" x14ac:dyDescent="0.55000000000000004">
      <c r="A513" s="373"/>
      <c r="B513" s="373"/>
      <c r="C513" s="373"/>
      <c r="D513" s="373"/>
      <c r="E513" s="373"/>
      <c r="F513" s="373"/>
      <c r="G513" s="373"/>
      <c r="H513" s="373"/>
      <c r="I513" s="373"/>
      <c r="J513" s="373"/>
      <c r="K513" s="373"/>
      <c r="L513" s="373"/>
      <c r="M513" s="373"/>
      <c r="N513" s="373"/>
      <c r="O513" s="373"/>
      <c r="P513" s="373"/>
      <c r="Q513" s="373"/>
      <c r="R513" s="373"/>
      <c r="S513" s="373"/>
      <c r="T513" s="373"/>
      <c r="U513" s="373"/>
      <c r="V513" s="373"/>
    </row>
    <row r="514" spans="1:22" ht="18" x14ac:dyDescent="0.55000000000000004">
      <c r="A514" s="373"/>
      <c r="B514" s="373"/>
      <c r="C514" s="373"/>
      <c r="D514" s="373"/>
      <c r="E514" s="373"/>
      <c r="F514" s="373"/>
      <c r="G514" s="373"/>
      <c r="H514" s="373"/>
      <c r="I514" s="373"/>
      <c r="J514" s="373"/>
      <c r="K514" s="373"/>
      <c r="L514" s="373"/>
      <c r="M514" s="373"/>
      <c r="N514" s="373"/>
      <c r="O514" s="373"/>
      <c r="P514" s="373"/>
      <c r="Q514" s="373"/>
      <c r="R514" s="373"/>
      <c r="S514" s="373"/>
      <c r="T514" s="373"/>
      <c r="U514" s="373"/>
      <c r="V514" s="373"/>
    </row>
    <row r="515" spans="1:22" ht="18" x14ac:dyDescent="0.55000000000000004">
      <c r="A515" s="373"/>
      <c r="B515" s="373"/>
      <c r="C515" s="373"/>
      <c r="D515" s="373"/>
      <c r="E515" s="373"/>
      <c r="F515" s="373"/>
      <c r="G515" s="373"/>
      <c r="H515" s="373"/>
      <c r="I515" s="373"/>
      <c r="J515" s="373"/>
      <c r="K515" s="373"/>
      <c r="L515" s="373"/>
      <c r="M515" s="373"/>
      <c r="N515" s="373"/>
      <c r="O515" s="373"/>
      <c r="P515" s="373"/>
      <c r="Q515" s="373"/>
      <c r="R515" s="373"/>
      <c r="S515" s="373"/>
      <c r="T515" s="373"/>
      <c r="U515" s="373"/>
      <c r="V515" s="373"/>
    </row>
    <row r="516" spans="1:22" ht="18" x14ac:dyDescent="0.55000000000000004">
      <c r="A516" s="373"/>
      <c r="B516" s="373"/>
      <c r="C516" s="373"/>
      <c r="D516" s="373"/>
      <c r="E516" s="373"/>
      <c r="F516" s="373"/>
      <c r="G516" s="373"/>
      <c r="H516" s="373"/>
      <c r="I516" s="373"/>
      <c r="J516" s="373"/>
      <c r="K516" s="373"/>
      <c r="L516" s="373"/>
      <c r="M516" s="373"/>
      <c r="N516" s="373"/>
      <c r="O516" s="373"/>
      <c r="P516" s="373"/>
      <c r="Q516" s="373"/>
      <c r="R516" s="373"/>
      <c r="S516" s="373"/>
      <c r="T516" s="373"/>
      <c r="U516" s="373"/>
      <c r="V516" s="373"/>
    </row>
    <row r="517" spans="1:22" ht="18" x14ac:dyDescent="0.55000000000000004">
      <c r="A517" s="373"/>
      <c r="B517" s="373"/>
      <c r="C517" s="373"/>
      <c r="D517" s="373"/>
      <c r="E517" s="373"/>
      <c r="F517" s="373"/>
      <c r="G517" s="373"/>
      <c r="H517" s="373"/>
      <c r="I517" s="373"/>
      <c r="J517" s="373"/>
      <c r="K517" s="373"/>
      <c r="L517" s="373"/>
      <c r="M517" s="373"/>
      <c r="N517" s="373"/>
      <c r="O517" s="373"/>
      <c r="P517" s="373"/>
      <c r="Q517" s="373"/>
      <c r="R517" s="373"/>
      <c r="S517" s="373"/>
      <c r="T517" s="373"/>
      <c r="U517" s="373"/>
      <c r="V517" s="373"/>
    </row>
    <row r="518" spans="1:22" ht="18" x14ac:dyDescent="0.55000000000000004">
      <c r="A518" s="373"/>
      <c r="B518" s="373"/>
      <c r="C518" s="373"/>
      <c r="D518" s="373"/>
      <c r="E518" s="373"/>
      <c r="F518" s="373"/>
      <c r="G518" s="373"/>
      <c r="H518" s="373"/>
      <c r="I518" s="373"/>
      <c r="J518" s="373"/>
      <c r="K518" s="373"/>
      <c r="L518" s="373"/>
      <c r="M518" s="373"/>
      <c r="N518" s="373"/>
      <c r="O518" s="373"/>
      <c r="P518" s="373"/>
      <c r="Q518" s="373"/>
      <c r="R518" s="373"/>
      <c r="S518" s="373"/>
      <c r="T518" s="373"/>
      <c r="U518" s="373"/>
      <c r="V518" s="373"/>
    </row>
    <row r="519" spans="1:22" ht="18" x14ac:dyDescent="0.55000000000000004">
      <c r="A519" s="373"/>
      <c r="B519" s="373"/>
      <c r="C519" s="373"/>
      <c r="D519" s="373"/>
      <c r="E519" s="373"/>
      <c r="F519" s="373"/>
      <c r="G519" s="373"/>
      <c r="H519" s="373"/>
      <c r="I519" s="373"/>
      <c r="J519" s="373"/>
      <c r="K519" s="373"/>
      <c r="L519" s="373"/>
      <c r="M519" s="373"/>
      <c r="N519" s="373"/>
      <c r="O519" s="373"/>
      <c r="P519" s="373"/>
      <c r="Q519" s="373"/>
      <c r="R519" s="373"/>
      <c r="S519" s="373"/>
      <c r="T519" s="373"/>
      <c r="U519" s="373"/>
      <c r="V519" s="373"/>
    </row>
    <row r="520" spans="1:22" ht="18" x14ac:dyDescent="0.55000000000000004">
      <c r="A520" s="373"/>
      <c r="B520" s="373"/>
      <c r="C520" s="373"/>
      <c r="D520" s="373"/>
      <c r="E520" s="373"/>
      <c r="F520" s="373"/>
      <c r="G520" s="373"/>
      <c r="H520" s="373"/>
      <c r="I520" s="373"/>
      <c r="J520" s="373"/>
      <c r="K520" s="373"/>
      <c r="L520" s="373"/>
      <c r="M520" s="373"/>
      <c r="N520" s="373"/>
      <c r="O520" s="373"/>
      <c r="P520" s="373"/>
      <c r="Q520" s="373"/>
      <c r="R520" s="373"/>
      <c r="S520" s="373"/>
      <c r="T520" s="373"/>
      <c r="U520" s="373"/>
      <c r="V520" s="373"/>
    </row>
    <row r="521" spans="1:22" ht="18" x14ac:dyDescent="0.55000000000000004">
      <c r="A521" s="373"/>
      <c r="B521" s="373"/>
      <c r="C521" s="373"/>
      <c r="D521" s="373"/>
      <c r="E521" s="373"/>
      <c r="F521" s="373"/>
      <c r="G521" s="373"/>
      <c r="H521" s="373"/>
      <c r="I521" s="373"/>
      <c r="J521" s="373"/>
      <c r="K521" s="373"/>
      <c r="L521" s="373"/>
      <c r="M521" s="373"/>
      <c r="N521" s="373"/>
      <c r="O521" s="373"/>
      <c r="P521" s="373"/>
      <c r="Q521" s="373"/>
      <c r="R521" s="373"/>
      <c r="S521" s="373"/>
      <c r="T521" s="373"/>
      <c r="U521" s="373"/>
      <c r="V521" s="373"/>
    </row>
    <row r="522" spans="1:22" ht="18" x14ac:dyDescent="0.55000000000000004">
      <c r="A522" s="373"/>
      <c r="B522" s="373"/>
      <c r="C522" s="373"/>
      <c r="D522" s="373"/>
      <c r="E522" s="373"/>
      <c r="F522" s="373"/>
      <c r="G522" s="373"/>
      <c r="H522" s="373"/>
      <c r="I522" s="373"/>
      <c r="J522" s="373"/>
      <c r="K522" s="373"/>
      <c r="L522" s="373"/>
      <c r="M522" s="373"/>
      <c r="N522" s="373"/>
      <c r="O522" s="373"/>
      <c r="P522" s="373"/>
      <c r="Q522" s="373"/>
      <c r="R522" s="373"/>
      <c r="S522" s="373"/>
      <c r="T522" s="373"/>
      <c r="U522" s="373"/>
      <c r="V522" s="373"/>
    </row>
    <row r="523" spans="1:22" ht="18" x14ac:dyDescent="0.55000000000000004">
      <c r="A523" s="373"/>
      <c r="B523" s="373"/>
      <c r="C523" s="373"/>
      <c r="D523" s="373"/>
      <c r="E523" s="373"/>
      <c r="F523" s="373"/>
      <c r="G523" s="373"/>
      <c r="H523" s="373"/>
      <c r="I523" s="373"/>
      <c r="J523" s="373"/>
      <c r="K523" s="373"/>
      <c r="L523" s="373"/>
      <c r="M523" s="373"/>
      <c r="N523" s="373"/>
      <c r="O523" s="373"/>
      <c r="P523" s="373"/>
      <c r="Q523" s="373"/>
      <c r="R523" s="373"/>
      <c r="S523" s="373"/>
      <c r="T523" s="373"/>
      <c r="U523" s="373"/>
      <c r="V523" s="373"/>
    </row>
    <row r="524" spans="1:22" ht="18" x14ac:dyDescent="0.55000000000000004">
      <c r="A524" s="373"/>
      <c r="B524" s="373"/>
      <c r="C524" s="373"/>
      <c r="D524" s="373"/>
      <c r="E524" s="373"/>
      <c r="F524" s="373"/>
      <c r="G524" s="373"/>
      <c r="H524" s="373"/>
      <c r="I524" s="373"/>
      <c r="J524" s="373"/>
      <c r="K524" s="373"/>
      <c r="L524" s="373"/>
      <c r="M524" s="373"/>
      <c r="N524" s="373"/>
      <c r="O524" s="373"/>
      <c r="P524" s="373"/>
      <c r="Q524" s="373"/>
      <c r="R524" s="373"/>
      <c r="S524" s="373"/>
      <c r="T524" s="373"/>
      <c r="U524" s="373"/>
      <c r="V524" s="373"/>
    </row>
    <row r="525" spans="1:22" ht="18" x14ac:dyDescent="0.55000000000000004">
      <c r="A525" s="373"/>
      <c r="B525" s="373"/>
      <c r="C525" s="373"/>
      <c r="D525" s="373"/>
      <c r="E525" s="373"/>
      <c r="F525" s="373"/>
      <c r="G525" s="373"/>
      <c r="H525" s="373"/>
      <c r="I525" s="373"/>
      <c r="J525" s="373"/>
      <c r="K525" s="373"/>
      <c r="L525" s="373"/>
      <c r="M525" s="373"/>
      <c r="N525" s="373"/>
      <c r="O525" s="373"/>
      <c r="P525" s="373"/>
      <c r="Q525" s="373"/>
      <c r="R525" s="373"/>
      <c r="S525" s="373"/>
      <c r="T525" s="373"/>
      <c r="U525" s="373"/>
      <c r="V525" s="373"/>
    </row>
    <row r="526" spans="1:22" ht="18" x14ac:dyDescent="0.55000000000000004">
      <c r="A526" s="373"/>
      <c r="B526" s="373"/>
      <c r="C526" s="373"/>
      <c r="D526" s="373"/>
      <c r="E526" s="373"/>
      <c r="F526" s="373"/>
      <c r="G526" s="373"/>
      <c r="H526" s="373"/>
      <c r="I526" s="373"/>
      <c r="J526" s="373"/>
      <c r="K526" s="373"/>
      <c r="L526" s="373"/>
      <c r="M526" s="373"/>
      <c r="N526" s="373"/>
      <c r="O526" s="373"/>
      <c r="P526" s="373"/>
      <c r="Q526" s="373"/>
      <c r="R526" s="373"/>
      <c r="S526" s="373"/>
      <c r="T526" s="373"/>
      <c r="U526" s="373"/>
      <c r="V526" s="373"/>
    </row>
    <row r="527" spans="1:22" ht="18" x14ac:dyDescent="0.55000000000000004">
      <c r="A527" s="373"/>
      <c r="B527" s="373"/>
      <c r="C527" s="373"/>
      <c r="D527" s="373"/>
      <c r="E527" s="373"/>
      <c r="F527" s="373"/>
      <c r="G527" s="373"/>
      <c r="H527" s="373"/>
      <c r="I527" s="373"/>
      <c r="J527" s="373"/>
      <c r="K527" s="373"/>
      <c r="L527" s="373"/>
      <c r="M527" s="373"/>
      <c r="N527" s="373"/>
      <c r="O527" s="373"/>
      <c r="P527" s="373"/>
      <c r="Q527" s="373"/>
      <c r="R527" s="373"/>
      <c r="S527" s="373"/>
      <c r="T527" s="373"/>
      <c r="U527" s="373"/>
      <c r="V527" s="373"/>
    </row>
    <row r="528" spans="1:22" ht="18" x14ac:dyDescent="0.55000000000000004">
      <c r="A528" s="373"/>
      <c r="B528" s="373"/>
      <c r="C528" s="373"/>
      <c r="D528" s="373"/>
      <c r="E528" s="373"/>
      <c r="F528" s="373"/>
      <c r="G528" s="373"/>
      <c r="H528" s="373"/>
      <c r="I528" s="373"/>
      <c r="J528" s="373"/>
      <c r="K528" s="373"/>
      <c r="L528" s="373"/>
      <c r="M528" s="373"/>
      <c r="N528" s="373"/>
      <c r="O528" s="373"/>
      <c r="P528" s="373"/>
      <c r="Q528" s="373"/>
      <c r="R528" s="373"/>
      <c r="S528" s="373"/>
      <c r="T528" s="373"/>
      <c r="U528" s="373"/>
      <c r="V528" s="373"/>
    </row>
    <row r="529" spans="1:22" ht="18" x14ac:dyDescent="0.55000000000000004">
      <c r="A529" s="373"/>
      <c r="B529" s="373"/>
      <c r="C529" s="373"/>
      <c r="D529" s="373"/>
      <c r="E529" s="373"/>
      <c r="F529" s="373"/>
      <c r="G529" s="373"/>
      <c r="H529" s="373"/>
      <c r="I529" s="373"/>
      <c r="J529" s="373"/>
      <c r="K529" s="373"/>
      <c r="L529" s="373"/>
      <c r="M529" s="373"/>
      <c r="N529" s="373"/>
      <c r="O529" s="373"/>
      <c r="P529" s="373"/>
      <c r="Q529" s="373"/>
      <c r="R529" s="373"/>
      <c r="S529" s="373"/>
      <c r="T529" s="373"/>
      <c r="U529" s="373"/>
      <c r="V529" s="373"/>
    </row>
    <row r="530" spans="1:22" ht="18" x14ac:dyDescent="0.55000000000000004">
      <c r="A530" s="373"/>
      <c r="B530" s="373"/>
      <c r="C530" s="373"/>
      <c r="D530" s="373"/>
      <c r="E530" s="373"/>
      <c r="F530" s="373"/>
      <c r="G530" s="373"/>
      <c r="H530" s="373"/>
      <c r="I530" s="373"/>
      <c r="J530" s="373"/>
      <c r="K530" s="373"/>
      <c r="L530" s="373"/>
      <c r="M530" s="373"/>
      <c r="N530" s="373"/>
      <c r="O530" s="373"/>
      <c r="P530" s="373"/>
      <c r="Q530" s="373"/>
      <c r="R530" s="373"/>
      <c r="S530" s="373"/>
      <c r="T530" s="373"/>
      <c r="U530" s="373"/>
      <c r="V530" s="373"/>
    </row>
    <row r="531" spans="1:22" ht="18" x14ac:dyDescent="0.55000000000000004">
      <c r="A531" s="373"/>
      <c r="B531" s="373"/>
      <c r="C531" s="373"/>
      <c r="D531" s="373"/>
      <c r="E531" s="373"/>
      <c r="F531" s="373"/>
      <c r="G531" s="373"/>
      <c r="H531" s="373"/>
      <c r="I531" s="373"/>
      <c r="J531" s="373"/>
      <c r="K531" s="373"/>
      <c r="L531" s="373"/>
      <c r="M531" s="373"/>
      <c r="N531" s="373"/>
      <c r="O531" s="373"/>
      <c r="P531" s="373"/>
      <c r="Q531" s="373"/>
      <c r="R531" s="373"/>
      <c r="S531" s="373"/>
      <c r="T531" s="373"/>
      <c r="U531" s="373"/>
      <c r="V531" s="373"/>
    </row>
    <row r="532" spans="1:22" ht="18" x14ac:dyDescent="0.55000000000000004">
      <c r="A532" s="373"/>
      <c r="B532" s="373"/>
      <c r="C532" s="373"/>
      <c r="D532" s="373"/>
      <c r="E532" s="373"/>
      <c r="F532" s="373"/>
      <c r="G532" s="373"/>
      <c r="H532" s="373"/>
      <c r="I532" s="373"/>
      <c r="J532" s="373"/>
      <c r="K532" s="373"/>
      <c r="L532" s="373"/>
      <c r="M532" s="373"/>
      <c r="N532" s="373"/>
      <c r="O532" s="373"/>
      <c r="P532" s="373"/>
      <c r="Q532" s="373"/>
      <c r="R532" s="373"/>
      <c r="S532" s="373"/>
      <c r="T532" s="373"/>
      <c r="U532" s="373"/>
      <c r="V532" s="373"/>
    </row>
    <row r="533" spans="1:22" ht="18" x14ac:dyDescent="0.55000000000000004">
      <c r="A533" s="373"/>
      <c r="B533" s="373"/>
      <c r="C533" s="373"/>
      <c r="D533" s="373"/>
      <c r="E533" s="373"/>
      <c r="F533" s="373"/>
      <c r="G533" s="373"/>
      <c r="H533" s="373"/>
      <c r="I533" s="373"/>
      <c r="J533" s="373"/>
      <c r="K533" s="373"/>
      <c r="L533" s="373"/>
      <c r="M533" s="373"/>
      <c r="N533" s="373"/>
      <c r="O533" s="373"/>
      <c r="P533" s="373"/>
      <c r="Q533" s="373"/>
      <c r="R533" s="373"/>
      <c r="S533" s="373"/>
      <c r="T533" s="373"/>
      <c r="U533" s="373"/>
      <c r="V533" s="373"/>
    </row>
    <row r="534" spans="1:22" ht="18" x14ac:dyDescent="0.55000000000000004">
      <c r="A534" s="373"/>
      <c r="B534" s="373"/>
      <c r="C534" s="373"/>
      <c r="D534" s="373"/>
      <c r="E534" s="373"/>
      <c r="F534" s="373"/>
      <c r="G534" s="373"/>
      <c r="H534" s="373"/>
      <c r="I534" s="373"/>
      <c r="J534" s="373"/>
      <c r="K534" s="373"/>
      <c r="L534" s="373"/>
      <c r="M534" s="373"/>
      <c r="N534" s="373"/>
      <c r="O534" s="373"/>
      <c r="P534" s="373"/>
      <c r="Q534" s="373"/>
      <c r="R534" s="373"/>
      <c r="S534" s="373"/>
      <c r="T534" s="373"/>
      <c r="U534" s="373"/>
      <c r="V534" s="373"/>
    </row>
    <row r="535" spans="1:22" ht="18" x14ac:dyDescent="0.55000000000000004">
      <c r="A535" s="373"/>
      <c r="B535" s="373"/>
      <c r="C535" s="373"/>
      <c r="D535" s="373"/>
      <c r="E535" s="373"/>
      <c r="F535" s="373"/>
      <c r="G535" s="373"/>
      <c r="H535" s="373"/>
      <c r="I535" s="373"/>
      <c r="J535" s="373"/>
      <c r="K535" s="373"/>
      <c r="L535" s="373"/>
      <c r="M535" s="373"/>
      <c r="N535" s="373"/>
      <c r="O535" s="373"/>
      <c r="P535" s="373"/>
      <c r="Q535" s="373"/>
      <c r="R535" s="373"/>
      <c r="S535" s="373"/>
      <c r="T535" s="373"/>
      <c r="U535" s="373"/>
      <c r="V535" s="373"/>
    </row>
    <row r="536" spans="1:22" ht="18" x14ac:dyDescent="0.55000000000000004">
      <c r="A536" s="373"/>
      <c r="B536" s="373"/>
      <c r="C536" s="373"/>
      <c r="D536" s="373"/>
      <c r="E536" s="373"/>
      <c r="F536" s="373"/>
      <c r="G536" s="373"/>
      <c r="H536" s="373"/>
      <c r="I536" s="373"/>
      <c r="J536" s="373"/>
      <c r="K536" s="373"/>
      <c r="L536" s="373"/>
      <c r="M536" s="373"/>
      <c r="N536" s="373"/>
      <c r="O536" s="373"/>
      <c r="P536" s="373"/>
      <c r="Q536" s="373"/>
      <c r="R536" s="373"/>
      <c r="S536" s="373"/>
      <c r="T536" s="373"/>
      <c r="U536" s="373"/>
      <c r="V536" s="373"/>
    </row>
    <row r="537" spans="1:22" ht="18" x14ac:dyDescent="0.55000000000000004">
      <c r="A537" s="373"/>
      <c r="B537" s="373"/>
      <c r="C537" s="373"/>
      <c r="D537" s="373"/>
      <c r="E537" s="373"/>
      <c r="F537" s="373"/>
      <c r="G537" s="373"/>
      <c r="H537" s="373"/>
      <c r="I537" s="373"/>
      <c r="J537" s="373"/>
      <c r="K537" s="373"/>
      <c r="L537" s="373"/>
      <c r="M537" s="373"/>
      <c r="N537" s="373"/>
      <c r="O537" s="373"/>
      <c r="P537" s="373"/>
      <c r="Q537" s="373"/>
      <c r="R537" s="373"/>
      <c r="S537" s="373"/>
      <c r="T537" s="373"/>
      <c r="U537" s="373"/>
      <c r="V537" s="373"/>
    </row>
    <row r="538" spans="1:22" ht="18" x14ac:dyDescent="0.55000000000000004">
      <c r="A538" s="373"/>
      <c r="B538" s="373"/>
      <c r="C538" s="373"/>
      <c r="D538" s="373"/>
      <c r="E538" s="373"/>
      <c r="F538" s="373"/>
      <c r="G538" s="373"/>
      <c r="H538" s="373"/>
      <c r="I538" s="373"/>
      <c r="J538" s="373"/>
      <c r="K538" s="373"/>
      <c r="L538" s="373"/>
      <c r="M538" s="373"/>
      <c r="N538" s="373"/>
      <c r="O538" s="373"/>
      <c r="P538" s="373"/>
      <c r="Q538" s="373"/>
      <c r="R538" s="373"/>
      <c r="S538" s="373"/>
      <c r="T538" s="373"/>
      <c r="U538" s="373"/>
      <c r="V538" s="373"/>
    </row>
    <row r="539" spans="1:22" ht="18" x14ac:dyDescent="0.55000000000000004">
      <c r="A539" s="373"/>
      <c r="B539" s="373"/>
      <c r="C539" s="373"/>
      <c r="D539" s="373"/>
      <c r="E539" s="373"/>
      <c r="F539" s="373"/>
      <c r="G539" s="373"/>
      <c r="H539" s="373"/>
      <c r="I539" s="373"/>
      <c r="J539" s="373"/>
      <c r="K539" s="373"/>
      <c r="L539" s="373"/>
      <c r="M539" s="373"/>
      <c r="N539" s="373"/>
      <c r="O539" s="373"/>
      <c r="P539" s="373"/>
      <c r="Q539" s="373"/>
      <c r="R539" s="373"/>
      <c r="S539" s="373"/>
      <c r="T539" s="373"/>
      <c r="U539" s="373"/>
      <c r="V539" s="373"/>
    </row>
    <row r="540" spans="1:22" ht="18" x14ac:dyDescent="0.55000000000000004">
      <c r="A540" s="373"/>
      <c r="B540" s="373"/>
      <c r="C540" s="373"/>
      <c r="D540" s="373"/>
      <c r="E540" s="373"/>
      <c r="F540" s="373"/>
      <c r="G540" s="373"/>
      <c r="H540" s="373"/>
      <c r="I540" s="373"/>
      <c r="J540" s="373"/>
      <c r="K540" s="373"/>
      <c r="L540" s="373"/>
      <c r="M540" s="373"/>
      <c r="N540" s="373"/>
      <c r="O540" s="373"/>
      <c r="P540" s="373"/>
      <c r="Q540" s="373"/>
      <c r="R540" s="373"/>
      <c r="S540" s="373"/>
      <c r="T540" s="373"/>
      <c r="U540" s="373"/>
      <c r="V540" s="373"/>
    </row>
    <row r="541" spans="1:22" ht="18" x14ac:dyDescent="0.55000000000000004">
      <c r="A541" s="373"/>
      <c r="B541" s="373"/>
      <c r="C541" s="373"/>
      <c r="D541" s="373"/>
      <c r="E541" s="373"/>
      <c r="F541" s="373"/>
      <c r="G541" s="373"/>
      <c r="H541" s="373"/>
      <c r="I541" s="373"/>
      <c r="J541" s="373"/>
      <c r="K541" s="373"/>
      <c r="L541" s="373"/>
      <c r="M541" s="373"/>
      <c r="N541" s="373"/>
      <c r="O541" s="373"/>
      <c r="P541" s="373"/>
      <c r="Q541" s="373"/>
      <c r="R541" s="373"/>
      <c r="S541" s="373"/>
      <c r="T541" s="373"/>
      <c r="U541" s="373"/>
      <c r="V541" s="373"/>
    </row>
    <row r="542" spans="1:22" ht="18" x14ac:dyDescent="0.55000000000000004">
      <c r="A542" s="373"/>
      <c r="B542" s="373"/>
      <c r="C542" s="373"/>
      <c r="D542" s="373"/>
      <c r="E542" s="373"/>
      <c r="F542" s="373"/>
      <c r="G542" s="373"/>
      <c r="H542" s="373"/>
      <c r="I542" s="373"/>
      <c r="J542" s="373"/>
      <c r="K542" s="373"/>
      <c r="L542" s="373"/>
      <c r="M542" s="373"/>
      <c r="N542" s="373"/>
      <c r="O542" s="373"/>
      <c r="P542" s="373"/>
      <c r="Q542" s="373"/>
      <c r="R542" s="373"/>
      <c r="S542" s="373"/>
      <c r="T542" s="373"/>
      <c r="U542" s="373"/>
      <c r="V542" s="373"/>
    </row>
    <row r="543" spans="1:22" ht="18" x14ac:dyDescent="0.55000000000000004">
      <c r="A543" s="373"/>
      <c r="B543" s="373"/>
      <c r="C543" s="373"/>
      <c r="D543" s="373"/>
      <c r="E543" s="373"/>
      <c r="F543" s="373"/>
      <c r="G543" s="373"/>
      <c r="H543" s="373"/>
      <c r="I543" s="373"/>
      <c r="J543" s="373"/>
      <c r="K543" s="373"/>
      <c r="L543" s="373"/>
      <c r="M543" s="373"/>
      <c r="N543" s="373"/>
      <c r="O543" s="373"/>
      <c r="P543" s="373"/>
      <c r="Q543" s="373"/>
      <c r="R543" s="373"/>
      <c r="S543" s="373"/>
      <c r="T543" s="373"/>
      <c r="U543" s="373"/>
      <c r="V543" s="373"/>
    </row>
    <row r="544" spans="1:22" ht="18" x14ac:dyDescent="0.55000000000000004">
      <c r="A544" s="373"/>
      <c r="B544" s="373"/>
      <c r="C544" s="373"/>
      <c r="D544" s="373"/>
      <c r="E544" s="373"/>
      <c r="F544" s="373"/>
      <c r="G544" s="373"/>
      <c r="H544" s="373"/>
      <c r="I544" s="373"/>
      <c r="J544" s="373"/>
      <c r="K544" s="373"/>
      <c r="L544" s="373"/>
      <c r="M544" s="373"/>
      <c r="N544" s="373"/>
      <c r="O544" s="373"/>
      <c r="P544" s="373"/>
      <c r="Q544" s="373"/>
      <c r="R544" s="373"/>
      <c r="S544" s="373"/>
      <c r="T544" s="373"/>
      <c r="U544" s="373"/>
      <c r="V544" s="373"/>
    </row>
    <row r="545" spans="1:22" ht="18" x14ac:dyDescent="0.55000000000000004">
      <c r="A545" s="373"/>
      <c r="B545" s="373"/>
      <c r="C545" s="373"/>
      <c r="D545" s="373"/>
      <c r="E545" s="373"/>
      <c r="F545" s="373"/>
      <c r="G545" s="373"/>
      <c r="H545" s="373"/>
      <c r="I545" s="373"/>
      <c r="J545" s="373"/>
      <c r="K545" s="373"/>
      <c r="L545" s="373"/>
      <c r="M545" s="373"/>
      <c r="N545" s="373"/>
      <c r="O545" s="373"/>
      <c r="P545" s="373"/>
      <c r="Q545" s="373"/>
      <c r="R545" s="373"/>
      <c r="S545" s="373"/>
      <c r="T545" s="373"/>
      <c r="U545" s="373"/>
      <c r="V545" s="373"/>
    </row>
    <row r="546" spans="1:22" ht="18" x14ac:dyDescent="0.55000000000000004">
      <c r="A546" s="373"/>
      <c r="B546" s="373"/>
      <c r="C546" s="373"/>
      <c r="D546" s="373"/>
      <c r="E546" s="373"/>
      <c r="F546" s="373"/>
      <c r="G546" s="373"/>
      <c r="H546" s="373"/>
      <c r="I546" s="373"/>
      <c r="J546" s="373"/>
      <c r="K546" s="373"/>
      <c r="L546" s="373"/>
      <c r="M546" s="373"/>
      <c r="N546" s="373"/>
      <c r="O546" s="373"/>
      <c r="P546" s="373"/>
      <c r="Q546" s="373"/>
      <c r="R546" s="373"/>
      <c r="S546" s="373"/>
      <c r="T546" s="373"/>
      <c r="U546" s="373"/>
      <c r="V546" s="373"/>
    </row>
    <row r="547" spans="1:22" ht="18" x14ac:dyDescent="0.55000000000000004">
      <c r="A547" s="373"/>
      <c r="B547" s="373"/>
      <c r="C547" s="373"/>
      <c r="D547" s="373"/>
      <c r="E547" s="373"/>
      <c r="F547" s="373"/>
      <c r="G547" s="373"/>
      <c r="H547" s="373"/>
      <c r="I547" s="373"/>
      <c r="J547" s="373"/>
      <c r="K547" s="373"/>
      <c r="L547" s="373"/>
      <c r="M547" s="373"/>
      <c r="N547" s="373"/>
      <c r="O547" s="373"/>
      <c r="P547" s="373"/>
      <c r="Q547" s="373"/>
      <c r="R547" s="373"/>
      <c r="S547" s="373"/>
      <c r="T547" s="373"/>
      <c r="U547" s="373"/>
      <c r="V547" s="373"/>
    </row>
    <row r="548" spans="1:22" ht="18" x14ac:dyDescent="0.55000000000000004">
      <c r="A548" s="373"/>
      <c r="B548" s="373"/>
      <c r="C548" s="373"/>
      <c r="D548" s="373"/>
      <c r="E548" s="373"/>
      <c r="F548" s="373"/>
      <c r="G548" s="373"/>
      <c r="H548" s="373"/>
      <c r="I548" s="373"/>
      <c r="J548" s="373"/>
      <c r="K548" s="373"/>
      <c r="L548" s="373"/>
      <c r="M548" s="373"/>
      <c r="N548" s="373"/>
      <c r="O548" s="373"/>
      <c r="P548" s="373"/>
      <c r="Q548" s="373"/>
      <c r="R548" s="373"/>
      <c r="S548" s="373"/>
      <c r="T548" s="373"/>
      <c r="U548" s="373"/>
      <c r="V548" s="373"/>
    </row>
    <row r="549" spans="1:22" ht="18" x14ac:dyDescent="0.55000000000000004">
      <c r="A549" s="373"/>
      <c r="B549" s="373"/>
      <c r="C549" s="373"/>
      <c r="D549" s="373"/>
      <c r="E549" s="373"/>
      <c r="F549" s="373"/>
      <c r="G549" s="373"/>
      <c r="H549" s="373"/>
      <c r="I549" s="373"/>
      <c r="J549" s="373"/>
      <c r="K549" s="373"/>
      <c r="L549" s="373"/>
      <c r="M549" s="373"/>
      <c r="N549" s="373"/>
      <c r="O549" s="373"/>
      <c r="P549" s="373"/>
      <c r="Q549" s="373"/>
      <c r="R549" s="373"/>
      <c r="S549" s="373"/>
      <c r="T549" s="373"/>
      <c r="U549" s="373"/>
      <c r="V549" s="373"/>
    </row>
    <row r="550" spans="1:22" ht="18" x14ac:dyDescent="0.55000000000000004">
      <c r="A550" s="373"/>
      <c r="B550" s="373"/>
      <c r="C550" s="373"/>
      <c r="D550" s="373"/>
      <c r="E550" s="373"/>
      <c r="F550" s="373"/>
      <c r="G550" s="373"/>
      <c r="H550" s="373"/>
      <c r="I550" s="373"/>
      <c r="J550" s="373"/>
      <c r="K550" s="373"/>
      <c r="L550" s="373"/>
      <c r="M550" s="373"/>
      <c r="N550" s="373"/>
      <c r="O550" s="373"/>
      <c r="P550" s="373"/>
      <c r="Q550" s="373"/>
      <c r="R550" s="373"/>
      <c r="S550" s="373"/>
      <c r="T550" s="373"/>
      <c r="U550" s="373"/>
      <c r="V550" s="373"/>
    </row>
    <row r="551" spans="1:22" ht="18" x14ac:dyDescent="0.55000000000000004">
      <c r="A551" s="373"/>
      <c r="B551" s="373"/>
      <c r="C551" s="373"/>
      <c r="D551" s="373"/>
      <c r="E551" s="373"/>
      <c r="F551" s="373"/>
      <c r="G551" s="373"/>
      <c r="H551" s="373"/>
      <c r="I551" s="373"/>
      <c r="J551" s="373"/>
      <c r="K551" s="373"/>
      <c r="L551" s="373"/>
      <c r="M551" s="373"/>
      <c r="N551" s="373"/>
      <c r="O551" s="373"/>
      <c r="P551" s="373"/>
      <c r="Q551" s="373"/>
      <c r="R551" s="373"/>
      <c r="S551" s="373"/>
      <c r="T551" s="373"/>
      <c r="U551" s="373"/>
      <c r="V551" s="373"/>
    </row>
    <row r="552" spans="1:22" ht="18" x14ac:dyDescent="0.55000000000000004">
      <c r="A552" s="373"/>
      <c r="B552" s="373"/>
      <c r="C552" s="373"/>
      <c r="D552" s="373"/>
      <c r="E552" s="373"/>
      <c r="F552" s="373"/>
      <c r="G552" s="373"/>
      <c r="H552" s="373"/>
      <c r="I552" s="373"/>
      <c r="J552" s="373"/>
      <c r="K552" s="373"/>
      <c r="L552" s="373"/>
      <c r="M552" s="373"/>
      <c r="N552" s="373"/>
      <c r="O552" s="373"/>
      <c r="P552" s="373"/>
      <c r="Q552" s="373"/>
      <c r="R552" s="373"/>
      <c r="S552" s="373"/>
      <c r="T552" s="373"/>
      <c r="U552" s="373"/>
      <c r="V552" s="373"/>
    </row>
    <row r="553" spans="1:22" ht="18" x14ac:dyDescent="0.55000000000000004">
      <c r="A553" s="373"/>
      <c r="B553" s="373"/>
      <c r="C553" s="373"/>
      <c r="D553" s="373"/>
      <c r="E553" s="373"/>
      <c r="F553" s="373"/>
      <c r="G553" s="373"/>
      <c r="H553" s="373"/>
      <c r="I553" s="373"/>
      <c r="J553" s="373"/>
      <c r="K553" s="373"/>
      <c r="L553" s="373"/>
      <c r="M553" s="373"/>
      <c r="N553" s="373"/>
      <c r="O553" s="373"/>
      <c r="P553" s="373"/>
      <c r="Q553" s="373"/>
      <c r="R553" s="373"/>
      <c r="S553" s="373"/>
      <c r="T553" s="373"/>
      <c r="U553" s="373"/>
      <c r="V553" s="373"/>
    </row>
    <row r="554" spans="1:22" ht="18" x14ac:dyDescent="0.55000000000000004">
      <c r="A554" s="373"/>
      <c r="B554" s="373"/>
      <c r="C554" s="373"/>
      <c r="D554" s="373"/>
      <c r="E554" s="373"/>
      <c r="F554" s="373"/>
      <c r="G554" s="373"/>
      <c r="H554" s="373"/>
      <c r="I554" s="373"/>
      <c r="J554" s="373"/>
      <c r="K554" s="373"/>
      <c r="L554" s="373"/>
      <c r="M554" s="373"/>
      <c r="N554" s="373"/>
      <c r="O554" s="373"/>
      <c r="P554" s="373"/>
      <c r="Q554" s="373"/>
      <c r="R554" s="373"/>
      <c r="S554" s="373"/>
      <c r="T554" s="373"/>
      <c r="U554" s="373"/>
      <c r="V554" s="373"/>
    </row>
    <row r="555" spans="1:22" ht="18" x14ac:dyDescent="0.55000000000000004">
      <c r="A555" s="373"/>
      <c r="B555" s="373"/>
      <c r="C555" s="373"/>
      <c r="D555" s="373"/>
      <c r="E555" s="373"/>
      <c r="F555" s="373"/>
      <c r="G555" s="373"/>
      <c r="H555" s="373"/>
      <c r="I555" s="373"/>
      <c r="J555" s="373"/>
      <c r="K555" s="373"/>
      <c r="L555" s="373"/>
      <c r="M555" s="373"/>
      <c r="N555" s="373"/>
      <c r="O555" s="373"/>
      <c r="P555" s="373"/>
      <c r="Q555" s="373"/>
      <c r="R555" s="373"/>
      <c r="S555" s="373"/>
      <c r="T555" s="373"/>
      <c r="U555" s="373"/>
      <c r="V555" s="373"/>
    </row>
    <row r="556" spans="1:22" ht="18" x14ac:dyDescent="0.55000000000000004">
      <c r="A556" s="373"/>
      <c r="B556" s="373"/>
      <c r="C556" s="373"/>
      <c r="D556" s="373"/>
      <c r="E556" s="373"/>
      <c r="F556" s="373"/>
      <c r="G556" s="373"/>
      <c r="H556" s="373"/>
      <c r="I556" s="373"/>
      <c r="J556" s="373"/>
      <c r="K556" s="373"/>
      <c r="L556" s="373"/>
      <c r="M556" s="373"/>
      <c r="N556" s="373"/>
      <c r="O556" s="373"/>
      <c r="P556" s="373"/>
      <c r="Q556" s="373"/>
      <c r="R556" s="373"/>
      <c r="S556" s="373"/>
      <c r="T556" s="373"/>
      <c r="U556" s="373"/>
      <c r="V556" s="373"/>
    </row>
    <row r="557" spans="1:22" ht="18" x14ac:dyDescent="0.55000000000000004">
      <c r="A557" s="373"/>
      <c r="B557" s="373"/>
      <c r="C557" s="373"/>
      <c r="D557" s="373"/>
      <c r="E557" s="373"/>
      <c r="F557" s="373"/>
      <c r="G557" s="373"/>
      <c r="H557" s="373"/>
      <c r="I557" s="373"/>
      <c r="J557" s="373"/>
      <c r="K557" s="373"/>
      <c r="L557" s="373"/>
      <c r="M557" s="373"/>
      <c r="N557" s="373"/>
      <c r="O557" s="373"/>
      <c r="P557" s="373"/>
      <c r="Q557" s="373"/>
      <c r="R557" s="373"/>
      <c r="S557" s="373"/>
      <c r="T557" s="373"/>
      <c r="U557" s="373"/>
      <c r="V557" s="373"/>
    </row>
    <row r="558" spans="1:22" ht="18" x14ac:dyDescent="0.55000000000000004">
      <c r="A558" s="373"/>
      <c r="B558" s="373"/>
      <c r="C558" s="373"/>
      <c r="D558" s="373"/>
      <c r="E558" s="373"/>
      <c r="F558" s="373"/>
      <c r="G558" s="373"/>
      <c r="H558" s="373"/>
      <c r="I558" s="373"/>
      <c r="J558" s="373"/>
      <c r="K558" s="373"/>
      <c r="L558" s="373"/>
      <c r="M558" s="373"/>
      <c r="N558" s="373"/>
      <c r="O558" s="373"/>
      <c r="P558" s="373"/>
      <c r="Q558" s="373"/>
      <c r="R558" s="373"/>
      <c r="S558" s="373"/>
      <c r="T558" s="373"/>
      <c r="U558" s="373"/>
      <c r="V558" s="373"/>
    </row>
    <row r="559" spans="1:22" ht="18" x14ac:dyDescent="0.55000000000000004">
      <c r="A559" s="373"/>
      <c r="B559" s="373"/>
      <c r="C559" s="373"/>
      <c r="D559" s="373"/>
      <c r="E559" s="373"/>
      <c r="F559" s="373"/>
      <c r="G559" s="373"/>
      <c r="H559" s="373"/>
      <c r="I559" s="373"/>
      <c r="J559" s="373"/>
      <c r="K559" s="373"/>
      <c r="L559" s="373"/>
      <c r="M559" s="373"/>
      <c r="N559" s="373"/>
      <c r="O559" s="373"/>
      <c r="P559" s="373"/>
      <c r="Q559" s="373"/>
      <c r="R559" s="373"/>
      <c r="S559" s="373"/>
      <c r="T559" s="373"/>
      <c r="U559" s="373"/>
      <c r="V559" s="373"/>
    </row>
    <row r="560" spans="1:22" ht="18" x14ac:dyDescent="0.55000000000000004">
      <c r="A560" s="373"/>
      <c r="B560" s="373"/>
      <c r="C560" s="373"/>
      <c r="D560" s="373"/>
      <c r="E560" s="373"/>
      <c r="F560" s="373"/>
      <c r="G560" s="373"/>
      <c r="H560" s="373"/>
      <c r="I560" s="373"/>
      <c r="J560" s="373"/>
      <c r="K560" s="373"/>
      <c r="L560" s="373"/>
      <c r="M560" s="373"/>
      <c r="N560" s="373"/>
      <c r="O560" s="373"/>
      <c r="P560" s="373"/>
      <c r="Q560" s="373"/>
      <c r="R560" s="373"/>
      <c r="S560" s="373"/>
      <c r="T560" s="373"/>
      <c r="U560" s="373"/>
      <c r="V560" s="373"/>
    </row>
    <row r="561" spans="1:22" ht="18" x14ac:dyDescent="0.55000000000000004">
      <c r="A561" s="373"/>
      <c r="B561" s="373"/>
      <c r="C561" s="373"/>
      <c r="D561" s="373"/>
      <c r="E561" s="373"/>
      <c r="F561" s="373"/>
      <c r="G561" s="373"/>
      <c r="H561" s="373"/>
      <c r="I561" s="373"/>
      <c r="J561" s="373"/>
      <c r="K561" s="373"/>
      <c r="L561" s="373"/>
      <c r="M561" s="373"/>
      <c r="N561" s="373"/>
      <c r="O561" s="373"/>
      <c r="P561" s="373"/>
      <c r="Q561" s="373"/>
      <c r="R561" s="373"/>
      <c r="S561" s="373"/>
      <c r="T561" s="373"/>
      <c r="U561" s="373"/>
      <c r="V561" s="373"/>
    </row>
    <row r="562" spans="1:22" ht="18" x14ac:dyDescent="0.55000000000000004">
      <c r="A562" s="373"/>
      <c r="B562" s="373"/>
      <c r="C562" s="373"/>
      <c r="D562" s="373"/>
      <c r="E562" s="373"/>
      <c r="F562" s="373"/>
      <c r="G562" s="373"/>
      <c r="H562" s="373"/>
      <c r="I562" s="373"/>
      <c r="J562" s="373"/>
      <c r="K562" s="373"/>
      <c r="L562" s="373"/>
      <c r="M562" s="373"/>
      <c r="N562" s="373"/>
      <c r="O562" s="373"/>
      <c r="P562" s="373"/>
      <c r="Q562" s="373"/>
      <c r="R562" s="373"/>
      <c r="S562" s="373"/>
      <c r="T562" s="373"/>
      <c r="U562" s="373"/>
      <c r="V562" s="373"/>
    </row>
    <row r="563" spans="1:22" ht="18" x14ac:dyDescent="0.55000000000000004">
      <c r="A563" s="373"/>
      <c r="B563" s="373"/>
      <c r="C563" s="373"/>
      <c r="D563" s="373"/>
      <c r="E563" s="373"/>
      <c r="F563" s="373"/>
      <c r="G563" s="373"/>
      <c r="H563" s="373"/>
      <c r="I563" s="373"/>
      <c r="J563" s="373"/>
      <c r="K563" s="373"/>
      <c r="L563" s="373"/>
      <c r="M563" s="373"/>
      <c r="N563" s="373"/>
      <c r="O563" s="373"/>
      <c r="P563" s="373"/>
      <c r="Q563" s="373"/>
      <c r="R563" s="373"/>
      <c r="S563" s="373"/>
      <c r="T563" s="373"/>
      <c r="U563" s="373"/>
      <c r="V563" s="373"/>
    </row>
    <row r="564" spans="1:22" ht="18" x14ac:dyDescent="0.55000000000000004">
      <c r="A564" s="373"/>
      <c r="B564" s="373"/>
      <c r="C564" s="373"/>
      <c r="D564" s="373"/>
      <c r="E564" s="373"/>
      <c r="F564" s="373"/>
      <c r="G564" s="373"/>
      <c r="H564" s="373"/>
      <c r="I564" s="373"/>
      <c r="J564" s="373"/>
      <c r="K564" s="373"/>
      <c r="L564" s="373"/>
      <c r="M564" s="373"/>
      <c r="N564" s="373"/>
      <c r="O564" s="373"/>
      <c r="P564" s="373"/>
      <c r="Q564" s="373"/>
      <c r="R564" s="373"/>
      <c r="S564" s="373"/>
      <c r="T564" s="373"/>
      <c r="U564" s="373"/>
      <c r="V564" s="373"/>
    </row>
    <row r="565" spans="1:22" ht="18" x14ac:dyDescent="0.55000000000000004">
      <c r="A565" s="373"/>
      <c r="B565" s="373"/>
      <c r="C565" s="373"/>
      <c r="D565" s="373"/>
      <c r="E565" s="373"/>
      <c r="F565" s="373"/>
      <c r="G565" s="373"/>
      <c r="H565" s="373"/>
      <c r="I565" s="373"/>
      <c r="J565" s="373"/>
      <c r="K565" s="373"/>
      <c r="L565" s="373"/>
      <c r="M565" s="373"/>
      <c r="N565" s="373"/>
      <c r="O565" s="373"/>
      <c r="P565" s="373"/>
      <c r="Q565" s="373"/>
      <c r="R565" s="373"/>
      <c r="S565" s="373"/>
      <c r="T565" s="373"/>
      <c r="U565" s="373"/>
      <c r="V565" s="373"/>
    </row>
    <row r="566" spans="1:22" ht="18" x14ac:dyDescent="0.55000000000000004">
      <c r="A566" s="373"/>
      <c r="B566" s="373"/>
      <c r="C566" s="373"/>
      <c r="D566" s="373"/>
      <c r="E566" s="373"/>
      <c r="F566" s="373"/>
      <c r="G566" s="373"/>
      <c r="H566" s="373"/>
      <c r="I566" s="373"/>
      <c r="J566" s="373"/>
      <c r="K566" s="373"/>
      <c r="L566" s="373"/>
      <c r="M566" s="373"/>
      <c r="N566" s="373"/>
      <c r="O566" s="373"/>
      <c r="P566" s="373"/>
      <c r="Q566" s="373"/>
      <c r="R566" s="373"/>
      <c r="S566" s="373"/>
      <c r="T566" s="373"/>
      <c r="U566" s="373"/>
      <c r="V566" s="373"/>
    </row>
    <row r="567" spans="1:22" ht="18" x14ac:dyDescent="0.55000000000000004">
      <c r="A567" s="373"/>
      <c r="B567" s="373"/>
      <c r="C567" s="373"/>
      <c r="D567" s="373"/>
      <c r="E567" s="373"/>
      <c r="F567" s="373"/>
      <c r="G567" s="373"/>
      <c r="H567" s="373"/>
      <c r="I567" s="373"/>
      <c r="J567" s="373"/>
      <c r="K567" s="373"/>
      <c r="L567" s="373"/>
      <c r="M567" s="373"/>
      <c r="N567" s="373"/>
      <c r="O567" s="373"/>
      <c r="P567" s="373"/>
      <c r="Q567" s="373"/>
      <c r="R567" s="373"/>
      <c r="S567" s="373"/>
      <c r="T567" s="373"/>
      <c r="U567" s="373"/>
      <c r="V567" s="373"/>
    </row>
    <row r="568" spans="1:22" ht="18" x14ac:dyDescent="0.55000000000000004">
      <c r="A568" s="373"/>
      <c r="B568" s="373"/>
      <c r="C568" s="373"/>
      <c r="D568" s="373"/>
      <c r="E568" s="373"/>
      <c r="F568" s="373"/>
      <c r="G568" s="373"/>
      <c r="H568" s="373"/>
      <c r="I568" s="373"/>
      <c r="J568" s="373"/>
      <c r="K568" s="373"/>
      <c r="L568" s="373"/>
      <c r="M568" s="373"/>
      <c r="N568" s="373"/>
      <c r="O568" s="373"/>
      <c r="P568" s="373"/>
      <c r="Q568" s="373"/>
      <c r="R568" s="373"/>
      <c r="S568" s="373"/>
      <c r="T568" s="373"/>
      <c r="U568" s="373"/>
      <c r="V568" s="373"/>
    </row>
    <row r="569" spans="1:22" ht="18" x14ac:dyDescent="0.55000000000000004">
      <c r="A569" s="373"/>
      <c r="B569" s="373"/>
      <c r="C569" s="373"/>
      <c r="D569" s="373"/>
      <c r="E569" s="373"/>
      <c r="F569" s="373"/>
      <c r="G569" s="373"/>
      <c r="H569" s="373"/>
      <c r="I569" s="373"/>
      <c r="J569" s="373"/>
      <c r="K569" s="373"/>
      <c r="L569" s="373"/>
      <c r="M569" s="373"/>
      <c r="N569" s="373"/>
      <c r="O569" s="373"/>
      <c r="P569" s="373"/>
      <c r="Q569" s="373"/>
      <c r="R569" s="373"/>
      <c r="S569" s="373"/>
      <c r="T569" s="373"/>
      <c r="U569" s="373"/>
      <c r="V569" s="373"/>
    </row>
    <row r="570" spans="1:22" ht="18" x14ac:dyDescent="0.55000000000000004">
      <c r="A570" s="373"/>
      <c r="B570" s="373"/>
      <c r="C570" s="373"/>
      <c r="D570" s="373"/>
      <c r="E570" s="373"/>
      <c r="F570" s="373"/>
      <c r="G570" s="373"/>
      <c r="H570" s="373"/>
      <c r="I570" s="373"/>
      <c r="J570" s="373"/>
      <c r="K570" s="373"/>
      <c r="L570" s="373"/>
      <c r="M570" s="373"/>
      <c r="N570" s="373"/>
      <c r="O570" s="373"/>
      <c r="P570" s="373"/>
      <c r="Q570" s="373"/>
      <c r="R570" s="373"/>
      <c r="S570" s="373"/>
      <c r="T570" s="373"/>
      <c r="U570" s="373"/>
      <c r="V570" s="373"/>
    </row>
    <row r="571" spans="1:22" ht="18" x14ac:dyDescent="0.55000000000000004">
      <c r="A571" s="373"/>
      <c r="B571" s="373"/>
      <c r="C571" s="373"/>
      <c r="D571" s="373"/>
      <c r="E571" s="373"/>
      <c r="F571" s="373"/>
      <c r="G571" s="373"/>
      <c r="H571" s="373"/>
      <c r="I571" s="373"/>
      <c r="J571" s="373"/>
      <c r="K571" s="373"/>
      <c r="L571" s="373"/>
      <c r="M571" s="373"/>
      <c r="N571" s="373"/>
      <c r="O571" s="373"/>
      <c r="P571" s="373"/>
      <c r="Q571" s="373"/>
      <c r="R571" s="373"/>
      <c r="S571" s="373"/>
      <c r="T571" s="373"/>
      <c r="U571" s="373"/>
      <c r="V571" s="373"/>
    </row>
    <row r="572" spans="1:22" ht="18" x14ac:dyDescent="0.55000000000000004">
      <c r="A572" s="373"/>
      <c r="B572" s="373"/>
      <c r="C572" s="373"/>
      <c r="D572" s="373"/>
      <c r="E572" s="373"/>
      <c r="F572" s="373"/>
      <c r="G572" s="373"/>
      <c r="H572" s="373"/>
      <c r="I572" s="373"/>
      <c r="J572" s="373"/>
      <c r="K572" s="373"/>
      <c r="L572" s="373"/>
      <c r="M572" s="373"/>
      <c r="N572" s="373"/>
      <c r="O572" s="373"/>
      <c r="P572" s="373"/>
      <c r="Q572" s="373"/>
      <c r="R572" s="373"/>
      <c r="S572" s="373"/>
      <c r="T572" s="373"/>
      <c r="U572" s="373"/>
      <c r="V572" s="373"/>
    </row>
    <row r="573" spans="1:22" ht="18" x14ac:dyDescent="0.55000000000000004">
      <c r="A573" s="373"/>
      <c r="B573" s="373"/>
      <c r="C573" s="373"/>
      <c r="D573" s="373"/>
      <c r="E573" s="373"/>
      <c r="F573" s="373"/>
      <c r="G573" s="373"/>
      <c r="H573" s="373"/>
      <c r="I573" s="373"/>
      <c r="J573" s="373"/>
      <c r="K573" s="373"/>
      <c r="L573" s="373"/>
      <c r="M573" s="373"/>
      <c r="N573" s="373"/>
      <c r="O573" s="373"/>
      <c r="P573" s="373"/>
      <c r="Q573" s="373"/>
      <c r="R573" s="373"/>
      <c r="S573" s="373"/>
      <c r="T573" s="373"/>
      <c r="U573" s="373"/>
      <c r="V573" s="373"/>
    </row>
    <row r="574" spans="1:22" ht="18" x14ac:dyDescent="0.55000000000000004">
      <c r="A574" s="373"/>
      <c r="B574" s="373"/>
      <c r="C574" s="373"/>
      <c r="D574" s="373"/>
      <c r="E574" s="373"/>
      <c r="F574" s="373"/>
      <c r="G574" s="373"/>
      <c r="H574" s="373"/>
      <c r="I574" s="373"/>
      <c r="J574" s="373"/>
      <c r="K574" s="373"/>
      <c r="L574" s="373"/>
      <c r="M574" s="373"/>
      <c r="N574" s="373"/>
      <c r="O574" s="373"/>
      <c r="P574" s="373"/>
      <c r="Q574" s="373"/>
      <c r="R574" s="373"/>
      <c r="S574" s="373"/>
      <c r="T574" s="373"/>
      <c r="U574" s="373"/>
      <c r="V574" s="373"/>
    </row>
    <row r="575" spans="1:22" ht="18" x14ac:dyDescent="0.55000000000000004">
      <c r="A575" s="373"/>
      <c r="B575" s="373"/>
      <c r="C575" s="373"/>
      <c r="D575" s="373"/>
      <c r="E575" s="373"/>
      <c r="F575" s="373"/>
      <c r="G575" s="373"/>
      <c r="H575" s="373"/>
      <c r="I575" s="373"/>
      <c r="J575" s="373"/>
      <c r="K575" s="373"/>
      <c r="L575" s="373"/>
      <c r="M575" s="373"/>
      <c r="N575" s="373"/>
      <c r="O575" s="373"/>
      <c r="P575" s="373"/>
      <c r="Q575" s="373"/>
      <c r="R575" s="373"/>
      <c r="S575" s="373"/>
      <c r="T575" s="373"/>
      <c r="U575" s="373"/>
      <c r="V575" s="373"/>
    </row>
    <row r="576" spans="1:22" ht="18" x14ac:dyDescent="0.55000000000000004">
      <c r="A576" s="373"/>
      <c r="B576" s="373"/>
      <c r="C576" s="373"/>
      <c r="D576" s="373"/>
      <c r="E576" s="373"/>
      <c r="F576" s="373"/>
      <c r="G576" s="373"/>
      <c r="H576" s="373"/>
      <c r="I576" s="373"/>
      <c r="J576" s="373"/>
      <c r="K576" s="373"/>
      <c r="L576" s="373"/>
      <c r="M576" s="373"/>
      <c r="N576" s="373"/>
      <c r="O576" s="373"/>
      <c r="P576" s="373"/>
      <c r="Q576" s="373"/>
      <c r="R576" s="373"/>
      <c r="S576" s="373"/>
      <c r="T576" s="373"/>
      <c r="U576" s="373"/>
      <c r="V576" s="373"/>
    </row>
    <row r="577" spans="1:22" ht="18" x14ac:dyDescent="0.55000000000000004">
      <c r="A577" s="373"/>
      <c r="B577" s="373"/>
      <c r="C577" s="373"/>
      <c r="D577" s="373"/>
      <c r="E577" s="373"/>
      <c r="F577" s="373"/>
      <c r="G577" s="373"/>
      <c r="H577" s="373"/>
      <c r="I577" s="373"/>
      <c r="J577" s="373"/>
      <c r="K577" s="373"/>
      <c r="L577" s="373"/>
      <c r="M577" s="373"/>
      <c r="N577" s="373"/>
      <c r="O577" s="373"/>
      <c r="P577" s="373"/>
      <c r="Q577" s="373"/>
      <c r="R577" s="373"/>
      <c r="S577" s="373"/>
      <c r="T577" s="373"/>
      <c r="U577" s="373"/>
      <c r="V577" s="373"/>
    </row>
    <row r="578" spans="1:22" ht="18" x14ac:dyDescent="0.55000000000000004">
      <c r="A578" s="373"/>
      <c r="B578" s="373"/>
      <c r="C578" s="373"/>
      <c r="D578" s="373"/>
      <c r="E578" s="373"/>
      <c r="F578" s="373"/>
      <c r="G578" s="373"/>
      <c r="H578" s="373"/>
      <c r="I578" s="373"/>
      <c r="J578" s="373"/>
      <c r="K578" s="373"/>
      <c r="L578" s="373"/>
      <c r="M578" s="373"/>
      <c r="N578" s="373"/>
      <c r="O578" s="373"/>
      <c r="P578" s="373"/>
      <c r="Q578" s="373"/>
      <c r="R578" s="373"/>
      <c r="S578" s="373"/>
      <c r="T578" s="373"/>
      <c r="U578" s="373"/>
      <c r="V578" s="373"/>
    </row>
    <row r="579" spans="1:22" ht="18" x14ac:dyDescent="0.55000000000000004">
      <c r="A579" s="373"/>
      <c r="B579" s="373"/>
      <c r="C579" s="373"/>
      <c r="D579" s="373"/>
      <c r="E579" s="373"/>
      <c r="F579" s="373"/>
      <c r="G579" s="373"/>
      <c r="H579" s="373"/>
      <c r="I579" s="373"/>
      <c r="J579" s="373"/>
      <c r="K579" s="373"/>
      <c r="L579" s="373"/>
      <c r="M579" s="373"/>
      <c r="N579" s="373"/>
      <c r="O579" s="373"/>
      <c r="P579" s="373"/>
      <c r="Q579" s="373"/>
      <c r="R579" s="373"/>
      <c r="S579" s="373"/>
      <c r="T579" s="373"/>
      <c r="U579" s="373"/>
      <c r="V579" s="373"/>
    </row>
    <row r="580" spans="1:22" ht="18" x14ac:dyDescent="0.55000000000000004">
      <c r="A580" s="373"/>
      <c r="B580" s="373"/>
      <c r="C580" s="373"/>
      <c r="D580" s="373"/>
      <c r="E580" s="373"/>
      <c r="F580" s="373"/>
      <c r="G580" s="373"/>
      <c r="H580" s="373"/>
      <c r="I580" s="373"/>
      <c r="J580" s="373"/>
      <c r="K580" s="373"/>
      <c r="L580" s="373"/>
      <c r="M580" s="373"/>
      <c r="N580" s="373"/>
      <c r="O580" s="373"/>
      <c r="P580" s="373"/>
      <c r="Q580" s="373"/>
      <c r="R580" s="373"/>
      <c r="S580" s="373"/>
      <c r="T580" s="373"/>
      <c r="U580" s="373"/>
      <c r="V580" s="373"/>
    </row>
    <row r="581" spans="1:22" ht="18" x14ac:dyDescent="0.55000000000000004">
      <c r="A581" s="373"/>
      <c r="B581" s="373"/>
      <c r="C581" s="373"/>
      <c r="D581" s="373"/>
      <c r="E581" s="373"/>
      <c r="F581" s="373"/>
      <c r="G581" s="373"/>
      <c r="H581" s="373"/>
      <c r="I581" s="373"/>
      <c r="J581" s="373"/>
      <c r="K581" s="373"/>
      <c r="L581" s="373"/>
      <c r="M581" s="373"/>
      <c r="N581" s="373"/>
      <c r="O581" s="373"/>
      <c r="P581" s="373"/>
      <c r="Q581" s="373"/>
      <c r="R581" s="373"/>
      <c r="S581" s="373"/>
      <c r="T581" s="373"/>
      <c r="U581" s="373"/>
      <c r="V581" s="373"/>
    </row>
    <row r="582" spans="1:22" ht="18" x14ac:dyDescent="0.55000000000000004">
      <c r="A582" s="373"/>
      <c r="B582" s="373"/>
      <c r="C582" s="373"/>
      <c r="D582" s="373"/>
      <c r="E582" s="373"/>
      <c r="F582" s="373"/>
      <c r="G582" s="373"/>
      <c r="H582" s="373"/>
      <c r="I582" s="373"/>
      <c r="J582" s="373"/>
      <c r="K582" s="373"/>
      <c r="L582" s="373"/>
      <c r="M582" s="373"/>
      <c r="N582" s="373"/>
      <c r="O582" s="373"/>
      <c r="P582" s="373"/>
      <c r="Q582" s="373"/>
      <c r="R582" s="373"/>
      <c r="S582" s="373"/>
      <c r="T582" s="373"/>
      <c r="U582" s="373"/>
      <c r="V582" s="373"/>
    </row>
    <row r="583" spans="1:22" ht="18" x14ac:dyDescent="0.55000000000000004">
      <c r="A583" s="373"/>
      <c r="B583" s="373"/>
      <c r="C583" s="373"/>
      <c r="D583" s="373"/>
      <c r="E583" s="373"/>
      <c r="F583" s="373"/>
      <c r="G583" s="373"/>
      <c r="H583" s="373"/>
      <c r="I583" s="373"/>
      <c r="J583" s="373"/>
      <c r="K583" s="373"/>
      <c r="L583" s="373"/>
      <c r="M583" s="373"/>
      <c r="N583" s="373"/>
      <c r="O583" s="373"/>
      <c r="P583" s="373"/>
      <c r="Q583" s="373"/>
      <c r="R583" s="373"/>
      <c r="S583" s="373"/>
      <c r="T583" s="373"/>
      <c r="U583" s="373"/>
      <c r="V583" s="373"/>
    </row>
    <row r="584" spans="1:22" ht="18" x14ac:dyDescent="0.55000000000000004">
      <c r="A584" s="373"/>
      <c r="B584" s="373"/>
      <c r="C584" s="373"/>
      <c r="D584" s="373"/>
      <c r="E584" s="373"/>
      <c r="F584" s="373"/>
      <c r="G584" s="373"/>
      <c r="H584" s="373"/>
      <c r="I584" s="373"/>
      <c r="J584" s="373"/>
      <c r="K584" s="373"/>
      <c r="L584" s="373"/>
      <c r="M584" s="373"/>
      <c r="N584" s="373"/>
      <c r="O584" s="373"/>
      <c r="P584" s="373"/>
      <c r="Q584" s="373"/>
      <c r="R584" s="373"/>
      <c r="S584" s="373"/>
      <c r="T584" s="373"/>
      <c r="U584" s="373"/>
      <c r="V584" s="373"/>
    </row>
    <row r="585" spans="1:22" ht="18" x14ac:dyDescent="0.55000000000000004">
      <c r="A585" s="373"/>
      <c r="B585" s="373"/>
      <c r="C585" s="373"/>
      <c r="D585" s="373"/>
      <c r="E585" s="373"/>
      <c r="F585" s="373"/>
      <c r="G585" s="373"/>
      <c r="H585" s="373"/>
      <c r="I585" s="373"/>
      <c r="J585" s="373"/>
      <c r="K585" s="373"/>
      <c r="L585" s="373"/>
      <c r="M585" s="373"/>
      <c r="N585" s="373"/>
      <c r="O585" s="373"/>
      <c r="P585" s="373"/>
      <c r="Q585" s="373"/>
      <c r="R585" s="373"/>
      <c r="S585" s="373"/>
      <c r="T585" s="373"/>
      <c r="U585" s="373"/>
      <c r="V585" s="373"/>
    </row>
    <row r="586" spans="1:22" ht="18" x14ac:dyDescent="0.55000000000000004">
      <c r="A586" s="373"/>
      <c r="B586" s="373"/>
      <c r="C586" s="373"/>
      <c r="D586" s="373"/>
      <c r="E586" s="373"/>
      <c r="F586" s="373"/>
      <c r="G586" s="373"/>
      <c r="H586" s="373"/>
      <c r="I586" s="373"/>
      <c r="J586" s="373"/>
      <c r="K586" s="373"/>
      <c r="L586" s="373"/>
      <c r="M586" s="373"/>
      <c r="N586" s="373"/>
      <c r="O586" s="373"/>
      <c r="P586" s="373"/>
      <c r="Q586" s="373"/>
      <c r="R586" s="373"/>
      <c r="S586" s="373"/>
      <c r="T586" s="373"/>
      <c r="U586" s="373"/>
      <c r="V586" s="373"/>
    </row>
    <row r="587" spans="1:22" ht="18" x14ac:dyDescent="0.55000000000000004">
      <c r="A587" s="373"/>
      <c r="B587" s="373"/>
      <c r="C587" s="373"/>
      <c r="D587" s="373"/>
      <c r="E587" s="373"/>
      <c r="F587" s="373"/>
      <c r="G587" s="373"/>
      <c r="H587" s="373"/>
      <c r="I587" s="373"/>
      <c r="J587" s="373"/>
      <c r="K587" s="373"/>
      <c r="L587" s="373"/>
      <c r="M587" s="373"/>
      <c r="N587" s="373"/>
      <c r="O587" s="373"/>
      <c r="P587" s="373"/>
      <c r="Q587" s="373"/>
      <c r="R587" s="373"/>
      <c r="S587" s="373"/>
      <c r="T587" s="373"/>
      <c r="U587" s="373"/>
      <c r="V587" s="373"/>
    </row>
    <row r="588" spans="1:22" ht="18" x14ac:dyDescent="0.55000000000000004">
      <c r="A588" s="373"/>
      <c r="B588" s="373"/>
      <c r="C588" s="373"/>
      <c r="D588" s="373"/>
      <c r="E588" s="373"/>
      <c r="F588" s="373"/>
      <c r="G588" s="373"/>
      <c r="H588" s="373"/>
      <c r="I588" s="373"/>
      <c r="J588" s="373"/>
      <c r="K588" s="373"/>
      <c r="L588" s="373"/>
      <c r="M588" s="373"/>
      <c r="N588" s="373"/>
      <c r="O588" s="373"/>
      <c r="P588" s="373"/>
      <c r="Q588" s="373"/>
      <c r="R588" s="373"/>
      <c r="S588" s="373"/>
      <c r="T588" s="373"/>
      <c r="U588" s="373"/>
      <c r="V588" s="373"/>
    </row>
    <row r="589" spans="1:22" ht="18" x14ac:dyDescent="0.55000000000000004">
      <c r="A589" s="373"/>
      <c r="B589" s="373"/>
      <c r="C589" s="373"/>
      <c r="D589" s="373"/>
      <c r="E589" s="373"/>
      <c r="F589" s="373"/>
      <c r="G589" s="373"/>
      <c r="H589" s="373"/>
      <c r="I589" s="373"/>
      <c r="J589" s="373"/>
      <c r="K589" s="373"/>
      <c r="L589" s="373"/>
      <c r="M589" s="373"/>
      <c r="N589" s="373"/>
      <c r="O589" s="373"/>
      <c r="P589" s="373"/>
      <c r="Q589" s="373"/>
      <c r="R589" s="373"/>
      <c r="S589" s="373"/>
      <c r="T589" s="373"/>
      <c r="U589" s="373"/>
      <c r="V589" s="373"/>
    </row>
    <row r="590" spans="1:22" ht="18" x14ac:dyDescent="0.55000000000000004">
      <c r="A590" s="373"/>
      <c r="B590" s="373"/>
      <c r="C590" s="373"/>
      <c r="D590" s="373"/>
      <c r="E590" s="373"/>
      <c r="F590" s="373"/>
      <c r="G590" s="373"/>
      <c r="H590" s="373"/>
      <c r="I590" s="373"/>
      <c r="J590" s="373"/>
      <c r="K590" s="373"/>
      <c r="L590" s="373"/>
      <c r="M590" s="373"/>
      <c r="N590" s="373"/>
      <c r="O590" s="373"/>
      <c r="P590" s="373"/>
      <c r="Q590" s="373"/>
      <c r="R590" s="373"/>
      <c r="S590" s="373"/>
      <c r="T590" s="373"/>
      <c r="U590" s="373"/>
      <c r="V590" s="373"/>
    </row>
    <row r="591" spans="1:22" ht="18" x14ac:dyDescent="0.55000000000000004">
      <c r="A591" s="373"/>
      <c r="B591" s="373"/>
      <c r="C591" s="373"/>
      <c r="D591" s="373"/>
      <c r="E591" s="373"/>
      <c r="F591" s="373"/>
      <c r="G591" s="373"/>
      <c r="H591" s="373"/>
      <c r="I591" s="373"/>
      <c r="J591" s="373"/>
      <c r="K591" s="373"/>
      <c r="L591" s="373"/>
      <c r="M591" s="373"/>
      <c r="N591" s="373"/>
      <c r="O591" s="373"/>
      <c r="P591" s="373"/>
      <c r="Q591" s="373"/>
      <c r="R591" s="373"/>
      <c r="S591" s="373"/>
      <c r="T591" s="373"/>
      <c r="U591" s="373"/>
      <c r="V591" s="373"/>
    </row>
    <row r="592" spans="1:22" ht="18" x14ac:dyDescent="0.55000000000000004">
      <c r="A592" s="373"/>
      <c r="B592" s="373"/>
      <c r="C592" s="373"/>
      <c r="D592" s="373"/>
      <c r="E592" s="373"/>
      <c r="F592" s="373"/>
      <c r="G592" s="373"/>
      <c r="H592" s="373"/>
      <c r="I592" s="373"/>
      <c r="J592" s="373"/>
      <c r="K592" s="373"/>
      <c r="L592" s="373"/>
      <c r="M592" s="373"/>
      <c r="N592" s="373"/>
      <c r="O592" s="373"/>
      <c r="P592" s="373"/>
      <c r="Q592" s="373"/>
      <c r="R592" s="373"/>
      <c r="S592" s="373"/>
      <c r="T592" s="373"/>
      <c r="U592" s="373"/>
      <c r="V592" s="373"/>
    </row>
    <row r="593" spans="1:22" ht="18" x14ac:dyDescent="0.55000000000000004">
      <c r="A593" s="373"/>
      <c r="B593" s="373"/>
      <c r="C593" s="373"/>
      <c r="D593" s="373"/>
      <c r="E593" s="373"/>
      <c r="F593" s="373"/>
      <c r="G593" s="373"/>
      <c r="H593" s="373"/>
      <c r="I593" s="373"/>
      <c r="J593" s="373"/>
      <c r="K593" s="373"/>
      <c r="L593" s="373"/>
      <c r="M593" s="373"/>
      <c r="N593" s="373"/>
      <c r="O593" s="373"/>
      <c r="P593" s="373"/>
      <c r="Q593" s="373"/>
      <c r="R593" s="373"/>
      <c r="S593" s="373"/>
      <c r="T593" s="373"/>
      <c r="U593" s="373"/>
      <c r="V593" s="373"/>
    </row>
    <row r="594" spans="1:22" ht="18" x14ac:dyDescent="0.55000000000000004">
      <c r="A594" s="373"/>
      <c r="B594" s="373"/>
      <c r="C594" s="373"/>
      <c r="D594" s="373"/>
      <c r="E594" s="373"/>
      <c r="F594" s="373"/>
      <c r="G594" s="373"/>
      <c r="H594" s="373"/>
      <c r="I594" s="373"/>
      <c r="J594" s="373"/>
      <c r="K594" s="373"/>
      <c r="L594" s="373"/>
      <c r="M594" s="373"/>
      <c r="N594" s="373"/>
      <c r="O594" s="373"/>
      <c r="P594" s="373"/>
      <c r="Q594" s="373"/>
      <c r="R594" s="373"/>
      <c r="S594" s="373"/>
      <c r="T594" s="373"/>
      <c r="U594" s="373"/>
      <c r="V594" s="373"/>
    </row>
    <row r="595" spans="1:22" ht="18" x14ac:dyDescent="0.55000000000000004">
      <c r="A595" s="373"/>
      <c r="B595" s="373"/>
      <c r="C595" s="373"/>
      <c r="D595" s="373"/>
      <c r="E595" s="373"/>
      <c r="F595" s="373"/>
      <c r="G595" s="373"/>
      <c r="H595" s="373"/>
      <c r="I595" s="373"/>
      <c r="J595" s="373"/>
      <c r="K595" s="373"/>
      <c r="L595" s="373"/>
      <c r="M595" s="373"/>
      <c r="N595" s="373"/>
      <c r="O595" s="373"/>
      <c r="P595" s="373"/>
      <c r="Q595" s="373"/>
      <c r="R595" s="373"/>
      <c r="S595" s="373"/>
      <c r="T595" s="373"/>
      <c r="U595" s="373"/>
      <c r="V595" s="373"/>
    </row>
    <row r="596" spans="1:22" ht="18" x14ac:dyDescent="0.55000000000000004">
      <c r="A596" s="373"/>
      <c r="B596" s="373"/>
      <c r="C596" s="373"/>
      <c r="D596" s="373"/>
      <c r="E596" s="373"/>
      <c r="F596" s="373"/>
      <c r="G596" s="373"/>
      <c r="H596" s="373"/>
      <c r="I596" s="373"/>
      <c r="J596" s="373"/>
      <c r="K596" s="373"/>
      <c r="L596" s="373"/>
      <c r="M596" s="373"/>
      <c r="N596" s="373"/>
      <c r="O596" s="373"/>
      <c r="P596" s="373"/>
      <c r="Q596" s="373"/>
      <c r="R596" s="373"/>
      <c r="S596" s="373"/>
      <c r="T596" s="373"/>
      <c r="U596" s="373"/>
      <c r="V596" s="373"/>
    </row>
    <row r="597" spans="1:22" ht="18" x14ac:dyDescent="0.55000000000000004">
      <c r="A597" s="373"/>
      <c r="B597" s="373"/>
      <c r="C597" s="373"/>
      <c r="D597" s="373"/>
      <c r="E597" s="373"/>
      <c r="F597" s="373"/>
      <c r="G597" s="373"/>
      <c r="H597" s="373"/>
      <c r="I597" s="373"/>
      <c r="J597" s="373"/>
      <c r="K597" s="373"/>
      <c r="L597" s="373"/>
      <c r="M597" s="373"/>
      <c r="N597" s="373"/>
      <c r="O597" s="373"/>
      <c r="P597" s="373"/>
      <c r="Q597" s="373"/>
      <c r="R597" s="373"/>
      <c r="S597" s="373"/>
      <c r="T597" s="373"/>
      <c r="U597" s="373"/>
      <c r="V597" s="373"/>
    </row>
    <row r="598" spans="1:22" ht="18" x14ac:dyDescent="0.55000000000000004">
      <c r="A598" s="373"/>
      <c r="B598" s="373"/>
      <c r="C598" s="373"/>
      <c r="D598" s="373"/>
      <c r="E598" s="373"/>
      <c r="F598" s="373"/>
      <c r="G598" s="373"/>
      <c r="H598" s="373"/>
      <c r="I598" s="373"/>
      <c r="J598" s="373"/>
      <c r="K598" s="373"/>
      <c r="L598" s="373"/>
      <c r="M598" s="373"/>
      <c r="N598" s="373"/>
      <c r="O598" s="373"/>
      <c r="P598" s="373"/>
      <c r="Q598" s="373"/>
      <c r="R598" s="373"/>
      <c r="S598" s="373"/>
      <c r="T598" s="373"/>
      <c r="U598" s="373"/>
      <c r="V598" s="373"/>
    </row>
    <row r="599" spans="1:22" ht="18" x14ac:dyDescent="0.55000000000000004">
      <c r="A599" s="373"/>
      <c r="B599" s="373"/>
      <c r="C599" s="373"/>
      <c r="D599" s="373"/>
      <c r="E599" s="373"/>
      <c r="F599" s="373"/>
      <c r="G599" s="373"/>
      <c r="H599" s="373"/>
      <c r="I599" s="373"/>
      <c r="J599" s="373"/>
      <c r="K599" s="373"/>
      <c r="L599" s="373"/>
      <c r="M599" s="373"/>
      <c r="N599" s="373"/>
      <c r="O599" s="373"/>
      <c r="P599" s="373"/>
      <c r="Q599" s="373"/>
      <c r="R599" s="373"/>
      <c r="S599" s="373"/>
      <c r="T599" s="373"/>
      <c r="U599" s="373"/>
      <c r="V599" s="373"/>
    </row>
    <row r="600" spans="1:22" ht="18" x14ac:dyDescent="0.55000000000000004">
      <c r="A600" s="373"/>
      <c r="B600" s="373"/>
      <c r="C600" s="373"/>
      <c r="D600" s="373"/>
      <c r="E600" s="373"/>
      <c r="F600" s="373"/>
      <c r="G600" s="373"/>
      <c r="H600" s="373"/>
      <c r="I600" s="373"/>
      <c r="J600" s="373"/>
      <c r="K600" s="373"/>
      <c r="L600" s="373"/>
      <c r="M600" s="373"/>
      <c r="N600" s="373"/>
      <c r="O600" s="373"/>
      <c r="P600" s="373"/>
      <c r="Q600" s="373"/>
      <c r="R600" s="373"/>
      <c r="S600" s="373"/>
      <c r="T600" s="373"/>
      <c r="U600" s="373"/>
      <c r="V600" s="373"/>
    </row>
    <row r="601" spans="1:22" ht="18" x14ac:dyDescent="0.55000000000000004">
      <c r="A601" s="373"/>
      <c r="B601" s="373"/>
      <c r="C601" s="373"/>
      <c r="D601" s="373"/>
      <c r="E601" s="373"/>
      <c r="F601" s="373"/>
      <c r="G601" s="373"/>
      <c r="H601" s="373"/>
      <c r="I601" s="373"/>
      <c r="J601" s="373"/>
      <c r="K601" s="373"/>
      <c r="L601" s="373"/>
      <c r="M601" s="373"/>
      <c r="N601" s="373"/>
      <c r="O601" s="373"/>
      <c r="P601" s="373"/>
      <c r="Q601" s="373"/>
      <c r="R601" s="373"/>
      <c r="S601" s="373"/>
      <c r="T601" s="373"/>
      <c r="U601" s="373"/>
      <c r="V601" s="373"/>
    </row>
    <row r="602" spans="1:22" ht="18" x14ac:dyDescent="0.55000000000000004">
      <c r="A602" s="373"/>
      <c r="B602" s="373"/>
      <c r="C602" s="373"/>
      <c r="D602" s="373"/>
      <c r="E602" s="373"/>
      <c r="F602" s="373"/>
      <c r="G602" s="373"/>
      <c r="H602" s="373"/>
      <c r="I602" s="373"/>
      <c r="J602" s="373"/>
      <c r="K602" s="373"/>
      <c r="L602" s="373"/>
      <c r="M602" s="373"/>
      <c r="N602" s="373"/>
      <c r="O602" s="373"/>
      <c r="P602" s="373"/>
      <c r="Q602" s="373"/>
      <c r="R602" s="373"/>
      <c r="S602" s="373"/>
      <c r="T602" s="373"/>
      <c r="U602" s="373"/>
      <c r="V602" s="373"/>
    </row>
    <row r="603" spans="1:22" ht="18" x14ac:dyDescent="0.55000000000000004">
      <c r="A603" s="373"/>
      <c r="B603" s="373"/>
      <c r="C603" s="373"/>
      <c r="D603" s="373"/>
      <c r="E603" s="373"/>
      <c r="F603" s="373"/>
      <c r="G603" s="373"/>
      <c r="H603" s="373"/>
      <c r="I603" s="373"/>
      <c r="J603" s="373"/>
      <c r="K603" s="373"/>
      <c r="L603" s="373"/>
      <c r="M603" s="373"/>
      <c r="N603" s="373"/>
      <c r="O603" s="373"/>
      <c r="P603" s="373"/>
      <c r="Q603" s="373"/>
      <c r="R603" s="373"/>
      <c r="S603" s="373"/>
      <c r="T603" s="373"/>
      <c r="U603" s="373"/>
      <c r="V603" s="373"/>
    </row>
    <row r="604" spans="1:22" ht="18" x14ac:dyDescent="0.55000000000000004">
      <c r="A604" s="373"/>
      <c r="B604" s="373"/>
      <c r="C604" s="373"/>
      <c r="D604" s="373"/>
      <c r="E604" s="373"/>
      <c r="F604" s="373"/>
      <c r="G604" s="373"/>
      <c r="H604" s="373"/>
      <c r="I604" s="373"/>
      <c r="J604" s="373"/>
      <c r="K604" s="373"/>
      <c r="L604" s="373"/>
      <c r="M604" s="373"/>
      <c r="N604" s="373"/>
      <c r="O604" s="373"/>
      <c r="P604" s="373"/>
      <c r="Q604" s="373"/>
      <c r="R604" s="373"/>
      <c r="S604" s="373"/>
      <c r="T604" s="373"/>
      <c r="U604" s="373"/>
      <c r="V604" s="373"/>
    </row>
    <row r="605" spans="1:22" ht="18" x14ac:dyDescent="0.55000000000000004">
      <c r="A605" s="373"/>
      <c r="B605" s="373"/>
      <c r="C605" s="373"/>
      <c r="D605" s="373"/>
      <c r="E605" s="373"/>
      <c r="F605" s="373"/>
      <c r="G605" s="373"/>
      <c r="H605" s="373"/>
      <c r="I605" s="373"/>
      <c r="J605" s="373"/>
      <c r="K605" s="373"/>
      <c r="L605" s="373"/>
      <c r="M605" s="373"/>
      <c r="N605" s="373"/>
      <c r="O605" s="373"/>
      <c r="P605" s="373"/>
      <c r="Q605" s="373"/>
      <c r="R605" s="373"/>
      <c r="S605" s="373"/>
      <c r="T605" s="373"/>
      <c r="U605" s="373"/>
      <c r="V605" s="373"/>
    </row>
    <row r="606" spans="1:22" ht="18" x14ac:dyDescent="0.55000000000000004">
      <c r="A606" s="373"/>
      <c r="B606" s="373"/>
      <c r="C606" s="373"/>
      <c r="D606" s="373"/>
      <c r="E606" s="373"/>
      <c r="F606" s="373"/>
      <c r="G606" s="373"/>
      <c r="H606" s="373"/>
      <c r="I606" s="373"/>
      <c r="J606" s="373"/>
      <c r="K606" s="373"/>
      <c r="L606" s="373"/>
      <c r="M606" s="373"/>
      <c r="N606" s="373"/>
      <c r="O606" s="373"/>
      <c r="P606" s="373"/>
      <c r="Q606" s="373"/>
      <c r="R606" s="373"/>
      <c r="S606" s="373"/>
      <c r="T606" s="373"/>
      <c r="U606" s="373"/>
      <c r="V606" s="373"/>
    </row>
    <row r="607" spans="1:22" ht="18" x14ac:dyDescent="0.55000000000000004">
      <c r="A607" s="373"/>
      <c r="B607" s="373"/>
      <c r="C607" s="373"/>
      <c r="D607" s="373"/>
      <c r="E607" s="373"/>
      <c r="F607" s="373"/>
      <c r="G607" s="373"/>
      <c r="H607" s="373"/>
      <c r="I607" s="373"/>
      <c r="J607" s="373"/>
      <c r="K607" s="373"/>
      <c r="L607" s="373"/>
      <c r="M607" s="373"/>
      <c r="N607" s="373"/>
      <c r="O607" s="373"/>
      <c r="P607" s="373"/>
      <c r="Q607" s="373"/>
      <c r="R607" s="373"/>
      <c r="S607" s="373"/>
      <c r="T607" s="373"/>
      <c r="U607" s="373"/>
      <c r="V607" s="373"/>
    </row>
    <row r="608" spans="1:22" ht="18" x14ac:dyDescent="0.55000000000000004">
      <c r="A608" s="373"/>
      <c r="B608" s="373"/>
      <c r="C608" s="373"/>
      <c r="D608" s="373"/>
      <c r="E608" s="373"/>
      <c r="F608" s="373"/>
      <c r="G608" s="373"/>
      <c r="H608" s="373"/>
      <c r="I608" s="373"/>
      <c r="J608" s="373"/>
      <c r="K608" s="373"/>
      <c r="L608" s="373"/>
      <c r="M608" s="373"/>
      <c r="N608" s="373"/>
      <c r="O608" s="373"/>
      <c r="P608" s="373"/>
      <c r="Q608" s="373"/>
      <c r="R608" s="373"/>
      <c r="S608" s="373"/>
      <c r="T608" s="373"/>
      <c r="U608" s="373"/>
      <c r="V608" s="373"/>
    </row>
    <row r="609" spans="1:22" ht="18" x14ac:dyDescent="0.55000000000000004">
      <c r="A609" s="373"/>
      <c r="B609" s="373"/>
      <c r="C609" s="373"/>
      <c r="D609" s="373"/>
      <c r="E609" s="373"/>
      <c r="F609" s="373"/>
      <c r="G609" s="373"/>
      <c r="H609" s="373"/>
      <c r="I609" s="373"/>
      <c r="J609" s="373"/>
      <c r="K609" s="373"/>
      <c r="L609" s="373"/>
      <c r="M609" s="373"/>
      <c r="N609" s="373"/>
      <c r="O609" s="373"/>
      <c r="P609" s="373"/>
      <c r="Q609" s="373"/>
      <c r="R609" s="373"/>
      <c r="S609" s="373"/>
      <c r="T609" s="373"/>
      <c r="U609" s="373"/>
      <c r="V609" s="373"/>
    </row>
    <row r="610" spans="1:22" ht="18" x14ac:dyDescent="0.55000000000000004">
      <c r="A610" s="373"/>
      <c r="B610" s="373"/>
      <c r="C610" s="373"/>
      <c r="D610" s="373"/>
      <c r="E610" s="373"/>
      <c r="F610" s="373"/>
      <c r="G610" s="373"/>
      <c r="H610" s="373"/>
      <c r="I610" s="373"/>
      <c r="J610" s="373"/>
      <c r="K610" s="373"/>
      <c r="L610" s="373"/>
      <c r="M610" s="373"/>
      <c r="N610" s="373"/>
      <c r="O610" s="373"/>
      <c r="P610" s="373"/>
      <c r="Q610" s="373"/>
      <c r="R610" s="373"/>
      <c r="S610" s="373"/>
      <c r="T610" s="373"/>
      <c r="U610" s="373"/>
      <c r="V610" s="373"/>
    </row>
    <row r="611" spans="1:22" ht="18" x14ac:dyDescent="0.55000000000000004">
      <c r="A611" s="373"/>
      <c r="B611" s="373"/>
      <c r="C611" s="373"/>
      <c r="D611" s="373"/>
      <c r="E611" s="373"/>
      <c r="F611" s="373"/>
      <c r="G611" s="373"/>
      <c r="H611" s="373"/>
      <c r="I611" s="373"/>
      <c r="J611" s="373"/>
      <c r="K611" s="373"/>
      <c r="L611" s="373"/>
      <c r="M611" s="373"/>
      <c r="N611" s="373"/>
      <c r="O611" s="373"/>
      <c r="P611" s="373"/>
      <c r="Q611" s="373"/>
      <c r="R611" s="373"/>
      <c r="S611" s="373"/>
      <c r="T611" s="373"/>
      <c r="U611" s="373"/>
      <c r="V611" s="373"/>
    </row>
    <row r="612" spans="1:22" ht="18" x14ac:dyDescent="0.55000000000000004">
      <c r="A612" s="373"/>
      <c r="B612" s="373"/>
      <c r="C612" s="373"/>
      <c r="D612" s="373"/>
      <c r="E612" s="373"/>
      <c r="F612" s="373"/>
      <c r="G612" s="373"/>
      <c r="H612" s="373"/>
      <c r="I612" s="373"/>
      <c r="J612" s="373"/>
      <c r="K612" s="373"/>
      <c r="L612" s="373"/>
      <c r="M612" s="373"/>
      <c r="N612" s="373"/>
      <c r="O612" s="373"/>
      <c r="P612" s="373"/>
      <c r="Q612" s="373"/>
      <c r="R612" s="373"/>
      <c r="S612" s="373"/>
      <c r="T612" s="373"/>
      <c r="U612" s="373"/>
      <c r="V612" s="373"/>
    </row>
    <row r="613" spans="1:22" ht="18" x14ac:dyDescent="0.55000000000000004">
      <c r="A613" s="373"/>
      <c r="B613" s="373"/>
      <c r="C613" s="373"/>
      <c r="D613" s="373"/>
      <c r="E613" s="373"/>
      <c r="F613" s="373"/>
      <c r="G613" s="373"/>
      <c r="H613" s="373"/>
      <c r="I613" s="373"/>
      <c r="J613" s="373"/>
      <c r="K613" s="373"/>
      <c r="L613" s="373"/>
      <c r="M613" s="373"/>
      <c r="N613" s="373"/>
      <c r="O613" s="373"/>
      <c r="P613" s="373"/>
      <c r="Q613" s="373"/>
      <c r="R613" s="373"/>
      <c r="S613" s="373"/>
      <c r="T613" s="373"/>
      <c r="U613" s="373"/>
      <c r="V613" s="373"/>
    </row>
    <row r="614" spans="1:22" ht="18" x14ac:dyDescent="0.55000000000000004">
      <c r="A614" s="373"/>
      <c r="B614" s="373"/>
      <c r="C614" s="373"/>
      <c r="D614" s="373"/>
      <c r="E614" s="373"/>
      <c r="F614" s="373"/>
      <c r="G614" s="373"/>
      <c r="H614" s="373"/>
      <c r="I614" s="373"/>
      <c r="J614" s="373"/>
      <c r="K614" s="373"/>
      <c r="L614" s="373"/>
      <c r="M614" s="373"/>
      <c r="N614" s="373"/>
      <c r="O614" s="373"/>
      <c r="P614" s="373"/>
      <c r="Q614" s="373"/>
      <c r="R614" s="373"/>
      <c r="S614" s="373"/>
      <c r="T614" s="373"/>
      <c r="U614" s="373"/>
      <c r="V614" s="373"/>
    </row>
    <row r="615" spans="1:22" ht="18" x14ac:dyDescent="0.55000000000000004">
      <c r="A615" s="373"/>
      <c r="B615" s="373"/>
      <c r="C615" s="373"/>
      <c r="D615" s="373"/>
      <c r="E615" s="373"/>
      <c r="F615" s="373"/>
      <c r="G615" s="373"/>
      <c r="H615" s="373"/>
      <c r="I615" s="373"/>
      <c r="J615" s="373"/>
      <c r="K615" s="373"/>
      <c r="L615" s="373"/>
      <c r="M615" s="373"/>
      <c r="N615" s="373"/>
      <c r="O615" s="373"/>
      <c r="P615" s="373"/>
      <c r="Q615" s="373"/>
      <c r="R615" s="373"/>
      <c r="S615" s="373"/>
      <c r="T615" s="373"/>
      <c r="U615" s="373"/>
      <c r="V615" s="373"/>
    </row>
    <row r="616" spans="1:22" ht="18" x14ac:dyDescent="0.55000000000000004">
      <c r="A616" s="373"/>
      <c r="B616" s="373"/>
      <c r="C616" s="373"/>
      <c r="D616" s="373"/>
      <c r="E616" s="373"/>
      <c r="F616" s="373"/>
      <c r="G616" s="373"/>
      <c r="H616" s="373"/>
      <c r="I616" s="373"/>
      <c r="J616" s="373"/>
      <c r="K616" s="373"/>
      <c r="L616" s="373"/>
      <c r="M616" s="373"/>
      <c r="N616" s="373"/>
      <c r="O616" s="373"/>
      <c r="P616" s="373"/>
      <c r="Q616" s="373"/>
      <c r="R616" s="373"/>
      <c r="S616" s="373"/>
      <c r="T616" s="373"/>
      <c r="U616" s="373"/>
      <c r="V616" s="373"/>
    </row>
    <row r="617" spans="1:22" ht="18" x14ac:dyDescent="0.55000000000000004">
      <c r="A617" s="373"/>
      <c r="B617" s="373"/>
      <c r="C617" s="373"/>
      <c r="D617" s="373"/>
      <c r="E617" s="373"/>
      <c r="F617" s="373"/>
      <c r="G617" s="373"/>
      <c r="H617" s="373"/>
      <c r="I617" s="373"/>
      <c r="J617" s="373"/>
      <c r="K617" s="373"/>
      <c r="L617" s="373"/>
      <c r="M617" s="373"/>
      <c r="N617" s="373"/>
      <c r="O617" s="373"/>
      <c r="P617" s="373"/>
      <c r="Q617" s="373"/>
      <c r="R617" s="373"/>
      <c r="S617" s="373"/>
      <c r="T617" s="373"/>
      <c r="U617" s="373"/>
      <c r="V617" s="373"/>
    </row>
    <row r="618" spans="1:22" ht="18" x14ac:dyDescent="0.55000000000000004">
      <c r="A618" s="373"/>
      <c r="B618" s="373"/>
      <c r="C618" s="373"/>
      <c r="D618" s="373"/>
      <c r="E618" s="373"/>
      <c r="F618" s="373"/>
      <c r="G618" s="373"/>
      <c r="H618" s="373"/>
      <c r="I618" s="373"/>
      <c r="J618" s="373"/>
      <c r="K618" s="373"/>
      <c r="L618" s="373"/>
      <c r="M618" s="373"/>
      <c r="N618" s="373"/>
      <c r="O618" s="373"/>
      <c r="P618" s="373"/>
      <c r="Q618" s="373"/>
      <c r="R618" s="373"/>
      <c r="S618" s="373"/>
      <c r="T618" s="373"/>
      <c r="U618" s="373"/>
      <c r="V618" s="373"/>
    </row>
    <row r="619" spans="1:22" ht="18" x14ac:dyDescent="0.55000000000000004">
      <c r="A619" s="373"/>
      <c r="B619" s="373"/>
      <c r="C619" s="373"/>
      <c r="D619" s="373"/>
      <c r="E619" s="373"/>
      <c r="F619" s="373"/>
      <c r="G619" s="373"/>
      <c r="H619" s="373"/>
      <c r="I619" s="373"/>
      <c r="J619" s="373"/>
      <c r="K619" s="373"/>
      <c r="L619" s="373"/>
      <c r="M619" s="373"/>
      <c r="N619" s="373"/>
      <c r="O619" s="373"/>
      <c r="P619" s="373"/>
      <c r="Q619" s="373"/>
      <c r="R619" s="373"/>
      <c r="S619" s="373"/>
      <c r="T619" s="373"/>
      <c r="U619" s="373"/>
      <c r="V619" s="373"/>
    </row>
    <row r="620" spans="1:22" ht="18" x14ac:dyDescent="0.55000000000000004">
      <c r="A620" s="373"/>
      <c r="B620" s="373"/>
      <c r="C620" s="373"/>
      <c r="D620" s="373"/>
      <c r="E620" s="373"/>
      <c r="F620" s="373"/>
      <c r="G620" s="373"/>
      <c r="H620" s="373"/>
      <c r="I620" s="373"/>
      <c r="J620" s="373"/>
      <c r="K620" s="373"/>
      <c r="L620" s="373"/>
      <c r="M620" s="373"/>
      <c r="N620" s="373"/>
      <c r="O620" s="373"/>
      <c r="P620" s="373"/>
      <c r="Q620" s="373"/>
      <c r="R620" s="373"/>
      <c r="S620" s="373"/>
      <c r="T620" s="373"/>
      <c r="U620" s="373"/>
      <c r="V620" s="373"/>
    </row>
    <row r="621" spans="1:22" ht="18" x14ac:dyDescent="0.55000000000000004">
      <c r="A621" s="373"/>
      <c r="B621" s="373"/>
      <c r="C621" s="373"/>
      <c r="D621" s="373"/>
      <c r="E621" s="373"/>
      <c r="F621" s="373"/>
      <c r="G621" s="373"/>
      <c r="H621" s="373"/>
      <c r="I621" s="373"/>
      <c r="J621" s="373"/>
      <c r="K621" s="373"/>
      <c r="L621" s="373"/>
      <c r="M621" s="373"/>
      <c r="N621" s="373"/>
      <c r="O621" s="373"/>
      <c r="P621" s="373"/>
      <c r="Q621" s="373"/>
      <c r="R621" s="373"/>
      <c r="S621" s="373"/>
      <c r="T621" s="373"/>
      <c r="U621" s="373"/>
      <c r="V621" s="373"/>
    </row>
    <row r="622" spans="1:22" ht="18" x14ac:dyDescent="0.55000000000000004">
      <c r="A622" s="373"/>
      <c r="B622" s="373"/>
      <c r="C622" s="373"/>
      <c r="D622" s="373"/>
      <c r="E622" s="373"/>
      <c r="F622" s="373"/>
      <c r="G622" s="373"/>
      <c r="H622" s="373"/>
      <c r="I622" s="373"/>
      <c r="J622" s="373"/>
      <c r="K622" s="373"/>
      <c r="L622" s="373"/>
      <c r="M622" s="373"/>
      <c r="N622" s="373"/>
      <c r="O622" s="373"/>
      <c r="P622" s="373"/>
      <c r="Q622" s="373"/>
      <c r="R622" s="373"/>
      <c r="S622" s="373"/>
      <c r="T622" s="373"/>
      <c r="U622" s="373"/>
      <c r="V622" s="373"/>
    </row>
    <row r="623" spans="1:22" ht="18" x14ac:dyDescent="0.55000000000000004">
      <c r="A623" s="373"/>
      <c r="B623" s="373"/>
      <c r="C623" s="373"/>
      <c r="D623" s="373"/>
      <c r="E623" s="373"/>
      <c r="F623" s="373"/>
      <c r="G623" s="373"/>
      <c r="H623" s="373"/>
      <c r="I623" s="373"/>
      <c r="J623" s="373"/>
      <c r="K623" s="373"/>
      <c r="L623" s="373"/>
      <c r="M623" s="373"/>
      <c r="N623" s="373"/>
      <c r="O623" s="373"/>
      <c r="P623" s="373"/>
      <c r="Q623" s="373"/>
      <c r="R623" s="373"/>
      <c r="S623" s="373"/>
      <c r="T623" s="373"/>
      <c r="U623" s="373"/>
      <c r="V623" s="373"/>
    </row>
    <row r="624" spans="1:22" ht="18" x14ac:dyDescent="0.55000000000000004">
      <c r="A624" s="373"/>
      <c r="B624" s="373"/>
      <c r="C624" s="373"/>
      <c r="D624" s="373"/>
      <c r="E624" s="373"/>
      <c r="F624" s="373"/>
      <c r="G624" s="373"/>
      <c r="H624" s="373"/>
      <c r="I624" s="373"/>
      <c r="J624" s="373"/>
      <c r="K624" s="373"/>
      <c r="L624" s="373"/>
      <c r="M624" s="373"/>
      <c r="N624" s="373"/>
      <c r="O624" s="373"/>
      <c r="P624" s="373"/>
      <c r="Q624" s="373"/>
      <c r="R624" s="373"/>
      <c r="S624" s="373"/>
      <c r="T624" s="373"/>
      <c r="U624" s="373"/>
      <c r="V624" s="373"/>
    </row>
    <row r="625" spans="1:22" ht="18" x14ac:dyDescent="0.55000000000000004">
      <c r="A625" s="373"/>
      <c r="B625" s="373"/>
      <c r="C625" s="373"/>
      <c r="D625" s="373"/>
      <c r="E625" s="373"/>
      <c r="F625" s="373"/>
      <c r="G625" s="373"/>
      <c r="H625" s="373"/>
      <c r="I625" s="373"/>
      <c r="J625" s="373"/>
      <c r="K625" s="373"/>
      <c r="L625" s="373"/>
      <c r="M625" s="373"/>
      <c r="N625" s="373"/>
      <c r="O625" s="373"/>
      <c r="P625" s="373"/>
      <c r="Q625" s="373"/>
      <c r="R625" s="373"/>
      <c r="S625" s="373"/>
      <c r="T625" s="373"/>
      <c r="U625" s="373"/>
      <c r="V625" s="373"/>
    </row>
    <row r="626" spans="1:22" ht="18" x14ac:dyDescent="0.55000000000000004">
      <c r="A626" s="373"/>
      <c r="B626" s="373"/>
      <c r="C626" s="373"/>
      <c r="D626" s="373"/>
      <c r="E626" s="373"/>
      <c r="F626" s="373"/>
      <c r="G626" s="373"/>
      <c r="H626" s="373"/>
      <c r="I626" s="373"/>
      <c r="J626" s="373"/>
      <c r="K626" s="373"/>
      <c r="L626" s="373"/>
      <c r="M626" s="373"/>
      <c r="N626" s="373"/>
      <c r="O626" s="373"/>
      <c r="P626" s="373"/>
      <c r="Q626" s="373"/>
      <c r="R626" s="373"/>
      <c r="S626" s="373"/>
      <c r="T626" s="373"/>
      <c r="U626" s="373"/>
      <c r="V626" s="373"/>
    </row>
    <row r="627" spans="1:22" ht="18" x14ac:dyDescent="0.55000000000000004">
      <c r="A627" s="373"/>
      <c r="B627" s="373"/>
      <c r="C627" s="373"/>
      <c r="D627" s="373"/>
      <c r="E627" s="373"/>
      <c r="F627" s="373"/>
      <c r="G627" s="373"/>
      <c r="H627" s="373"/>
      <c r="I627" s="373"/>
      <c r="J627" s="373"/>
      <c r="K627" s="373"/>
      <c r="L627" s="373"/>
      <c r="M627" s="373"/>
      <c r="N627" s="373"/>
      <c r="O627" s="373"/>
      <c r="P627" s="373"/>
      <c r="Q627" s="373"/>
      <c r="R627" s="373"/>
      <c r="S627" s="373"/>
      <c r="T627" s="373"/>
      <c r="U627" s="373"/>
      <c r="V627" s="373"/>
    </row>
    <row r="628" spans="1:22" ht="18" x14ac:dyDescent="0.55000000000000004">
      <c r="A628" s="373"/>
      <c r="B628" s="373"/>
      <c r="C628" s="373"/>
      <c r="D628" s="373"/>
      <c r="E628" s="373"/>
      <c r="F628" s="373"/>
      <c r="G628" s="373"/>
      <c r="H628" s="373"/>
      <c r="I628" s="373"/>
      <c r="J628" s="373"/>
      <c r="K628" s="373"/>
      <c r="L628" s="373"/>
      <c r="M628" s="373"/>
      <c r="N628" s="373"/>
      <c r="O628" s="373"/>
      <c r="P628" s="373"/>
      <c r="Q628" s="373"/>
      <c r="R628" s="373"/>
      <c r="S628" s="373"/>
      <c r="T628" s="373"/>
      <c r="U628" s="373"/>
      <c r="V628" s="373"/>
    </row>
    <row r="629" spans="1:22" ht="18" x14ac:dyDescent="0.55000000000000004">
      <c r="A629" s="373"/>
      <c r="B629" s="373"/>
      <c r="C629" s="373"/>
      <c r="D629" s="373"/>
      <c r="E629" s="373"/>
      <c r="F629" s="373"/>
      <c r="G629" s="373"/>
      <c r="H629" s="373"/>
      <c r="I629" s="373"/>
      <c r="J629" s="373"/>
      <c r="K629" s="373"/>
      <c r="L629" s="373"/>
      <c r="M629" s="373"/>
      <c r="N629" s="373"/>
      <c r="O629" s="373"/>
      <c r="P629" s="373"/>
      <c r="Q629" s="373"/>
      <c r="R629" s="373"/>
      <c r="S629" s="373"/>
      <c r="T629" s="373"/>
      <c r="U629" s="373"/>
      <c r="V629" s="373"/>
    </row>
    <row r="630" spans="1:22" ht="18" x14ac:dyDescent="0.55000000000000004">
      <c r="A630" s="373"/>
      <c r="B630" s="373"/>
      <c r="C630" s="373"/>
      <c r="D630" s="373"/>
      <c r="E630" s="373"/>
      <c r="F630" s="373"/>
      <c r="G630" s="373"/>
      <c r="H630" s="373"/>
      <c r="I630" s="373"/>
      <c r="J630" s="373"/>
      <c r="K630" s="373"/>
      <c r="L630" s="373"/>
      <c r="M630" s="373"/>
      <c r="N630" s="373"/>
      <c r="O630" s="373"/>
      <c r="P630" s="373"/>
      <c r="Q630" s="373"/>
      <c r="R630" s="373"/>
      <c r="S630" s="373"/>
      <c r="T630" s="373"/>
      <c r="U630" s="373"/>
      <c r="V630" s="373"/>
    </row>
    <row r="631" spans="1:22" ht="18" x14ac:dyDescent="0.55000000000000004">
      <c r="A631" s="373"/>
      <c r="B631" s="373"/>
      <c r="C631" s="373"/>
      <c r="D631" s="373"/>
      <c r="E631" s="373"/>
      <c r="F631" s="373"/>
      <c r="G631" s="373"/>
      <c r="H631" s="373"/>
      <c r="I631" s="373"/>
      <c r="J631" s="373"/>
      <c r="K631" s="373"/>
      <c r="L631" s="373"/>
      <c r="M631" s="373"/>
      <c r="N631" s="373"/>
      <c r="O631" s="373"/>
      <c r="P631" s="373"/>
      <c r="Q631" s="373"/>
      <c r="R631" s="373"/>
      <c r="S631" s="373"/>
      <c r="T631" s="373"/>
      <c r="U631" s="373"/>
      <c r="V631" s="373"/>
    </row>
    <row r="632" spans="1:22" ht="18" x14ac:dyDescent="0.55000000000000004">
      <c r="A632" s="373"/>
      <c r="B632" s="373"/>
      <c r="C632" s="373"/>
      <c r="D632" s="373"/>
      <c r="E632" s="373"/>
      <c r="F632" s="373"/>
      <c r="G632" s="373"/>
      <c r="H632" s="373"/>
      <c r="I632" s="373"/>
      <c r="J632" s="373"/>
      <c r="K632" s="373"/>
      <c r="L632" s="373"/>
      <c r="M632" s="373"/>
      <c r="N632" s="373"/>
      <c r="O632" s="373"/>
      <c r="P632" s="373"/>
      <c r="Q632" s="373"/>
      <c r="R632" s="373"/>
      <c r="S632" s="373"/>
      <c r="T632" s="373"/>
      <c r="U632" s="373"/>
      <c r="V632" s="373"/>
    </row>
    <row r="633" spans="1:22" ht="18" x14ac:dyDescent="0.55000000000000004">
      <c r="A633" s="373"/>
      <c r="B633" s="373"/>
      <c r="C633" s="373"/>
      <c r="D633" s="373"/>
      <c r="E633" s="373"/>
      <c r="F633" s="373"/>
      <c r="G633" s="373"/>
      <c r="H633" s="373"/>
      <c r="I633" s="373"/>
      <c r="J633" s="373"/>
      <c r="K633" s="373"/>
      <c r="L633" s="373"/>
      <c r="M633" s="373"/>
      <c r="N633" s="373"/>
      <c r="O633" s="373"/>
      <c r="P633" s="373"/>
      <c r="Q633" s="373"/>
      <c r="R633" s="373"/>
      <c r="S633" s="373"/>
      <c r="T633" s="373"/>
      <c r="U633" s="373"/>
      <c r="V633" s="373"/>
    </row>
    <row r="634" spans="1:22" ht="18" x14ac:dyDescent="0.55000000000000004">
      <c r="A634" s="373"/>
      <c r="B634" s="373"/>
      <c r="C634" s="373"/>
      <c r="D634" s="373"/>
      <c r="E634" s="373"/>
      <c r="F634" s="373"/>
      <c r="G634" s="373"/>
      <c r="H634" s="373"/>
      <c r="I634" s="373"/>
      <c r="J634" s="373"/>
      <c r="K634" s="373"/>
      <c r="L634" s="373"/>
      <c r="M634" s="373"/>
      <c r="N634" s="373"/>
      <c r="O634" s="373"/>
      <c r="P634" s="373"/>
      <c r="Q634" s="373"/>
      <c r="R634" s="373"/>
      <c r="S634" s="373"/>
      <c r="T634" s="373"/>
      <c r="U634" s="373"/>
      <c r="V634" s="373"/>
    </row>
    <row r="635" spans="1:22" ht="18" x14ac:dyDescent="0.55000000000000004">
      <c r="A635" s="373"/>
      <c r="B635" s="373"/>
      <c r="C635" s="373"/>
      <c r="D635" s="373"/>
      <c r="E635" s="373"/>
      <c r="F635" s="373"/>
      <c r="G635" s="373"/>
      <c r="H635" s="373"/>
      <c r="I635" s="373"/>
      <c r="J635" s="373"/>
      <c r="K635" s="373"/>
      <c r="L635" s="373"/>
      <c r="M635" s="373"/>
      <c r="N635" s="373"/>
      <c r="O635" s="373"/>
      <c r="P635" s="373"/>
      <c r="Q635" s="373"/>
      <c r="R635" s="373"/>
      <c r="S635" s="373"/>
      <c r="T635" s="373"/>
      <c r="U635" s="373"/>
      <c r="V635" s="373"/>
    </row>
    <row r="636" spans="1:22" ht="18" x14ac:dyDescent="0.55000000000000004">
      <c r="A636" s="373"/>
      <c r="B636" s="373"/>
      <c r="C636" s="373"/>
      <c r="D636" s="373"/>
      <c r="E636" s="373"/>
      <c r="F636" s="373"/>
      <c r="G636" s="373"/>
      <c r="H636" s="373"/>
      <c r="I636" s="373"/>
      <c r="J636" s="373"/>
      <c r="K636" s="373"/>
      <c r="L636" s="373"/>
      <c r="M636" s="373"/>
      <c r="N636" s="373"/>
      <c r="O636" s="373"/>
      <c r="P636" s="373"/>
      <c r="Q636" s="373"/>
      <c r="R636" s="373"/>
      <c r="S636" s="373"/>
      <c r="T636" s="373"/>
      <c r="U636" s="373"/>
      <c r="V636" s="373"/>
    </row>
    <row r="637" spans="1:22" ht="18" x14ac:dyDescent="0.55000000000000004">
      <c r="A637" s="373"/>
      <c r="B637" s="373"/>
      <c r="C637" s="373"/>
      <c r="D637" s="373"/>
      <c r="E637" s="373"/>
      <c r="F637" s="373"/>
      <c r="G637" s="373"/>
      <c r="H637" s="373"/>
      <c r="I637" s="373"/>
      <c r="J637" s="373"/>
      <c r="K637" s="373"/>
      <c r="L637" s="373"/>
      <c r="M637" s="373"/>
      <c r="N637" s="373"/>
      <c r="O637" s="373"/>
      <c r="P637" s="373"/>
      <c r="Q637" s="373"/>
      <c r="R637" s="373"/>
      <c r="S637" s="373"/>
      <c r="T637" s="373"/>
      <c r="U637" s="373"/>
      <c r="V637" s="373"/>
    </row>
    <row r="638" spans="1:22" ht="18" x14ac:dyDescent="0.55000000000000004">
      <c r="A638" s="373"/>
      <c r="B638" s="373"/>
      <c r="C638" s="373"/>
      <c r="D638" s="373"/>
      <c r="E638" s="373"/>
      <c r="F638" s="373"/>
      <c r="G638" s="373"/>
      <c r="H638" s="373"/>
      <c r="I638" s="373"/>
      <c r="J638" s="373"/>
      <c r="K638" s="373"/>
      <c r="L638" s="373"/>
      <c r="M638" s="373"/>
      <c r="N638" s="373"/>
      <c r="O638" s="373"/>
      <c r="P638" s="373"/>
      <c r="Q638" s="373"/>
      <c r="R638" s="373"/>
      <c r="S638" s="373"/>
      <c r="T638" s="373"/>
      <c r="U638" s="373"/>
      <c r="V638" s="373"/>
    </row>
    <row r="639" spans="1:22" ht="18" x14ac:dyDescent="0.55000000000000004">
      <c r="A639" s="373"/>
      <c r="B639" s="373"/>
      <c r="C639" s="373"/>
      <c r="D639" s="373"/>
      <c r="E639" s="373"/>
      <c r="F639" s="373"/>
      <c r="G639" s="373"/>
      <c r="H639" s="373"/>
      <c r="I639" s="373"/>
      <c r="J639" s="373"/>
      <c r="K639" s="373"/>
      <c r="L639" s="373"/>
      <c r="M639" s="373"/>
      <c r="N639" s="373"/>
      <c r="O639" s="373"/>
      <c r="P639" s="373"/>
      <c r="Q639" s="373"/>
      <c r="R639" s="373"/>
      <c r="S639" s="373"/>
      <c r="T639" s="373"/>
      <c r="U639" s="373"/>
      <c r="V639" s="373"/>
    </row>
    <row r="640" spans="1:22" ht="18" x14ac:dyDescent="0.55000000000000004">
      <c r="A640" s="373"/>
      <c r="B640" s="373"/>
      <c r="C640" s="373"/>
      <c r="D640" s="373"/>
      <c r="E640" s="373"/>
      <c r="F640" s="373"/>
      <c r="G640" s="373"/>
      <c r="H640" s="373"/>
      <c r="I640" s="373"/>
      <c r="J640" s="373"/>
      <c r="K640" s="373"/>
      <c r="L640" s="373"/>
      <c r="M640" s="373"/>
      <c r="N640" s="373"/>
      <c r="O640" s="373"/>
      <c r="P640" s="373"/>
      <c r="Q640" s="373"/>
      <c r="R640" s="373"/>
      <c r="S640" s="373"/>
      <c r="T640" s="373"/>
      <c r="U640" s="373"/>
      <c r="V640" s="373"/>
    </row>
    <row r="641" spans="1:22" ht="18" x14ac:dyDescent="0.55000000000000004">
      <c r="A641" s="373"/>
      <c r="B641" s="373"/>
      <c r="C641" s="373"/>
      <c r="D641" s="373"/>
      <c r="E641" s="373"/>
      <c r="F641" s="373"/>
      <c r="G641" s="373"/>
      <c r="H641" s="373"/>
      <c r="I641" s="373"/>
      <c r="J641" s="373"/>
      <c r="K641" s="373"/>
      <c r="L641" s="373"/>
      <c r="M641" s="373"/>
      <c r="N641" s="373"/>
      <c r="O641" s="373"/>
      <c r="P641" s="373"/>
      <c r="Q641" s="373"/>
      <c r="R641" s="373"/>
      <c r="S641" s="373"/>
      <c r="T641" s="373"/>
      <c r="U641" s="373"/>
      <c r="V641" s="373"/>
    </row>
    <row r="642" spans="1:22" ht="18" x14ac:dyDescent="0.55000000000000004">
      <c r="A642" s="373"/>
      <c r="B642" s="373"/>
      <c r="C642" s="373"/>
      <c r="D642" s="373"/>
      <c r="E642" s="373"/>
      <c r="F642" s="373"/>
      <c r="G642" s="373"/>
      <c r="H642" s="373"/>
      <c r="I642" s="373"/>
      <c r="J642" s="373"/>
      <c r="K642" s="373"/>
      <c r="L642" s="373"/>
      <c r="M642" s="373"/>
      <c r="N642" s="373"/>
      <c r="O642" s="373"/>
      <c r="P642" s="373"/>
      <c r="Q642" s="373"/>
      <c r="R642" s="373"/>
      <c r="S642" s="373"/>
      <c r="T642" s="373"/>
      <c r="U642" s="373"/>
      <c r="V642" s="373"/>
    </row>
    <row r="643" spans="1:22" ht="18" x14ac:dyDescent="0.55000000000000004">
      <c r="A643" s="373"/>
      <c r="B643" s="373"/>
      <c r="C643" s="373"/>
      <c r="D643" s="373"/>
      <c r="E643" s="373"/>
      <c r="F643" s="373"/>
      <c r="G643" s="373"/>
      <c r="H643" s="373"/>
      <c r="I643" s="373"/>
      <c r="J643" s="373"/>
      <c r="K643" s="373"/>
      <c r="L643" s="373"/>
      <c r="M643" s="373"/>
      <c r="N643" s="373"/>
      <c r="O643" s="373"/>
      <c r="P643" s="373"/>
      <c r="Q643" s="373"/>
      <c r="R643" s="373"/>
      <c r="S643" s="373"/>
      <c r="T643" s="373"/>
      <c r="U643" s="373"/>
      <c r="V643" s="373"/>
    </row>
    <row r="644" spans="1:22" ht="18" x14ac:dyDescent="0.55000000000000004">
      <c r="A644" s="373"/>
      <c r="B644" s="373"/>
      <c r="C644" s="373"/>
      <c r="D644" s="373"/>
      <c r="E644" s="373"/>
      <c r="F644" s="373"/>
      <c r="G644" s="373"/>
      <c r="H644" s="373"/>
      <c r="I644" s="373"/>
      <c r="J644" s="373"/>
      <c r="K644" s="373"/>
      <c r="L644" s="373"/>
      <c r="M644" s="373"/>
      <c r="N644" s="373"/>
      <c r="O644" s="373"/>
      <c r="P644" s="373"/>
      <c r="Q644" s="373"/>
      <c r="R644" s="373"/>
      <c r="S644" s="373"/>
      <c r="T644" s="373"/>
      <c r="U644" s="373"/>
      <c r="V644" s="373"/>
    </row>
    <row r="645" spans="1:22" ht="18" x14ac:dyDescent="0.55000000000000004">
      <c r="A645" s="373"/>
      <c r="B645" s="373"/>
      <c r="C645" s="373"/>
      <c r="D645" s="373"/>
      <c r="E645" s="373"/>
      <c r="F645" s="373"/>
      <c r="G645" s="373"/>
      <c r="H645" s="373"/>
      <c r="I645" s="373"/>
      <c r="J645" s="373"/>
      <c r="K645" s="373"/>
      <c r="L645" s="373"/>
      <c r="M645" s="373"/>
      <c r="N645" s="373"/>
      <c r="O645" s="373"/>
      <c r="P645" s="373"/>
      <c r="Q645" s="373"/>
      <c r="R645" s="373"/>
      <c r="S645" s="373"/>
      <c r="T645" s="373"/>
      <c r="U645" s="373"/>
      <c r="V645" s="373"/>
    </row>
    <row r="646" spans="1:22" ht="18" x14ac:dyDescent="0.55000000000000004">
      <c r="A646" s="373"/>
      <c r="B646" s="373"/>
      <c r="C646" s="373"/>
      <c r="D646" s="373"/>
      <c r="E646" s="373"/>
      <c r="F646" s="373"/>
      <c r="G646" s="373"/>
      <c r="H646" s="373"/>
      <c r="I646" s="373"/>
      <c r="J646" s="373"/>
      <c r="K646" s="373"/>
      <c r="L646" s="373"/>
      <c r="M646" s="373"/>
      <c r="N646" s="373"/>
      <c r="O646" s="373"/>
      <c r="P646" s="373"/>
      <c r="Q646" s="373"/>
      <c r="R646" s="373"/>
      <c r="S646" s="373"/>
      <c r="T646" s="373"/>
      <c r="U646" s="373"/>
      <c r="V646" s="373"/>
    </row>
    <row r="647" spans="1:22" ht="18" x14ac:dyDescent="0.55000000000000004">
      <c r="A647" s="373"/>
      <c r="B647" s="373"/>
      <c r="C647" s="373"/>
      <c r="D647" s="373"/>
      <c r="E647" s="373"/>
      <c r="F647" s="373"/>
      <c r="G647" s="373"/>
      <c r="H647" s="373"/>
      <c r="I647" s="373"/>
      <c r="J647" s="373"/>
      <c r="K647" s="373"/>
      <c r="L647" s="373"/>
      <c r="M647" s="373"/>
      <c r="N647" s="373"/>
      <c r="O647" s="373"/>
      <c r="P647" s="373"/>
      <c r="Q647" s="373"/>
      <c r="R647" s="373"/>
      <c r="S647" s="373"/>
      <c r="T647" s="373"/>
      <c r="U647" s="373"/>
      <c r="V647" s="373"/>
    </row>
    <row r="648" spans="1:22" ht="18" x14ac:dyDescent="0.55000000000000004">
      <c r="A648" s="373"/>
      <c r="B648" s="373"/>
      <c r="C648" s="373"/>
      <c r="D648" s="373"/>
      <c r="E648" s="373"/>
      <c r="F648" s="373"/>
      <c r="G648" s="373"/>
      <c r="H648" s="373"/>
      <c r="I648" s="373"/>
      <c r="J648" s="373"/>
      <c r="K648" s="373"/>
      <c r="L648" s="373"/>
      <c r="M648" s="373"/>
      <c r="N648" s="373"/>
      <c r="O648" s="373"/>
      <c r="P648" s="373"/>
      <c r="Q648" s="373"/>
      <c r="R648" s="373"/>
      <c r="S648" s="373"/>
      <c r="T648" s="373"/>
      <c r="U648" s="373"/>
      <c r="V648" s="373"/>
    </row>
    <row r="649" spans="1:22" ht="18" x14ac:dyDescent="0.55000000000000004">
      <c r="A649" s="373"/>
      <c r="B649" s="373"/>
      <c r="C649" s="373"/>
      <c r="D649" s="373"/>
      <c r="E649" s="373"/>
      <c r="F649" s="373"/>
      <c r="G649" s="373"/>
      <c r="H649" s="373"/>
      <c r="I649" s="373"/>
      <c r="J649" s="373"/>
      <c r="K649" s="373"/>
      <c r="L649" s="373"/>
      <c r="M649" s="373"/>
      <c r="N649" s="373"/>
      <c r="O649" s="373"/>
      <c r="P649" s="373"/>
      <c r="Q649" s="373"/>
      <c r="R649" s="373"/>
      <c r="S649" s="373"/>
      <c r="T649" s="373"/>
      <c r="U649" s="373"/>
      <c r="V649" s="373"/>
    </row>
    <row r="650" spans="1:22" ht="18" x14ac:dyDescent="0.55000000000000004">
      <c r="A650" s="373"/>
      <c r="B650" s="373"/>
      <c r="C650" s="373"/>
      <c r="D650" s="373"/>
      <c r="E650" s="373"/>
      <c r="F650" s="373"/>
      <c r="G650" s="373"/>
      <c r="H650" s="373"/>
      <c r="I650" s="373"/>
      <c r="J650" s="373"/>
      <c r="K650" s="373"/>
      <c r="L650" s="373"/>
      <c r="M650" s="373"/>
      <c r="N650" s="373"/>
      <c r="O650" s="373"/>
      <c r="P650" s="373"/>
      <c r="Q650" s="373"/>
      <c r="R650" s="373"/>
      <c r="S650" s="373"/>
      <c r="T650" s="373"/>
      <c r="U650" s="373"/>
      <c r="V650" s="373"/>
    </row>
    <row r="651" spans="1:22" ht="18" x14ac:dyDescent="0.55000000000000004">
      <c r="A651" s="373"/>
      <c r="B651" s="373"/>
      <c r="C651" s="373"/>
      <c r="D651" s="373"/>
      <c r="E651" s="373"/>
      <c r="F651" s="373"/>
      <c r="G651" s="373"/>
      <c r="H651" s="373"/>
      <c r="I651" s="373"/>
      <c r="J651" s="373"/>
      <c r="K651" s="373"/>
      <c r="L651" s="373"/>
      <c r="M651" s="373"/>
      <c r="N651" s="373"/>
      <c r="O651" s="373"/>
      <c r="P651" s="373"/>
      <c r="Q651" s="373"/>
      <c r="R651" s="373"/>
      <c r="S651" s="373"/>
      <c r="T651" s="373"/>
      <c r="U651" s="373"/>
      <c r="V651" s="373"/>
    </row>
    <row r="652" spans="1:22" ht="18" x14ac:dyDescent="0.55000000000000004">
      <c r="A652" s="373"/>
      <c r="B652" s="373"/>
      <c r="C652" s="373"/>
      <c r="D652" s="373"/>
      <c r="E652" s="373"/>
      <c r="F652" s="373"/>
      <c r="G652" s="373"/>
      <c r="H652" s="373"/>
      <c r="I652" s="373"/>
      <c r="J652" s="373"/>
      <c r="K652" s="373"/>
      <c r="L652" s="373"/>
      <c r="M652" s="373"/>
      <c r="N652" s="373"/>
      <c r="O652" s="373"/>
      <c r="P652" s="373"/>
      <c r="Q652" s="373"/>
      <c r="R652" s="373"/>
      <c r="S652" s="373"/>
      <c r="T652" s="373"/>
      <c r="U652" s="373"/>
      <c r="V652" s="373"/>
    </row>
    <row r="653" spans="1:22" ht="18" x14ac:dyDescent="0.55000000000000004">
      <c r="A653" s="373"/>
      <c r="B653" s="373"/>
      <c r="C653" s="373"/>
      <c r="D653" s="373"/>
      <c r="E653" s="373"/>
      <c r="F653" s="373"/>
      <c r="G653" s="373"/>
      <c r="H653" s="373"/>
      <c r="I653" s="373"/>
      <c r="J653" s="373"/>
      <c r="K653" s="373"/>
      <c r="L653" s="373"/>
      <c r="M653" s="373"/>
      <c r="N653" s="373"/>
      <c r="O653" s="373"/>
      <c r="P653" s="373"/>
      <c r="Q653" s="373"/>
      <c r="R653" s="373"/>
      <c r="S653" s="373"/>
      <c r="T653" s="373"/>
      <c r="U653" s="373"/>
      <c r="V653" s="373"/>
    </row>
    <row r="654" spans="1:22" ht="18" x14ac:dyDescent="0.55000000000000004">
      <c r="A654" s="373"/>
      <c r="B654" s="373"/>
      <c r="C654" s="373"/>
      <c r="D654" s="373"/>
      <c r="E654" s="373"/>
      <c r="F654" s="373"/>
      <c r="G654" s="373"/>
      <c r="H654" s="373"/>
      <c r="I654" s="373"/>
      <c r="J654" s="373"/>
      <c r="K654" s="373"/>
      <c r="L654" s="373"/>
      <c r="M654" s="373"/>
      <c r="N654" s="373"/>
      <c r="O654" s="373"/>
      <c r="P654" s="373"/>
      <c r="Q654" s="373"/>
      <c r="R654" s="373"/>
      <c r="S654" s="373"/>
      <c r="T654" s="373"/>
      <c r="U654" s="373"/>
      <c r="V654" s="373"/>
    </row>
    <row r="655" spans="1:22" ht="18" x14ac:dyDescent="0.55000000000000004">
      <c r="A655" s="373"/>
      <c r="B655" s="373"/>
      <c r="C655" s="373"/>
      <c r="D655" s="373"/>
      <c r="E655" s="373"/>
      <c r="F655" s="373"/>
      <c r="G655" s="373"/>
      <c r="H655" s="373"/>
      <c r="I655" s="373"/>
      <c r="J655" s="373"/>
      <c r="K655" s="373"/>
      <c r="L655" s="373"/>
      <c r="M655" s="373"/>
      <c r="N655" s="373"/>
      <c r="O655" s="373"/>
      <c r="P655" s="373"/>
      <c r="Q655" s="373"/>
      <c r="R655" s="373"/>
      <c r="S655" s="373"/>
      <c r="T655" s="373"/>
      <c r="U655" s="373"/>
      <c r="V655" s="373"/>
    </row>
    <row r="656" spans="1:22" ht="18" x14ac:dyDescent="0.55000000000000004">
      <c r="A656" s="373"/>
      <c r="B656" s="373"/>
      <c r="C656" s="373"/>
      <c r="D656" s="373"/>
      <c r="E656" s="373"/>
      <c r="F656" s="373"/>
      <c r="G656" s="373"/>
      <c r="H656" s="373"/>
      <c r="I656" s="373"/>
      <c r="J656" s="373"/>
      <c r="K656" s="373"/>
      <c r="L656" s="373"/>
      <c r="M656" s="373"/>
      <c r="N656" s="373"/>
      <c r="O656" s="373"/>
      <c r="P656" s="373"/>
      <c r="Q656" s="373"/>
      <c r="R656" s="373"/>
      <c r="S656" s="373"/>
      <c r="T656" s="373"/>
      <c r="U656" s="373"/>
      <c r="V656" s="373"/>
    </row>
    <row r="657" spans="1:22" ht="18" x14ac:dyDescent="0.55000000000000004">
      <c r="A657" s="373"/>
      <c r="B657" s="373"/>
      <c r="C657" s="373"/>
      <c r="D657" s="373"/>
      <c r="E657" s="373"/>
      <c r="F657" s="373"/>
      <c r="G657" s="373"/>
      <c r="H657" s="373"/>
      <c r="I657" s="373"/>
      <c r="J657" s="373"/>
      <c r="K657" s="373"/>
      <c r="L657" s="373"/>
      <c r="M657" s="373"/>
      <c r="N657" s="373"/>
      <c r="O657" s="373"/>
      <c r="P657" s="373"/>
      <c r="Q657" s="373"/>
      <c r="R657" s="373"/>
      <c r="S657" s="373"/>
      <c r="T657" s="373"/>
      <c r="U657" s="373"/>
      <c r="V657" s="373"/>
    </row>
    <row r="658" spans="1:22" ht="18" x14ac:dyDescent="0.55000000000000004">
      <c r="A658" s="373"/>
      <c r="B658" s="373"/>
      <c r="C658" s="373"/>
      <c r="D658" s="373"/>
      <c r="E658" s="373"/>
      <c r="F658" s="373"/>
      <c r="G658" s="373"/>
      <c r="H658" s="373"/>
      <c r="I658" s="373"/>
      <c r="J658" s="373"/>
      <c r="K658" s="373"/>
      <c r="L658" s="373"/>
      <c r="M658" s="373"/>
      <c r="N658" s="373"/>
      <c r="O658" s="373"/>
      <c r="P658" s="373"/>
      <c r="Q658" s="373"/>
      <c r="R658" s="373"/>
      <c r="S658" s="373"/>
      <c r="T658" s="373"/>
      <c r="U658" s="373"/>
      <c r="V658" s="373"/>
    </row>
    <row r="659" spans="1:22" ht="18" x14ac:dyDescent="0.55000000000000004">
      <c r="A659" s="373"/>
      <c r="B659" s="373"/>
      <c r="C659" s="373"/>
      <c r="D659" s="373"/>
      <c r="E659" s="373"/>
      <c r="F659" s="373"/>
      <c r="G659" s="373"/>
      <c r="H659" s="373"/>
      <c r="I659" s="373"/>
      <c r="J659" s="373"/>
      <c r="K659" s="373"/>
      <c r="L659" s="373"/>
      <c r="M659" s="373"/>
      <c r="N659" s="373"/>
      <c r="O659" s="373"/>
      <c r="P659" s="373"/>
      <c r="Q659" s="373"/>
      <c r="R659" s="373"/>
      <c r="S659" s="373"/>
      <c r="T659" s="373"/>
      <c r="U659" s="373"/>
      <c r="V659" s="373"/>
    </row>
    <row r="660" spans="1:22" ht="18" x14ac:dyDescent="0.55000000000000004">
      <c r="A660" s="373"/>
      <c r="B660" s="373"/>
      <c r="C660" s="373"/>
      <c r="D660" s="373"/>
      <c r="E660" s="373"/>
      <c r="F660" s="373"/>
      <c r="G660" s="373"/>
      <c r="H660" s="373"/>
      <c r="I660" s="373"/>
      <c r="J660" s="373"/>
      <c r="K660" s="373"/>
      <c r="L660" s="373"/>
      <c r="M660" s="373"/>
      <c r="N660" s="373"/>
      <c r="O660" s="373"/>
      <c r="P660" s="373"/>
      <c r="Q660" s="373"/>
      <c r="R660" s="373"/>
      <c r="S660" s="373"/>
      <c r="T660" s="373"/>
      <c r="U660" s="373"/>
      <c r="V660" s="373"/>
    </row>
    <row r="661" spans="1:22" ht="18" x14ac:dyDescent="0.55000000000000004">
      <c r="A661" s="373"/>
      <c r="B661" s="373"/>
      <c r="C661" s="373"/>
      <c r="D661" s="373"/>
      <c r="E661" s="373"/>
      <c r="F661" s="373"/>
      <c r="G661" s="373"/>
      <c r="H661" s="373"/>
      <c r="I661" s="373"/>
      <c r="J661" s="373"/>
      <c r="K661" s="373"/>
      <c r="L661" s="373"/>
      <c r="M661" s="373"/>
      <c r="N661" s="373"/>
      <c r="O661" s="373"/>
      <c r="P661" s="373"/>
      <c r="Q661" s="373"/>
      <c r="R661" s="373"/>
      <c r="S661" s="373"/>
      <c r="T661" s="373"/>
      <c r="U661" s="373"/>
      <c r="V661" s="373"/>
    </row>
    <row r="662" spans="1:22" ht="18" x14ac:dyDescent="0.55000000000000004">
      <c r="A662" s="373"/>
      <c r="B662" s="373"/>
      <c r="C662" s="373"/>
      <c r="D662" s="373"/>
      <c r="E662" s="373"/>
      <c r="F662" s="373"/>
      <c r="G662" s="373"/>
      <c r="H662" s="373"/>
      <c r="I662" s="373"/>
      <c r="J662" s="373"/>
      <c r="K662" s="373"/>
      <c r="L662" s="373"/>
      <c r="M662" s="373"/>
      <c r="N662" s="373"/>
      <c r="O662" s="373"/>
      <c r="P662" s="373"/>
      <c r="Q662" s="373"/>
      <c r="R662" s="373"/>
      <c r="S662" s="373"/>
      <c r="T662" s="373"/>
      <c r="U662" s="373"/>
      <c r="V662" s="373"/>
    </row>
    <row r="663" spans="1:22" ht="18" x14ac:dyDescent="0.55000000000000004">
      <c r="A663" s="373"/>
      <c r="B663" s="373"/>
      <c r="C663" s="373"/>
      <c r="D663" s="373"/>
      <c r="E663" s="373"/>
      <c r="F663" s="373"/>
      <c r="G663" s="373"/>
      <c r="H663" s="373"/>
      <c r="I663" s="373"/>
      <c r="J663" s="373"/>
      <c r="K663" s="373"/>
      <c r="L663" s="373"/>
      <c r="M663" s="373"/>
      <c r="N663" s="373"/>
      <c r="O663" s="373"/>
      <c r="P663" s="373"/>
      <c r="Q663" s="373"/>
      <c r="R663" s="373"/>
      <c r="S663" s="373"/>
      <c r="T663" s="373"/>
      <c r="U663" s="373"/>
      <c r="V663" s="373"/>
    </row>
    <row r="664" spans="1:22" ht="18" x14ac:dyDescent="0.55000000000000004">
      <c r="A664" s="373"/>
      <c r="B664" s="373"/>
      <c r="C664" s="373"/>
      <c r="D664" s="373"/>
      <c r="E664" s="373"/>
      <c r="F664" s="373"/>
      <c r="G664" s="373"/>
      <c r="H664" s="373"/>
      <c r="I664" s="373"/>
      <c r="J664" s="373"/>
      <c r="K664" s="373"/>
      <c r="L664" s="373"/>
      <c r="M664" s="373"/>
      <c r="N664" s="373"/>
      <c r="O664" s="373"/>
      <c r="P664" s="373"/>
      <c r="Q664" s="373"/>
      <c r="R664" s="373"/>
      <c r="S664" s="373"/>
      <c r="T664" s="373"/>
      <c r="U664" s="373"/>
      <c r="V664" s="373"/>
    </row>
    <row r="665" spans="1:22" ht="18" x14ac:dyDescent="0.55000000000000004">
      <c r="A665" s="373"/>
      <c r="B665" s="373"/>
      <c r="C665" s="373"/>
      <c r="D665" s="373"/>
      <c r="E665" s="373"/>
      <c r="F665" s="373"/>
      <c r="G665" s="373"/>
      <c r="H665" s="373"/>
      <c r="I665" s="373"/>
      <c r="J665" s="373"/>
      <c r="K665" s="373"/>
      <c r="L665" s="373"/>
      <c r="M665" s="373"/>
      <c r="N665" s="373"/>
      <c r="O665" s="373"/>
      <c r="P665" s="373"/>
      <c r="Q665" s="373"/>
      <c r="R665" s="373"/>
      <c r="S665" s="373"/>
      <c r="T665" s="373"/>
      <c r="U665" s="373"/>
      <c r="V665" s="373"/>
    </row>
    <row r="666" spans="1:22" ht="18" x14ac:dyDescent="0.55000000000000004">
      <c r="A666" s="373"/>
      <c r="B666" s="373"/>
      <c r="C666" s="373"/>
      <c r="D666" s="373"/>
      <c r="E666" s="373"/>
      <c r="F666" s="373"/>
      <c r="G666" s="373"/>
      <c r="H666" s="373"/>
      <c r="I666" s="373"/>
      <c r="J666" s="373"/>
      <c r="K666" s="373"/>
      <c r="L666" s="373"/>
      <c r="M666" s="373"/>
      <c r="N666" s="373"/>
      <c r="O666" s="373"/>
      <c r="P666" s="373"/>
      <c r="Q666" s="373"/>
      <c r="R666" s="373"/>
      <c r="S666" s="373"/>
      <c r="T666" s="373"/>
      <c r="U666" s="373"/>
      <c r="V666" s="373"/>
    </row>
    <row r="667" spans="1:22" ht="18" x14ac:dyDescent="0.55000000000000004">
      <c r="A667" s="373"/>
      <c r="B667" s="373"/>
      <c r="C667" s="373"/>
      <c r="D667" s="373"/>
      <c r="E667" s="373"/>
      <c r="F667" s="373"/>
      <c r="G667" s="373"/>
      <c r="H667" s="373"/>
      <c r="I667" s="373"/>
      <c r="J667" s="373"/>
      <c r="K667" s="373"/>
      <c r="L667" s="373"/>
      <c r="M667" s="373"/>
      <c r="N667" s="373"/>
      <c r="O667" s="373"/>
      <c r="P667" s="373"/>
      <c r="Q667" s="373"/>
      <c r="R667" s="373"/>
      <c r="S667" s="373"/>
      <c r="T667" s="373"/>
      <c r="U667" s="373"/>
      <c r="V667" s="373"/>
    </row>
    <row r="668" spans="1:22" ht="18" x14ac:dyDescent="0.55000000000000004">
      <c r="A668" s="373"/>
      <c r="B668" s="373"/>
      <c r="C668" s="373"/>
      <c r="D668" s="373"/>
      <c r="E668" s="373"/>
      <c r="F668" s="373"/>
      <c r="G668" s="373"/>
      <c r="H668" s="373"/>
      <c r="I668" s="373"/>
      <c r="J668" s="373"/>
      <c r="K668" s="373"/>
      <c r="L668" s="373"/>
      <c r="M668" s="373"/>
      <c r="N668" s="373"/>
      <c r="O668" s="373"/>
      <c r="P668" s="373"/>
      <c r="Q668" s="373"/>
      <c r="R668" s="373"/>
      <c r="S668" s="373"/>
      <c r="T668" s="373"/>
      <c r="U668" s="373"/>
      <c r="V668" s="373"/>
    </row>
    <row r="669" spans="1:22" ht="18" x14ac:dyDescent="0.55000000000000004">
      <c r="A669" s="373"/>
      <c r="B669" s="373"/>
      <c r="C669" s="373"/>
      <c r="D669" s="373"/>
      <c r="E669" s="373"/>
      <c r="F669" s="373"/>
      <c r="G669" s="373"/>
      <c r="H669" s="373"/>
      <c r="I669" s="373"/>
      <c r="J669" s="373"/>
      <c r="K669" s="373"/>
      <c r="L669" s="373"/>
      <c r="M669" s="373"/>
      <c r="N669" s="373"/>
      <c r="O669" s="373"/>
      <c r="P669" s="373"/>
      <c r="Q669" s="373"/>
      <c r="R669" s="373"/>
      <c r="S669" s="373"/>
      <c r="T669" s="373"/>
      <c r="U669" s="373"/>
      <c r="V669" s="373"/>
    </row>
    <row r="670" spans="1:22" ht="18" x14ac:dyDescent="0.55000000000000004">
      <c r="A670" s="373"/>
      <c r="B670" s="373"/>
      <c r="C670" s="373"/>
      <c r="D670" s="373"/>
      <c r="E670" s="373"/>
      <c r="F670" s="373"/>
      <c r="G670" s="373"/>
      <c r="H670" s="373"/>
      <c r="I670" s="373"/>
      <c r="J670" s="373"/>
      <c r="K670" s="373"/>
      <c r="L670" s="373"/>
      <c r="M670" s="373"/>
      <c r="N670" s="373"/>
      <c r="O670" s="373"/>
      <c r="P670" s="373"/>
      <c r="Q670" s="373"/>
      <c r="R670" s="373"/>
      <c r="S670" s="373"/>
      <c r="T670" s="373"/>
      <c r="U670" s="373"/>
      <c r="V670" s="373"/>
    </row>
    <row r="671" spans="1:22" ht="18" x14ac:dyDescent="0.55000000000000004">
      <c r="A671" s="373"/>
      <c r="B671" s="373"/>
      <c r="C671" s="373"/>
      <c r="D671" s="373"/>
      <c r="E671" s="373"/>
      <c r="F671" s="373"/>
      <c r="G671" s="373"/>
      <c r="H671" s="373"/>
      <c r="I671" s="373"/>
      <c r="J671" s="373"/>
      <c r="K671" s="373"/>
      <c r="L671" s="373"/>
      <c r="M671" s="373"/>
      <c r="N671" s="373"/>
      <c r="O671" s="373"/>
      <c r="P671" s="373"/>
      <c r="Q671" s="373"/>
      <c r="R671" s="373"/>
      <c r="S671" s="373"/>
      <c r="T671" s="373"/>
      <c r="U671" s="373"/>
      <c r="V671" s="373"/>
    </row>
    <row r="672" spans="1:22" ht="18" x14ac:dyDescent="0.55000000000000004">
      <c r="A672" s="373"/>
      <c r="B672" s="373"/>
      <c r="C672" s="373"/>
      <c r="D672" s="373"/>
      <c r="E672" s="373"/>
      <c r="F672" s="373"/>
      <c r="G672" s="373"/>
      <c r="H672" s="373"/>
      <c r="I672" s="373"/>
      <c r="J672" s="373"/>
      <c r="K672" s="373"/>
      <c r="L672" s="373"/>
      <c r="M672" s="373"/>
      <c r="N672" s="373"/>
      <c r="O672" s="373"/>
      <c r="P672" s="373"/>
      <c r="Q672" s="373"/>
      <c r="R672" s="373"/>
      <c r="S672" s="373"/>
      <c r="T672" s="373"/>
      <c r="U672" s="373"/>
      <c r="V672" s="373"/>
    </row>
    <row r="673" spans="1:22" ht="18" x14ac:dyDescent="0.55000000000000004">
      <c r="A673" s="373"/>
      <c r="B673" s="373"/>
      <c r="C673" s="373"/>
      <c r="D673" s="373"/>
      <c r="E673" s="373"/>
      <c r="F673" s="373"/>
      <c r="G673" s="373"/>
      <c r="H673" s="373"/>
      <c r="I673" s="373"/>
      <c r="J673" s="373"/>
      <c r="K673" s="373"/>
      <c r="L673" s="373"/>
      <c r="M673" s="373"/>
      <c r="N673" s="373"/>
      <c r="O673" s="373"/>
      <c r="P673" s="373"/>
      <c r="Q673" s="373"/>
      <c r="R673" s="373"/>
      <c r="S673" s="373"/>
      <c r="T673" s="373"/>
      <c r="U673" s="373"/>
      <c r="V673" s="373"/>
    </row>
    <row r="674" spans="1:22" ht="18" x14ac:dyDescent="0.55000000000000004">
      <c r="A674" s="373"/>
      <c r="B674" s="373"/>
      <c r="C674" s="373"/>
      <c r="D674" s="373"/>
      <c r="E674" s="373"/>
      <c r="F674" s="373"/>
      <c r="G674" s="373"/>
      <c r="H674" s="373"/>
      <c r="I674" s="373"/>
      <c r="J674" s="373"/>
      <c r="K674" s="373"/>
      <c r="L674" s="373"/>
      <c r="M674" s="373"/>
      <c r="N674" s="373"/>
      <c r="O674" s="373"/>
      <c r="P674" s="373"/>
      <c r="Q674" s="373"/>
      <c r="R674" s="373"/>
      <c r="S674" s="373"/>
      <c r="T674" s="373"/>
      <c r="U674" s="373"/>
      <c r="V674" s="373"/>
    </row>
    <row r="675" spans="1:22" ht="18" x14ac:dyDescent="0.55000000000000004">
      <c r="A675" s="373"/>
      <c r="B675" s="373"/>
      <c r="C675" s="373"/>
      <c r="D675" s="373"/>
      <c r="E675" s="373"/>
      <c r="F675" s="373"/>
      <c r="G675" s="373"/>
      <c r="H675" s="373"/>
      <c r="I675" s="373"/>
      <c r="J675" s="373"/>
      <c r="K675" s="373"/>
      <c r="L675" s="373"/>
      <c r="M675" s="373"/>
      <c r="N675" s="373"/>
      <c r="O675" s="373"/>
      <c r="P675" s="373"/>
      <c r="Q675" s="373"/>
      <c r="R675" s="373"/>
      <c r="S675" s="373"/>
      <c r="T675" s="373"/>
      <c r="U675" s="373"/>
      <c r="V675" s="373"/>
    </row>
    <row r="676" spans="1:22" ht="18" x14ac:dyDescent="0.55000000000000004">
      <c r="A676" s="373"/>
      <c r="B676" s="373"/>
      <c r="C676" s="373"/>
      <c r="D676" s="373"/>
      <c r="E676" s="373"/>
      <c r="F676" s="373"/>
      <c r="G676" s="373"/>
      <c r="H676" s="373"/>
      <c r="I676" s="373"/>
      <c r="J676" s="373"/>
      <c r="K676" s="373"/>
      <c r="L676" s="373"/>
      <c r="M676" s="373"/>
      <c r="N676" s="373"/>
      <c r="O676" s="373"/>
      <c r="P676" s="373"/>
      <c r="Q676" s="373"/>
      <c r="R676" s="373"/>
      <c r="S676" s="373"/>
      <c r="T676" s="373"/>
      <c r="U676" s="373"/>
      <c r="V676" s="373"/>
    </row>
    <row r="677" spans="1:22" ht="18" x14ac:dyDescent="0.55000000000000004">
      <c r="A677" s="373"/>
      <c r="B677" s="373"/>
      <c r="C677" s="373"/>
      <c r="D677" s="373"/>
      <c r="E677" s="373"/>
      <c r="F677" s="373"/>
      <c r="G677" s="373"/>
      <c r="H677" s="373"/>
      <c r="I677" s="373"/>
      <c r="J677" s="373"/>
      <c r="K677" s="373"/>
      <c r="L677" s="373"/>
      <c r="M677" s="373"/>
      <c r="N677" s="373"/>
      <c r="O677" s="373"/>
      <c r="P677" s="373"/>
      <c r="Q677" s="373"/>
      <c r="R677" s="373"/>
      <c r="S677" s="373"/>
      <c r="T677" s="373"/>
      <c r="U677" s="373"/>
      <c r="V677" s="373"/>
    </row>
    <row r="678" spans="1:22" ht="18" x14ac:dyDescent="0.55000000000000004">
      <c r="A678" s="373"/>
      <c r="B678" s="373"/>
      <c r="C678" s="373"/>
      <c r="D678" s="373"/>
      <c r="E678" s="373"/>
      <c r="F678" s="373"/>
      <c r="G678" s="373"/>
      <c r="H678" s="373"/>
      <c r="I678" s="373"/>
      <c r="J678" s="373"/>
      <c r="K678" s="373"/>
      <c r="L678" s="373"/>
      <c r="M678" s="373"/>
      <c r="N678" s="373"/>
      <c r="O678" s="373"/>
      <c r="P678" s="373"/>
      <c r="Q678" s="373"/>
      <c r="R678" s="373"/>
      <c r="S678" s="373"/>
      <c r="T678" s="373"/>
      <c r="U678" s="373"/>
      <c r="V678" s="373"/>
    </row>
    <row r="679" spans="1:22" ht="18" x14ac:dyDescent="0.55000000000000004">
      <c r="A679" s="373"/>
      <c r="B679" s="373"/>
      <c r="C679" s="373"/>
      <c r="D679" s="373"/>
      <c r="E679" s="373"/>
      <c r="F679" s="373"/>
      <c r="G679" s="373"/>
      <c r="H679" s="373"/>
      <c r="I679" s="373"/>
      <c r="J679" s="373"/>
      <c r="K679" s="373"/>
      <c r="L679" s="373"/>
      <c r="M679" s="373"/>
      <c r="N679" s="373"/>
      <c r="O679" s="373"/>
      <c r="P679" s="373"/>
      <c r="Q679" s="373"/>
      <c r="R679" s="373"/>
      <c r="S679" s="373"/>
      <c r="T679" s="373"/>
      <c r="U679" s="373"/>
      <c r="V679" s="373"/>
    </row>
    <row r="680" spans="1:22" ht="18" x14ac:dyDescent="0.55000000000000004">
      <c r="A680" s="373"/>
      <c r="B680" s="373"/>
      <c r="C680" s="373"/>
      <c r="D680" s="373"/>
      <c r="E680" s="373"/>
      <c r="F680" s="373"/>
      <c r="G680" s="373"/>
      <c r="H680" s="373"/>
      <c r="I680" s="373"/>
      <c r="J680" s="373"/>
      <c r="K680" s="373"/>
      <c r="L680" s="373"/>
      <c r="M680" s="373"/>
      <c r="N680" s="373"/>
      <c r="O680" s="373"/>
      <c r="P680" s="373"/>
      <c r="Q680" s="373"/>
      <c r="R680" s="373"/>
      <c r="S680" s="373"/>
      <c r="T680" s="373"/>
      <c r="U680" s="373"/>
      <c r="V680" s="373"/>
    </row>
    <row r="681" spans="1:22" ht="18" x14ac:dyDescent="0.55000000000000004">
      <c r="A681" s="373"/>
      <c r="B681" s="373"/>
      <c r="C681" s="373"/>
      <c r="D681" s="373"/>
      <c r="E681" s="373"/>
      <c r="F681" s="373"/>
      <c r="G681" s="373"/>
      <c r="H681" s="373"/>
      <c r="I681" s="373"/>
      <c r="J681" s="373"/>
      <c r="K681" s="373"/>
      <c r="L681" s="373"/>
      <c r="M681" s="373"/>
      <c r="N681" s="373"/>
      <c r="O681" s="373"/>
      <c r="P681" s="373"/>
      <c r="Q681" s="373"/>
      <c r="R681" s="373"/>
      <c r="S681" s="373"/>
      <c r="T681" s="373"/>
      <c r="U681" s="373"/>
      <c r="V681" s="373"/>
    </row>
    <row r="682" spans="1:22" ht="18" x14ac:dyDescent="0.55000000000000004">
      <c r="A682" s="373"/>
      <c r="B682" s="373"/>
      <c r="C682" s="373"/>
      <c r="D682" s="373"/>
      <c r="E682" s="373"/>
      <c r="F682" s="373"/>
      <c r="G682" s="373"/>
      <c r="H682" s="373"/>
      <c r="I682" s="373"/>
      <c r="J682" s="373"/>
      <c r="K682" s="373"/>
      <c r="L682" s="373"/>
      <c r="M682" s="373"/>
      <c r="N682" s="373"/>
      <c r="O682" s="373"/>
      <c r="P682" s="373"/>
      <c r="Q682" s="373"/>
      <c r="R682" s="373"/>
      <c r="S682" s="373"/>
      <c r="T682" s="373"/>
      <c r="U682" s="373"/>
      <c r="V682" s="373"/>
    </row>
    <row r="683" spans="1:22" ht="18" x14ac:dyDescent="0.55000000000000004">
      <c r="A683" s="373"/>
      <c r="B683" s="373"/>
      <c r="C683" s="373"/>
      <c r="D683" s="373"/>
      <c r="E683" s="373"/>
      <c r="F683" s="373"/>
      <c r="G683" s="373"/>
      <c r="H683" s="373"/>
      <c r="I683" s="373"/>
      <c r="J683" s="373"/>
      <c r="K683" s="373"/>
      <c r="L683" s="373"/>
      <c r="M683" s="373"/>
      <c r="N683" s="373"/>
      <c r="O683" s="373"/>
      <c r="P683" s="373"/>
      <c r="Q683" s="373"/>
      <c r="R683" s="373"/>
      <c r="S683" s="373"/>
      <c r="T683" s="373"/>
      <c r="U683" s="373"/>
      <c r="V683" s="373"/>
    </row>
    <row r="684" spans="1:22" ht="18" x14ac:dyDescent="0.55000000000000004">
      <c r="A684" s="373"/>
      <c r="B684" s="373"/>
      <c r="C684" s="373"/>
      <c r="D684" s="373"/>
      <c r="E684" s="373"/>
      <c r="F684" s="373"/>
      <c r="G684" s="373"/>
      <c r="H684" s="373"/>
      <c r="I684" s="373"/>
      <c r="J684" s="373"/>
      <c r="K684" s="373"/>
      <c r="L684" s="373"/>
      <c r="M684" s="373"/>
      <c r="N684" s="373"/>
      <c r="O684" s="373"/>
      <c r="P684" s="373"/>
      <c r="Q684" s="373"/>
      <c r="R684" s="373"/>
      <c r="S684" s="373"/>
      <c r="T684" s="373"/>
      <c r="U684" s="373"/>
      <c r="V684" s="373"/>
    </row>
    <row r="685" spans="1:22" ht="18" x14ac:dyDescent="0.55000000000000004">
      <c r="A685" s="373"/>
      <c r="B685" s="373"/>
      <c r="C685" s="373"/>
      <c r="D685" s="373"/>
      <c r="E685" s="373"/>
      <c r="F685" s="373"/>
      <c r="G685" s="373"/>
      <c r="H685" s="373"/>
      <c r="I685" s="373"/>
      <c r="J685" s="373"/>
      <c r="K685" s="373"/>
      <c r="L685" s="373"/>
      <c r="M685" s="373"/>
      <c r="N685" s="373"/>
      <c r="O685" s="373"/>
      <c r="P685" s="373"/>
      <c r="Q685" s="373"/>
      <c r="R685" s="373"/>
      <c r="S685" s="373"/>
      <c r="T685" s="373"/>
      <c r="U685" s="373"/>
      <c r="V685" s="373"/>
    </row>
    <row r="686" spans="1:22" ht="18" x14ac:dyDescent="0.55000000000000004">
      <c r="A686" s="373"/>
      <c r="B686" s="373"/>
      <c r="C686" s="373"/>
      <c r="D686" s="373"/>
      <c r="E686" s="373"/>
      <c r="F686" s="373"/>
      <c r="G686" s="373"/>
      <c r="H686" s="373"/>
      <c r="I686" s="373"/>
      <c r="J686" s="373"/>
      <c r="K686" s="373"/>
      <c r="L686" s="373"/>
      <c r="M686" s="373"/>
      <c r="N686" s="373"/>
      <c r="O686" s="373"/>
      <c r="P686" s="373"/>
      <c r="Q686" s="373"/>
      <c r="R686" s="373"/>
      <c r="S686" s="373"/>
      <c r="T686" s="373"/>
      <c r="U686" s="373"/>
      <c r="V686" s="373"/>
    </row>
    <row r="687" spans="1:22" ht="18" x14ac:dyDescent="0.55000000000000004">
      <c r="A687" s="373"/>
      <c r="B687" s="373"/>
      <c r="C687" s="373"/>
      <c r="D687" s="373"/>
      <c r="E687" s="373"/>
      <c r="F687" s="373"/>
      <c r="G687" s="373"/>
      <c r="H687" s="373"/>
      <c r="I687" s="373"/>
      <c r="J687" s="373"/>
      <c r="K687" s="373"/>
      <c r="L687" s="373"/>
      <c r="M687" s="373"/>
      <c r="N687" s="373"/>
      <c r="O687" s="373"/>
      <c r="P687" s="373"/>
      <c r="Q687" s="373"/>
      <c r="R687" s="373"/>
      <c r="S687" s="373"/>
      <c r="T687" s="373"/>
      <c r="U687" s="373"/>
      <c r="V687" s="373"/>
    </row>
    <row r="688" spans="1:22" ht="18" x14ac:dyDescent="0.55000000000000004">
      <c r="A688" s="373"/>
      <c r="B688" s="373"/>
      <c r="C688" s="373"/>
      <c r="D688" s="373"/>
      <c r="E688" s="373"/>
      <c r="F688" s="373"/>
      <c r="G688" s="373"/>
      <c r="H688" s="373"/>
      <c r="I688" s="373"/>
      <c r="J688" s="373"/>
      <c r="K688" s="373"/>
      <c r="L688" s="373"/>
      <c r="M688" s="373"/>
      <c r="N688" s="373"/>
      <c r="O688" s="373"/>
      <c r="P688" s="373"/>
      <c r="Q688" s="373"/>
      <c r="R688" s="373"/>
      <c r="S688" s="373"/>
      <c r="T688" s="373"/>
      <c r="U688" s="373"/>
      <c r="V688" s="373"/>
    </row>
    <row r="689" spans="1:22" ht="18" x14ac:dyDescent="0.55000000000000004">
      <c r="A689" s="373"/>
      <c r="B689" s="373"/>
      <c r="C689" s="373"/>
      <c r="D689" s="373"/>
      <c r="E689" s="373"/>
      <c r="F689" s="373"/>
      <c r="G689" s="373"/>
      <c r="H689" s="373"/>
      <c r="I689" s="373"/>
      <c r="J689" s="373"/>
      <c r="K689" s="373"/>
      <c r="L689" s="373"/>
      <c r="M689" s="373"/>
      <c r="N689" s="373"/>
      <c r="O689" s="373"/>
      <c r="P689" s="373"/>
      <c r="Q689" s="373"/>
      <c r="R689" s="373"/>
      <c r="S689" s="373"/>
      <c r="T689" s="373"/>
      <c r="U689" s="373"/>
      <c r="V689" s="373"/>
    </row>
    <row r="690" spans="1:22" ht="18" x14ac:dyDescent="0.55000000000000004">
      <c r="A690" s="373"/>
      <c r="B690" s="373"/>
      <c r="C690" s="373"/>
      <c r="D690" s="373"/>
      <c r="E690" s="373"/>
      <c r="F690" s="373"/>
      <c r="G690" s="373"/>
      <c r="H690" s="373"/>
      <c r="I690" s="373"/>
      <c r="J690" s="373"/>
      <c r="K690" s="373"/>
      <c r="L690" s="373"/>
      <c r="M690" s="373"/>
      <c r="N690" s="373"/>
      <c r="O690" s="373"/>
      <c r="P690" s="373"/>
      <c r="Q690" s="373"/>
      <c r="R690" s="373"/>
      <c r="S690" s="373"/>
      <c r="T690" s="373"/>
      <c r="U690" s="373"/>
      <c r="V690" s="373"/>
    </row>
    <row r="691" spans="1:22" ht="18" x14ac:dyDescent="0.55000000000000004">
      <c r="A691" s="373"/>
      <c r="B691" s="373"/>
      <c r="C691" s="373"/>
      <c r="D691" s="373"/>
      <c r="E691" s="373"/>
      <c r="F691" s="373"/>
      <c r="G691" s="373"/>
      <c r="H691" s="373"/>
      <c r="I691" s="373"/>
      <c r="J691" s="373"/>
      <c r="K691" s="373"/>
      <c r="L691" s="373"/>
      <c r="M691" s="373"/>
      <c r="N691" s="373"/>
      <c r="O691" s="373"/>
      <c r="P691" s="373"/>
      <c r="Q691" s="373"/>
      <c r="R691" s="373"/>
      <c r="S691" s="373"/>
      <c r="T691" s="373"/>
      <c r="U691" s="373"/>
      <c r="V691" s="373"/>
    </row>
    <row r="692" spans="1:22" ht="18" x14ac:dyDescent="0.55000000000000004">
      <c r="A692" s="373"/>
      <c r="B692" s="373"/>
      <c r="C692" s="373"/>
      <c r="D692" s="373"/>
      <c r="E692" s="373"/>
      <c r="F692" s="373"/>
      <c r="G692" s="373"/>
      <c r="H692" s="373"/>
      <c r="I692" s="373"/>
      <c r="J692" s="373"/>
      <c r="K692" s="373"/>
      <c r="L692" s="373"/>
      <c r="M692" s="373"/>
      <c r="N692" s="373"/>
      <c r="O692" s="373"/>
      <c r="P692" s="373"/>
      <c r="Q692" s="373"/>
      <c r="R692" s="373"/>
      <c r="S692" s="373"/>
      <c r="T692" s="373"/>
      <c r="U692" s="373"/>
      <c r="V692" s="373"/>
    </row>
    <row r="693" spans="1:22" ht="18" x14ac:dyDescent="0.55000000000000004">
      <c r="A693" s="373"/>
      <c r="B693" s="373"/>
      <c r="C693" s="373"/>
      <c r="D693" s="373"/>
      <c r="E693" s="373"/>
      <c r="F693" s="373"/>
      <c r="G693" s="373"/>
      <c r="H693" s="373"/>
      <c r="I693" s="373"/>
      <c r="J693" s="373"/>
      <c r="K693" s="373"/>
      <c r="L693" s="373"/>
      <c r="M693" s="373"/>
      <c r="N693" s="373"/>
      <c r="O693" s="373"/>
      <c r="P693" s="373"/>
      <c r="Q693" s="373"/>
      <c r="R693" s="373"/>
      <c r="S693" s="373"/>
      <c r="T693" s="373"/>
      <c r="U693" s="373"/>
      <c r="V693" s="373"/>
    </row>
    <row r="694" spans="1:22" ht="18" x14ac:dyDescent="0.55000000000000004">
      <c r="A694" s="373"/>
      <c r="B694" s="373"/>
      <c r="C694" s="373"/>
      <c r="D694" s="373"/>
      <c r="E694" s="373"/>
      <c r="F694" s="373"/>
      <c r="G694" s="373"/>
      <c r="H694" s="373"/>
      <c r="I694" s="373"/>
      <c r="J694" s="373"/>
      <c r="K694" s="373"/>
      <c r="L694" s="373"/>
      <c r="M694" s="373"/>
      <c r="N694" s="373"/>
      <c r="O694" s="373"/>
      <c r="P694" s="373"/>
      <c r="Q694" s="373"/>
      <c r="R694" s="373"/>
      <c r="S694" s="373"/>
      <c r="T694" s="373"/>
      <c r="U694" s="373"/>
      <c r="V694" s="373"/>
    </row>
    <row r="695" spans="1:22" ht="18" x14ac:dyDescent="0.55000000000000004">
      <c r="A695" s="373"/>
      <c r="B695" s="373"/>
      <c r="C695" s="373"/>
      <c r="D695" s="373"/>
      <c r="E695" s="373"/>
      <c r="F695" s="373"/>
      <c r="G695" s="373"/>
      <c r="H695" s="373"/>
      <c r="I695" s="373"/>
      <c r="J695" s="373"/>
      <c r="K695" s="373"/>
      <c r="L695" s="373"/>
      <c r="M695" s="373"/>
      <c r="N695" s="373"/>
      <c r="O695" s="373"/>
      <c r="P695" s="373"/>
      <c r="Q695" s="373"/>
      <c r="R695" s="373"/>
      <c r="S695" s="373"/>
      <c r="T695" s="373"/>
      <c r="U695" s="373"/>
      <c r="V695" s="373"/>
    </row>
    <row r="696" spans="1:22" ht="18" x14ac:dyDescent="0.55000000000000004">
      <c r="A696" s="373"/>
      <c r="B696" s="373"/>
      <c r="C696" s="373"/>
      <c r="D696" s="373"/>
      <c r="E696" s="373"/>
      <c r="F696" s="373"/>
      <c r="G696" s="373"/>
      <c r="H696" s="373"/>
      <c r="I696" s="373"/>
      <c r="J696" s="373"/>
      <c r="K696" s="373"/>
      <c r="L696" s="373"/>
      <c r="M696" s="373"/>
      <c r="N696" s="373"/>
      <c r="O696" s="373"/>
      <c r="P696" s="373"/>
      <c r="Q696" s="373"/>
      <c r="R696" s="373"/>
      <c r="S696" s="373"/>
      <c r="T696" s="373"/>
      <c r="U696" s="373"/>
      <c r="V696" s="373"/>
    </row>
    <row r="697" spans="1:22" ht="18" x14ac:dyDescent="0.55000000000000004">
      <c r="A697" s="373"/>
      <c r="B697" s="373"/>
      <c r="C697" s="373"/>
      <c r="D697" s="373"/>
      <c r="E697" s="373"/>
      <c r="F697" s="373"/>
      <c r="G697" s="373"/>
      <c r="H697" s="373"/>
      <c r="I697" s="373"/>
      <c r="J697" s="373"/>
      <c r="K697" s="373"/>
      <c r="L697" s="373"/>
      <c r="M697" s="373"/>
      <c r="N697" s="373"/>
      <c r="O697" s="373"/>
      <c r="P697" s="373"/>
      <c r="Q697" s="373"/>
      <c r="R697" s="373"/>
      <c r="S697" s="373"/>
      <c r="T697" s="373"/>
      <c r="U697" s="373"/>
      <c r="V697" s="373"/>
    </row>
    <row r="698" spans="1:22" ht="18" x14ac:dyDescent="0.55000000000000004">
      <c r="A698" s="373"/>
      <c r="B698" s="373"/>
      <c r="C698" s="373"/>
      <c r="D698" s="373"/>
      <c r="E698" s="373"/>
      <c r="F698" s="373"/>
      <c r="G698" s="373"/>
      <c r="H698" s="373"/>
      <c r="I698" s="373"/>
      <c r="J698" s="373"/>
      <c r="K698" s="373"/>
      <c r="L698" s="373"/>
      <c r="M698" s="373"/>
      <c r="N698" s="373"/>
      <c r="O698" s="373"/>
      <c r="P698" s="373"/>
      <c r="Q698" s="373"/>
      <c r="R698" s="373"/>
      <c r="S698" s="373"/>
      <c r="T698" s="373"/>
      <c r="U698" s="373"/>
      <c r="V698" s="373"/>
    </row>
    <row r="699" spans="1:22" ht="18" x14ac:dyDescent="0.55000000000000004">
      <c r="A699" s="373"/>
      <c r="B699" s="373"/>
      <c r="C699" s="373"/>
      <c r="D699" s="373"/>
      <c r="E699" s="373"/>
      <c r="F699" s="373"/>
      <c r="G699" s="373"/>
      <c r="H699" s="373"/>
      <c r="I699" s="373"/>
      <c r="J699" s="373"/>
      <c r="K699" s="373"/>
      <c r="L699" s="373"/>
      <c r="M699" s="373"/>
      <c r="N699" s="373"/>
      <c r="O699" s="373"/>
      <c r="P699" s="373"/>
      <c r="Q699" s="373"/>
      <c r="R699" s="373"/>
      <c r="S699" s="373"/>
      <c r="T699" s="373"/>
      <c r="U699" s="373"/>
      <c r="V699" s="373"/>
    </row>
    <row r="700" spans="1:22" ht="18" x14ac:dyDescent="0.55000000000000004">
      <c r="A700" s="373"/>
      <c r="B700" s="373"/>
      <c r="C700" s="373"/>
      <c r="D700" s="373"/>
      <c r="E700" s="373"/>
      <c r="F700" s="373"/>
      <c r="G700" s="373"/>
      <c r="H700" s="373"/>
      <c r="I700" s="373"/>
      <c r="J700" s="373"/>
      <c r="K700" s="373"/>
      <c r="L700" s="373"/>
      <c r="M700" s="373"/>
      <c r="N700" s="373"/>
      <c r="O700" s="373"/>
      <c r="P700" s="373"/>
      <c r="Q700" s="373"/>
      <c r="R700" s="373"/>
      <c r="S700" s="373"/>
      <c r="T700" s="373"/>
      <c r="U700" s="373"/>
      <c r="V700" s="373"/>
    </row>
    <row r="701" spans="1:22" ht="18" x14ac:dyDescent="0.55000000000000004">
      <c r="A701" s="373"/>
      <c r="B701" s="373"/>
      <c r="C701" s="373"/>
      <c r="D701" s="373"/>
      <c r="E701" s="373"/>
      <c r="F701" s="373"/>
      <c r="G701" s="373"/>
      <c r="H701" s="373"/>
      <c r="I701" s="373"/>
      <c r="J701" s="373"/>
      <c r="K701" s="373"/>
      <c r="L701" s="373"/>
      <c r="M701" s="373"/>
      <c r="N701" s="373"/>
      <c r="O701" s="373"/>
      <c r="P701" s="373"/>
      <c r="Q701" s="373"/>
      <c r="R701" s="373"/>
      <c r="S701" s="373"/>
      <c r="T701" s="373"/>
      <c r="U701" s="373"/>
      <c r="V701" s="373"/>
    </row>
    <row r="702" spans="1:22" ht="18" x14ac:dyDescent="0.55000000000000004">
      <c r="A702" s="373"/>
      <c r="B702" s="373"/>
      <c r="C702" s="373"/>
      <c r="D702" s="373"/>
      <c r="E702" s="373"/>
      <c r="F702" s="373"/>
      <c r="G702" s="373"/>
      <c r="H702" s="373"/>
      <c r="I702" s="373"/>
      <c r="J702" s="373"/>
      <c r="K702" s="373"/>
      <c r="L702" s="373"/>
      <c r="M702" s="373"/>
      <c r="N702" s="373"/>
      <c r="O702" s="373"/>
      <c r="P702" s="373"/>
      <c r="Q702" s="373"/>
      <c r="R702" s="373"/>
      <c r="S702" s="373"/>
      <c r="T702" s="373"/>
      <c r="U702" s="373"/>
      <c r="V702" s="373"/>
    </row>
    <row r="703" spans="1:22" ht="18" x14ac:dyDescent="0.55000000000000004">
      <c r="A703" s="373"/>
      <c r="B703" s="373"/>
      <c r="C703" s="373"/>
      <c r="D703" s="373"/>
      <c r="E703" s="373"/>
      <c r="F703" s="373"/>
      <c r="G703" s="373"/>
      <c r="H703" s="373"/>
      <c r="I703" s="373"/>
      <c r="J703" s="373"/>
      <c r="K703" s="373"/>
      <c r="L703" s="373"/>
      <c r="M703" s="373"/>
      <c r="N703" s="373"/>
      <c r="O703" s="373"/>
      <c r="P703" s="373"/>
      <c r="Q703" s="373"/>
      <c r="R703" s="373"/>
      <c r="S703" s="373"/>
      <c r="T703" s="373"/>
      <c r="U703" s="373"/>
      <c r="V703" s="373"/>
    </row>
    <row r="704" spans="1:22" ht="18" x14ac:dyDescent="0.55000000000000004">
      <c r="A704" s="373"/>
      <c r="B704" s="373"/>
      <c r="C704" s="373"/>
      <c r="D704" s="373"/>
      <c r="E704" s="373"/>
      <c r="F704" s="373"/>
      <c r="G704" s="373"/>
      <c r="H704" s="373"/>
      <c r="I704" s="373"/>
      <c r="J704" s="373"/>
      <c r="K704" s="373"/>
      <c r="L704" s="373"/>
      <c r="M704" s="373"/>
      <c r="N704" s="373"/>
      <c r="O704" s="373"/>
      <c r="P704" s="373"/>
      <c r="Q704" s="373"/>
      <c r="R704" s="373"/>
      <c r="S704" s="373"/>
      <c r="T704" s="373"/>
      <c r="U704" s="373"/>
      <c r="V704" s="373"/>
    </row>
    <row r="705" spans="1:22" ht="18" x14ac:dyDescent="0.55000000000000004">
      <c r="A705" s="373"/>
      <c r="B705" s="373"/>
      <c r="C705" s="373"/>
      <c r="D705" s="373"/>
      <c r="E705" s="373"/>
      <c r="F705" s="373"/>
      <c r="G705" s="373"/>
      <c r="H705" s="373"/>
      <c r="I705" s="373"/>
      <c r="J705" s="373"/>
      <c r="K705" s="373"/>
      <c r="L705" s="373"/>
      <c r="M705" s="373"/>
      <c r="N705" s="373"/>
      <c r="O705" s="373"/>
      <c r="P705" s="373"/>
      <c r="Q705" s="373"/>
      <c r="R705" s="373"/>
      <c r="S705" s="373"/>
      <c r="T705" s="373"/>
      <c r="U705" s="373"/>
      <c r="V705" s="373"/>
    </row>
    <row r="706" spans="1:22" ht="18" x14ac:dyDescent="0.55000000000000004">
      <c r="A706" s="373"/>
      <c r="B706" s="373"/>
      <c r="C706" s="373"/>
      <c r="D706" s="373"/>
      <c r="E706" s="373"/>
      <c r="F706" s="373"/>
      <c r="G706" s="373"/>
      <c r="H706" s="373"/>
      <c r="I706" s="373"/>
      <c r="J706" s="373"/>
      <c r="K706" s="373"/>
      <c r="L706" s="373"/>
      <c r="M706" s="373"/>
      <c r="N706" s="373"/>
      <c r="O706" s="373"/>
      <c r="P706" s="373"/>
      <c r="Q706" s="373"/>
      <c r="R706" s="373"/>
      <c r="S706" s="373"/>
      <c r="T706" s="373"/>
      <c r="U706" s="373"/>
      <c r="V706" s="373"/>
    </row>
    <row r="707" spans="1:22" ht="18" x14ac:dyDescent="0.55000000000000004">
      <c r="A707" s="373"/>
      <c r="B707" s="373"/>
      <c r="C707" s="373"/>
      <c r="D707" s="373"/>
      <c r="E707" s="373"/>
      <c r="F707" s="373"/>
      <c r="G707" s="373"/>
      <c r="H707" s="373"/>
      <c r="I707" s="373"/>
      <c r="J707" s="373"/>
      <c r="K707" s="373"/>
      <c r="L707" s="373"/>
      <c r="M707" s="373"/>
      <c r="N707" s="373"/>
      <c r="O707" s="373"/>
      <c r="P707" s="373"/>
      <c r="Q707" s="373"/>
      <c r="R707" s="373"/>
      <c r="S707" s="373"/>
      <c r="T707" s="373"/>
      <c r="U707" s="373"/>
      <c r="V707" s="373"/>
    </row>
    <row r="708" spans="1:22" ht="18" x14ac:dyDescent="0.55000000000000004">
      <c r="A708" s="373"/>
      <c r="B708" s="373"/>
      <c r="C708" s="373"/>
      <c r="D708" s="373"/>
      <c r="E708" s="373"/>
      <c r="F708" s="373"/>
      <c r="G708" s="373"/>
      <c r="H708" s="373"/>
      <c r="I708" s="373"/>
      <c r="J708" s="373"/>
      <c r="K708" s="373"/>
      <c r="L708" s="373"/>
      <c r="M708" s="373"/>
      <c r="N708" s="373"/>
      <c r="O708" s="373"/>
      <c r="P708" s="373"/>
      <c r="Q708" s="373"/>
      <c r="R708" s="373"/>
      <c r="S708" s="373"/>
      <c r="T708" s="373"/>
      <c r="U708" s="373"/>
      <c r="V708" s="373"/>
    </row>
    <row r="709" spans="1:22" ht="18" x14ac:dyDescent="0.55000000000000004">
      <c r="A709" s="373"/>
      <c r="B709" s="373"/>
      <c r="C709" s="373"/>
      <c r="D709" s="373"/>
      <c r="E709" s="373"/>
      <c r="F709" s="373"/>
      <c r="G709" s="373"/>
      <c r="H709" s="373"/>
      <c r="I709" s="373"/>
      <c r="J709" s="373"/>
      <c r="K709" s="373"/>
      <c r="L709" s="373"/>
      <c r="M709" s="373"/>
      <c r="N709" s="373"/>
      <c r="O709" s="373"/>
      <c r="P709" s="373"/>
      <c r="Q709" s="373"/>
      <c r="R709" s="373"/>
      <c r="S709" s="373"/>
      <c r="T709" s="373"/>
      <c r="U709" s="373"/>
      <c r="V709" s="373"/>
    </row>
    <row r="710" spans="1:22" ht="18" x14ac:dyDescent="0.55000000000000004">
      <c r="A710" s="373"/>
      <c r="B710" s="373"/>
      <c r="C710" s="373"/>
      <c r="D710" s="373"/>
      <c r="E710" s="373"/>
      <c r="F710" s="373"/>
      <c r="G710" s="373"/>
      <c r="H710" s="373"/>
      <c r="I710" s="373"/>
      <c r="J710" s="373"/>
      <c r="K710" s="373"/>
      <c r="L710" s="373"/>
      <c r="M710" s="373"/>
      <c r="N710" s="373"/>
      <c r="O710" s="373"/>
      <c r="P710" s="373"/>
      <c r="Q710" s="373"/>
      <c r="R710" s="373"/>
      <c r="S710" s="373"/>
      <c r="T710" s="373"/>
      <c r="U710" s="373"/>
      <c r="V710" s="373"/>
    </row>
    <row r="711" spans="1:22" ht="18" x14ac:dyDescent="0.55000000000000004">
      <c r="A711" s="373"/>
      <c r="B711" s="373"/>
      <c r="C711" s="373"/>
      <c r="D711" s="373"/>
      <c r="E711" s="373"/>
      <c r="F711" s="373"/>
      <c r="G711" s="373"/>
      <c r="H711" s="373"/>
      <c r="I711" s="373"/>
      <c r="J711" s="373"/>
      <c r="K711" s="373"/>
      <c r="L711" s="373"/>
      <c r="M711" s="373"/>
      <c r="N711" s="373"/>
      <c r="O711" s="373"/>
      <c r="P711" s="373"/>
      <c r="Q711" s="373"/>
      <c r="R711" s="373"/>
      <c r="S711" s="373"/>
      <c r="T711" s="373"/>
      <c r="U711" s="373"/>
      <c r="V711" s="373"/>
    </row>
    <row r="712" spans="1:22" ht="18" x14ac:dyDescent="0.55000000000000004">
      <c r="A712" s="373"/>
      <c r="B712" s="373"/>
      <c r="C712" s="373"/>
      <c r="D712" s="373"/>
      <c r="E712" s="373"/>
      <c r="F712" s="373"/>
      <c r="G712" s="373"/>
      <c r="H712" s="373"/>
      <c r="I712" s="373"/>
      <c r="J712" s="373"/>
      <c r="K712" s="373"/>
      <c r="L712" s="373"/>
      <c r="M712" s="373"/>
      <c r="N712" s="373"/>
      <c r="O712" s="373"/>
      <c r="P712" s="373"/>
      <c r="Q712" s="373"/>
      <c r="R712" s="373"/>
      <c r="S712" s="373"/>
      <c r="T712" s="373"/>
      <c r="U712" s="373"/>
      <c r="V712" s="373"/>
    </row>
    <row r="713" spans="1:22" ht="18" x14ac:dyDescent="0.55000000000000004">
      <c r="A713" s="373"/>
      <c r="B713" s="373"/>
      <c r="C713" s="373"/>
      <c r="D713" s="373"/>
      <c r="E713" s="373"/>
      <c r="F713" s="373"/>
      <c r="G713" s="373"/>
      <c r="H713" s="373"/>
      <c r="I713" s="373"/>
      <c r="J713" s="373"/>
      <c r="K713" s="373"/>
      <c r="L713" s="373"/>
      <c r="M713" s="373"/>
      <c r="N713" s="373"/>
      <c r="O713" s="373"/>
      <c r="P713" s="373"/>
      <c r="Q713" s="373"/>
      <c r="R713" s="373"/>
      <c r="S713" s="373"/>
      <c r="T713" s="373"/>
      <c r="U713" s="373"/>
      <c r="V713" s="373"/>
    </row>
    <row r="714" spans="1:22" ht="18" x14ac:dyDescent="0.55000000000000004">
      <c r="A714" s="373"/>
      <c r="B714" s="373"/>
      <c r="C714" s="373"/>
      <c r="D714" s="373"/>
      <c r="E714" s="373"/>
      <c r="F714" s="373"/>
      <c r="G714" s="373"/>
      <c r="H714" s="373"/>
      <c r="I714" s="373"/>
      <c r="J714" s="373"/>
      <c r="K714" s="373"/>
      <c r="L714" s="373"/>
      <c r="M714" s="373"/>
      <c r="N714" s="373"/>
      <c r="O714" s="373"/>
      <c r="P714" s="373"/>
      <c r="Q714" s="373"/>
      <c r="R714" s="373"/>
      <c r="S714" s="373"/>
      <c r="T714" s="373"/>
      <c r="U714" s="373"/>
      <c r="V714" s="373"/>
    </row>
    <row r="715" spans="1:22" ht="18" x14ac:dyDescent="0.55000000000000004">
      <c r="A715" s="373"/>
      <c r="B715" s="373"/>
      <c r="C715" s="373"/>
      <c r="D715" s="373"/>
      <c r="E715" s="373"/>
      <c r="F715" s="373"/>
      <c r="G715" s="373"/>
      <c r="H715" s="373"/>
      <c r="I715" s="373"/>
      <c r="J715" s="373"/>
      <c r="K715" s="373"/>
      <c r="L715" s="373"/>
      <c r="M715" s="373"/>
      <c r="N715" s="373"/>
      <c r="O715" s="373"/>
      <c r="P715" s="373"/>
      <c r="Q715" s="373"/>
      <c r="R715" s="373"/>
      <c r="S715" s="373"/>
      <c r="T715" s="373"/>
      <c r="U715" s="373"/>
      <c r="V715" s="373"/>
    </row>
    <row r="716" spans="1:22" ht="18" x14ac:dyDescent="0.55000000000000004">
      <c r="A716" s="373"/>
      <c r="B716" s="373"/>
      <c r="C716" s="373"/>
      <c r="D716" s="373"/>
      <c r="E716" s="373"/>
      <c r="F716" s="373"/>
      <c r="G716" s="373"/>
      <c r="H716" s="373"/>
      <c r="I716" s="373"/>
      <c r="J716" s="373"/>
      <c r="K716" s="373"/>
      <c r="L716" s="373"/>
      <c r="M716" s="373"/>
      <c r="N716" s="373"/>
      <c r="O716" s="373"/>
      <c r="P716" s="373"/>
      <c r="Q716" s="373"/>
      <c r="R716" s="373"/>
      <c r="S716" s="373"/>
      <c r="T716" s="373"/>
      <c r="U716" s="373"/>
      <c r="V716" s="373"/>
    </row>
    <row r="717" spans="1:22" ht="18" x14ac:dyDescent="0.55000000000000004">
      <c r="A717" s="373"/>
      <c r="B717" s="373"/>
      <c r="C717" s="373"/>
      <c r="D717" s="373"/>
      <c r="E717" s="373"/>
      <c r="F717" s="373"/>
      <c r="G717" s="373"/>
      <c r="H717" s="373"/>
      <c r="I717" s="373"/>
      <c r="J717" s="373"/>
      <c r="K717" s="373"/>
      <c r="L717" s="373"/>
      <c r="M717" s="373"/>
      <c r="N717" s="373"/>
      <c r="O717" s="373"/>
      <c r="P717" s="373"/>
      <c r="Q717" s="373"/>
      <c r="R717" s="373"/>
      <c r="S717" s="373"/>
      <c r="T717" s="373"/>
      <c r="U717" s="373"/>
      <c r="V717" s="373"/>
    </row>
    <row r="718" spans="1:22" ht="18" x14ac:dyDescent="0.55000000000000004">
      <c r="A718" s="373"/>
      <c r="B718" s="373"/>
      <c r="C718" s="373"/>
      <c r="D718" s="373"/>
      <c r="E718" s="373"/>
      <c r="F718" s="373"/>
      <c r="G718" s="373"/>
      <c r="H718" s="373"/>
      <c r="I718" s="373"/>
      <c r="J718" s="373"/>
      <c r="K718" s="373"/>
      <c r="L718" s="373"/>
      <c r="M718" s="373"/>
      <c r="N718" s="373"/>
      <c r="O718" s="373"/>
      <c r="P718" s="373"/>
      <c r="Q718" s="373"/>
      <c r="R718" s="373"/>
      <c r="S718" s="373"/>
      <c r="T718" s="373"/>
      <c r="U718" s="373"/>
      <c r="V718" s="373"/>
    </row>
    <row r="719" spans="1:22" ht="18" x14ac:dyDescent="0.55000000000000004">
      <c r="A719" s="373"/>
      <c r="B719" s="373"/>
      <c r="C719" s="373"/>
      <c r="D719" s="373"/>
      <c r="E719" s="373"/>
      <c r="F719" s="373"/>
      <c r="G719" s="373"/>
      <c r="H719" s="373"/>
      <c r="I719" s="373"/>
      <c r="J719" s="373"/>
      <c r="K719" s="373"/>
      <c r="L719" s="373"/>
      <c r="M719" s="373"/>
      <c r="N719" s="373"/>
      <c r="O719" s="373"/>
      <c r="P719" s="373"/>
      <c r="Q719" s="373"/>
      <c r="R719" s="373"/>
      <c r="S719" s="373"/>
      <c r="T719" s="373"/>
      <c r="U719" s="373"/>
      <c r="V719" s="373"/>
    </row>
    <row r="720" spans="1:22" ht="18" x14ac:dyDescent="0.55000000000000004">
      <c r="A720" s="373"/>
      <c r="B720" s="373"/>
      <c r="C720" s="373"/>
      <c r="D720" s="373"/>
      <c r="E720" s="373"/>
      <c r="F720" s="373"/>
      <c r="G720" s="373"/>
      <c r="H720" s="373"/>
      <c r="I720" s="373"/>
      <c r="J720" s="373"/>
      <c r="K720" s="373"/>
      <c r="L720" s="373"/>
      <c r="M720" s="373"/>
      <c r="N720" s="373"/>
      <c r="O720" s="373"/>
      <c r="P720" s="373"/>
      <c r="Q720" s="373"/>
      <c r="R720" s="373"/>
      <c r="S720" s="373"/>
      <c r="T720" s="373"/>
      <c r="U720" s="373"/>
      <c r="V720" s="373"/>
    </row>
    <row r="721" spans="1:22" ht="18" x14ac:dyDescent="0.55000000000000004">
      <c r="A721" s="373"/>
      <c r="B721" s="373"/>
      <c r="C721" s="373"/>
      <c r="D721" s="373"/>
      <c r="E721" s="373"/>
      <c r="F721" s="373"/>
      <c r="G721" s="373"/>
      <c r="H721" s="373"/>
      <c r="I721" s="373"/>
      <c r="J721" s="373"/>
      <c r="K721" s="373"/>
      <c r="L721" s="373"/>
      <c r="M721" s="373"/>
      <c r="N721" s="373"/>
      <c r="O721" s="373"/>
      <c r="P721" s="373"/>
      <c r="Q721" s="373"/>
      <c r="R721" s="373"/>
      <c r="S721" s="373"/>
      <c r="T721" s="373"/>
      <c r="U721" s="373"/>
      <c r="V721" s="373"/>
    </row>
    <row r="722" spans="1:22" ht="18" x14ac:dyDescent="0.55000000000000004">
      <c r="A722" s="373"/>
      <c r="B722" s="373"/>
      <c r="C722" s="373"/>
      <c r="D722" s="373"/>
      <c r="E722" s="373"/>
      <c r="F722" s="373"/>
      <c r="G722" s="373"/>
      <c r="H722" s="373"/>
      <c r="I722" s="373"/>
      <c r="J722" s="373"/>
      <c r="K722" s="373"/>
      <c r="L722" s="373"/>
      <c r="M722" s="373"/>
      <c r="N722" s="373"/>
      <c r="O722" s="373"/>
      <c r="P722" s="373"/>
      <c r="Q722" s="373"/>
      <c r="R722" s="373"/>
      <c r="S722" s="373"/>
      <c r="T722" s="373"/>
      <c r="U722" s="373"/>
      <c r="V722" s="373"/>
    </row>
    <row r="723" spans="1:22" ht="18" x14ac:dyDescent="0.55000000000000004">
      <c r="A723" s="373"/>
      <c r="B723" s="373"/>
      <c r="C723" s="373"/>
      <c r="D723" s="373"/>
      <c r="E723" s="373"/>
      <c r="F723" s="373"/>
      <c r="G723" s="373"/>
      <c r="H723" s="373"/>
      <c r="I723" s="373"/>
      <c r="J723" s="373"/>
      <c r="K723" s="373"/>
      <c r="L723" s="373"/>
      <c r="M723" s="373"/>
      <c r="N723" s="373"/>
      <c r="O723" s="373"/>
      <c r="P723" s="373"/>
      <c r="Q723" s="373"/>
      <c r="R723" s="373"/>
      <c r="S723" s="373"/>
      <c r="T723" s="373"/>
      <c r="U723" s="373"/>
      <c r="V723" s="373"/>
    </row>
    <row r="724" spans="1:22" ht="18" x14ac:dyDescent="0.55000000000000004">
      <c r="A724" s="373"/>
      <c r="B724" s="373"/>
      <c r="C724" s="373"/>
      <c r="D724" s="373"/>
      <c r="E724" s="373"/>
      <c r="F724" s="373"/>
      <c r="G724" s="373"/>
      <c r="H724" s="373"/>
      <c r="I724" s="373"/>
      <c r="J724" s="373"/>
      <c r="K724" s="373"/>
      <c r="L724" s="373"/>
      <c r="M724" s="373"/>
      <c r="N724" s="373"/>
      <c r="O724" s="373"/>
      <c r="P724" s="373"/>
      <c r="Q724" s="373"/>
      <c r="R724" s="373"/>
      <c r="S724" s="373"/>
      <c r="T724" s="373"/>
      <c r="U724" s="373"/>
      <c r="V724" s="373"/>
    </row>
    <row r="725" spans="1:22" ht="18" x14ac:dyDescent="0.55000000000000004">
      <c r="A725" s="373"/>
      <c r="B725" s="373"/>
      <c r="C725" s="373"/>
      <c r="D725" s="373"/>
      <c r="E725" s="373"/>
      <c r="F725" s="373"/>
      <c r="G725" s="373"/>
      <c r="H725" s="373"/>
      <c r="I725" s="373"/>
      <c r="J725" s="373"/>
      <c r="K725" s="373"/>
      <c r="L725" s="373"/>
      <c r="M725" s="373"/>
      <c r="N725" s="373"/>
      <c r="O725" s="373"/>
      <c r="P725" s="373"/>
      <c r="Q725" s="373"/>
      <c r="R725" s="373"/>
      <c r="S725" s="373"/>
      <c r="T725" s="373"/>
      <c r="U725" s="373"/>
      <c r="V725" s="373"/>
    </row>
    <row r="726" spans="1:22" ht="18" x14ac:dyDescent="0.55000000000000004">
      <c r="A726" s="373"/>
      <c r="B726" s="373"/>
      <c r="C726" s="373"/>
      <c r="D726" s="373"/>
      <c r="E726" s="373"/>
      <c r="F726" s="373"/>
      <c r="G726" s="373"/>
      <c r="H726" s="373"/>
      <c r="I726" s="373"/>
      <c r="J726" s="373"/>
      <c r="K726" s="373"/>
      <c r="L726" s="373"/>
      <c r="M726" s="373"/>
      <c r="N726" s="373"/>
      <c r="O726" s="373"/>
      <c r="P726" s="373"/>
      <c r="Q726" s="373"/>
      <c r="R726" s="373"/>
      <c r="S726" s="373"/>
      <c r="T726" s="373"/>
      <c r="U726" s="373"/>
      <c r="V726" s="373"/>
    </row>
    <row r="727" spans="1:22" ht="18" x14ac:dyDescent="0.55000000000000004">
      <c r="A727" s="373"/>
      <c r="B727" s="373"/>
      <c r="C727" s="373"/>
      <c r="D727" s="373"/>
      <c r="E727" s="373"/>
      <c r="F727" s="373"/>
      <c r="G727" s="373"/>
      <c r="H727" s="373"/>
      <c r="I727" s="373"/>
      <c r="J727" s="373"/>
      <c r="K727" s="373"/>
      <c r="L727" s="373"/>
      <c r="M727" s="373"/>
      <c r="N727" s="373"/>
      <c r="O727" s="373"/>
      <c r="P727" s="373"/>
      <c r="Q727" s="373"/>
      <c r="R727" s="373"/>
      <c r="S727" s="373"/>
      <c r="T727" s="373"/>
      <c r="U727" s="373"/>
      <c r="V727" s="373"/>
    </row>
    <row r="728" spans="1:22" ht="18" x14ac:dyDescent="0.55000000000000004">
      <c r="A728" s="373"/>
      <c r="B728" s="373"/>
      <c r="C728" s="373"/>
      <c r="D728" s="373"/>
      <c r="E728" s="373"/>
      <c r="F728" s="373"/>
      <c r="G728" s="373"/>
      <c r="H728" s="373"/>
      <c r="I728" s="373"/>
      <c r="J728" s="373"/>
      <c r="K728" s="373"/>
      <c r="L728" s="373"/>
      <c r="M728" s="373"/>
      <c r="N728" s="373"/>
      <c r="O728" s="373"/>
      <c r="P728" s="373"/>
      <c r="Q728" s="373"/>
      <c r="R728" s="373"/>
      <c r="S728" s="373"/>
      <c r="T728" s="373"/>
      <c r="U728" s="373"/>
      <c r="V728" s="373"/>
    </row>
    <row r="729" spans="1:22" ht="18" x14ac:dyDescent="0.55000000000000004">
      <c r="A729" s="373"/>
      <c r="B729" s="373"/>
      <c r="C729" s="373"/>
      <c r="D729" s="373"/>
      <c r="E729" s="373"/>
      <c r="F729" s="373"/>
      <c r="G729" s="373"/>
      <c r="H729" s="373"/>
      <c r="I729" s="373"/>
      <c r="J729" s="373"/>
      <c r="K729" s="373"/>
      <c r="L729" s="373"/>
      <c r="M729" s="373"/>
      <c r="N729" s="373"/>
      <c r="O729" s="373"/>
      <c r="P729" s="373"/>
      <c r="Q729" s="373"/>
      <c r="R729" s="373"/>
      <c r="S729" s="373"/>
      <c r="T729" s="373"/>
      <c r="U729" s="373"/>
      <c r="V729" s="373"/>
    </row>
    <row r="730" spans="1:22" ht="18" x14ac:dyDescent="0.55000000000000004">
      <c r="A730" s="373"/>
      <c r="B730" s="373"/>
      <c r="C730" s="373"/>
      <c r="D730" s="373"/>
      <c r="E730" s="373"/>
      <c r="F730" s="373"/>
      <c r="G730" s="373"/>
      <c r="H730" s="373"/>
      <c r="I730" s="373"/>
      <c r="J730" s="373"/>
      <c r="K730" s="373"/>
      <c r="L730" s="373"/>
      <c r="M730" s="373"/>
      <c r="N730" s="373"/>
      <c r="O730" s="373"/>
      <c r="P730" s="373"/>
      <c r="Q730" s="373"/>
      <c r="R730" s="373"/>
      <c r="S730" s="373"/>
      <c r="T730" s="373"/>
      <c r="U730" s="373"/>
      <c r="V730" s="373"/>
    </row>
    <row r="731" spans="1:22" ht="18" x14ac:dyDescent="0.55000000000000004">
      <c r="A731" s="373"/>
      <c r="B731" s="373"/>
      <c r="C731" s="373"/>
      <c r="D731" s="373"/>
      <c r="E731" s="373"/>
      <c r="F731" s="373"/>
      <c r="G731" s="373"/>
      <c r="H731" s="373"/>
      <c r="I731" s="373"/>
      <c r="J731" s="373"/>
      <c r="K731" s="373"/>
      <c r="L731" s="373"/>
      <c r="M731" s="373"/>
      <c r="N731" s="373"/>
      <c r="O731" s="373"/>
      <c r="P731" s="373"/>
      <c r="Q731" s="373"/>
      <c r="R731" s="373"/>
      <c r="S731" s="373"/>
      <c r="T731" s="373"/>
      <c r="U731" s="373"/>
      <c r="V731" s="373"/>
    </row>
    <row r="732" spans="1:22" ht="18" x14ac:dyDescent="0.55000000000000004">
      <c r="A732" s="373"/>
      <c r="B732" s="373"/>
      <c r="C732" s="373"/>
      <c r="D732" s="373"/>
      <c r="E732" s="373"/>
      <c r="F732" s="373"/>
      <c r="G732" s="373"/>
      <c r="H732" s="373"/>
      <c r="I732" s="373"/>
      <c r="J732" s="373"/>
      <c r="K732" s="373"/>
      <c r="L732" s="373"/>
      <c r="M732" s="373"/>
      <c r="N732" s="373"/>
      <c r="O732" s="373"/>
      <c r="P732" s="373"/>
      <c r="Q732" s="373"/>
      <c r="R732" s="373"/>
      <c r="S732" s="373"/>
      <c r="T732" s="373"/>
      <c r="U732" s="373"/>
      <c r="V732" s="373"/>
    </row>
    <row r="733" spans="1:22" ht="18" x14ac:dyDescent="0.55000000000000004">
      <c r="A733" s="373"/>
      <c r="B733" s="373"/>
      <c r="C733" s="373"/>
      <c r="D733" s="373"/>
      <c r="E733" s="373"/>
      <c r="F733" s="373"/>
      <c r="G733" s="373"/>
      <c r="H733" s="373"/>
      <c r="I733" s="373"/>
      <c r="J733" s="373"/>
      <c r="K733" s="373"/>
      <c r="L733" s="373"/>
      <c r="M733" s="373"/>
      <c r="N733" s="373"/>
      <c r="O733" s="373"/>
      <c r="P733" s="373"/>
      <c r="Q733" s="373"/>
      <c r="R733" s="373"/>
      <c r="S733" s="373"/>
      <c r="T733" s="373"/>
      <c r="U733" s="373"/>
      <c r="V733" s="373"/>
    </row>
    <row r="734" spans="1:22" ht="18" x14ac:dyDescent="0.55000000000000004">
      <c r="A734" s="373"/>
      <c r="B734" s="373"/>
      <c r="C734" s="373"/>
      <c r="D734" s="373"/>
      <c r="E734" s="373"/>
      <c r="F734" s="373"/>
      <c r="G734" s="373"/>
      <c r="H734" s="373"/>
      <c r="I734" s="373"/>
      <c r="J734" s="373"/>
      <c r="K734" s="373"/>
      <c r="L734" s="373"/>
      <c r="M734" s="373"/>
      <c r="N734" s="373"/>
      <c r="O734" s="373"/>
      <c r="P734" s="373"/>
      <c r="Q734" s="373"/>
      <c r="R734" s="373"/>
      <c r="S734" s="373"/>
      <c r="T734" s="373"/>
      <c r="U734" s="373"/>
      <c r="V734" s="373"/>
    </row>
    <row r="735" spans="1:22" ht="18" x14ac:dyDescent="0.55000000000000004">
      <c r="A735" s="373"/>
      <c r="B735" s="373"/>
      <c r="C735" s="373"/>
      <c r="D735" s="373"/>
      <c r="E735" s="373"/>
      <c r="F735" s="373"/>
      <c r="G735" s="373"/>
      <c r="H735" s="373"/>
      <c r="I735" s="373"/>
      <c r="J735" s="373"/>
      <c r="K735" s="373"/>
      <c r="L735" s="373"/>
      <c r="M735" s="373"/>
      <c r="N735" s="373"/>
      <c r="O735" s="373"/>
      <c r="P735" s="373"/>
      <c r="Q735" s="373"/>
      <c r="R735" s="373"/>
      <c r="S735" s="373"/>
      <c r="T735" s="373"/>
      <c r="U735" s="373"/>
      <c r="V735" s="373"/>
    </row>
    <row r="736" spans="1:22" ht="18" x14ac:dyDescent="0.55000000000000004">
      <c r="A736" s="373"/>
      <c r="B736" s="373"/>
      <c r="C736" s="373"/>
      <c r="D736" s="373"/>
      <c r="E736" s="373"/>
      <c r="F736" s="373"/>
      <c r="G736" s="373"/>
      <c r="H736" s="373"/>
      <c r="I736" s="373"/>
      <c r="J736" s="373"/>
      <c r="K736" s="373"/>
      <c r="L736" s="373"/>
      <c r="M736" s="373"/>
      <c r="N736" s="373"/>
      <c r="O736" s="373"/>
      <c r="P736" s="373"/>
      <c r="Q736" s="373"/>
      <c r="R736" s="373"/>
      <c r="S736" s="373"/>
      <c r="T736" s="373"/>
      <c r="U736" s="373"/>
      <c r="V736" s="373"/>
    </row>
    <row r="737" spans="1:22" ht="18" x14ac:dyDescent="0.55000000000000004">
      <c r="A737" s="373"/>
      <c r="B737" s="373"/>
      <c r="C737" s="373"/>
      <c r="D737" s="373"/>
      <c r="E737" s="373"/>
      <c r="F737" s="373"/>
      <c r="G737" s="373"/>
      <c r="H737" s="373"/>
      <c r="I737" s="373"/>
      <c r="J737" s="373"/>
      <c r="K737" s="373"/>
      <c r="L737" s="373"/>
      <c r="M737" s="373"/>
      <c r="N737" s="373"/>
      <c r="O737" s="373"/>
      <c r="P737" s="373"/>
      <c r="Q737" s="373"/>
      <c r="R737" s="373"/>
      <c r="S737" s="373"/>
      <c r="T737" s="373"/>
      <c r="U737" s="373"/>
      <c r="V737" s="373"/>
    </row>
    <row r="738" spans="1:22" ht="18" x14ac:dyDescent="0.55000000000000004">
      <c r="A738" s="373"/>
      <c r="B738" s="373"/>
      <c r="C738" s="373"/>
      <c r="D738" s="373"/>
      <c r="E738" s="373"/>
      <c r="F738" s="373"/>
      <c r="G738" s="373"/>
      <c r="H738" s="373"/>
      <c r="I738" s="373"/>
      <c r="J738" s="373"/>
      <c r="K738" s="373"/>
      <c r="L738" s="373"/>
      <c r="M738" s="373"/>
      <c r="N738" s="373"/>
      <c r="O738" s="373"/>
      <c r="P738" s="373"/>
      <c r="Q738" s="373"/>
      <c r="R738" s="373"/>
      <c r="S738" s="373"/>
      <c r="T738" s="373"/>
      <c r="U738" s="373"/>
      <c r="V738" s="373"/>
    </row>
    <row r="739" spans="1:22" ht="18" x14ac:dyDescent="0.55000000000000004">
      <c r="A739" s="373"/>
      <c r="B739" s="373"/>
      <c r="C739" s="373"/>
      <c r="D739" s="373"/>
      <c r="E739" s="373"/>
      <c r="F739" s="373"/>
      <c r="G739" s="373"/>
      <c r="H739" s="373"/>
      <c r="I739" s="373"/>
      <c r="J739" s="373"/>
      <c r="K739" s="373"/>
      <c r="L739" s="373"/>
      <c r="M739" s="373"/>
      <c r="N739" s="373"/>
      <c r="O739" s="373"/>
      <c r="P739" s="373"/>
      <c r="Q739" s="373"/>
      <c r="R739" s="373"/>
      <c r="S739" s="373"/>
      <c r="T739" s="373"/>
      <c r="U739" s="373"/>
      <c r="V739" s="373"/>
    </row>
    <row r="740" spans="1:22" ht="18" x14ac:dyDescent="0.55000000000000004">
      <c r="A740" s="373"/>
      <c r="B740" s="373"/>
      <c r="C740" s="373"/>
      <c r="D740" s="373"/>
      <c r="E740" s="373"/>
      <c r="F740" s="373"/>
      <c r="G740" s="373"/>
      <c r="H740" s="373"/>
      <c r="I740" s="373"/>
      <c r="J740" s="373"/>
      <c r="K740" s="373"/>
      <c r="L740" s="373"/>
      <c r="M740" s="373"/>
      <c r="N740" s="373"/>
      <c r="O740" s="373"/>
      <c r="P740" s="373"/>
      <c r="Q740" s="373"/>
      <c r="R740" s="373"/>
      <c r="S740" s="373"/>
      <c r="T740" s="373"/>
      <c r="U740" s="373"/>
      <c r="V740" s="373"/>
    </row>
    <row r="741" spans="1:22" ht="18" x14ac:dyDescent="0.55000000000000004">
      <c r="A741" s="373"/>
      <c r="B741" s="373"/>
      <c r="C741" s="373"/>
      <c r="D741" s="373"/>
      <c r="E741" s="373"/>
      <c r="F741" s="373"/>
      <c r="G741" s="373"/>
      <c r="H741" s="373"/>
      <c r="I741" s="373"/>
      <c r="J741" s="373"/>
      <c r="K741" s="373"/>
      <c r="L741" s="373"/>
      <c r="M741" s="373"/>
      <c r="N741" s="373"/>
      <c r="O741" s="373"/>
      <c r="P741" s="373"/>
      <c r="Q741" s="373"/>
      <c r="R741" s="373"/>
      <c r="S741" s="373"/>
      <c r="T741" s="373"/>
      <c r="U741" s="373"/>
      <c r="V741" s="373"/>
    </row>
    <row r="742" spans="1:22" ht="18" x14ac:dyDescent="0.55000000000000004">
      <c r="A742" s="373"/>
      <c r="B742" s="373"/>
      <c r="C742" s="373"/>
      <c r="D742" s="373"/>
      <c r="E742" s="373"/>
      <c r="F742" s="373"/>
      <c r="G742" s="373"/>
      <c r="H742" s="373"/>
      <c r="I742" s="373"/>
      <c r="J742" s="373"/>
      <c r="K742" s="373"/>
      <c r="L742" s="373"/>
      <c r="M742" s="373"/>
      <c r="N742" s="373"/>
      <c r="O742" s="373"/>
      <c r="P742" s="373"/>
      <c r="Q742" s="373"/>
      <c r="R742" s="373"/>
      <c r="S742" s="373"/>
      <c r="T742" s="373"/>
      <c r="U742" s="373"/>
      <c r="V742" s="373"/>
    </row>
    <row r="743" spans="1:22" ht="18" x14ac:dyDescent="0.55000000000000004">
      <c r="A743" s="373"/>
      <c r="B743" s="373"/>
      <c r="C743" s="373"/>
      <c r="D743" s="373"/>
      <c r="E743" s="373"/>
      <c r="F743" s="373"/>
      <c r="G743" s="373"/>
      <c r="H743" s="373"/>
      <c r="I743" s="373"/>
      <c r="J743" s="373"/>
      <c r="K743" s="373"/>
      <c r="L743" s="373"/>
      <c r="M743" s="373"/>
      <c r="N743" s="373"/>
      <c r="O743" s="373"/>
      <c r="P743" s="373"/>
      <c r="Q743" s="373"/>
      <c r="R743" s="373"/>
      <c r="S743" s="373"/>
      <c r="T743" s="373"/>
      <c r="U743" s="373"/>
      <c r="V743" s="373"/>
    </row>
    <row r="744" spans="1:22" ht="18" x14ac:dyDescent="0.55000000000000004">
      <c r="A744" s="373"/>
      <c r="B744" s="373"/>
      <c r="C744" s="373"/>
      <c r="D744" s="373"/>
      <c r="E744" s="373"/>
      <c r="F744" s="373"/>
      <c r="G744" s="373"/>
      <c r="H744" s="373"/>
      <c r="I744" s="373"/>
      <c r="J744" s="373"/>
      <c r="K744" s="373"/>
      <c r="L744" s="373"/>
      <c r="M744" s="373"/>
      <c r="N744" s="373"/>
      <c r="O744" s="373"/>
      <c r="P744" s="373"/>
      <c r="Q744" s="373"/>
      <c r="R744" s="373"/>
      <c r="S744" s="373"/>
      <c r="T744" s="373"/>
      <c r="U744" s="373"/>
      <c r="V744" s="373"/>
    </row>
    <row r="745" spans="1:22" ht="18" x14ac:dyDescent="0.55000000000000004">
      <c r="A745" s="373"/>
      <c r="B745" s="373"/>
      <c r="C745" s="373"/>
      <c r="D745" s="373"/>
      <c r="E745" s="373"/>
      <c r="F745" s="373"/>
      <c r="G745" s="373"/>
      <c r="H745" s="373"/>
      <c r="I745" s="373"/>
      <c r="J745" s="373"/>
      <c r="K745" s="373"/>
      <c r="L745" s="373"/>
      <c r="M745" s="373"/>
      <c r="N745" s="373"/>
      <c r="O745" s="373"/>
      <c r="P745" s="373"/>
      <c r="Q745" s="373"/>
      <c r="R745" s="373"/>
      <c r="S745" s="373"/>
      <c r="T745" s="373"/>
      <c r="U745" s="373"/>
      <c r="V745" s="373"/>
    </row>
    <row r="746" spans="1:22" ht="18" x14ac:dyDescent="0.55000000000000004">
      <c r="A746" s="373"/>
      <c r="B746" s="373"/>
      <c r="C746" s="373"/>
      <c r="D746" s="373"/>
      <c r="E746" s="373"/>
      <c r="F746" s="373"/>
      <c r="G746" s="373"/>
      <c r="H746" s="373"/>
      <c r="I746" s="373"/>
      <c r="J746" s="373"/>
      <c r="K746" s="373"/>
      <c r="L746" s="373"/>
      <c r="M746" s="373"/>
      <c r="N746" s="373"/>
      <c r="O746" s="373"/>
      <c r="P746" s="373"/>
      <c r="Q746" s="373"/>
      <c r="R746" s="373"/>
      <c r="S746" s="373"/>
      <c r="T746" s="373"/>
      <c r="U746" s="373"/>
      <c r="V746" s="373"/>
    </row>
    <row r="747" spans="1:22" ht="18" x14ac:dyDescent="0.55000000000000004">
      <c r="A747" s="373"/>
      <c r="B747" s="373"/>
      <c r="C747" s="373"/>
      <c r="D747" s="373"/>
      <c r="E747" s="373"/>
      <c r="F747" s="373"/>
      <c r="G747" s="373"/>
      <c r="H747" s="373"/>
      <c r="I747" s="373"/>
      <c r="J747" s="373"/>
      <c r="K747" s="373"/>
      <c r="L747" s="373"/>
      <c r="M747" s="373"/>
      <c r="N747" s="373"/>
      <c r="O747" s="373"/>
      <c r="P747" s="373"/>
      <c r="Q747" s="373"/>
      <c r="R747" s="373"/>
      <c r="S747" s="373"/>
      <c r="T747" s="373"/>
      <c r="U747" s="373"/>
      <c r="V747" s="373"/>
    </row>
    <row r="748" spans="1:22" ht="18" x14ac:dyDescent="0.55000000000000004">
      <c r="A748" s="373"/>
      <c r="B748" s="373"/>
      <c r="C748" s="373"/>
      <c r="D748" s="373"/>
      <c r="E748" s="373"/>
      <c r="F748" s="373"/>
      <c r="G748" s="373"/>
      <c r="H748" s="373"/>
      <c r="I748" s="373"/>
      <c r="J748" s="373"/>
      <c r="K748" s="373"/>
      <c r="L748" s="373"/>
      <c r="M748" s="373"/>
      <c r="N748" s="373"/>
      <c r="O748" s="373"/>
      <c r="P748" s="373"/>
      <c r="Q748" s="373"/>
      <c r="R748" s="373"/>
      <c r="S748" s="373"/>
      <c r="T748" s="373"/>
      <c r="U748" s="373"/>
      <c r="V748" s="373"/>
    </row>
    <row r="749" spans="1:22" ht="18" x14ac:dyDescent="0.55000000000000004">
      <c r="A749" s="373"/>
      <c r="B749" s="373"/>
      <c r="C749" s="373"/>
      <c r="D749" s="373"/>
      <c r="E749" s="373"/>
      <c r="F749" s="373"/>
      <c r="G749" s="373"/>
      <c r="H749" s="373"/>
      <c r="I749" s="373"/>
      <c r="J749" s="373"/>
      <c r="K749" s="373"/>
      <c r="L749" s="373"/>
      <c r="M749" s="373"/>
      <c r="N749" s="373"/>
      <c r="O749" s="373"/>
      <c r="P749" s="373"/>
      <c r="Q749" s="373"/>
      <c r="R749" s="373"/>
      <c r="S749" s="373"/>
      <c r="T749" s="373"/>
      <c r="U749" s="373"/>
      <c r="V749" s="373"/>
    </row>
    <row r="750" spans="1:22" ht="18" x14ac:dyDescent="0.55000000000000004">
      <c r="A750" s="373"/>
      <c r="B750" s="373"/>
      <c r="C750" s="373"/>
      <c r="D750" s="373"/>
      <c r="E750" s="373"/>
      <c r="F750" s="373"/>
      <c r="G750" s="373"/>
      <c r="H750" s="373"/>
      <c r="I750" s="373"/>
      <c r="J750" s="373"/>
      <c r="K750" s="373"/>
      <c r="L750" s="373"/>
      <c r="M750" s="373"/>
      <c r="N750" s="373"/>
      <c r="O750" s="373"/>
      <c r="P750" s="373"/>
      <c r="Q750" s="373"/>
      <c r="R750" s="373"/>
      <c r="S750" s="373"/>
      <c r="T750" s="373"/>
      <c r="U750" s="373"/>
      <c r="V750" s="373"/>
    </row>
    <row r="751" spans="1:22" ht="18" x14ac:dyDescent="0.55000000000000004">
      <c r="A751" s="373"/>
      <c r="B751" s="373"/>
      <c r="C751" s="373"/>
      <c r="D751" s="373"/>
      <c r="E751" s="373"/>
      <c r="F751" s="373"/>
      <c r="G751" s="373"/>
      <c r="H751" s="373"/>
      <c r="I751" s="373"/>
      <c r="J751" s="373"/>
      <c r="K751" s="373"/>
      <c r="L751" s="373"/>
      <c r="M751" s="373"/>
      <c r="N751" s="373"/>
      <c r="O751" s="373"/>
      <c r="P751" s="373"/>
      <c r="Q751" s="373"/>
      <c r="R751" s="373"/>
      <c r="S751" s="373"/>
      <c r="T751" s="373"/>
      <c r="U751" s="373"/>
      <c r="V751" s="373"/>
    </row>
    <row r="752" spans="1:22" ht="18" x14ac:dyDescent="0.55000000000000004">
      <c r="A752" s="373"/>
      <c r="B752" s="373"/>
      <c r="C752" s="373"/>
      <c r="D752" s="373"/>
      <c r="E752" s="373"/>
      <c r="F752" s="373"/>
      <c r="G752" s="373"/>
      <c r="H752" s="373"/>
      <c r="I752" s="373"/>
      <c r="J752" s="373"/>
      <c r="K752" s="373"/>
      <c r="L752" s="373"/>
      <c r="M752" s="373"/>
      <c r="N752" s="373"/>
      <c r="O752" s="373"/>
      <c r="P752" s="373"/>
      <c r="Q752" s="373"/>
      <c r="R752" s="373"/>
      <c r="S752" s="373"/>
      <c r="T752" s="373"/>
      <c r="U752" s="373"/>
      <c r="V752" s="373"/>
    </row>
    <row r="753" spans="1:22" ht="18" x14ac:dyDescent="0.55000000000000004">
      <c r="A753" s="373"/>
      <c r="B753" s="373"/>
      <c r="C753" s="373"/>
      <c r="D753" s="373"/>
      <c r="E753" s="373"/>
      <c r="F753" s="373"/>
      <c r="G753" s="373"/>
      <c r="H753" s="373"/>
      <c r="I753" s="373"/>
      <c r="J753" s="373"/>
      <c r="K753" s="373"/>
      <c r="L753" s="373"/>
      <c r="M753" s="373"/>
      <c r="N753" s="373"/>
      <c r="O753" s="373"/>
      <c r="P753" s="373"/>
      <c r="Q753" s="373"/>
      <c r="R753" s="373"/>
      <c r="S753" s="373"/>
      <c r="T753" s="373"/>
      <c r="U753" s="373"/>
      <c r="V753" s="373"/>
    </row>
    <row r="754" spans="1:22" ht="18" x14ac:dyDescent="0.55000000000000004">
      <c r="A754" s="373"/>
      <c r="B754" s="373"/>
      <c r="C754" s="373"/>
      <c r="D754" s="373"/>
      <c r="E754" s="373"/>
      <c r="F754" s="373"/>
      <c r="G754" s="373"/>
      <c r="H754" s="373"/>
      <c r="I754" s="373"/>
      <c r="J754" s="373"/>
      <c r="K754" s="373"/>
      <c r="L754" s="373"/>
      <c r="M754" s="373"/>
      <c r="N754" s="373"/>
      <c r="O754" s="373"/>
      <c r="P754" s="373"/>
      <c r="Q754" s="373"/>
      <c r="R754" s="373"/>
      <c r="S754" s="373"/>
      <c r="T754" s="373"/>
      <c r="U754" s="373"/>
      <c r="V754" s="373"/>
    </row>
    <row r="755" spans="1:22" ht="18" x14ac:dyDescent="0.55000000000000004">
      <c r="A755" s="373"/>
      <c r="B755" s="373"/>
      <c r="C755" s="373"/>
      <c r="D755" s="373"/>
      <c r="E755" s="373"/>
      <c r="F755" s="373"/>
      <c r="G755" s="373"/>
      <c r="H755" s="373"/>
      <c r="I755" s="373"/>
      <c r="J755" s="373"/>
      <c r="K755" s="373"/>
      <c r="L755" s="373"/>
      <c r="M755" s="373"/>
      <c r="N755" s="373"/>
      <c r="O755" s="373"/>
      <c r="P755" s="373"/>
      <c r="Q755" s="373"/>
      <c r="R755" s="373"/>
      <c r="S755" s="373"/>
      <c r="T755" s="373"/>
      <c r="U755" s="373"/>
      <c r="V755" s="373"/>
    </row>
    <row r="756" spans="1:22" ht="18" x14ac:dyDescent="0.55000000000000004">
      <c r="A756" s="373"/>
      <c r="B756" s="373"/>
      <c r="C756" s="373"/>
      <c r="D756" s="373"/>
      <c r="E756" s="373"/>
      <c r="F756" s="373"/>
      <c r="G756" s="373"/>
      <c r="H756" s="373"/>
      <c r="I756" s="373"/>
      <c r="J756" s="373"/>
      <c r="K756" s="373"/>
      <c r="L756" s="373"/>
      <c r="M756" s="373"/>
      <c r="N756" s="373"/>
      <c r="O756" s="373"/>
      <c r="P756" s="373"/>
      <c r="Q756" s="373"/>
      <c r="R756" s="373"/>
      <c r="S756" s="373"/>
      <c r="T756" s="373"/>
      <c r="U756" s="373"/>
      <c r="V756" s="373"/>
    </row>
    <row r="757" spans="1:22" ht="18" x14ac:dyDescent="0.55000000000000004">
      <c r="A757" s="373"/>
      <c r="B757" s="373"/>
      <c r="C757" s="373"/>
      <c r="D757" s="373"/>
      <c r="E757" s="373"/>
      <c r="F757" s="373"/>
      <c r="G757" s="373"/>
      <c r="H757" s="373"/>
      <c r="I757" s="373"/>
      <c r="J757" s="373"/>
      <c r="K757" s="373"/>
      <c r="L757" s="373"/>
      <c r="M757" s="373"/>
      <c r="N757" s="373"/>
      <c r="O757" s="373"/>
      <c r="P757" s="373"/>
      <c r="Q757" s="373"/>
      <c r="R757" s="373"/>
      <c r="S757" s="373"/>
      <c r="T757" s="373"/>
      <c r="U757" s="373"/>
      <c r="V757" s="373"/>
    </row>
    <row r="758" spans="1:22" ht="18" x14ac:dyDescent="0.55000000000000004">
      <c r="A758" s="373"/>
      <c r="B758" s="373"/>
      <c r="C758" s="373"/>
      <c r="D758" s="373"/>
      <c r="E758" s="373"/>
      <c r="F758" s="373"/>
      <c r="G758" s="373"/>
      <c r="H758" s="373"/>
      <c r="I758" s="373"/>
      <c r="J758" s="373"/>
      <c r="K758" s="373"/>
      <c r="L758" s="373"/>
      <c r="M758" s="373"/>
      <c r="N758" s="373"/>
      <c r="O758" s="373"/>
      <c r="P758" s="373"/>
      <c r="Q758" s="373"/>
      <c r="R758" s="373"/>
      <c r="S758" s="373"/>
      <c r="T758" s="373"/>
      <c r="U758" s="373"/>
      <c r="V758" s="373"/>
    </row>
    <row r="759" spans="1:22" ht="18" x14ac:dyDescent="0.55000000000000004">
      <c r="A759" s="373"/>
      <c r="B759" s="373"/>
      <c r="C759" s="373"/>
      <c r="D759" s="373"/>
      <c r="E759" s="373"/>
      <c r="F759" s="373"/>
      <c r="G759" s="373"/>
      <c r="H759" s="373"/>
      <c r="I759" s="373"/>
      <c r="J759" s="373"/>
      <c r="K759" s="373"/>
      <c r="L759" s="373"/>
      <c r="M759" s="373"/>
      <c r="N759" s="373"/>
      <c r="O759" s="373"/>
      <c r="P759" s="373"/>
      <c r="Q759" s="373"/>
      <c r="R759" s="373"/>
      <c r="S759" s="373"/>
      <c r="T759" s="373"/>
      <c r="U759" s="373"/>
      <c r="V759" s="373"/>
    </row>
    <row r="760" spans="1:22" ht="18" x14ac:dyDescent="0.55000000000000004">
      <c r="A760" s="373"/>
      <c r="B760" s="373"/>
      <c r="C760" s="373"/>
      <c r="D760" s="373"/>
      <c r="E760" s="373"/>
      <c r="F760" s="373"/>
      <c r="G760" s="373"/>
      <c r="H760" s="373"/>
      <c r="I760" s="373"/>
      <c r="J760" s="373"/>
      <c r="K760" s="373"/>
      <c r="L760" s="373"/>
      <c r="M760" s="373"/>
      <c r="N760" s="373"/>
      <c r="O760" s="373"/>
      <c r="P760" s="373"/>
      <c r="Q760" s="373"/>
      <c r="R760" s="373"/>
      <c r="S760" s="373"/>
      <c r="T760" s="373"/>
      <c r="U760" s="373"/>
      <c r="V760" s="373"/>
    </row>
    <row r="761" spans="1:22" ht="18" x14ac:dyDescent="0.55000000000000004">
      <c r="A761" s="373"/>
      <c r="B761" s="373"/>
      <c r="C761" s="373"/>
      <c r="D761" s="373"/>
      <c r="E761" s="373"/>
      <c r="F761" s="373"/>
      <c r="G761" s="373"/>
      <c r="H761" s="373"/>
      <c r="I761" s="373"/>
      <c r="J761" s="373"/>
      <c r="K761" s="373"/>
      <c r="L761" s="373"/>
      <c r="M761" s="373"/>
      <c r="N761" s="373"/>
      <c r="O761" s="373"/>
      <c r="P761" s="373"/>
      <c r="Q761" s="373"/>
      <c r="R761" s="373"/>
      <c r="S761" s="373"/>
      <c r="T761" s="373"/>
      <c r="U761" s="373"/>
      <c r="V761" s="373"/>
    </row>
    <row r="762" spans="1:22" ht="18" x14ac:dyDescent="0.55000000000000004">
      <c r="A762" s="373"/>
      <c r="B762" s="373"/>
      <c r="C762" s="373"/>
      <c r="D762" s="373"/>
      <c r="E762" s="373"/>
      <c r="F762" s="373"/>
      <c r="G762" s="373"/>
      <c r="H762" s="373"/>
      <c r="I762" s="373"/>
      <c r="J762" s="373"/>
      <c r="K762" s="373"/>
      <c r="L762" s="373"/>
      <c r="M762" s="373"/>
      <c r="N762" s="373"/>
      <c r="O762" s="373"/>
      <c r="P762" s="373"/>
      <c r="Q762" s="373"/>
      <c r="R762" s="373"/>
      <c r="S762" s="373"/>
      <c r="T762" s="373"/>
      <c r="U762" s="373"/>
      <c r="V762" s="373"/>
    </row>
    <row r="763" spans="1:22" ht="18" x14ac:dyDescent="0.55000000000000004">
      <c r="A763" s="373"/>
      <c r="B763" s="373"/>
      <c r="C763" s="373"/>
      <c r="D763" s="373"/>
      <c r="E763" s="373"/>
      <c r="F763" s="373"/>
      <c r="G763" s="373"/>
      <c r="H763" s="373"/>
      <c r="I763" s="373"/>
      <c r="J763" s="373"/>
      <c r="K763" s="373"/>
      <c r="L763" s="373"/>
      <c r="M763" s="373"/>
      <c r="N763" s="373"/>
      <c r="O763" s="373"/>
      <c r="P763" s="373"/>
      <c r="Q763" s="373"/>
      <c r="R763" s="373"/>
      <c r="S763" s="373"/>
      <c r="T763" s="373"/>
      <c r="U763" s="373"/>
      <c r="V763" s="373"/>
    </row>
    <row r="764" spans="1:22" ht="18" x14ac:dyDescent="0.55000000000000004">
      <c r="A764" s="373"/>
      <c r="B764" s="373"/>
      <c r="C764" s="373"/>
      <c r="D764" s="373"/>
      <c r="E764" s="373"/>
      <c r="F764" s="373"/>
      <c r="G764" s="373"/>
      <c r="H764" s="373"/>
      <c r="I764" s="373"/>
      <c r="J764" s="373"/>
      <c r="K764" s="373"/>
      <c r="L764" s="373"/>
      <c r="M764" s="373"/>
      <c r="N764" s="373"/>
      <c r="O764" s="373"/>
      <c r="P764" s="373"/>
      <c r="Q764" s="373"/>
      <c r="R764" s="373"/>
      <c r="S764" s="373"/>
      <c r="T764" s="373"/>
      <c r="U764" s="373"/>
      <c r="V764" s="373"/>
    </row>
    <row r="765" spans="1:22" ht="18" x14ac:dyDescent="0.55000000000000004">
      <c r="A765" s="373"/>
      <c r="B765" s="373"/>
      <c r="C765" s="373"/>
      <c r="D765" s="373"/>
      <c r="E765" s="373"/>
      <c r="F765" s="373"/>
      <c r="G765" s="373"/>
      <c r="H765" s="373"/>
      <c r="I765" s="373"/>
      <c r="J765" s="373"/>
      <c r="K765" s="373"/>
      <c r="L765" s="373"/>
      <c r="M765" s="373"/>
      <c r="N765" s="373"/>
      <c r="O765" s="373"/>
      <c r="P765" s="373"/>
      <c r="Q765" s="373"/>
      <c r="R765" s="373"/>
      <c r="S765" s="373"/>
      <c r="T765" s="373"/>
      <c r="U765" s="373"/>
      <c r="V765" s="373"/>
    </row>
    <row r="766" spans="1:22" ht="18" x14ac:dyDescent="0.55000000000000004">
      <c r="A766" s="373"/>
      <c r="B766" s="373"/>
      <c r="C766" s="373"/>
      <c r="D766" s="373"/>
      <c r="E766" s="373"/>
      <c r="F766" s="373"/>
      <c r="G766" s="373"/>
      <c r="H766" s="373"/>
      <c r="I766" s="373"/>
      <c r="J766" s="373"/>
      <c r="K766" s="373"/>
      <c r="L766" s="373"/>
      <c r="M766" s="373"/>
      <c r="N766" s="373"/>
      <c r="O766" s="373"/>
      <c r="P766" s="373"/>
      <c r="Q766" s="373"/>
      <c r="R766" s="373"/>
      <c r="S766" s="373"/>
      <c r="T766" s="373"/>
      <c r="U766" s="373"/>
      <c r="V766" s="373"/>
    </row>
    <row r="767" spans="1:22" ht="18" x14ac:dyDescent="0.55000000000000004">
      <c r="A767" s="373"/>
      <c r="B767" s="373"/>
      <c r="C767" s="373"/>
      <c r="D767" s="373"/>
      <c r="E767" s="373"/>
      <c r="F767" s="373"/>
      <c r="G767" s="373"/>
      <c r="H767" s="373"/>
      <c r="I767" s="373"/>
      <c r="J767" s="373"/>
      <c r="K767" s="373"/>
      <c r="L767" s="373"/>
      <c r="M767" s="373"/>
      <c r="N767" s="373"/>
      <c r="O767" s="373"/>
      <c r="P767" s="373"/>
      <c r="Q767" s="373"/>
      <c r="R767" s="373"/>
      <c r="S767" s="373"/>
      <c r="T767" s="373"/>
      <c r="U767" s="373"/>
      <c r="V767" s="373"/>
    </row>
    <row r="768" spans="1:22" ht="18" x14ac:dyDescent="0.55000000000000004">
      <c r="A768" s="373"/>
      <c r="B768" s="373"/>
      <c r="C768" s="373"/>
      <c r="D768" s="373"/>
      <c r="E768" s="373"/>
      <c r="F768" s="373"/>
      <c r="G768" s="373"/>
      <c r="H768" s="373"/>
      <c r="I768" s="373"/>
      <c r="J768" s="373"/>
      <c r="K768" s="373"/>
      <c r="L768" s="373"/>
      <c r="M768" s="373"/>
      <c r="N768" s="373"/>
      <c r="O768" s="373"/>
      <c r="P768" s="373"/>
      <c r="Q768" s="373"/>
      <c r="R768" s="373"/>
      <c r="S768" s="373"/>
      <c r="T768" s="373"/>
      <c r="U768" s="373"/>
      <c r="V768" s="373"/>
    </row>
    <row r="769" spans="1:22" ht="18" x14ac:dyDescent="0.55000000000000004">
      <c r="A769" s="373"/>
      <c r="B769" s="373"/>
      <c r="C769" s="373"/>
      <c r="D769" s="373"/>
      <c r="E769" s="373"/>
      <c r="F769" s="373"/>
      <c r="G769" s="373"/>
      <c r="H769" s="373"/>
      <c r="I769" s="373"/>
      <c r="J769" s="373"/>
      <c r="K769" s="373"/>
      <c r="L769" s="373"/>
      <c r="M769" s="373"/>
      <c r="N769" s="373"/>
      <c r="O769" s="373"/>
      <c r="P769" s="373"/>
      <c r="Q769" s="373"/>
      <c r="R769" s="373"/>
      <c r="S769" s="373"/>
      <c r="T769" s="373"/>
      <c r="U769" s="373"/>
      <c r="V769" s="373"/>
    </row>
    <row r="770" spans="1:22" ht="18" x14ac:dyDescent="0.55000000000000004">
      <c r="A770" s="373"/>
      <c r="B770" s="373"/>
      <c r="C770" s="373"/>
      <c r="D770" s="373"/>
      <c r="E770" s="373"/>
      <c r="F770" s="373"/>
      <c r="G770" s="373"/>
      <c r="H770" s="373"/>
      <c r="I770" s="373"/>
      <c r="J770" s="373"/>
      <c r="K770" s="373"/>
      <c r="L770" s="373"/>
      <c r="M770" s="373"/>
      <c r="N770" s="373"/>
      <c r="O770" s="373"/>
      <c r="P770" s="373"/>
      <c r="Q770" s="373"/>
      <c r="R770" s="373"/>
      <c r="S770" s="373"/>
      <c r="T770" s="373"/>
      <c r="U770" s="373"/>
      <c r="V770" s="373"/>
    </row>
    <row r="771" spans="1:22" ht="18" x14ac:dyDescent="0.55000000000000004">
      <c r="A771" s="373"/>
      <c r="B771" s="373"/>
      <c r="C771" s="373"/>
      <c r="D771" s="373"/>
      <c r="E771" s="373"/>
      <c r="F771" s="373"/>
      <c r="G771" s="373"/>
      <c r="H771" s="373"/>
      <c r="I771" s="373"/>
      <c r="J771" s="373"/>
      <c r="K771" s="373"/>
      <c r="L771" s="373"/>
      <c r="M771" s="373"/>
      <c r="N771" s="373"/>
      <c r="O771" s="373"/>
      <c r="P771" s="373"/>
      <c r="Q771" s="373"/>
      <c r="R771" s="373"/>
      <c r="S771" s="373"/>
      <c r="T771" s="373"/>
      <c r="U771" s="373"/>
      <c r="V771" s="373"/>
    </row>
    <row r="772" spans="1:22" ht="18" x14ac:dyDescent="0.55000000000000004">
      <c r="A772" s="373"/>
      <c r="B772" s="373"/>
      <c r="C772" s="373"/>
      <c r="D772" s="373"/>
      <c r="E772" s="373"/>
      <c r="F772" s="373"/>
      <c r="G772" s="373"/>
      <c r="H772" s="373"/>
      <c r="I772" s="373"/>
      <c r="J772" s="373"/>
      <c r="K772" s="373"/>
      <c r="L772" s="373"/>
      <c r="M772" s="373"/>
      <c r="N772" s="373"/>
      <c r="O772" s="373"/>
      <c r="P772" s="373"/>
      <c r="Q772" s="373"/>
      <c r="R772" s="373"/>
      <c r="S772" s="373"/>
      <c r="T772" s="373"/>
      <c r="U772" s="373"/>
      <c r="V772" s="373"/>
    </row>
    <row r="773" spans="1:22" ht="18" x14ac:dyDescent="0.55000000000000004">
      <c r="A773" s="373"/>
      <c r="B773" s="373"/>
      <c r="C773" s="373"/>
      <c r="D773" s="373"/>
      <c r="E773" s="373"/>
      <c r="F773" s="373"/>
      <c r="G773" s="373"/>
      <c r="H773" s="373"/>
      <c r="I773" s="373"/>
      <c r="J773" s="373"/>
      <c r="K773" s="373"/>
      <c r="L773" s="373"/>
      <c r="M773" s="373"/>
      <c r="N773" s="373"/>
      <c r="O773" s="373"/>
      <c r="P773" s="373"/>
      <c r="Q773" s="373"/>
      <c r="R773" s="373"/>
      <c r="S773" s="373"/>
      <c r="T773" s="373"/>
      <c r="U773" s="373"/>
      <c r="V773" s="373"/>
    </row>
    <row r="774" spans="1:22" ht="18" x14ac:dyDescent="0.55000000000000004">
      <c r="A774" s="373"/>
      <c r="B774" s="373"/>
      <c r="C774" s="373"/>
      <c r="D774" s="373"/>
      <c r="E774" s="373"/>
      <c r="F774" s="373"/>
      <c r="G774" s="373"/>
      <c r="H774" s="373"/>
      <c r="I774" s="373"/>
      <c r="J774" s="373"/>
      <c r="K774" s="373"/>
      <c r="L774" s="373"/>
      <c r="M774" s="373"/>
      <c r="N774" s="373"/>
      <c r="O774" s="373"/>
      <c r="P774" s="373"/>
      <c r="Q774" s="373"/>
      <c r="R774" s="373"/>
      <c r="S774" s="373"/>
      <c r="T774" s="373"/>
      <c r="U774" s="373"/>
      <c r="V774" s="373"/>
    </row>
    <row r="775" spans="1:22" ht="18" x14ac:dyDescent="0.55000000000000004">
      <c r="A775" s="373"/>
      <c r="B775" s="373"/>
      <c r="C775" s="373"/>
      <c r="D775" s="373"/>
      <c r="E775" s="373"/>
      <c r="F775" s="373"/>
      <c r="G775" s="373"/>
      <c r="H775" s="373"/>
      <c r="I775" s="373"/>
      <c r="J775" s="373"/>
      <c r="K775" s="373"/>
      <c r="L775" s="373"/>
      <c r="M775" s="373"/>
      <c r="N775" s="373"/>
      <c r="O775" s="373"/>
      <c r="P775" s="373"/>
      <c r="Q775" s="373"/>
      <c r="R775" s="373"/>
      <c r="S775" s="373"/>
      <c r="T775" s="373"/>
      <c r="U775" s="373"/>
      <c r="V775" s="373"/>
    </row>
    <row r="776" spans="1:22" ht="18" x14ac:dyDescent="0.55000000000000004">
      <c r="A776" s="373"/>
      <c r="B776" s="373"/>
      <c r="C776" s="373"/>
      <c r="D776" s="373"/>
      <c r="E776" s="373"/>
      <c r="F776" s="373"/>
      <c r="G776" s="373"/>
      <c r="H776" s="373"/>
      <c r="I776" s="373"/>
      <c r="J776" s="373"/>
      <c r="K776" s="373"/>
      <c r="L776" s="373"/>
      <c r="M776" s="373"/>
      <c r="N776" s="373"/>
      <c r="O776" s="373"/>
      <c r="P776" s="373"/>
      <c r="Q776" s="373"/>
      <c r="R776" s="373"/>
      <c r="S776" s="373"/>
      <c r="T776" s="373"/>
      <c r="U776" s="373"/>
      <c r="V776" s="373"/>
    </row>
    <row r="777" spans="1:22" ht="18" x14ac:dyDescent="0.55000000000000004">
      <c r="A777" s="373"/>
      <c r="B777" s="373"/>
      <c r="C777" s="373"/>
      <c r="D777" s="373"/>
      <c r="E777" s="373"/>
      <c r="F777" s="373"/>
      <c r="G777" s="373"/>
      <c r="H777" s="373"/>
      <c r="I777" s="373"/>
      <c r="J777" s="373"/>
      <c r="K777" s="373"/>
      <c r="L777" s="373"/>
      <c r="M777" s="373"/>
      <c r="N777" s="373"/>
      <c r="O777" s="373"/>
      <c r="P777" s="373"/>
      <c r="Q777" s="373"/>
      <c r="R777" s="373"/>
      <c r="S777" s="373"/>
      <c r="T777" s="373"/>
      <c r="U777" s="373"/>
      <c r="V777" s="373"/>
    </row>
    <row r="778" spans="1:22" ht="18" x14ac:dyDescent="0.55000000000000004">
      <c r="A778" s="373"/>
      <c r="B778" s="373"/>
      <c r="C778" s="373"/>
      <c r="D778" s="373"/>
      <c r="E778" s="373"/>
      <c r="F778" s="373"/>
      <c r="G778" s="373"/>
      <c r="H778" s="373"/>
      <c r="I778" s="373"/>
      <c r="J778" s="373"/>
      <c r="K778" s="373"/>
      <c r="L778" s="373"/>
      <c r="M778" s="373"/>
      <c r="N778" s="373"/>
      <c r="O778" s="373"/>
      <c r="P778" s="373"/>
      <c r="Q778" s="373"/>
      <c r="R778" s="373"/>
      <c r="S778" s="373"/>
      <c r="T778" s="373"/>
      <c r="U778" s="373"/>
      <c r="V778" s="373"/>
    </row>
    <row r="779" spans="1:22" ht="18" x14ac:dyDescent="0.55000000000000004">
      <c r="A779" s="373"/>
      <c r="B779" s="373"/>
      <c r="C779" s="373"/>
      <c r="D779" s="373"/>
      <c r="E779" s="373"/>
      <c r="F779" s="373"/>
      <c r="G779" s="373"/>
      <c r="H779" s="373"/>
      <c r="I779" s="373"/>
      <c r="J779" s="373"/>
      <c r="K779" s="373"/>
      <c r="L779" s="373"/>
      <c r="M779" s="373"/>
      <c r="N779" s="373"/>
      <c r="O779" s="373"/>
      <c r="P779" s="373"/>
      <c r="Q779" s="373"/>
      <c r="R779" s="373"/>
      <c r="S779" s="373"/>
      <c r="T779" s="373"/>
      <c r="U779" s="373"/>
      <c r="V779" s="373"/>
    </row>
    <row r="780" spans="1:22" ht="18" x14ac:dyDescent="0.55000000000000004">
      <c r="A780" s="373"/>
      <c r="B780" s="373"/>
      <c r="C780" s="373"/>
      <c r="D780" s="373"/>
      <c r="E780" s="373"/>
      <c r="F780" s="373"/>
      <c r="G780" s="373"/>
      <c r="H780" s="373"/>
      <c r="I780" s="373"/>
      <c r="J780" s="373"/>
      <c r="K780" s="373"/>
      <c r="L780" s="373"/>
      <c r="M780" s="373"/>
      <c r="N780" s="373"/>
      <c r="O780" s="373"/>
      <c r="P780" s="373"/>
      <c r="Q780" s="373"/>
      <c r="R780" s="373"/>
      <c r="S780" s="373"/>
      <c r="T780" s="373"/>
      <c r="U780" s="373"/>
      <c r="V780" s="373"/>
    </row>
    <row r="781" spans="1:22" ht="18" x14ac:dyDescent="0.55000000000000004">
      <c r="A781" s="373"/>
      <c r="B781" s="373"/>
      <c r="C781" s="373"/>
      <c r="D781" s="373"/>
      <c r="E781" s="373"/>
      <c r="F781" s="373"/>
      <c r="G781" s="373"/>
      <c r="H781" s="373"/>
      <c r="I781" s="373"/>
      <c r="J781" s="373"/>
      <c r="K781" s="373"/>
      <c r="L781" s="373"/>
      <c r="M781" s="373"/>
      <c r="N781" s="373"/>
      <c r="O781" s="373"/>
      <c r="P781" s="373"/>
      <c r="Q781" s="373"/>
      <c r="R781" s="373"/>
      <c r="S781" s="373"/>
      <c r="T781" s="373"/>
      <c r="U781" s="373"/>
      <c r="V781" s="373"/>
    </row>
    <row r="782" spans="1:22" ht="18" x14ac:dyDescent="0.55000000000000004">
      <c r="A782" s="373"/>
      <c r="B782" s="373"/>
      <c r="C782" s="373"/>
      <c r="D782" s="373"/>
      <c r="E782" s="373"/>
      <c r="F782" s="373"/>
      <c r="G782" s="373"/>
      <c r="H782" s="373"/>
      <c r="I782" s="373"/>
      <c r="J782" s="373"/>
      <c r="K782" s="373"/>
      <c r="L782" s="373"/>
      <c r="M782" s="373"/>
      <c r="N782" s="373"/>
      <c r="O782" s="373"/>
      <c r="P782" s="373"/>
      <c r="Q782" s="373"/>
      <c r="R782" s="373"/>
      <c r="S782" s="373"/>
      <c r="T782" s="373"/>
      <c r="U782" s="373"/>
      <c r="V782" s="373"/>
    </row>
    <row r="783" spans="1:22" ht="18" x14ac:dyDescent="0.55000000000000004">
      <c r="A783" s="373"/>
      <c r="B783" s="373"/>
      <c r="C783" s="373"/>
      <c r="D783" s="373"/>
      <c r="E783" s="373"/>
      <c r="F783" s="373"/>
      <c r="G783" s="373"/>
      <c r="H783" s="373"/>
      <c r="I783" s="373"/>
      <c r="J783" s="373"/>
      <c r="K783" s="373"/>
      <c r="L783" s="373"/>
      <c r="M783" s="373"/>
      <c r="N783" s="373"/>
      <c r="O783" s="373"/>
      <c r="P783" s="373"/>
      <c r="Q783" s="373"/>
      <c r="R783" s="373"/>
      <c r="S783" s="373"/>
      <c r="T783" s="373"/>
      <c r="U783" s="373"/>
      <c r="V783" s="373"/>
    </row>
    <row r="784" spans="1:22" ht="18" x14ac:dyDescent="0.55000000000000004">
      <c r="A784" s="373"/>
      <c r="B784" s="373"/>
      <c r="C784" s="373"/>
      <c r="D784" s="373"/>
      <c r="E784" s="373"/>
      <c r="F784" s="373"/>
      <c r="G784" s="373"/>
      <c r="H784" s="373"/>
      <c r="I784" s="373"/>
      <c r="J784" s="373"/>
      <c r="K784" s="373"/>
      <c r="L784" s="373"/>
      <c r="M784" s="373"/>
      <c r="N784" s="373"/>
      <c r="O784" s="373"/>
      <c r="P784" s="373"/>
      <c r="Q784" s="373"/>
      <c r="R784" s="373"/>
      <c r="S784" s="373"/>
      <c r="T784" s="373"/>
      <c r="U784" s="373"/>
      <c r="V784" s="373"/>
    </row>
    <row r="785" spans="1:22" ht="18" x14ac:dyDescent="0.55000000000000004">
      <c r="A785" s="373"/>
      <c r="B785" s="373"/>
      <c r="C785" s="373"/>
      <c r="D785" s="373"/>
      <c r="E785" s="373"/>
      <c r="F785" s="373"/>
      <c r="G785" s="373"/>
      <c r="H785" s="373"/>
      <c r="I785" s="373"/>
      <c r="J785" s="373"/>
      <c r="K785" s="373"/>
      <c r="L785" s="373"/>
      <c r="M785" s="373"/>
      <c r="N785" s="373"/>
      <c r="O785" s="373"/>
      <c r="P785" s="373"/>
      <c r="Q785" s="373"/>
      <c r="R785" s="373"/>
      <c r="S785" s="373"/>
      <c r="T785" s="373"/>
      <c r="U785" s="373"/>
      <c r="V785" s="373"/>
    </row>
    <row r="786" spans="1:22" ht="18" x14ac:dyDescent="0.55000000000000004">
      <c r="A786" s="373"/>
      <c r="B786" s="373"/>
      <c r="C786" s="373"/>
      <c r="D786" s="373"/>
      <c r="E786" s="373"/>
      <c r="F786" s="373"/>
      <c r="G786" s="373"/>
      <c r="H786" s="373"/>
      <c r="I786" s="373"/>
      <c r="J786" s="373"/>
      <c r="K786" s="373"/>
      <c r="L786" s="373"/>
      <c r="M786" s="373"/>
      <c r="N786" s="373"/>
      <c r="O786" s="373"/>
      <c r="P786" s="373"/>
      <c r="Q786" s="373"/>
      <c r="R786" s="373"/>
      <c r="S786" s="373"/>
      <c r="T786" s="373"/>
      <c r="U786" s="373"/>
      <c r="V786" s="373"/>
    </row>
    <row r="787" spans="1:22" ht="18" x14ac:dyDescent="0.55000000000000004">
      <c r="A787" s="373"/>
      <c r="B787" s="373"/>
      <c r="C787" s="373"/>
      <c r="D787" s="373"/>
      <c r="E787" s="373"/>
      <c r="F787" s="373"/>
      <c r="G787" s="373"/>
      <c r="H787" s="373"/>
      <c r="I787" s="373"/>
      <c r="J787" s="373"/>
      <c r="K787" s="373"/>
      <c r="L787" s="373"/>
      <c r="M787" s="373"/>
      <c r="N787" s="373"/>
      <c r="O787" s="373"/>
      <c r="P787" s="373"/>
      <c r="Q787" s="373"/>
      <c r="R787" s="373"/>
      <c r="S787" s="373"/>
      <c r="T787" s="373"/>
      <c r="U787" s="373"/>
      <c r="V787" s="373"/>
    </row>
    <row r="788" spans="1:22" ht="18" x14ac:dyDescent="0.55000000000000004">
      <c r="A788" s="373"/>
      <c r="B788" s="373"/>
      <c r="C788" s="373"/>
      <c r="D788" s="373"/>
      <c r="E788" s="373"/>
      <c r="F788" s="373"/>
      <c r="G788" s="373"/>
      <c r="H788" s="373"/>
      <c r="I788" s="373"/>
      <c r="J788" s="373"/>
      <c r="K788" s="373"/>
      <c r="L788" s="373"/>
      <c r="M788" s="373"/>
      <c r="N788" s="373"/>
      <c r="O788" s="373"/>
      <c r="P788" s="373"/>
      <c r="Q788" s="373"/>
      <c r="R788" s="373"/>
      <c r="S788" s="373"/>
      <c r="T788" s="373"/>
      <c r="U788" s="373"/>
      <c r="V788" s="373"/>
    </row>
    <row r="789" spans="1:22" ht="18" x14ac:dyDescent="0.55000000000000004">
      <c r="A789" s="373"/>
      <c r="B789" s="373"/>
      <c r="C789" s="373"/>
      <c r="D789" s="373"/>
      <c r="E789" s="373"/>
      <c r="F789" s="373"/>
      <c r="G789" s="373"/>
      <c r="H789" s="373"/>
      <c r="I789" s="373"/>
      <c r="J789" s="373"/>
      <c r="K789" s="373"/>
      <c r="L789" s="373"/>
      <c r="M789" s="373"/>
      <c r="N789" s="373"/>
      <c r="O789" s="373"/>
      <c r="P789" s="373"/>
      <c r="Q789" s="373"/>
      <c r="R789" s="373"/>
      <c r="S789" s="373"/>
      <c r="T789" s="373"/>
      <c r="U789" s="373"/>
      <c r="V789" s="373"/>
    </row>
    <row r="790" spans="1:22" ht="18" x14ac:dyDescent="0.55000000000000004">
      <c r="A790" s="373"/>
      <c r="B790" s="373"/>
      <c r="C790" s="373"/>
      <c r="D790" s="373"/>
      <c r="E790" s="373"/>
      <c r="F790" s="373"/>
      <c r="G790" s="373"/>
      <c r="H790" s="373"/>
      <c r="I790" s="373"/>
      <c r="J790" s="373"/>
      <c r="K790" s="373"/>
      <c r="L790" s="373"/>
      <c r="M790" s="373"/>
      <c r="N790" s="373"/>
      <c r="O790" s="373"/>
      <c r="P790" s="373"/>
      <c r="Q790" s="373"/>
      <c r="R790" s="373"/>
      <c r="S790" s="373"/>
      <c r="T790" s="373"/>
      <c r="U790" s="373"/>
      <c r="V790" s="373"/>
    </row>
    <row r="791" spans="1:22" ht="18" x14ac:dyDescent="0.55000000000000004">
      <c r="A791" s="373"/>
      <c r="B791" s="373"/>
      <c r="C791" s="373"/>
      <c r="D791" s="373"/>
      <c r="E791" s="373"/>
      <c r="F791" s="373"/>
      <c r="G791" s="373"/>
      <c r="H791" s="373"/>
      <c r="I791" s="373"/>
      <c r="J791" s="373"/>
      <c r="K791" s="373"/>
      <c r="L791" s="373"/>
      <c r="M791" s="373"/>
      <c r="N791" s="373"/>
      <c r="O791" s="373"/>
      <c r="P791" s="373"/>
      <c r="Q791" s="373"/>
      <c r="R791" s="373"/>
      <c r="S791" s="373"/>
      <c r="T791" s="373"/>
      <c r="U791" s="373"/>
      <c r="V791" s="373"/>
    </row>
    <row r="792" spans="1:22" ht="18" x14ac:dyDescent="0.55000000000000004">
      <c r="A792" s="373"/>
      <c r="B792" s="373"/>
      <c r="C792" s="373"/>
      <c r="D792" s="373"/>
      <c r="E792" s="373"/>
      <c r="F792" s="373"/>
      <c r="G792" s="373"/>
      <c r="H792" s="373"/>
      <c r="I792" s="373"/>
      <c r="J792" s="373"/>
      <c r="K792" s="373"/>
      <c r="L792" s="373"/>
      <c r="M792" s="373"/>
      <c r="N792" s="373"/>
      <c r="O792" s="373"/>
      <c r="P792" s="373"/>
      <c r="Q792" s="373"/>
      <c r="R792" s="373"/>
      <c r="S792" s="373"/>
      <c r="T792" s="373"/>
      <c r="U792" s="373"/>
      <c r="V792" s="373"/>
    </row>
    <row r="793" spans="1:22" ht="18" x14ac:dyDescent="0.55000000000000004">
      <c r="A793" s="373"/>
      <c r="B793" s="373"/>
      <c r="C793" s="373"/>
      <c r="D793" s="373"/>
      <c r="E793" s="373"/>
      <c r="F793" s="373"/>
      <c r="G793" s="373"/>
      <c r="H793" s="373"/>
      <c r="I793" s="373"/>
      <c r="J793" s="373"/>
      <c r="K793" s="373"/>
      <c r="L793" s="373"/>
      <c r="M793" s="373"/>
      <c r="N793" s="373"/>
      <c r="O793" s="373"/>
      <c r="P793" s="373"/>
      <c r="Q793" s="373"/>
      <c r="R793" s="373"/>
      <c r="S793" s="373"/>
      <c r="T793" s="373"/>
      <c r="U793" s="373"/>
      <c r="V793" s="373"/>
    </row>
    <row r="794" spans="1:22" ht="18" x14ac:dyDescent="0.55000000000000004">
      <c r="A794" s="373"/>
      <c r="B794" s="373"/>
      <c r="C794" s="373"/>
      <c r="D794" s="373"/>
      <c r="E794" s="373"/>
      <c r="F794" s="373"/>
      <c r="G794" s="373"/>
      <c r="H794" s="373"/>
      <c r="I794" s="373"/>
      <c r="J794" s="373"/>
      <c r="K794" s="373"/>
      <c r="L794" s="373"/>
      <c r="M794" s="373"/>
      <c r="N794" s="373"/>
      <c r="O794" s="373"/>
      <c r="P794" s="373"/>
      <c r="Q794" s="373"/>
      <c r="R794" s="373"/>
      <c r="S794" s="373"/>
      <c r="T794" s="373"/>
      <c r="U794" s="373"/>
      <c r="V794" s="373"/>
    </row>
    <row r="795" spans="1:22" ht="18" x14ac:dyDescent="0.55000000000000004">
      <c r="A795" s="373"/>
      <c r="B795" s="373"/>
      <c r="C795" s="373"/>
      <c r="D795" s="373"/>
      <c r="E795" s="373"/>
      <c r="F795" s="373"/>
      <c r="G795" s="373"/>
      <c r="H795" s="373"/>
      <c r="I795" s="373"/>
      <c r="J795" s="373"/>
      <c r="K795" s="373"/>
      <c r="L795" s="373"/>
      <c r="M795" s="373"/>
      <c r="N795" s="373"/>
      <c r="O795" s="373"/>
      <c r="P795" s="373"/>
      <c r="Q795" s="373"/>
      <c r="R795" s="373"/>
      <c r="S795" s="373"/>
      <c r="T795" s="373"/>
      <c r="U795" s="373"/>
      <c r="V795" s="373"/>
    </row>
    <row r="796" spans="1:22" ht="18" x14ac:dyDescent="0.55000000000000004">
      <c r="A796" s="373"/>
      <c r="B796" s="373"/>
      <c r="C796" s="373"/>
      <c r="D796" s="373"/>
      <c r="E796" s="373"/>
      <c r="F796" s="373"/>
      <c r="G796" s="373"/>
      <c r="H796" s="373"/>
      <c r="I796" s="373"/>
      <c r="J796" s="373"/>
      <c r="K796" s="373"/>
      <c r="L796" s="373"/>
      <c r="M796" s="373"/>
      <c r="N796" s="373"/>
      <c r="O796" s="373"/>
      <c r="P796" s="373"/>
      <c r="Q796" s="373"/>
      <c r="R796" s="373"/>
      <c r="S796" s="373"/>
      <c r="T796" s="373"/>
      <c r="U796" s="373"/>
      <c r="V796" s="373"/>
    </row>
    <row r="797" spans="1:22" ht="18" x14ac:dyDescent="0.55000000000000004">
      <c r="A797" s="373"/>
      <c r="B797" s="373"/>
      <c r="C797" s="373"/>
      <c r="D797" s="373"/>
      <c r="E797" s="373"/>
      <c r="F797" s="373"/>
      <c r="G797" s="373"/>
      <c r="H797" s="373"/>
      <c r="I797" s="373"/>
      <c r="J797" s="373"/>
      <c r="K797" s="373"/>
      <c r="L797" s="373"/>
      <c r="M797" s="373"/>
      <c r="N797" s="373"/>
      <c r="O797" s="373"/>
      <c r="P797" s="373"/>
      <c r="Q797" s="373"/>
      <c r="R797" s="373"/>
      <c r="S797" s="373"/>
      <c r="T797" s="373"/>
      <c r="U797" s="373"/>
      <c r="V797" s="373"/>
    </row>
    <row r="798" spans="1:22" ht="18" x14ac:dyDescent="0.55000000000000004">
      <c r="A798" s="373"/>
      <c r="B798" s="373"/>
      <c r="C798" s="373"/>
      <c r="D798" s="373"/>
      <c r="E798" s="373"/>
      <c r="F798" s="373"/>
      <c r="G798" s="373"/>
      <c r="H798" s="373"/>
      <c r="I798" s="373"/>
      <c r="J798" s="373"/>
      <c r="K798" s="373"/>
      <c r="L798" s="373"/>
      <c r="M798" s="373"/>
      <c r="N798" s="373"/>
      <c r="O798" s="373"/>
      <c r="P798" s="373"/>
      <c r="Q798" s="373"/>
      <c r="R798" s="373"/>
      <c r="S798" s="373"/>
      <c r="T798" s="373"/>
      <c r="U798" s="373"/>
      <c r="V798" s="373"/>
    </row>
    <row r="799" spans="1:22" ht="18" x14ac:dyDescent="0.55000000000000004">
      <c r="A799" s="373"/>
      <c r="B799" s="373"/>
      <c r="C799" s="373"/>
      <c r="D799" s="373"/>
      <c r="E799" s="373"/>
      <c r="F799" s="373"/>
      <c r="G799" s="373"/>
      <c r="H799" s="373"/>
      <c r="I799" s="373"/>
      <c r="J799" s="373"/>
      <c r="K799" s="373"/>
      <c r="L799" s="373"/>
      <c r="M799" s="373"/>
      <c r="N799" s="373"/>
      <c r="O799" s="373"/>
      <c r="P799" s="373"/>
      <c r="Q799" s="373"/>
      <c r="R799" s="373"/>
      <c r="S799" s="373"/>
      <c r="T799" s="373"/>
      <c r="U799" s="373"/>
      <c r="V799" s="373"/>
    </row>
    <row r="800" spans="1:22" ht="18" x14ac:dyDescent="0.55000000000000004">
      <c r="A800" s="373"/>
      <c r="B800" s="373"/>
      <c r="C800" s="373"/>
      <c r="D800" s="373"/>
      <c r="E800" s="373"/>
      <c r="F800" s="373"/>
      <c r="G800" s="373"/>
      <c r="H800" s="373"/>
      <c r="I800" s="373"/>
      <c r="J800" s="373"/>
      <c r="K800" s="373"/>
      <c r="L800" s="373"/>
      <c r="M800" s="373"/>
      <c r="N800" s="373"/>
      <c r="O800" s="373"/>
      <c r="P800" s="373"/>
      <c r="Q800" s="373"/>
      <c r="R800" s="373"/>
      <c r="S800" s="373"/>
      <c r="T800" s="373"/>
      <c r="U800" s="373"/>
      <c r="V800" s="373"/>
    </row>
    <row r="801" spans="1:22" ht="18" x14ac:dyDescent="0.55000000000000004">
      <c r="A801" s="373"/>
      <c r="B801" s="373"/>
      <c r="C801" s="373"/>
      <c r="D801" s="373"/>
      <c r="E801" s="373"/>
      <c r="F801" s="373"/>
      <c r="G801" s="373"/>
      <c r="H801" s="373"/>
      <c r="I801" s="373"/>
      <c r="J801" s="373"/>
      <c r="K801" s="373"/>
      <c r="L801" s="373"/>
      <c r="M801" s="373"/>
      <c r="N801" s="373"/>
      <c r="O801" s="373"/>
      <c r="P801" s="373"/>
      <c r="Q801" s="373"/>
      <c r="R801" s="373"/>
      <c r="S801" s="373"/>
      <c r="T801" s="373"/>
      <c r="U801" s="373"/>
      <c r="V801" s="373"/>
    </row>
    <row r="802" spans="1:22" ht="18" x14ac:dyDescent="0.55000000000000004">
      <c r="A802" s="373"/>
      <c r="B802" s="373"/>
      <c r="C802" s="373"/>
      <c r="D802" s="373"/>
      <c r="E802" s="373"/>
      <c r="F802" s="373"/>
      <c r="G802" s="373"/>
      <c r="H802" s="373"/>
      <c r="I802" s="373"/>
      <c r="J802" s="373"/>
      <c r="K802" s="373"/>
      <c r="L802" s="373"/>
      <c r="M802" s="373"/>
      <c r="N802" s="373"/>
      <c r="O802" s="373"/>
      <c r="P802" s="373"/>
      <c r="Q802" s="373"/>
      <c r="R802" s="373"/>
      <c r="S802" s="373"/>
      <c r="T802" s="373"/>
      <c r="U802" s="373"/>
      <c r="V802" s="373"/>
    </row>
    <row r="803" spans="1:22" ht="18" x14ac:dyDescent="0.55000000000000004">
      <c r="A803" s="373"/>
      <c r="B803" s="373"/>
      <c r="C803" s="373"/>
      <c r="D803" s="373"/>
      <c r="E803" s="373"/>
      <c r="F803" s="373"/>
      <c r="G803" s="373"/>
      <c r="H803" s="373"/>
      <c r="I803" s="373"/>
      <c r="J803" s="373"/>
      <c r="K803" s="373"/>
      <c r="L803" s="373"/>
      <c r="M803" s="373"/>
      <c r="N803" s="373"/>
      <c r="O803" s="373"/>
      <c r="P803" s="373"/>
      <c r="Q803" s="373"/>
      <c r="R803" s="373"/>
      <c r="S803" s="373"/>
      <c r="T803" s="373"/>
      <c r="U803" s="373"/>
      <c r="V803" s="373"/>
    </row>
    <row r="804" spans="1:22" ht="18" x14ac:dyDescent="0.55000000000000004">
      <c r="A804" s="373"/>
      <c r="B804" s="373"/>
      <c r="C804" s="373"/>
      <c r="D804" s="373"/>
      <c r="E804" s="373"/>
      <c r="F804" s="373"/>
      <c r="G804" s="373"/>
      <c r="H804" s="373"/>
      <c r="I804" s="373"/>
      <c r="J804" s="373"/>
      <c r="K804" s="373"/>
      <c r="L804" s="373"/>
      <c r="M804" s="373"/>
      <c r="N804" s="373"/>
      <c r="O804" s="373"/>
      <c r="P804" s="373"/>
      <c r="Q804" s="373"/>
      <c r="R804" s="373"/>
      <c r="S804" s="373"/>
      <c r="T804" s="373"/>
      <c r="U804" s="373"/>
      <c r="V804" s="373"/>
    </row>
    <row r="805" spans="1:22" ht="18" x14ac:dyDescent="0.55000000000000004">
      <c r="A805" s="373"/>
      <c r="B805" s="373"/>
      <c r="C805" s="373"/>
      <c r="D805" s="373"/>
      <c r="E805" s="373"/>
      <c r="F805" s="373"/>
      <c r="G805" s="373"/>
      <c r="H805" s="373"/>
      <c r="I805" s="373"/>
      <c r="J805" s="373"/>
      <c r="K805" s="373"/>
      <c r="L805" s="373"/>
      <c r="M805" s="373"/>
      <c r="N805" s="373"/>
      <c r="O805" s="373"/>
      <c r="P805" s="373"/>
      <c r="Q805" s="373"/>
      <c r="R805" s="373"/>
      <c r="S805" s="373"/>
      <c r="T805" s="373"/>
      <c r="U805" s="373"/>
      <c r="V805" s="373"/>
    </row>
    <row r="806" spans="1:22" ht="18" x14ac:dyDescent="0.55000000000000004">
      <c r="A806" s="373"/>
      <c r="B806" s="373"/>
      <c r="C806" s="373"/>
      <c r="D806" s="373"/>
      <c r="E806" s="373"/>
      <c r="F806" s="373"/>
      <c r="G806" s="373"/>
      <c r="H806" s="373"/>
      <c r="I806" s="373"/>
      <c r="J806" s="373"/>
      <c r="K806" s="373"/>
      <c r="L806" s="373"/>
      <c r="M806" s="373"/>
      <c r="N806" s="373"/>
      <c r="O806" s="373"/>
      <c r="P806" s="373"/>
      <c r="Q806" s="373"/>
      <c r="R806" s="373"/>
      <c r="S806" s="373"/>
      <c r="T806" s="373"/>
      <c r="U806" s="373"/>
      <c r="V806" s="373"/>
    </row>
    <row r="807" spans="1:22" ht="18" x14ac:dyDescent="0.55000000000000004">
      <c r="A807" s="373"/>
      <c r="B807" s="373"/>
      <c r="C807" s="373"/>
      <c r="D807" s="373"/>
      <c r="E807" s="373"/>
      <c r="F807" s="373"/>
      <c r="G807" s="373"/>
      <c r="H807" s="373"/>
      <c r="I807" s="373"/>
      <c r="J807" s="373"/>
      <c r="K807" s="373"/>
      <c r="L807" s="373"/>
      <c r="M807" s="373"/>
      <c r="N807" s="373"/>
      <c r="O807" s="373"/>
      <c r="P807" s="373"/>
      <c r="Q807" s="373"/>
      <c r="R807" s="373"/>
      <c r="S807" s="373"/>
      <c r="T807" s="373"/>
      <c r="U807" s="373"/>
      <c r="V807" s="373"/>
    </row>
    <row r="808" spans="1:22" ht="18" x14ac:dyDescent="0.55000000000000004">
      <c r="A808" s="373"/>
      <c r="B808" s="373"/>
      <c r="C808" s="373"/>
      <c r="D808" s="373"/>
      <c r="E808" s="373"/>
      <c r="F808" s="373"/>
      <c r="G808" s="373"/>
      <c r="H808" s="373"/>
      <c r="I808" s="373"/>
      <c r="J808" s="373"/>
      <c r="K808" s="373"/>
      <c r="L808" s="373"/>
      <c r="M808" s="373"/>
      <c r="N808" s="373"/>
      <c r="O808" s="373"/>
      <c r="P808" s="373"/>
      <c r="Q808" s="373"/>
      <c r="R808" s="373"/>
      <c r="S808" s="373"/>
      <c r="T808" s="373"/>
      <c r="U808" s="373"/>
      <c r="V808" s="373"/>
    </row>
    <row r="809" spans="1:22" ht="18" x14ac:dyDescent="0.55000000000000004">
      <c r="A809" s="373"/>
      <c r="B809" s="373"/>
      <c r="C809" s="373"/>
      <c r="D809" s="373"/>
      <c r="E809" s="373"/>
      <c r="F809" s="373"/>
      <c r="G809" s="373"/>
      <c r="H809" s="373"/>
      <c r="I809" s="373"/>
      <c r="J809" s="373"/>
      <c r="K809" s="373"/>
      <c r="L809" s="373"/>
      <c r="M809" s="373"/>
      <c r="N809" s="373"/>
      <c r="O809" s="373"/>
      <c r="P809" s="373"/>
      <c r="Q809" s="373"/>
      <c r="R809" s="373"/>
      <c r="S809" s="373"/>
      <c r="T809" s="373"/>
      <c r="U809" s="373"/>
      <c r="V809" s="373"/>
    </row>
    <row r="810" spans="1:22" ht="18" x14ac:dyDescent="0.55000000000000004">
      <c r="A810" s="373"/>
      <c r="B810" s="373"/>
      <c r="C810" s="373"/>
      <c r="D810" s="373"/>
      <c r="E810" s="373"/>
      <c r="F810" s="373"/>
      <c r="G810" s="373"/>
      <c r="H810" s="373"/>
      <c r="I810" s="373"/>
      <c r="J810" s="373"/>
      <c r="K810" s="373"/>
      <c r="L810" s="373"/>
      <c r="M810" s="373"/>
      <c r="N810" s="373"/>
      <c r="O810" s="373"/>
      <c r="P810" s="373"/>
      <c r="Q810" s="373"/>
      <c r="R810" s="373"/>
      <c r="S810" s="373"/>
      <c r="T810" s="373"/>
      <c r="U810" s="373"/>
      <c r="V810" s="373"/>
    </row>
    <row r="811" spans="1:22" ht="18" x14ac:dyDescent="0.55000000000000004">
      <c r="A811" s="373"/>
      <c r="B811" s="373"/>
      <c r="C811" s="373"/>
      <c r="D811" s="373"/>
      <c r="E811" s="373"/>
      <c r="F811" s="373"/>
      <c r="G811" s="373"/>
      <c r="H811" s="373"/>
      <c r="I811" s="373"/>
      <c r="J811" s="373"/>
      <c r="K811" s="373"/>
      <c r="L811" s="373"/>
      <c r="M811" s="373"/>
      <c r="N811" s="373"/>
      <c r="O811" s="373"/>
      <c r="P811" s="373"/>
      <c r="Q811" s="373"/>
      <c r="R811" s="373"/>
      <c r="S811" s="373"/>
      <c r="T811" s="373"/>
      <c r="U811" s="373"/>
      <c r="V811" s="373"/>
    </row>
    <row r="812" spans="1:22" ht="18" x14ac:dyDescent="0.55000000000000004">
      <c r="A812" s="373"/>
      <c r="B812" s="373"/>
      <c r="C812" s="373"/>
      <c r="D812" s="373"/>
      <c r="E812" s="373"/>
      <c r="F812" s="373"/>
      <c r="G812" s="373"/>
      <c r="H812" s="373"/>
      <c r="I812" s="373"/>
      <c r="J812" s="373"/>
      <c r="K812" s="373"/>
      <c r="L812" s="373"/>
      <c r="M812" s="373"/>
      <c r="N812" s="373"/>
      <c r="O812" s="373"/>
      <c r="P812" s="373"/>
      <c r="Q812" s="373"/>
      <c r="R812" s="373"/>
      <c r="S812" s="373"/>
      <c r="T812" s="373"/>
      <c r="U812" s="373"/>
      <c r="V812" s="373"/>
    </row>
    <row r="813" spans="1:22" ht="18" x14ac:dyDescent="0.55000000000000004">
      <c r="A813" s="373"/>
      <c r="B813" s="373"/>
      <c r="C813" s="373"/>
      <c r="D813" s="373"/>
      <c r="E813" s="373"/>
      <c r="F813" s="373"/>
      <c r="G813" s="373"/>
      <c r="H813" s="373"/>
      <c r="I813" s="373"/>
      <c r="J813" s="373"/>
      <c r="K813" s="373"/>
      <c r="L813" s="373"/>
      <c r="M813" s="373"/>
      <c r="N813" s="373"/>
      <c r="O813" s="373"/>
      <c r="P813" s="373"/>
      <c r="Q813" s="373"/>
      <c r="R813" s="373"/>
      <c r="S813" s="373"/>
      <c r="T813" s="373"/>
      <c r="U813" s="373"/>
      <c r="V813" s="373"/>
    </row>
    <row r="814" spans="1:22" ht="18" x14ac:dyDescent="0.55000000000000004">
      <c r="A814" s="373"/>
      <c r="B814" s="373"/>
      <c r="C814" s="373"/>
      <c r="D814" s="373"/>
      <c r="E814" s="373"/>
      <c r="F814" s="373"/>
      <c r="G814" s="373"/>
      <c r="H814" s="373"/>
      <c r="I814" s="373"/>
      <c r="J814" s="373"/>
      <c r="K814" s="373"/>
      <c r="L814" s="373"/>
      <c r="M814" s="373"/>
      <c r="N814" s="373"/>
      <c r="O814" s="373"/>
      <c r="P814" s="373"/>
      <c r="Q814" s="373"/>
      <c r="R814" s="373"/>
      <c r="S814" s="373"/>
      <c r="T814" s="373"/>
      <c r="U814" s="373"/>
      <c r="V814" s="373"/>
    </row>
    <row r="815" spans="1:22" ht="18" x14ac:dyDescent="0.55000000000000004">
      <c r="A815" s="373"/>
      <c r="B815" s="373"/>
      <c r="C815" s="373"/>
      <c r="D815" s="373"/>
      <c r="E815" s="373"/>
      <c r="F815" s="373"/>
      <c r="G815" s="373"/>
      <c r="H815" s="373"/>
      <c r="I815" s="373"/>
      <c r="J815" s="373"/>
      <c r="K815" s="373"/>
      <c r="L815" s="373"/>
      <c r="M815" s="373"/>
      <c r="N815" s="373"/>
      <c r="O815" s="373"/>
      <c r="P815" s="373"/>
      <c r="Q815" s="373"/>
      <c r="R815" s="373"/>
      <c r="S815" s="373"/>
      <c r="T815" s="373"/>
      <c r="U815" s="373"/>
      <c r="V815" s="373"/>
    </row>
    <row r="816" spans="1:22" ht="18" x14ac:dyDescent="0.55000000000000004">
      <c r="A816" s="373"/>
      <c r="B816" s="373"/>
      <c r="C816" s="373"/>
      <c r="D816" s="373"/>
      <c r="E816" s="373"/>
      <c r="F816" s="373"/>
      <c r="G816" s="373"/>
      <c r="H816" s="373"/>
      <c r="I816" s="373"/>
      <c r="J816" s="373"/>
      <c r="K816" s="373"/>
      <c r="L816" s="373"/>
      <c r="M816" s="373"/>
      <c r="N816" s="373"/>
      <c r="O816" s="373"/>
      <c r="P816" s="373"/>
      <c r="Q816" s="373"/>
      <c r="R816" s="373"/>
      <c r="S816" s="373"/>
      <c r="T816" s="373"/>
      <c r="U816" s="373"/>
      <c r="V816" s="373"/>
    </row>
    <row r="817" spans="1:22" ht="18" x14ac:dyDescent="0.55000000000000004">
      <c r="A817" s="373"/>
      <c r="B817" s="373"/>
      <c r="C817" s="373"/>
      <c r="D817" s="373"/>
      <c r="E817" s="373"/>
      <c r="F817" s="373"/>
      <c r="G817" s="373"/>
      <c r="H817" s="373"/>
      <c r="I817" s="373"/>
      <c r="J817" s="373"/>
      <c r="K817" s="373"/>
      <c r="L817" s="373"/>
      <c r="M817" s="373"/>
      <c r="N817" s="373"/>
      <c r="O817" s="373"/>
      <c r="P817" s="373"/>
      <c r="Q817" s="373"/>
      <c r="R817" s="373"/>
      <c r="S817" s="373"/>
      <c r="T817" s="373"/>
      <c r="U817" s="373"/>
      <c r="V817" s="373"/>
    </row>
    <row r="818" spans="1:22" ht="18" x14ac:dyDescent="0.55000000000000004">
      <c r="A818" s="373"/>
      <c r="B818" s="373"/>
      <c r="C818" s="373"/>
      <c r="D818" s="373"/>
      <c r="E818" s="373"/>
      <c r="F818" s="373"/>
      <c r="G818" s="373"/>
      <c r="H818" s="373"/>
      <c r="I818" s="373"/>
      <c r="J818" s="373"/>
      <c r="K818" s="373"/>
      <c r="L818" s="373"/>
      <c r="M818" s="373"/>
      <c r="N818" s="373"/>
      <c r="O818" s="373"/>
      <c r="P818" s="373"/>
      <c r="Q818" s="373"/>
      <c r="R818" s="373"/>
      <c r="S818" s="373"/>
      <c r="T818" s="373"/>
      <c r="U818" s="373"/>
      <c r="V818" s="373"/>
    </row>
    <row r="819" spans="1:22" ht="18" x14ac:dyDescent="0.55000000000000004">
      <c r="A819" s="373"/>
      <c r="B819" s="373"/>
      <c r="C819" s="373"/>
      <c r="D819" s="373"/>
      <c r="E819" s="373"/>
      <c r="F819" s="373"/>
      <c r="G819" s="373"/>
      <c r="H819" s="373"/>
      <c r="I819" s="373"/>
      <c r="J819" s="373"/>
      <c r="K819" s="373"/>
      <c r="L819" s="373"/>
      <c r="M819" s="373"/>
      <c r="N819" s="373"/>
      <c r="O819" s="373"/>
      <c r="P819" s="373"/>
      <c r="Q819" s="373"/>
      <c r="R819" s="373"/>
      <c r="S819" s="373"/>
      <c r="T819" s="373"/>
      <c r="U819" s="373"/>
      <c r="V819" s="373"/>
    </row>
    <row r="820" spans="1:22" ht="18" x14ac:dyDescent="0.55000000000000004">
      <c r="A820" s="373"/>
      <c r="B820" s="373"/>
      <c r="C820" s="373"/>
      <c r="D820" s="373"/>
      <c r="E820" s="373"/>
      <c r="F820" s="373"/>
      <c r="G820" s="373"/>
      <c r="H820" s="373"/>
      <c r="I820" s="373"/>
      <c r="J820" s="373"/>
      <c r="K820" s="373"/>
      <c r="L820" s="373"/>
      <c r="M820" s="373"/>
      <c r="N820" s="373"/>
      <c r="O820" s="373"/>
      <c r="P820" s="373"/>
      <c r="Q820" s="373"/>
      <c r="R820" s="373"/>
      <c r="S820" s="373"/>
      <c r="T820" s="373"/>
      <c r="U820" s="373"/>
      <c r="V820" s="373"/>
    </row>
    <row r="821" spans="1:22" ht="18" x14ac:dyDescent="0.55000000000000004">
      <c r="A821" s="373"/>
      <c r="B821" s="373"/>
      <c r="C821" s="373"/>
      <c r="D821" s="373"/>
      <c r="E821" s="373"/>
      <c r="F821" s="373"/>
      <c r="G821" s="373"/>
      <c r="H821" s="373"/>
      <c r="I821" s="373"/>
      <c r="J821" s="373"/>
      <c r="K821" s="373"/>
      <c r="L821" s="373"/>
      <c r="M821" s="373"/>
      <c r="N821" s="373"/>
      <c r="O821" s="373"/>
      <c r="P821" s="373"/>
      <c r="Q821" s="373"/>
      <c r="R821" s="373"/>
      <c r="S821" s="373"/>
      <c r="T821" s="373"/>
      <c r="U821" s="373"/>
      <c r="V821" s="373"/>
    </row>
    <row r="822" spans="1:22" ht="18" x14ac:dyDescent="0.55000000000000004">
      <c r="A822" s="373"/>
      <c r="B822" s="373"/>
      <c r="C822" s="373"/>
      <c r="D822" s="373"/>
      <c r="E822" s="373"/>
      <c r="F822" s="373"/>
      <c r="G822" s="373"/>
      <c r="H822" s="373"/>
      <c r="I822" s="373"/>
      <c r="J822" s="373"/>
      <c r="K822" s="373"/>
      <c r="L822" s="373"/>
      <c r="M822" s="373"/>
      <c r="N822" s="373"/>
      <c r="O822" s="373"/>
      <c r="P822" s="373"/>
      <c r="Q822" s="373"/>
      <c r="R822" s="373"/>
      <c r="S822" s="373"/>
      <c r="T822" s="373"/>
      <c r="U822" s="373"/>
      <c r="V822" s="373"/>
    </row>
    <row r="823" spans="1:22" ht="18" x14ac:dyDescent="0.55000000000000004">
      <c r="A823" s="373"/>
      <c r="B823" s="373"/>
      <c r="C823" s="373"/>
      <c r="D823" s="373"/>
      <c r="E823" s="373"/>
      <c r="F823" s="373"/>
      <c r="G823" s="373"/>
      <c r="H823" s="373"/>
      <c r="I823" s="373"/>
      <c r="J823" s="373"/>
      <c r="K823" s="373"/>
      <c r="L823" s="373"/>
      <c r="M823" s="373"/>
      <c r="N823" s="373"/>
      <c r="O823" s="373"/>
      <c r="P823" s="373"/>
      <c r="Q823" s="373"/>
      <c r="R823" s="373"/>
      <c r="S823" s="373"/>
      <c r="T823" s="373"/>
      <c r="U823" s="373"/>
      <c r="V823" s="373"/>
    </row>
    <row r="824" spans="1:22" ht="18" x14ac:dyDescent="0.55000000000000004">
      <c r="A824" s="373"/>
      <c r="B824" s="373"/>
      <c r="C824" s="373"/>
      <c r="D824" s="373"/>
      <c r="E824" s="373"/>
      <c r="F824" s="373"/>
      <c r="G824" s="373"/>
      <c r="H824" s="373"/>
      <c r="I824" s="373"/>
      <c r="J824" s="373"/>
      <c r="K824" s="373"/>
      <c r="L824" s="373"/>
      <c r="M824" s="373"/>
      <c r="N824" s="373"/>
      <c r="O824" s="373"/>
      <c r="P824" s="373"/>
      <c r="Q824" s="373"/>
      <c r="R824" s="373"/>
      <c r="S824" s="373"/>
      <c r="T824" s="373"/>
      <c r="U824" s="373"/>
      <c r="V824" s="373"/>
    </row>
    <row r="825" spans="1:22" ht="18" x14ac:dyDescent="0.55000000000000004">
      <c r="A825" s="373"/>
      <c r="B825" s="373"/>
      <c r="C825" s="373"/>
      <c r="D825" s="373"/>
      <c r="E825" s="373"/>
      <c r="F825" s="373"/>
      <c r="G825" s="373"/>
      <c r="H825" s="373"/>
      <c r="I825" s="373"/>
      <c r="J825" s="373"/>
      <c r="K825" s="373"/>
      <c r="L825" s="373"/>
      <c r="M825" s="373"/>
      <c r="N825" s="373"/>
      <c r="O825" s="373"/>
      <c r="P825" s="373"/>
      <c r="Q825" s="373"/>
      <c r="R825" s="373"/>
      <c r="S825" s="373"/>
      <c r="T825" s="373"/>
      <c r="U825" s="373"/>
      <c r="V825" s="373"/>
    </row>
    <row r="826" spans="1:22" ht="18" x14ac:dyDescent="0.55000000000000004">
      <c r="A826" s="373"/>
      <c r="B826" s="373"/>
      <c r="C826" s="373"/>
      <c r="D826" s="373"/>
      <c r="E826" s="373"/>
      <c r="F826" s="373"/>
      <c r="G826" s="373"/>
      <c r="H826" s="373"/>
      <c r="I826" s="373"/>
      <c r="J826" s="373"/>
      <c r="K826" s="373"/>
      <c r="L826" s="373"/>
      <c r="M826" s="373"/>
      <c r="N826" s="373"/>
      <c r="O826" s="373"/>
      <c r="P826" s="373"/>
      <c r="Q826" s="373"/>
      <c r="R826" s="373"/>
      <c r="S826" s="373"/>
      <c r="T826" s="373"/>
      <c r="U826" s="373"/>
      <c r="V826" s="373"/>
    </row>
    <row r="827" spans="1:22" ht="18" x14ac:dyDescent="0.55000000000000004">
      <c r="A827" s="373"/>
      <c r="B827" s="373"/>
      <c r="C827" s="373"/>
      <c r="D827" s="373"/>
      <c r="E827" s="373"/>
      <c r="F827" s="373"/>
      <c r="G827" s="373"/>
      <c r="H827" s="373"/>
      <c r="I827" s="373"/>
      <c r="J827" s="373"/>
      <c r="K827" s="373"/>
      <c r="L827" s="373"/>
      <c r="M827" s="373"/>
      <c r="N827" s="373"/>
      <c r="O827" s="373"/>
      <c r="P827" s="373"/>
      <c r="Q827" s="373"/>
      <c r="R827" s="373"/>
      <c r="S827" s="373"/>
      <c r="T827" s="373"/>
      <c r="U827" s="373"/>
      <c r="V827" s="373"/>
    </row>
    <row r="828" spans="1:22" ht="18" x14ac:dyDescent="0.55000000000000004">
      <c r="A828" s="373"/>
      <c r="B828" s="373"/>
      <c r="C828" s="373"/>
      <c r="D828" s="373"/>
      <c r="E828" s="373"/>
      <c r="F828" s="373"/>
      <c r="G828" s="373"/>
      <c r="H828" s="373"/>
      <c r="I828" s="373"/>
      <c r="J828" s="373"/>
      <c r="K828" s="373"/>
      <c r="L828" s="373"/>
      <c r="M828" s="373"/>
      <c r="N828" s="373"/>
      <c r="O828" s="373"/>
      <c r="P828" s="373"/>
      <c r="Q828" s="373"/>
      <c r="R828" s="373"/>
      <c r="S828" s="373"/>
      <c r="T828" s="373"/>
      <c r="U828" s="373"/>
      <c r="V828" s="373"/>
    </row>
    <row r="829" spans="1:22" ht="18" x14ac:dyDescent="0.55000000000000004">
      <c r="A829" s="373"/>
      <c r="B829" s="373"/>
      <c r="C829" s="373"/>
      <c r="D829" s="373"/>
      <c r="E829" s="373"/>
      <c r="F829" s="373"/>
      <c r="G829" s="373"/>
      <c r="H829" s="373"/>
      <c r="I829" s="373"/>
      <c r="J829" s="373"/>
      <c r="K829" s="373"/>
      <c r="L829" s="373"/>
      <c r="M829" s="373"/>
      <c r="N829" s="373"/>
      <c r="O829" s="373"/>
      <c r="P829" s="373"/>
      <c r="Q829" s="373"/>
      <c r="R829" s="373"/>
      <c r="S829" s="373"/>
      <c r="T829" s="373"/>
      <c r="U829" s="373"/>
      <c r="V829" s="373"/>
    </row>
    <row r="830" spans="1:22" ht="18" x14ac:dyDescent="0.55000000000000004">
      <c r="A830" s="373"/>
      <c r="B830" s="373"/>
      <c r="C830" s="373"/>
      <c r="D830" s="373"/>
      <c r="E830" s="373"/>
      <c r="F830" s="373"/>
      <c r="G830" s="373"/>
      <c r="H830" s="373"/>
      <c r="I830" s="373"/>
      <c r="J830" s="373"/>
      <c r="K830" s="373"/>
      <c r="L830" s="373"/>
      <c r="M830" s="373"/>
      <c r="N830" s="373"/>
      <c r="O830" s="373"/>
      <c r="P830" s="373"/>
      <c r="Q830" s="373"/>
      <c r="R830" s="373"/>
      <c r="S830" s="373"/>
      <c r="T830" s="373"/>
      <c r="U830" s="373"/>
      <c r="V830" s="373"/>
    </row>
    <row r="831" spans="1:22" ht="18" x14ac:dyDescent="0.55000000000000004">
      <c r="A831" s="373"/>
      <c r="B831" s="373"/>
      <c r="C831" s="373"/>
      <c r="D831" s="373"/>
      <c r="E831" s="373"/>
      <c r="F831" s="373"/>
      <c r="G831" s="373"/>
      <c r="H831" s="373"/>
      <c r="I831" s="373"/>
      <c r="J831" s="373"/>
      <c r="K831" s="373"/>
      <c r="L831" s="373"/>
      <c r="M831" s="373"/>
      <c r="N831" s="373"/>
      <c r="O831" s="373"/>
      <c r="P831" s="373"/>
      <c r="Q831" s="373"/>
      <c r="R831" s="373"/>
      <c r="S831" s="373"/>
      <c r="T831" s="373"/>
      <c r="U831" s="373"/>
      <c r="V831" s="373"/>
    </row>
    <row r="832" spans="1:22" ht="18" x14ac:dyDescent="0.55000000000000004">
      <c r="A832" s="373"/>
      <c r="B832" s="373"/>
      <c r="C832" s="373"/>
      <c r="D832" s="373"/>
      <c r="E832" s="373"/>
      <c r="F832" s="373"/>
      <c r="G832" s="373"/>
      <c r="H832" s="373"/>
      <c r="I832" s="373"/>
      <c r="J832" s="373"/>
      <c r="K832" s="373"/>
      <c r="L832" s="373"/>
      <c r="M832" s="373"/>
      <c r="N832" s="373"/>
      <c r="O832" s="373"/>
      <c r="P832" s="373"/>
      <c r="Q832" s="373"/>
      <c r="R832" s="373"/>
      <c r="S832" s="373"/>
      <c r="T832" s="373"/>
      <c r="U832" s="373"/>
      <c r="V832" s="373"/>
    </row>
    <row r="833" spans="1:22" ht="18" x14ac:dyDescent="0.55000000000000004">
      <c r="A833" s="373"/>
      <c r="B833" s="373"/>
      <c r="C833" s="373"/>
      <c r="D833" s="373"/>
      <c r="E833" s="373"/>
      <c r="F833" s="373"/>
      <c r="G833" s="373"/>
      <c r="H833" s="373"/>
      <c r="I833" s="373"/>
      <c r="J833" s="373"/>
      <c r="K833" s="373"/>
      <c r="L833" s="373"/>
      <c r="M833" s="373"/>
      <c r="N833" s="373"/>
      <c r="O833" s="373"/>
      <c r="P833" s="373"/>
      <c r="Q833" s="373"/>
      <c r="R833" s="373"/>
      <c r="S833" s="373"/>
      <c r="T833" s="373"/>
      <c r="U833" s="373"/>
      <c r="V833" s="373"/>
    </row>
    <row r="834" spans="1:22" ht="18" x14ac:dyDescent="0.55000000000000004">
      <c r="A834" s="373"/>
      <c r="B834" s="373"/>
      <c r="C834" s="373"/>
      <c r="D834" s="373"/>
      <c r="E834" s="373"/>
      <c r="F834" s="373"/>
      <c r="G834" s="373"/>
      <c r="H834" s="373"/>
      <c r="I834" s="373"/>
      <c r="J834" s="373"/>
      <c r="K834" s="373"/>
      <c r="L834" s="373"/>
      <c r="M834" s="373"/>
      <c r="N834" s="373"/>
      <c r="O834" s="373"/>
      <c r="P834" s="373"/>
      <c r="Q834" s="373"/>
      <c r="R834" s="373"/>
      <c r="S834" s="373"/>
      <c r="T834" s="373"/>
      <c r="U834" s="373"/>
      <c r="V834" s="373"/>
    </row>
    <row r="835" spans="1:22" ht="18" x14ac:dyDescent="0.55000000000000004">
      <c r="A835" s="373"/>
      <c r="B835" s="373"/>
      <c r="C835" s="373"/>
      <c r="D835" s="373"/>
      <c r="E835" s="373"/>
      <c r="F835" s="373"/>
      <c r="G835" s="373"/>
      <c r="H835" s="373"/>
      <c r="I835" s="373"/>
      <c r="J835" s="373"/>
      <c r="K835" s="373"/>
      <c r="L835" s="373"/>
      <c r="M835" s="373"/>
      <c r="N835" s="373"/>
      <c r="O835" s="373"/>
      <c r="P835" s="373"/>
      <c r="Q835" s="373"/>
      <c r="R835" s="373"/>
      <c r="S835" s="373"/>
      <c r="T835" s="373"/>
      <c r="U835" s="373"/>
      <c r="V835" s="373"/>
    </row>
    <row r="836" spans="1:22" ht="18" x14ac:dyDescent="0.55000000000000004">
      <c r="A836" s="373"/>
      <c r="B836" s="373"/>
      <c r="C836" s="373"/>
      <c r="D836" s="373"/>
      <c r="E836" s="373"/>
      <c r="F836" s="373"/>
      <c r="G836" s="373"/>
      <c r="H836" s="373"/>
      <c r="I836" s="373"/>
      <c r="J836" s="373"/>
      <c r="K836" s="373"/>
      <c r="L836" s="373"/>
      <c r="M836" s="373"/>
      <c r="N836" s="373"/>
      <c r="O836" s="373"/>
      <c r="P836" s="373"/>
      <c r="Q836" s="373"/>
      <c r="R836" s="373"/>
      <c r="S836" s="373"/>
      <c r="T836" s="373"/>
      <c r="U836" s="373"/>
      <c r="V836" s="373"/>
    </row>
    <row r="837" spans="1:22" ht="18" x14ac:dyDescent="0.55000000000000004">
      <c r="A837" s="373"/>
      <c r="B837" s="373"/>
      <c r="C837" s="373"/>
      <c r="D837" s="373"/>
      <c r="E837" s="373"/>
      <c r="F837" s="373"/>
      <c r="G837" s="373"/>
      <c r="H837" s="373"/>
      <c r="I837" s="373"/>
      <c r="J837" s="373"/>
      <c r="K837" s="373"/>
      <c r="L837" s="373"/>
      <c r="M837" s="373"/>
      <c r="N837" s="373"/>
      <c r="O837" s="373"/>
      <c r="P837" s="373"/>
      <c r="Q837" s="373"/>
      <c r="R837" s="373"/>
      <c r="S837" s="373"/>
      <c r="T837" s="373"/>
      <c r="U837" s="373"/>
      <c r="V837" s="373"/>
    </row>
    <row r="838" spans="1:22" ht="18" x14ac:dyDescent="0.55000000000000004">
      <c r="A838" s="373"/>
      <c r="B838" s="373"/>
      <c r="C838" s="373"/>
      <c r="D838" s="373"/>
      <c r="E838" s="373"/>
      <c r="F838" s="373"/>
      <c r="G838" s="373"/>
      <c r="H838" s="373"/>
      <c r="I838" s="373"/>
      <c r="J838" s="373"/>
      <c r="K838" s="373"/>
      <c r="L838" s="373"/>
      <c r="M838" s="373"/>
      <c r="N838" s="373"/>
      <c r="O838" s="373"/>
      <c r="P838" s="373"/>
      <c r="Q838" s="373"/>
      <c r="R838" s="373"/>
      <c r="S838" s="373"/>
      <c r="T838" s="373"/>
      <c r="U838" s="373"/>
      <c r="V838" s="373"/>
    </row>
    <row r="839" spans="1:22" ht="18" x14ac:dyDescent="0.55000000000000004">
      <c r="A839" s="373"/>
      <c r="B839" s="373"/>
      <c r="C839" s="373"/>
      <c r="D839" s="373"/>
      <c r="E839" s="373"/>
      <c r="F839" s="373"/>
      <c r="G839" s="373"/>
      <c r="H839" s="373"/>
      <c r="I839" s="373"/>
      <c r="J839" s="373"/>
      <c r="K839" s="373"/>
      <c r="L839" s="373"/>
      <c r="M839" s="373"/>
      <c r="N839" s="373"/>
      <c r="O839" s="373"/>
      <c r="P839" s="373"/>
      <c r="Q839" s="373"/>
      <c r="R839" s="373"/>
      <c r="S839" s="373"/>
      <c r="T839" s="373"/>
      <c r="U839" s="373"/>
      <c r="V839" s="373"/>
    </row>
    <row r="840" spans="1:22" ht="18" x14ac:dyDescent="0.55000000000000004">
      <c r="A840" s="373"/>
      <c r="B840" s="373"/>
      <c r="C840" s="373"/>
      <c r="D840" s="373"/>
      <c r="E840" s="373"/>
      <c r="F840" s="373"/>
      <c r="G840" s="373"/>
      <c r="H840" s="373"/>
      <c r="I840" s="373"/>
      <c r="J840" s="373"/>
      <c r="K840" s="373"/>
      <c r="L840" s="373"/>
      <c r="M840" s="373"/>
      <c r="N840" s="373"/>
      <c r="O840" s="373"/>
      <c r="P840" s="373"/>
      <c r="Q840" s="373"/>
      <c r="R840" s="373"/>
      <c r="S840" s="373"/>
      <c r="T840" s="373"/>
      <c r="U840" s="373"/>
      <c r="V840" s="373"/>
    </row>
    <row r="841" spans="1:22" ht="18" x14ac:dyDescent="0.55000000000000004">
      <c r="A841" s="373"/>
      <c r="B841" s="373"/>
      <c r="C841" s="373"/>
      <c r="D841" s="373"/>
      <c r="E841" s="373"/>
      <c r="F841" s="373"/>
      <c r="G841" s="373"/>
      <c r="H841" s="373"/>
      <c r="I841" s="373"/>
      <c r="J841" s="373"/>
      <c r="K841" s="373"/>
      <c r="L841" s="373"/>
      <c r="M841" s="373"/>
      <c r="N841" s="373"/>
      <c r="O841" s="373"/>
      <c r="P841" s="373"/>
      <c r="Q841" s="373"/>
      <c r="R841" s="373"/>
      <c r="S841" s="373"/>
      <c r="T841" s="373"/>
      <c r="U841" s="373"/>
      <c r="V841" s="373"/>
    </row>
    <row r="842" spans="1:22" ht="18" x14ac:dyDescent="0.55000000000000004">
      <c r="A842" s="373"/>
      <c r="B842" s="373"/>
      <c r="C842" s="373"/>
      <c r="D842" s="373"/>
      <c r="E842" s="373"/>
      <c r="F842" s="373"/>
      <c r="G842" s="373"/>
      <c r="H842" s="373"/>
      <c r="I842" s="373"/>
      <c r="J842" s="373"/>
      <c r="K842" s="373"/>
      <c r="L842" s="373"/>
      <c r="M842" s="373"/>
      <c r="N842" s="373"/>
      <c r="O842" s="373"/>
      <c r="P842" s="373"/>
      <c r="Q842" s="373"/>
      <c r="R842" s="373"/>
      <c r="S842" s="373"/>
      <c r="T842" s="373"/>
      <c r="U842" s="373"/>
      <c r="V842" s="373"/>
    </row>
    <row r="843" spans="1:22" ht="18" x14ac:dyDescent="0.55000000000000004">
      <c r="A843" s="373"/>
      <c r="B843" s="373"/>
      <c r="C843" s="373"/>
      <c r="D843" s="373"/>
      <c r="E843" s="373"/>
      <c r="F843" s="373"/>
      <c r="G843" s="373"/>
      <c r="H843" s="373"/>
      <c r="I843" s="373"/>
      <c r="J843" s="373"/>
      <c r="K843" s="373"/>
      <c r="L843" s="373"/>
      <c r="M843" s="373"/>
      <c r="N843" s="373"/>
      <c r="O843" s="373"/>
      <c r="P843" s="373"/>
      <c r="Q843" s="373"/>
      <c r="R843" s="373"/>
      <c r="S843" s="373"/>
      <c r="T843" s="373"/>
      <c r="U843" s="373"/>
      <c r="V843" s="373"/>
    </row>
    <row r="844" spans="1:22" ht="18" x14ac:dyDescent="0.55000000000000004">
      <c r="A844" s="373"/>
      <c r="B844" s="373"/>
      <c r="C844" s="373"/>
      <c r="D844" s="373"/>
      <c r="E844" s="373"/>
      <c r="F844" s="373"/>
      <c r="G844" s="373"/>
      <c r="H844" s="373"/>
      <c r="I844" s="373"/>
      <c r="J844" s="373"/>
      <c r="K844" s="373"/>
      <c r="L844" s="373"/>
      <c r="M844" s="373"/>
      <c r="N844" s="373"/>
      <c r="O844" s="373"/>
      <c r="P844" s="373"/>
      <c r="Q844" s="373"/>
      <c r="R844" s="373"/>
      <c r="S844" s="373"/>
      <c r="T844" s="373"/>
      <c r="U844" s="373"/>
      <c r="V844" s="373"/>
    </row>
    <row r="845" spans="1:22" ht="18" x14ac:dyDescent="0.55000000000000004">
      <c r="A845" s="373"/>
      <c r="B845" s="373"/>
      <c r="C845" s="373"/>
      <c r="D845" s="373"/>
      <c r="E845" s="373"/>
      <c r="F845" s="373"/>
      <c r="G845" s="373"/>
      <c r="H845" s="373"/>
      <c r="I845" s="373"/>
      <c r="J845" s="373"/>
      <c r="K845" s="373"/>
      <c r="L845" s="373"/>
      <c r="M845" s="373"/>
      <c r="N845" s="373"/>
      <c r="O845" s="373"/>
      <c r="P845" s="373"/>
      <c r="Q845" s="373"/>
      <c r="R845" s="373"/>
      <c r="S845" s="373"/>
      <c r="T845" s="373"/>
      <c r="U845" s="373"/>
      <c r="V845" s="373"/>
    </row>
    <row r="846" spans="1:22" ht="18" x14ac:dyDescent="0.55000000000000004">
      <c r="A846" s="373"/>
      <c r="B846" s="373"/>
      <c r="C846" s="373"/>
      <c r="D846" s="373"/>
      <c r="E846" s="373"/>
      <c r="F846" s="373"/>
      <c r="G846" s="373"/>
      <c r="H846" s="373"/>
      <c r="I846" s="373"/>
      <c r="J846" s="373"/>
      <c r="K846" s="373"/>
      <c r="L846" s="373"/>
      <c r="M846" s="373"/>
      <c r="N846" s="373"/>
      <c r="O846" s="373"/>
      <c r="P846" s="373"/>
      <c r="Q846" s="373"/>
      <c r="R846" s="373"/>
      <c r="S846" s="373"/>
      <c r="T846" s="373"/>
      <c r="U846" s="373"/>
      <c r="V846" s="373"/>
    </row>
    <row r="847" spans="1:22" ht="18" x14ac:dyDescent="0.55000000000000004">
      <c r="A847" s="373"/>
      <c r="B847" s="373"/>
      <c r="C847" s="373"/>
      <c r="D847" s="373"/>
      <c r="E847" s="373"/>
      <c r="F847" s="373"/>
      <c r="G847" s="373"/>
      <c r="H847" s="373"/>
      <c r="I847" s="373"/>
      <c r="J847" s="373"/>
      <c r="K847" s="373"/>
      <c r="L847" s="373"/>
      <c r="M847" s="373"/>
      <c r="N847" s="373"/>
      <c r="O847" s="373"/>
      <c r="P847" s="373"/>
      <c r="Q847" s="373"/>
      <c r="R847" s="373"/>
      <c r="S847" s="373"/>
      <c r="T847" s="373"/>
      <c r="U847" s="373"/>
      <c r="V847" s="373"/>
    </row>
    <row r="848" spans="1:22" ht="18" x14ac:dyDescent="0.55000000000000004">
      <c r="A848" s="373"/>
      <c r="B848" s="373"/>
      <c r="C848" s="373"/>
      <c r="D848" s="373"/>
      <c r="E848" s="373"/>
      <c r="F848" s="373"/>
      <c r="G848" s="373"/>
      <c r="H848" s="373"/>
      <c r="I848" s="373"/>
      <c r="J848" s="373"/>
      <c r="K848" s="373"/>
      <c r="L848" s="373"/>
      <c r="M848" s="373"/>
      <c r="N848" s="373"/>
      <c r="O848" s="373"/>
      <c r="P848" s="373"/>
      <c r="Q848" s="373"/>
      <c r="R848" s="373"/>
      <c r="S848" s="373"/>
      <c r="T848" s="373"/>
      <c r="U848" s="373"/>
      <c r="V848" s="373"/>
    </row>
    <row r="849" spans="1:22" ht="18" x14ac:dyDescent="0.55000000000000004">
      <c r="A849" s="373"/>
      <c r="B849" s="373"/>
      <c r="C849" s="373"/>
      <c r="D849" s="373"/>
      <c r="E849" s="373"/>
      <c r="F849" s="373"/>
      <c r="G849" s="373"/>
      <c r="H849" s="373"/>
      <c r="I849" s="373"/>
      <c r="J849" s="373"/>
      <c r="K849" s="373"/>
      <c r="L849" s="373"/>
      <c r="M849" s="373"/>
      <c r="N849" s="373"/>
      <c r="O849" s="373"/>
      <c r="P849" s="373"/>
      <c r="Q849" s="373"/>
      <c r="R849" s="373"/>
      <c r="S849" s="373"/>
      <c r="T849" s="373"/>
      <c r="U849" s="373"/>
      <c r="V849" s="373"/>
    </row>
    <row r="850" spans="1:22" ht="18" x14ac:dyDescent="0.55000000000000004">
      <c r="A850" s="373"/>
      <c r="B850" s="373"/>
      <c r="C850" s="373"/>
      <c r="D850" s="373"/>
      <c r="E850" s="373"/>
      <c r="F850" s="373"/>
      <c r="G850" s="373"/>
      <c r="H850" s="373"/>
      <c r="I850" s="373"/>
      <c r="J850" s="373"/>
      <c r="K850" s="373"/>
      <c r="L850" s="373"/>
      <c r="M850" s="373"/>
      <c r="N850" s="373"/>
      <c r="O850" s="373"/>
      <c r="P850" s="373"/>
      <c r="Q850" s="373"/>
      <c r="R850" s="373"/>
      <c r="S850" s="373"/>
      <c r="T850" s="373"/>
      <c r="U850" s="373"/>
      <c r="V850" s="373"/>
    </row>
    <row r="851" spans="1:22" ht="18" x14ac:dyDescent="0.55000000000000004">
      <c r="A851" s="373"/>
      <c r="B851" s="373"/>
      <c r="C851" s="373"/>
      <c r="D851" s="373"/>
      <c r="E851" s="373"/>
      <c r="F851" s="373"/>
      <c r="G851" s="373"/>
      <c r="H851" s="373"/>
      <c r="I851" s="373"/>
      <c r="J851" s="373"/>
      <c r="K851" s="373"/>
      <c r="L851" s="373"/>
      <c r="M851" s="373"/>
      <c r="N851" s="373"/>
      <c r="O851" s="373"/>
      <c r="P851" s="373"/>
      <c r="Q851" s="373"/>
      <c r="R851" s="373"/>
      <c r="S851" s="373"/>
      <c r="T851" s="373"/>
      <c r="U851" s="373"/>
      <c r="V851" s="373"/>
    </row>
    <row r="852" spans="1:22" ht="18" x14ac:dyDescent="0.55000000000000004">
      <c r="A852" s="373"/>
      <c r="B852" s="373"/>
      <c r="C852" s="373"/>
      <c r="D852" s="373"/>
      <c r="E852" s="373"/>
      <c r="F852" s="373"/>
      <c r="G852" s="373"/>
      <c r="H852" s="373"/>
      <c r="I852" s="373"/>
      <c r="J852" s="373"/>
      <c r="K852" s="373"/>
      <c r="L852" s="373"/>
      <c r="M852" s="373"/>
      <c r="N852" s="373"/>
      <c r="O852" s="373"/>
      <c r="P852" s="373"/>
      <c r="Q852" s="373"/>
      <c r="R852" s="373"/>
      <c r="S852" s="373"/>
      <c r="T852" s="373"/>
      <c r="U852" s="373"/>
      <c r="V852" s="373"/>
    </row>
    <row r="853" spans="1:22" ht="18" x14ac:dyDescent="0.55000000000000004">
      <c r="A853" s="373"/>
      <c r="B853" s="373"/>
      <c r="C853" s="373"/>
      <c r="D853" s="373"/>
      <c r="E853" s="373"/>
      <c r="F853" s="373"/>
      <c r="G853" s="373"/>
      <c r="H853" s="373"/>
      <c r="I853" s="373"/>
      <c r="J853" s="373"/>
      <c r="K853" s="373"/>
      <c r="L853" s="373"/>
      <c r="M853" s="373"/>
      <c r="N853" s="373"/>
      <c r="O853" s="373"/>
      <c r="P853" s="373"/>
      <c r="Q853" s="373"/>
      <c r="R853" s="373"/>
      <c r="S853" s="373"/>
      <c r="T853" s="373"/>
      <c r="U853" s="373"/>
      <c r="V853" s="373"/>
    </row>
    <row r="854" spans="1:22" ht="18" x14ac:dyDescent="0.55000000000000004">
      <c r="A854" s="373"/>
      <c r="B854" s="373"/>
      <c r="C854" s="373"/>
      <c r="D854" s="373"/>
      <c r="E854" s="373"/>
      <c r="F854" s="373"/>
      <c r="G854" s="373"/>
      <c r="H854" s="373"/>
      <c r="I854" s="373"/>
      <c r="J854" s="373"/>
      <c r="K854" s="373"/>
      <c r="L854" s="373"/>
      <c r="M854" s="373"/>
      <c r="N854" s="373"/>
      <c r="O854" s="373"/>
      <c r="P854" s="373"/>
      <c r="Q854" s="373"/>
      <c r="R854" s="373"/>
      <c r="S854" s="373"/>
      <c r="T854" s="373"/>
      <c r="U854" s="373"/>
      <c r="V854" s="373"/>
    </row>
    <row r="855" spans="1:22" ht="18" x14ac:dyDescent="0.55000000000000004">
      <c r="A855" s="373"/>
      <c r="B855" s="373"/>
      <c r="C855" s="373"/>
      <c r="D855" s="373"/>
      <c r="E855" s="373"/>
      <c r="F855" s="373"/>
      <c r="G855" s="373"/>
      <c r="H855" s="373"/>
      <c r="I855" s="373"/>
      <c r="J855" s="373"/>
      <c r="K855" s="373"/>
      <c r="L855" s="373"/>
      <c r="M855" s="373"/>
      <c r="N855" s="373"/>
      <c r="O855" s="373"/>
      <c r="P855" s="373"/>
      <c r="Q855" s="373"/>
      <c r="R855" s="373"/>
      <c r="S855" s="373"/>
      <c r="T855" s="373"/>
      <c r="U855" s="373"/>
      <c r="V855" s="373"/>
    </row>
    <row r="856" spans="1:22" ht="18" x14ac:dyDescent="0.55000000000000004">
      <c r="A856" s="373"/>
      <c r="B856" s="373"/>
      <c r="C856" s="373"/>
      <c r="D856" s="373"/>
      <c r="E856" s="373"/>
      <c r="F856" s="373"/>
      <c r="G856" s="373"/>
      <c r="H856" s="373"/>
      <c r="I856" s="373"/>
      <c r="J856" s="373"/>
      <c r="K856" s="373"/>
      <c r="L856" s="373"/>
      <c r="M856" s="373"/>
      <c r="N856" s="373"/>
      <c r="O856" s="373"/>
      <c r="P856" s="373"/>
      <c r="Q856" s="373"/>
      <c r="R856" s="373"/>
      <c r="S856" s="373"/>
      <c r="T856" s="373"/>
      <c r="U856" s="373"/>
      <c r="V856" s="373"/>
    </row>
    <row r="857" spans="1:22" ht="18" x14ac:dyDescent="0.55000000000000004">
      <c r="A857" s="373"/>
      <c r="B857" s="373"/>
      <c r="C857" s="373"/>
      <c r="D857" s="373"/>
      <c r="E857" s="373"/>
      <c r="F857" s="373"/>
      <c r="G857" s="373"/>
      <c r="H857" s="373"/>
      <c r="I857" s="373"/>
      <c r="J857" s="373"/>
      <c r="K857" s="373"/>
      <c r="L857" s="373"/>
      <c r="M857" s="373"/>
      <c r="N857" s="373"/>
      <c r="O857" s="373"/>
      <c r="P857" s="373"/>
      <c r="Q857" s="373"/>
      <c r="R857" s="373"/>
      <c r="S857" s="373"/>
      <c r="T857" s="373"/>
      <c r="U857" s="373"/>
      <c r="V857" s="373"/>
    </row>
    <row r="858" spans="1:22" ht="18" x14ac:dyDescent="0.55000000000000004">
      <c r="A858" s="373"/>
      <c r="B858" s="373"/>
      <c r="C858" s="373"/>
      <c r="D858" s="373"/>
      <c r="E858" s="373"/>
      <c r="F858" s="373"/>
      <c r="G858" s="373"/>
      <c r="H858" s="373"/>
      <c r="I858" s="373"/>
      <c r="J858" s="373"/>
      <c r="K858" s="373"/>
      <c r="L858" s="373"/>
      <c r="M858" s="373"/>
      <c r="N858" s="373"/>
      <c r="O858" s="373"/>
      <c r="P858" s="373"/>
      <c r="Q858" s="373"/>
      <c r="R858" s="373"/>
      <c r="S858" s="373"/>
      <c r="T858" s="373"/>
      <c r="U858" s="373"/>
      <c r="V858" s="373"/>
    </row>
    <row r="859" spans="1:22" ht="18" x14ac:dyDescent="0.55000000000000004">
      <c r="A859" s="373"/>
      <c r="B859" s="373"/>
      <c r="C859" s="373"/>
      <c r="D859" s="373"/>
      <c r="E859" s="373"/>
      <c r="F859" s="373"/>
      <c r="G859" s="373"/>
      <c r="H859" s="373"/>
      <c r="I859" s="373"/>
      <c r="J859" s="373"/>
      <c r="K859" s="373"/>
      <c r="L859" s="373"/>
      <c r="M859" s="373"/>
      <c r="N859" s="373"/>
      <c r="O859" s="373"/>
      <c r="P859" s="373"/>
      <c r="Q859" s="373"/>
      <c r="R859" s="373"/>
      <c r="S859" s="373"/>
      <c r="T859" s="373"/>
      <c r="U859" s="373"/>
      <c r="V859" s="373"/>
    </row>
    <row r="860" spans="1:22" ht="18" x14ac:dyDescent="0.55000000000000004">
      <c r="A860" s="373"/>
      <c r="B860" s="373"/>
      <c r="C860" s="373"/>
      <c r="D860" s="373"/>
      <c r="E860" s="373"/>
      <c r="F860" s="373"/>
      <c r="G860" s="373"/>
      <c r="H860" s="373"/>
      <c r="I860" s="373"/>
      <c r="J860" s="373"/>
      <c r="K860" s="373"/>
      <c r="L860" s="373"/>
      <c r="M860" s="373"/>
      <c r="N860" s="373"/>
      <c r="O860" s="373"/>
      <c r="P860" s="373"/>
      <c r="Q860" s="373"/>
      <c r="R860" s="373"/>
      <c r="S860" s="373"/>
      <c r="T860" s="373"/>
      <c r="U860" s="373"/>
      <c r="V860" s="373"/>
    </row>
    <row r="861" spans="1:22" ht="18" x14ac:dyDescent="0.55000000000000004">
      <c r="A861" s="373"/>
      <c r="B861" s="373"/>
      <c r="C861" s="373"/>
      <c r="D861" s="373"/>
      <c r="E861" s="373"/>
      <c r="F861" s="373"/>
      <c r="G861" s="373"/>
      <c r="H861" s="373"/>
      <c r="I861" s="373"/>
      <c r="J861" s="373"/>
      <c r="K861" s="373"/>
      <c r="L861" s="373"/>
      <c r="M861" s="373"/>
      <c r="N861" s="373"/>
      <c r="O861" s="373"/>
      <c r="P861" s="373"/>
      <c r="Q861" s="373"/>
      <c r="R861" s="373"/>
      <c r="S861" s="373"/>
      <c r="T861" s="373"/>
      <c r="U861" s="373"/>
      <c r="V861" s="373"/>
    </row>
    <row r="862" spans="1:22" ht="18" x14ac:dyDescent="0.55000000000000004">
      <c r="A862" s="373"/>
      <c r="B862" s="373"/>
      <c r="C862" s="373"/>
      <c r="D862" s="373"/>
      <c r="E862" s="373"/>
      <c r="F862" s="373"/>
      <c r="G862" s="373"/>
      <c r="H862" s="373"/>
      <c r="I862" s="373"/>
      <c r="J862" s="373"/>
      <c r="K862" s="373"/>
      <c r="L862" s="373"/>
      <c r="M862" s="373"/>
      <c r="N862" s="373"/>
      <c r="O862" s="373"/>
      <c r="P862" s="373"/>
      <c r="Q862" s="373"/>
      <c r="R862" s="373"/>
      <c r="S862" s="373"/>
      <c r="T862" s="373"/>
      <c r="U862" s="373"/>
      <c r="V862" s="373"/>
    </row>
    <row r="863" spans="1:22" ht="18" x14ac:dyDescent="0.55000000000000004">
      <c r="A863" s="373"/>
      <c r="B863" s="373"/>
      <c r="C863" s="373"/>
      <c r="D863" s="373"/>
      <c r="E863" s="373"/>
      <c r="F863" s="373"/>
      <c r="G863" s="373"/>
      <c r="H863" s="373"/>
      <c r="I863" s="373"/>
      <c r="J863" s="373"/>
      <c r="K863" s="373"/>
      <c r="L863" s="373"/>
      <c r="M863" s="373"/>
      <c r="N863" s="373"/>
      <c r="O863" s="373"/>
      <c r="P863" s="373"/>
      <c r="Q863" s="373"/>
      <c r="R863" s="373"/>
      <c r="S863" s="373"/>
      <c r="T863" s="373"/>
      <c r="U863" s="373"/>
      <c r="V863" s="373"/>
    </row>
    <row r="864" spans="1:22" ht="18" x14ac:dyDescent="0.55000000000000004">
      <c r="A864" s="373"/>
      <c r="B864" s="373"/>
      <c r="C864" s="373"/>
      <c r="D864" s="373"/>
      <c r="E864" s="373"/>
      <c r="F864" s="373"/>
      <c r="G864" s="373"/>
      <c r="H864" s="373"/>
      <c r="I864" s="373"/>
      <c r="J864" s="373"/>
      <c r="K864" s="373"/>
      <c r="L864" s="373"/>
      <c r="M864" s="373"/>
      <c r="N864" s="373"/>
      <c r="O864" s="373"/>
      <c r="P864" s="373"/>
      <c r="Q864" s="373"/>
      <c r="R864" s="373"/>
      <c r="S864" s="373"/>
      <c r="T864" s="373"/>
      <c r="U864" s="373"/>
      <c r="V864" s="373"/>
    </row>
    <row r="865" spans="1:22" ht="18" x14ac:dyDescent="0.55000000000000004">
      <c r="A865" s="373"/>
      <c r="B865" s="373"/>
      <c r="C865" s="373"/>
      <c r="D865" s="373"/>
      <c r="E865" s="373"/>
      <c r="F865" s="373"/>
      <c r="G865" s="373"/>
      <c r="H865" s="373"/>
      <c r="I865" s="373"/>
      <c r="J865" s="373"/>
      <c r="K865" s="373"/>
      <c r="L865" s="373"/>
      <c r="M865" s="373"/>
      <c r="N865" s="373"/>
      <c r="O865" s="373"/>
      <c r="P865" s="373"/>
      <c r="Q865" s="373"/>
      <c r="R865" s="373"/>
      <c r="S865" s="373"/>
      <c r="T865" s="373"/>
      <c r="U865" s="373"/>
      <c r="V865" s="373"/>
    </row>
    <row r="866" spans="1:22" ht="18" x14ac:dyDescent="0.55000000000000004">
      <c r="A866" s="373"/>
      <c r="B866" s="373"/>
      <c r="C866" s="373"/>
      <c r="D866" s="373"/>
      <c r="E866" s="373"/>
      <c r="F866" s="373"/>
      <c r="G866" s="373"/>
      <c r="H866" s="373"/>
      <c r="I866" s="373"/>
      <c r="J866" s="373"/>
      <c r="K866" s="373"/>
      <c r="L866" s="373"/>
      <c r="M866" s="373"/>
      <c r="N866" s="373"/>
      <c r="O866" s="373"/>
      <c r="P866" s="373"/>
      <c r="Q866" s="373"/>
      <c r="R866" s="373"/>
      <c r="S866" s="373"/>
      <c r="T866" s="373"/>
      <c r="U866" s="373"/>
      <c r="V866" s="373"/>
    </row>
    <row r="867" spans="1:22" ht="18" x14ac:dyDescent="0.55000000000000004">
      <c r="A867" s="373"/>
      <c r="B867" s="373"/>
      <c r="C867" s="373"/>
      <c r="D867" s="373"/>
      <c r="E867" s="373"/>
      <c r="F867" s="373"/>
      <c r="G867" s="373"/>
      <c r="H867" s="373"/>
      <c r="I867" s="373"/>
      <c r="J867" s="373"/>
      <c r="K867" s="373"/>
      <c r="L867" s="373"/>
      <c r="M867" s="373"/>
      <c r="N867" s="373"/>
      <c r="O867" s="373"/>
      <c r="P867" s="373"/>
      <c r="Q867" s="373"/>
      <c r="R867" s="373"/>
      <c r="S867" s="373"/>
      <c r="T867" s="373"/>
      <c r="U867" s="373"/>
      <c r="V867" s="373"/>
    </row>
    <row r="868" spans="1:22" ht="18" x14ac:dyDescent="0.55000000000000004">
      <c r="A868" s="373"/>
      <c r="B868" s="373"/>
      <c r="C868" s="373"/>
      <c r="D868" s="373"/>
      <c r="E868" s="373"/>
      <c r="F868" s="373"/>
      <c r="G868" s="373"/>
      <c r="H868" s="373"/>
      <c r="I868" s="373"/>
      <c r="J868" s="373"/>
      <c r="K868" s="373"/>
      <c r="L868" s="373"/>
      <c r="M868" s="373"/>
      <c r="N868" s="373"/>
      <c r="O868" s="373"/>
      <c r="P868" s="373"/>
      <c r="Q868" s="373"/>
      <c r="R868" s="373"/>
      <c r="S868" s="373"/>
      <c r="T868" s="373"/>
      <c r="U868" s="373"/>
      <c r="V868" s="373"/>
    </row>
    <row r="869" spans="1:22" ht="18" x14ac:dyDescent="0.55000000000000004">
      <c r="A869" s="373"/>
      <c r="B869" s="373"/>
      <c r="C869" s="373"/>
      <c r="D869" s="373"/>
      <c r="E869" s="373"/>
      <c r="F869" s="373"/>
      <c r="G869" s="373"/>
      <c r="H869" s="373"/>
      <c r="I869" s="373"/>
      <c r="J869" s="373"/>
      <c r="K869" s="373"/>
      <c r="L869" s="373"/>
      <c r="M869" s="373"/>
      <c r="N869" s="373"/>
      <c r="O869" s="373"/>
      <c r="P869" s="373"/>
      <c r="Q869" s="373"/>
      <c r="R869" s="373"/>
      <c r="S869" s="373"/>
      <c r="T869" s="373"/>
      <c r="U869" s="373"/>
      <c r="V869" s="373"/>
    </row>
    <row r="870" spans="1:22" ht="18" x14ac:dyDescent="0.55000000000000004">
      <c r="A870" s="373"/>
      <c r="B870" s="373"/>
      <c r="C870" s="373"/>
      <c r="D870" s="373"/>
      <c r="E870" s="373"/>
      <c r="F870" s="373"/>
      <c r="G870" s="373"/>
      <c r="H870" s="373"/>
      <c r="I870" s="373"/>
      <c r="J870" s="373"/>
      <c r="K870" s="373"/>
      <c r="L870" s="373"/>
      <c r="M870" s="373"/>
      <c r="N870" s="373"/>
      <c r="O870" s="373"/>
      <c r="P870" s="373"/>
      <c r="Q870" s="373"/>
      <c r="R870" s="373"/>
      <c r="S870" s="373"/>
      <c r="T870" s="373"/>
      <c r="U870" s="373"/>
      <c r="V870" s="373"/>
    </row>
    <row r="871" spans="1:22" ht="18" x14ac:dyDescent="0.55000000000000004">
      <c r="A871" s="373"/>
      <c r="B871" s="373"/>
      <c r="C871" s="373"/>
      <c r="D871" s="373"/>
      <c r="E871" s="373"/>
      <c r="F871" s="373"/>
      <c r="G871" s="373"/>
      <c r="H871" s="373"/>
      <c r="I871" s="373"/>
      <c r="J871" s="373"/>
      <c r="K871" s="373"/>
      <c r="L871" s="373"/>
      <c r="M871" s="373"/>
      <c r="N871" s="373"/>
      <c r="O871" s="373"/>
      <c r="P871" s="373"/>
      <c r="Q871" s="373"/>
      <c r="R871" s="373"/>
      <c r="S871" s="373"/>
      <c r="T871" s="373"/>
      <c r="U871" s="373"/>
      <c r="V871" s="373"/>
    </row>
    <row r="872" spans="1:22" ht="18" x14ac:dyDescent="0.55000000000000004">
      <c r="A872" s="373"/>
      <c r="B872" s="373"/>
      <c r="C872" s="373"/>
      <c r="D872" s="373"/>
      <c r="E872" s="373"/>
      <c r="F872" s="373"/>
      <c r="G872" s="373"/>
      <c r="H872" s="373"/>
      <c r="I872" s="373"/>
      <c r="J872" s="373"/>
      <c r="K872" s="373"/>
      <c r="L872" s="373"/>
      <c r="M872" s="373"/>
      <c r="N872" s="373"/>
      <c r="O872" s="373"/>
      <c r="P872" s="373"/>
      <c r="Q872" s="373"/>
      <c r="R872" s="373"/>
      <c r="S872" s="373"/>
      <c r="T872" s="373"/>
      <c r="U872" s="373"/>
      <c r="V872" s="373"/>
    </row>
    <row r="873" spans="1:22" ht="18" x14ac:dyDescent="0.55000000000000004">
      <c r="A873" s="373"/>
      <c r="B873" s="373"/>
      <c r="C873" s="373"/>
      <c r="D873" s="373"/>
      <c r="E873" s="373"/>
      <c r="F873" s="373"/>
      <c r="G873" s="373"/>
      <c r="H873" s="373"/>
      <c r="I873" s="373"/>
      <c r="J873" s="373"/>
      <c r="K873" s="373"/>
      <c r="L873" s="373"/>
      <c r="M873" s="373"/>
      <c r="N873" s="373"/>
      <c r="O873" s="373"/>
      <c r="P873" s="373"/>
      <c r="Q873" s="373"/>
      <c r="R873" s="373"/>
      <c r="S873" s="373"/>
      <c r="T873" s="373"/>
      <c r="U873" s="373"/>
      <c r="V873" s="373"/>
    </row>
    <row r="874" spans="1:22" ht="18" x14ac:dyDescent="0.55000000000000004">
      <c r="A874" s="373"/>
      <c r="B874" s="373"/>
      <c r="C874" s="373"/>
      <c r="D874" s="373"/>
      <c r="E874" s="373"/>
      <c r="F874" s="373"/>
      <c r="G874" s="373"/>
      <c r="H874" s="373"/>
      <c r="I874" s="373"/>
      <c r="J874" s="373"/>
      <c r="K874" s="373"/>
      <c r="L874" s="373"/>
      <c r="M874" s="373"/>
      <c r="N874" s="373"/>
      <c r="O874" s="373"/>
      <c r="P874" s="373"/>
      <c r="Q874" s="373"/>
      <c r="R874" s="373"/>
      <c r="S874" s="373"/>
      <c r="T874" s="373"/>
      <c r="U874" s="373"/>
      <c r="V874" s="373"/>
    </row>
    <row r="875" spans="1:22" ht="18" x14ac:dyDescent="0.55000000000000004">
      <c r="A875" s="373"/>
      <c r="B875" s="373"/>
      <c r="C875" s="373"/>
      <c r="D875" s="373"/>
      <c r="E875" s="373"/>
      <c r="F875" s="373"/>
      <c r="G875" s="373"/>
      <c r="H875" s="373"/>
      <c r="I875" s="373"/>
      <c r="J875" s="373"/>
      <c r="K875" s="373"/>
      <c r="L875" s="373"/>
      <c r="M875" s="373"/>
      <c r="N875" s="373"/>
      <c r="O875" s="373"/>
      <c r="P875" s="373"/>
      <c r="Q875" s="373"/>
      <c r="R875" s="373"/>
      <c r="S875" s="373"/>
      <c r="T875" s="373"/>
      <c r="U875" s="373"/>
      <c r="V875" s="373"/>
    </row>
    <row r="876" spans="1:22" ht="18" x14ac:dyDescent="0.55000000000000004">
      <c r="A876" s="373"/>
      <c r="B876" s="373"/>
      <c r="C876" s="373"/>
      <c r="D876" s="373"/>
      <c r="E876" s="373"/>
      <c r="F876" s="373"/>
      <c r="G876" s="373"/>
      <c r="H876" s="373"/>
      <c r="I876" s="373"/>
      <c r="J876" s="373"/>
      <c r="K876" s="373"/>
      <c r="L876" s="373"/>
      <c r="M876" s="373"/>
      <c r="N876" s="373"/>
      <c r="O876" s="373"/>
      <c r="P876" s="373"/>
      <c r="Q876" s="373"/>
      <c r="R876" s="373"/>
      <c r="S876" s="373"/>
      <c r="T876" s="373"/>
      <c r="U876" s="373"/>
      <c r="V876" s="373"/>
    </row>
    <row r="877" spans="1:22" ht="18" x14ac:dyDescent="0.55000000000000004">
      <c r="A877" s="373"/>
      <c r="B877" s="373"/>
      <c r="C877" s="373"/>
      <c r="D877" s="373"/>
      <c r="E877" s="373"/>
      <c r="F877" s="373"/>
      <c r="G877" s="373"/>
      <c r="H877" s="373"/>
      <c r="I877" s="373"/>
      <c r="J877" s="373"/>
      <c r="K877" s="373"/>
      <c r="L877" s="373"/>
      <c r="M877" s="373"/>
      <c r="N877" s="373"/>
      <c r="O877" s="373"/>
      <c r="P877" s="373"/>
      <c r="Q877" s="373"/>
      <c r="R877" s="373"/>
      <c r="S877" s="373"/>
      <c r="T877" s="373"/>
      <c r="U877" s="373"/>
      <c r="V877" s="373"/>
    </row>
    <row r="878" spans="1:22" ht="18" x14ac:dyDescent="0.55000000000000004">
      <c r="A878" s="373"/>
      <c r="B878" s="373"/>
      <c r="C878" s="373"/>
      <c r="D878" s="373"/>
      <c r="E878" s="373"/>
      <c r="F878" s="373"/>
      <c r="G878" s="373"/>
      <c r="H878" s="373"/>
      <c r="I878" s="373"/>
      <c r="J878" s="373"/>
      <c r="K878" s="373"/>
      <c r="L878" s="373"/>
      <c r="M878" s="373"/>
      <c r="N878" s="373"/>
      <c r="O878" s="373"/>
      <c r="P878" s="373"/>
      <c r="Q878" s="373"/>
      <c r="R878" s="373"/>
      <c r="S878" s="373"/>
      <c r="T878" s="373"/>
      <c r="U878" s="373"/>
      <c r="V878" s="373"/>
    </row>
    <row r="879" spans="1:22" ht="18" x14ac:dyDescent="0.55000000000000004">
      <c r="A879" s="373"/>
      <c r="B879" s="373"/>
      <c r="C879" s="373"/>
      <c r="D879" s="373"/>
      <c r="E879" s="373"/>
      <c r="F879" s="373"/>
      <c r="G879" s="373"/>
      <c r="H879" s="373"/>
      <c r="I879" s="373"/>
      <c r="J879" s="373"/>
      <c r="K879" s="373"/>
      <c r="L879" s="373"/>
      <c r="M879" s="373"/>
      <c r="N879" s="373"/>
      <c r="O879" s="373"/>
      <c r="P879" s="373"/>
      <c r="Q879" s="373"/>
      <c r="R879" s="373"/>
      <c r="S879" s="373"/>
      <c r="T879" s="373"/>
      <c r="U879" s="373"/>
      <c r="V879" s="373"/>
    </row>
    <row r="880" spans="1:22" ht="18" x14ac:dyDescent="0.55000000000000004">
      <c r="A880" s="373"/>
      <c r="B880" s="373"/>
      <c r="C880" s="373"/>
      <c r="D880" s="373"/>
      <c r="E880" s="373"/>
      <c r="F880" s="373"/>
      <c r="G880" s="373"/>
      <c r="H880" s="373"/>
      <c r="I880" s="373"/>
      <c r="J880" s="373"/>
      <c r="K880" s="373"/>
      <c r="L880" s="373"/>
      <c r="M880" s="373"/>
      <c r="N880" s="373"/>
      <c r="O880" s="373"/>
      <c r="P880" s="373"/>
      <c r="Q880" s="373"/>
      <c r="R880" s="373"/>
      <c r="S880" s="373"/>
      <c r="T880" s="373"/>
      <c r="U880" s="373"/>
      <c r="V880" s="373"/>
    </row>
    <row r="881" spans="1:22" ht="18" x14ac:dyDescent="0.55000000000000004">
      <c r="A881" s="373"/>
      <c r="B881" s="373"/>
      <c r="C881" s="373"/>
      <c r="D881" s="373"/>
      <c r="E881" s="373"/>
      <c r="F881" s="373"/>
      <c r="G881" s="373"/>
      <c r="H881" s="373"/>
      <c r="I881" s="373"/>
      <c r="J881" s="373"/>
      <c r="K881" s="373"/>
      <c r="L881" s="373"/>
      <c r="M881" s="373"/>
      <c r="N881" s="373"/>
      <c r="O881" s="373"/>
      <c r="P881" s="373"/>
      <c r="Q881" s="373"/>
      <c r="R881" s="373"/>
      <c r="S881" s="373"/>
      <c r="T881" s="373"/>
      <c r="U881" s="373"/>
      <c r="V881" s="373"/>
    </row>
    <row r="882" spans="1:22" ht="18" x14ac:dyDescent="0.55000000000000004">
      <c r="A882" s="373"/>
      <c r="B882" s="373"/>
      <c r="C882" s="373"/>
      <c r="D882" s="373"/>
      <c r="E882" s="373"/>
      <c r="F882" s="373"/>
      <c r="G882" s="373"/>
      <c r="H882" s="373"/>
      <c r="I882" s="373"/>
      <c r="J882" s="373"/>
      <c r="K882" s="373"/>
      <c r="L882" s="373"/>
      <c r="M882" s="373"/>
      <c r="N882" s="373"/>
      <c r="O882" s="373"/>
      <c r="P882" s="373"/>
      <c r="Q882" s="373"/>
      <c r="R882" s="373"/>
      <c r="S882" s="373"/>
      <c r="T882" s="373"/>
      <c r="U882" s="373"/>
      <c r="V882" s="373"/>
    </row>
    <row r="883" spans="1:22" ht="18" x14ac:dyDescent="0.55000000000000004">
      <c r="A883" s="373"/>
      <c r="B883" s="373"/>
      <c r="C883" s="373"/>
      <c r="D883" s="373"/>
      <c r="E883" s="373"/>
      <c r="F883" s="373"/>
      <c r="G883" s="373"/>
      <c r="H883" s="373"/>
      <c r="I883" s="373"/>
      <c r="J883" s="373"/>
      <c r="K883" s="373"/>
      <c r="L883" s="373"/>
      <c r="M883" s="373"/>
      <c r="N883" s="373"/>
      <c r="O883" s="373"/>
      <c r="P883" s="373"/>
      <c r="Q883" s="373"/>
      <c r="R883" s="373"/>
      <c r="S883" s="373"/>
      <c r="T883" s="373"/>
      <c r="U883" s="373"/>
      <c r="V883" s="373"/>
    </row>
    <row r="884" spans="1:22" ht="18" x14ac:dyDescent="0.55000000000000004">
      <c r="A884" s="373"/>
      <c r="B884" s="373"/>
      <c r="C884" s="373"/>
      <c r="D884" s="373"/>
      <c r="E884" s="373"/>
      <c r="F884" s="373"/>
      <c r="G884" s="373"/>
      <c r="H884" s="373"/>
      <c r="I884" s="373"/>
      <c r="J884" s="373"/>
      <c r="K884" s="373"/>
      <c r="L884" s="373"/>
      <c r="M884" s="373"/>
      <c r="N884" s="373"/>
      <c r="O884" s="373"/>
      <c r="P884" s="373"/>
      <c r="Q884" s="373"/>
      <c r="R884" s="373"/>
      <c r="S884" s="373"/>
      <c r="T884" s="373"/>
      <c r="U884" s="373"/>
      <c r="V884" s="373"/>
    </row>
    <row r="885" spans="1:22" ht="18" x14ac:dyDescent="0.55000000000000004">
      <c r="A885" s="373"/>
      <c r="B885" s="373"/>
      <c r="C885" s="373"/>
      <c r="D885" s="373"/>
      <c r="E885" s="373"/>
      <c r="F885" s="373"/>
      <c r="G885" s="373"/>
      <c r="H885" s="373"/>
      <c r="I885" s="373"/>
      <c r="J885" s="373"/>
      <c r="K885" s="373"/>
      <c r="L885" s="373"/>
      <c r="M885" s="373"/>
      <c r="N885" s="373"/>
      <c r="O885" s="373"/>
      <c r="P885" s="373"/>
      <c r="Q885" s="373"/>
      <c r="R885" s="373"/>
      <c r="S885" s="373"/>
      <c r="T885" s="373"/>
      <c r="U885" s="373"/>
      <c r="V885" s="373"/>
    </row>
    <row r="886" spans="1:22" ht="18" x14ac:dyDescent="0.55000000000000004">
      <c r="A886" s="373"/>
      <c r="B886" s="373"/>
      <c r="C886" s="373"/>
      <c r="D886" s="373"/>
      <c r="E886" s="373"/>
      <c r="F886" s="373"/>
      <c r="G886" s="373"/>
      <c r="H886" s="373"/>
      <c r="I886" s="373"/>
      <c r="J886" s="373"/>
      <c r="K886" s="373"/>
      <c r="L886" s="373"/>
      <c r="M886" s="373"/>
      <c r="N886" s="373"/>
      <c r="O886" s="373"/>
      <c r="P886" s="373"/>
      <c r="Q886" s="373"/>
      <c r="R886" s="373"/>
      <c r="S886" s="373"/>
      <c r="T886" s="373"/>
      <c r="U886" s="373"/>
      <c r="V886" s="373"/>
    </row>
    <row r="887" spans="1:22" ht="18" x14ac:dyDescent="0.55000000000000004">
      <c r="A887" s="373"/>
      <c r="B887" s="373"/>
      <c r="C887" s="373"/>
      <c r="D887" s="373"/>
      <c r="E887" s="373"/>
      <c r="F887" s="373"/>
      <c r="G887" s="373"/>
      <c r="H887" s="373"/>
      <c r="I887" s="373"/>
      <c r="J887" s="373"/>
      <c r="K887" s="373"/>
      <c r="L887" s="373"/>
      <c r="M887" s="373"/>
      <c r="N887" s="373"/>
      <c r="O887" s="373"/>
      <c r="P887" s="373"/>
      <c r="Q887" s="373"/>
      <c r="R887" s="373"/>
      <c r="S887" s="373"/>
      <c r="T887" s="373"/>
      <c r="U887" s="373"/>
      <c r="V887" s="373"/>
    </row>
    <row r="888" spans="1:22" ht="18" x14ac:dyDescent="0.55000000000000004">
      <c r="A888" s="373"/>
      <c r="B888" s="373"/>
      <c r="C888" s="373"/>
      <c r="D888" s="373"/>
      <c r="E888" s="373"/>
      <c r="F888" s="373"/>
      <c r="G888" s="373"/>
      <c r="H888" s="373"/>
      <c r="I888" s="373"/>
      <c r="J888" s="373"/>
      <c r="K888" s="373"/>
      <c r="L888" s="373"/>
      <c r="M888" s="373"/>
      <c r="N888" s="373"/>
      <c r="O888" s="373"/>
      <c r="P888" s="373"/>
      <c r="Q888" s="373"/>
      <c r="R888" s="373"/>
      <c r="S888" s="373"/>
      <c r="T888" s="373"/>
      <c r="U888" s="373"/>
      <c r="V888" s="373"/>
    </row>
    <row r="889" spans="1:22" ht="18" x14ac:dyDescent="0.55000000000000004">
      <c r="A889" s="373"/>
      <c r="B889" s="373"/>
      <c r="C889" s="373"/>
      <c r="D889" s="373"/>
      <c r="E889" s="373"/>
      <c r="F889" s="373"/>
      <c r="G889" s="373"/>
      <c r="H889" s="373"/>
      <c r="I889" s="373"/>
      <c r="J889" s="373"/>
      <c r="K889" s="373"/>
      <c r="L889" s="373"/>
      <c r="M889" s="373"/>
      <c r="N889" s="373"/>
      <c r="O889" s="373"/>
      <c r="P889" s="373"/>
      <c r="Q889" s="373"/>
      <c r="R889" s="373"/>
      <c r="S889" s="373"/>
      <c r="T889" s="373"/>
      <c r="U889" s="373"/>
      <c r="V889" s="373"/>
    </row>
    <row r="890" spans="1:22" ht="18" x14ac:dyDescent="0.55000000000000004">
      <c r="A890" s="373"/>
      <c r="B890" s="373"/>
      <c r="C890" s="373"/>
      <c r="D890" s="373"/>
      <c r="E890" s="373"/>
      <c r="F890" s="373"/>
      <c r="G890" s="373"/>
      <c r="H890" s="373"/>
      <c r="I890" s="373"/>
      <c r="J890" s="373"/>
      <c r="K890" s="373"/>
      <c r="L890" s="373"/>
      <c r="M890" s="373"/>
      <c r="N890" s="373"/>
      <c r="O890" s="373"/>
      <c r="P890" s="373"/>
      <c r="Q890" s="373"/>
      <c r="R890" s="373"/>
      <c r="S890" s="373"/>
      <c r="T890" s="373"/>
      <c r="U890" s="373"/>
      <c r="V890" s="373"/>
    </row>
    <row r="891" spans="1:22" ht="18" x14ac:dyDescent="0.55000000000000004">
      <c r="A891" s="373"/>
      <c r="B891" s="373"/>
      <c r="C891" s="373"/>
      <c r="D891" s="373"/>
      <c r="E891" s="373"/>
      <c r="F891" s="373"/>
      <c r="G891" s="373"/>
      <c r="H891" s="373"/>
      <c r="I891" s="373"/>
      <c r="J891" s="373"/>
      <c r="K891" s="373"/>
      <c r="L891" s="373"/>
      <c r="M891" s="373"/>
      <c r="N891" s="373"/>
      <c r="O891" s="373"/>
      <c r="P891" s="373"/>
      <c r="Q891" s="373"/>
      <c r="R891" s="373"/>
      <c r="S891" s="373"/>
      <c r="T891" s="373"/>
      <c r="U891" s="373"/>
      <c r="V891" s="373"/>
    </row>
    <row r="892" spans="1:22" ht="18" x14ac:dyDescent="0.55000000000000004">
      <c r="A892" s="373"/>
      <c r="B892" s="373"/>
      <c r="C892" s="373"/>
      <c r="D892" s="373"/>
      <c r="E892" s="373"/>
      <c r="F892" s="373"/>
      <c r="G892" s="373"/>
      <c r="H892" s="373"/>
      <c r="I892" s="373"/>
      <c r="J892" s="373"/>
      <c r="K892" s="373"/>
      <c r="L892" s="373"/>
      <c r="M892" s="373"/>
      <c r="N892" s="373"/>
      <c r="O892" s="373"/>
      <c r="P892" s="373"/>
      <c r="Q892" s="373"/>
      <c r="R892" s="373"/>
      <c r="S892" s="373"/>
      <c r="T892" s="373"/>
      <c r="U892" s="373"/>
      <c r="V892" s="373"/>
    </row>
    <row r="893" spans="1:22" ht="18" x14ac:dyDescent="0.55000000000000004">
      <c r="A893" s="373"/>
      <c r="B893" s="373"/>
      <c r="C893" s="373"/>
      <c r="D893" s="373"/>
      <c r="E893" s="373"/>
      <c r="F893" s="373"/>
      <c r="G893" s="373"/>
      <c r="H893" s="373"/>
      <c r="I893" s="373"/>
      <c r="J893" s="373"/>
      <c r="K893" s="373"/>
      <c r="L893" s="373"/>
      <c r="M893" s="373"/>
      <c r="N893" s="373"/>
      <c r="O893" s="373"/>
      <c r="P893" s="373"/>
      <c r="Q893" s="373"/>
      <c r="R893" s="373"/>
      <c r="S893" s="373"/>
      <c r="T893" s="373"/>
      <c r="U893" s="373"/>
      <c r="V893" s="373"/>
    </row>
    <row r="894" spans="1:22" ht="18" x14ac:dyDescent="0.55000000000000004">
      <c r="A894" s="373"/>
      <c r="B894" s="373"/>
      <c r="C894" s="373"/>
      <c r="D894" s="373"/>
      <c r="E894" s="373"/>
      <c r="F894" s="373"/>
      <c r="G894" s="373"/>
      <c r="H894" s="373"/>
      <c r="I894" s="373"/>
      <c r="J894" s="373"/>
      <c r="K894" s="373"/>
      <c r="L894" s="373"/>
      <c r="M894" s="373"/>
      <c r="N894" s="373"/>
      <c r="O894" s="373"/>
      <c r="P894" s="373"/>
      <c r="Q894" s="373"/>
      <c r="R894" s="373"/>
      <c r="S894" s="373"/>
      <c r="T894" s="373"/>
      <c r="U894" s="373"/>
      <c r="V894" s="373"/>
    </row>
    <row r="895" spans="1:22" ht="18" x14ac:dyDescent="0.55000000000000004">
      <c r="A895" s="373"/>
      <c r="B895" s="373"/>
      <c r="C895" s="373"/>
      <c r="D895" s="373"/>
      <c r="E895" s="373"/>
      <c r="F895" s="373"/>
      <c r="G895" s="373"/>
      <c r="H895" s="373"/>
      <c r="I895" s="373"/>
      <c r="J895" s="373"/>
      <c r="K895" s="373"/>
      <c r="L895" s="373"/>
      <c r="M895" s="373"/>
      <c r="N895" s="373"/>
      <c r="O895" s="373"/>
      <c r="P895" s="373"/>
      <c r="Q895" s="373"/>
      <c r="R895" s="373"/>
      <c r="S895" s="373"/>
      <c r="T895" s="373"/>
      <c r="U895" s="373"/>
      <c r="V895" s="373"/>
    </row>
    <row r="896" spans="1:22" ht="18" x14ac:dyDescent="0.55000000000000004">
      <c r="A896" s="373"/>
      <c r="B896" s="373"/>
      <c r="C896" s="373"/>
      <c r="D896" s="373"/>
      <c r="E896" s="373"/>
      <c r="F896" s="373"/>
      <c r="G896" s="373"/>
      <c r="H896" s="373"/>
      <c r="I896" s="373"/>
      <c r="J896" s="373"/>
      <c r="K896" s="373"/>
      <c r="L896" s="373"/>
      <c r="M896" s="373"/>
      <c r="N896" s="373"/>
      <c r="O896" s="373"/>
      <c r="P896" s="373"/>
      <c r="Q896" s="373"/>
      <c r="R896" s="373"/>
      <c r="S896" s="373"/>
      <c r="T896" s="373"/>
      <c r="U896" s="373"/>
      <c r="V896" s="373"/>
    </row>
    <row r="897" spans="1:22" ht="18" x14ac:dyDescent="0.55000000000000004">
      <c r="A897" s="373"/>
      <c r="B897" s="373"/>
      <c r="C897" s="373"/>
      <c r="D897" s="373"/>
      <c r="E897" s="373"/>
      <c r="F897" s="373"/>
      <c r="G897" s="373"/>
      <c r="H897" s="373"/>
      <c r="I897" s="373"/>
      <c r="J897" s="373"/>
      <c r="K897" s="373"/>
      <c r="L897" s="373"/>
      <c r="M897" s="373"/>
      <c r="N897" s="373"/>
      <c r="O897" s="373"/>
      <c r="P897" s="373"/>
      <c r="Q897" s="373"/>
      <c r="R897" s="373"/>
      <c r="S897" s="373"/>
      <c r="T897" s="373"/>
      <c r="U897" s="373"/>
      <c r="V897" s="373"/>
    </row>
    <row r="898" spans="1:22" ht="18" x14ac:dyDescent="0.55000000000000004">
      <c r="A898" s="373"/>
      <c r="B898" s="373"/>
      <c r="C898" s="373"/>
      <c r="D898" s="373"/>
      <c r="E898" s="373"/>
      <c r="F898" s="373"/>
      <c r="G898" s="373"/>
      <c r="H898" s="373"/>
      <c r="I898" s="373"/>
      <c r="J898" s="373"/>
      <c r="K898" s="373"/>
      <c r="L898" s="373"/>
      <c r="M898" s="373"/>
      <c r="N898" s="373"/>
      <c r="O898" s="373"/>
      <c r="P898" s="373"/>
      <c r="Q898" s="373"/>
      <c r="R898" s="373"/>
      <c r="S898" s="373"/>
      <c r="T898" s="373"/>
      <c r="U898" s="373"/>
      <c r="V898" s="373"/>
    </row>
    <row r="899" spans="1:22" ht="18" x14ac:dyDescent="0.55000000000000004">
      <c r="A899" s="373"/>
      <c r="B899" s="373"/>
      <c r="C899" s="373"/>
      <c r="D899" s="373"/>
      <c r="E899" s="373"/>
      <c r="F899" s="373"/>
      <c r="G899" s="373"/>
      <c r="H899" s="373"/>
      <c r="I899" s="373"/>
      <c r="J899" s="373"/>
      <c r="K899" s="373"/>
      <c r="L899" s="373"/>
      <c r="M899" s="373"/>
      <c r="N899" s="373"/>
      <c r="O899" s="373"/>
      <c r="P899" s="373"/>
      <c r="Q899" s="373"/>
      <c r="R899" s="373"/>
      <c r="S899" s="373"/>
      <c r="T899" s="373"/>
      <c r="U899" s="373"/>
      <c r="V899" s="373"/>
    </row>
    <row r="900" spans="1:22" ht="18" x14ac:dyDescent="0.55000000000000004">
      <c r="A900" s="373"/>
      <c r="B900" s="373"/>
      <c r="C900" s="373"/>
      <c r="D900" s="373"/>
      <c r="E900" s="373"/>
      <c r="F900" s="373"/>
      <c r="G900" s="373"/>
      <c r="H900" s="373"/>
      <c r="I900" s="373"/>
      <c r="J900" s="373"/>
      <c r="K900" s="373"/>
      <c r="L900" s="373"/>
      <c r="M900" s="373"/>
      <c r="N900" s="373"/>
      <c r="O900" s="373"/>
      <c r="P900" s="373"/>
      <c r="Q900" s="373"/>
      <c r="R900" s="373"/>
      <c r="S900" s="373"/>
      <c r="T900" s="373"/>
      <c r="U900" s="373"/>
      <c r="V900" s="373"/>
    </row>
    <row r="901" spans="1:22" ht="18" x14ac:dyDescent="0.55000000000000004">
      <c r="A901" s="373"/>
      <c r="B901" s="373"/>
      <c r="C901" s="373"/>
      <c r="D901" s="373"/>
      <c r="E901" s="373"/>
      <c r="F901" s="373"/>
      <c r="G901" s="373"/>
      <c r="H901" s="373"/>
      <c r="I901" s="373"/>
      <c r="J901" s="373"/>
      <c r="K901" s="373"/>
      <c r="L901" s="373"/>
      <c r="M901" s="373"/>
      <c r="N901" s="373"/>
      <c r="O901" s="373"/>
      <c r="P901" s="373"/>
      <c r="Q901" s="373"/>
      <c r="R901" s="373"/>
      <c r="S901" s="373"/>
      <c r="T901" s="373"/>
      <c r="U901" s="373"/>
      <c r="V901" s="373"/>
    </row>
    <row r="902" spans="1:22" ht="18" x14ac:dyDescent="0.55000000000000004">
      <c r="A902" s="373"/>
      <c r="B902" s="373"/>
      <c r="C902" s="373"/>
      <c r="D902" s="373"/>
      <c r="E902" s="373"/>
      <c r="F902" s="373"/>
      <c r="G902" s="373"/>
      <c r="H902" s="373"/>
      <c r="I902" s="373"/>
      <c r="J902" s="373"/>
      <c r="K902" s="373"/>
      <c r="L902" s="373"/>
      <c r="M902" s="373"/>
      <c r="N902" s="373"/>
      <c r="O902" s="373"/>
      <c r="P902" s="373"/>
      <c r="Q902" s="373"/>
      <c r="R902" s="373"/>
      <c r="S902" s="373"/>
      <c r="T902" s="373"/>
      <c r="U902" s="373"/>
      <c r="V902" s="373"/>
    </row>
    <row r="903" spans="1:22" ht="18" x14ac:dyDescent="0.55000000000000004">
      <c r="A903" s="373"/>
      <c r="B903" s="373"/>
      <c r="C903" s="373"/>
      <c r="D903" s="373"/>
      <c r="E903" s="373"/>
      <c r="F903" s="373"/>
      <c r="G903" s="373"/>
      <c r="H903" s="373"/>
      <c r="I903" s="373"/>
      <c r="J903" s="373"/>
      <c r="K903" s="373"/>
      <c r="L903" s="373"/>
      <c r="M903" s="373"/>
      <c r="N903" s="373"/>
      <c r="O903" s="373"/>
      <c r="P903" s="373"/>
      <c r="Q903" s="373"/>
      <c r="R903" s="373"/>
      <c r="S903" s="373"/>
      <c r="T903" s="373"/>
      <c r="U903" s="373"/>
      <c r="V903" s="373"/>
    </row>
    <row r="904" spans="1:22" ht="18" x14ac:dyDescent="0.55000000000000004">
      <c r="A904" s="373"/>
      <c r="B904" s="373"/>
      <c r="C904" s="373"/>
      <c r="D904" s="373"/>
      <c r="E904" s="373"/>
      <c r="F904" s="373"/>
      <c r="G904" s="373"/>
      <c r="H904" s="373"/>
      <c r="I904" s="373"/>
      <c r="J904" s="373"/>
      <c r="K904" s="373"/>
      <c r="L904" s="373"/>
      <c r="M904" s="373"/>
      <c r="N904" s="373"/>
      <c r="O904" s="373"/>
      <c r="P904" s="373"/>
      <c r="Q904" s="373"/>
      <c r="R904" s="373"/>
      <c r="S904" s="373"/>
      <c r="T904" s="373"/>
      <c r="U904" s="373"/>
      <c r="V904" s="373"/>
    </row>
    <row r="905" spans="1:22" ht="18" x14ac:dyDescent="0.55000000000000004">
      <c r="A905" s="373"/>
      <c r="B905" s="373"/>
      <c r="C905" s="373"/>
      <c r="D905" s="373"/>
      <c r="E905" s="373"/>
      <c r="F905" s="373"/>
      <c r="G905" s="373"/>
      <c r="H905" s="373"/>
      <c r="I905" s="373"/>
      <c r="J905" s="373"/>
      <c r="K905" s="373"/>
      <c r="L905" s="373"/>
      <c r="M905" s="373"/>
      <c r="N905" s="373"/>
      <c r="O905" s="373"/>
      <c r="P905" s="373"/>
      <c r="Q905" s="373"/>
      <c r="R905" s="373"/>
      <c r="S905" s="373"/>
      <c r="T905" s="373"/>
      <c r="U905" s="373"/>
      <c r="V905" s="373"/>
    </row>
    <row r="906" spans="1:22" ht="18" x14ac:dyDescent="0.55000000000000004">
      <c r="A906" s="373"/>
      <c r="B906" s="373"/>
      <c r="C906" s="373"/>
      <c r="D906" s="373"/>
      <c r="E906" s="373"/>
      <c r="F906" s="373"/>
      <c r="G906" s="373"/>
      <c r="H906" s="373"/>
      <c r="I906" s="373"/>
      <c r="J906" s="373"/>
      <c r="K906" s="373"/>
      <c r="L906" s="373"/>
      <c r="M906" s="373"/>
      <c r="N906" s="373"/>
      <c r="O906" s="373"/>
      <c r="P906" s="373"/>
      <c r="Q906" s="373"/>
      <c r="R906" s="373"/>
      <c r="S906" s="373"/>
      <c r="T906" s="373"/>
      <c r="U906" s="373"/>
      <c r="V906" s="373"/>
    </row>
    <row r="907" spans="1:22" ht="18" x14ac:dyDescent="0.55000000000000004">
      <c r="A907" s="373"/>
      <c r="B907" s="373"/>
      <c r="C907" s="373"/>
      <c r="D907" s="373"/>
      <c r="E907" s="373"/>
      <c r="F907" s="373"/>
      <c r="G907" s="373"/>
      <c r="H907" s="373"/>
      <c r="I907" s="373"/>
      <c r="J907" s="373"/>
      <c r="K907" s="373"/>
      <c r="L907" s="373"/>
      <c r="M907" s="373"/>
      <c r="N907" s="373"/>
      <c r="O907" s="373"/>
      <c r="P907" s="373"/>
      <c r="Q907" s="373"/>
      <c r="R907" s="373"/>
      <c r="S907" s="373"/>
      <c r="T907" s="373"/>
      <c r="U907" s="373"/>
      <c r="V907" s="373"/>
    </row>
    <row r="908" spans="1:22" ht="18" x14ac:dyDescent="0.55000000000000004">
      <c r="A908" s="373"/>
      <c r="B908" s="373"/>
      <c r="C908" s="373"/>
      <c r="D908" s="373"/>
      <c r="E908" s="373"/>
      <c r="F908" s="373"/>
      <c r="G908" s="373"/>
      <c r="H908" s="373"/>
      <c r="I908" s="373"/>
      <c r="J908" s="373"/>
      <c r="K908" s="373"/>
      <c r="L908" s="373"/>
      <c r="M908" s="373"/>
      <c r="N908" s="373"/>
      <c r="O908" s="373"/>
      <c r="P908" s="373"/>
      <c r="Q908" s="373"/>
      <c r="R908" s="373"/>
      <c r="S908" s="373"/>
      <c r="T908" s="373"/>
      <c r="U908" s="373"/>
      <c r="V908" s="373"/>
    </row>
    <row r="909" spans="1:22" ht="18" x14ac:dyDescent="0.55000000000000004">
      <c r="A909" s="373"/>
      <c r="B909" s="373"/>
      <c r="C909" s="373"/>
      <c r="D909" s="373"/>
      <c r="E909" s="373"/>
      <c r="F909" s="373"/>
      <c r="G909" s="373"/>
      <c r="H909" s="373"/>
      <c r="I909" s="373"/>
      <c r="J909" s="373"/>
      <c r="K909" s="373"/>
      <c r="L909" s="373"/>
      <c r="M909" s="373"/>
      <c r="N909" s="373"/>
      <c r="O909" s="373"/>
      <c r="P909" s="373"/>
      <c r="Q909" s="373"/>
      <c r="R909" s="373"/>
      <c r="S909" s="373"/>
      <c r="T909" s="373"/>
      <c r="U909" s="373"/>
      <c r="V909" s="373"/>
    </row>
    <row r="910" spans="1:22" ht="18" x14ac:dyDescent="0.55000000000000004">
      <c r="A910" s="373"/>
      <c r="B910" s="373"/>
      <c r="C910" s="373"/>
      <c r="D910" s="373"/>
      <c r="E910" s="373"/>
      <c r="F910" s="373"/>
      <c r="G910" s="373"/>
      <c r="H910" s="373"/>
      <c r="I910" s="373"/>
      <c r="J910" s="373"/>
      <c r="K910" s="373"/>
      <c r="L910" s="373"/>
      <c r="M910" s="373"/>
      <c r="N910" s="373"/>
      <c r="O910" s="373"/>
      <c r="P910" s="373"/>
      <c r="Q910" s="373"/>
      <c r="R910" s="373"/>
      <c r="S910" s="373"/>
      <c r="T910" s="373"/>
      <c r="U910" s="373"/>
      <c r="V910" s="373"/>
    </row>
    <row r="911" spans="1:22" ht="18" x14ac:dyDescent="0.55000000000000004">
      <c r="A911" s="373"/>
      <c r="B911" s="373"/>
      <c r="C911" s="373"/>
      <c r="D911" s="373"/>
      <c r="E911" s="373"/>
      <c r="F911" s="373"/>
      <c r="G911" s="373"/>
      <c r="H911" s="373"/>
      <c r="I911" s="373"/>
      <c r="J911" s="373"/>
      <c r="K911" s="373"/>
      <c r="L911" s="373"/>
      <c r="M911" s="373"/>
      <c r="N911" s="373"/>
      <c r="O911" s="373"/>
      <c r="P911" s="373"/>
      <c r="Q911" s="373"/>
      <c r="R911" s="373"/>
      <c r="S911" s="373"/>
      <c r="T911" s="373"/>
      <c r="U911" s="373"/>
      <c r="V911" s="373"/>
    </row>
    <row r="912" spans="1:22" ht="18" x14ac:dyDescent="0.55000000000000004">
      <c r="A912" s="373"/>
      <c r="B912" s="373"/>
      <c r="C912" s="373"/>
      <c r="D912" s="373"/>
      <c r="E912" s="373"/>
      <c r="F912" s="373"/>
      <c r="G912" s="373"/>
      <c r="H912" s="373"/>
      <c r="I912" s="373"/>
      <c r="J912" s="373"/>
      <c r="K912" s="373"/>
      <c r="L912" s="373"/>
      <c r="M912" s="373"/>
      <c r="N912" s="373"/>
      <c r="O912" s="373"/>
      <c r="P912" s="373"/>
      <c r="Q912" s="373"/>
      <c r="R912" s="373"/>
      <c r="S912" s="373"/>
      <c r="T912" s="373"/>
      <c r="U912" s="373"/>
      <c r="V912" s="373"/>
    </row>
    <row r="913" spans="1:22" ht="18" x14ac:dyDescent="0.55000000000000004">
      <c r="A913" s="373"/>
      <c r="B913" s="373"/>
      <c r="C913" s="373"/>
      <c r="D913" s="373"/>
      <c r="E913" s="373"/>
      <c r="F913" s="373"/>
      <c r="G913" s="373"/>
      <c r="H913" s="373"/>
      <c r="I913" s="373"/>
      <c r="J913" s="373"/>
      <c r="K913" s="373"/>
      <c r="L913" s="373"/>
      <c r="M913" s="373"/>
      <c r="N913" s="373"/>
      <c r="O913" s="373"/>
      <c r="P913" s="373"/>
      <c r="Q913" s="373"/>
      <c r="R913" s="373"/>
      <c r="S913" s="373"/>
      <c r="T913" s="373"/>
      <c r="U913" s="373"/>
      <c r="V913" s="373"/>
    </row>
    <row r="914" spans="1:22" ht="18" x14ac:dyDescent="0.55000000000000004">
      <c r="A914" s="373"/>
      <c r="B914" s="373"/>
      <c r="C914" s="373"/>
      <c r="D914" s="373"/>
      <c r="E914" s="373"/>
      <c r="F914" s="373"/>
      <c r="G914" s="373"/>
      <c r="H914" s="373"/>
      <c r="I914" s="373"/>
      <c r="J914" s="373"/>
      <c r="K914" s="373"/>
      <c r="L914" s="373"/>
      <c r="M914" s="373"/>
      <c r="N914" s="373"/>
      <c r="O914" s="373"/>
      <c r="P914" s="373"/>
      <c r="Q914" s="373"/>
      <c r="R914" s="373"/>
      <c r="S914" s="373"/>
      <c r="T914" s="373"/>
      <c r="U914" s="373"/>
      <c r="V914" s="373"/>
    </row>
    <row r="915" spans="1:22" ht="18" x14ac:dyDescent="0.55000000000000004">
      <c r="A915" s="373"/>
      <c r="B915" s="373"/>
      <c r="C915" s="373"/>
      <c r="D915" s="373"/>
      <c r="E915" s="373"/>
      <c r="F915" s="373"/>
      <c r="G915" s="373"/>
      <c r="H915" s="373"/>
      <c r="I915" s="373"/>
      <c r="J915" s="373"/>
      <c r="K915" s="373"/>
      <c r="L915" s="373"/>
      <c r="M915" s="373"/>
      <c r="N915" s="373"/>
      <c r="O915" s="373"/>
      <c r="P915" s="373"/>
      <c r="Q915" s="373"/>
      <c r="R915" s="373"/>
      <c r="S915" s="373"/>
      <c r="T915" s="373"/>
      <c r="U915" s="373"/>
      <c r="V915" s="373"/>
    </row>
    <row r="916" spans="1:22" ht="18" x14ac:dyDescent="0.55000000000000004">
      <c r="A916" s="373"/>
      <c r="B916" s="373"/>
      <c r="C916" s="373"/>
      <c r="D916" s="373"/>
      <c r="E916" s="373"/>
      <c r="F916" s="373"/>
      <c r="G916" s="373"/>
      <c r="H916" s="373"/>
      <c r="I916" s="373"/>
      <c r="J916" s="373"/>
      <c r="K916" s="373"/>
      <c r="L916" s="373"/>
      <c r="M916" s="373"/>
      <c r="N916" s="373"/>
      <c r="O916" s="373"/>
      <c r="P916" s="373"/>
      <c r="Q916" s="373"/>
      <c r="R916" s="373"/>
      <c r="S916" s="373"/>
      <c r="T916" s="373"/>
      <c r="U916" s="373"/>
      <c r="V916" s="373"/>
    </row>
    <row r="917" spans="1:22" ht="18" x14ac:dyDescent="0.55000000000000004">
      <c r="A917" s="373"/>
      <c r="B917" s="373"/>
      <c r="C917" s="373"/>
      <c r="D917" s="373"/>
      <c r="E917" s="373"/>
      <c r="F917" s="373"/>
      <c r="G917" s="373"/>
      <c r="H917" s="373"/>
      <c r="I917" s="373"/>
      <c r="J917" s="373"/>
      <c r="K917" s="373"/>
      <c r="L917" s="373"/>
      <c r="M917" s="373"/>
      <c r="N917" s="373"/>
      <c r="O917" s="373"/>
      <c r="P917" s="373"/>
      <c r="Q917" s="373"/>
      <c r="R917" s="373"/>
      <c r="S917" s="373"/>
      <c r="T917" s="373"/>
      <c r="U917" s="373"/>
      <c r="V917" s="373"/>
    </row>
    <row r="918" spans="1:22" ht="18" x14ac:dyDescent="0.55000000000000004">
      <c r="A918" s="373"/>
      <c r="B918" s="373"/>
      <c r="C918" s="373"/>
      <c r="D918" s="373"/>
      <c r="E918" s="373"/>
      <c r="F918" s="373"/>
      <c r="G918" s="373"/>
      <c r="H918" s="373"/>
      <c r="I918" s="373"/>
      <c r="J918" s="373"/>
      <c r="K918" s="373"/>
      <c r="L918" s="373"/>
      <c r="M918" s="373"/>
      <c r="N918" s="373"/>
      <c r="O918" s="373"/>
      <c r="P918" s="373"/>
      <c r="Q918" s="373"/>
      <c r="R918" s="373"/>
      <c r="S918" s="373"/>
      <c r="T918" s="373"/>
      <c r="U918" s="373"/>
      <c r="V918" s="373"/>
    </row>
    <row r="919" spans="1:22" ht="18" x14ac:dyDescent="0.55000000000000004">
      <c r="A919" s="373"/>
      <c r="B919" s="373"/>
      <c r="C919" s="373"/>
      <c r="D919" s="373"/>
      <c r="E919" s="373"/>
      <c r="F919" s="373"/>
      <c r="G919" s="373"/>
      <c r="H919" s="373"/>
      <c r="I919" s="373"/>
      <c r="J919" s="373"/>
      <c r="K919" s="373"/>
      <c r="L919" s="373"/>
      <c r="M919" s="373"/>
      <c r="N919" s="373"/>
      <c r="O919" s="373"/>
      <c r="P919" s="373"/>
      <c r="Q919" s="373"/>
      <c r="R919" s="373"/>
      <c r="S919" s="373"/>
      <c r="T919" s="373"/>
      <c r="U919" s="373"/>
      <c r="V919" s="373"/>
    </row>
    <row r="920" spans="1:22" ht="18" x14ac:dyDescent="0.55000000000000004">
      <c r="A920" s="373"/>
      <c r="B920" s="373"/>
      <c r="C920" s="373"/>
      <c r="D920" s="373"/>
      <c r="E920" s="373"/>
      <c r="F920" s="373"/>
      <c r="G920" s="373"/>
      <c r="H920" s="373"/>
      <c r="I920" s="373"/>
      <c r="J920" s="373"/>
      <c r="K920" s="373"/>
      <c r="L920" s="373"/>
      <c r="M920" s="373"/>
      <c r="N920" s="373"/>
      <c r="O920" s="373"/>
      <c r="P920" s="373"/>
      <c r="Q920" s="373"/>
      <c r="R920" s="373"/>
      <c r="S920" s="373"/>
      <c r="T920" s="373"/>
      <c r="U920" s="373"/>
      <c r="V920" s="373"/>
    </row>
    <row r="921" spans="1:22" ht="18" x14ac:dyDescent="0.55000000000000004">
      <c r="A921" s="373"/>
      <c r="B921" s="373"/>
      <c r="C921" s="373"/>
      <c r="D921" s="373"/>
      <c r="E921" s="373"/>
      <c r="F921" s="373"/>
      <c r="G921" s="373"/>
      <c r="H921" s="373"/>
      <c r="I921" s="373"/>
      <c r="J921" s="373"/>
      <c r="K921" s="373"/>
      <c r="L921" s="373"/>
      <c r="M921" s="373"/>
      <c r="N921" s="373"/>
      <c r="O921" s="373"/>
      <c r="P921" s="373"/>
      <c r="Q921" s="373"/>
      <c r="R921" s="373"/>
      <c r="S921" s="373"/>
      <c r="T921" s="373"/>
      <c r="U921" s="373"/>
      <c r="V921" s="373"/>
    </row>
    <row r="922" spans="1:22" ht="18" x14ac:dyDescent="0.55000000000000004">
      <c r="A922" s="373"/>
      <c r="B922" s="373"/>
      <c r="C922" s="373"/>
      <c r="D922" s="373"/>
      <c r="E922" s="373"/>
      <c r="F922" s="373"/>
      <c r="G922" s="373"/>
      <c r="H922" s="373"/>
      <c r="I922" s="373"/>
      <c r="J922" s="373"/>
      <c r="K922" s="373"/>
      <c r="L922" s="373"/>
      <c r="M922" s="373"/>
      <c r="N922" s="373"/>
      <c r="O922" s="373"/>
      <c r="P922" s="373"/>
      <c r="Q922" s="373"/>
      <c r="R922" s="373"/>
      <c r="S922" s="373"/>
      <c r="T922" s="373"/>
      <c r="U922" s="373"/>
      <c r="V922" s="373"/>
    </row>
    <row r="923" spans="1:22" ht="18" x14ac:dyDescent="0.55000000000000004">
      <c r="A923" s="373"/>
      <c r="B923" s="373"/>
      <c r="C923" s="373"/>
      <c r="D923" s="373"/>
      <c r="E923" s="373"/>
      <c r="F923" s="373"/>
      <c r="G923" s="373"/>
      <c r="H923" s="373"/>
      <c r="I923" s="373"/>
      <c r="J923" s="373"/>
      <c r="K923" s="373"/>
      <c r="L923" s="373"/>
      <c r="M923" s="373"/>
      <c r="N923" s="373"/>
      <c r="O923" s="373"/>
      <c r="P923" s="373"/>
      <c r="Q923" s="373"/>
      <c r="R923" s="373"/>
      <c r="S923" s="373"/>
      <c r="T923" s="373"/>
      <c r="U923" s="373"/>
      <c r="V923" s="373"/>
    </row>
    <row r="924" spans="1:22" ht="18" x14ac:dyDescent="0.55000000000000004">
      <c r="A924" s="373"/>
      <c r="B924" s="373"/>
      <c r="C924" s="373"/>
      <c r="D924" s="373"/>
      <c r="E924" s="373"/>
      <c r="F924" s="373"/>
      <c r="G924" s="373"/>
      <c r="H924" s="373"/>
      <c r="I924" s="373"/>
      <c r="J924" s="373"/>
      <c r="K924" s="373"/>
      <c r="L924" s="373"/>
      <c r="M924" s="373"/>
      <c r="N924" s="373"/>
      <c r="O924" s="373"/>
      <c r="P924" s="373"/>
      <c r="Q924" s="373"/>
      <c r="R924" s="373"/>
      <c r="S924" s="373"/>
      <c r="T924" s="373"/>
      <c r="U924" s="373"/>
      <c r="V924" s="373"/>
    </row>
    <row r="925" spans="1:22" ht="18" x14ac:dyDescent="0.55000000000000004">
      <c r="A925" s="373"/>
      <c r="B925" s="373"/>
      <c r="C925" s="373"/>
      <c r="D925" s="373"/>
      <c r="E925" s="373"/>
      <c r="F925" s="373"/>
      <c r="G925" s="373"/>
      <c r="H925" s="373"/>
      <c r="I925" s="373"/>
      <c r="J925" s="373"/>
      <c r="K925" s="373"/>
      <c r="L925" s="373"/>
      <c r="M925" s="373"/>
      <c r="N925" s="373"/>
      <c r="O925" s="373"/>
      <c r="P925" s="373"/>
      <c r="Q925" s="373"/>
      <c r="R925" s="373"/>
      <c r="S925" s="373"/>
      <c r="T925" s="373"/>
      <c r="U925" s="373"/>
      <c r="V925" s="373"/>
    </row>
    <row r="926" spans="1:22" ht="18" x14ac:dyDescent="0.55000000000000004">
      <c r="A926" s="373"/>
      <c r="B926" s="373"/>
      <c r="C926" s="373"/>
      <c r="D926" s="373"/>
      <c r="E926" s="373"/>
      <c r="F926" s="373"/>
      <c r="G926" s="373"/>
      <c r="H926" s="373"/>
      <c r="I926" s="373"/>
      <c r="J926" s="373"/>
      <c r="K926" s="373"/>
      <c r="L926" s="373"/>
      <c r="M926" s="373"/>
      <c r="N926" s="373"/>
      <c r="O926" s="373"/>
      <c r="P926" s="373"/>
      <c r="Q926" s="373"/>
      <c r="R926" s="373"/>
      <c r="S926" s="373"/>
      <c r="T926" s="373"/>
      <c r="U926" s="373"/>
      <c r="V926" s="373"/>
    </row>
    <row r="927" spans="1:22" ht="18" x14ac:dyDescent="0.55000000000000004">
      <c r="A927" s="373"/>
      <c r="B927" s="373"/>
      <c r="C927" s="373"/>
      <c r="D927" s="373"/>
      <c r="E927" s="373"/>
      <c r="F927" s="373"/>
      <c r="G927" s="373"/>
      <c r="H927" s="373"/>
      <c r="I927" s="373"/>
      <c r="J927" s="373"/>
      <c r="K927" s="373"/>
      <c r="L927" s="373"/>
      <c r="M927" s="373"/>
      <c r="N927" s="373"/>
      <c r="O927" s="373"/>
      <c r="P927" s="373"/>
      <c r="Q927" s="373"/>
      <c r="R927" s="373"/>
      <c r="S927" s="373"/>
      <c r="T927" s="373"/>
      <c r="U927" s="373"/>
      <c r="V927" s="373"/>
    </row>
    <row r="928" spans="1:22" ht="18" x14ac:dyDescent="0.55000000000000004">
      <c r="A928" s="373"/>
      <c r="B928" s="373"/>
      <c r="C928" s="373"/>
      <c r="D928" s="373"/>
      <c r="E928" s="373"/>
      <c r="F928" s="373"/>
      <c r="G928" s="373"/>
      <c r="H928" s="373"/>
      <c r="I928" s="373"/>
      <c r="J928" s="373"/>
      <c r="K928" s="373"/>
      <c r="L928" s="373"/>
      <c r="M928" s="373"/>
      <c r="N928" s="373"/>
      <c r="O928" s="373"/>
      <c r="P928" s="373"/>
      <c r="Q928" s="373"/>
      <c r="R928" s="373"/>
      <c r="S928" s="373"/>
      <c r="T928" s="373"/>
      <c r="U928" s="373"/>
      <c r="V928" s="373"/>
    </row>
    <row r="929" spans="1:22" ht="18" x14ac:dyDescent="0.55000000000000004">
      <c r="A929" s="373"/>
      <c r="B929" s="373"/>
      <c r="C929" s="373"/>
      <c r="D929" s="373"/>
      <c r="E929" s="373"/>
      <c r="F929" s="373"/>
      <c r="G929" s="373"/>
      <c r="H929" s="373"/>
      <c r="I929" s="373"/>
      <c r="J929" s="373"/>
      <c r="K929" s="373"/>
      <c r="L929" s="373"/>
      <c r="M929" s="373"/>
      <c r="N929" s="373"/>
      <c r="O929" s="373"/>
      <c r="P929" s="373"/>
      <c r="Q929" s="373"/>
      <c r="R929" s="373"/>
      <c r="S929" s="373"/>
      <c r="T929" s="373"/>
      <c r="U929" s="373"/>
      <c r="V929" s="373"/>
    </row>
    <row r="930" spans="1:22" ht="18" x14ac:dyDescent="0.55000000000000004">
      <c r="A930" s="373"/>
      <c r="B930" s="373"/>
      <c r="C930" s="373"/>
      <c r="D930" s="373"/>
      <c r="E930" s="373"/>
      <c r="F930" s="373"/>
      <c r="G930" s="373"/>
      <c r="H930" s="373"/>
      <c r="I930" s="373"/>
      <c r="J930" s="373"/>
      <c r="K930" s="373"/>
      <c r="L930" s="373"/>
      <c r="M930" s="373"/>
      <c r="N930" s="373"/>
      <c r="O930" s="373"/>
      <c r="P930" s="373"/>
      <c r="Q930" s="373"/>
      <c r="R930" s="373"/>
      <c r="S930" s="373"/>
      <c r="T930" s="373"/>
      <c r="U930" s="373"/>
      <c r="V930" s="373"/>
    </row>
    <row r="931" spans="1:22" ht="18" x14ac:dyDescent="0.55000000000000004">
      <c r="A931" s="373"/>
      <c r="B931" s="373"/>
      <c r="C931" s="373"/>
      <c r="D931" s="373"/>
      <c r="E931" s="373"/>
      <c r="F931" s="373"/>
      <c r="G931" s="373"/>
      <c r="H931" s="373"/>
      <c r="I931" s="373"/>
      <c r="J931" s="373"/>
      <c r="K931" s="373"/>
      <c r="L931" s="373"/>
      <c r="M931" s="373"/>
      <c r="N931" s="373"/>
      <c r="O931" s="373"/>
      <c r="P931" s="373"/>
      <c r="Q931" s="373"/>
      <c r="R931" s="373"/>
      <c r="S931" s="373"/>
      <c r="T931" s="373"/>
      <c r="U931" s="373"/>
      <c r="V931" s="373"/>
    </row>
    <row r="932" spans="1:22" ht="18" x14ac:dyDescent="0.55000000000000004">
      <c r="A932" s="373"/>
      <c r="B932" s="373"/>
      <c r="C932" s="373"/>
      <c r="D932" s="373"/>
      <c r="E932" s="373"/>
      <c r="F932" s="373"/>
      <c r="G932" s="373"/>
      <c r="H932" s="373"/>
      <c r="I932" s="373"/>
      <c r="J932" s="373"/>
      <c r="K932" s="373"/>
      <c r="L932" s="373"/>
      <c r="M932" s="373"/>
      <c r="N932" s="373"/>
      <c r="O932" s="373"/>
      <c r="P932" s="373"/>
      <c r="Q932" s="373"/>
      <c r="R932" s="373"/>
      <c r="S932" s="373"/>
      <c r="T932" s="373"/>
      <c r="U932" s="373"/>
      <c r="V932" s="373"/>
    </row>
    <row r="933" spans="1:22" ht="18" x14ac:dyDescent="0.55000000000000004">
      <c r="A933" s="373"/>
      <c r="B933" s="373"/>
      <c r="C933" s="373"/>
      <c r="D933" s="373"/>
      <c r="E933" s="373"/>
      <c r="F933" s="373"/>
      <c r="G933" s="373"/>
      <c r="H933" s="373"/>
      <c r="I933" s="373"/>
      <c r="J933" s="373"/>
      <c r="K933" s="373"/>
      <c r="L933" s="373"/>
      <c r="M933" s="373"/>
      <c r="N933" s="373"/>
      <c r="O933" s="373"/>
      <c r="P933" s="373"/>
      <c r="Q933" s="373"/>
      <c r="R933" s="373"/>
      <c r="S933" s="373"/>
      <c r="T933" s="373"/>
      <c r="U933" s="373"/>
      <c r="V933" s="373"/>
    </row>
    <row r="934" spans="1:22" ht="18" x14ac:dyDescent="0.55000000000000004">
      <c r="A934" s="373"/>
      <c r="B934" s="373"/>
      <c r="C934" s="373"/>
      <c r="D934" s="373"/>
      <c r="E934" s="373"/>
      <c r="F934" s="373"/>
      <c r="G934" s="373"/>
      <c r="H934" s="373"/>
      <c r="I934" s="373"/>
      <c r="J934" s="373"/>
      <c r="K934" s="373"/>
      <c r="L934" s="373"/>
      <c r="M934" s="373"/>
      <c r="N934" s="373"/>
      <c r="O934" s="373"/>
      <c r="P934" s="373"/>
      <c r="Q934" s="373"/>
      <c r="R934" s="373"/>
      <c r="S934" s="373"/>
      <c r="T934" s="373"/>
      <c r="U934" s="373"/>
      <c r="V934" s="373"/>
    </row>
    <row r="935" spans="1:22" ht="18" x14ac:dyDescent="0.55000000000000004">
      <c r="A935" s="373"/>
      <c r="B935" s="373"/>
      <c r="C935" s="373"/>
      <c r="D935" s="373"/>
      <c r="E935" s="373"/>
      <c r="F935" s="373"/>
      <c r="G935" s="373"/>
      <c r="H935" s="373"/>
      <c r="I935" s="373"/>
      <c r="J935" s="373"/>
      <c r="K935" s="373"/>
      <c r="L935" s="373"/>
      <c r="M935" s="373"/>
      <c r="N935" s="373"/>
      <c r="O935" s="373"/>
      <c r="P935" s="373"/>
      <c r="Q935" s="373"/>
      <c r="R935" s="373"/>
      <c r="S935" s="373"/>
      <c r="T935" s="373"/>
      <c r="U935" s="373"/>
      <c r="V935" s="373"/>
    </row>
    <row r="936" spans="1:22" ht="18" x14ac:dyDescent="0.55000000000000004">
      <c r="A936" s="373"/>
      <c r="B936" s="373"/>
      <c r="C936" s="373"/>
      <c r="D936" s="373"/>
      <c r="E936" s="373"/>
      <c r="F936" s="373"/>
      <c r="G936" s="373"/>
      <c r="H936" s="373"/>
      <c r="I936" s="373"/>
      <c r="J936" s="373"/>
      <c r="K936" s="373"/>
      <c r="L936" s="373"/>
      <c r="M936" s="373"/>
      <c r="N936" s="373"/>
      <c r="O936" s="373"/>
      <c r="P936" s="373"/>
      <c r="Q936" s="373"/>
      <c r="R936" s="373"/>
      <c r="S936" s="373"/>
      <c r="T936" s="373"/>
      <c r="U936" s="373"/>
      <c r="V936" s="373"/>
    </row>
    <row r="937" spans="1:22" ht="18" x14ac:dyDescent="0.55000000000000004">
      <c r="A937" s="373"/>
      <c r="B937" s="373"/>
      <c r="C937" s="373"/>
      <c r="D937" s="373"/>
      <c r="E937" s="373"/>
      <c r="F937" s="373"/>
      <c r="G937" s="373"/>
      <c r="H937" s="373"/>
      <c r="I937" s="373"/>
      <c r="J937" s="373"/>
      <c r="K937" s="373"/>
      <c r="L937" s="373"/>
      <c r="M937" s="373"/>
      <c r="N937" s="373"/>
      <c r="O937" s="373"/>
      <c r="P937" s="373"/>
      <c r="Q937" s="373"/>
      <c r="R937" s="373"/>
      <c r="S937" s="373"/>
      <c r="T937" s="373"/>
      <c r="U937" s="373"/>
      <c r="V937" s="373"/>
    </row>
    <row r="938" spans="1:22" ht="18" x14ac:dyDescent="0.55000000000000004">
      <c r="A938" s="373"/>
      <c r="B938" s="373"/>
      <c r="C938" s="373"/>
      <c r="D938" s="373"/>
      <c r="E938" s="373"/>
      <c r="F938" s="373"/>
      <c r="G938" s="373"/>
      <c r="H938" s="373"/>
      <c r="I938" s="373"/>
      <c r="J938" s="373"/>
      <c r="K938" s="373"/>
      <c r="L938" s="373"/>
      <c r="M938" s="373"/>
      <c r="N938" s="373"/>
      <c r="O938" s="373"/>
      <c r="P938" s="373"/>
      <c r="Q938" s="373"/>
      <c r="R938" s="373"/>
      <c r="S938" s="373"/>
      <c r="T938" s="373"/>
      <c r="U938" s="373"/>
      <c r="V938" s="373"/>
    </row>
    <row r="939" spans="1:22" ht="18" x14ac:dyDescent="0.55000000000000004">
      <c r="A939" s="373"/>
      <c r="B939" s="373"/>
      <c r="C939" s="373"/>
      <c r="D939" s="373"/>
      <c r="E939" s="373"/>
      <c r="F939" s="373"/>
      <c r="G939" s="373"/>
      <c r="H939" s="373"/>
      <c r="I939" s="373"/>
      <c r="J939" s="373"/>
      <c r="K939" s="373"/>
      <c r="L939" s="373"/>
      <c r="M939" s="373"/>
      <c r="N939" s="373"/>
      <c r="O939" s="373"/>
      <c r="P939" s="373"/>
      <c r="Q939" s="373"/>
      <c r="R939" s="373"/>
      <c r="S939" s="373"/>
      <c r="T939" s="373"/>
      <c r="U939" s="373"/>
      <c r="V939" s="373"/>
    </row>
    <row r="940" spans="1:22" ht="18" x14ac:dyDescent="0.55000000000000004">
      <c r="A940" s="373"/>
      <c r="B940" s="373"/>
      <c r="C940" s="373"/>
      <c r="D940" s="373"/>
      <c r="E940" s="373"/>
      <c r="F940" s="373"/>
      <c r="G940" s="373"/>
      <c r="H940" s="373"/>
      <c r="I940" s="373"/>
      <c r="J940" s="373"/>
      <c r="K940" s="373"/>
      <c r="L940" s="373"/>
      <c r="M940" s="373"/>
      <c r="N940" s="373"/>
      <c r="O940" s="373"/>
      <c r="P940" s="373"/>
      <c r="Q940" s="373"/>
      <c r="R940" s="373"/>
      <c r="S940" s="373"/>
      <c r="T940" s="373"/>
      <c r="U940" s="373"/>
      <c r="V940" s="373"/>
    </row>
    <row r="941" spans="1:22" ht="18" x14ac:dyDescent="0.55000000000000004">
      <c r="A941" s="373"/>
      <c r="B941" s="373"/>
      <c r="C941" s="373"/>
      <c r="D941" s="373"/>
      <c r="E941" s="373"/>
      <c r="F941" s="373"/>
      <c r="G941" s="373"/>
      <c r="H941" s="373"/>
      <c r="I941" s="373"/>
      <c r="J941" s="373"/>
      <c r="K941" s="373"/>
      <c r="L941" s="373"/>
      <c r="M941" s="373"/>
      <c r="N941" s="373"/>
      <c r="O941" s="373"/>
      <c r="P941" s="373"/>
      <c r="Q941" s="373"/>
      <c r="R941" s="373"/>
      <c r="S941" s="373"/>
      <c r="T941" s="373"/>
      <c r="U941" s="373"/>
      <c r="V941" s="373"/>
    </row>
    <row r="942" spans="1:22" ht="18" x14ac:dyDescent="0.55000000000000004">
      <c r="A942" s="373"/>
      <c r="B942" s="373"/>
      <c r="C942" s="373"/>
      <c r="D942" s="373"/>
      <c r="E942" s="373"/>
      <c r="F942" s="373"/>
      <c r="G942" s="373"/>
      <c r="H942" s="373"/>
      <c r="I942" s="373"/>
      <c r="J942" s="373"/>
      <c r="K942" s="373"/>
      <c r="L942" s="373"/>
      <c r="M942" s="373"/>
      <c r="N942" s="373"/>
      <c r="O942" s="373"/>
      <c r="P942" s="373"/>
      <c r="Q942" s="373"/>
      <c r="R942" s="373"/>
      <c r="S942" s="373"/>
      <c r="T942" s="373"/>
      <c r="U942" s="373"/>
      <c r="V942" s="373"/>
    </row>
    <row r="943" spans="1:22" ht="18" x14ac:dyDescent="0.55000000000000004">
      <c r="A943" s="373"/>
      <c r="B943" s="373"/>
      <c r="C943" s="373"/>
      <c r="D943" s="373"/>
      <c r="E943" s="373"/>
      <c r="F943" s="373"/>
      <c r="G943" s="373"/>
      <c r="H943" s="373"/>
      <c r="I943" s="373"/>
      <c r="J943" s="373"/>
      <c r="K943" s="373"/>
      <c r="L943" s="373"/>
      <c r="M943" s="373"/>
      <c r="N943" s="373"/>
      <c r="O943" s="373"/>
      <c r="P943" s="373"/>
      <c r="Q943" s="373"/>
      <c r="R943" s="373"/>
      <c r="S943" s="373"/>
      <c r="T943" s="373"/>
      <c r="U943" s="373"/>
      <c r="V943" s="373"/>
    </row>
    <row r="944" spans="1:22" ht="18" x14ac:dyDescent="0.55000000000000004">
      <c r="A944" s="373"/>
      <c r="B944" s="373"/>
      <c r="C944" s="373"/>
      <c r="D944" s="373"/>
      <c r="E944" s="373"/>
      <c r="F944" s="373"/>
      <c r="G944" s="373"/>
      <c r="H944" s="373"/>
      <c r="I944" s="373"/>
      <c r="J944" s="373"/>
      <c r="K944" s="373"/>
      <c r="L944" s="373"/>
      <c r="M944" s="373"/>
      <c r="N944" s="373"/>
      <c r="O944" s="373"/>
      <c r="P944" s="373"/>
      <c r="Q944" s="373"/>
      <c r="R944" s="373"/>
      <c r="S944" s="373"/>
      <c r="T944" s="373"/>
      <c r="U944" s="373"/>
      <c r="V944" s="373"/>
    </row>
    <row r="945" spans="1:22" ht="18" x14ac:dyDescent="0.55000000000000004">
      <c r="A945" s="373"/>
      <c r="B945" s="373"/>
      <c r="C945" s="373"/>
      <c r="D945" s="373"/>
      <c r="E945" s="373"/>
      <c r="F945" s="373"/>
      <c r="G945" s="373"/>
      <c r="H945" s="373"/>
      <c r="I945" s="373"/>
      <c r="J945" s="373"/>
      <c r="K945" s="373"/>
      <c r="L945" s="373"/>
      <c r="M945" s="373"/>
      <c r="N945" s="373"/>
      <c r="O945" s="373"/>
      <c r="P945" s="373"/>
      <c r="Q945" s="373"/>
      <c r="R945" s="373"/>
      <c r="S945" s="373"/>
      <c r="T945" s="373"/>
      <c r="U945" s="373"/>
      <c r="V945" s="373"/>
    </row>
    <row r="946" spans="1:22" ht="18" x14ac:dyDescent="0.55000000000000004">
      <c r="A946" s="373"/>
      <c r="B946" s="373"/>
      <c r="C946" s="373"/>
      <c r="D946" s="373"/>
      <c r="E946" s="373"/>
      <c r="F946" s="373"/>
      <c r="G946" s="373"/>
      <c r="H946" s="373"/>
      <c r="I946" s="373"/>
      <c r="J946" s="373"/>
      <c r="K946" s="373"/>
      <c r="L946" s="373"/>
      <c r="M946" s="373"/>
      <c r="N946" s="373"/>
      <c r="O946" s="373"/>
      <c r="P946" s="373"/>
      <c r="Q946" s="373"/>
      <c r="R946" s="373"/>
      <c r="S946" s="373"/>
      <c r="T946" s="373"/>
      <c r="U946" s="373"/>
      <c r="V946" s="373"/>
    </row>
    <row r="947" spans="1:22" ht="18" x14ac:dyDescent="0.55000000000000004">
      <c r="A947" s="373"/>
      <c r="B947" s="373"/>
      <c r="C947" s="373"/>
      <c r="D947" s="373"/>
      <c r="E947" s="373"/>
      <c r="F947" s="373"/>
      <c r="G947" s="373"/>
      <c r="H947" s="373"/>
      <c r="I947" s="373"/>
      <c r="J947" s="373"/>
      <c r="K947" s="373"/>
      <c r="L947" s="373"/>
      <c r="M947" s="373"/>
      <c r="N947" s="373"/>
      <c r="O947" s="373"/>
      <c r="P947" s="373"/>
      <c r="Q947" s="373"/>
      <c r="R947" s="373"/>
      <c r="S947" s="373"/>
      <c r="T947" s="373"/>
      <c r="U947" s="373"/>
      <c r="V947" s="373"/>
    </row>
    <row r="948" spans="1:22" ht="18" x14ac:dyDescent="0.55000000000000004">
      <c r="A948" s="373"/>
      <c r="B948" s="373"/>
      <c r="C948" s="373"/>
      <c r="D948" s="373"/>
      <c r="E948" s="373"/>
      <c r="F948" s="373"/>
      <c r="G948" s="373"/>
      <c r="H948" s="373"/>
      <c r="I948" s="373"/>
      <c r="J948" s="373"/>
      <c r="K948" s="373"/>
      <c r="L948" s="373"/>
      <c r="M948" s="373"/>
      <c r="N948" s="373"/>
      <c r="O948" s="373"/>
      <c r="P948" s="373"/>
      <c r="Q948" s="373"/>
      <c r="R948" s="373"/>
      <c r="S948" s="373"/>
      <c r="T948" s="373"/>
      <c r="U948" s="373"/>
      <c r="V948" s="373"/>
    </row>
    <row r="949" spans="1:22" ht="18" x14ac:dyDescent="0.55000000000000004">
      <c r="A949" s="373"/>
      <c r="B949" s="373"/>
      <c r="C949" s="373"/>
      <c r="D949" s="373"/>
      <c r="E949" s="373"/>
      <c r="F949" s="373"/>
      <c r="G949" s="373"/>
      <c r="H949" s="373"/>
      <c r="I949" s="373"/>
      <c r="J949" s="373"/>
      <c r="K949" s="373"/>
      <c r="L949" s="373"/>
      <c r="M949" s="373"/>
      <c r="N949" s="373"/>
      <c r="O949" s="373"/>
      <c r="P949" s="373"/>
      <c r="Q949" s="373"/>
      <c r="R949" s="373"/>
      <c r="S949" s="373"/>
      <c r="T949" s="373"/>
      <c r="U949" s="373"/>
      <c r="V949" s="373"/>
    </row>
    <row r="950" spans="1:22" ht="18" x14ac:dyDescent="0.55000000000000004">
      <c r="A950" s="373"/>
      <c r="B950" s="373"/>
      <c r="C950" s="373"/>
      <c r="D950" s="373"/>
      <c r="E950" s="373"/>
      <c r="F950" s="373"/>
      <c r="G950" s="373"/>
      <c r="H950" s="373"/>
      <c r="I950" s="373"/>
      <c r="J950" s="373"/>
      <c r="K950" s="373"/>
      <c r="L950" s="373"/>
      <c r="M950" s="373"/>
      <c r="N950" s="373"/>
      <c r="O950" s="373"/>
      <c r="P950" s="373"/>
      <c r="Q950" s="373"/>
      <c r="R950" s="373"/>
      <c r="S950" s="373"/>
      <c r="T950" s="373"/>
      <c r="U950" s="373"/>
      <c r="V950" s="373"/>
    </row>
    <row r="951" spans="1:22" ht="18" x14ac:dyDescent="0.55000000000000004">
      <c r="A951" s="373"/>
      <c r="B951" s="373"/>
      <c r="C951" s="373"/>
      <c r="D951" s="373"/>
      <c r="E951" s="373"/>
      <c r="F951" s="373"/>
      <c r="G951" s="373"/>
      <c r="H951" s="373"/>
      <c r="I951" s="373"/>
      <c r="J951" s="373"/>
      <c r="K951" s="373"/>
      <c r="L951" s="373"/>
      <c r="M951" s="373"/>
      <c r="N951" s="373"/>
      <c r="O951" s="373"/>
      <c r="P951" s="373"/>
      <c r="Q951" s="373"/>
      <c r="R951" s="373"/>
      <c r="S951" s="373"/>
      <c r="T951" s="373"/>
      <c r="U951" s="373"/>
      <c r="V951" s="373"/>
    </row>
    <row r="952" spans="1:22" ht="18" x14ac:dyDescent="0.55000000000000004">
      <c r="A952" s="373"/>
      <c r="B952" s="373"/>
      <c r="C952" s="373"/>
      <c r="D952" s="373"/>
      <c r="E952" s="373"/>
      <c r="F952" s="373"/>
      <c r="G952" s="373"/>
      <c r="H952" s="373"/>
      <c r="I952" s="373"/>
      <c r="J952" s="373"/>
      <c r="K952" s="373"/>
      <c r="L952" s="373"/>
      <c r="M952" s="373"/>
      <c r="N952" s="373"/>
      <c r="O952" s="373"/>
      <c r="P952" s="373"/>
      <c r="Q952" s="373"/>
      <c r="R952" s="373"/>
      <c r="S952" s="373"/>
      <c r="T952" s="373"/>
      <c r="U952" s="373"/>
      <c r="V952" s="373"/>
    </row>
    <row r="953" spans="1:22" ht="18" x14ac:dyDescent="0.55000000000000004">
      <c r="A953" s="373"/>
      <c r="B953" s="373"/>
      <c r="C953" s="373"/>
      <c r="D953" s="373"/>
      <c r="E953" s="373"/>
      <c r="F953" s="373"/>
      <c r="G953" s="373"/>
      <c r="H953" s="373"/>
      <c r="I953" s="373"/>
      <c r="J953" s="373"/>
      <c r="K953" s="373"/>
      <c r="L953" s="373"/>
      <c r="M953" s="373"/>
      <c r="N953" s="373"/>
      <c r="O953" s="373"/>
      <c r="P953" s="373"/>
      <c r="Q953" s="373"/>
      <c r="R953" s="373"/>
      <c r="S953" s="373"/>
      <c r="T953" s="373"/>
      <c r="U953" s="373"/>
      <c r="V953" s="373"/>
    </row>
    <row r="954" spans="1:22" ht="18" x14ac:dyDescent="0.55000000000000004">
      <c r="A954" s="373"/>
      <c r="B954" s="373"/>
      <c r="C954" s="373"/>
      <c r="D954" s="373"/>
      <c r="E954" s="373"/>
      <c r="F954" s="373"/>
      <c r="G954" s="373"/>
      <c r="H954" s="373"/>
      <c r="I954" s="373"/>
      <c r="J954" s="373"/>
      <c r="K954" s="373"/>
      <c r="L954" s="373"/>
      <c r="M954" s="373"/>
      <c r="N954" s="373"/>
      <c r="O954" s="373"/>
      <c r="P954" s="373"/>
      <c r="Q954" s="373"/>
      <c r="R954" s="373"/>
      <c r="S954" s="373"/>
      <c r="T954" s="373"/>
      <c r="U954" s="373"/>
      <c r="V954" s="373"/>
    </row>
    <row r="955" spans="1:22" ht="18" x14ac:dyDescent="0.55000000000000004">
      <c r="A955" s="373"/>
      <c r="B955" s="373"/>
      <c r="C955" s="373"/>
      <c r="D955" s="373"/>
      <c r="E955" s="373"/>
      <c r="F955" s="373"/>
      <c r="G955" s="373"/>
      <c r="H955" s="373"/>
      <c r="I955" s="373"/>
      <c r="J955" s="373"/>
      <c r="K955" s="373"/>
      <c r="L955" s="373"/>
      <c r="M955" s="373"/>
      <c r="N955" s="373"/>
      <c r="O955" s="373"/>
      <c r="P955" s="373"/>
      <c r="Q955" s="373"/>
      <c r="R955" s="373"/>
      <c r="S955" s="373"/>
      <c r="T955" s="373"/>
      <c r="U955" s="373"/>
      <c r="V955" s="373"/>
    </row>
    <row r="956" spans="1:22" ht="18" x14ac:dyDescent="0.55000000000000004">
      <c r="A956" s="373"/>
      <c r="B956" s="373"/>
      <c r="C956" s="373"/>
      <c r="D956" s="373"/>
      <c r="E956" s="373"/>
      <c r="F956" s="373"/>
      <c r="G956" s="373"/>
      <c r="H956" s="373"/>
      <c r="I956" s="373"/>
      <c r="J956" s="373"/>
      <c r="K956" s="373"/>
      <c r="L956" s="373"/>
      <c r="M956" s="373"/>
      <c r="N956" s="373"/>
      <c r="O956" s="373"/>
      <c r="P956" s="373"/>
      <c r="Q956" s="373"/>
      <c r="R956" s="373"/>
      <c r="S956" s="373"/>
      <c r="T956" s="373"/>
      <c r="U956" s="373"/>
      <c r="V956" s="373"/>
    </row>
    <row r="957" spans="1:22" ht="18" x14ac:dyDescent="0.55000000000000004">
      <c r="A957" s="373"/>
      <c r="B957" s="373"/>
      <c r="C957" s="373"/>
      <c r="D957" s="373"/>
      <c r="E957" s="373"/>
      <c r="F957" s="373"/>
      <c r="G957" s="373"/>
      <c r="H957" s="373"/>
      <c r="I957" s="373"/>
      <c r="J957" s="373"/>
      <c r="K957" s="373"/>
      <c r="L957" s="373"/>
      <c r="M957" s="373"/>
      <c r="N957" s="373"/>
      <c r="O957" s="373"/>
      <c r="P957" s="373"/>
      <c r="Q957" s="373"/>
      <c r="R957" s="373"/>
      <c r="S957" s="373"/>
      <c r="T957" s="373"/>
      <c r="U957" s="373"/>
      <c r="V957" s="373"/>
    </row>
    <row r="958" spans="1:22" ht="18" x14ac:dyDescent="0.55000000000000004">
      <c r="A958" s="373"/>
      <c r="B958" s="373"/>
      <c r="C958" s="373"/>
      <c r="D958" s="373"/>
      <c r="E958" s="373"/>
      <c r="F958" s="373"/>
      <c r="G958" s="373"/>
      <c r="H958" s="373"/>
      <c r="I958" s="373"/>
      <c r="J958" s="373"/>
      <c r="K958" s="373"/>
      <c r="L958" s="373"/>
      <c r="M958" s="373"/>
      <c r="N958" s="373"/>
      <c r="O958" s="373"/>
      <c r="P958" s="373"/>
      <c r="Q958" s="373"/>
      <c r="R958" s="373"/>
      <c r="S958" s="373"/>
      <c r="T958" s="373"/>
      <c r="U958" s="373"/>
      <c r="V958" s="373"/>
    </row>
    <row r="959" spans="1:22" ht="18" x14ac:dyDescent="0.55000000000000004">
      <c r="A959" s="373"/>
      <c r="B959" s="373"/>
      <c r="C959" s="373"/>
      <c r="D959" s="373"/>
      <c r="E959" s="373"/>
      <c r="F959" s="373"/>
      <c r="G959" s="373"/>
      <c r="H959" s="373"/>
      <c r="I959" s="373"/>
      <c r="J959" s="373"/>
      <c r="K959" s="373"/>
      <c r="L959" s="373"/>
      <c r="M959" s="373"/>
      <c r="N959" s="373"/>
      <c r="O959" s="373"/>
      <c r="P959" s="373"/>
      <c r="Q959" s="373"/>
      <c r="R959" s="373"/>
      <c r="S959" s="373"/>
      <c r="T959" s="373"/>
      <c r="U959" s="373"/>
      <c r="V959" s="373"/>
    </row>
    <row r="960" spans="1:22" ht="18" x14ac:dyDescent="0.55000000000000004">
      <c r="A960" s="373"/>
      <c r="B960" s="373"/>
      <c r="C960" s="373"/>
      <c r="D960" s="373"/>
      <c r="E960" s="373"/>
      <c r="F960" s="373"/>
      <c r="G960" s="373"/>
      <c r="H960" s="373"/>
      <c r="I960" s="373"/>
      <c r="J960" s="373"/>
      <c r="K960" s="373"/>
      <c r="L960" s="373"/>
      <c r="M960" s="373"/>
      <c r="N960" s="373"/>
      <c r="O960" s="373"/>
      <c r="P960" s="373"/>
      <c r="Q960" s="373"/>
      <c r="R960" s="373"/>
      <c r="S960" s="373"/>
      <c r="T960" s="373"/>
      <c r="U960" s="373"/>
      <c r="V960" s="373"/>
    </row>
    <row r="961" spans="1:22" ht="18" x14ac:dyDescent="0.55000000000000004">
      <c r="A961" s="373"/>
      <c r="B961" s="373"/>
      <c r="C961" s="373"/>
      <c r="D961" s="373"/>
      <c r="E961" s="373"/>
      <c r="F961" s="373"/>
      <c r="G961" s="373"/>
      <c r="H961" s="373"/>
      <c r="I961" s="373"/>
      <c r="J961" s="373"/>
      <c r="K961" s="373"/>
      <c r="L961" s="373"/>
      <c r="M961" s="373"/>
      <c r="N961" s="373"/>
      <c r="O961" s="373"/>
      <c r="P961" s="373"/>
      <c r="Q961" s="373"/>
      <c r="R961" s="373"/>
      <c r="S961" s="373"/>
      <c r="T961" s="373"/>
      <c r="U961" s="373"/>
      <c r="V961" s="373"/>
    </row>
    <row r="962" spans="1:22" ht="18" x14ac:dyDescent="0.55000000000000004">
      <c r="A962" s="373"/>
      <c r="B962" s="373"/>
      <c r="C962" s="373"/>
      <c r="D962" s="373"/>
      <c r="E962" s="373"/>
      <c r="F962" s="373"/>
      <c r="G962" s="373"/>
      <c r="H962" s="373"/>
      <c r="I962" s="373"/>
      <c r="J962" s="373"/>
      <c r="K962" s="373"/>
      <c r="L962" s="373"/>
      <c r="M962" s="373"/>
      <c r="N962" s="373"/>
      <c r="O962" s="373"/>
      <c r="P962" s="373"/>
      <c r="Q962" s="373"/>
      <c r="R962" s="373"/>
      <c r="S962" s="373"/>
      <c r="T962" s="373"/>
      <c r="U962" s="373"/>
      <c r="V962" s="373"/>
    </row>
    <row r="963" spans="1:22" ht="18" x14ac:dyDescent="0.55000000000000004">
      <c r="A963" s="373"/>
      <c r="B963" s="373"/>
      <c r="C963" s="373"/>
      <c r="D963" s="373"/>
      <c r="E963" s="373"/>
      <c r="F963" s="373"/>
      <c r="G963" s="373"/>
      <c r="H963" s="373"/>
      <c r="I963" s="373"/>
      <c r="J963" s="373"/>
      <c r="K963" s="373"/>
      <c r="L963" s="373"/>
      <c r="M963" s="373"/>
      <c r="N963" s="373"/>
      <c r="O963" s="373"/>
      <c r="P963" s="373"/>
      <c r="Q963" s="373"/>
      <c r="R963" s="373"/>
      <c r="S963" s="373"/>
      <c r="T963" s="373"/>
      <c r="U963" s="373"/>
      <c r="V963" s="373"/>
    </row>
    <row r="964" spans="1:22" ht="18" x14ac:dyDescent="0.55000000000000004">
      <c r="A964" s="373"/>
      <c r="B964" s="373"/>
      <c r="C964" s="373"/>
      <c r="D964" s="373"/>
      <c r="E964" s="373"/>
      <c r="F964" s="373"/>
      <c r="G964" s="373"/>
      <c r="H964" s="373"/>
      <c r="I964" s="373"/>
      <c r="J964" s="373"/>
      <c r="K964" s="373"/>
      <c r="L964" s="373"/>
      <c r="M964" s="373"/>
      <c r="N964" s="373"/>
      <c r="O964" s="373"/>
      <c r="P964" s="373"/>
      <c r="Q964" s="373"/>
      <c r="R964" s="373"/>
      <c r="S964" s="373"/>
      <c r="T964" s="373"/>
      <c r="U964" s="373"/>
      <c r="V964" s="373"/>
    </row>
    <row r="965" spans="1:22" ht="18" x14ac:dyDescent="0.55000000000000004">
      <c r="A965" s="373"/>
      <c r="B965" s="373"/>
      <c r="C965" s="373"/>
      <c r="D965" s="373"/>
      <c r="E965" s="373"/>
      <c r="F965" s="373"/>
      <c r="G965" s="373"/>
      <c r="H965" s="373"/>
      <c r="I965" s="373"/>
      <c r="J965" s="373"/>
      <c r="K965" s="373"/>
      <c r="L965" s="373"/>
      <c r="M965" s="373"/>
      <c r="N965" s="373"/>
      <c r="O965" s="373"/>
      <c r="P965" s="373"/>
      <c r="Q965" s="373"/>
      <c r="R965" s="373"/>
      <c r="S965" s="373"/>
      <c r="T965" s="373"/>
      <c r="U965" s="373"/>
      <c r="V965" s="373"/>
    </row>
    <row r="966" spans="1:22" ht="18" x14ac:dyDescent="0.55000000000000004">
      <c r="A966" s="373"/>
      <c r="B966" s="373"/>
      <c r="C966" s="373"/>
      <c r="D966" s="373"/>
      <c r="E966" s="373"/>
      <c r="F966" s="373"/>
      <c r="G966" s="373"/>
      <c r="H966" s="373"/>
      <c r="I966" s="373"/>
      <c r="J966" s="373"/>
      <c r="K966" s="373"/>
      <c r="L966" s="373"/>
      <c r="M966" s="373"/>
      <c r="N966" s="373"/>
      <c r="O966" s="373"/>
      <c r="P966" s="373"/>
      <c r="Q966" s="373"/>
      <c r="R966" s="373"/>
      <c r="S966" s="373"/>
      <c r="T966" s="373"/>
      <c r="U966" s="373"/>
      <c r="V966" s="373"/>
    </row>
    <row r="967" spans="1:22" ht="18" x14ac:dyDescent="0.55000000000000004">
      <c r="A967" s="373"/>
      <c r="B967" s="373"/>
      <c r="C967" s="373"/>
      <c r="D967" s="373"/>
      <c r="E967" s="373"/>
      <c r="F967" s="373"/>
      <c r="G967" s="373"/>
      <c r="H967" s="373"/>
      <c r="I967" s="373"/>
      <c r="J967" s="373"/>
      <c r="K967" s="373"/>
      <c r="L967" s="373"/>
      <c r="M967" s="373"/>
      <c r="N967" s="373"/>
      <c r="O967" s="373"/>
      <c r="P967" s="373"/>
      <c r="Q967" s="373"/>
      <c r="R967" s="373"/>
      <c r="S967" s="373"/>
      <c r="T967" s="373"/>
      <c r="U967" s="373"/>
      <c r="V967" s="373"/>
    </row>
    <row r="968" spans="1:22" ht="18" x14ac:dyDescent="0.55000000000000004">
      <c r="A968" s="373"/>
      <c r="B968" s="373"/>
      <c r="C968" s="373"/>
      <c r="D968" s="373"/>
      <c r="E968" s="373"/>
      <c r="F968" s="373"/>
      <c r="G968" s="373"/>
      <c r="H968" s="373"/>
      <c r="I968" s="373"/>
      <c r="J968" s="373"/>
      <c r="K968" s="373"/>
      <c r="L968" s="373"/>
      <c r="M968" s="373"/>
      <c r="N968" s="373"/>
      <c r="O968" s="373"/>
      <c r="P968" s="373"/>
      <c r="Q968" s="373"/>
      <c r="R968" s="373"/>
      <c r="S968" s="373"/>
      <c r="T968" s="373"/>
      <c r="U968" s="373"/>
      <c r="V968" s="373"/>
    </row>
    <row r="969" spans="1:22" ht="18" x14ac:dyDescent="0.55000000000000004">
      <c r="A969" s="373"/>
      <c r="B969" s="373"/>
      <c r="C969" s="373"/>
      <c r="D969" s="373"/>
      <c r="E969" s="373"/>
      <c r="F969" s="373"/>
      <c r="G969" s="373"/>
      <c r="H969" s="373"/>
      <c r="I969" s="373"/>
      <c r="J969" s="373"/>
      <c r="K969" s="373"/>
      <c r="L969" s="373"/>
      <c r="M969" s="373"/>
      <c r="N969" s="373"/>
      <c r="O969" s="373"/>
      <c r="P969" s="373"/>
      <c r="Q969" s="373"/>
      <c r="R969" s="373"/>
      <c r="S969" s="373"/>
      <c r="T969" s="373"/>
      <c r="U969" s="373"/>
      <c r="V969" s="373"/>
    </row>
    <row r="970" spans="1:22" ht="18" x14ac:dyDescent="0.55000000000000004">
      <c r="A970" s="373"/>
      <c r="B970" s="373"/>
      <c r="C970" s="373"/>
      <c r="D970" s="373"/>
      <c r="E970" s="373"/>
      <c r="F970" s="373"/>
      <c r="G970" s="373"/>
      <c r="H970" s="373"/>
      <c r="I970" s="373"/>
      <c r="J970" s="373"/>
      <c r="K970" s="373"/>
      <c r="L970" s="373"/>
      <c r="M970" s="373"/>
      <c r="N970" s="373"/>
      <c r="O970" s="373"/>
      <c r="P970" s="373"/>
      <c r="Q970" s="373"/>
      <c r="R970" s="373"/>
      <c r="S970" s="373"/>
      <c r="T970" s="373"/>
      <c r="U970" s="373"/>
      <c r="V970" s="373"/>
    </row>
    <row r="971" spans="1:22" ht="18" x14ac:dyDescent="0.55000000000000004">
      <c r="A971" s="373"/>
      <c r="B971" s="373"/>
      <c r="C971" s="373"/>
      <c r="D971" s="373"/>
      <c r="E971" s="373"/>
      <c r="F971" s="373"/>
      <c r="G971" s="373"/>
      <c r="H971" s="373"/>
      <c r="I971" s="373"/>
      <c r="J971" s="373"/>
      <c r="K971" s="373"/>
      <c r="L971" s="373"/>
      <c r="M971" s="373"/>
      <c r="N971" s="373"/>
      <c r="O971" s="373"/>
      <c r="P971" s="373"/>
      <c r="Q971" s="373"/>
      <c r="R971" s="373"/>
      <c r="S971" s="373"/>
      <c r="T971" s="373"/>
      <c r="U971" s="373"/>
      <c r="V971" s="373"/>
    </row>
    <row r="972" spans="1:22" ht="18" x14ac:dyDescent="0.55000000000000004">
      <c r="A972" s="373"/>
      <c r="B972" s="373"/>
      <c r="C972" s="373"/>
      <c r="D972" s="373"/>
      <c r="E972" s="373"/>
      <c r="F972" s="373"/>
      <c r="G972" s="373"/>
      <c r="H972" s="373"/>
      <c r="I972" s="373"/>
      <c r="J972" s="373"/>
      <c r="K972" s="373"/>
      <c r="L972" s="373"/>
      <c r="M972" s="373"/>
      <c r="N972" s="373"/>
      <c r="O972" s="373"/>
      <c r="P972" s="373"/>
      <c r="Q972" s="373"/>
      <c r="R972" s="373"/>
      <c r="S972" s="373"/>
      <c r="T972" s="373"/>
      <c r="U972" s="373"/>
      <c r="V972" s="373"/>
    </row>
    <row r="973" spans="1:22" ht="18" x14ac:dyDescent="0.55000000000000004">
      <c r="A973" s="373"/>
      <c r="B973" s="373"/>
      <c r="C973" s="373"/>
      <c r="D973" s="373"/>
      <c r="E973" s="373"/>
      <c r="F973" s="373"/>
      <c r="G973" s="373"/>
      <c r="H973" s="373"/>
      <c r="I973" s="373"/>
      <c r="J973" s="373"/>
      <c r="K973" s="373"/>
      <c r="L973" s="373"/>
      <c r="M973" s="373"/>
      <c r="N973" s="373"/>
      <c r="O973" s="373"/>
      <c r="P973" s="373"/>
      <c r="Q973" s="373"/>
      <c r="R973" s="373"/>
      <c r="S973" s="373"/>
      <c r="T973" s="373"/>
      <c r="U973" s="373"/>
      <c r="V973" s="373"/>
    </row>
    <row r="974" spans="1:22" ht="18" x14ac:dyDescent="0.55000000000000004">
      <c r="A974" s="373"/>
      <c r="B974" s="373"/>
      <c r="C974" s="373"/>
      <c r="D974" s="373"/>
      <c r="E974" s="373"/>
      <c r="F974" s="373"/>
      <c r="G974" s="373"/>
      <c r="H974" s="373"/>
      <c r="I974" s="373"/>
      <c r="J974" s="373"/>
      <c r="K974" s="373"/>
      <c r="L974" s="373"/>
      <c r="M974" s="373"/>
      <c r="N974" s="373"/>
      <c r="O974" s="373"/>
      <c r="P974" s="373"/>
      <c r="Q974" s="373"/>
      <c r="R974" s="373"/>
      <c r="S974" s="373"/>
      <c r="T974" s="373"/>
      <c r="U974" s="373"/>
      <c r="V974" s="373"/>
    </row>
    <row r="975" spans="1:22" ht="18" x14ac:dyDescent="0.55000000000000004">
      <c r="A975" s="373"/>
      <c r="B975" s="373"/>
      <c r="C975" s="373"/>
      <c r="D975" s="373"/>
      <c r="E975" s="373"/>
      <c r="F975" s="373"/>
      <c r="G975" s="373"/>
      <c r="H975" s="373"/>
      <c r="I975" s="373"/>
      <c r="J975" s="373"/>
      <c r="K975" s="373"/>
      <c r="L975" s="373"/>
      <c r="M975" s="373"/>
      <c r="N975" s="373"/>
      <c r="O975" s="373"/>
      <c r="P975" s="373"/>
      <c r="Q975" s="373"/>
      <c r="R975" s="373"/>
      <c r="S975" s="373"/>
      <c r="T975" s="373"/>
      <c r="U975" s="373"/>
      <c r="V975" s="373"/>
    </row>
    <row r="976" spans="1:22" ht="18" x14ac:dyDescent="0.55000000000000004">
      <c r="A976" s="373"/>
      <c r="B976" s="373"/>
      <c r="C976" s="373"/>
      <c r="D976" s="373"/>
      <c r="E976" s="373"/>
      <c r="F976" s="373"/>
      <c r="G976" s="373"/>
      <c r="H976" s="373"/>
      <c r="I976" s="373"/>
      <c r="J976" s="373"/>
      <c r="K976" s="373"/>
      <c r="L976" s="373"/>
      <c r="M976" s="373"/>
      <c r="N976" s="373"/>
      <c r="O976" s="373"/>
      <c r="P976" s="373"/>
      <c r="Q976" s="373"/>
      <c r="R976" s="373"/>
      <c r="S976" s="373"/>
      <c r="T976" s="373"/>
      <c r="U976" s="373"/>
      <c r="V976" s="373"/>
    </row>
    <row r="977" spans="1:22" ht="18" x14ac:dyDescent="0.55000000000000004">
      <c r="A977" s="373"/>
      <c r="B977" s="373"/>
      <c r="C977" s="373"/>
      <c r="D977" s="373"/>
      <c r="E977" s="373"/>
      <c r="F977" s="373"/>
      <c r="G977" s="373"/>
      <c r="H977" s="373"/>
      <c r="I977" s="373"/>
      <c r="J977" s="373"/>
      <c r="K977" s="373"/>
      <c r="L977" s="373"/>
      <c r="M977" s="373"/>
      <c r="N977" s="373"/>
      <c r="O977" s="373"/>
      <c r="P977" s="373"/>
      <c r="Q977" s="373"/>
      <c r="R977" s="373"/>
      <c r="S977" s="373"/>
      <c r="T977" s="373"/>
      <c r="U977" s="373"/>
      <c r="V977" s="373"/>
    </row>
    <row r="978" spans="1:22" ht="18" x14ac:dyDescent="0.55000000000000004">
      <c r="A978" s="373"/>
      <c r="B978" s="373"/>
      <c r="C978" s="373"/>
      <c r="D978" s="373"/>
      <c r="E978" s="373"/>
      <c r="F978" s="373"/>
      <c r="G978" s="373"/>
      <c r="H978" s="373"/>
      <c r="I978" s="373"/>
      <c r="J978" s="373"/>
      <c r="K978" s="373"/>
      <c r="L978" s="373"/>
      <c r="M978" s="373"/>
      <c r="N978" s="373"/>
      <c r="O978" s="373"/>
      <c r="P978" s="373"/>
      <c r="Q978" s="373"/>
      <c r="R978" s="373"/>
      <c r="S978" s="373"/>
      <c r="T978" s="373"/>
      <c r="U978" s="373"/>
      <c r="V978" s="373"/>
    </row>
    <row r="979" spans="1:22" ht="18" x14ac:dyDescent="0.55000000000000004">
      <c r="A979" s="373"/>
      <c r="B979" s="373"/>
      <c r="C979" s="373"/>
      <c r="D979" s="373"/>
      <c r="E979" s="373"/>
      <c r="F979" s="373"/>
      <c r="G979" s="373"/>
      <c r="H979" s="373"/>
      <c r="I979" s="373"/>
      <c r="J979" s="373"/>
      <c r="K979" s="373"/>
      <c r="L979" s="373"/>
      <c r="M979" s="373"/>
      <c r="N979" s="373"/>
      <c r="O979" s="373"/>
      <c r="P979" s="373"/>
      <c r="Q979" s="373"/>
      <c r="R979" s="373"/>
      <c r="S979" s="373"/>
      <c r="T979" s="373"/>
      <c r="U979" s="373"/>
      <c r="V979" s="373"/>
    </row>
    <row r="980" spans="1:22" ht="18" x14ac:dyDescent="0.55000000000000004">
      <c r="A980" s="373"/>
      <c r="B980" s="373"/>
      <c r="C980" s="373"/>
      <c r="D980" s="373"/>
      <c r="E980" s="373"/>
      <c r="F980" s="373"/>
      <c r="G980" s="373"/>
      <c r="H980" s="373"/>
      <c r="I980" s="373"/>
      <c r="J980" s="373"/>
      <c r="K980" s="373"/>
      <c r="L980" s="373"/>
      <c r="M980" s="373"/>
      <c r="N980" s="373"/>
      <c r="O980" s="373"/>
      <c r="P980" s="373"/>
      <c r="Q980" s="373"/>
      <c r="R980" s="373"/>
      <c r="S980" s="373"/>
      <c r="T980" s="373"/>
      <c r="U980" s="373"/>
      <c r="V980" s="373"/>
    </row>
    <row r="981" spans="1:22" ht="18" x14ac:dyDescent="0.55000000000000004">
      <c r="A981" s="373"/>
      <c r="B981" s="373"/>
      <c r="C981" s="373"/>
      <c r="D981" s="373"/>
      <c r="E981" s="373"/>
      <c r="F981" s="373"/>
      <c r="G981" s="373"/>
      <c r="H981" s="373"/>
      <c r="I981" s="373"/>
      <c r="J981" s="373"/>
      <c r="K981" s="373"/>
      <c r="L981" s="373"/>
      <c r="M981" s="373"/>
      <c r="N981" s="373"/>
      <c r="O981" s="373"/>
      <c r="P981" s="373"/>
      <c r="Q981" s="373"/>
      <c r="R981" s="373"/>
      <c r="S981" s="373"/>
      <c r="T981" s="373"/>
      <c r="U981" s="373"/>
      <c r="V981" s="373"/>
    </row>
    <row r="982" spans="1:22" ht="18" x14ac:dyDescent="0.55000000000000004">
      <c r="A982" s="373"/>
      <c r="B982" s="373"/>
      <c r="C982" s="373"/>
      <c r="D982" s="373"/>
      <c r="E982" s="373"/>
      <c r="F982" s="373"/>
      <c r="G982" s="373"/>
      <c r="H982" s="373"/>
      <c r="I982" s="373"/>
      <c r="J982" s="373"/>
      <c r="K982" s="373"/>
      <c r="L982" s="373"/>
      <c r="M982" s="373"/>
      <c r="N982" s="373"/>
      <c r="O982" s="373"/>
      <c r="P982" s="373"/>
      <c r="Q982" s="373"/>
      <c r="R982" s="373"/>
      <c r="S982" s="373"/>
      <c r="T982" s="373"/>
      <c r="U982" s="373"/>
      <c r="V982" s="373"/>
    </row>
    <row r="983" spans="1:22" ht="18" x14ac:dyDescent="0.55000000000000004">
      <c r="A983" s="373"/>
      <c r="B983" s="373"/>
      <c r="C983" s="373"/>
      <c r="D983" s="373"/>
      <c r="E983" s="373"/>
      <c r="F983" s="373"/>
      <c r="G983" s="373"/>
      <c r="H983" s="373"/>
      <c r="I983" s="373"/>
      <c r="J983" s="373"/>
      <c r="K983" s="373"/>
      <c r="L983" s="373"/>
      <c r="M983" s="373"/>
      <c r="N983" s="373"/>
      <c r="O983" s="373"/>
      <c r="P983" s="373"/>
      <c r="Q983" s="373"/>
      <c r="R983" s="373"/>
      <c r="S983" s="373"/>
      <c r="T983" s="373"/>
      <c r="U983" s="373"/>
      <c r="V983" s="373"/>
    </row>
    <row r="984" spans="1:22" ht="18" x14ac:dyDescent="0.55000000000000004">
      <c r="A984" s="373"/>
      <c r="B984" s="373"/>
      <c r="C984" s="373"/>
      <c r="D984" s="373"/>
      <c r="E984" s="373"/>
      <c r="F984" s="373"/>
      <c r="G984" s="373"/>
      <c r="H984" s="373"/>
      <c r="I984" s="373"/>
      <c r="J984" s="373"/>
      <c r="K984" s="373"/>
      <c r="L984" s="373"/>
      <c r="M984" s="373"/>
      <c r="N984" s="373"/>
      <c r="O984" s="373"/>
      <c r="P984" s="373"/>
      <c r="Q984" s="373"/>
      <c r="R984" s="373"/>
      <c r="S984" s="373"/>
      <c r="T984" s="373"/>
      <c r="U984" s="373"/>
      <c r="V984" s="373"/>
    </row>
    <row r="985" spans="1:22" ht="18" x14ac:dyDescent="0.55000000000000004">
      <c r="A985" s="373"/>
      <c r="B985" s="373"/>
      <c r="C985" s="373"/>
      <c r="D985" s="373"/>
      <c r="E985" s="373"/>
      <c r="F985" s="373"/>
      <c r="G985" s="373"/>
      <c r="H985" s="373"/>
      <c r="I985" s="373"/>
      <c r="J985" s="373"/>
      <c r="K985" s="373"/>
      <c r="L985" s="373"/>
      <c r="M985" s="373"/>
      <c r="N985" s="373"/>
      <c r="O985" s="373"/>
      <c r="P985" s="373"/>
      <c r="Q985" s="373"/>
      <c r="R985" s="373"/>
      <c r="S985" s="373"/>
      <c r="T985" s="373"/>
      <c r="U985" s="373"/>
      <c r="V985" s="373"/>
    </row>
    <row r="986" spans="1:22" ht="18" x14ac:dyDescent="0.55000000000000004">
      <c r="A986" s="373"/>
      <c r="B986" s="373"/>
      <c r="C986" s="373"/>
      <c r="D986" s="373"/>
      <c r="E986" s="373"/>
      <c r="F986" s="373"/>
      <c r="G986" s="373"/>
      <c r="H986" s="373"/>
      <c r="I986" s="373"/>
      <c r="J986" s="373"/>
      <c r="K986" s="373"/>
      <c r="L986" s="373"/>
      <c r="M986" s="373"/>
      <c r="N986" s="373"/>
      <c r="O986" s="373"/>
      <c r="P986" s="373"/>
      <c r="Q986" s="373"/>
      <c r="R986" s="373"/>
      <c r="S986" s="373"/>
      <c r="T986" s="373"/>
      <c r="U986" s="373"/>
      <c r="V986" s="373"/>
    </row>
    <row r="987" spans="1:22" ht="18" x14ac:dyDescent="0.55000000000000004">
      <c r="A987" s="373"/>
      <c r="B987" s="373"/>
      <c r="C987" s="373"/>
      <c r="D987" s="373"/>
      <c r="E987" s="373"/>
      <c r="F987" s="373"/>
      <c r="G987" s="373"/>
      <c r="H987" s="373"/>
      <c r="I987" s="373"/>
      <c r="J987" s="373"/>
      <c r="K987" s="373"/>
      <c r="L987" s="373"/>
      <c r="M987" s="373"/>
      <c r="N987" s="373"/>
      <c r="O987" s="373"/>
      <c r="P987" s="373"/>
      <c r="Q987" s="373"/>
      <c r="R987" s="373"/>
      <c r="S987" s="373"/>
      <c r="T987" s="373"/>
      <c r="U987" s="373"/>
      <c r="V987" s="373"/>
    </row>
    <row r="988" spans="1:22" ht="18" x14ac:dyDescent="0.55000000000000004">
      <c r="A988" s="373"/>
      <c r="B988" s="373"/>
      <c r="C988" s="373"/>
      <c r="D988" s="373"/>
      <c r="E988" s="373"/>
      <c r="F988" s="373"/>
      <c r="G988" s="373"/>
      <c r="H988" s="373"/>
      <c r="I988" s="373"/>
      <c r="J988" s="373"/>
      <c r="K988" s="373"/>
      <c r="L988" s="373"/>
      <c r="M988" s="373"/>
      <c r="N988" s="373"/>
      <c r="O988" s="373"/>
      <c r="P988" s="373"/>
      <c r="Q988" s="373"/>
      <c r="R988" s="373"/>
      <c r="S988" s="373"/>
      <c r="T988" s="373"/>
      <c r="U988" s="373"/>
      <c r="V988" s="373"/>
    </row>
    <row r="989" spans="1:22" ht="18" x14ac:dyDescent="0.55000000000000004">
      <c r="A989" s="373"/>
      <c r="B989" s="373"/>
      <c r="C989" s="373"/>
      <c r="D989" s="373"/>
      <c r="E989" s="373"/>
      <c r="F989" s="373"/>
      <c r="G989" s="373"/>
      <c r="H989" s="373"/>
      <c r="I989" s="373"/>
      <c r="J989" s="373"/>
      <c r="K989" s="373"/>
      <c r="L989" s="373"/>
      <c r="M989" s="373"/>
      <c r="N989" s="373"/>
      <c r="O989" s="373"/>
      <c r="P989" s="373"/>
      <c r="Q989" s="373"/>
      <c r="R989" s="373"/>
      <c r="S989" s="373"/>
      <c r="T989" s="373"/>
      <c r="U989" s="373"/>
      <c r="V989" s="373"/>
    </row>
    <row r="990" spans="1:22" ht="18" x14ac:dyDescent="0.55000000000000004">
      <c r="A990" s="373"/>
      <c r="B990" s="373"/>
      <c r="C990" s="373"/>
      <c r="D990" s="373"/>
      <c r="E990" s="373"/>
      <c r="F990" s="373"/>
      <c r="G990" s="373"/>
      <c r="H990" s="373"/>
      <c r="I990" s="373"/>
      <c r="J990" s="373"/>
      <c r="K990" s="373"/>
      <c r="L990" s="373"/>
      <c r="M990" s="373"/>
      <c r="N990" s="373"/>
      <c r="O990" s="373"/>
      <c r="P990" s="373"/>
      <c r="Q990" s="373"/>
      <c r="R990" s="373"/>
      <c r="S990" s="373"/>
      <c r="T990" s="373"/>
      <c r="U990" s="373"/>
      <c r="V990" s="373"/>
    </row>
    <row r="991" spans="1:22" ht="18" x14ac:dyDescent="0.55000000000000004">
      <c r="A991" s="373"/>
      <c r="B991" s="373"/>
      <c r="C991" s="373"/>
      <c r="D991" s="373"/>
      <c r="E991" s="373"/>
      <c r="F991" s="373"/>
      <c r="G991" s="373"/>
      <c r="H991" s="373"/>
      <c r="I991" s="373"/>
      <c r="J991" s="373"/>
      <c r="K991" s="373"/>
      <c r="L991" s="373"/>
      <c r="M991" s="373"/>
      <c r="N991" s="373"/>
      <c r="O991" s="373"/>
      <c r="P991" s="373"/>
      <c r="Q991" s="373"/>
      <c r="R991" s="373"/>
      <c r="S991" s="373"/>
      <c r="T991" s="373"/>
      <c r="U991" s="373"/>
      <c r="V991" s="373"/>
    </row>
    <row r="992" spans="1:22" ht="18" x14ac:dyDescent="0.55000000000000004">
      <c r="A992" s="373"/>
      <c r="B992" s="373"/>
      <c r="C992" s="373"/>
      <c r="D992" s="373"/>
      <c r="E992" s="373"/>
      <c r="F992" s="373"/>
      <c r="G992" s="373"/>
      <c r="H992" s="373"/>
      <c r="I992" s="373"/>
      <c r="J992" s="373"/>
      <c r="K992" s="373"/>
      <c r="L992" s="373"/>
      <c r="M992" s="373"/>
      <c r="N992" s="373"/>
      <c r="O992" s="373"/>
      <c r="P992" s="373"/>
      <c r="Q992" s="373"/>
      <c r="R992" s="373"/>
      <c r="S992" s="373"/>
      <c r="T992" s="373"/>
      <c r="U992" s="373"/>
      <c r="V992" s="373"/>
    </row>
    <row r="993" spans="1:22" ht="18" x14ac:dyDescent="0.55000000000000004">
      <c r="A993" s="373"/>
      <c r="B993" s="373"/>
      <c r="C993" s="373"/>
      <c r="D993" s="373"/>
      <c r="E993" s="373"/>
      <c r="F993" s="373"/>
      <c r="G993" s="373"/>
      <c r="H993" s="373"/>
      <c r="I993" s="373"/>
      <c r="J993" s="373"/>
      <c r="K993" s="373"/>
      <c r="L993" s="373"/>
      <c r="M993" s="373"/>
      <c r="N993" s="373"/>
      <c r="O993" s="373"/>
      <c r="P993" s="373"/>
      <c r="Q993" s="373"/>
      <c r="R993" s="373"/>
      <c r="S993" s="373"/>
      <c r="T993" s="373"/>
      <c r="U993" s="373"/>
      <c r="V993" s="373"/>
    </row>
    <row r="994" spans="1:22" ht="18" x14ac:dyDescent="0.55000000000000004">
      <c r="A994" s="373"/>
      <c r="B994" s="373"/>
      <c r="C994" s="373"/>
      <c r="D994" s="373"/>
      <c r="E994" s="373"/>
      <c r="F994" s="373"/>
      <c r="G994" s="373"/>
      <c r="H994" s="373"/>
      <c r="I994" s="373"/>
      <c r="J994" s="373"/>
      <c r="K994" s="373"/>
      <c r="L994" s="373"/>
      <c r="M994" s="373"/>
      <c r="N994" s="373"/>
      <c r="O994" s="373"/>
      <c r="P994" s="373"/>
      <c r="Q994" s="373"/>
      <c r="R994" s="373"/>
      <c r="S994" s="373"/>
      <c r="T994" s="373"/>
      <c r="U994" s="373"/>
      <c r="V994" s="373"/>
    </row>
    <row r="995" spans="1:22" ht="18" x14ac:dyDescent="0.55000000000000004">
      <c r="A995" s="373"/>
      <c r="B995" s="373"/>
      <c r="C995" s="373"/>
      <c r="D995" s="373"/>
      <c r="E995" s="373"/>
      <c r="F995" s="373"/>
      <c r="G995" s="373"/>
      <c r="H995" s="373"/>
      <c r="I995" s="373"/>
      <c r="J995" s="373"/>
      <c r="K995" s="373"/>
      <c r="L995" s="373"/>
      <c r="M995" s="373"/>
      <c r="N995" s="373"/>
      <c r="O995" s="373"/>
      <c r="P995" s="373"/>
      <c r="Q995" s="373"/>
      <c r="R995" s="373"/>
      <c r="S995" s="373"/>
      <c r="T995" s="373"/>
      <c r="U995" s="373"/>
      <c r="V995" s="373"/>
    </row>
    <row r="996" spans="1:22" ht="18" x14ac:dyDescent="0.55000000000000004">
      <c r="A996" s="373"/>
      <c r="B996" s="373"/>
      <c r="C996" s="373"/>
      <c r="D996" s="373"/>
      <c r="E996" s="373"/>
      <c r="F996" s="373"/>
      <c r="G996" s="373"/>
      <c r="H996" s="373"/>
      <c r="I996" s="373"/>
      <c r="J996" s="373"/>
      <c r="K996" s="373"/>
      <c r="L996" s="373"/>
      <c r="M996" s="373"/>
      <c r="N996" s="373"/>
      <c r="O996" s="373"/>
      <c r="P996" s="373"/>
      <c r="Q996" s="373"/>
      <c r="R996" s="373"/>
      <c r="S996" s="373"/>
      <c r="T996" s="373"/>
      <c r="U996" s="373"/>
      <c r="V996" s="373"/>
    </row>
    <row r="997" spans="1:22" ht="18" x14ac:dyDescent="0.55000000000000004">
      <c r="A997" s="373"/>
      <c r="B997" s="373"/>
      <c r="C997" s="373"/>
      <c r="D997" s="373"/>
      <c r="E997" s="373"/>
      <c r="F997" s="373"/>
      <c r="G997" s="373"/>
      <c r="H997" s="373"/>
      <c r="I997" s="373"/>
      <c r="J997" s="373"/>
      <c r="K997" s="373"/>
      <c r="L997" s="373"/>
      <c r="M997" s="373"/>
      <c r="N997" s="373"/>
      <c r="O997" s="373"/>
      <c r="P997" s="373"/>
      <c r="Q997" s="373"/>
      <c r="R997" s="373"/>
      <c r="S997" s="373"/>
      <c r="T997" s="373"/>
      <c r="U997" s="373"/>
      <c r="V997" s="373"/>
    </row>
    <row r="998" spans="1:22" ht="18" x14ac:dyDescent="0.55000000000000004">
      <c r="A998" s="373"/>
      <c r="B998" s="373"/>
      <c r="C998" s="373"/>
      <c r="D998" s="373"/>
      <c r="E998" s="373"/>
      <c r="F998" s="373"/>
      <c r="G998" s="373"/>
      <c r="H998" s="373"/>
      <c r="I998" s="373"/>
      <c r="J998" s="373"/>
      <c r="K998" s="373"/>
      <c r="L998" s="373"/>
      <c r="M998" s="373"/>
      <c r="N998" s="373"/>
      <c r="O998" s="373"/>
      <c r="P998" s="373"/>
      <c r="Q998" s="373"/>
      <c r="R998" s="373"/>
      <c r="S998" s="373"/>
      <c r="T998" s="373"/>
      <c r="U998" s="373"/>
      <c r="V998" s="373"/>
    </row>
    <row r="999" spans="1:22" ht="18" x14ac:dyDescent="0.55000000000000004">
      <c r="A999" s="373"/>
      <c r="B999" s="373"/>
      <c r="C999" s="373"/>
      <c r="D999" s="373"/>
      <c r="E999" s="373"/>
      <c r="F999" s="373"/>
      <c r="G999" s="373"/>
      <c r="H999" s="373"/>
      <c r="I999" s="373"/>
      <c r="J999" s="373"/>
      <c r="K999" s="373"/>
      <c r="L999" s="373"/>
      <c r="M999" s="373"/>
      <c r="N999" s="373"/>
      <c r="O999" s="373"/>
      <c r="P999" s="373"/>
      <c r="Q999" s="373"/>
      <c r="R999" s="373"/>
      <c r="S999" s="373"/>
      <c r="T999" s="373"/>
      <c r="U999" s="373"/>
      <c r="V999" s="373"/>
    </row>
    <row r="1000" spans="1:22" ht="18" x14ac:dyDescent="0.55000000000000004">
      <c r="A1000" s="373"/>
      <c r="B1000" s="373"/>
      <c r="C1000" s="373"/>
      <c r="D1000" s="373"/>
      <c r="E1000" s="373"/>
      <c r="F1000" s="373"/>
      <c r="G1000" s="373"/>
      <c r="H1000" s="373"/>
      <c r="I1000" s="373"/>
      <c r="J1000" s="373"/>
      <c r="K1000" s="373"/>
      <c r="L1000" s="373"/>
      <c r="M1000" s="373"/>
      <c r="N1000" s="373"/>
      <c r="O1000" s="373"/>
      <c r="P1000" s="373"/>
      <c r="Q1000" s="373"/>
      <c r="R1000" s="373"/>
      <c r="S1000" s="373"/>
      <c r="T1000" s="373"/>
      <c r="U1000" s="373"/>
      <c r="V1000" s="373"/>
    </row>
    <row r="1001" spans="1:22" ht="18" x14ac:dyDescent="0.55000000000000004">
      <c r="A1001" s="373"/>
      <c r="B1001" s="373"/>
      <c r="C1001" s="373"/>
      <c r="D1001" s="373"/>
      <c r="E1001" s="373"/>
      <c r="F1001" s="373"/>
      <c r="G1001" s="373"/>
      <c r="H1001" s="373"/>
      <c r="I1001" s="373"/>
      <c r="J1001" s="373"/>
      <c r="K1001" s="373"/>
      <c r="L1001" s="373"/>
      <c r="M1001" s="373"/>
      <c r="N1001" s="373"/>
      <c r="O1001" s="373"/>
      <c r="P1001" s="373"/>
      <c r="Q1001" s="373"/>
      <c r="R1001" s="373"/>
      <c r="S1001" s="373"/>
      <c r="T1001" s="373"/>
      <c r="U1001" s="373"/>
      <c r="V1001" s="373"/>
    </row>
    <row r="1002" spans="1:22" ht="18" x14ac:dyDescent="0.55000000000000004">
      <c r="A1002" s="373"/>
      <c r="B1002" s="373"/>
      <c r="C1002" s="373"/>
      <c r="D1002" s="373"/>
      <c r="E1002" s="373"/>
      <c r="F1002" s="373"/>
      <c r="G1002" s="373"/>
      <c r="H1002" s="373"/>
      <c r="I1002" s="373"/>
      <c r="J1002" s="373"/>
      <c r="K1002" s="373"/>
      <c r="L1002" s="373"/>
      <c r="M1002" s="373"/>
      <c r="N1002" s="373"/>
      <c r="O1002" s="373"/>
      <c r="P1002" s="373"/>
      <c r="Q1002" s="373"/>
      <c r="R1002" s="373"/>
      <c r="S1002" s="373"/>
      <c r="T1002" s="373"/>
      <c r="U1002" s="373"/>
      <c r="V1002" s="373"/>
    </row>
    <row r="1003" spans="1:22" ht="18" x14ac:dyDescent="0.55000000000000004">
      <c r="A1003" s="373"/>
      <c r="B1003" s="373"/>
      <c r="C1003" s="373"/>
      <c r="D1003" s="373"/>
      <c r="E1003" s="373"/>
      <c r="F1003" s="373"/>
      <c r="G1003" s="373"/>
      <c r="H1003" s="373"/>
      <c r="I1003" s="373"/>
      <c r="J1003" s="373"/>
      <c r="K1003" s="373"/>
      <c r="L1003" s="373"/>
      <c r="M1003" s="373"/>
      <c r="N1003" s="373"/>
      <c r="O1003" s="373"/>
      <c r="P1003" s="373"/>
      <c r="Q1003" s="373"/>
      <c r="R1003" s="373"/>
      <c r="S1003" s="373"/>
      <c r="T1003" s="373"/>
      <c r="U1003" s="373"/>
      <c r="V1003" s="373"/>
    </row>
    <row r="1004" spans="1:22" ht="18" x14ac:dyDescent="0.55000000000000004">
      <c r="A1004" s="373"/>
      <c r="B1004" s="373"/>
      <c r="C1004" s="373"/>
      <c r="D1004" s="373"/>
      <c r="E1004" s="373"/>
      <c r="F1004" s="373"/>
      <c r="G1004" s="373"/>
      <c r="H1004" s="373"/>
      <c r="I1004" s="373"/>
      <c r="J1004" s="373"/>
      <c r="K1004" s="373"/>
      <c r="L1004" s="373"/>
      <c r="M1004" s="373"/>
      <c r="N1004" s="373"/>
      <c r="O1004" s="373"/>
      <c r="P1004" s="373"/>
      <c r="Q1004" s="373"/>
      <c r="R1004" s="373"/>
      <c r="S1004" s="373"/>
      <c r="T1004" s="373"/>
      <c r="U1004" s="373"/>
      <c r="V1004" s="373"/>
    </row>
  </sheetData>
  <mergeCells count="1">
    <mergeCell ref="C1:E1"/>
  </mergeCells>
  <printOptions horizontalCentered="1" gridLines="1"/>
  <pageMargins left="0.7" right="0.7" top="0.75" bottom="0.75" header="0" footer="0"/>
  <pageSetup fitToHeight="0" pageOrder="overThenDown" orientation="portrait" cellComments="atEnd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outlinePr summaryBelow="0" summaryRight="0"/>
    <pageSetUpPr fitToPage="1"/>
  </sheetPr>
  <dimension ref="A1:AF1000"/>
  <sheetViews>
    <sheetView workbookViewId="0"/>
  </sheetViews>
  <sheetFormatPr defaultColWidth="14.42578125" defaultRowHeight="15.75" customHeight="1" x14ac:dyDescent="0.4"/>
  <cols>
    <col min="1" max="1" width="10" customWidth="1"/>
    <col min="2" max="2" width="13.85546875" customWidth="1"/>
    <col min="3" max="4" width="3.140625" customWidth="1"/>
    <col min="5" max="5" width="8.28515625" customWidth="1"/>
    <col min="6" max="6" width="6.85546875" customWidth="1"/>
    <col min="7" max="7" width="7" customWidth="1"/>
    <col min="8" max="8" width="7.7109375" customWidth="1"/>
    <col min="9" max="9" width="9" customWidth="1"/>
    <col min="10" max="10" width="12.85546875" customWidth="1"/>
    <col min="11" max="11" width="13.28515625" customWidth="1"/>
    <col min="12" max="12" width="9.28515625" customWidth="1"/>
    <col min="13" max="13" width="12" customWidth="1"/>
    <col min="15" max="15" width="16.140625" customWidth="1"/>
    <col min="16" max="16" width="3.140625" customWidth="1"/>
    <col min="17" max="17" width="4" customWidth="1"/>
    <col min="18" max="18" width="10.28515625" customWidth="1"/>
    <col min="19" max="19" width="6.85546875" customWidth="1"/>
    <col min="20" max="20" width="8.140625" customWidth="1"/>
    <col min="21" max="21" width="14.42578125" customWidth="1"/>
    <col min="22" max="22" width="13" customWidth="1"/>
    <col min="23" max="23" width="13.140625" customWidth="1"/>
    <col min="24" max="24" width="3.7109375" customWidth="1"/>
    <col min="25" max="25" width="7.85546875" customWidth="1"/>
    <col min="26" max="27" width="7.42578125" customWidth="1"/>
    <col min="28" max="28" width="6.5703125" customWidth="1"/>
    <col min="29" max="29" width="6.85546875" customWidth="1"/>
  </cols>
  <sheetData>
    <row r="1" spans="1:32" ht="15.75" customHeight="1" x14ac:dyDescent="0.4">
      <c r="A1" s="1" t="s">
        <v>12</v>
      </c>
      <c r="B1" s="1" t="s">
        <v>734</v>
      </c>
      <c r="C1" s="1" t="s">
        <v>8</v>
      </c>
      <c r="D1" s="1" t="s">
        <v>10</v>
      </c>
      <c r="E1" s="1" t="s">
        <v>2671</v>
      </c>
      <c r="F1" s="1" t="s">
        <v>2672</v>
      </c>
      <c r="G1" s="377" t="s">
        <v>1311</v>
      </c>
      <c r="H1" s="1" t="s">
        <v>2673</v>
      </c>
      <c r="I1" s="1" t="s">
        <v>2674</v>
      </c>
      <c r="J1" s="1" t="s">
        <v>2675</v>
      </c>
      <c r="K1" s="1"/>
      <c r="L1" s="1" t="s">
        <v>2676</v>
      </c>
      <c r="M1" s="1" t="s">
        <v>2677</v>
      </c>
      <c r="N1" s="1"/>
      <c r="O1" s="378" t="s">
        <v>734</v>
      </c>
      <c r="P1" s="1" t="s">
        <v>8</v>
      </c>
      <c r="Q1" s="379" t="s">
        <v>10</v>
      </c>
      <c r="R1" s="1" t="s">
        <v>2678</v>
      </c>
      <c r="S1" s="1" t="s">
        <v>2672</v>
      </c>
      <c r="T1" s="1" t="s">
        <v>2679</v>
      </c>
      <c r="U1" s="1" t="s">
        <v>2680</v>
      </c>
      <c r="V1" s="1" t="s">
        <v>2681</v>
      </c>
      <c r="W1" s="1" t="s">
        <v>2682</v>
      </c>
      <c r="X1" s="1"/>
      <c r="Y1" s="1" t="s">
        <v>2683</v>
      </c>
      <c r="Z1" s="1" t="s">
        <v>2684</v>
      </c>
      <c r="AA1" s="1" t="s">
        <v>2685</v>
      </c>
      <c r="AB1" s="1"/>
      <c r="AC1" s="1"/>
      <c r="AD1" s="1"/>
      <c r="AE1" s="1"/>
      <c r="AF1" s="1"/>
    </row>
    <row r="2" spans="1:32" ht="15.75" customHeight="1" x14ac:dyDescent="0.4">
      <c r="A2" s="380">
        <v>44651</v>
      </c>
      <c r="B2" s="381" t="s">
        <v>1003</v>
      </c>
      <c r="C2" s="381">
        <v>35</v>
      </c>
      <c r="D2" s="381">
        <v>50</v>
      </c>
      <c r="E2" s="381" t="s">
        <v>2686</v>
      </c>
      <c r="F2" s="381">
        <v>6</v>
      </c>
      <c r="G2" s="382">
        <v>2.568287037037037E-2</v>
      </c>
      <c r="H2" s="382">
        <f t="shared" ref="H2:I2" si="0">G2/C2</f>
        <v>7.337962962962963E-4</v>
      </c>
      <c r="I2" s="382">
        <f t="shared" si="0"/>
        <v>1.4675925925925926E-5</v>
      </c>
      <c r="J2" s="383">
        <f t="shared" ref="J2:J36" si="1">I2/F2</f>
        <v>2.4459876543209876E-6</v>
      </c>
      <c r="L2" s="8" t="s">
        <v>2686</v>
      </c>
      <c r="M2" s="384">
        <f t="shared" ref="M2:M8" ca="1" si="2">AVERAGEIF(E:H,L2,H:H)</f>
        <v>7.7749368686868691E-4</v>
      </c>
      <c r="O2" s="303" t="s">
        <v>432</v>
      </c>
      <c r="P2" s="8">
        <v>23</v>
      </c>
      <c r="Q2" s="31">
        <v>15</v>
      </c>
      <c r="R2" s="8" t="s">
        <v>2686</v>
      </c>
      <c r="S2" s="8">
        <v>5</v>
      </c>
      <c r="T2" s="8">
        <v>15</v>
      </c>
      <c r="U2" s="384">
        <f t="shared" ref="U2:U8" si="3">((0.0005024083469+(Q2*0.000005260641303))/6)*S2*P2</f>
        <v>1.1141927690195834E-2</v>
      </c>
      <c r="V2" s="384">
        <f t="shared" ref="V2:V8" ca="1" si="4">P2*M2</f>
        <v>1.78823547979798E-2</v>
      </c>
      <c r="W2" s="384">
        <f t="shared" ref="W2:W8" si="5">U2*T2</f>
        <v>0.1671289153529375</v>
      </c>
      <c r="Y2" s="384">
        <f t="shared" ref="Y2:Y8" si="6">SUM(U2,U12,U22,U32,U42,U52)</f>
        <v>1.1141927690195834E-2</v>
      </c>
      <c r="Z2" s="384">
        <v>5.9340277777777777E-2</v>
      </c>
      <c r="AA2" s="385">
        <f>(Z2-Y2)/Y2</f>
        <v>4.3258537865035089</v>
      </c>
      <c r="AC2" s="1" t="s">
        <v>2687</v>
      </c>
      <c r="AD2" s="386">
        <v>0.48958333333333331</v>
      </c>
    </row>
    <row r="3" spans="1:32" ht="15.75" customHeight="1" x14ac:dyDescent="0.4">
      <c r="A3" s="387">
        <v>44651</v>
      </c>
      <c r="B3" s="8" t="s">
        <v>1003</v>
      </c>
      <c r="C3" s="8">
        <v>35</v>
      </c>
      <c r="D3" s="8">
        <v>50</v>
      </c>
      <c r="E3" s="8" t="s">
        <v>2688</v>
      </c>
      <c r="F3" s="8">
        <v>3</v>
      </c>
      <c r="G3" s="384">
        <v>1.2812499999999999E-2</v>
      </c>
      <c r="H3" s="384">
        <f t="shared" ref="H3:I3" si="7">G3/C3</f>
        <v>3.6607142857142855E-4</v>
      </c>
      <c r="I3" s="384">
        <f t="shared" si="7"/>
        <v>7.321428571428571E-6</v>
      </c>
      <c r="J3" s="388">
        <f t="shared" si="1"/>
        <v>2.4404761904761905E-6</v>
      </c>
      <c r="L3" s="8" t="s">
        <v>2688</v>
      </c>
      <c r="M3" s="384">
        <f t="shared" ca="1" si="2"/>
        <v>3.8839210557960554E-4</v>
      </c>
      <c r="O3" s="303" t="str">
        <f t="shared" ref="O3:Q3" si="8">O2</f>
        <v>Radiant Sky</v>
      </c>
      <c r="P3" s="8">
        <f t="shared" si="8"/>
        <v>23</v>
      </c>
      <c r="Q3" s="31">
        <f t="shared" si="8"/>
        <v>15</v>
      </c>
      <c r="R3" s="8" t="s">
        <v>2688</v>
      </c>
      <c r="S3" s="8">
        <v>5</v>
      </c>
      <c r="T3" s="8">
        <v>0</v>
      </c>
      <c r="U3" s="384">
        <f t="shared" si="3"/>
        <v>1.1141927690195834E-2</v>
      </c>
      <c r="V3" s="384">
        <f t="shared" ca="1" si="4"/>
        <v>8.9330184283309272E-3</v>
      </c>
      <c r="W3" s="384">
        <f t="shared" si="5"/>
        <v>0</v>
      </c>
      <c r="Y3" s="384">
        <f t="shared" si="6"/>
        <v>1.1141927690195834E-2</v>
      </c>
      <c r="Z3" s="384"/>
      <c r="AA3" s="385">
        <f t="shared" ref="AA3:AA8" si="9">(Z3-U3)/U3</f>
        <v>-1</v>
      </c>
    </row>
    <row r="4" spans="1:32" ht="15.75" customHeight="1" x14ac:dyDescent="0.4">
      <c r="A4" s="387">
        <v>44651</v>
      </c>
      <c r="B4" s="8" t="s">
        <v>1003</v>
      </c>
      <c r="C4" s="8">
        <v>35</v>
      </c>
      <c r="D4" s="8">
        <v>50</v>
      </c>
      <c r="E4" s="8" t="s">
        <v>5</v>
      </c>
      <c r="F4" s="8">
        <v>6</v>
      </c>
      <c r="G4" s="384">
        <v>2.5590277777777778E-2</v>
      </c>
      <c r="H4" s="384">
        <f t="shared" ref="H4:I4" si="10">G4/C4</f>
        <v>7.311507936507937E-4</v>
      </c>
      <c r="I4" s="384">
        <f t="shared" si="10"/>
        <v>1.4623015873015874E-5</v>
      </c>
      <c r="J4" s="388">
        <f t="shared" si="1"/>
        <v>2.4371693121693124E-6</v>
      </c>
      <c r="L4" s="8" t="s">
        <v>5</v>
      </c>
      <c r="M4" s="384">
        <f t="shared" ca="1" si="2"/>
        <v>7.7559148027898028E-4</v>
      </c>
      <c r="O4" s="303" t="str">
        <f t="shared" ref="O4:Q4" si="11">O3</f>
        <v>Radiant Sky</v>
      </c>
      <c r="P4" s="8">
        <f t="shared" si="11"/>
        <v>23</v>
      </c>
      <c r="Q4" s="31">
        <f t="shared" si="11"/>
        <v>15</v>
      </c>
      <c r="R4" s="8" t="s">
        <v>5</v>
      </c>
      <c r="S4" s="8">
        <v>5</v>
      </c>
      <c r="T4" s="8">
        <v>1</v>
      </c>
      <c r="U4" s="384">
        <f t="shared" si="3"/>
        <v>1.1141927690195834E-2</v>
      </c>
      <c r="V4" s="384">
        <f t="shared" ca="1" si="4"/>
        <v>1.7838604046416545E-2</v>
      </c>
      <c r="W4" s="384">
        <f t="shared" si="5"/>
        <v>1.1141927690195834E-2</v>
      </c>
      <c r="Y4" s="384">
        <f t="shared" si="6"/>
        <v>1.1141927690195834E-2</v>
      </c>
      <c r="Z4" s="384"/>
      <c r="AA4" s="385">
        <f t="shared" si="9"/>
        <v>-1</v>
      </c>
      <c r="AC4" s="1" t="s">
        <v>2626</v>
      </c>
      <c r="AD4" s="384">
        <f>SUM(W9,W19,W29,W39,W49,W59)</f>
        <v>0.20278308396156419</v>
      </c>
    </row>
    <row r="5" spans="1:32" ht="15.75" customHeight="1" x14ac:dyDescent="0.4">
      <c r="A5" s="387">
        <v>44651</v>
      </c>
      <c r="B5" s="8" t="s">
        <v>1003</v>
      </c>
      <c r="C5" s="8">
        <v>35</v>
      </c>
      <c r="D5" s="8">
        <v>50</v>
      </c>
      <c r="E5" s="8" t="s">
        <v>2690</v>
      </c>
      <c r="F5" s="8">
        <v>9</v>
      </c>
      <c r="G5" s="384">
        <v>3.7951388888888889E-2</v>
      </c>
      <c r="H5" s="384">
        <f t="shared" ref="H5:I5" si="12">G5/C5</f>
        <v>1.0843253968253969E-3</v>
      </c>
      <c r="I5" s="384">
        <f t="shared" si="12"/>
        <v>2.1686507936507937E-5</v>
      </c>
      <c r="J5" s="388">
        <f t="shared" si="1"/>
        <v>2.4096119929453261E-6</v>
      </c>
      <c r="L5" s="8" t="s">
        <v>2690</v>
      </c>
      <c r="M5" s="384">
        <f t="shared" ca="1" si="2"/>
        <v>1.1519450456950458E-3</v>
      </c>
      <c r="O5" s="303" t="str">
        <f t="shared" ref="O5:Q5" si="13">O4</f>
        <v>Radiant Sky</v>
      </c>
      <c r="P5" s="8">
        <f t="shared" si="13"/>
        <v>23</v>
      </c>
      <c r="Q5" s="31">
        <f t="shared" si="13"/>
        <v>15</v>
      </c>
      <c r="R5" s="8" t="s">
        <v>2690</v>
      </c>
      <c r="S5" s="8">
        <v>4</v>
      </c>
      <c r="T5" s="8">
        <v>1</v>
      </c>
      <c r="U5" s="384">
        <f t="shared" si="3"/>
        <v>8.9135421521566675E-3</v>
      </c>
      <c r="V5" s="384">
        <f t="shared" ca="1" si="4"/>
        <v>2.6494736050986054E-2</v>
      </c>
      <c r="W5" s="384">
        <f t="shared" si="5"/>
        <v>8.9135421521566675E-3</v>
      </c>
      <c r="Y5" s="384">
        <f t="shared" si="6"/>
        <v>8.9135421521566675E-3</v>
      </c>
      <c r="Z5" s="384"/>
      <c r="AA5" s="385">
        <f t="shared" si="9"/>
        <v>-1</v>
      </c>
    </row>
    <row r="6" spans="1:32" ht="15.75" customHeight="1" x14ac:dyDescent="0.4">
      <c r="A6" s="387">
        <v>44651</v>
      </c>
      <c r="B6" s="8" t="s">
        <v>1003</v>
      </c>
      <c r="C6" s="8">
        <v>35</v>
      </c>
      <c r="D6" s="8">
        <v>50</v>
      </c>
      <c r="E6" s="8" t="s">
        <v>2691</v>
      </c>
      <c r="F6" s="8">
        <v>2</v>
      </c>
      <c r="G6" s="384">
        <v>8.3912037037037045E-3</v>
      </c>
      <c r="H6" s="384">
        <f t="shared" ref="H6:I6" si="14">G6/C6</f>
        <v>2.3974867724867727E-4</v>
      </c>
      <c r="I6" s="384">
        <f t="shared" si="14"/>
        <v>4.7949735449735454E-6</v>
      </c>
      <c r="J6" s="388">
        <f t="shared" si="1"/>
        <v>2.3974867724867727E-6</v>
      </c>
      <c r="L6" s="8" t="s">
        <v>2691</v>
      </c>
      <c r="M6" s="384">
        <f t="shared" ca="1" si="2"/>
        <v>2.5454169672919674E-4</v>
      </c>
      <c r="O6" s="303" t="str">
        <f t="shared" ref="O6:Q6" si="15">O5</f>
        <v>Radiant Sky</v>
      </c>
      <c r="P6" s="8">
        <f t="shared" si="15"/>
        <v>23</v>
      </c>
      <c r="Q6" s="31">
        <f t="shared" si="15"/>
        <v>15</v>
      </c>
      <c r="R6" s="8" t="s">
        <v>2691</v>
      </c>
      <c r="S6" s="8">
        <v>2</v>
      </c>
      <c r="T6" s="8">
        <v>1</v>
      </c>
      <c r="U6" s="384">
        <f t="shared" si="3"/>
        <v>4.4567710760783337E-3</v>
      </c>
      <c r="V6" s="384">
        <f t="shared" ca="1" si="4"/>
        <v>5.8544590247715253E-3</v>
      </c>
      <c r="W6" s="384">
        <f t="shared" si="5"/>
        <v>4.4567710760783337E-3</v>
      </c>
      <c r="Y6" s="384">
        <f t="shared" si="6"/>
        <v>4.4567710760783337E-3</v>
      </c>
      <c r="Z6" s="384"/>
      <c r="AA6" s="385">
        <f t="shared" si="9"/>
        <v>-1</v>
      </c>
      <c r="AC6" s="1" t="s">
        <v>2692</v>
      </c>
      <c r="AD6" s="386">
        <f>AD2+AD4</f>
        <v>0.69236641729489756</v>
      </c>
    </row>
    <row r="7" spans="1:32" ht="15.75" customHeight="1" x14ac:dyDescent="0.4">
      <c r="A7" s="387">
        <v>44651</v>
      </c>
      <c r="B7" s="8" t="s">
        <v>1003</v>
      </c>
      <c r="C7" s="8">
        <v>35</v>
      </c>
      <c r="D7" s="8">
        <v>50</v>
      </c>
      <c r="E7" s="8" t="s">
        <v>2693</v>
      </c>
      <c r="F7" s="8">
        <v>3</v>
      </c>
      <c r="G7" s="384">
        <v>1.173611111111111E-2</v>
      </c>
      <c r="H7" s="384">
        <f t="shared" ref="H7:I7" si="16">G7/C7</f>
        <v>3.3531746031746027E-4</v>
      </c>
      <c r="I7" s="384">
        <f t="shared" si="16"/>
        <v>6.706349206349205E-6</v>
      </c>
      <c r="J7" s="388">
        <f t="shared" si="1"/>
        <v>2.235449735449735E-6</v>
      </c>
      <c r="L7" s="8" t="s">
        <v>2693</v>
      </c>
      <c r="M7" s="384">
        <f t="shared" ca="1" si="2"/>
        <v>3.4933937590187587E-4</v>
      </c>
      <c r="O7" s="303" t="str">
        <f t="shared" ref="O7:Q7" si="17">O6</f>
        <v>Radiant Sky</v>
      </c>
      <c r="P7" s="8">
        <f t="shared" si="17"/>
        <v>23</v>
      </c>
      <c r="Q7" s="31">
        <f t="shared" si="17"/>
        <v>15</v>
      </c>
      <c r="R7" s="8" t="s">
        <v>2693</v>
      </c>
      <c r="S7" s="8">
        <v>3</v>
      </c>
      <c r="T7" s="8">
        <v>1</v>
      </c>
      <c r="U7" s="384">
        <f t="shared" si="3"/>
        <v>6.6851566141175002E-3</v>
      </c>
      <c r="V7" s="384">
        <f t="shared" ca="1" si="4"/>
        <v>8.0348056457431455E-3</v>
      </c>
      <c r="W7" s="384">
        <f t="shared" si="5"/>
        <v>6.6851566141175002E-3</v>
      </c>
      <c r="Y7" s="384">
        <f t="shared" si="6"/>
        <v>6.6851566141175002E-3</v>
      </c>
      <c r="Z7" s="384"/>
      <c r="AA7" s="385">
        <f t="shared" si="9"/>
        <v>-1</v>
      </c>
    </row>
    <row r="8" spans="1:32" ht="15.75" customHeight="1" x14ac:dyDescent="0.4">
      <c r="A8" s="389">
        <v>44651</v>
      </c>
      <c r="B8" s="302" t="s">
        <v>1003</v>
      </c>
      <c r="C8" s="302">
        <v>35</v>
      </c>
      <c r="D8" s="302">
        <v>50</v>
      </c>
      <c r="E8" s="302" t="s">
        <v>2694</v>
      </c>
      <c r="F8" s="302">
        <v>2</v>
      </c>
      <c r="G8" s="390">
        <v>2.2569444444444442E-3</v>
      </c>
      <c r="H8" s="390">
        <f t="shared" ref="H8:I8" si="18">G8/C8</f>
        <v>6.4484126984126977E-5</v>
      </c>
      <c r="I8" s="390">
        <f t="shared" si="18"/>
        <v>1.2896825396825396E-6</v>
      </c>
      <c r="J8" s="391">
        <f t="shared" si="1"/>
        <v>6.4484126984126978E-7</v>
      </c>
      <c r="L8" s="8" t="s">
        <v>2694</v>
      </c>
      <c r="M8" s="384">
        <f t="shared" ca="1" si="2"/>
        <v>7.0320015632515645E-5</v>
      </c>
      <c r="O8" s="303" t="str">
        <f t="shared" ref="O8:Q8" si="19">O7</f>
        <v>Radiant Sky</v>
      </c>
      <c r="P8" s="8">
        <f t="shared" si="19"/>
        <v>23</v>
      </c>
      <c r="Q8" s="31">
        <f t="shared" si="19"/>
        <v>15</v>
      </c>
      <c r="R8" s="8" t="s">
        <v>2694</v>
      </c>
      <c r="S8" s="8">
        <v>2</v>
      </c>
      <c r="T8" s="8">
        <v>1</v>
      </c>
      <c r="U8" s="384">
        <f t="shared" si="3"/>
        <v>4.4567710760783337E-3</v>
      </c>
      <c r="V8" s="384">
        <f t="shared" ca="1" si="4"/>
        <v>1.6173603595478598E-3</v>
      </c>
      <c r="W8" s="384">
        <f t="shared" si="5"/>
        <v>4.4567710760783337E-3</v>
      </c>
      <c r="Y8" s="384">
        <f t="shared" si="6"/>
        <v>4.4567710760783337E-3</v>
      </c>
      <c r="Z8" s="384"/>
      <c r="AA8" s="385">
        <f t="shared" si="9"/>
        <v>-1</v>
      </c>
    </row>
    <row r="9" spans="1:32" ht="15.75" customHeight="1" x14ac:dyDescent="0.4">
      <c r="A9" s="380">
        <v>44652</v>
      </c>
      <c r="B9" s="381" t="s">
        <v>1280</v>
      </c>
      <c r="C9" s="381">
        <v>11</v>
      </c>
      <c r="D9" s="381">
        <v>14</v>
      </c>
      <c r="E9" s="381" t="s">
        <v>2686</v>
      </c>
      <c r="F9" s="381">
        <v>6</v>
      </c>
      <c r="G9" s="382">
        <v>6.7129629629629631E-3</v>
      </c>
      <c r="H9" s="382">
        <f t="shared" ref="H9:I9" si="20">G9/C9</f>
        <v>6.1026936026936033E-4</v>
      </c>
      <c r="I9" s="382">
        <f t="shared" si="20"/>
        <v>4.3590668590668595E-5</v>
      </c>
      <c r="J9" s="383">
        <f t="shared" si="1"/>
        <v>7.2651114317780995E-6</v>
      </c>
      <c r="O9" s="303"/>
      <c r="Q9" s="31"/>
      <c r="S9" s="392"/>
      <c r="U9" s="392"/>
      <c r="V9" s="392" t="s">
        <v>2626</v>
      </c>
      <c r="W9" s="384">
        <f>SUM(W2:W8)</f>
        <v>0.20278308396156419</v>
      </c>
      <c r="Y9" s="384"/>
      <c r="Z9" s="384"/>
      <c r="AB9" s="392"/>
    </row>
    <row r="10" spans="1:32" ht="15.75" customHeight="1" x14ac:dyDescent="0.4">
      <c r="A10" s="387">
        <v>44652</v>
      </c>
      <c r="B10" s="8" t="s">
        <v>1280</v>
      </c>
      <c r="C10" s="8">
        <v>11</v>
      </c>
      <c r="D10" s="8">
        <v>14</v>
      </c>
      <c r="E10" s="8" t="s">
        <v>2688</v>
      </c>
      <c r="F10" s="8">
        <v>3</v>
      </c>
      <c r="G10" s="384">
        <v>3.3333333333333335E-3</v>
      </c>
      <c r="H10" s="384">
        <f t="shared" ref="H10:I10" si="21">G10/C10</f>
        <v>3.0303030303030303E-4</v>
      </c>
      <c r="I10" s="384">
        <f t="shared" si="21"/>
        <v>2.1645021645021645E-5</v>
      </c>
      <c r="J10" s="388">
        <f t="shared" si="1"/>
        <v>7.215007215007215E-6</v>
      </c>
      <c r="O10" s="303"/>
      <c r="Q10" s="31"/>
    </row>
    <row r="11" spans="1:32" x14ac:dyDescent="0.45">
      <c r="A11" s="387">
        <v>44652</v>
      </c>
      <c r="B11" s="8" t="s">
        <v>1280</v>
      </c>
      <c r="C11" s="8">
        <v>11</v>
      </c>
      <c r="D11" s="8">
        <v>14</v>
      </c>
      <c r="E11" s="8" t="s">
        <v>5</v>
      </c>
      <c r="F11" s="8">
        <v>6</v>
      </c>
      <c r="G11" s="384">
        <v>6.7361111111111111E-3</v>
      </c>
      <c r="H11" s="384">
        <f t="shared" ref="H11:I11" si="22">G11/C11</f>
        <v>6.1237373737373741E-4</v>
      </c>
      <c r="I11" s="384">
        <f t="shared" si="22"/>
        <v>4.3740981240981241E-5</v>
      </c>
      <c r="J11" s="388">
        <f t="shared" si="1"/>
        <v>7.2901635401635404E-6</v>
      </c>
      <c r="O11" s="378" t="s">
        <v>734</v>
      </c>
      <c r="P11" s="1" t="s">
        <v>8</v>
      </c>
      <c r="Q11" s="379" t="s">
        <v>10</v>
      </c>
      <c r="R11" s="1" t="s">
        <v>2678</v>
      </c>
      <c r="S11" s="1" t="s">
        <v>2672</v>
      </c>
      <c r="T11" s="1" t="s">
        <v>2679</v>
      </c>
      <c r="U11" s="1" t="s">
        <v>2680</v>
      </c>
      <c r="V11" s="1" t="s">
        <v>2681</v>
      </c>
      <c r="W11" s="1" t="s">
        <v>2682</v>
      </c>
      <c r="Y11" s="393"/>
      <c r="Z11" s="384"/>
      <c r="AA11" s="394"/>
    </row>
    <row r="12" spans="1:32" x14ac:dyDescent="0.45">
      <c r="A12" s="387">
        <v>44652</v>
      </c>
      <c r="B12" s="8" t="s">
        <v>1280</v>
      </c>
      <c r="C12" s="8">
        <v>11</v>
      </c>
      <c r="D12" s="8">
        <v>14</v>
      </c>
      <c r="E12" s="8" t="s">
        <v>2690</v>
      </c>
      <c r="F12" s="8">
        <v>9</v>
      </c>
      <c r="G12" s="384">
        <v>9.9884259259259266E-3</v>
      </c>
      <c r="H12" s="384">
        <f t="shared" ref="H12:I12" si="23">G12/C12</f>
        <v>9.080387205387206E-4</v>
      </c>
      <c r="I12" s="384">
        <f t="shared" si="23"/>
        <v>6.4859908609908609E-5</v>
      </c>
      <c r="J12" s="388">
        <f t="shared" si="1"/>
        <v>7.206656512212068E-6</v>
      </c>
      <c r="O12" s="303" t="s">
        <v>672</v>
      </c>
      <c r="P12" s="8">
        <v>0</v>
      </c>
      <c r="Q12" s="31">
        <v>0</v>
      </c>
      <c r="R12" s="8" t="s">
        <v>2686</v>
      </c>
      <c r="S12" s="8">
        <f t="shared" ref="S12:T12" si="24">S2</f>
        <v>5</v>
      </c>
      <c r="T12" s="8">
        <f t="shared" si="24"/>
        <v>15</v>
      </c>
      <c r="U12" s="384">
        <f t="shared" ref="U12:U18" si="25">((0.0005024083469+(Q12*0.000005260641303))/6)*S12*P12</f>
        <v>0</v>
      </c>
      <c r="V12" s="8">
        <f t="shared" ref="V12:V18" si="26">P12*M12</f>
        <v>0</v>
      </c>
      <c r="W12" s="384">
        <f t="shared" ref="W12:W18" si="27">U12*T12</f>
        <v>0</v>
      </c>
      <c r="Y12" s="384"/>
      <c r="Z12" s="394">
        <v>4.8016011180000001E-4</v>
      </c>
      <c r="AA12" s="394">
        <f>Z12*(1+AA2)</f>
        <v>2.5572625495579784E-3</v>
      </c>
    </row>
    <row r="13" spans="1:32" x14ac:dyDescent="0.45">
      <c r="A13" s="387">
        <v>44652</v>
      </c>
      <c r="B13" s="8" t="s">
        <v>1280</v>
      </c>
      <c r="C13" s="8">
        <v>11</v>
      </c>
      <c r="D13" s="8">
        <v>14</v>
      </c>
      <c r="E13" s="8" t="s">
        <v>2691</v>
      </c>
      <c r="F13" s="8">
        <v>2</v>
      </c>
      <c r="G13" s="384">
        <v>2.1990740740740742E-3</v>
      </c>
      <c r="H13" s="384">
        <f t="shared" ref="H13:I13" si="28">G13/C13</f>
        <v>1.9991582491582494E-4</v>
      </c>
      <c r="I13" s="384">
        <f t="shared" si="28"/>
        <v>1.4279701779701781E-5</v>
      </c>
      <c r="J13" s="388">
        <f t="shared" si="1"/>
        <v>7.1398508898508904E-6</v>
      </c>
      <c r="O13" s="303" t="str">
        <f t="shared" ref="O13:Q13" si="29">O12</f>
        <v>Texan Sky II</v>
      </c>
      <c r="P13" s="8">
        <f t="shared" si="29"/>
        <v>0</v>
      </c>
      <c r="Q13" s="31">
        <f t="shared" si="29"/>
        <v>0</v>
      </c>
      <c r="R13" s="8" t="s">
        <v>2688</v>
      </c>
      <c r="S13" s="8">
        <f t="shared" ref="S13:T13" si="30">S3</f>
        <v>5</v>
      </c>
      <c r="T13" s="8">
        <f t="shared" si="30"/>
        <v>0</v>
      </c>
      <c r="U13" s="384">
        <f t="shared" si="25"/>
        <v>0</v>
      </c>
      <c r="V13" s="8">
        <f t="shared" si="26"/>
        <v>0</v>
      </c>
      <c r="W13" s="384">
        <f t="shared" si="27"/>
        <v>0</v>
      </c>
      <c r="Y13" s="384"/>
      <c r="Z13" s="394">
        <v>5.0868540159999996E-6</v>
      </c>
      <c r="AA13" s="394">
        <f>Z13*(1+AA2)</f>
        <v>2.7091840722504179E-5</v>
      </c>
    </row>
    <row r="14" spans="1:32" ht="15.75" customHeight="1" x14ac:dyDescent="0.4">
      <c r="A14" s="387">
        <v>44652</v>
      </c>
      <c r="B14" s="8" t="s">
        <v>1280</v>
      </c>
      <c r="C14" s="8">
        <v>11</v>
      </c>
      <c r="D14" s="8">
        <v>14</v>
      </c>
      <c r="E14" s="8" t="s">
        <v>2693</v>
      </c>
      <c r="F14" s="8">
        <v>3</v>
      </c>
      <c r="G14" s="384">
        <v>2.7777777777777779E-3</v>
      </c>
      <c r="H14" s="384">
        <f t="shared" ref="H14:I14" si="31">G14/C14</f>
        <v>2.5252525252525253E-4</v>
      </c>
      <c r="I14" s="384">
        <f t="shared" si="31"/>
        <v>1.8037518037518038E-5</v>
      </c>
      <c r="J14" s="388">
        <f t="shared" si="1"/>
        <v>6.0125060125060122E-6</v>
      </c>
      <c r="O14" s="303" t="str">
        <f t="shared" ref="O14:Q14" si="32">O13</f>
        <v>Texan Sky II</v>
      </c>
      <c r="P14" s="8">
        <f t="shared" si="32"/>
        <v>0</v>
      </c>
      <c r="Q14" s="31">
        <f t="shared" si="32"/>
        <v>0</v>
      </c>
      <c r="R14" s="8" t="s">
        <v>5</v>
      </c>
      <c r="S14" s="8">
        <f t="shared" ref="S14:T14" si="33">S4</f>
        <v>5</v>
      </c>
      <c r="T14" s="8">
        <f t="shared" si="33"/>
        <v>1</v>
      </c>
      <c r="U14" s="384">
        <f t="shared" si="25"/>
        <v>0</v>
      </c>
      <c r="V14" s="8">
        <f t="shared" si="26"/>
        <v>0</v>
      </c>
      <c r="W14" s="384">
        <f t="shared" si="27"/>
        <v>0</v>
      </c>
      <c r="Y14" s="384"/>
      <c r="Z14" s="384"/>
    </row>
    <row r="15" spans="1:32" ht="15.75" customHeight="1" x14ac:dyDescent="0.4">
      <c r="A15" s="389">
        <v>44652</v>
      </c>
      <c r="B15" s="302" t="s">
        <v>1280</v>
      </c>
      <c r="C15" s="302">
        <v>11</v>
      </c>
      <c r="D15" s="302">
        <v>14</v>
      </c>
      <c r="E15" s="302" t="s">
        <v>2694</v>
      </c>
      <c r="F15" s="302">
        <v>2</v>
      </c>
      <c r="G15" s="390">
        <v>6.5972222222222224E-4</v>
      </c>
      <c r="H15" s="390">
        <f t="shared" ref="H15:I15" si="34">G15/C15</f>
        <v>5.9974747474747475E-5</v>
      </c>
      <c r="I15" s="390">
        <f t="shared" si="34"/>
        <v>4.2839105339105339E-6</v>
      </c>
      <c r="J15" s="391">
        <f t="shared" si="1"/>
        <v>2.141955266955267E-6</v>
      </c>
      <c r="O15" s="303" t="str">
        <f t="shared" ref="O15:Q15" si="35">O14</f>
        <v>Texan Sky II</v>
      </c>
      <c r="P15" s="8">
        <f t="shared" si="35"/>
        <v>0</v>
      </c>
      <c r="Q15" s="31">
        <f t="shared" si="35"/>
        <v>0</v>
      </c>
      <c r="R15" s="8" t="s">
        <v>2690</v>
      </c>
      <c r="S15" s="8">
        <f t="shared" ref="S15:T15" si="36">S5</f>
        <v>4</v>
      </c>
      <c r="T15" s="8">
        <f t="shared" si="36"/>
        <v>1</v>
      </c>
      <c r="U15" s="384">
        <f t="shared" si="25"/>
        <v>0</v>
      </c>
      <c r="V15" s="8">
        <f t="shared" si="26"/>
        <v>0</v>
      </c>
      <c r="W15" s="384">
        <f t="shared" si="27"/>
        <v>0</v>
      </c>
      <c r="Y15" s="384"/>
      <c r="Z15" s="384"/>
      <c r="AA15" s="385"/>
    </row>
    <row r="16" spans="1:32" ht="15.75" customHeight="1" x14ac:dyDescent="0.4">
      <c r="A16" s="380">
        <v>44652</v>
      </c>
      <c r="B16" s="381" t="s">
        <v>755</v>
      </c>
      <c r="C16" s="381">
        <v>40</v>
      </c>
      <c r="D16" s="381">
        <v>70</v>
      </c>
      <c r="E16" s="381" t="s">
        <v>2686</v>
      </c>
      <c r="F16" s="381">
        <v>6</v>
      </c>
      <c r="G16" s="382">
        <v>3.4583333333333334E-2</v>
      </c>
      <c r="H16" s="382">
        <f t="shared" ref="H16:I16" si="37">G16/C16</f>
        <v>8.6458333333333331E-4</v>
      </c>
      <c r="I16" s="382">
        <f t="shared" si="37"/>
        <v>1.2351190476190475E-5</v>
      </c>
      <c r="J16" s="383">
        <f t="shared" si="1"/>
        <v>2.058531746031746E-6</v>
      </c>
      <c r="O16" s="303" t="str">
        <f t="shared" ref="O16:Q16" si="38">O15</f>
        <v>Texan Sky II</v>
      </c>
      <c r="P16" s="8">
        <f t="shared" si="38"/>
        <v>0</v>
      </c>
      <c r="Q16" s="31">
        <f t="shared" si="38"/>
        <v>0</v>
      </c>
      <c r="R16" s="8" t="s">
        <v>2691</v>
      </c>
      <c r="S16" s="8">
        <f t="shared" ref="S16:T16" si="39">S6</f>
        <v>2</v>
      </c>
      <c r="T16" s="8">
        <f t="shared" si="39"/>
        <v>1</v>
      </c>
      <c r="U16" s="384">
        <f t="shared" si="25"/>
        <v>0</v>
      </c>
      <c r="V16" s="8">
        <f t="shared" si="26"/>
        <v>0</v>
      </c>
      <c r="W16" s="384">
        <f t="shared" si="27"/>
        <v>0</v>
      </c>
      <c r="Y16" s="384"/>
      <c r="Z16" s="384"/>
      <c r="AA16" s="385"/>
    </row>
    <row r="17" spans="1:27" ht="15.75" customHeight="1" x14ac:dyDescent="0.4">
      <c r="A17" s="387">
        <v>44652</v>
      </c>
      <c r="B17" s="8" t="s">
        <v>755</v>
      </c>
      <c r="C17" s="8">
        <v>40</v>
      </c>
      <c r="D17" s="8">
        <v>70</v>
      </c>
      <c r="E17" s="8" t="s">
        <v>2688</v>
      </c>
      <c r="F17" s="8">
        <v>3</v>
      </c>
      <c r="G17" s="384">
        <v>1.726851851851852E-2</v>
      </c>
      <c r="H17" s="384">
        <f t="shared" ref="H17:I17" si="40">G17/C17</f>
        <v>4.3171296296296301E-4</v>
      </c>
      <c r="I17" s="384">
        <f t="shared" si="40"/>
        <v>6.1673280423280432E-6</v>
      </c>
      <c r="J17" s="388">
        <f t="shared" si="1"/>
        <v>2.0557760141093476E-6</v>
      </c>
      <c r="O17" s="303" t="str">
        <f t="shared" ref="O17:Q17" si="41">O16</f>
        <v>Texan Sky II</v>
      </c>
      <c r="P17" s="8">
        <f t="shared" si="41"/>
        <v>0</v>
      </c>
      <c r="Q17" s="31">
        <f t="shared" si="41"/>
        <v>0</v>
      </c>
      <c r="R17" s="8" t="s">
        <v>2693</v>
      </c>
      <c r="S17" s="8">
        <f t="shared" ref="S17:T17" si="42">S7</f>
        <v>3</v>
      </c>
      <c r="T17" s="8">
        <f t="shared" si="42"/>
        <v>1</v>
      </c>
      <c r="U17" s="384">
        <f t="shared" si="25"/>
        <v>0</v>
      </c>
      <c r="V17" s="8">
        <f t="shared" si="26"/>
        <v>0</v>
      </c>
      <c r="W17" s="384">
        <f t="shared" si="27"/>
        <v>0</v>
      </c>
      <c r="Y17" s="384"/>
      <c r="Z17" s="384"/>
      <c r="AA17" s="385"/>
    </row>
    <row r="18" spans="1:27" ht="15.75" customHeight="1" x14ac:dyDescent="0.4">
      <c r="A18" s="387">
        <v>44652</v>
      </c>
      <c r="B18" s="8" t="s">
        <v>755</v>
      </c>
      <c r="C18" s="8">
        <v>40</v>
      </c>
      <c r="D18" s="8">
        <v>70</v>
      </c>
      <c r="E18" s="8" t="s">
        <v>5</v>
      </c>
      <c r="F18" s="8">
        <v>6</v>
      </c>
      <c r="G18" s="384">
        <v>3.4467592592592591E-2</v>
      </c>
      <c r="H18" s="384">
        <f t="shared" ref="H18:I18" si="43">G18/C18</f>
        <v>8.6168981481481481E-4</v>
      </c>
      <c r="I18" s="384">
        <f t="shared" si="43"/>
        <v>1.2309854497354497E-5</v>
      </c>
      <c r="J18" s="388">
        <f t="shared" si="1"/>
        <v>2.0516424162257496E-6</v>
      </c>
      <c r="O18" s="303" t="str">
        <f t="shared" ref="O18:Q18" si="44">O17</f>
        <v>Texan Sky II</v>
      </c>
      <c r="P18" s="8">
        <f t="shared" si="44"/>
        <v>0</v>
      </c>
      <c r="Q18" s="31">
        <f t="shared" si="44"/>
        <v>0</v>
      </c>
      <c r="R18" s="8" t="s">
        <v>2694</v>
      </c>
      <c r="S18" s="8">
        <f t="shared" ref="S18:T18" si="45">S8</f>
        <v>2</v>
      </c>
      <c r="T18" s="8">
        <f t="shared" si="45"/>
        <v>1</v>
      </c>
      <c r="U18" s="384">
        <f t="shared" si="25"/>
        <v>0</v>
      </c>
      <c r="V18" s="8">
        <f t="shared" si="26"/>
        <v>0</v>
      </c>
      <c r="W18" s="384">
        <f t="shared" si="27"/>
        <v>0</v>
      </c>
    </row>
    <row r="19" spans="1:27" ht="15.75" customHeight="1" x14ac:dyDescent="0.4">
      <c r="A19" s="387">
        <v>44652</v>
      </c>
      <c r="B19" s="8" t="s">
        <v>755</v>
      </c>
      <c r="C19" s="8">
        <v>40</v>
      </c>
      <c r="D19" s="8">
        <v>70</v>
      </c>
      <c r="E19" s="8" t="s">
        <v>2690</v>
      </c>
      <c r="F19" s="8">
        <v>9</v>
      </c>
      <c r="G19" s="384">
        <v>5.1215277777777776E-2</v>
      </c>
      <c r="H19" s="384">
        <f t="shared" ref="H19:I19" si="46">G19/C19</f>
        <v>1.2803819444444444E-3</v>
      </c>
      <c r="I19" s="384">
        <f t="shared" si="46"/>
        <v>1.8291170634920634E-5</v>
      </c>
      <c r="J19" s="388">
        <f t="shared" si="1"/>
        <v>2.0323522927689593E-6</v>
      </c>
      <c r="K19" s="1"/>
      <c r="L19" s="1"/>
      <c r="M19" s="1"/>
      <c r="N19" s="1"/>
      <c r="O19" s="303"/>
      <c r="Q19" s="31"/>
      <c r="S19" s="392"/>
      <c r="U19" s="392"/>
      <c r="V19" s="392" t="s">
        <v>2626</v>
      </c>
      <c r="W19" s="384">
        <f>SUM(W12:W18)</f>
        <v>0</v>
      </c>
    </row>
    <row r="20" spans="1:27" ht="15.75" customHeight="1" x14ac:dyDescent="0.4">
      <c r="A20" s="387">
        <v>44652</v>
      </c>
      <c r="B20" s="8" t="s">
        <v>755</v>
      </c>
      <c r="C20" s="8">
        <v>40</v>
      </c>
      <c r="D20" s="8">
        <v>70</v>
      </c>
      <c r="E20" s="8" t="s">
        <v>2691</v>
      </c>
      <c r="F20" s="8">
        <v>2</v>
      </c>
      <c r="G20" s="384">
        <v>1.1307870370370371E-2</v>
      </c>
      <c r="H20" s="384">
        <f t="shared" ref="H20:I20" si="47">G20/C20</f>
        <v>2.8269675925925928E-4</v>
      </c>
      <c r="I20" s="384">
        <f t="shared" si="47"/>
        <v>4.0385251322751329E-6</v>
      </c>
      <c r="J20" s="388">
        <f t="shared" si="1"/>
        <v>2.0192625661375664E-6</v>
      </c>
      <c r="O20" s="303"/>
      <c r="Q20" s="31"/>
      <c r="V20" s="392"/>
    </row>
    <row r="21" spans="1:27" ht="15.75" customHeight="1" x14ac:dyDescent="0.4">
      <c r="A21" s="387">
        <v>44652</v>
      </c>
      <c r="B21" s="8" t="s">
        <v>755</v>
      </c>
      <c r="C21" s="8">
        <v>40</v>
      </c>
      <c r="D21" s="8">
        <v>70</v>
      </c>
      <c r="E21" s="8" t="s">
        <v>2693</v>
      </c>
      <c r="F21" s="8">
        <v>3</v>
      </c>
      <c r="G21" s="384">
        <v>1.5902777777777776E-2</v>
      </c>
      <c r="H21" s="384">
        <f t="shared" ref="H21:I21" si="48">G21/C21</f>
        <v>3.9756944444444442E-4</v>
      </c>
      <c r="I21" s="384">
        <f t="shared" si="48"/>
        <v>5.6795634920634918E-6</v>
      </c>
      <c r="J21" s="388">
        <f t="shared" si="1"/>
        <v>1.8931878306878306E-6</v>
      </c>
      <c r="O21" s="378" t="s">
        <v>734</v>
      </c>
      <c r="P21" s="1" t="s">
        <v>8</v>
      </c>
      <c r="Q21" s="379" t="s">
        <v>10</v>
      </c>
      <c r="R21" s="1" t="s">
        <v>2678</v>
      </c>
      <c r="S21" s="1" t="s">
        <v>2672</v>
      </c>
      <c r="T21" s="1" t="s">
        <v>2679</v>
      </c>
      <c r="U21" s="1" t="s">
        <v>2680</v>
      </c>
      <c r="V21" s="1" t="s">
        <v>2681</v>
      </c>
      <c r="W21" s="1" t="s">
        <v>2682</v>
      </c>
    </row>
    <row r="22" spans="1:27" ht="15.75" customHeight="1" x14ac:dyDescent="0.4">
      <c r="A22" s="389">
        <v>44652</v>
      </c>
      <c r="B22" s="302" t="s">
        <v>755</v>
      </c>
      <c r="C22" s="302">
        <v>40</v>
      </c>
      <c r="D22" s="302">
        <v>70</v>
      </c>
      <c r="E22" s="302" t="s">
        <v>2694</v>
      </c>
      <c r="F22" s="302">
        <v>2</v>
      </c>
      <c r="G22" s="390">
        <v>2.9398148148148148E-3</v>
      </c>
      <c r="H22" s="390">
        <f t="shared" ref="H22:I22" si="49">G22/C22</f>
        <v>7.3495370370370373E-5</v>
      </c>
      <c r="I22" s="390">
        <f t="shared" si="49"/>
        <v>1.0499338624338625E-6</v>
      </c>
      <c r="J22" s="391">
        <f t="shared" si="1"/>
        <v>5.2496693121693123E-7</v>
      </c>
      <c r="O22" s="303" t="s">
        <v>235</v>
      </c>
      <c r="P22" s="8">
        <v>0</v>
      </c>
      <c r="Q22" s="31">
        <v>0</v>
      </c>
      <c r="R22" s="8" t="s">
        <v>2686</v>
      </c>
      <c r="S22" s="8">
        <f t="shared" ref="S22:T22" si="50">S12</f>
        <v>5</v>
      </c>
      <c r="T22" s="8">
        <f t="shared" si="50"/>
        <v>15</v>
      </c>
      <c r="U22" s="384">
        <f t="shared" ref="U22:U28" si="51">((0.0005024083469+(Q22*0.000005260641303))/6)*S22*P22</f>
        <v>0</v>
      </c>
      <c r="V22" s="8">
        <f t="shared" ref="V22:V28" si="52">P22*M22</f>
        <v>0</v>
      </c>
      <c r="W22" s="384">
        <f t="shared" ref="W22:W28" si="53">U22*T22</f>
        <v>0</v>
      </c>
    </row>
    <row r="23" spans="1:27" ht="15.75" customHeight="1" x14ac:dyDescent="0.4">
      <c r="A23" s="380">
        <v>44656</v>
      </c>
      <c r="B23" s="381" t="s">
        <v>2695</v>
      </c>
      <c r="C23" s="381">
        <v>30</v>
      </c>
      <c r="D23" s="381">
        <v>50</v>
      </c>
      <c r="E23" s="381" t="s">
        <v>2686</v>
      </c>
      <c r="F23" s="381">
        <v>6</v>
      </c>
      <c r="G23" s="382">
        <v>2.238425925925926E-2</v>
      </c>
      <c r="H23" s="382">
        <f t="shared" ref="H23:I23" si="54">G23/C23</f>
        <v>7.4614197530864198E-4</v>
      </c>
      <c r="I23" s="382">
        <f t="shared" si="54"/>
        <v>1.4922839506172839E-5</v>
      </c>
      <c r="J23" s="383">
        <f t="shared" si="1"/>
        <v>2.4871399176954731E-6</v>
      </c>
      <c r="O23" s="303" t="str">
        <f t="shared" ref="O23:Q23" si="55">O22</f>
        <v>Bluebonnets Spring</v>
      </c>
      <c r="P23" s="8">
        <f t="shared" si="55"/>
        <v>0</v>
      </c>
      <c r="Q23" s="31">
        <f t="shared" si="55"/>
        <v>0</v>
      </c>
      <c r="R23" s="8" t="s">
        <v>2688</v>
      </c>
      <c r="S23" s="8">
        <f t="shared" ref="S23:T23" si="56">S13</f>
        <v>5</v>
      </c>
      <c r="T23" s="8">
        <f t="shared" si="56"/>
        <v>0</v>
      </c>
      <c r="U23" s="384">
        <f t="shared" si="51"/>
        <v>0</v>
      </c>
      <c r="V23" s="8">
        <f t="shared" si="52"/>
        <v>0</v>
      </c>
      <c r="W23" s="384">
        <f t="shared" si="53"/>
        <v>0</v>
      </c>
    </row>
    <row r="24" spans="1:27" ht="15.75" customHeight="1" x14ac:dyDescent="0.4">
      <c r="A24" s="387">
        <v>44656</v>
      </c>
      <c r="B24" s="8" t="s">
        <v>2695</v>
      </c>
      <c r="C24" s="8">
        <v>30</v>
      </c>
      <c r="D24" s="8">
        <v>50</v>
      </c>
      <c r="E24" s="8" t="s">
        <v>2688</v>
      </c>
      <c r="F24" s="8">
        <v>3</v>
      </c>
      <c r="G24" s="384">
        <v>1.1215277777777777E-2</v>
      </c>
      <c r="H24" s="384">
        <f t="shared" ref="H24:I24" si="57">G24/C24</f>
        <v>3.7384259259259255E-4</v>
      </c>
      <c r="I24" s="384">
        <f t="shared" si="57"/>
        <v>7.4768518518518512E-6</v>
      </c>
      <c r="J24" s="388">
        <f t="shared" si="1"/>
        <v>2.4922839506172836E-6</v>
      </c>
      <c r="O24" s="303" t="str">
        <f t="shared" ref="O24:Q24" si="58">O23</f>
        <v>Bluebonnets Spring</v>
      </c>
      <c r="P24" s="8">
        <f t="shared" si="58"/>
        <v>0</v>
      </c>
      <c r="Q24" s="31">
        <f t="shared" si="58"/>
        <v>0</v>
      </c>
      <c r="R24" s="8" t="s">
        <v>5</v>
      </c>
      <c r="S24" s="8">
        <f t="shared" ref="S24:T24" si="59">S14</f>
        <v>5</v>
      </c>
      <c r="T24" s="8">
        <f t="shared" si="59"/>
        <v>1</v>
      </c>
      <c r="U24" s="384">
        <f t="shared" si="51"/>
        <v>0</v>
      </c>
      <c r="V24" s="8">
        <f t="shared" si="52"/>
        <v>0</v>
      </c>
      <c r="W24" s="384">
        <f t="shared" si="53"/>
        <v>0</v>
      </c>
    </row>
    <row r="25" spans="1:27" ht="15.75" customHeight="1" x14ac:dyDescent="0.4">
      <c r="A25" s="387">
        <v>44656</v>
      </c>
      <c r="B25" s="8" t="s">
        <v>2695</v>
      </c>
      <c r="C25" s="8">
        <v>30</v>
      </c>
      <c r="D25" s="8">
        <v>50</v>
      </c>
      <c r="E25" s="8" t="s">
        <v>5</v>
      </c>
      <c r="F25" s="8">
        <v>6</v>
      </c>
      <c r="G25" s="384">
        <v>2.2303240740740742E-2</v>
      </c>
      <c r="H25" s="384">
        <f t="shared" ref="H25:I25" si="60">G25/C25</f>
        <v>7.4344135802469134E-4</v>
      </c>
      <c r="I25" s="384">
        <f t="shared" si="60"/>
        <v>1.4868827160493827E-5</v>
      </c>
      <c r="J25" s="388">
        <f t="shared" si="1"/>
        <v>2.4781378600823047E-6</v>
      </c>
      <c r="O25" s="303" t="str">
        <f t="shared" ref="O25:Q25" si="61">O24</f>
        <v>Bluebonnets Spring</v>
      </c>
      <c r="P25" s="8">
        <f t="shared" si="61"/>
        <v>0</v>
      </c>
      <c r="Q25" s="31">
        <f t="shared" si="61"/>
        <v>0</v>
      </c>
      <c r="R25" s="8" t="s">
        <v>2690</v>
      </c>
      <c r="S25" s="8">
        <f t="shared" ref="S25:T25" si="62">S15</f>
        <v>4</v>
      </c>
      <c r="T25" s="8">
        <f t="shared" si="62"/>
        <v>1</v>
      </c>
      <c r="U25" s="384">
        <f t="shared" si="51"/>
        <v>0</v>
      </c>
      <c r="V25" s="8">
        <f t="shared" si="52"/>
        <v>0</v>
      </c>
      <c r="W25" s="384">
        <f t="shared" si="53"/>
        <v>0</v>
      </c>
    </row>
    <row r="26" spans="1:27" ht="15.75" customHeight="1" x14ac:dyDescent="0.4">
      <c r="A26" s="387">
        <v>44656</v>
      </c>
      <c r="B26" s="8" t="s">
        <v>2695</v>
      </c>
      <c r="C26" s="8">
        <v>30</v>
      </c>
      <c r="D26" s="8">
        <v>50</v>
      </c>
      <c r="E26" s="8" t="s">
        <v>2690</v>
      </c>
      <c r="F26" s="8">
        <v>9</v>
      </c>
      <c r="G26" s="384">
        <v>3.3159722222222222E-2</v>
      </c>
      <c r="H26" s="384">
        <f t="shared" ref="H26:I26" si="63">G26/C26</f>
        <v>1.1053240740740741E-3</v>
      </c>
      <c r="I26" s="384">
        <f t="shared" si="63"/>
        <v>2.2106481481481483E-5</v>
      </c>
      <c r="J26" s="388">
        <f t="shared" si="1"/>
        <v>2.4562757201646091E-6</v>
      </c>
      <c r="O26" s="303" t="str">
        <f t="shared" ref="O26:Q26" si="64">O25</f>
        <v>Bluebonnets Spring</v>
      </c>
      <c r="P26" s="8">
        <f t="shared" si="64"/>
        <v>0</v>
      </c>
      <c r="Q26" s="31">
        <f t="shared" si="64"/>
        <v>0</v>
      </c>
      <c r="R26" s="8" t="s">
        <v>2691</v>
      </c>
      <c r="S26" s="8">
        <f t="shared" ref="S26:T26" si="65">S16</f>
        <v>2</v>
      </c>
      <c r="T26" s="8">
        <f t="shared" si="65"/>
        <v>1</v>
      </c>
      <c r="U26" s="384">
        <f t="shared" si="51"/>
        <v>0</v>
      </c>
      <c r="V26" s="8">
        <f t="shared" si="52"/>
        <v>0</v>
      </c>
      <c r="W26" s="384">
        <f t="shared" si="53"/>
        <v>0</v>
      </c>
    </row>
    <row r="27" spans="1:27" ht="15.75" customHeight="1" x14ac:dyDescent="0.4">
      <c r="A27" s="387">
        <v>44656</v>
      </c>
      <c r="B27" s="8" t="s">
        <v>2695</v>
      </c>
      <c r="C27" s="8">
        <v>30</v>
      </c>
      <c r="D27" s="8">
        <v>50</v>
      </c>
      <c r="E27" s="8" t="s">
        <v>2691</v>
      </c>
      <c r="F27" s="8">
        <v>2</v>
      </c>
      <c r="G27" s="384">
        <v>7.3379629629629628E-3</v>
      </c>
      <c r="H27" s="384">
        <f t="shared" ref="H27:I27" si="66">G27/C27</f>
        <v>2.4459876543209879E-4</v>
      </c>
      <c r="I27" s="384">
        <f t="shared" si="66"/>
        <v>4.8919753086419753E-6</v>
      </c>
      <c r="J27" s="388">
        <f t="shared" si="1"/>
        <v>2.4459876543209876E-6</v>
      </c>
      <c r="O27" s="303" t="str">
        <f t="shared" ref="O27:Q27" si="67">O26</f>
        <v>Bluebonnets Spring</v>
      </c>
      <c r="P27" s="8">
        <f t="shared" si="67"/>
        <v>0</v>
      </c>
      <c r="Q27" s="31">
        <f t="shared" si="67"/>
        <v>0</v>
      </c>
      <c r="R27" s="8" t="s">
        <v>2693</v>
      </c>
      <c r="S27" s="8">
        <f t="shared" ref="S27:T27" si="68">S17</f>
        <v>3</v>
      </c>
      <c r="T27" s="8">
        <f t="shared" si="68"/>
        <v>1</v>
      </c>
      <c r="U27" s="384">
        <f t="shared" si="51"/>
        <v>0</v>
      </c>
      <c r="V27" s="8">
        <f t="shared" si="52"/>
        <v>0</v>
      </c>
      <c r="W27" s="384">
        <f t="shared" si="53"/>
        <v>0</v>
      </c>
    </row>
    <row r="28" spans="1:27" ht="15.75" customHeight="1" x14ac:dyDescent="0.4">
      <c r="A28" s="387">
        <v>44656</v>
      </c>
      <c r="B28" s="8" t="s">
        <v>2695</v>
      </c>
      <c r="C28" s="8">
        <v>30</v>
      </c>
      <c r="D28" s="8">
        <v>50</v>
      </c>
      <c r="E28" s="8" t="s">
        <v>2693</v>
      </c>
      <c r="F28" s="8">
        <v>3</v>
      </c>
      <c r="G28" s="384">
        <v>1.0150462962962964E-2</v>
      </c>
      <c r="H28" s="384">
        <f t="shared" ref="H28:I28" si="69">G28/C28</f>
        <v>3.3834876543209876E-4</v>
      </c>
      <c r="I28" s="384">
        <f t="shared" si="69"/>
        <v>6.7669753086419751E-6</v>
      </c>
      <c r="J28" s="388">
        <f t="shared" si="1"/>
        <v>2.2556584362139917E-6</v>
      </c>
      <c r="L28" s="395"/>
      <c r="M28" s="395"/>
      <c r="O28" s="303" t="str">
        <f t="shared" ref="O28:Q28" si="70">O27</f>
        <v>Bluebonnets Spring</v>
      </c>
      <c r="P28" s="8">
        <f t="shared" si="70"/>
        <v>0</v>
      </c>
      <c r="Q28" s="31">
        <f t="shared" si="70"/>
        <v>0</v>
      </c>
      <c r="R28" s="8" t="s">
        <v>2694</v>
      </c>
      <c r="S28" s="8">
        <f t="shared" ref="S28:T28" si="71">S18</f>
        <v>2</v>
      </c>
      <c r="T28" s="8">
        <f t="shared" si="71"/>
        <v>1</v>
      </c>
      <c r="U28" s="384">
        <f t="shared" si="51"/>
        <v>0</v>
      </c>
      <c r="V28" s="395">
        <f t="shared" si="52"/>
        <v>0</v>
      </c>
      <c r="W28" s="384">
        <f t="shared" si="53"/>
        <v>0</v>
      </c>
    </row>
    <row r="29" spans="1:27" ht="15.75" customHeight="1" x14ac:dyDescent="0.4">
      <c r="A29" s="389">
        <v>44656</v>
      </c>
      <c r="B29" s="302" t="s">
        <v>2695</v>
      </c>
      <c r="C29" s="302">
        <v>30</v>
      </c>
      <c r="D29" s="302">
        <v>50</v>
      </c>
      <c r="E29" s="302" t="s">
        <v>2694</v>
      </c>
      <c r="F29" s="302">
        <v>2</v>
      </c>
      <c r="G29" s="390">
        <v>2.0486111111111113E-3</v>
      </c>
      <c r="H29" s="390">
        <f t="shared" ref="H29:I29" si="72">G29/C29</f>
        <v>6.8287037037037044E-5</v>
      </c>
      <c r="I29" s="390">
        <f t="shared" si="72"/>
        <v>1.3657407407407408E-6</v>
      </c>
      <c r="J29" s="391">
        <f t="shared" si="1"/>
        <v>6.8287037037037039E-7</v>
      </c>
      <c r="L29" s="395"/>
      <c r="M29" s="395"/>
      <c r="O29" s="303"/>
      <c r="Q29" s="31"/>
      <c r="S29" s="392"/>
      <c r="U29" s="392"/>
      <c r="V29" s="392" t="s">
        <v>2626</v>
      </c>
      <c r="W29" s="384">
        <f>SUM(W22:W28)</f>
        <v>0</v>
      </c>
    </row>
    <row r="30" spans="1:27" ht="13.15" x14ac:dyDescent="0.4">
      <c r="A30" s="380">
        <v>44657</v>
      </c>
      <c r="B30" s="381" t="s">
        <v>563</v>
      </c>
      <c r="C30" s="381">
        <v>24</v>
      </c>
      <c r="D30" s="381">
        <v>30</v>
      </c>
      <c r="E30" s="381" t="s">
        <v>2686</v>
      </c>
      <c r="F30" s="381">
        <v>6</v>
      </c>
      <c r="G30" s="382">
        <v>2.238425925925926E-2</v>
      </c>
      <c r="H30" s="382">
        <f t="shared" ref="H30:I30" si="73">G30/C30</f>
        <v>9.326774691358025E-4</v>
      </c>
      <c r="I30" s="382">
        <f t="shared" si="73"/>
        <v>3.1089248971193413E-5</v>
      </c>
      <c r="J30" s="383">
        <f t="shared" si="1"/>
        <v>5.1815414951989025E-6</v>
      </c>
      <c r="O30" s="303"/>
      <c r="Q30" s="31"/>
    </row>
    <row r="31" spans="1:27" ht="13.15" x14ac:dyDescent="0.4">
      <c r="A31" s="387">
        <v>44657</v>
      </c>
      <c r="B31" s="8" t="s">
        <v>563</v>
      </c>
      <c r="C31" s="8">
        <v>24</v>
      </c>
      <c r="D31" s="8">
        <v>30</v>
      </c>
      <c r="E31" s="8" t="s">
        <v>2688</v>
      </c>
      <c r="F31" s="8">
        <v>3</v>
      </c>
      <c r="G31" s="384">
        <v>1.1215277777777777E-2</v>
      </c>
      <c r="H31" s="384">
        <f t="shared" ref="H31:I31" si="74">G31/C31</f>
        <v>4.6730324074074073E-4</v>
      </c>
      <c r="I31" s="384">
        <f t="shared" si="74"/>
        <v>1.5576774691358024E-5</v>
      </c>
      <c r="J31" s="388">
        <f t="shared" si="1"/>
        <v>5.1922582304526744E-6</v>
      </c>
      <c r="M31" s="395"/>
      <c r="O31" s="378" t="s">
        <v>734</v>
      </c>
      <c r="P31" s="1" t="s">
        <v>8</v>
      </c>
      <c r="Q31" s="379" t="s">
        <v>10</v>
      </c>
      <c r="R31" s="1" t="s">
        <v>2678</v>
      </c>
      <c r="S31" s="1" t="s">
        <v>2672</v>
      </c>
      <c r="T31" s="1" t="s">
        <v>2679</v>
      </c>
      <c r="U31" s="1" t="s">
        <v>2680</v>
      </c>
      <c r="V31" s="1" t="s">
        <v>2681</v>
      </c>
      <c r="W31" s="1" t="s">
        <v>2682</v>
      </c>
    </row>
    <row r="32" spans="1:27" ht="13.15" x14ac:dyDescent="0.4">
      <c r="A32" s="387">
        <v>44657</v>
      </c>
      <c r="B32" s="8" t="s">
        <v>563</v>
      </c>
      <c r="C32" s="8">
        <v>24</v>
      </c>
      <c r="D32" s="8">
        <v>30</v>
      </c>
      <c r="E32" s="8" t="s">
        <v>5</v>
      </c>
      <c r="F32" s="8">
        <v>6</v>
      </c>
      <c r="G32" s="384">
        <v>2.2303240740740742E-2</v>
      </c>
      <c r="H32" s="384">
        <f t="shared" ref="H32:I32" si="75">G32/C32</f>
        <v>9.2930169753086423E-4</v>
      </c>
      <c r="I32" s="384">
        <f t="shared" si="75"/>
        <v>3.0976723251028806E-5</v>
      </c>
      <c r="J32" s="388">
        <f t="shared" si="1"/>
        <v>5.1627872085048013E-6</v>
      </c>
      <c r="M32" s="395"/>
      <c r="O32" s="303" t="s">
        <v>574</v>
      </c>
      <c r="P32" s="8">
        <v>0</v>
      </c>
      <c r="Q32" s="31">
        <v>0</v>
      </c>
      <c r="R32" s="8" t="s">
        <v>2686</v>
      </c>
      <c r="S32" s="8">
        <f t="shared" ref="S32:T32" si="76">S22</f>
        <v>5</v>
      </c>
      <c r="T32" s="8">
        <f t="shared" si="76"/>
        <v>15</v>
      </c>
      <c r="U32" s="384">
        <f t="shared" ref="U32:U38" si="77">((0.0005024083469+(Q32*0.000005260641303))/6)*S32*P32</f>
        <v>0</v>
      </c>
      <c r="V32" s="395">
        <f t="shared" ref="V32:V38" si="78">P32*M32</f>
        <v>0</v>
      </c>
      <c r="W32" s="384">
        <f t="shared" ref="W32:W38" si="79">U32*T32</f>
        <v>0</v>
      </c>
    </row>
    <row r="33" spans="1:23" ht="13.15" x14ac:dyDescent="0.4">
      <c r="A33" s="387">
        <v>44657</v>
      </c>
      <c r="B33" s="8" t="s">
        <v>563</v>
      </c>
      <c r="C33" s="8">
        <v>24</v>
      </c>
      <c r="D33" s="8">
        <v>30</v>
      </c>
      <c r="E33" s="8" t="s">
        <v>2690</v>
      </c>
      <c r="F33" s="8">
        <v>9</v>
      </c>
      <c r="G33" s="384">
        <v>3.3159722222222222E-2</v>
      </c>
      <c r="H33" s="384">
        <f t="shared" ref="H33:I33" si="80">G33/C33</f>
        <v>1.3816550925925925E-3</v>
      </c>
      <c r="I33" s="384">
        <f t="shared" si="80"/>
        <v>4.6055169753086417E-5</v>
      </c>
      <c r="J33" s="388">
        <f t="shared" si="1"/>
        <v>5.1172410836762685E-6</v>
      </c>
      <c r="M33" s="395"/>
      <c r="O33" s="303" t="str">
        <f t="shared" ref="O33:Q33" si="81">O32</f>
        <v>Lilies on the Lake</v>
      </c>
      <c r="P33" s="8">
        <f t="shared" si="81"/>
        <v>0</v>
      </c>
      <c r="Q33" s="31">
        <f t="shared" si="81"/>
        <v>0</v>
      </c>
      <c r="R33" s="8" t="s">
        <v>2688</v>
      </c>
      <c r="S33" s="8">
        <f t="shared" ref="S33:T33" si="82">S23</f>
        <v>5</v>
      </c>
      <c r="T33" s="8">
        <f t="shared" si="82"/>
        <v>0</v>
      </c>
      <c r="U33" s="384">
        <f t="shared" si="77"/>
        <v>0</v>
      </c>
      <c r="V33" s="395">
        <f t="shared" si="78"/>
        <v>0</v>
      </c>
      <c r="W33" s="384">
        <f t="shared" si="79"/>
        <v>0</v>
      </c>
    </row>
    <row r="34" spans="1:23" ht="13.15" x14ac:dyDescent="0.4">
      <c r="A34" s="387">
        <v>44657</v>
      </c>
      <c r="B34" s="8" t="s">
        <v>563</v>
      </c>
      <c r="C34" s="8">
        <v>24</v>
      </c>
      <c r="D34" s="8">
        <v>30</v>
      </c>
      <c r="E34" s="8" t="s">
        <v>2691</v>
      </c>
      <c r="F34" s="8">
        <v>2</v>
      </c>
      <c r="G34" s="384">
        <v>7.3379629629629628E-3</v>
      </c>
      <c r="H34" s="384">
        <f t="shared" ref="H34:I34" si="83">G34/C34</f>
        <v>3.0574845679012347E-4</v>
      </c>
      <c r="I34" s="384">
        <f t="shared" si="83"/>
        <v>1.0191615226337449E-5</v>
      </c>
      <c r="J34" s="388">
        <f t="shared" si="1"/>
        <v>5.0958076131687247E-6</v>
      </c>
      <c r="M34" s="395"/>
      <c r="O34" s="303" t="str">
        <f t="shared" ref="O34:Q34" si="84">O33</f>
        <v>Lilies on the Lake</v>
      </c>
      <c r="P34" s="8">
        <f t="shared" si="84"/>
        <v>0</v>
      </c>
      <c r="Q34" s="31">
        <f t="shared" si="84"/>
        <v>0</v>
      </c>
      <c r="R34" s="8" t="s">
        <v>5</v>
      </c>
      <c r="S34" s="8">
        <f t="shared" ref="S34:T34" si="85">S24</f>
        <v>5</v>
      </c>
      <c r="T34" s="8">
        <f t="shared" si="85"/>
        <v>1</v>
      </c>
      <c r="U34" s="384">
        <f t="shared" si="77"/>
        <v>0</v>
      </c>
      <c r="V34" s="395">
        <f t="shared" si="78"/>
        <v>0</v>
      </c>
      <c r="W34" s="384">
        <f t="shared" si="79"/>
        <v>0</v>
      </c>
    </row>
    <row r="35" spans="1:23" ht="13.15" x14ac:dyDescent="0.4">
      <c r="A35" s="387">
        <v>44657</v>
      </c>
      <c r="B35" s="8" t="s">
        <v>563</v>
      </c>
      <c r="C35" s="8">
        <v>24</v>
      </c>
      <c r="D35" s="8">
        <v>30</v>
      </c>
      <c r="E35" s="8" t="s">
        <v>2693</v>
      </c>
      <c r="F35" s="8">
        <v>3</v>
      </c>
      <c r="G35" s="384">
        <v>1.0150462962962964E-2</v>
      </c>
      <c r="H35" s="384">
        <f t="shared" ref="H35:I35" si="86">G35/C35</f>
        <v>4.2293595679012346E-4</v>
      </c>
      <c r="I35" s="384">
        <f t="shared" si="86"/>
        <v>1.4097865226337449E-5</v>
      </c>
      <c r="J35" s="388">
        <f t="shared" si="1"/>
        <v>4.6992884087791495E-6</v>
      </c>
      <c r="M35" s="395"/>
      <c r="O35" s="303" t="str">
        <f t="shared" ref="O35:Q35" si="87">O34</f>
        <v>Lilies on the Lake</v>
      </c>
      <c r="P35" s="8">
        <f t="shared" si="87"/>
        <v>0</v>
      </c>
      <c r="Q35" s="31">
        <f t="shared" si="87"/>
        <v>0</v>
      </c>
      <c r="R35" s="8" t="s">
        <v>2690</v>
      </c>
      <c r="S35" s="8">
        <f t="shared" ref="S35:T35" si="88">S25</f>
        <v>4</v>
      </c>
      <c r="T35" s="8">
        <f t="shared" si="88"/>
        <v>1</v>
      </c>
      <c r="U35" s="384">
        <f t="shared" si="77"/>
        <v>0</v>
      </c>
      <c r="V35" s="395">
        <f t="shared" si="78"/>
        <v>0</v>
      </c>
      <c r="W35" s="384">
        <f t="shared" si="79"/>
        <v>0</v>
      </c>
    </row>
    <row r="36" spans="1:23" ht="13.15" x14ac:dyDescent="0.4">
      <c r="A36" s="389">
        <v>44657</v>
      </c>
      <c r="B36" s="302" t="s">
        <v>563</v>
      </c>
      <c r="C36" s="302">
        <v>24</v>
      </c>
      <c r="D36" s="302">
        <v>30</v>
      </c>
      <c r="E36" s="302" t="s">
        <v>2694</v>
      </c>
      <c r="F36" s="302">
        <v>2</v>
      </c>
      <c r="G36" s="390">
        <v>2.0486111111111113E-3</v>
      </c>
      <c r="H36" s="390">
        <f t="shared" ref="H36:I36" si="89">G36/C36</f>
        <v>8.5358796296296308E-5</v>
      </c>
      <c r="I36" s="390">
        <f t="shared" si="89"/>
        <v>2.8452932098765435E-6</v>
      </c>
      <c r="J36" s="391">
        <f t="shared" si="1"/>
        <v>1.4226466049382717E-6</v>
      </c>
      <c r="M36" s="395"/>
      <c r="O36" s="303" t="str">
        <f t="shared" ref="O36:Q36" si="90">O35</f>
        <v>Lilies on the Lake</v>
      </c>
      <c r="P36" s="8">
        <f t="shared" si="90"/>
        <v>0</v>
      </c>
      <c r="Q36" s="31">
        <f t="shared" si="90"/>
        <v>0</v>
      </c>
      <c r="R36" s="8" t="s">
        <v>2691</v>
      </c>
      <c r="S36" s="8">
        <f t="shared" ref="S36:T36" si="91">S26</f>
        <v>2</v>
      </c>
      <c r="T36" s="8">
        <f t="shared" si="91"/>
        <v>1</v>
      </c>
      <c r="U36" s="384">
        <f t="shared" si="77"/>
        <v>0</v>
      </c>
      <c r="V36" s="395">
        <f t="shared" si="78"/>
        <v>0</v>
      </c>
      <c r="W36" s="384">
        <f t="shared" si="79"/>
        <v>0</v>
      </c>
    </row>
    <row r="37" spans="1:23" ht="13.15" x14ac:dyDescent="0.4">
      <c r="G37" s="384"/>
      <c r="M37" s="395"/>
      <c r="O37" s="303" t="str">
        <f t="shared" ref="O37:Q37" si="92">O36</f>
        <v>Lilies on the Lake</v>
      </c>
      <c r="P37" s="8">
        <f t="shared" si="92"/>
        <v>0</v>
      </c>
      <c r="Q37" s="31">
        <f t="shared" si="92"/>
        <v>0</v>
      </c>
      <c r="R37" s="8" t="s">
        <v>2693</v>
      </c>
      <c r="S37" s="8">
        <f t="shared" ref="S37:T37" si="93">S27</f>
        <v>3</v>
      </c>
      <c r="T37" s="8">
        <f t="shared" si="93"/>
        <v>1</v>
      </c>
      <c r="U37" s="384">
        <f t="shared" si="77"/>
        <v>0</v>
      </c>
      <c r="V37" s="395">
        <f t="shared" si="78"/>
        <v>0</v>
      </c>
      <c r="W37" s="384">
        <f t="shared" si="79"/>
        <v>0</v>
      </c>
    </row>
    <row r="38" spans="1:23" ht="13.15" x14ac:dyDescent="0.4">
      <c r="G38" s="384"/>
      <c r="M38" s="395"/>
      <c r="O38" s="303" t="str">
        <f t="shared" ref="O38:Q38" si="94">O37</f>
        <v>Lilies on the Lake</v>
      </c>
      <c r="P38" s="8">
        <f t="shared" si="94"/>
        <v>0</v>
      </c>
      <c r="Q38" s="31">
        <f t="shared" si="94"/>
        <v>0</v>
      </c>
      <c r="R38" s="8" t="s">
        <v>2694</v>
      </c>
      <c r="S38" s="8">
        <f t="shared" ref="S38:T38" si="95">S28</f>
        <v>2</v>
      </c>
      <c r="T38" s="8">
        <f t="shared" si="95"/>
        <v>1</v>
      </c>
      <c r="U38" s="384">
        <f t="shared" si="77"/>
        <v>0</v>
      </c>
      <c r="V38" s="395">
        <f t="shared" si="78"/>
        <v>0</v>
      </c>
      <c r="W38" s="384">
        <f t="shared" si="79"/>
        <v>0</v>
      </c>
    </row>
    <row r="39" spans="1:23" ht="13.15" x14ac:dyDescent="0.4">
      <c r="G39" s="384"/>
      <c r="M39" s="395"/>
      <c r="O39" s="303"/>
      <c r="Q39" s="31"/>
      <c r="S39" s="392"/>
      <c r="U39" s="392"/>
      <c r="V39" s="392" t="s">
        <v>2626</v>
      </c>
      <c r="W39" s="384">
        <f>SUM(W32:W38)</f>
        <v>0</v>
      </c>
    </row>
    <row r="40" spans="1:23" ht="13.15" x14ac:dyDescent="0.4">
      <c r="G40" s="384"/>
      <c r="M40" s="395"/>
      <c r="O40" s="303"/>
      <c r="Q40" s="31"/>
      <c r="R40" s="395"/>
    </row>
    <row r="41" spans="1:23" ht="13.15" x14ac:dyDescent="0.4">
      <c r="G41" s="384"/>
      <c r="M41" s="395"/>
      <c r="O41" s="378" t="s">
        <v>734</v>
      </c>
      <c r="P41" s="1" t="s">
        <v>8</v>
      </c>
      <c r="Q41" s="379" t="s">
        <v>10</v>
      </c>
      <c r="R41" s="1" t="s">
        <v>2678</v>
      </c>
      <c r="S41" s="1" t="s">
        <v>2672</v>
      </c>
      <c r="T41" s="1" t="s">
        <v>2679</v>
      </c>
      <c r="U41" s="1" t="s">
        <v>2680</v>
      </c>
      <c r="V41" s="1" t="s">
        <v>2681</v>
      </c>
      <c r="W41" s="1" t="s">
        <v>2682</v>
      </c>
    </row>
    <row r="42" spans="1:23" ht="13.15" x14ac:dyDescent="0.4">
      <c r="G42" s="384"/>
      <c r="M42" s="395"/>
      <c r="O42" s="303" t="s">
        <v>249</v>
      </c>
      <c r="P42" s="8">
        <v>0</v>
      </c>
      <c r="Q42" s="31">
        <v>0</v>
      </c>
      <c r="R42" s="8" t="s">
        <v>2686</v>
      </c>
      <c r="S42" s="8">
        <f t="shared" ref="S42:T42" si="96">S32</f>
        <v>5</v>
      </c>
      <c r="T42" s="8">
        <f t="shared" si="96"/>
        <v>15</v>
      </c>
      <c r="U42" s="384">
        <f t="shared" ref="U42:U48" si="97">((0.0005024083469+(Q42*0.000005260641303))/6)*S42*P42</f>
        <v>0</v>
      </c>
      <c r="V42" s="395">
        <f t="shared" ref="V42:V48" si="98">P42*M42</f>
        <v>0</v>
      </c>
      <c r="W42" s="384">
        <f t="shared" ref="W42:W48" si="99">U42*T42</f>
        <v>0</v>
      </c>
    </row>
    <row r="43" spans="1:23" ht="13.15" x14ac:dyDescent="0.4">
      <c r="G43" s="384"/>
      <c r="M43" s="395"/>
      <c r="O43" s="303" t="s">
        <v>249</v>
      </c>
      <c r="P43" s="8">
        <f t="shared" ref="P43:Q43" si="100">P42</f>
        <v>0</v>
      </c>
      <c r="Q43" s="31">
        <f t="shared" si="100"/>
        <v>0</v>
      </c>
      <c r="R43" s="8" t="s">
        <v>2688</v>
      </c>
      <c r="S43" s="8">
        <f t="shared" ref="S43:T43" si="101">S33</f>
        <v>5</v>
      </c>
      <c r="T43" s="8">
        <f t="shared" si="101"/>
        <v>0</v>
      </c>
      <c r="U43" s="384">
        <f t="shared" si="97"/>
        <v>0</v>
      </c>
      <c r="V43" s="395">
        <f t="shared" si="98"/>
        <v>0</v>
      </c>
      <c r="W43" s="384">
        <f t="shared" si="99"/>
        <v>0</v>
      </c>
    </row>
    <row r="44" spans="1:23" ht="13.15" x14ac:dyDescent="0.4">
      <c r="G44" s="384"/>
      <c r="M44" s="395"/>
      <c r="O44" s="303" t="str">
        <f t="shared" ref="O44:Q44" si="102">O43</f>
        <v>The Path</v>
      </c>
      <c r="P44" s="8">
        <f t="shared" si="102"/>
        <v>0</v>
      </c>
      <c r="Q44" s="31">
        <f t="shared" si="102"/>
        <v>0</v>
      </c>
      <c r="R44" s="8" t="s">
        <v>5</v>
      </c>
      <c r="S44" s="8">
        <f t="shared" ref="S44:T44" si="103">S34</f>
        <v>5</v>
      </c>
      <c r="T44" s="8">
        <f t="shared" si="103"/>
        <v>1</v>
      </c>
      <c r="U44" s="384">
        <f t="shared" si="97"/>
        <v>0</v>
      </c>
      <c r="V44" s="395">
        <f t="shared" si="98"/>
        <v>0</v>
      </c>
      <c r="W44" s="384">
        <f t="shared" si="99"/>
        <v>0</v>
      </c>
    </row>
    <row r="45" spans="1:23" ht="13.15" x14ac:dyDescent="0.4">
      <c r="G45" s="384"/>
      <c r="M45" s="395"/>
      <c r="O45" s="303" t="str">
        <f t="shared" ref="O45:Q45" si="104">O44</f>
        <v>The Path</v>
      </c>
      <c r="P45" s="8">
        <f t="shared" si="104"/>
        <v>0</v>
      </c>
      <c r="Q45" s="31">
        <f t="shared" si="104"/>
        <v>0</v>
      </c>
      <c r="R45" s="8" t="s">
        <v>2690</v>
      </c>
      <c r="S45" s="8">
        <f t="shared" ref="S45:T45" si="105">S35</f>
        <v>4</v>
      </c>
      <c r="T45" s="8">
        <f t="shared" si="105"/>
        <v>1</v>
      </c>
      <c r="U45" s="384">
        <f t="shared" si="97"/>
        <v>0</v>
      </c>
      <c r="V45" s="395">
        <f t="shared" si="98"/>
        <v>0</v>
      </c>
      <c r="W45" s="384">
        <f t="shared" si="99"/>
        <v>0</v>
      </c>
    </row>
    <row r="46" spans="1:23" ht="13.15" x14ac:dyDescent="0.4">
      <c r="G46" s="384"/>
      <c r="M46" s="395"/>
      <c r="O46" s="303" t="str">
        <f t="shared" ref="O46:Q46" si="106">O45</f>
        <v>The Path</v>
      </c>
      <c r="P46" s="8">
        <f t="shared" si="106"/>
        <v>0</v>
      </c>
      <c r="Q46" s="31">
        <f t="shared" si="106"/>
        <v>0</v>
      </c>
      <c r="R46" s="8" t="s">
        <v>2691</v>
      </c>
      <c r="S46" s="8">
        <f t="shared" ref="S46:T46" si="107">S36</f>
        <v>2</v>
      </c>
      <c r="T46" s="8">
        <f t="shared" si="107"/>
        <v>1</v>
      </c>
      <c r="U46" s="384">
        <f t="shared" si="97"/>
        <v>0</v>
      </c>
      <c r="V46" s="395">
        <f t="shared" si="98"/>
        <v>0</v>
      </c>
      <c r="W46" s="384">
        <f t="shared" si="99"/>
        <v>0</v>
      </c>
    </row>
    <row r="47" spans="1:23" ht="13.15" x14ac:dyDescent="0.4">
      <c r="G47" s="384"/>
      <c r="O47" s="303" t="str">
        <f t="shared" ref="O47:Q47" si="108">O46</f>
        <v>The Path</v>
      </c>
      <c r="P47" s="8">
        <f t="shared" si="108"/>
        <v>0</v>
      </c>
      <c r="Q47" s="31">
        <f t="shared" si="108"/>
        <v>0</v>
      </c>
      <c r="R47" s="8" t="s">
        <v>2693</v>
      </c>
      <c r="S47" s="8">
        <f t="shared" ref="S47:T47" si="109">S37</f>
        <v>3</v>
      </c>
      <c r="T47" s="8">
        <f t="shared" si="109"/>
        <v>1</v>
      </c>
      <c r="U47" s="384">
        <f t="shared" si="97"/>
        <v>0</v>
      </c>
      <c r="V47" s="8">
        <f t="shared" si="98"/>
        <v>0</v>
      </c>
      <c r="W47" s="384">
        <f t="shared" si="99"/>
        <v>0</v>
      </c>
    </row>
    <row r="48" spans="1:23" ht="13.15" x14ac:dyDescent="0.4">
      <c r="G48" s="384"/>
      <c r="O48" s="303" t="str">
        <f t="shared" ref="O48:Q48" si="110">O47</f>
        <v>The Path</v>
      </c>
      <c r="P48" s="8">
        <f t="shared" si="110"/>
        <v>0</v>
      </c>
      <c r="Q48" s="31">
        <f t="shared" si="110"/>
        <v>0</v>
      </c>
      <c r="R48" s="8" t="s">
        <v>2694</v>
      </c>
      <c r="S48" s="8">
        <f t="shared" ref="S48:T48" si="111">S38</f>
        <v>2</v>
      </c>
      <c r="T48" s="8">
        <f t="shared" si="111"/>
        <v>1</v>
      </c>
      <c r="U48" s="384">
        <f t="shared" si="97"/>
        <v>0</v>
      </c>
      <c r="V48" s="8">
        <f t="shared" si="98"/>
        <v>0</v>
      </c>
      <c r="W48" s="384">
        <f t="shared" si="99"/>
        <v>0</v>
      </c>
    </row>
    <row r="49" spans="7:23" ht="13.15" x14ac:dyDescent="0.4">
      <c r="G49" s="384"/>
      <c r="O49" s="303"/>
      <c r="Q49" s="31"/>
      <c r="S49" s="392"/>
      <c r="U49" s="392"/>
      <c r="V49" s="392" t="s">
        <v>2626</v>
      </c>
      <c r="W49" s="384">
        <f>SUM(W42:W48)</f>
        <v>0</v>
      </c>
    </row>
    <row r="50" spans="7:23" ht="13.15" x14ac:dyDescent="0.4">
      <c r="G50" s="384"/>
      <c r="O50" s="303"/>
      <c r="Q50" s="31"/>
    </row>
    <row r="51" spans="7:23" ht="13.15" x14ac:dyDescent="0.4">
      <c r="G51" s="384"/>
      <c r="O51" s="378" t="s">
        <v>734</v>
      </c>
      <c r="P51" s="1" t="s">
        <v>8</v>
      </c>
      <c r="Q51" s="379" t="s">
        <v>10</v>
      </c>
      <c r="R51" s="1" t="s">
        <v>2678</v>
      </c>
      <c r="S51" s="1" t="s">
        <v>2672</v>
      </c>
      <c r="T51" s="1" t="s">
        <v>2679</v>
      </c>
      <c r="U51" s="1" t="s">
        <v>2680</v>
      </c>
      <c r="V51" s="1" t="s">
        <v>2681</v>
      </c>
      <c r="W51" s="1" t="s">
        <v>2682</v>
      </c>
    </row>
    <row r="52" spans="7:23" ht="13.15" x14ac:dyDescent="0.4">
      <c r="G52" s="384"/>
      <c r="O52" s="303" t="s">
        <v>249</v>
      </c>
      <c r="P52" s="8">
        <v>0</v>
      </c>
      <c r="Q52" s="31">
        <v>0</v>
      </c>
      <c r="R52" s="8" t="s">
        <v>2686</v>
      </c>
      <c r="S52" s="8">
        <f t="shared" ref="S52:T52" si="112">S42</f>
        <v>5</v>
      </c>
      <c r="T52" s="8">
        <f t="shared" si="112"/>
        <v>15</v>
      </c>
      <c r="U52" s="384">
        <f t="shared" ref="U52:U58" si="113">((0.0005024083469+(Q52*0.000005260641303))/6)*S52*P52</f>
        <v>0</v>
      </c>
      <c r="V52" s="8">
        <f t="shared" ref="V52:V58" si="114">P52*M52</f>
        <v>0</v>
      </c>
      <c r="W52" s="384">
        <f t="shared" ref="W52:W58" si="115">U52*T52</f>
        <v>0</v>
      </c>
    </row>
    <row r="53" spans="7:23" ht="13.15" x14ac:dyDescent="0.4">
      <c r="G53" s="384"/>
      <c r="O53" s="303" t="s">
        <v>249</v>
      </c>
      <c r="P53" s="8">
        <f t="shared" ref="P53:Q53" si="116">P52</f>
        <v>0</v>
      </c>
      <c r="Q53" s="31">
        <f t="shared" si="116"/>
        <v>0</v>
      </c>
      <c r="R53" s="8" t="s">
        <v>2688</v>
      </c>
      <c r="S53" s="8">
        <f t="shared" ref="S53:T53" si="117">S43</f>
        <v>5</v>
      </c>
      <c r="T53" s="8">
        <f t="shared" si="117"/>
        <v>0</v>
      </c>
      <c r="U53" s="384">
        <f t="shared" si="113"/>
        <v>0</v>
      </c>
      <c r="V53" s="8">
        <f t="shared" si="114"/>
        <v>0</v>
      </c>
      <c r="W53" s="384">
        <f t="shared" si="115"/>
        <v>0</v>
      </c>
    </row>
    <row r="54" spans="7:23" ht="13.15" x14ac:dyDescent="0.4">
      <c r="G54" s="384"/>
      <c r="O54" s="303" t="str">
        <f t="shared" ref="O54:Q54" si="118">O53</f>
        <v>The Path</v>
      </c>
      <c r="P54" s="8">
        <f t="shared" si="118"/>
        <v>0</v>
      </c>
      <c r="Q54" s="31">
        <f t="shared" si="118"/>
        <v>0</v>
      </c>
      <c r="R54" s="8" t="s">
        <v>5</v>
      </c>
      <c r="S54" s="8">
        <f t="shared" ref="S54:T54" si="119">S44</f>
        <v>5</v>
      </c>
      <c r="T54" s="8">
        <f t="shared" si="119"/>
        <v>1</v>
      </c>
      <c r="U54" s="384">
        <f t="shared" si="113"/>
        <v>0</v>
      </c>
      <c r="V54" s="8">
        <f t="shared" si="114"/>
        <v>0</v>
      </c>
      <c r="W54" s="384">
        <f t="shared" si="115"/>
        <v>0</v>
      </c>
    </row>
    <row r="55" spans="7:23" ht="13.15" x14ac:dyDescent="0.4">
      <c r="G55" s="384"/>
      <c r="O55" s="303" t="str">
        <f t="shared" ref="O55:Q55" si="120">O54</f>
        <v>The Path</v>
      </c>
      <c r="P55" s="8">
        <f t="shared" si="120"/>
        <v>0</v>
      </c>
      <c r="Q55" s="31">
        <f t="shared" si="120"/>
        <v>0</v>
      </c>
      <c r="R55" s="8" t="s">
        <v>2690</v>
      </c>
      <c r="S55" s="8">
        <f t="shared" ref="S55:T55" si="121">S45</f>
        <v>4</v>
      </c>
      <c r="T55" s="8">
        <f t="shared" si="121"/>
        <v>1</v>
      </c>
      <c r="U55" s="384">
        <f t="shared" si="113"/>
        <v>0</v>
      </c>
      <c r="V55" s="8">
        <f t="shared" si="114"/>
        <v>0</v>
      </c>
      <c r="W55" s="384">
        <f t="shared" si="115"/>
        <v>0</v>
      </c>
    </row>
    <row r="56" spans="7:23" ht="13.15" x14ac:dyDescent="0.4">
      <c r="G56" s="384"/>
      <c r="O56" s="303" t="str">
        <f t="shared" ref="O56:Q56" si="122">O55</f>
        <v>The Path</v>
      </c>
      <c r="P56" s="8">
        <f t="shared" si="122"/>
        <v>0</v>
      </c>
      <c r="Q56" s="31">
        <f t="shared" si="122"/>
        <v>0</v>
      </c>
      <c r="R56" s="8" t="s">
        <v>2691</v>
      </c>
      <c r="S56" s="8">
        <f t="shared" ref="S56:T56" si="123">S46</f>
        <v>2</v>
      </c>
      <c r="T56" s="8">
        <f t="shared" si="123"/>
        <v>1</v>
      </c>
      <c r="U56" s="384">
        <f t="shared" si="113"/>
        <v>0</v>
      </c>
      <c r="V56" s="8">
        <f t="shared" si="114"/>
        <v>0</v>
      </c>
      <c r="W56" s="384">
        <f t="shared" si="115"/>
        <v>0</v>
      </c>
    </row>
    <row r="57" spans="7:23" ht="13.15" x14ac:dyDescent="0.4">
      <c r="G57" s="384"/>
      <c r="O57" s="303" t="str">
        <f t="shared" ref="O57:Q57" si="124">O56</f>
        <v>The Path</v>
      </c>
      <c r="P57" s="8">
        <f t="shared" si="124"/>
        <v>0</v>
      </c>
      <c r="Q57" s="31">
        <f t="shared" si="124"/>
        <v>0</v>
      </c>
      <c r="R57" s="8" t="s">
        <v>2693</v>
      </c>
      <c r="S57" s="8">
        <f t="shared" ref="S57:T57" si="125">S47</f>
        <v>3</v>
      </c>
      <c r="T57" s="8">
        <f t="shared" si="125"/>
        <v>1</v>
      </c>
      <c r="U57" s="384">
        <f t="shared" si="113"/>
        <v>0</v>
      </c>
      <c r="V57" s="8">
        <f t="shared" si="114"/>
        <v>0</v>
      </c>
      <c r="W57" s="384">
        <f t="shared" si="115"/>
        <v>0</v>
      </c>
    </row>
    <row r="58" spans="7:23" ht="13.15" x14ac:dyDescent="0.4">
      <c r="G58" s="384"/>
      <c r="O58" s="303" t="str">
        <f t="shared" ref="O58:Q58" si="126">O57</f>
        <v>The Path</v>
      </c>
      <c r="P58" s="8">
        <f t="shared" si="126"/>
        <v>0</v>
      </c>
      <c r="Q58" s="31">
        <f t="shared" si="126"/>
        <v>0</v>
      </c>
      <c r="R58" s="8" t="s">
        <v>2694</v>
      </c>
      <c r="S58" s="8">
        <f t="shared" ref="S58:T58" si="127">S48</f>
        <v>2</v>
      </c>
      <c r="T58" s="8">
        <f t="shared" si="127"/>
        <v>1</v>
      </c>
      <c r="U58" s="384">
        <f t="shared" si="113"/>
        <v>0</v>
      </c>
      <c r="V58" s="8">
        <f t="shared" si="114"/>
        <v>0</v>
      </c>
      <c r="W58" s="384">
        <f t="shared" si="115"/>
        <v>0</v>
      </c>
    </row>
    <row r="59" spans="7:23" ht="13.15" x14ac:dyDescent="0.4">
      <c r="G59" s="384"/>
      <c r="O59" s="303"/>
      <c r="Q59" s="31"/>
      <c r="S59" s="392"/>
      <c r="U59" s="392"/>
      <c r="V59" s="392" t="s">
        <v>2626</v>
      </c>
      <c r="W59" s="384">
        <f>SUM(W52:W58)</f>
        <v>0</v>
      </c>
    </row>
    <row r="60" spans="7:23" ht="13.15" x14ac:dyDescent="0.4">
      <c r="G60" s="384"/>
      <c r="O60" s="303"/>
      <c r="Q60" s="31"/>
    </row>
    <row r="61" spans="7:23" ht="13.15" x14ac:dyDescent="0.4">
      <c r="G61" s="384"/>
      <c r="O61" s="303"/>
      <c r="Q61" s="31"/>
    </row>
    <row r="62" spans="7:23" ht="13.15" x14ac:dyDescent="0.4">
      <c r="G62" s="384"/>
      <c r="O62" s="303"/>
      <c r="Q62" s="31"/>
    </row>
    <row r="63" spans="7:23" ht="13.15" x14ac:dyDescent="0.4">
      <c r="G63" s="384"/>
      <c r="O63" s="303"/>
      <c r="Q63" s="31"/>
    </row>
    <row r="64" spans="7:23" ht="13.15" x14ac:dyDescent="0.4">
      <c r="G64" s="384"/>
      <c r="O64" s="303"/>
      <c r="Q64" s="31"/>
    </row>
    <row r="65" spans="7:17" ht="13.15" x14ac:dyDescent="0.4">
      <c r="G65" s="384"/>
      <c r="O65" s="303"/>
      <c r="Q65" s="31"/>
    </row>
    <row r="66" spans="7:17" ht="13.15" x14ac:dyDescent="0.4">
      <c r="G66" s="384"/>
      <c r="O66" s="303"/>
      <c r="Q66" s="31"/>
    </row>
    <row r="67" spans="7:17" ht="13.15" x14ac:dyDescent="0.4">
      <c r="G67" s="384"/>
      <c r="O67" s="303"/>
      <c r="Q67" s="31"/>
    </row>
    <row r="68" spans="7:17" ht="13.15" x14ac:dyDescent="0.4">
      <c r="G68" s="384"/>
      <c r="O68" s="303"/>
      <c r="Q68" s="31"/>
    </row>
    <row r="69" spans="7:17" ht="13.15" x14ac:dyDescent="0.4">
      <c r="G69" s="384"/>
      <c r="O69" s="303"/>
      <c r="Q69" s="31"/>
    </row>
    <row r="70" spans="7:17" ht="13.15" x14ac:dyDescent="0.4">
      <c r="G70" s="384"/>
      <c r="O70" s="303"/>
      <c r="Q70" s="31"/>
    </row>
    <row r="71" spans="7:17" ht="13.15" x14ac:dyDescent="0.4">
      <c r="G71" s="384"/>
      <c r="O71" s="303"/>
      <c r="Q71" s="31"/>
    </row>
    <row r="72" spans="7:17" ht="13.15" x14ac:dyDescent="0.4">
      <c r="G72" s="384"/>
      <c r="O72" s="303"/>
      <c r="Q72" s="31"/>
    </row>
    <row r="73" spans="7:17" ht="13.15" x14ac:dyDescent="0.4">
      <c r="G73" s="384"/>
      <c r="O73" s="303"/>
      <c r="Q73" s="31"/>
    </row>
    <row r="74" spans="7:17" ht="13.15" x14ac:dyDescent="0.4">
      <c r="G74" s="384"/>
      <c r="O74" s="303"/>
      <c r="Q74" s="31"/>
    </row>
    <row r="75" spans="7:17" ht="13.15" x14ac:dyDescent="0.4">
      <c r="G75" s="384"/>
      <c r="O75" s="303"/>
      <c r="Q75" s="31"/>
    </row>
    <row r="76" spans="7:17" ht="13.15" x14ac:dyDescent="0.4">
      <c r="G76" s="384"/>
      <c r="O76" s="303"/>
      <c r="Q76" s="31"/>
    </row>
    <row r="77" spans="7:17" ht="13.15" x14ac:dyDescent="0.4">
      <c r="G77" s="384"/>
      <c r="O77" s="303"/>
      <c r="Q77" s="31"/>
    </row>
    <row r="78" spans="7:17" ht="13.15" x14ac:dyDescent="0.4">
      <c r="G78" s="384"/>
      <c r="O78" s="303"/>
      <c r="Q78" s="31"/>
    </row>
    <row r="79" spans="7:17" ht="13.15" x14ac:dyDescent="0.4">
      <c r="G79" s="384"/>
      <c r="O79" s="303"/>
      <c r="Q79" s="31"/>
    </row>
    <row r="80" spans="7:17" ht="13.15" x14ac:dyDescent="0.4">
      <c r="G80" s="384"/>
      <c r="O80" s="303"/>
      <c r="Q80" s="31"/>
    </row>
    <row r="81" spans="7:17" ht="13.15" x14ac:dyDescent="0.4">
      <c r="G81" s="384"/>
      <c r="O81" s="303"/>
      <c r="Q81" s="31"/>
    </row>
    <row r="82" spans="7:17" ht="13.15" x14ac:dyDescent="0.4">
      <c r="G82" s="384"/>
      <c r="O82" s="303"/>
      <c r="Q82" s="31"/>
    </row>
    <row r="83" spans="7:17" ht="13.15" x14ac:dyDescent="0.4">
      <c r="G83" s="384"/>
      <c r="O83" s="303"/>
      <c r="Q83" s="31"/>
    </row>
    <row r="84" spans="7:17" ht="13.15" x14ac:dyDescent="0.4">
      <c r="G84" s="384"/>
      <c r="O84" s="303"/>
      <c r="Q84" s="31"/>
    </row>
    <row r="85" spans="7:17" ht="13.15" x14ac:dyDescent="0.4">
      <c r="G85" s="384"/>
      <c r="O85" s="303"/>
      <c r="Q85" s="31"/>
    </row>
    <row r="86" spans="7:17" ht="13.15" x14ac:dyDescent="0.4">
      <c r="G86" s="384"/>
      <c r="O86" s="303"/>
      <c r="Q86" s="31"/>
    </row>
    <row r="87" spans="7:17" ht="13.15" x14ac:dyDescent="0.4">
      <c r="G87" s="384"/>
      <c r="O87" s="303"/>
      <c r="Q87" s="31"/>
    </row>
    <row r="88" spans="7:17" ht="13.15" x14ac:dyDescent="0.4">
      <c r="G88" s="384"/>
      <c r="O88" s="303"/>
      <c r="Q88" s="31"/>
    </row>
    <row r="89" spans="7:17" ht="13.15" x14ac:dyDescent="0.4">
      <c r="G89" s="384"/>
      <c r="O89" s="303"/>
      <c r="Q89" s="31"/>
    </row>
    <row r="90" spans="7:17" ht="13.15" x14ac:dyDescent="0.4">
      <c r="G90" s="384"/>
      <c r="O90" s="303"/>
      <c r="Q90" s="31"/>
    </row>
    <row r="91" spans="7:17" ht="13.15" x14ac:dyDescent="0.4">
      <c r="G91" s="384"/>
      <c r="O91" s="303"/>
      <c r="Q91" s="31"/>
    </row>
    <row r="92" spans="7:17" ht="13.15" x14ac:dyDescent="0.4">
      <c r="G92" s="384"/>
      <c r="O92" s="303"/>
      <c r="Q92" s="31"/>
    </row>
    <row r="93" spans="7:17" ht="13.15" x14ac:dyDescent="0.4">
      <c r="G93" s="384"/>
      <c r="O93" s="303"/>
      <c r="Q93" s="31"/>
    </row>
    <row r="94" spans="7:17" ht="13.15" x14ac:dyDescent="0.4">
      <c r="G94" s="384"/>
      <c r="O94" s="303"/>
      <c r="Q94" s="31"/>
    </row>
    <row r="95" spans="7:17" ht="13.15" x14ac:dyDescent="0.4">
      <c r="G95" s="384"/>
      <c r="O95" s="303"/>
      <c r="Q95" s="31"/>
    </row>
    <row r="96" spans="7:17" ht="13.15" x14ac:dyDescent="0.4">
      <c r="G96" s="384"/>
      <c r="O96" s="303"/>
      <c r="Q96" s="31"/>
    </row>
    <row r="97" spans="7:17" ht="13.15" x14ac:dyDescent="0.4">
      <c r="G97" s="384"/>
      <c r="O97" s="303"/>
      <c r="Q97" s="31"/>
    </row>
    <row r="98" spans="7:17" ht="13.15" x14ac:dyDescent="0.4">
      <c r="G98" s="384"/>
      <c r="O98" s="303"/>
      <c r="Q98" s="31"/>
    </row>
    <row r="99" spans="7:17" ht="13.15" x14ac:dyDescent="0.4">
      <c r="G99" s="384"/>
      <c r="O99" s="303"/>
      <c r="Q99" s="31"/>
    </row>
    <row r="100" spans="7:17" ht="13.15" x14ac:dyDescent="0.4">
      <c r="G100" s="384"/>
      <c r="O100" s="303"/>
      <c r="Q100" s="31"/>
    </row>
    <row r="101" spans="7:17" ht="13.15" x14ac:dyDescent="0.4">
      <c r="G101" s="384"/>
      <c r="O101" s="303"/>
      <c r="Q101" s="31"/>
    </row>
    <row r="102" spans="7:17" ht="13.15" x14ac:dyDescent="0.4">
      <c r="G102" s="384"/>
      <c r="O102" s="303"/>
      <c r="Q102" s="31"/>
    </row>
    <row r="103" spans="7:17" ht="13.15" x14ac:dyDescent="0.4">
      <c r="G103" s="384"/>
      <c r="O103" s="303"/>
      <c r="Q103" s="31"/>
    </row>
    <row r="104" spans="7:17" ht="13.15" x14ac:dyDescent="0.4">
      <c r="G104" s="384"/>
      <c r="O104" s="303"/>
      <c r="Q104" s="31"/>
    </row>
    <row r="105" spans="7:17" ht="13.15" x14ac:dyDescent="0.4">
      <c r="G105" s="384"/>
      <c r="O105" s="303"/>
      <c r="Q105" s="31"/>
    </row>
    <row r="106" spans="7:17" ht="13.15" x14ac:dyDescent="0.4">
      <c r="G106" s="384"/>
      <c r="O106" s="303"/>
      <c r="Q106" s="31"/>
    </row>
    <row r="107" spans="7:17" ht="13.15" x14ac:dyDescent="0.4">
      <c r="G107" s="384"/>
      <c r="O107" s="303"/>
      <c r="Q107" s="31"/>
    </row>
    <row r="108" spans="7:17" ht="13.15" x14ac:dyDescent="0.4">
      <c r="G108" s="384"/>
      <c r="O108" s="303"/>
      <c r="Q108" s="31"/>
    </row>
    <row r="109" spans="7:17" ht="13.15" x14ac:dyDescent="0.4">
      <c r="G109" s="384"/>
      <c r="O109" s="303"/>
      <c r="Q109" s="31"/>
    </row>
    <row r="110" spans="7:17" ht="13.15" x14ac:dyDescent="0.4">
      <c r="G110" s="384"/>
      <c r="O110" s="303"/>
      <c r="Q110" s="31"/>
    </row>
    <row r="111" spans="7:17" ht="13.15" x14ac:dyDescent="0.4">
      <c r="G111" s="384"/>
      <c r="O111" s="303"/>
      <c r="Q111" s="31"/>
    </row>
    <row r="112" spans="7:17" ht="13.15" x14ac:dyDescent="0.4">
      <c r="G112" s="384"/>
      <c r="O112" s="303"/>
      <c r="Q112" s="31"/>
    </row>
    <row r="113" spans="7:17" ht="13.15" x14ac:dyDescent="0.4">
      <c r="G113" s="384"/>
      <c r="O113" s="303"/>
      <c r="Q113" s="31"/>
    </row>
    <row r="114" spans="7:17" ht="13.15" x14ac:dyDescent="0.4">
      <c r="G114" s="384"/>
      <c r="O114" s="303"/>
      <c r="Q114" s="31"/>
    </row>
    <row r="115" spans="7:17" ht="13.15" x14ac:dyDescent="0.4">
      <c r="G115" s="384"/>
      <c r="O115" s="303"/>
      <c r="Q115" s="31"/>
    </row>
    <row r="116" spans="7:17" ht="13.15" x14ac:dyDescent="0.4">
      <c r="G116" s="384"/>
      <c r="O116" s="303"/>
      <c r="Q116" s="31"/>
    </row>
    <row r="117" spans="7:17" ht="13.15" x14ac:dyDescent="0.4">
      <c r="G117" s="384"/>
      <c r="O117" s="303"/>
      <c r="Q117" s="31"/>
    </row>
    <row r="118" spans="7:17" ht="13.15" x14ac:dyDescent="0.4">
      <c r="G118" s="384"/>
      <c r="O118" s="303"/>
      <c r="Q118" s="31"/>
    </row>
    <row r="119" spans="7:17" ht="13.15" x14ac:dyDescent="0.4">
      <c r="G119" s="384"/>
      <c r="O119" s="303"/>
      <c r="Q119" s="31"/>
    </row>
    <row r="120" spans="7:17" ht="13.15" x14ac:dyDescent="0.4">
      <c r="G120" s="384"/>
      <c r="O120" s="303"/>
      <c r="Q120" s="31"/>
    </row>
    <row r="121" spans="7:17" ht="13.15" x14ac:dyDescent="0.4">
      <c r="G121" s="384"/>
      <c r="O121" s="303"/>
      <c r="Q121" s="31"/>
    </row>
    <row r="122" spans="7:17" ht="13.15" x14ac:dyDescent="0.4">
      <c r="G122" s="384"/>
      <c r="O122" s="303"/>
      <c r="Q122" s="31"/>
    </row>
    <row r="123" spans="7:17" ht="13.15" x14ac:dyDescent="0.4">
      <c r="G123" s="384"/>
      <c r="O123" s="303"/>
      <c r="Q123" s="31"/>
    </row>
    <row r="124" spans="7:17" ht="13.15" x14ac:dyDescent="0.4">
      <c r="G124" s="384"/>
      <c r="O124" s="303"/>
      <c r="Q124" s="31"/>
    </row>
    <row r="125" spans="7:17" ht="13.15" x14ac:dyDescent="0.4">
      <c r="G125" s="384"/>
      <c r="O125" s="303"/>
      <c r="Q125" s="31"/>
    </row>
    <row r="126" spans="7:17" ht="13.15" x14ac:dyDescent="0.4">
      <c r="G126" s="384"/>
      <c r="O126" s="303"/>
      <c r="Q126" s="31"/>
    </row>
    <row r="127" spans="7:17" ht="13.15" x14ac:dyDescent="0.4">
      <c r="G127" s="384"/>
      <c r="O127" s="303"/>
      <c r="Q127" s="31"/>
    </row>
    <row r="128" spans="7:17" ht="13.15" x14ac:dyDescent="0.4">
      <c r="G128" s="384"/>
      <c r="O128" s="303"/>
      <c r="Q128" s="31"/>
    </row>
    <row r="129" spans="7:17" ht="13.15" x14ac:dyDescent="0.4">
      <c r="G129" s="384"/>
      <c r="O129" s="303"/>
      <c r="Q129" s="31"/>
    </row>
    <row r="130" spans="7:17" ht="13.15" x14ac:dyDescent="0.4">
      <c r="G130" s="384"/>
      <c r="O130" s="303"/>
      <c r="Q130" s="31"/>
    </row>
    <row r="131" spans="7:17" ht="13.15" x14ac:dyDescent="0.4">
      <c r="G131" s="384"/>
      <c r="O131" s="303"/>
      <c r="Q131" s="31"/>
    </row>
    <row r="132" spans="7:17" ht="13.15" x14ac:dyDescent="0.4">
      <c r="G132" s="384"/>
      <c r="O132" s="303"/>
      <c r="Q132" s="31"/>
    </row>
    <row r="133" spans="7:17" ht="13.15" x14ac:dyDescent="0.4">
      <c r="G133" s="384"/>
      <c r="O133" s="303"/>
      <c r="Q133" s="31"/>
    </row>
    <row r="134" spans="7:17" ht="13.15" x14ac:dyDescent="0.4">
      <c r="G134" s="384"/>
      <c r="O134" s="303"/>
      <c r="Q134" s="31"/>
    </row>
    <row r="135" spans="7:17" ht="13.15" x14ac:dyDescent="0.4">
      <c r="G135" s="384"/>
      <c r="O135" s="303"/>
      <c r="Q135" s="31"/>
    </row>
    <row r="136" spans="7:17" ht="13.15" x14ac:dyDescent="0.4">
      <c r="G136" s="384"/>
      <c r="O136" s="303"/>
      <c r="Q136" s="31"/>
    </row>
    <row r="137" spans="7:17" ht="13.15" x14ac:dyDescent="0.4">
      <c r="G137" s="384"/>
      <c r="O137" s="303"/>
      <c r="Q137" s="31"/>
    </row>
    <row r="138" spans="7:17" ht="13.15" x14ac:dyDescent="0.4">
      <c r="G138" s="384"/>
      <c r="O138" s="303"/>
      <c r="Q138" s="31"/>
    </row>
    <row r="139" spans="7:17" ht="13.15" x14ac:dyDescent="0.4">
      <c r="G139" s="384"/>
      <c r="O139" s="303"/>
      <c r="Q139" s="31"/>
    </row>
    <row r="140" spans="7:17" ht="13.15" x14ac:dyDescent="0.4">
      <c r="G140" s="384"/>
      <c r="O140" s="303"/>
      <c r="Q140" s="31"/>
    </row>
    <row r="141" spans="7:17" ht="13.15" x14ac:dyDescent="0.4">
      <c r="G141" s="384"/>
      <c r="O141" s="303"/>
      <c r="Q141" s="31"/>
    </row>
    <row r="142" spans="7:17" ht="13.15" x14ac:dyDescent="0.4">
      <c r="G142" s="384"/>
      <c r="O142" s="303"/>
      <c r="Q142" s="31"/>
    </row>
    <row r="143" spans="7:17" ht="13.15" x14ac:dyDescent="0.4">
      <c r="G143" s="384"/>
      <c r="O143" s="303"/>
      <c r="Q143" s="31"/>
    </row>
    <row r="144" spans="7:17" ht="13.15" x14ac:dyDescent="0.4">
      <c r="G144" s="384"/>
      <c r="O144" s="303"/>
      <c r="Q144" s="31"/>
    </row>
    <row r="145" spans="7:17" ht="13.15" x14ac:dyDescent="0.4">
      <c r="G145" s="384"/>
      <c r="O145" s="303"/>
      <c r="Q145" s="31"/>
    </row>
    <row r="146" spans="7:17" ht="13.15" x14ac:dyDescent="0.4">
      <c r="G146" s="384"/>
      <c r="O146" s="303"/>
      <c r="Q146" s="31"/>
    </row>
    <row r="147" spans="7:17" ht="13.15" x14ac:dyDescent="0.4">
      <c r="G147" s="384"/>
      <c r="O147" s="303"/>
      <c r="Q147" s="31"/>
    </row>
    <row r="148" spans="7:17" ht="13.15" x14ac:dyDescent="0.4">
      <c r="G148" s="384"/>
      <c r="O148" s="303"/>
      <c r="Q148" s="31"/>
    </row>
    <row r="149" spans="7:17" ht="13.15" x14ac:dyDescent="0.4">
      <c r="G149" s="384"/>
      <c r="O149" s="303"/>
      <c r="Q149" s="31"/>
    </row>
    <row r="150" spans="7:17" ht="13.15" x14ac:dyDescent="0.4">
      <c r="G150" s="384"/>
      <c r="O150" s="303"/>
      <c r="Q150" s="31"/>
    </row>
    <row r="151" spans="7:17" ht="13.15" x14ac:dyDescent="0.4">
      <c r="G151" s="384"/>
      <c r="O151" s="303"/>
      <c r="Q151" s="31"/>
    </row>
    <row r="152" spans="7:17" ht="13.15" x14ac:dyDescent="0.4">
      <c r="G152" s="384"/>
      <c r="O152" s="303"/>
      <c r="Q152" s="31"/>
    </row>
    <row r="153" spans="7:17" ht="13.15" x14ac:dyDescent="0.4">
      <c r="G153" s="384"/>
      <c r="O153" s="303"/>
      <c r="Q153" s="31"/>
    </row>
    <row r="154" spans="7:17" ht="13.15" x14ac:dyDescent="0.4">
      <c r="G154" s="384"/>
      <c r="O154" s="303"/>
      <c r="Q154" s="31"/>
    </row>
    <row r="155" spans="7:17" ht="13.15" x14ac:dyDescent="0.4">
      <c r="G155" s="384"/>
      <c r="O155" s="303"/>
      <c r="Q155" s="31"/>
    </row>
    <row r="156" spans="7:17" ht="13.15" x14ac:dyDescent="0.4">
      <c r="G156" s="384"/>
      <c r="O156" s="303"/>
      <c r="Q156" s="31"/>
    </row>
    <row r="157" spans="7:17" ht="13.15" x14ac:dyDescent="0.4">
      <c r="G157" s="384"/>
      <c r="O157" s="303"/>
      <c r="Q157" s="31"/>
    </row>
    <row r="158" spans="7:17" ht="13.15" x14ac:dyDescent="0.4">
      <c r="G158" s="384"/>
      <c r="O158" s="303"/>
      <c r="Q158" s="31"/>
    </row>
    <row r="159" spans="7:17" ht="13.15" x14ac:dyDescent="0.4">
      <c r="G159" s="384"/>
      <c r="O159" s="303"/>
      <c r="Q159" s="31"/>
    </row>
    <row r="160" spans="7:17" ht="13.15" x14ac:dyDescent="0.4">
      <c r="G160" s="384"/>
      <c r="O160" s="303"/>
      <c r="Q160" s="31"/>
    </row>
    <row r="161" spans="7:17" ht="13.15" x14ac:dyDescent="0.4">
      <c r="G161" s="384"/>
      <c r="O161" s="303"/>
      <c r="Q161" s="31"/>
    </row>
    <row r="162" spans="7:17" ht="13.15" x14ac:dyDescent="0.4">
      <c r="G162" s="384"/>
      <c r="O162" s="303"/>
      <c r="Q162" s="31"/>
    </row>
    <row r="163" spans="7:17" ht="13.15" x14ac:dyDescent="0.4">
      <c r="G163" s="384"/>
      <c r="O163" s="303"/>
      <c r="Q163" s="31"/>
    </row>
    <row r="164" spans="7:17" ht="13.15" x14ac:dyDescent="0.4">
      <c r="G164" s="384"/>
      <c r="O164" s="303"/>
      <c r="Q164" s="31"/>
    </row>
    <row r="165" spans="7:17" ht="13.15" x14ac:dyDescent="0.4">
      <c r="G165" s="384"/>
      <c r="O165" s="303"/>
      <c r="Q165" s="31"/>
    </row>
    <row r="166" spans="7:17" ht="13.15" x14ac:dyDescent="0.4">
      <c r="G166" s="384"/>
      <c r="O166" s="303"/>
      <c r="Q166" s="31"/>
    </row>
    <row r="167" spans="7:17" ht="13.15" x14ac:dyDescent="0.4">
      <c r="G167" s="384"/>
      <c r="O167" s="303"/>
      <c r="Q167" s="31"/>
    </row>
    <row r="168" spans="7:17" ht="13.15" x14ac:dyDescent="0.4">
      <c r="G168" s="384"/>
      <c r="O168" s="303"/>
      <c r="Q168" s="31"/>
    </row>
    <row r="169" spans="7:17" ht="13.15" x14ac:dyDescent="0.4">
      <c r="G169" s="384"/>
      <c r="O169" s="303"/>
      <c r="Q169" s="31"/>
    </row>
    <row r="170" spans="7:17" ht="13.15" x14ac:dyDescent="0.4">
      <c r="G170" s="384"/>
      <c r="O170" s="303"/>
      <c r="Q170" s="31"/>
    </row>
    <row r="171" spans="7:17" ht="13.15" x14ac:dyDescent="0.4">
      <c r="G171" s="384"/>
      <c r="O171" s="303"/>
      <c r="Q171" s="31"/>
    </row>
    <row r="172" spans="7:17" ht="13.15" x14ac:dyDescent="0.4">
      <c r="G172" s="384"/>
      <c r="O172" s="303"/>
      <c r="Q172" s="31"/>
    </row>
    <row r="173" spans="7:17" ht="13.15" x14ac:dyDescent="0.4">
      <c r="G173" s="384"/>
      <c r="O173" s="303"/>
      <c r="Q173" s="31"/>
    </row>
    <row r="174" spans="7:17" ht="13.15" x14ac:dyDescent="0.4">
      <c r="G174" s="384"/>
      <c r="O174" s="303"/>
      <c r="Q174" s="31"/>
    </row>
    <row r="175" spans="7:17" ht="13.15" x14ac:dyDescent="0.4">
      <c r="G175" s="384"/>
      <c r="O175" s="303"/>
      <c r="Q175" s="31"/>
    </row>
    <row r="176" spans="7:17" ht="13.15" x14ac:dyDescent="0.4">
      <c r="G176" s="384"/>
      <c r="O176" s="303"/>
      <c r="Q176" s="31"/>
    </row>
    <row r="177" spans="7:17" ht="13.15" x14ac:dyDescent="0.4">
      <c r="G177" s="384"/>
      <c r="O177" s="303"/>
      <c r="Q177" s="31"/>
    </row>
    <row r="178" spans="7:17" ht="13.15" x14ac:dyDescent="0.4">
      <c r="G178" s="384"/>
      <c r="O178" s="303"/>
      <c r="Q178" s="31"/>
    </row>
    <row r="179" spans="7:17" ht="13.15" x14ac:dyDescent="0.4">
      <c r="G179" s="384"/>
      <c r="O179" s="303"/>
      <c r="Q179" s="31"/>
    </row>
    <row r="180" spans="7:17" ht="13.15" x14ac:dyDescent="0.4">
      <c r="G180" s="384"/>
      <c r="O180" s="303"/>
      <c r="Q180" s="31"/>
    </row>
    <row r="181" spans="7:17" ht="13.15" x14ac:dyDescent="0.4">
      <c r="G181" s="384"/>
      <c r="O181" s="303"/>
      <c r="Q181" s="31"/>
    </row>
    <row r="182" spans="7:17" ht="13.15" x14ac:dyDescent="0.4">
      <c r="G182" s="384"/>
      <c r="O182" s="303"/>
      <c r="Q182" s="31"/>
    </row>
    <row r="183" spans="7:17" ht="13.15" x14ac:dyDescent="0.4">
      <c r="G183" s="384"/>
      <c r="O183" s="303"/>
      <c r="Q183" s="31"/>
    </row>
    <row r="184" spans="7:17" ht="13.15" x14ac:dyDescent="0.4">
      <c r="G184" s="384"/>
      <c r="O184" s="303"/>
      <c r="Q184" s="31"/>
    </row>
    <row r="185" spans="7:17" ht="13.15" x14ac:dyDescent="0.4">
      <c r="G185" s="384"/>
      <c r="O185" s="303"/>
      <c r="Q185" s="31"/>
    </row>
    <row r="186" spans="7:17" ht="13.15" x14ac:dyDescent="0.4">
      <c r="G186" s="384"/>
      <c r="O186" s="303"/>
      <c r="Q186" s="31"/>
    </row>
    <row r="187" spans="7:17" ht="13.15" x14ac:dyDescent="0.4">
      <c r="G187" s="384"/>
      <c r="O187" s="303"/>
      <c r="Q187" s="31"/>
    </row>
    <row r="188" spans="7:17" ht="13.15" x14ac:dyDescent="0.4">
      <c r="G188" s="384"/>
      <c r="O188" s="303"/>
      <c r="Q188" s="31"/>
    </row>
    <row r="189" spans="7:17" ht="13.15" x14ac:dyDescent="0.4">
      <c r="G189" s="384"/>
      <c r="O189" s="303"/>
      <c r="Q189" s="31"/>
    </row>
    <row r="190" spans="7:17" ht="13.15" x14ac:dyDescent="0.4">
      <c r="G190" s="384"/>
      <c r="O190" s="303"/>
      <c r="Q190" s="31"/>
    </row>
    <row r="191" spans="7:17" ht="13.15" x14ac:dyDescent="0.4">
      <c r="G191" s="384"/>
      <c r="O191" s="303"/>
      <c r="Q191" s="31"/>
    </row>
    <row r="192" spans="7:17" ht="13.15" x14ac:dyDescent="0.4">
      <c r="G192" s="384"/>
      <c r="O192" s="303"/>
      <c r="Q192" s="31"/>
    </row>
    <row r="193" spans="7:17" ht="13.15" x14ac:dyDescent="0.4">
      <c r="G193" s="384"/>
      <c r="O193" s="303"/>
      <c r="Q193" s="31"/>
    </row>
    <row r="194" spans="7:17" ht="13.15" x14ac:dyDescent="0.4">
      <c r="G194" s="384"/>
      <c r="O194" s="303"/>
      <c r="Q194" s="31"/>
    </row>
    <row r="195" spans="7:17" ht="13.15" x14ac:dyDescent="0.4">
      <c r="G195" s="384"/>
      <c r="O195" s="303"/>
      <c r="Q195" s="31"/>
    </row>
    <row r="196" spans="7:17" ht="13.15" x14ac:dyDescent="0.4">
      <c r="G196" s="384"/>
      <c r="O196" s="303"/>
      <c r="Q196" s="31"/>
    </row>
    <row r="197" spans="7:17" ht="13.15" x14ac:dyDescent="0.4">
      <c r="G197" s="384"/>
      <c r="O197" s="303"/>
      <c r="Q197" s="31"/>
    </row>
    <row r="198" spans="7:17" ht="13.15" x14ac:dyDescent="0.4">
      <c r="G198" s="384"/>
      <c r="O198" s="303"/>
      <c r="Q198" s="31"/>
    </row>
    <row r="199" spans="7:17" ht="13.15" x14ac:dyDescent="0.4">
      <c r="G199" s="384"/>
      <c r="O199" s="303"/>
      <c r="Q199" s="31"/>
    </row>
    <row r="200" spans="7:17" ht="13.15" x14ac:dyDescent="0.4">
      <c r="G200" s="384"/>
      <c r="O200" s="303"/>
      <c r="Q200" s="31"/>
    </row>
    <row r="201" spans="7:17" ht="13.15" x14ac:dyDescent="0.4">
      <c r="G201" s="384"/>
      <c r="O201" s="303"/>
      <c r="Q201" s="31"/>
    </row>
    <row r="202" spans="7:17" ht="13.15" x14ac:dyDescent="0.4">
      <c r="G202" s="384"/>
      <c r="O202" s="303"/>
      <c r="Q202" s="31"/>
    </row>
    <row r="203" spans="7:17" ht="13.15" x14ac:dyDescent="0.4">
      <c r="G203" s="384"/>
      <c r="O203" s="303"/>
      <c r="Q203" s="31"/>
    </row>
    <row r="204" spans="7:17" ht="13.15" x14ac:dyDescent="0.4">
      <c r="G204" s="384"/>
      <c r="O204" s="303"/>
      <c r="Q204" s="31"/>
    </row>
    <row r="205" spans="7:17" ht="13.15" x14ac:dyDescent="0.4">
      <c r="G205" s="384"/>
      <c r="O205" s="303"/>
      <c r="Q205" s="31"/>
    </row>
    <row r="206" spans="7:17" ht="13.15" x14ac:dyDescent="0.4">
      <c r="G206" s="384"/>
      <c r="O206" s="303"/>
      <c r="Q206" s="31"/>
    </row>
    <row r="207" spans="7:17" ht="13.15" x14ac:dyDescent="0.4">
      <c r="G207" s="384"/>
      <c r="O207" s="303"/>
      <c r="Q207" s="31"/>
    </row>
    <row r="208" spans="7:17" ht="13.15" x14ac:dyDescent="0.4">
      <c r="G208" s="384"/>
      <c r="O208" s="303"/>
      <c r="Q208" s="31"/>
    </row>
    <row r="209" spans="7:17" ht="13.15" x14ac:dyDescent="0.4">
      <c r="G209" s="384"/>
      <c r="O209" s="303"/>
      <c r="Q209" s="31"/>
    </row>
    <row r="210" spans="7:17" ht="13.15" x14ac:dyDescent="0.4">
      <c r="G210" s="384"/>
      <c r="O210" s="303"/>
      <c r="Q210" s="31"/>
    </row>
    <row r="211" spans="7:17" ht="13.15" x14ac:dyDescent="0.4">
      <c r="G211" s="384"/>
      <c r="O211" s="303"/>
      <c r="Q211" s="31"/>
    </row>
    <row r="212" spans="7:17" ht="13.15" x14ac:dyDescent="0.4">
      <c r="G212" s="384"/>
      <c r="O212" s="303"/>
      <c r="Q212" s="31"/>
    </row>
    <row r="213" spans="7:17" ht="13.15" x14ac:dyDescent="0.4">
      <c r="G213" s="384"/>
      <c r="O213" s="303"/>
      <c r="Q213" s="31"/>
    </row>
    <row r="214" spans="7:17" ht="13.15" x14ac:dyDescent="0.4">
      <c r="G214" s="384"/>
      <c r="O214" s="303"/>
      <c r="Q214" s="31"/>
    </row>
    <row r="215" spans="7:17" ht="13.15" x14ac:dyDescent="0.4">
      <c r="G215" s="384"/>
      <c r="O215" s="303"/>
      <c r="Q215" s="31"/>
    </row>
    <row r="216" spans="7:17" ht="13.15" x14ac:dyDescent="0.4">
      <c r="G216" s="384"/>
      <c r="O216" s="303"/>
      <c r="Q216" s="31"/>
    </row>
    <row r="217" spans="7:17" ht="13.15" x14ac:dyDescent="0.4">
      <c r="G217" s="384"/>
      <c r="O217" s="303"/>
      <c r="Q217" s="31"/>
    </row>
    <row r="218" spans="7:17" ht="13.15" x14ac:dyDescent="0.4">
      <c r="G218" s="384"/>
      <c r="O218" s="303"/>
      <c r="Q218" s="31"/>
    </row>
    <row r="219" spans="7:17" ht="13.15" x14ac:dyDescent="0.4">
      <c r="G219" s="384"/>
      <c r="O219" s="303"/>
      <c r="Q219" s="31"/>
    </row>
    <row r="220" spans="7:17" ht="13.15" x14ac:dyDescent="0.4">
      <c r="G220" s="384"/>
      <c r="O220" s="303"/>
      <c r="Q220" s="31"/>
    </row>
    <row r="221" spans="7:17" ht="13.15" x14ac:dyDescent="0.4">
      <c r="G221" s="384"/>
      <c r="O221" s="303"/>
      <c r="Q221" s="31"/>
    </row>
    <row r="222" spans="7:17" ht="13.15" x14ac:dyDescent="0.4">
      <c r="G222" s="384"/>
      <c r="O222" s="303"/>
      <c r="Q222" s="31"/>
    </row>
    <row r="223" spans="7:17" ht="13.15" x14ac:dyDescent="0.4">
      <c r="G223" s="384"/>
      <c r="O223" s="303"/>
      <c r="Q223" s="31"/>
    </row>
    <row r="224" spans="7:17" ht="13.15" x14ac:dyDescent="0.4">
      <c r="G224" s="384"/>
      <c r="O224" s="303"/>
      <c r="Q224" s="31"/>
    </row>
    <row r="225" spans="7:17" ht="13.15" x14ac:dyDescent="0.4">
      <c r="G225" s="384"/>
      <c r="O225" s="303"/>
      <c r="Q225" s="31"/>
    </row>
    <row r="226" spans="7:17" ht="13.15" x14ac:dyDescent="0.4">
      <c r="G226" s="384"/>
      <c r="O226" s="303"/>
      <c r="Q226" s="31"/>
    </row>
    <row r="227" spans="7:17" ht="13.15" x14ac:dyDescent="0.4">
      <c r="G227" s="384"/>
      <c r="O227" s="303"/>
      <c r="Q227" s="31"/>
    </row>
    <row r="228" spans="7:17" ht="13.15" x14ac:dyDescent="0.4">
      <c r="G228" s="384"/>
      <c r="O228" s="303"/>
      <c r="Q228" s="31"/>
    </row>
    <row r="229" spans="7:17" ht="13.15" x14ac:dyDescent="0.4">
      <c r="G229" s="384"/>
      <c r="O229" s="303"/>
      <c r="Q229" s="31"/>
    </row>
    <row r="230" spans="7:17" ht="13.15" x14ac:dyDescent="0.4">
      <c r="G230" s="384"/>
      <c r="O230" s="303"/>
      <c r="Q230" s="31"/>
    </row>
    <row r="231" spans="7:17" ht="13.15" x14ac:dyDescent="0.4">
      <c r="G231" s="384"/>
      <c r="O231" s="303"/>
      <c r="Q231" s="31"/>
    </row>
    <row r="232" spans="7:17" ht="13.15" x14ac:dyDescent="0.4">
      <c r="G232" s="384"/>
      <c r="O232" s="303"/>
      <c r="Q232" s="31"/>
    </row>
    <row r="233" spans="7:17" ht="13.15" x14ac:dyDescent="0.4">
      <c r="G233" s="384"/>
      <c r="O233" s="303"/>
      <c r="Q233" s="31"/>
    </row>
    <row r="234" spans="7:17" ht="13.15" x14ac:dyDescent="0.4">
      <c r="G234" s="384"/>
      <c r="O234" s="303"/>
      <c r="Q234" s="31"/>
    </row>
    <row r="235" spans="7:17" ht="13.15" x14ac:dyDescent="0.4">
      <c r="G235" s="384"/>
      <c r="O235" s="303"/>
      <c r="Q235" s="31"/>
    </row>
    <row r="236" spans="7:17" ht="13.15" x14ac:dyDescent="0.4">
      <c r="G236" s="384"/>
      <c r="O236" s="303"/>
      <c r="Q236" s="31"/>
    </row>
    <row r="237" spans="7:17" ht="13.15" x14ac:dyDescent="0.4">
      <c r="G237" s="384"/>
      <c r="O237" s="303"/>
      <c r="Q237" s="31"/>
    </row>
    <row r="238" spans="7:17" ht="13.15" x14ac:dyDescent="0.4">
      <c r="G238" s="384"/>
      <c r="O238" s="303"/>
      <c r="Q238" s="31"/>
    </row>
    <row r="239" spans="7:17" ht="13.15" x14ac:dyDescent="0.4">
      <c r="G239" s="384"/>
      <c r="O239" s="303"/>
      <c r="Q239" s="31"/>
    </row>
    <row r="240" spans="7:17" ht="13.15" x14ac:dyDescent="0.4">
      <c r="G240" s="384"/>
      <c r="O240" s="303"/>
      <c r="Q240" s="31"/>
    </row>
    <row r="241" spans="7:17" ht="13.15" x14ac:dyDescent="0.4">
      <c r="G241" s="384"/>
      <c r="O241" s="303"/>
      <c r="Q241" s="31"/>
    </row>
    <row r="242" spans="7:17" ht="13.15" x14ac:dyDescent="0.4">
      <c r="G242" s="384"/>
      <c r="O242" s="303"/>
      <c r="Q242" s="31"/>
    </row>
    <row r="243" spans="7:17" ht="13.15" x14ac:dyDescent="0.4">
      <c r="G243" s="384"/>
      <c r="O243" s="303"/>
      <c r="Q243" s="31"/>
    </row>
    <row r="244" spans="7:17" ht="13.15" x14ac:dyDescent="0.4">
      <c r="G244" s="384"/>
      <c r="O244" s="303"/>
      <c r="Q244" s="31"/>
    </row>
    <row r="245" spans="7:17" ht="13.15" x14ac:dyDescent="0.4">
      <c r="G245" s="384"/>
      <c r="O245" s="303"/>
      <c r="Q245" s="31"/>
    </row>
    <row r="246" spans="7:17" ht="13.15" x14ac:dyDescent="0.4">
      <c r="G246" s="384"/>
      <c r="O246" s="303"/>
      <c r="Q246" s="31"/>
    </row>
    <row r="247" spans="7:17" ht="13.15" x14ac:dyDescent="0.4">
      <c r="G247" s="384"/>
      <c r="O247" s="303"/>
      <c r="Q247" s="31"/>
    </row>
    <row r="248" spans="7:17" ht="13.15" x14ac:dyDescent="0.4">
      <c r="G248" s="384"/>
      <c r="O248" s="303"/>
      <c r="Q248" s="31"/>
    </row>
    <row r="249" spans="7:17" ht="13.15" x14ac:dyDescent="0.4">
      <c r="G249" s="384"/>
      <c r="O249" s="303"/>
      <c r="Q249" s="31"/>
    </row>
    <row r="250" spans="7:17" ht="13.15" x14ac:dyDescent="0.4">
      <c r="G250" s="384"/>
      <c r="O250" s="303"/>
      <c r="Q250" s="31"/>
    </row>
    <row r="251" spans="7:17" ht="13.15" x14ac:dyDescent="0.4">
      <c r="G251" s="384"/>
      <c r="O251" s="303"/>
      <c r="Q251" s="31"/>
    </row>
    <row r="252" spans="7:17" ht="13.15" x14ac:dyDescent="0.4">
      <c r="G252" s="384"/>
      <c r="O252" s="303"/>
      <c r="Q252" s="31"/>
    </row>
    <row r="253" spans="7:17" ht="13.15" x14ac:dyDescent="0.4">
      <c r="G253" s="384"/>
      <c r="O253" s="303"/>
      <c r="Q253" s="31"/>
    </row>
    <row r="254" spans="7:17" ht="13.15" x14ac:dyDescent="0.4">
      <c r="G254" s="384"/>
      <c r="O254" s="303"/>
      <c r="Q254" s="31"/>
    </row>
    <row r="255" spans="7:17" ht="13.15" x14ac:dyDescent="0.4">
      <c r="G255" s="384"/>
      <c r="O255" s="303"/>
      <c r="Q255" s="31"/>
    </row>
    <row r="256" spans="7:17" ht="13.15" x14ac:dyDescent="0.4">
      <c r="G256" s="384"/>
      <c r="O256" s="303"/>
      <c r="Q256" s="31"/>
    </row>
    <row r="257" spans="7:17" ht="13.15" x14ac:dyDescent="0.4">
      <c r="G257" s="384"/>
      <c r="O257" s="303"/>
      <c r="Q257" s="31"/>
    </row>
    <row r="258" spans="7:17" ht="13.15" x14ac:dyDescent="0.4">
      <c r="G258" s="384"/>
      <c r="O258" s="303"/>
      <c r="Q258" s="31"/>
    </row>
    <row r="259" spans="7:17" ht="13.15" x14ac:dyDescent="0.4">
      <c r="G259" s="384"/>
      <c r="O259" s="303"/>
      <c r="Q259" s="31"/>
    </row>
    <row r="260" spans="7:17" ht="13.15" x14ac:dyDescent="0.4">
      <c r="G260" s="384"/>
      <c r="O260" s="303"/>
      <c r="Q260" s="31"/>
    </row>
    <row r="261" spans="7:17" ht="13.15" x14ac:dyDescent="0.4">
      <c r="G261" s="384"/>
      <c r="O261" s="303"/>
      <c r="Q261" s="31"/>
    </row>
    <row r="262" spans="7:17" ht="13.15" x14ac:dyDescent="0.4">
      <c r="G262" s="384"/>
      <c r="O262" s="303"/>
      <c r="Q262" s="31"/>
    </row>
    <row r="263" spans="7:17" ht="13.15" x14ac:dyDescent="0.4">
      <c r="G263" s="384"/>
      <c r="O263" s="303"/>
      <c r="Q263" s="31"/>
    </row>
    <row r="264" spans="7:17" ht="13.15" x14ac:dyDescent="0.4">
      <c r="G264" s="384"/>
      <c r="O264" s="303"/>
      <c r="Q264" s="31"/>
    </row>
    <row r="265" spans="7:17" ht="13.15" x14ac:dyDescent="0.4">
      <c r="G265" s="384"/>
      <c r="O265" s="303"/>
      <c r="Q265" s="31"/>
    </row>
    <row r="266" spans="7:17" ht="13.15" x14ac:dyDescent="0.4">
      <c r="G266" s="384"/>
      <c r="O266" s="303"/>
      <c r="Q266" s="31"/>
    </row>
    <row r="267" spans="7:17" ht="13.15" x14ac:dyDescent="0.4">
      <c r="G267" s="384"/>
      <c r="O267" s="303"/>
      <c r="Q267" s="31"/>
    </row>
    <row r="268" spans="7:17" ht="13.15" x14ac:dyDescent="0.4">
      <c r="G268" s="384"/>
      <c r="O268" s="303"/>
      <c r="Q268" s="31"/>
    </row>
    <row r="269" spans="7:17" ht="13.15" x14ac:dyDescent="0.4">
      <c r="G269" s="384"/>
      <c r="O269" s="303"/>
      <c r="Q269" s="31"/>
    </row>
    <row r="270" spans="7:17" ht="13.15" x14ac:dyDescent="0.4">
      <c r="G270" s="384"/>
      <c r="O270" s="303"/>
      <c r="Q270" s="31"/>
    </row>
    <row r="271" spans="7:17" ht="13.15" x14ac:dyDescent="0.4">
      <c r="G271" s="384"/>
      <c r="O271" s="303"/>
      <c r="Q271" s="31"/>
    </row>
    <row r="272" spans="7:17" ht="13.15" x14ac:dyDescent="0.4">
      <c r="G272" s="384"/>
      <c r="O272" s="303"/>
      <c r="Q272" s="31"/>
    </row>
    <row r="273" spans="7:17" ht="13.15" x14ac:dyDescent="0.4">
      <c r="G273" s="384"/>
      <c r="O273" s="303"/>
      <c r="Q273" s="31"/>
    </row>
    <row r="274" spans="7:17" ht="13.15" x14ac:dyDescent="0.4">
      <c r="G274" s="384"/>
      <c r="O274" s="303"/>
      <c r="Q274" s="31"/>
    </row>
    <row r="275" spans="7:17" ht="13.15" x14ac:dyDescent="0.4">
      <c r="G275" s="384"/>
      <c r="O275" s="303"/>
      <c r="Q275" s="31"/>
    </row>
    <row r="276" spans="7:17" ht="13.15" x14ac:dyDescent="0.4">
      <c r="G276" s="384"/>
      <c r="O276" s="303"/>
      <c r="Q276" s="31"/>
    </row>
    <row r="277" spans="7:17" ht="13.15" x14ac:dyDescent="0.4">
      <c r="G277" s="384"/>
      <c r="O277" s="303"/>
      <c r="Q277" s="31"/>
    </row>
    <row r="278" spans="7:17" ht="13.15" x14ac:dyDescent="0.4">
      <c r="G278" s="384"/>
      <c r="O278" s="303"/>
      <c r="Q278" s="31"/>
    </row>
    <row r="279" spans="7:17" ht="13.15" x14ac:dyDescent="0.4">
      <c r="G279" s="384"/>
      <c r="O279" s="303"/>
      <c r="Q279" s="31"/>
    </row>
    <row r="280" spans="7:17" ht="13.15" x14ac:dyDescent="0.4">
      <c r="G280" s="384"/>
      <c r="O280" s="303"/>
      <c r="Q280" s="31"/>
    </row>
    <row r="281" spans="7:17" ht="13.15" x14ac:dyDescent="0.4">
      <c r="G281" s="384"/>
      <c r="O281" s="303"/>
      <c r="Q281" s="31"/>
    </row>
    <row r="282" spans="7:17" ht="13.15" x14ac:dyDescent="0.4">
      <c r="G282" s="384"/>
      <c r="O282" s="303"/>
      <c r="Q282" s="31"/>
    </row>
    <row r="283" spans="7:17" ht="13.15" x14ac:dyDescent="0.4">
      <c r="G283" s="384"/>
      <c r="O283" s="303"/>
      <c r="Q283" s="31"/>
    </row>
    <row r="284" spans="7:17" ht="13.15" x14ac:dyDescent="0.4">
      <c r="G284" s="384"/>
      <c r="O284" s="303"/>
      <c r="Q284" s="31"/>
    </row>
    <row r="285" spans="7:17" ht="13.15" x14ac:dyDescent="0.4">
      <c r="G285" s="384"/>
      <c r="O285" s="303"/>
      <c r="Q285" s="31"/>
    </row>
    <row r="286" spans="7:17" ht="13.15" x14ac:dyDescent="0.4">
      <c r="G286" s="384"/>
      <c r="O286" s="303"/>
      <c r="Q286" s="31"/>
    </row>
    <row r="287" spans="7:17" ht="13.15" x14ac:dyDescent="0.4">
      <c r="G287" s="384"/>
      <c r="O287" s="303"/>
      <c r="Q287" s="31"/>
    </row>
    <row r="288" spans="7:17" ht="13.15" x14ac:dyDescent="0.4">
      <c r="G288" s="384"/>
      <c r="O288" s="303"/>
      <c r="Q288" s="31"/>
    </row>
    <row r="289" spans="7:17" ht="13.15" x14ac:dyDescent="0.4">
      <c r="G289" s="384"/>
      <c r="O289" s="303"/>
      <c r="Q289" s="31"/>
    </row>
    <row r="290" spans="7:17" ht="13.15" x14ac:dyDescent="0.4">
      <c r="G290" s="384"/>
      <c r="O290" s="303"/>
      <c r="Q290" s="31"/>
    </row>
    <row r="291" spans="7:17" ht="13.15" x14ac:dyDescent="0.4">
      <c r="G291" s="384"/>
      <c r="O291" s="303"/>
      <c r="Q291" s="31"/>
    </row>
    <row r="292" spans="7:17" ht="13.15" x14ac:dyDescent="0.4">
      <c r="G292" s="384"/>
      <c r="O292" s="303"/>
      <c r="Q292" s="31"/>
    </row>
    <row r="293" spans="7:17" ht="13.15" x14ac:dyDescent="0.4">
      <c r="G293" s="384"/>
      <c r="O293" s="303"/>
      <c r="Q293" s="31"/>
    </row>
    <row r="294" spans="7:17" ht="13.15" x14ac:dyDescent="0.4">
      <c r="G294" s="384"/>
      <c r="O294" s="303"/>
      <c r="Q294" s="31"/>
    </row>
    <row r="295" spans="7:17" ht="13.15" x14ac:dyDescent="0.4">
      <c r="G295" s="384"/>
      <c r="O295" s="303"/>
      <c r="Q295" s="31"/>
    </row>
    <row r="296" spans="7:17" ht="13.15" x14ac:dyDescent="0.4">
      <c r="G296" s="384"/>
      <c r="O296" s="303"/>
      <c r="Q296" s="31"/>
    </row>
    <row r="297" spans="7:17" ht="13.15" x14ac:dyDescent="0.4">
      <c r="G297" s="384"/>
      <c r="O297" s="303"/>
      <c r="Q297" s="31"/>
    </row>
    <row r="298" spans="7:17" ht="13.15" x14ac:dyDescent="0.4">
      <c r="G298" s="384"/>
      <c r="O298" s="303"/>
      <c r="Q298" s="31"/>
    </row>
    <row r="299" spans="7:17" ht="13.15" x14ac:dyDescent="0.4">
      <c r="G299" s="384"/>
      <c r="O299" s="303"/>
      <c r="Q299" s="31"/>
    </row>
    <row r="300" spans="7:17" ht="13.15" x14ac:dyDescent="0.4">
      <c r="G300" s="384"/>
      <c r="O300" s="303"/>
      <c r="Q300" s="31"/>
    </row>
    <row r="301" spans="7:17" ht="13.15" x14ac:dyDescent="0.4">
      <c r="G301" s="384"/>
      <c r="O301" s="303"/>
      <c r="Q301" s="31"/>
    </row>
    <row r="302" spans="7:17" ht="13.15" x14ac:dyDescent="0.4">
      <c r="G302" s="384"/>
      <c r="O302" s="303"/>
      <c r="Q302" s="31"/>
    </row>
    <row r="303" spans="7:17" ht="13.15" x14ac:dyDescent="0.4">
      <c r="G303" s="384"/>
      <c r="O303" s="303"/>
      <c r="Q303" s="31"/>
    </row>
    <row r="304" spans="7:17" ht="13.15" x14ac:dyDescent="0.4">
      <c r="G304" s="384"/>
      <c r="O304" s="303"/>
      <c r="Q304" s="31"/>
    </row>
    <row r="305" spans="7:17" ht="13.15" x14ac:dyDescent="0.4">
      <c r="G305" s="384"/>
      <c r="O305" s="303"/>
      <c r="Q305" s="31"/>
    </row>
    <row r="306" spans="7:17" ht="13.15" x14ac:dyDescent="0.4">
      <c r="G306" s="384"/>
      <c r="O306" s="303"/>
      <c r="Q306" s="31"/>
    </row>
    <row r="307" spans="7:17" ht="13.15" x14ac:dyDescent="0.4">
      <c r="G307" s="384"/>
      <c r="O307" s="303"/>
      <c r="Q307" s="31"/>
    </row>
    <row r="308" spans="7:17" ht="13.15" x14ac:dyDescent="0.4">
      <c r="G308" s="384"/>
      <c r="O308" s="303"/>
      <c r="Q308" s="31"/>
    </row>
    <row r="309" spans="7:17" ht="13.15" x14ac:dyDescent="0.4">
      <c r="G309" s="384"/>
      <c r="O309" s="303"/>
      <c r="Q309" s="31"/>
    </row>
    <row r="310" spans="7:17" ht="13.15" x14ac:dyDescent="0.4">
      <c r="G310" s="384"/>
      <c r="O310" s="303"/>
      <c r="Q310" s="31"/>
    </row>
    <row r="311" spans="7:17" ht="13.15" x14ac:dyDescent="0.4">
      <c r="G311" s="384"/>
      <c r="O311" s="303"/>
      <c r="Q311" s="31"/>
    </row>
    <row r="312" spans="7:17" ht="13.15" x14ac:dyDescent="0.4">
      <c r="G312" s="384"/>
      <c r="O312" s="303"/>
      <c r="Q312" s="31"/>
    </row>
    <row r="313" spans="7:17" ht="13.15" x14ac:dyDescent="0.4">
      <c r="G313" s="384"/>
      <c r="O313" s="303"/>
      <c r="Q313" s="31"/>
    </row>
    <row r="314" spans="7:17" ht="13.15" x14ac:dyDescent="0.4">
      <c r="G314" s="384"/>
      <c r="O314" s="303"/>
      <c r="Q314" s="31"/>
    </row>
    <row r="315" spans="7:17" ht="13.15" x14ac:dyDescent="0.4">
      <c r="G315" s="384"/>
      <c r="O315" s="303"/>
      <c r="Q315" s="31"/>
    </row>
    <row r="316" spans="7:17" ht="13.15" x14ac:dyDescent="0.4">
      <c r="G316" s="384"/>
      <c r="O316" s="303"/>
      <c r="Q316" s="31"/>
    </row>
    <row r="317" spans="7:17" ht="13.15" x14ac:dyDescent="0.4">
      <c r="G317" s="384"/>
      <c r="O317" s="303"/>
      <c r="Q317" s="31"/>
    </row>
    <row r="318" spans="7:17" ht="13.15" x14ac:dyDescent="0.4">
      <c r="G318" s="384"/>
      <c r="O318" s="303"/>
      <c r="Q318" s="31"/>
    </row>
    <row r="319" spans="7:17" ht="13.15" x14ac:dyDescent="0.4">
      <c r="G319" s="384"/>
      <c r="O319" s="303"/>
      <c r="Q319" s="31"/>
    </row>
    <row r="320" spans="7:17" ht="13.15" x14ac:dyDescent="0.4">
      <c r="G320" s="384"/>
      <c r="O320" s="303"/>
      <c r="Q320" s="31"/>
    </row>
    <row r="321" spans="7:17" ht="13.15" x14ac:dyDescent="0.4">
      <c r="G321" s="384"/>
      <c r="O321" s="303"/>
      <c r="Q321" s="31"/>
    </row>
    <row r="322" spans="7:17" ht="13.15" x14ac:dyDescent="0.4">
      <c r="G322" s="384"/>
      <c r="O322" s="303"/>
      <c r="Q322" s="31"/>
    </row>
    <row r="323" spans="7:17" ht="13.15" x14ac:dyDescent="0.4">
      <c r="G323" s="384"/>
      <c r="O323" s="303"/>
      <c r="Q323" s="31"/>
    </row>
    <row r="324" spans="7:17" ht="13.15" x14ac:dyDescent="0.4">
      <c r="G324" s="384"/>
      <c r="O324" s="303"/>
      <c r="Q324" s="31"/>
    </row>
    <row r="325" spans="7:17" ht="13.15" x14ac:dyDescent="0.4">
      <c r="G325" s="384"/>
      <c r="O325" s="303"/>
      <c r="Q325" s="31"/>
    </row>
    <row r="326" spans="7:17" ht="13.15" x14ac:dyDescent="0.4">
      <c r="G326" s="384"/>
      <c r="O326" s="303"/>
      <c r="Q326" s="31"/>
    </row>
    <row r="327" spans="7:17" ht="13.15" x14ac:dyDescent="0.4">
      <c r="G327" s="384"/>
      <c r="O327" s="303"/>
      <c r="Q327" s="31"/>
    </row>
    <row r="328" spans="7:17" ht="13.15" x14ac:dyDescent="0.4">
      <c r="G328" s="384"/>
      <c r="O328" s="303"/>
      <c r="Q328" s="31"/>
    </row>
    <row r="329" spans="7:17" ht="13.15" x14ac:dyDescent="0.4">
      <c r="G329" s="384"/>
      <c r="O329" s="303"/>
      <c r="Q329" s="31"/>
    </row>
    <row r="330" spans="7:17" ht="13.15" x14ac:dyDescent="0.4">
      <c r="G330" s="384"/>
      <c r="O330" s="303"/>
      <c r="Q330" s="31"/>
    </row>
    <row r="331" spans="7:17" ht="13.15" x14ac:dyDescent="0.4">
      <c r="G331" s="384"/>
      <c r="O331" s="303"/>
      <c r="Q331" s="31"/>
    </row>
    <row r="332" spans="7:17" ht="13.15" x14ac:dyDescent="0.4">
      <c r="G332" s="384"/>
      <c r="O332" s="303"/>
      <c r="Q332" s="31"/>
    </row>
    <row r="333" spans="7:17" ht="13.15" x14ac:dyDescent="0.4">
      <c r="G333" s="384"/>
      <c r="O333" s="303"/>
      <c r="Q333" s="31"/>
    </row>
    <row r="334" spans="7:17" ht="13.15" x14ac:dyDescent="0.4">
      <c r="G334" s="384"/>
      <c r="O334" s="303"/>
      <c r="Q334" s="31"/>
    </row>
    <row r="335" spans="7:17" ht="13.15" x14ac:dyDescent="0.4">
      <c r="G335" s="384"/>
      <c r="O335" s="303"/>
      <c r="Q335" s="31"/>
    </row>
    <row r="336" spans="7:17" ht="13.15" x14ac:dyDescent="0.4">
      <c r="G336" s="384"/>
      <c r="O336" s="303"/>
      <c r="Q336" s="31"/>
    </row>
    <row r="337" spans="7:17" ht="13.15" x14ac:dyDescent="0.4">
      <c r="G337" s="384"/>
      <c r="O337" s="303"/>
      <c r="Q337" s="31"/>
    </row>
    <row r="338" spans="7:17" ht="13.15" x14ac:dyDescent="0.4">
      <c r="G338" s="384"/>
      <c r="O338" s="303"/>
      <c r="Q338" s="31"/>
    </row>
    <row r="339" spans="7:17" ht="13.15" x14ac:dyDescent="0.4">
      <c r="G339" s="384"/>
      <c r="O339" s="303"/>
      <c r="Q339" s="31"/>
    </row>
    <row r="340" spans="7:17" ht="13.15" x14ac:dyDescent="0.4">
      <c r="G340" s="384"/>
      <c r="O340" s="303"/>
      <c r="Q340" s="31"/>
    </row>
    <row r="341" spans="7:17" ht="13.15" x14ac:dyDescent="0.4">
      <c r="G341" s="384"/>
      <c r="O341" s="303"/>
      <c r="Q341" s="31"/>
    </row>
    <row r="342" spans="7:17" ht="13.15" x14ac:dyDescent="0.4">
      <c r="G342" s="384"/>
      <c r="O342" s="303"/>
      <c r="Q342" s="31"/>
    </row>
    <row r="343" spans="7:17" ht="13.15" x14ac:dyDescent="0.4">
      <c r="G343" s="384"/>
      <c r="O343" s="303"/>
      <c r="Q343" s="31"/>
    </row>
    <row r="344" spans="7:17" ht="13.15" x14ac:dyDescent="0.4">
      <c r="G344" s="384"/>
      <c r="O344" s="303"/>
      <c r="Q344" s="31"/>
    </row>
    <row r="345" spans="7:17" ht="13.15" x14ac:dyDescent="0.4">
      <c r="G345" s="384"/>
      <c r="O345" s="303"/>
      <c r="Q345" s="31"/>
    </row>
    <row r="346" spans="7:17" ht="13.15" x14ac:dyDescent="0.4">
      <c r="G346" s="384"/>
      <c r="O346" s="303"/>
      <c r="Q346" s="31"/>
    </row>
    <row r="347" spans="7:17" ht="13.15" x14ac:dyDescent="0.4">
      <c r="G347" s="384"/>
      <c r="O347" s="303"/>
      <c r="Q347" s="31"/>
    </row>
    <row r="348" spans="7:17" ht="13.15" x14ac:dyDescent="0.4">
      <c r="G348" s="384"/>
      <c r="O348" s="303"/>
      <c r="Q348" s="31"/>
    </row>
    <row r="349" spans="7:17" ht="13.15" x14ac:dyDescent="0.4">
      <c r="G349" s="384"/>
      <c r="O349" s="303"/>
      <c r="Q349" s="31"/>
    </row>
    <row r="350" spans="7:17" ht="13.15" x14ac:dyDescent="0.4">
      <c r="G350" s="384"/>
      <c r="O350" s="303"/>
      <c r="Q350" s="31"/>
    </row>
    <row r="351" spans="7:17" ht="13.15" x14ac:dyDescent="0.4">
      <c r="G351" s="384"/>
      <c r="O351" s="303"/>
      <c r="Q351" s="31"/>
    </row>
    <row r="352" spans="7:17" ht="13.15" x14ac:dyDescent="0.4">
      <c r="G352" s="384"/>
      <c r="O352" s="303"/>
      <c r="Q352" s="31"/>
    </row>
    <row r="353" spans="7:17" ht="13.15" x14ac:dyDescent="0.4">
      <c r="G353" s="384"/>
      <c r="O353" s="303"/>
      <c r="Q353" s="31"/>
    </row>
    <row r="354" spans="7:17" ht="13.15" x14ac:dyDescent="0.4">
      <c r="G354" s="384"/>
      <c r="O354" s="303"/>
      <c r="Q354" s="31"/>
    </row>
    <row r="355" spans="7:17" ht="13.15" x14ac:dyDescent="0.4">
      <c r="G355" s="384"/>
      <c r="O355" s="303"/>
      <c r="Q355" s="31"/>
    </row>
    <row r="356" spans="7:17" ht="13.15" x14ac:dyDescent="0.4">
      <c r="G356" s="384"/>
      <c r="O356" s="303"/>
      <c r="Q356" s="31"/>
    </row>
    <row r="357" spans="7:17" ht="13.15" x14ac:dyDescent="0.4">
      <c r="G357" s="384"/>
      <c r="O357" s="303"/>
      <c r="Q357" s="31"/>
    </row>
    <row r="358" spans="7:17" ht="13.15" x14ac:dyDescent="0.4">
      <c r="G358" s="384"/>
      <c r="O358" s="303"/>
      <c r="Q358" s="31"/>
    </row>
    <row r="359" spans="7:17" ht="13.15" x14ac:dyDescent="0.4">
      <c r="G359" s="384"/>
      <c r="O359" s="303"/>
      <c r="Q359" s="31"/>
    </row>
    <row r="360" spans="7:17" ht="13.15" x14ac:dyDescent="0.4">
      <c r="G360" s="384"/>
      <c r="O360" s="303"/>
      <c r="Q360" s="31"/>
    </row>
    <row r="361" spans="7:17" ht="13.15" x14ac:dyDescent="0.4">
      <c r="G361" s="384"/>
      <c r="O361" s="303"/>
      <c r="Q361" s="31"/>
    </row>
    <row r="362" spans="7:17" ht="13.15" x14ac:dyDescent="0.4">
      <c r="G362" s="384"/>
      <c r="O362" s="303"/>
      <c r="Q362" s="31"/>
    </row>
    <row r="363" spans="7:17" ht="13.15" x14ac:dyDescent="0.4">
      <c r="G363" s="384"/>
      <c r="O363" s="303"/>
      <c r="Q363" s="31"/>
    </row>
    <row r="364" spans="7:17" ht="13.15" x14ac:dyDescent="0.4">
      <c r="G364" s="384"/>
      <c r="O364" s="303"/>
      <c r="Q364" s="31"/>
    </row>
    <row r="365" spans="7:17" ht="13.15" x14ac:dyDescent="0.4">
      <c r="G365" s="384"/>
      <c r="O365" s="303"/>
      <c r="Q365" s="31"/>
    </row>
    <row r="366" spans="7:17" ht="13.15" x14ac:dyDescent="0.4">
      <c r="G366" s="384"/>
      <c r="O366" s="303"/>
      <c r="Q366" s="31"/>
    </row>
    <row r="367" spans="7:17" ht="13.15" x14ac:dyDescent="0.4">
      <c r="G367" s="384"/>
      <c r="O367" s="303"/>
      <c r="Q367" s="31"/>
    </row>
    <row r="368" spans="7:17" ht="13.15" x14ac:dyDescent="0.4">
      <c r="G368" s="384"/>
      <c r="O368" s="303"/>
      <c r="Q368" s="31"/>
    </row>
    <row r="369" spans="7:17" ht="13.15" x14ac:dyDescent="0.4">
      <c r="G369" s="384"/>
      <c r="O369" s="303"/>
      <c r="Q369" s="31"/>
    </row>
    <row r="370" spans="7:17" ht="13.15" x14ac:dyDescent="0.4">
      <c r="G370" s="384"/>
      <c r="O370" s="303"/>
      <c r="Q370" s="31"/>
    </row>
    <row r="371" spans="7:17" ht="13.15" x14ac:dyDescent="0.4">
      <c r="G371" s="384"/>
      <c r="O371" s="303"/>
      <c r="Q371" s="31"/>
    </row>
    <row r="372" spans="7:17" ht="13.15" x14ac:dyDescent="0.4">
      <c r="G372" s="384"/>
      <c r="O372" s="303"/>
      <c r="Q372" s="31"/>
    </row>
    <row r="373" spans="7:17" ht="13.15" x14ac:dyDescent="0.4">
      <c r="G373" s="384"/>
      <c r="O373" s="303"/>
      <c r="Q373" s="31"/>
    </row>
    <row r="374" spans="7:17" ht="13.15" x14ac:dyDescent="0.4">
      <c r="G374" s="384"/>
      <c r="O374" s="303"/>
      <c r="Q374" s="31"/>
    </row>
    <row r="375" spans="7:17" ht="13.15" x14ac:dyDescent="0.4">
      <c r="G375" s="384"/>
      <c r="O375" s="303"/>
      <c r="Q375" s="31"/>
    </row>
    <row r="376" spans="7:17" ht="13.15" x14ac:dyDescent="0.4">
      <c r="G376" s="384"/>
      <c r="O376" s="303"/>
      <c r="Q376" s="31"/>
    </row>
    <row r="377" spans="7:17" ht="13.15" x14ac:dyDescent="0.4">
      <c r="G377" s="384"/>
      <c r="O377" s="303"/>
      <c r="Q377" s="31"/>
    </row>
    <row r="378" spans="7:17" ht="13.15" x14ac:dyDescent="0.4">
      <c r="G378" s="384"/>
      <c r="O378" s="303"/>
      <c r="Q378" s="31"/>
    </row>
    <row r="379" spans="7:17" ht="13.15" x14ac:dyDescent="0.4">
      <c r="G379" s="384"/>
      <c r="O379" s="303"/>
      <c r="Q379" s="31"/>
    </row>
    <row r="380" spans="7:17" ht="13.15" x14ac:dyDescent="0.4">
      <c r="G380" s="384"/>
      <c r="O380" s="303"/>
      <c r="Q380" s="31"/>
    </row>
    <row r="381" spans="7:17" ht="13.15" x14ac:dyDescent="0.4">
      <c r="G381" s="384"/>
      <c r="O381" s="303"/>
      <c r="Q381" s="31"/>
    </row>
    <row r="382" spans="7:17" ht="13.15" x14ac:dyDescent="0.4">
      <c r="G382" s="384"/>
      <c r="O382" s="303"/>
      <c r="Q382" s="31"/>
    </row>
    <row r="383" spans="7:17" ht="13.15" x14ac:dyDescent="0.4">
      <c r="G383" s="384"/>
      <c r="O383" s="303"/>
      <c r="Q383" s="31"/>
    </row>
    <row r="384" spans="7:17" ht="13.15" x14ac:dyDescent="0.4">
      <c r="G384" s="384"/>
      <c r="O384" s="303"/>
      <c r="Q384" s="31"/>
    </row>
    <row r="385" spans="7:17" ht="13.15" x14ac:dyDescent="0.4">
      <c r="G385" s="384"/>
      <c r="O385" s="303"/>
      <c r="Q385" s="31"/>
    </row>
    <row r="386" spans="7:17" ht="13.15" x14ac:dyDescent="0.4">
      <c r="G386" s="384"/>
      <c r="O386" s="303"/>
      <c r="Q386" s="31"/>
    </row>
    <row r="387" spans="7:17" ht="13.15" x14ac:dyDescent="0.4">
      <c r="G387" s="384"/>
      <c r="O387" s="303"/>
      <c r="Q387" s="31"/>
    </row>
    <row r="388" spans="7:17" ht="13.15" x14ac:dyDescent="0.4">
      <c r="G388" s="384"/>
      <c r="O388" s="303"/>
      <c r="Q388" s="31"/>
    </row>
    <row r="389" spans="7:17" ht="13.15" x14ac:dyDescent="0.4">
      <c r="G389" s="384"/>
      <c r="O389" s="303"/>
      <c r="Q389" s="31"/>
    </row>
    <row r="390" spans="7:17" ht="13.15" x14ac:dyDescent="0.4">
      <c r="G390" s="384"/>
      <c r="O390" s="303"/>
      <c r="Q390" s="31"/>
    </row>
    <row r="391" spans="7:17" ht="13.15" x14ac:dyDescent="0.4">
      <c r="G391" s="384"/>
      <c r="O391" s="303"/>
      <c r="Q391" s="31"/>
    </row>
    <row r="392" spans="7:17" ht="13.15" x14ac:dyDescent="0.4">
      <c r="G392" s="384"/>
      <c r="O392" s="303"/>
      <c r="Q392" s="31"/>
    </row>
    <row r="393" spans="7:17" ht="13.15" x14ac:dyDescent="0.4">
      <c r="G393" s="384"/>
      <c r="O393" s="303"/>
      <c r="Q393" s="31"/>
    </row>
    <row r="394" spans="7:17" ht="13.15" x14ac:dyDescent="0.4">
      <c r="G394" s="384"/>
      <c r="O394" s="303"/>
      <c r="Q394" s="31"/>
    </row>
    <row r="395" spans="7:17" ht="13.15" x14ac:dyDescent="0.4">
      <c r="G395" s="384"/>
      <c r="O395" s="303"/>
      <c r="Q395" s="31"/>
    </row>
    <row r="396" spans="7:17" ht="13.15" x14ac:dyDescent="0.4">
      <c r="G396" s="384"/>
      <c r="O396" s="303"/>
      <c r="Q396" s="31"/>
    </row>
    <row r="397" spans="7:17" ht="13.15" x14ac:dyDescent="0.4">
      <c r="G397" s="384"/>
      <c r="O397" s="303"/>
      <c r="Q397" s="31"/>
    </row>
    <row r="398" spans="7:17" ht="13.15" x14ac:dyDescent="0.4">
      <c r="G398" s="384"/>
      <c r="O398" s="303"/>
      <c r="Q398" s="31"/>
    </row>
    <row r="399" spans="7:17" ht="13.15" x14ac:dyDescent="0.4">
      <c r="G399" s="384"/>
      <c r="O399" s="303"/>
      <c r="Q399" s="31"/>
    </row>
    <row r="400" spans="7:17" ht="13.15" x14ac:dyDescent="0.4">
      <c r="G400" s="384"/>
      <c r="O400" s="303"/>
      <c r="Q400" s="31"/>
    </row>
    <row r="401" spans="7:17" ht="13.15" x14ac:dyDescent="0.4">
      <c r="G401" s="384"/>
      <c r="O401" s="303"/>
      <c r="Q401" s="31"/>
    </row>
    <row r="402" spans="7:17" ht="13.15" x14ac:dyDescent="0.4">
      <c r="G402" s="384"/>
      <c r="O402" s="303"/>
      <c r="Q402" s="31"/>
    </row>
    <row r="403" spans="7:17" ht="13.15" x14ac:dyDescent="0.4">
      <c r="G403" s="384"/>
      <c r="O403" s="303"/>
      <c r="Q403" s="31"/>
    </row>
    <row r="404" spans="7:17" ht="13.15" x14ac:dyDescent="0.4">
      <c r="G404" s="384"/>
      <c r="O404" s="303"/>
      <c r="Q404" s="31"/>
    </row>
    <row r="405" spans="7:17" ht="13.15" x14ac:dyDescent="0.4">
      <c r="G405" s="384"/>
      <c r="O405" s="303"/>
      <c r="Q405" s="31"/>
    </row>
    <row r="406" spans="7:17" ht="13.15" x14ac:dyDescent="0.4">
      <c r="G406" s="384"/>
      <c r="O406" s="303"/>
      <c r="Q406" s="31"/>
    </row>
    <row r="407" spans="7:17" ht="13.15" x14ac:dyDescent="0.4">
      <c r="G407" s="384"/>
      <c r="O407" s="303"/>
      <c r="Q407" s="31"/>
    </row>
    <row r="408" spans="7:17" ht="13.15" x14ac:dyDescent="0.4">
      <c r="G408" s="384"/>
      <c r="O408" s="303"/>
      <c r="Q408" s="31"/>
    </row>
    <row r="409" spans="7:17" ht="13.15" x14ac:dyDescent="0.4">
      <c r="G409" s="384"/>
      <c r="O409" s="303"/>
      <c r="Q409" s="31"/>
    </row>
    <row r="410" spans="7:17" ht="13.15" x14ac:dyDescent="0.4">
      <c r="G410" s="384"/>
      <c r="O410" s="303"/>
      <c r="Q410" s="31"/>
    </row>
    <row r="411" spans="7:17" ht="13.15" x14ac:dyDescent="0.4">
      <c r="G411" s="384"/>
      <c r="O411" s="303"/>
      <c r="Q411" s="31"/>
    </row>
    <row r="412" spans="7:17" ht="13.15" x14ac:dyDescent="0.4">
      <c r="G412" s="384"/>
      <c r="O412" s="303"/>
      <c r="Q412" s="31"/>
    </row>
    <row r="413" spans="7:17" ht="13.15" x14ac:dyDescent="0.4">
      <c r="G413" s="384"/>
      <c r="O413" s="303"/>
      <c r="Q413" s="31"/>
    </row>
    <row r="414" spans="7:17" ht="13.15" x14ac:dyDescent="0.4">
      <c r="G414" s="384"/>
      <c r="O414" s="303"/>
      <c r="Q414" s="31"/>
    </row>
    <row r="415" spans="7:17" ht="13.15" x14ac:dyDescent="0.4">
      <c r="G415" s="384"/>
      <c r="O415" s="303"/>
      <c r="Q415" s="31"/>
    </row>
    <row r="416" spans="7:17" ht="13.15" x14ac:dyDescent="0.4">
      <c r="G416" s="384"/>
      <c r="O416" s="303"/>
      <c r="Q416" s="31"/>
    </row>
    <row r="417" spans="7:17" ht="13.15" x14ac:dyDescent="0.4">
      <c r="G417" s="384"/>
      <c r="O417" s="303"/>
      <c r="Q417" s="31"/>
    </row>
    <row r="418" spans="7:17" ht="13.15" x14ac:dyDescent="0.4">
      <c r="G418" s="384"/>
      <c r="O418" s="303"/>
      <c r="Q418" s="31"/>
    </row>
    <row r="419" spans="7:17" ht="13.15" x14ac:dyDescent="0.4">
      <c r="G419" s="384"/>
      <c r="O419" s="303"/>
      <c r="Q419" s="31"/>
    </row>
    <row r="420" spans="7:17" ht="13.15" x14ac:dyDescent="0.4">
      <c r="G420" s="384"/>
      <c r="O420" s="303"/>
      <c r="Q420" s="31"/>
    </row>
    <row r="421" spans="7:17" ht="13.15" x14ac:dyDescent="0.4">
      <c r="G421" s="384"/>
      <c r="O421" s="303"/>
      <c r="Q421" s="31"/>
    </row>
    <row r="422" spans="7:17" ht="13.15" x14ac:dyDescent="0.4">
      <c r="G422" s="384"/>
      <c r="O422" s="303"/>
      <c r="Q422" s="31"/>
    </row>
    <row r="423" spans="7:17" ht="13.15" x14ac:dyDescent="0.4">
      <c r="G423" s="384"/>
      <c r="O423" s="303"/>
      <c r="Q423" s="31"/>
    </row>
    <row r="424" spans="7:17" ht="13.15" x14ac:dyDescent="0.4">
      <c r="G424" s="384"/>
      <c r="O424" s="303"/>
      <c r="Q424" s="31"/>
    </row>
    <row r="425" spans="7:17" ht="13.15" x14ac:dyDescent="0.4">
      <c r="G425" s="384"/>
      <c r="O425" s="303"/>
      <c r="Q425" s="31"/>
    </row>
    <row r="426" spans="7:17" ht="13.15" x14ac:dyDescent="0.4">
      <c r="G426" s="384"/>
      <c r="O426" s="303"/>
      <c r="Q426" s="31"/>
    </row>
    <row r="427" spans="7:17" ht="13.15" x14ac:dyDescent="0.4">
      <c r="G427" s="384"/>
      <c r="O427" s="303"/>
      <c r="Q427" s="31"/>
    </row>
    <row r="428" spans="7:17" ht="13.15" x14ac:dyDescent="0.4">
      <c r="G428" s="384"/>
      <c r="O428" s="303"/>
      <c r="Q428" s="31"/>
    </row>
    <row r="429" spans="7:17" ht="13.15" x14ac:dyDescent="0.4">
      <c r="G429" s="384"/>
      <c r="O429" s="303"/>
      <c r="Q429" s="31"/>
    </row>
    <row r="430" spans="7:17" ht="13.15" x14ac:dyDescent="0.4">
      <c r="G430" s="384"/>
      <c r="O430" s="303"/>
      <c r="Q430" s="31"/>
    </row>
    <row r="431" spans="7:17" ht="13.15" x14ac:dyDescent="0.4">
      <c r="G431" s="384"/>
      <c r="O431" s="303"/>
      <c r="Q431" s="31"/>
    </row>
    <row r="432" spans="7:17" ht="13.15" x14ac:dyDescent="0.4">
      <c r="G432" s="384"/>
      <c r="O432" s="303"/>
      <c r="Q432" s="31"/>
    </row>
    <row r="433" spans="7:17" ht="13.15" x14ac:dyDescent="0.4">
      <c r="G433" s="384"/>
      <c r="O433" s="303"/>
      <c r="Q433" s="31"/>
    </row>
    <row r="434" spans="7:17" ht="13.15" x14ac:dyDescent="0.4">
      <c r="G434" s="384"/>
      <c r="O434" s="303"/>
      <c r="Q434" s="31"/>
    </row>
    <row r="435" spans="7:17" ht="13.15" x14ac:dyDescent="0.4">
      <c r="G435" s="384"/>
      <c r="O435" s="303"/>
      <c r="Q435" s="31"/>
    </row>
    <row r="436" spans="7:17" ht="13.15" x14ac:dyDescent="0.4">
      <c r="G436" s="384"/>
      <c r="O436" s="303"/>
      <c r="Q436" s="31"/>
    </row>
    <row r="437" spans="7:17" ht="13.15" x14ac:dyDescent="0.4">
      <c r="G437" s="384"/>
      <c r="O437" s="303"/>
      <c r="Q437" s="31"/>
    </row>
    <row r="438" spans="7:17" ht="13.15" x14ac:dyDescent="0.4">
      <c r="G438" s="384"/>
      <c r="O438" s="303"/>
      <c r="Q438" s="31"/>
    </row>
    <row r="439" spans="7:17" ht="13.15" x14ac:dyDescent="0.4">
      <c r="G439" s="384"/>
      <c r="O439" s="303"/>
      <c r="Q439" s="31"/>
    </row>
    <row r="440" spans="7:17" ht="13.15" x14ac:dyDescent="0.4">
      <c r="G440" s="384"/>
      <c r="O440" s="303"/>
      <c r="Q440" s="31"/>
    </row>
    <row r="441" spans="7:17" ht="13.15" x14ac:dyDescent="0.4">
      <c r="G441" s="384"/>
      <c r="O441" s="303"/>
      <c r="Q441" s="31"/>
    </row>
    <row r="442" spans="7:17" ht="13.15" x14ac:dyDescent="0.4">
      <c r="G442" s="384"/>
      <c r="O442" s="303"/>
      <c r="Q442" s="31"/>
    </row>
    <row r="443" spans="7:17" ht="13.15" x14ac:dyDescent="0.4">
      <c r="G443" s="384"/>
      <c r="O443" s="303"/>
      <c r="Q443" s="31"/>
    </row>
    <row r="444" spans="7:17" ht="13.15" x14ac:dyDescent="0.4">
      <c r="G444" s="384"/>
      <c r="O444" s="303"/>
      <c r="Q444" s="31"/>
    </row>
    <row r="445" spans="7:17" ht="13.15" x14ac:dyDescent="0.4">
      <c r="G445" s="384"/>
      <c r="O445" s="303"/>
      <c r="Q445" s="31"/>
    </row>
    <row r="446" spans="7:17" ht="13.15" x14ac:dyDescent="0.4">
      <c r="G446" s="384"/>
      <c r="O446" s="303"/>
      <c r="Q446" s="31"/>
    </row>
    <row r="447" spans="7:17" ht="13.15" x14ac:dyDescent="0.4">
      <c r="G447" s="384"/>
      <c r="O447" s="303"/>
      <c r="Q447" s="31"/>
    </row>
    <row r="448" spans="7:17" ht="13.15" x14ac:dyDescent="0.4">
      <c r="G448" s="384"/>
      <c r="O448" s="303"/>
      <c r="Q448" s="31"/>
    </row>
    <row r="449" spans="7:17" ht="13.15" x14ac:dyDescent="0.4">
      <c r="G449" s="384"/>
      <c r="O449" s="303"/>
      <c r="Q449" s="31"/>
    </row>
    <row r="450" spans="7:17" ht="13.15" x14ac:dyDescent="0.4">
      <c r="G450" s="384"/>
      <c r="O450" s="303"/>
      <c r="Q450" s="31"/>
    </row>
    <row r="451" spans="7:17" ht="13.15" x14ac:dyDescent="0.4">
      <c r="G451" s="384"/>
      <c r="O451" s="303"/>
      <c r="Q451" s="31"/>
    </row>
    <row r="452" spans="7:17" ht="13.15" x14ac:dyDescent="0.4">
      <c r="G452" s="384"/>
      <c r="O452" s="303"/>
      <c r="Q452" s="31"/>
    </row>
    <row r="453" spans="7:17" ht="13.15" x14ac:dyDescent="0.4">
      <c r="G453" s="384"/>
      <c r="O453" s="303"/>
      <c r="Q453" s="31"/>
    </row>
    <row r="454" spans="7:17" ht="13.15" x14ac:dyDescent="0.4">
      <c r="G454" s="384"/>
      <c r="O454" s="303"/>
      <c r="Q454" s="31"/>
    </row>
    <row r="455" spans="7:17" ht="13.15" x14ac:dyDescent="0.4">
      <c r="G455" s="384"/>
      <c r="O455" s="303"/>
      <c r="Q455" s="31"/>
    </row>
    <row r="456" spans="7:17" ht="13.15" x14ac:dyDescent="0.4">
      <c r="G456" s="384"/>
      <c r="O456" s="303"/>
      <c r="Q456" s="31"/>
    </row>
    <row r="457" spans="7:17" ht="13.15" x14ac:dyDescent="0.4">
      <c r="G457" s="384"/>
      <c r="O457" s="303"/>
      <c r="Q457" s="31"/>
    </row>
    <row r="458" spans="7:17" ht="13.15" x14ac:dyDescent="0.4">
      <c r="G458" s="384"/>
      <c r="O458" s="303"/>
      <c r="Q458" s="31"/>
    </row>
    <row r="459" spans="7:17" ht="13.15" x14ac:dyDescent="0.4">
      <c r="G459" s="384"/>
      <c r="O459" s="303"/>
      <c r="Q459" s="31"/>
    </row>
    <row r="460" spans="7:17" ht="13.15" x14ac:dyDescent="0.4">
      <c r="G460" s="384"/>
      <c r="O460" s="303"/>
      <c r="Q460" s="31"/>
    </row>
    <row r="461" spans="7:17" ht="13.15" x14ac:dyDescent="0.4">
      <c r="G461" s="384"/>
      <c r="O461" s="303"/>
      <c r="Q461" s="31"/>
    </row>
    <row r="462" spans="7:17" ht="13.15" x14ac:dyDescent="0.4">
      <c r="G462" s="384"/>
      <c r="O462" s="303"/>
      <c r="Q462" s="31"/>
    </row>
    <row r="463" spans="7:17" ht="13.15" x14ac:dyDescent="0.4">
      <c r="G463" s="384"/>
      <c r="O463" s="303"/>
      <c r="Q463" s="31"/>
    </row>
    <row r="464" spans="7:17" ht="13.15" x14ac:dyDescent="0.4">
      <c r="G464" s="384"/>
      <c r="O464" s="303"/>
      <c r="Q464" s="31"/>
    </row>
    <row r="465" spans="7:17" ht="13.15" x14ac:dyDescent="0.4">
      <c r="G465" s="384"/>
      <c r="O465" s="303"/>
      <c r="Q465" s="31"/>
    </row>
    <row r="466" spans="7:17" ht="13.15" x14ac:dyDescent="0.4">
      <c r="G466" s="384"/>
      <c r="O466" s="303"/>
      <c r="Q466" s="31"/>
    </row>
    <row r="467" spans="7:17" ht="13.15" x14ac:dyDescent="0.4">
      <c r="G467" s="384"/>
      <c r="O467" s="303"/>
      <c r="Q467" s="31"/>
    </row>
    <row r="468" spans="7:17" ht="13.15" x14ac:dyDescent="0.4">
      <c r="G468" s="384"/>
      <c r="O468" s="303"/>
      <c r="Q468" s="31"/>
    </row>
    <row r="469" spans="7:17" ht="13.15" x14ac:dyDescent="0.4">
      <c r="G469" s="384"/>
      <c r="O469" s="303"/>
      <c r="Q469" s="31"/>
    </row>
    <row r="470" spans="7:17" ht="13.15" x14ac:dyDescent="0.4">
      <c r="G470" s="384"/>
      <c r="O470" s="303"/>
      <c r="Q470" s="31"/>
    </row>
    <row r="471" spans="7:17" ht="13.15" x14ac:dyDescent="0.4">
      <c r="G471" s="384"/>
      <c r="O471" s="303"/>
      <c r="Q471" s="31"/>
    </row>
    <row r="472" spans="7:17" ht="13.15" x14ac:dyDescent="0.4">
      <c r="G472" s="384"/>
      <c r="O472" s="303"/>
      <c r="Q472" s="31"/>
    </row>
    <row r="473" spans="7:17" ht="13.15" x14ac:dyDescent="0.4">
      <c r="G473" s="384"/>
      <c r="O473" s="303"/>
      <c r="Q473" s="31"/>
    </row>
    <row r="474" spans="7:17" ht="13.15" x14ac:dyDescent="0.4">
      <c r="G474" s="384"/>
      <c r="O474" s="303"/>
      <c r="Q474" s="31"/>
    </row>
    <row r="475" spans="7:17" ht="13.15" x14ac:dyDescent="0.4">
      <c r="G475" s="384"/>
      <c r="O475" s="303"/>
      <c r="Q475" s="31"/>
    </row>
    <row r="476" spans="7:17" ht="13.15" x14ac:dyDescent="0.4">
      <c r="G476" s="384"/>
      <c r="O476" s="303"/>
      <c r="Q476" s="31"/>
    </row>
    <row r="477" spans="7:17" ht="13.15" x14ac:dyDescent="0.4">
      <c r="G477" s="384"/>
      <c r="O477" s="303"/>
      <c r="Q477" s="31"/>
    </row>
    <row r="478" spans="7:17" ht="13.15" x14ac:dyDescent="0.4">
      <c r="G478" s="384"/>
      <c r="O478" s="303"/>
      <c r="Q478" s="31"/>
    </row>
    <row r="479" spans="7:17" ht="13.15" x14ac:dyDescent="0.4">
      <c r="G479" s="384"/>
      <c r="O479" s="303"/>
      <c r="Q479" s="31"/>
    </row>
    <row r="480" spans="7:17" ht="13.15" x14ac:dyDescent="0.4">
      <c r="G480" s="384"/>
      <c r="O480" s="303"/>
      <c r="Q480" s="31"/>
    </row>
    <row r="481" spans="7:17" ht="13.15" x14ac:dyDescent="0.4">
      <c r="G481" s="384"/>
      <c r="O481" s="303"/>
      <c r="Q481" s="31"/>
    </row>
    <row r="482" spans="7:17" ht="13.15" x14ac:dyDescent="0.4">
      <c r="G482" s="384"/>
      <c r="O482" s="303"/>
      <c r="Q482" s="31"/>
    </row>
    <row r="483" spans="7:17" ht="13.15" x14ac:dyDescent="0.4">
      <c r="G483" s="384"/>
      <c r="O483" s="303"/>
      <c r="Q483" s="31"/>
    </row>
    <row r="484" spans="7:17" ht="13.15" x14ac:dyDescent="0.4">
      <c r="G484" s="384"/>
      <c r="O484" s="303"/>
      <c r="Q484" s="31"/>
    </row>
    <row r="485" spans="7:17" ht="13.15" x14ac:dyDescent="0.4">
      <c r="G485" s="384"/>
      <c r="O485" s="303"/>
      <c r="Q485" s="31"/>
    </row>
    <row r="486" spans="7:17" ht="13.15" x14ac:dyDescent="0.4">
      <c r="G486" s="384"/>
      <c r="O486" s="303"/>
      <c r="Q486" s="31"/>
    </row>
    <row r="487" spans="7:17" ht="13.15" x14ac:dyDescent="0.4">
      <c r="G487" s="384"/>
      <c r="O487" s="303"/>
      <c r="Q487" s="31"/>
    </row>
    <row r="488" spans="7:17" ht="13.15" x14ac:dyDescent="0.4">
      <c r="G488" s="384"/>
      <c r="O488" s="303"/>
      <c r="Q488" s="31"/>
    </row>
    <row r="489" spans="7:17" ht="13.15" x14ac:dyDescent="0.4">
      <c r="G489" s="384"/>
      <c r="O489" s="303"/>
      <c r="Q489" s="31"/>
    </row>
    <row r="490" spans="7:17" ht="13.15" x14ac:dyDescent="0.4">
      <c r="G490" s="384"/>
      <c r="O490" s="303"/>
      <c r="Q490" s="31"/>
    </row>
    <row r="491" spans="7:17" ht="13.15" x14ac:dyDescent="0.4">
      <c r="G491" s="384"/>
      <c r="O491" s="303"/>
      <c r="Q491" s="31"/>
    </row>
    <row r="492" spans="7:17" ht="13.15" x14ac:dyDescent="0.4">
      <c r="G492" s="384"/>
      <c r="O492" s="303"/>
      <c r="Q492" s="31"/>
    </row>
    <row r="493" spans="7:17" ht="13.15" x14ac:dyDescent="0.4">
      <c r="G493" s="384"/>
      <c r="O493" s="303"/>
      <c r="Q493" s="31"/>
    </row>
    <row r="494" spans="7:17" ht="13.15" x14ac:dyDescent="0.4">
      <c r="G494" s="384"/>
      <c r="O494" s="303"/>
      <c r="Q494" s="31"/>
    </row>
    <row r="495" spans="7:17" ht="13.15" x14ac:dyDescent="0.4">
      <c r="G495" s="384"/>
      <c r="O495" s="303"/>
      <c r="Q495" s="31"/>
    </row>
    <row r="496" spans="7:17" ht="13.15" x14ac:dyDescent="0.4">
      <c r="G496" s="384"/>
      <c r="O496" s="303"/>
      <c r="Q496" s="31"/>
    </row>
    <row r="497" spans="7:17" ht="13.15" x14ac:dyDescent="0.4">
      <c r="G497" s="384"/>
      <c r="O497" s="303"/>
      <c r="Q497" s="31"/>
    </row>
    <row r="498" spans="7:17" ht="13.15" x14ac:dyDescent="0.4">
      <c r="G498" s="384"/>
      <c r="O498" s="303"/>
      <c r="Q498" s="31"/>
    </row>
    <row r="499" spans="7:17" ht="13.15" x14ac:dyDescent="0.4">
      <c r="G499" s="384"/>
      <c r="O499" s="303"/>
      <c r="Q499" s="31"/>
    </row>
    <row r="500" spans="7:17" ht="13.15" x14ac:dyDescent="0.4">
      <c r="G500" s="384"/>
      <c r="O500" s="303"/>
      <c r="Q500" s="31"/>
    </row>
    <row r="501" spans="7:17" ht="13.15" x14ac:dyDescent="0.4">
      <c r="G501" s="384"/>
      <c r="O501" s="303"/>
      <c r="Q501" s="31"/>
    </row>
    <row r="502" spans="7:17" ht="13.15" x14ac:dyDescent="0.4">
      <c r="G502" s="384"/>
      <c r="O502" s="303"/>
      <c r="Q502" s="31"/>
    </row>
    <row r="503" spans="7:17" ht="13.15" x14ac:dyDescent="0.4">
      <c r="G503" s="384"/>
      <c r="O503" s="303"/>
      <c r="Q503" s="31"/>
    </row>
    <row r="504" spans="7:17" ht="13.15" x14ac:dyDescent="0.4">
      <c r="G504" s="384"/>
      <c r="O504" s="303"/>
      <c r="Q504" s="31"/>
    </row>
    <row r="505" spans="7:17" ht="13.15" x14ac:dyDescent="0.4">
      <c r="G505" s="384"/>
      <c r="O505" s="303"/>
      <c r="Q505" s="31"/>
    </row>
    <row r="506" spans="7:17" ht="13.15" x14ac:dyDescent="0.4">
      <c r="G506" s="384"/>
      <c r="O506" s="303"/>
      <c r="Q506" s="31"/>
    </row>
    <row r="507" spans="7:17" ht="13.15" x14ac:dyDescent="0.4">
      <c r="G507" s="384"/>
      <c r="O507" s="303"/>
      <c r="Q507" s="31"/>
    </row>
    <row r="508" spans="7:17" ht="13.15" x14ac:dyDescent="0.4">
      <c r="G508" s="384"/>
      <c r="O508" s="303"/>
      <c r="Q508" s="31"/>
    </row>
    <row r="509" spans="7:17" ht="13.15" x14ac:dyDescent="0.4">
      <c r="G509" s="384"/>
      <c r="O509" s="303"/>
      <c r="Q509" s="31"/>
    </row>
    <row r="510" spans="7:17" ht="13.15" x14ac:dyDescent="0.4">
      <c r="G510" s="384"/>
      <c r="O510" s="303"/>
      <c r="Q510" s="31"/>
    </row>
    <row r="511" spans="7:17" ht="13.15" x14ac:dyDescent="0.4">
      <c r="G511" s="384"/>
      <c r="O511" s="303"/>
      <c r="Q511" s="31"/>
    </row>
    <row r="512" spans="7:17" ht="13.15" x14ac:dyDescent="0.4">
      <c r="G512" s="384"/>
      <c r="O512" s="303"/>
      <c r="Q512" s="31"/>
    </row>
    <row r="513" spans="7:17" ht="13.15" x14ac:dyDescent="0.4">
      <c r="G513" s="384"/>
      <c r="O513" s="303"/>
      <c r="Q513" s="31"/>
    </row>
    <row r="514" spans="7:17" ht="13.15" x14ac:dyDescent="0.4">
      <c r="G514" s="384"/>
      <c r="O514" s="303"/>
      <c r="Q514" s="31"/>
    </row>
    <row r="515" spans="7:17" ht="13.15" x14ac:dyDescent="0.4">
      <c r="G515" s="384"/>
      <c r="O515" s="303"/>
      <c r="Q515" s="31"/>
    </row>
    <row r="516" spans="7:17" ht="13.15" x14ac:dyDescent="0.4">
      <c r="G516" s="384"/>
      <c r="O516" s="303"/>
      <c r="Q516" s="31"/>
    </row>
    <row r="517" spans="7:17" ht="13.15" x14ac:dyDescent="0.4">
      <c r="G517" s="384"/>
      <c r="O517" s="303"/>
      <c r="Q517" s="31"/>
    </row>
    <row r="518" spans="7:17" ht="13.15" x14ac:dyDescent="0.4">
      <c r="G518" s="384"/>
      <c r="O518" s="303"/>
      <c r="Q518" s="31"/>
    </row>
    <row r="519" spans="7:17" ht="13.15" x14ac:dyDescent="0.4">
      <c r="G519" s="384"/>
      <c r="O519" s="303"/>
      <c r="Q519" s="31"/>
    </row>
    <row r="520" spans="7:17" ht="13.15" x14ac:dyDescent="0.4">
      <c r="G520" s="384"/>
      <c r="O520" s="303"/>
      <c r="Q520" s="31"/>
    </row>
    <row r="521" spans="7:17" ht="13.15" x14ac:dyDescent="0.4">
      <c r="G521" s="384"/>
      <c r="O521" s="303"/>
      <c r="Q521" s="31"/>
    </row>
    <row r="522" spans="7:17" ht="13.15" x14ac:dyDescent="0.4">
      <c r="G522" s="384"/>
      <c r="O522" s="303"/>
      <c r="Q522" s="31"/>
    </row>
    <row r="523" spans="7:17" ht="13.15" x14ac:dyDescent="0.4">
      <c r="G523" s="384"/>
      <c r="O523" s="303"/>
      <c r="Q523" s="31"/>
    </row>
    <row r="524" spans="7:17" ht="13.15" x14ac:dyDescent="0.4">
      <c r="G524" s="384"/>
      <c r="O524" s="303"/>
      <c r="Q524" s="31"/>
    </row>
    <row r="525" spans="7:17" ht="13.15" x14ac:dyDescent="0.4">
      <c r="G525" s="384"/>
      <c r="O525" s="303"/>
      <c r="Q525" s="31"/>
    </row>
    <row r="526" spans="7:17" ht="13.15" x14ac:dyDescent="0.4">
      <c r="G526" s="384"/>
      <c r="O526" s="303"/>
      <c r="Q526" s="31"/>
    </row>
    <row r="527" spans="7:17" ht="13.15" x14ac:dyDescent="0.4">
      <c r="G527" s="384"/>
      <c r="O527" s="303"/>
      <c r="Q527" s="31"/>
    </row>
    <row r="528" spans="7:17" ht="13.15" x14ac:dyDescent="0.4">
      <c r="G528" s="384"/>
      <c r="O528" s="303"/>
      <c r="Q528" s="31"/>
    </row>
    <row r="529" spans="7:17" ht="13.15" x14ac:dyDescent="0.4">
      <c r="G529" s="384"/>
      <c r="O529" s="303"/>
      <c r="Q529" s="31"/>
    </row>
    <row r="530" spans="7:17" ht="13.15" x14ac:dyDescent="0.4">
      <c r="G530" s="384"/>
      <c r="O530" s="303"/>
      <c r="Q530" s="31"/>
    </row>
    <row r="531" spans="7:17" ht="13.15" x14ac:dyDescent="0.4">
      <c r="G531" s="384"/>
      <c r="O531" s="303"/>
      <c r="Q531" s="31"/>
    </row>
    <row r="532" spans="7:17" ht="13.15" x14ac:dyDescent="0.4">
      <c r="G532" s="384"/>
      <c r="O532" s="303"/>
      <c r="Q532" s="31"/>
    </row>
    <row r="533" spans="7:17" ht="13.15" x14ac:dyDescent="0.4">
      <c r="G533" s="384"/>
      <c r="O533" s="303"/>
      <c r="Q533" s="31"/>
    </row>
    <row r="534" spans="7:17" ht="13.15" x14ac:dyDescent="0.4">
      <c r="G534" s="384"/>
      <c r="O534" s="303"/>
      <c r="Q534" s="31"/>
    </row>
    <row r="535" spans="7:17" ht="13.15" x14ac:dyDescent="0.4">
      <c r="G535" s="384"/>
      <c r="O535" s="303"/>
      <c r="Q535" s="31"/>
    </row>
    <row r="536" spans="7:17" ht="13.15" x14ac:dyDescent="0.4">
      <c r="G536" s="384"/>
      <c r="O536" s="303"/>
      <c r="Q536" s="31"/>
    </row>
    <row r="537" spans="7:17" ht="13.15" x14ac:dyDescent="0.4">
      <c r="G537" s="384"/>
      <c r="O537" s="303"/>
      <c r="Q537" s="31"/>
    </row>
    <row r="538" spans="7:17" ht="13.15" x14ac:dyDescent="0.4">
      <c r="G538" s="384"/>
      <c r="O538" s="303"/>
      <c r="Q538" s="31"/>
    </row>
    <row r="539" spans="7:17" ht="13.15" x14ac:dyDescent="0.4">
      <c r="G539" s="384"/>
      <c r="O539" s="303"/>
      <c r="Q539" s="31"/>
    </row>
    <row r="540" spans="7:17" ht="13.15" x14ac:dyDescent="0.4">
      <c r="G540" s="384"/>
      <c r="O540" s="303"/>
      <c r="Q540" s="31"/>
    </row>
    <row r="541" spans="7:17" ht="13.15" x14ac:dyDescent="0.4">
      <c r="G541" s="384"/>
      <c r="O541" s="303"/>
      <c r="Q541" s="31"/>
    </row>
    <row r="542" spans="7:17" ht="13.15" x14ac:dyDescent="0.4">
      <c r="G542" s="384"/>
      <c r="O542" s="303"/>
      <c r="Q542" s="31"/>
    </row>
    <row r="543" spans="7:17" ht="13.15" x14ac:dyDescent="0.4">
      <c r="G543" s="384"/>
      <c r="O543" s="303"/>
      <c r="Q543" s="31"/>
    </row>
    <row r="544" spans="7:17" ht="13.15" x14ac:dyDescent="0.4">
      <c r="G544" s="384"/>
      <c r="O544" s="303"/>
      <c r="Q544" s="31"/>
    </row>
    <row r="545" spans="7:17" ht="13.15" x14ac:dyDescent="0.4">
      <c r="G545" s="384"/>
      <c r="O545" s="303"/>
      <c r="Q545" s="31"/>
    </row>
    <row r="546" spans="7:17" ht="13.15" x14ac:dyDescent="0.4">
      <c r="G546" s="384"/>
      <c r="O546" s="303"/>
      <c r="Q546" s="31"/>
    </row>
    <row r="547" spans="7:17" ht="13.15" x14ac:dyDescent="0.4">
      <c r="G547" s="384"/>
      <c r="O547" s="303"/>
      <c r="Q547" s="31"/>
    </row>
    <row r="548" spans="7:17" ht="13.15" x14ac:dyDescent="0.4">
      <c r="G548" s="384"/>
      <c r="O548" s="303"/>
      <c r="Q548" s="31"/>
    </row>
    <row r="549" spans="7:17" ht="13.15" x14ac:dyDescent="0.4">
      <c r="G549" s="384"/>
      <c r="O549" s="303"/>
      <c r="Q549" s="31"/>
    </row>
    <row r="550" spans="7:17" ht="13.15" x14ac:dyDescent="0.4">
      <c r="G550" s="384"/>
      <c r="O550" s="303"/>
      <c r="Q550" s="31"/>
    </row>
    <row r="551" spans="7:17" ht="13.15" x14ac:dyDescent="0.4">
      <c r="G551" s="384"/>
      <c r="O551" s="303"/>
      <c r="Q551" s="31"/>
    </row>
    <row r="552" spans="7:17" ht="13.15" x14ac:dyDescent="0.4">
      <c r="G552" s="384"/>
      <c r="O552" s="303"/>
      <c r="Q552" s="31"/>
    </row>
    <row r="553" spans="7:17" ht="13.15" x14ac:dyDescent="0.4">
      <c r="G553" s="384"/>
      <c r="O553" s="303"/>
      <c r="Q553" s="31"/>
    </row>
    <row r="554" spans="7:17" ht="13.15" x14ac:dyDescent="0.4">
      <c r="G554" s="384"/>
      <c r="O554" s="303"/>
      <c r="Q554" s="31"/>
    </row>
    <row r="555" spans="7:17" ht="13.15" x14ac:dyDescent="0.4">
      <c r="G555" s="384"/>
      <c r="O555" s="303"/>
      <c r="Q555" s="31"/>
    </row>
    <row r="556" spans="7:17" ht="13.15" x14ac:dyDescent="0.4">
      <c r="G556" s="384"/>
      <c r="O556" s="303"/>
      <c r="Q556" s="31"/>
    </row>
    <row r="557" spans="7:17" ht="13.15" x14ac:dyDescent="0.4">
      <c r="G557" s="384"/>
      <c r="O557" s="303"/>
      <c r="Q557" s="31"/>
    </row>
    <row r="558" spans="7:17" ht="13.15" x14ac:dyDescent="0.4">
      <c r="G558" s="384"/>
      <c r="O558" s="303"/>
      <c r="Q558" s="31"/>
    </row>
    <row r="559" spans="7:17" ht="13.15" x14ac:dyDescent="0.4">
      <c r="G559" s="384"/>
      <c r="O559" s="303"/>
      <c r="Q559" s="31"/>
    </row>
    <row r="560" spans="7:17" ht="13.15" x14ac:dyDescent="0.4">
      <c r="G560" s="384"/>
      <c r="O560" s="303"/>
      <c r="Q560" s="31"/>
    </row>
    <row r="561" spans="7:17" ht="13.15" x14ac:dyDescent="0.4">
      <c r="G561" s="384"/>
      <c r="O561" s="303"/>
      <c r="Q561" s="31"/>
    </row>
    <row r="562" spans="7:17" ht="13.15" x14ac:dyDescent="0.4">
      <c r="G562" s="384"/>
      <c r="O562" s="303"/>
      <c r="Q562" s="31"/>
    </row>
    <row r="563" spans="7:17" ht="13.15" x14ac:dyDescent="0.4">
      <c r="G563" s="384"/>
      <c r="O563" s="303"/>
      <c r="Q563" s="31"/>
    </row>
    <row r="564" spans="7:17" ht="13.15" x14ac:dyDescent="0.4">
      <c r="G564" s="384"/>
      <c r="O564" s="303"/>
      <c r="Q564" s="31"/>
    </row>
    <row r="565" spans="7:17" ht="13.15" x14ac:dyDescent="0.4">
      <c r="G565" s="384"/>
      <c r="O565" s="303"/>
      <c r="Q565" s="31"/>
    </row>
    <row r="566" spans="7:17" ht="13.15" x14ac:dyDescent="0.4">
      <c r="G566" s="384"/>
      <c r="O566" s="303"/>
      <c r="Q566" s="31"/>
    </row>
    <row r="567" spans="7:17" ht="13.15" x14ac:dyDescent="0.4">
      <c r="G567" s="384"/>
      <c r="O567" s="303"/>
      <c r="Q567" s="31"/>
    </row>
    <row r="568" spans="7:17" ht="13.15" x14ac:dyDescent="0.4">
      <c r="G568" s="384"/>
      <c r="O568" s="303"/>
      <c r="Q568" s="31"/>
    </row>
    <row r="569" spans="7:17" ht="13.15" x14ac:dyDescent="0.4">
      <c r="G569" s="384"/>
      <c r="O569" s="303"/>
      <c r="Q569" s="31"/>
    </row>
    <row r="570" spans="7:17" ht="13.15" x14ac:dyDescent="0.4">
      <c r="G570" s="384"/>
      <c r="O570" s="303"/>
      <c r="Q570" s="31"/>
    </row>
    <row r="571" spans="7:17" ht="13.15" x14ac:dyDescent="0.4">
      <c r="G571" s="384"/>
      <c r="O571" s="303"/>
      <c r="Q571" s="31"/>
    </row>
    <row r="572" spans="7:17" ht="13.15" x14ac:dyDescent="0.4">
      <c r="G572" s="384"/>
      <c r="O572" s="303"/>
      <c r="Q572" s="31"/>
    </row>
    <row r="573" spans="7:17" ht="13.15" x14ac:dyDescent="0.4">
      <c r="G573" s="384"/>
      <c r="O573" s="303"/>
      <c r="Q573" s="31"/>
    </row>
    <row r="574" spans="7:17" ht="13.15" x14ac:dyDescent="0.4">
      <c r="G574" s="384"/>
      <c r="O574" s="303"/>
      <c r="Q574" s="31"/>
    </row>
    <row r="575" spans="7:17" ht="13.15" x14ac:dyDescent="0.4">
      <c r="G575" s="384"/>
      <c r="O575" s="303"/>
      <c r="Q575" s="31"/>
    </row>
    <row r="576" spans="7:17" ht="13.15" x14ac:dyDescent="0.4">
      <c r="G576" s="384"/>
      <c r="O576" s="303"/>
      <c r="Q576" s="31"/>
    </row>
    <row r="577" spans="7:17" ht="13.15" x14ac:dyDescent="0.4">
      <c r="G577" s="384"/>
      <c r="O577" s="303"/>
      <c r="Q577" s="31"/>
    </row>
    <row r="578" spans="7:17" ht="13.15" x14ac:dyDescent="0.4">
      <c r="G578" s="384"/>
      <c r="O578" s="303"/>
      <c r="Q578" s="31"/>
    </row>
    <row r="579" spans="7:17" ht="13.15" x14ac:dyDescent="0.4">
      <c r="G579" s="384"/>
      <c r="O579" s="303"/>
      <c r="Q579" s="31"/>
    </row>
    <row r="580" spans="7:17" ht="13.15" x14ac:dyDescent="0.4">
      <c r="G580" s="384"/>
      <c r="O580" s="303"/>
      <c r="Q580" s="31"/>
    </row>
    <row r="581" spans="7:17" ht="13.15" x14ac:dyDescent="0.4">
      <c r="G581" s="384"/>
      <c r="O581" s="303"/>
      <c r="Q581" s="31"/>
    </row>
    <row r="582" spans="7:17" ht="13.15" x14ac:dyDescent="0.4">
      <c r="G582" s="384"/>
      <c r="O582" s="303"/>
      <c r="Q582" s="31"/>
    </row>
    <row r="583" spans="7:17" ht="13.15" x14ac:dyDescent="0.4">
      <c r="G583" s="384"/>
      <c r="O583" s="303"/>
      <c r="Q583" s="31"/>
    </row>
    <row r="584" spans="7:17" ht="13.15" x14ac:dyDescent="0.4">
      <c r="G584" s="384"/>
      <c r="O584" s="303"/>
      <c r="Q584" s="31"/>
    </row>
    <row r="585" spans="7:17" ht="13.15" x14ac:dyDescent="0.4">
      <c r="G585" s="384"/>
      <c r="O585" s="303"/>
      <c r="Q585" s="31"/>
    </row>
    <row r="586" spans="7:17" ht="13.15" x14ac:dyDescent="0.4">
      <c r="G586" s="384"/>
      <c r="O586" s="303"/>
      <c r="Q586" s="31"/>
    </row>
    <row r="587" spans="7:17" ht="13.15" x14ac:dyDescent="0.4">
      <c r="G587" s="384"/>
      <c r="O587" s="303"/>
      <c r="Q587" s="31"/>
    </row>
    <row r="588" spans="7:17" ht="13.15" x14ac:dyDescent="0.4">
      <c r="G588" s="384"/>
      <c r="O588" s="303"/>
      <c r="Q588" s="31"/>
    </row>
    <row r="589" spans="7:17" ht="13.15" x14ac:dyDescent="0.4">
      <c r="G589" s="384"/>
      <c r="O589" s="303"/>
      <c r="Q589" s="31"/>
    </row>
    <row r="590" spans="7:17" ht="13.15" x14ac:dyDescent="0.4">
      <c r="G590" s="384"/>
      <c r="O590" s="303"/>
      <c r="Q590" s="31"/>
    </row>
    <row r="591" spans="7:17" ht="13.15" x14ac:dyDescent="0.4">
      <c r="G591" s="384"/>
      <c r="O591" s="303"/>
      <c r="Q591" s="31"/>
    </row>
    <row r="592" spans="7:17" ht="13.15" x14ac:dyDescent="0.4">
      <c r="G592" s="384"/>
      <c r="O592" s="303"/>
      <c r="Q592" s="31"/>
    </row>
    <row r="593" spans="7:17" ht="13.15" x14ac:dyDescent="0.4">
      <c r="G593" s="384"/>
      <c r="O593" s="303"/>
      <c r="Q593" s="31"/>
    </row>
    <row r="594" spans="7:17" ht="13.15" x14ac:dyDescent="0.4">
      <c r="G594" s="384"/>
      <c r="O594" s="303"/>
      <c r="Q594" s="31"/>
    </row>
    <row r="595" spans="7:17" ht="13.15" x14ac:dyDescent="0.4">
      <c r="G595" s="384"/>
      <c r="O595" s="303"/>
      <c r="Q595" s="31"/>
    </row>
    <row r="596" spans="7:17" ht="13.15" x14ac:dyDescent="0.4">
      <c r="G596" s="384"/>
      <c r="O596" s="303"/>
      <c r="Q596" s="31"/>
    </row>
    <row r="597" spans="7:17" ht="13.15" x14ac:dyDescent="0.4">
      <c r="G597" s="384"/>
      <c r="O597" s="303"/>
      <c r="Q597" s="31"/>
    </row>
    <row r="598" spans="7:17" ht="13.15" x14ac:dyDescent="0.4">
      <c r="G598" s="384"/>
      <c r="O598" s="303"/>
      <c r="Q598" s="31"/>
    </row>
    <row r="599" spans="7:17" ht="13.15" x14ac:dyDescent="0.4">
      <c r="G599" s="384"/>
      <c r="O599" s="303"/>
      <c r="Q599" s="31"/>
    </row>
    <row r="600" spans="7:17" ht="13.15" x14ac:dyDescent="0.4">
      <c r="G600" s="384"/>
      <c r="O600" s="303"/>
      <c r="Q600" s="31"/>
    </row>
    <row r="601" spans="7:17" ht="13.15" x14ac:dyDescent="0.4">
      <c r="G601" s="384"/>
      <c r="O601" s="303"/>
      <c r="Q601" s="31"/>
    </row>
    <row r="602" spans="7:17" ht="13.15" x14ac:dyDescent="0.4">
      <c r="G602" s="384"/>
      <c r="O602" s="303"/>
      <c r="Q602" s="31"/>
    </row>
    <row r="603" spans="7:17" ht="13.15" x14ac:dyDescent="0.4">
      <c r="G603" s="384"/>
      <c r="O603" s="303"/>
      <c r="Q603" s="31"/>
    </row>
    <row r="604" spans="7:17" ht="13.15" x14ac:dyDescent="0.4">
      <c r="G604" s="384"/>
      <c r="O604" s="303"/>
      <c r="Q604" s="31"/>
    </row>
    <row r="605" spans="7:17" ht="13.15" x14ac:dyDescent="0.4">
      <c r="G605" s="384"/>
      <c r="O605" s="303"/>
      <c r="Q605" s="31"/>
    </row>
    <row r="606" spans="7:17" ht="13.15" x14ac:dyDescent="0.4">
      <c r="G606" s="384"/>
      <c r="O606" s="303"/>
      <c r="Q606" s="31"/>
    </row>
    <row r="607" spans="7:17" ht="13.15" x14ac:dyDescent="0.4">
      <c r="G607" s="384"/>
      <c r="O607" s="303"/>
      <c r="Q607" s="31"/>
    </row>
    <row r="608" spans="7:17" ht="13.15" x14ac:dyDescent="0.4">
      <c r="G608" s="384"/>
      <c r="O608" s="303"/>
      <c r="Q608" s="31"/>
    </row>
    <row r="609" spans="7:17" ht="13.15" x14ac:dyDescent="0.4">
      <c r="G609" s="384"/>
      <c r="O609" s="303"/>
      <c r="Q609" s="31"/>
    </row>
    <row r="610" spans="7:17" ht="13.15" x14ac:dyDescent="0.4">
      <c r="G610" s="384"/>
      <c r="O610" s="303"/>
      <c r="Q610" s="31"/>
    </row>
    <row r="611" spans="7:17" ht="13.15" x14ac:dyDescent="0.4">
      <c r="G611" s="384"/>
      <c r="O611" s="303"/>
      <c r="Q611" s="31"/>
    </row>
    <row r="612" spans="7:17" ht="13.15" x14ac:dyDescent="0.4">
      <c r="G612" s="384"/>
      <c r="O612" s="303"/>
      <c r="Q612" s="31"/>
    </row>
    <row r="613" spans="7:17" ht="13.15" x14ac:dyDescent="0.4">
      <c r="G613" s="384"/>
      <c r="O613" s="303"/>
      <c r="Q613" s="31"/>
    </row>
    <row r="614" spans="7:17" ht="13.15" x14ac:dyDescent="0.4">
      <c r="G614" s="384"/>
      <c r="O614" s="303"/>
      <c r="Q614" s="31"/>
    </row>
    <row r="615" spans="7:17" ht="13.15" x14ac:dyDescent="0.4">
      <c r="G615" s="384"/>
      <c r="O615" s="303"/>
      <c r="Q615" s="31"/>
    </row>
    <row r="616" spans="7:17" ht="13.15" x14ac:dyDescent="0.4">
      <c r="G616" s="384"/>
      <c r="O616" s="303"/>
      <c r="Q616" s="31"/>
    </row>
    <row r="617" spans="7:17" ht="13.15" x14ac:dyDescent="0.4">
      <c r="G617" s="384"/>
      <c r="O617" s="303"/>
      <c r="Q617" s="31"/>
    </row>
    <row r="618" spans="7:17" ht="13.15" x14ac:dyDescent="0.4">
      <c r="G618" s="384"/>
      <c r="O618" s="303"/>
      <c r="Q618" s="31"/>
    </row>
    <row r="619" spans="7:17" ht="13.15" x14ac:dyDescent="0.4">
      <c r="G619" s="384"/>
      <c r="O619" s="303"/>
      <c r="Q619" s="31"/>
    </row>
    <row r="620" spans="7:17" ht="13.15" x14ac:dyDescent="0.4">
      <c r="G620" s="384"/>
      <c r="O620" s="303"/>
      <c r="Q620" s="31"/>
    </row>
    <row r="621" spans="7:17" ht="13.15" x14ac:dyDescent="0.4">
      <c r="G621" s="384"/>
      <c r="O621" s="303"/>
      <c r="Q621" s="31"/>
    </row>
    <row r="622" spans="7:17" ht="13.15" x14ac:dyDescent="0.4">
      <c r="G622" s="384"/>
      <c r="O622" s="303"/>
      <c r="Q622" s="31"/>
    </row>
    <row r="623" spans="7:17" ht="13.15" x14ac:dyDescent="0.4">
      <c r="G623" s="384"/>
      <c r="O623" s="303"/>
      <c r="Q623" s="31"/>
    </row>
    <row r="624" spans="7:17" ht="13.15" x14ac:dyDescent="0.4">
      <c r="G624" s="384"/>
      <c r="O624" s="303"/>
      <c r="Q624" s="31"/>
    </row>
    <row r="625" spans="7:17" ht="13.15" x14ac:dyDescent="0.4">
      <c r="G625" s="384"/>
      <c r="O625" s="303"/>
      <c r="Q625" s="31"/>
    </row>
    <row r="626" spans="7:17" ht="13.15" x14ac:dyDescent="0.4">
      <c r="G626" s="384"/>
      <c r="O626" s="303"/>
      <c r="Q626" s="31"/>
    </row>
    <row r="627" spans="7:17" ht="13.15" x14ac:dyDescent="0.4">
      <c r="G627" s="384"/>
      <c r="O627" s="303"/>
      <c r="Q627" s="31"/>
    </row>
    <row r="628" spans="7:17" ht="13.15" x14ac:dyDescent="0.4">
      <c r="G628" s="384"/>
      <c r="O628" s="303"/>
      <c r="Q628" s="31"/>
    </row>
    <row r="629" spans="7:17" ht="13.15" x14ac:dyDescent="0.4">
      <c r="G629" s="384"/>
      <c r="O629" s="303"/>
      <c r="Q629" s="31"/>
    </row>
    <row r="630" spans="7:17" ht="13.15" x14ac:dyDescent="0.4">
      <c r="G630" s="384"/>
      <c r="O630" s="303"/>
      <c r="Q630" s="31"/>
    </row>
    <row r="631" spans="7:17" ht="13.15" x14ac:dyDescent="0.4">
      <c r="G631" s="384"/>
      <c r="O631" s="303"/>
      <c r="Q631" s="31"/>
    </row>
    <row r="632" spans="7:17" ht="13.15" x14ac:dyDescent="0.4">
      <c r="G632" s="384"/>
      <c r="O632" s="303"/>
      <c r="Q632" s="31"/>
    </row>
    <row r="633" spans="7:17" ht="13.15" x14ac:dyDescent="0.4">
      <c r="G633" s="384"/>
      <c r="O633" s="303"/>
      <c r="Q633" s="31"/>
    </row>
    <row r="634" spans="7:17" ht="13.15" x14ac:dyDescent="0.4">
      <c r="G634" s="384"/>
      <c r="O634" s="303"/>
      <c r="Q634" s="31"/>
    </row>
    <row r="635" spans="7:17" ht="13.15" x14ac:dyDescent="0.4">
      <c r="G635" s="384"/>
      <c r="O635" s="303"/>
      <c r="Q635" s="31"/>
    </row>
    <row r="636" spans="7:17" ht="13.15" x14ac:dyDescent="0.4">
      <c r="G636" s="384"/>
      <c r="O636" s="303"/>
      <c r="Q636" s="31"/>
    </row>
    <row r="637" spans="7:17" ht="13.15" x14ac:dyDescent="0.4">
      <c r="G637" s="384"/>
      <c r="O637" s="303"/>
      <c r="Q637" s="31"/>
    </row>
    <row r="638" spans="7:17" ht="13.15" x14ac:dyDescent="0.4">
      <c r="G638" s="384"/>
      <c r="O638" s="303"/>
      <c r="Q638" s="31"/>
    </row>
    <row r="639" spans="7:17" ht="13.15" x14ac:dyDescent="0.4">
      <c r="G639" s="384"/>
      <c r="O639" s="303"/>
      <c r="Q639" s="31"/>
    </row>
    <row r="640" spans="7:17" ht="13.15" x14ac:dyDescent="0.4">
      <c r="G640" s="384"/>
      <c r="O640" s="303"/>
      <c r="Q640" s="31"/>
    </row>
    <row r="641" spans="7:17" ht="13.15" x14ac:dyDescent="0.4">
      <c r="G641" s="384"/>
      <c r="O641" s="303"/>
      <c r="Q641" s="31"/>
    </row>
    <row r="642" spans="7:17" ht="13.15" x14ac:dyDescent="0.4">
      <c r="G642" s="384"/>
      <c r="O642" s="303"/>
      <c r="Q642" s="31"/>
    </row>
    <row r="643" spans="7:17" ht="13.15" x14ac:dyDescent="0.4">
      <c r="G643" s="384"/>
      <c r="O643" s="303"/>
      <c r="Q643" s="31"/>
    </row>
    <row r="644" spans="7:17" ht="13.15" x14ac:dyDescent="0.4">
      <c r="G644" s="384"/>
      <c r="O644" s="303"/>
      <c r="Q644" s="31"/>
    </row>
    <row r="645" spans="7:17" ht="13.15" x14ac:dyDescent="0.4">
      <c r="G645" s="384"/>
      <c r="O645" s="303"/>
      <c r="Q645" s="31"/>
    </row>
    <row r="646" spans="7:17" ht="13.15" x14ac:dyDescent="0.4">
      <c r="G646" s="384"/>
      <c r="O646" s="303"/>
      <c r="Q646" s="31"/>
    </row>
    <row r="647" spans="7:17" ht="13.15" x14ac:dyDescent="0.4">
      <c r="G647" s="384"/>
      <c r="O647" s="303"/>
      <c r="Q647" s="31"/>
    </row>
    <row r="648" spans="7:17" ht="13.15" x14ac:dyDescent="0.4">
      <c r="G648" s="384"/>
      <c r="O648" s="303"/>
      <c r="Q648" s="31"/>
    </row>
    <row r="649" spans="7:17" ht="13.15" x14ac:dyDescent="0.4">
      <c r="G649" s="384"/>
      <c r="O649" s="303"/>
      <c r="Q649" s="31"/>
    </row>
    <row r="650" spans="7:17" ht="13.15" x14ac:dyDescent="0.4">
      <c r="G650" s="384"/>
      <c r="O650" s="303"/>
      <c r="Q650" s="31"/>
    </row>
    <row r="651" spans="7:17" ht="13.15" x14ac:dyDescent="0.4">
      <c r="G651" s="384"/>
      <c r="O651" s="303"/>
      <c r="Q651" s="31"/>
    </row>
    <row r="652" spans="7:17" ht="13.15" x14ac:dyDescent="0.4">
      <c r="G652" s="384"/>
      <c r="O652" s="303"/>
      <c r="Q652" s="31"/>
    </row>
    <row r="653" spans="7:17" ht="13.15" x14ac:dyDescent="0.4">
      <c r="G653" s="384"/>
      <c r="O653" s="303"/>
      <c r="Q653" s="31"/>
    </row>
    <row r="654" spans="7:17" ht="13.15" x14ac:dyDescent="0.4">
      <c r="G654" s="384"/>
      <c r="O654" s="303"/>
      <c r="Q654" s="31"/>
    </row>
    <row r="655" spans="7:17" ht="13.15" x14ac:dyDescent="0.4">
      <c r="G655" s="384"/>
      <c r="O655" s="303"/>
      <c r="Q655" s="31"/>
    </row>
    <row r="656" spans="7:17" ht="13.15" x14ac:dyDescent="0.4">
      <c r="G656" s="384"/>
      <c r="O656" s="303"/>
      <c r="Q656" s="31"/>
    </row>
    <row r="657" spans="7:17" ht="13.15" x14ac:dyDescent="0.4">
      <c r="G657" s="384"/>
      <c r="O657" s="303"/>
      <c r="Q657" s="31"/>
    </row>
    <row r="658" spans="7:17" ht="13.15" x14ac:dyDescent="0.4">
      <c r="G658" s="384"/>
      <c r="O658" s="303"/>
      <c r="Q658" s="31"/>
    </row>
    <row r="659" spans="7:17" ht="13.15" x14ac:dyDescent="0.4">
      <c r="G659" s="384"/>
      <c r="O659" s="303"/>
      <c r="Q659" s="31"/>
    </row>
    <row r="660" spans="7:17" ht="13.15" x14ac:dyDescent="0.4">
      <c r="G660" s="384"/>
      <c r="O660" s="303"/>
      <c r="Q660" s="31"/>
    </row>
    <row r="661" spans="7:17" ht="13.15" x14ac:dyDescent="0.4">
      <c r="G661" s="384"/>
      <c r="O661" s="303"/>
      <c r="Q661" s="31"/>
    </row>
    <row r="662" spans="7:17" ht="13.15" x14ac:dyDescent="0.4">
      <c r="G662" s="384"/>
      <c r="O662" s="303"/>
      <c r="Q662" s="31"/>
    </row>
    <row r="663" spans="7:17" ht="13.15" x14ac:dyDescent="0.4">
      <c r="G663" s="384"/>
      <c r="O663" s="303"/>
      <c r="Q663" s="31"/>
    </row>
    <row r="664" spans="7:17" ht="13.15" x14ac:dyDescent="0.4">
      <c r="G664" s="384"/>
      <c r="O664" s="303"/>
      <c r="Q664" s="31"/>
    </row>
    <row r="665" spans="7:17" ht="13.15" x14ac:dyDescent="0.4">
      <c r="G665" s="384"/>
      <c r="O665" s="303"/>
      <c r="Q665" s="31"/>
    </row>
    <row r="666" spans="7:17" ht="13.15" x14ac:dyDescent="0.4">
      <c r="G666" s="384"/>
      <c r="O666" s="303"/>
      <c r="Q666" s="31"/>
    </row>
    <row r="667" spans="7:17" ht="13.15" x14ac:dyDescent="0.4">
      <c r="G667" s="384"/>
      <c r="O667" s="303"/>
      <c r="Q667" s="31"/>
    </row>
    <row r="668" spans="7:17" ht="13.15" x14ac:dyDescent="0.4">
      <c r="G668" s="384"/>
      <c r="O668" s="303"/>
      <c r="Q668" s="31"/>
    </row>
    <row r="669" spans="7:17" ht="13.15" x14ac:dyDescent="0.4">
      <c r="G669" s="384"/>
      <c r="O669" s="303"/>
      <c r="Q669" s="31"/>
    </row>
    <row r="670" spans="7:17" ht="13.15" x14ac:dyDescent="0.4">
      <c r="G670" s="384"/>
      <c r="O670" s="303"/>
      <c r="Q670" s="31"/>
    </row>
    <row r="671" spans="7:17" ht="13.15" x14ac:dyDescent="0.4">
      <c r="G671" s="384"/>
      <c r="O671" s="303"/>
      <c r="Q671" s="31"/>
    </row>
    <row r="672" spans="7:17" ht="13.15" x14ac:dyDescent="0.4">
      <c r="G672" s="384"/>
      <c r="O672" s="303"/>
      <c r="Q672" s="31"/>
    </row>
    <row r="673" spans="7:17" ht="13.15" x14ac:dyDescent="0.4">
      <c r="G673" s="384"/>
      <c r="O673" s="303"/>
      <c r="Q673" s="31"/>
    </row>
    <row r="674" spans="7:17" ht="13.15" x14ac:dyDescent="0.4">
      <c r="G674" s="384"/>
      <c r="O674" s="303"/>
      <c r="Q674" s="31"/>
    </row>
    <row r="675" spans="7:17" ht="13.15" x14ac:dyDescent="0.4">
      <c r="G675" s="384"/>
      <c r="O675" s="303"/>
      <c r="Q675" s="31"/>
    </row>
    <row r="676" spans="7:17" ht="13.15" x14ac:dyDescent="0.4">
      <c r="G676" s="384"/>
      <c r="O676" s="303"/>
      <c r="Q676" s="31"/>
    </row>
    <row r="677" spans="7:17" ht="13.15" x14ac:dyDescent="0.4">
      <c r="G677" s="384"/>
      <c r="O677" s="303"/>
      <c r="Q677" s="31"/>
    </row>
    <row r="678" spans="7:17" ht="13.15" x14ac:dyDescent="0.4">
      <c r="G678" s="384"/>
      <c r="O678" s="303"/>
      <c r="Q678" s="31"/>
    </row>
    <row r="679" spans="7:17" ht="13.15" x14ac:dyDescent="0.4">
      <c r="G679" s="384"/>
      <c r="O679" s="303"/>
      <c r="Q679" s="31"/>
    </row>
    <row r="680" spans="7:17" ht="13.15" x14ac:dyDescent="0.4">
      <c r="G680" s="384"/>
      <c r="O680" s="303"/>
      <c r="Q680" s="31"/>
    </row>
    <row r="681" spans="7:17" ht="13.15" x14ac:dyDescent="0.4">
      <c r="G681" s="384"/>
      <c r="O681" s="303"/>
      <c r="Q681" s="31"/>
    </row>
    <row r="682" spans="7:17" ht="13.15" x14ac:dyDescent="0.4">
      <c r="G682" s="384"/>
      <c r="O682" s="303"/>
      <c r="Q682" s="31"/>
    </row>
    <row r="683" spans="7:17" ht="13.15" x14ac:dyDescent="0.4">
      <c r="G683" s="384"/>
      <c r="O683" s="303"/>
      <c r="Q683" s="31"/>
    </row>
    <row r="684" spans="7:17" ht="13.15" x14ac:dyDescent="0.4">
      <c r="G684" s="384"/>
      <c r="O684" s="303"/>
      <c r="Q684" s="31"/>
    </row>
    <row r="685" spans="7:17" ht="13.15" x14ac:dyDescent="0.4">
      <c r="G685" s="384"/>
      <c r="O685" s="303"/>
      <c r="Q685" s="31"/>
    </row>
    <row r="686" spans="7:17" ht="13.15" x14ac:dyDescent="0.4">
      <c r="G686" s="384"/>
      <c r="O686" s="303"/>
      <c r="Q686" s="31"/>
    </row>
    <row r="687" spans="7:17" ht="13.15" x14ac:dyDescent="0.4">
      <c r="G687" s="384"/>
      <c r="O687" s="303"/>
      <c r="Q687" s="31"/>
    </row>
    <row r="688" spans="7:17" ht="13.15" x14ac:dyDescent="0.4">
      <c r="G688" s="384"/>
      <c r="O688" s="303"/>
      <c r="Q688" s="31"/>
    </row>
    <row r="689" spans="7:17" ht="13.15" x14ac:dyDescent="0.4">
      <c r="G689" s="384"/>
      <c r="O689" s="303"/>
      <c r="Q689" s="31"/>
    </row>
    <row r="690" spans="7:17" ht="13.15" x14ac:dyDescent="0.4">
      <c r="G690" s="384"/>
      <c r="O690" s="303"/>
      <c r="Q690" s="31"/>
    </row>
    <row r="691" spans="7:17" ht="13.15" x14ac:dyDescent="0.4">
      <c r="G691" s="384"/>
      <c r="O691" s="303"/>
      <c r="Q691" s="31"/>
    </row>
    <row r="692" spans="7:17" ht="13.15" x14ac:dyDescent="0.4">
      <c r="G692" s="384"/>
      <c r="O692" s="303"/>
      <c r="Q692" s="31"/>
    </row>
    <row r="693" spans="7:17" ht="13.15" x14ac:dyDescent="0.4">
      <c r="G693" s="384"/>
      <c r="O693" s="303"/>
      <c r="Q693" s="31"/>
    </row>
    <row r="694" spans="7:17" ht="13.15" x14ac:dyDescent="0.4">
      <c r="G694" s="384"/>
      <c r="O694" s="303"/>
      <c r="Q694" s="31"/>
    </row>
    <row r="695" spans="7:17" ht="13.15" x14ac:dyDescent="0.4">
      <c r="G695" s="384"/>
      <c r="O695" s="303"/>
      <c r="Q695" s="31"/>
    </row>
    <row r="696" spans="7:17" ht="13.15" x14ac:dyDescent="0.4">
      <c r="G696" s="384"/>
      <c r="O696" s="303"/>
      <c r="Q696" s="31"/>
    </row>
    <row r="697" spans="7:17" ht="13.15" x14ac:dyDescent="0.4">
      <c r="G697" s="384"/>
      <c r="O697" s="303"/>
      <c r="Q697" s="31"/>
    </row>
    <row r="698" spans="7:17" ht="13.15" x14ac:dyDescent="0.4">
      <c r="G698" s="384"/>
      <c r="O698" s="303"/>
      <c r="Q698" s="31"/>
    </row>
    <row r="699" spans="7:17" ht="13.15" x14ac:dyDescent="0.4">
      <c r="G699" s="384"/>
      <c r="O699" s="303"/>
      <c r="Q699" s="31"/>
    </row>
    <row r="700" spans="7:17" ht="13.15" x14ac:dyDescent="0.4">
      <c r="G700" s="384"/>
      <c r="O700" s="303"/>
      <c r="Q700" s="31"/>
    </row>
    <row r="701" spans="7:17" ht="13.15" x14ac:dyDescent="0.4">
      <c r="G701" s="384"/>
      <c r="O701" s="303"/>
      <c r="Q701" s="31"/>
    </row>
    <row r="702" spans="7:17" ht="13.15" x14ac:dyDescent="0.4">
      <c r="G702" s="384"/>
      <c r="O702" s="303"/>
      <c r="Q702" s="31"/>
    </row>
    <row r="703" spans="7:17" ht="13.15" x14ac:dyDescent="0.4">
      <c r="G703" s="384"/>
      <c r="O703" s="303"/>
      <c r="Q703" s="31"/>
    </row>
    <row r="704" spans="7:17" ht="13.15" x14ac:dyDescent="0.4">
      <c r="G704" s="384"/>
      <c r="O704" s="303"/>
      <c r="Q704" s="31"/>
    </row>
    <row r="705" spans="7:17" ht="13.15" x14ac:dyDescent="0.4">
      <c r="G705" s="384"/>
      <c r="O705" s="303"/>
      <c r="Q705" s="31"/>
    </row>
    <row r="706" spans="7:17" ht="13.15" x14ac:dyDescent="0.4">
      <c r="G706" s="384"/>
      <c r="O706" s="303"/>
      <c r="Q706" s="31"/>
    </row>
    <row r="707" spans="7:17" ht="13.15" x14ac:dyDescent="0.4">
      <c r="G707" s="384"/>
      <c r="O707" s="303"/>
      <c r="Q707" s="31"/>
    </row>
    <row r="708" spans="7:17" ht="13.15" x14ac:dyDescent="0.4">
      <c r="G708" s="384"/>
      <c r="O708" s="303"/>
      <c r="Q708" s="31"/>
    </row>
    <row r="709" spans="7:17" ht="13.15" x14ac:dyDescent="0.4">
      <c r="G709" s="384"/>
      <c r="O709" s="303"/>
      <c r="Q709" s="31"/>
    </row>
    <row r="710" spans="7:17" ht="13.15" x14ac:dyDescent="0.4">
      <c r="G710" s="384"/>
      <c r="O710" s="303"/>
      <c r="Q710" s="31"/>
    </row>
    <row r="711" spans="7:17" ht="13.15" x14ac:dyDescent="0.4">
      <c r="G711" s="384"/>
      <c r="O711" s="303"/>
      <c r="Q711" s="31"/>
    </row>
    <row r="712" spans="7:17" ht="13.15" x14ac:dyDescent="0.4">
      <c r="G712" s="384"/>
      <c r="O712" s="303"/>
      <c r="Q712" s="31"/>
    </row>
    <row r="713" spans="7:17" ht="13.15" x14ac:dyDescent="0.4">
      <c r="G713" s="384"/>
      <c r="O713" s="303"/>
      <c r="Q713" s="31"/>
    </row>
    <row r="714" spans="7:17" ht="13.15" x14ac:dyDescent="0.4">
      <c r="G714" s="384"/>
      <c r="O714" s="303"/>
      <c r="Q714" s="31"/>
    </row>
    <row r="715" spans="7:17" ht="13.15" x14ac:dyDescent="0.4">
      <c r="G715" s="384"/>
      <c r="O715" s="303"/>
      <c r="Q715" s="31"/>
    </row>
    <row r="716" spans="7:17" ht="13.15" x14ac:dyDescent="0.4">
      <c r="G716" s="384"/>
      <c r="O716" s="303"/>
      <c r="Q716" s="31"/>
    </row>
    <row r="717" spans="7:17" ht="13.15" x14ac:dyDescent="0.4">
      <c r="G717" s="384"/>
      <c r="O717" s="303"/>
      <c r="Q717" s="31"/>
    </row>
    <row r="718" spans="7:17" ht="13.15" x14ac:dyDescent="0.4">
      <c r="G718" s="384"/>
      <c r="O718" s="303"/>
      <c r="Q718" s="31"/>
    </row>
    <row r="719" spans="7:17" ht="13.15" x14ac:dyDescent="0.4">
      <c r="G719" s="384"/>
      <c r="O719" s="303"/>
      <c r="Q719" s="31"/>
    </row>
    <row r="720" spans="7:17" ht="13.15" x14ac:dyDescent="0.4">
      <c r="G720" s="384"/>
      <c r="O720" s="303"/>
      <c r="Q720" s="31"/>
    </row>
    <row r="721" spans="7:17" ht="13.15" x14ac:dyDescent="0.4">
      <c r="G721" s="384"/>
      <c r="O721" s="303"/>
      <c r="Q721" s="31"/>
    </row>
    <row r="722" spans="7:17" ht="13.15" x14ac:dyDescent="0.4">
      <c r="G722" s="384"/>
      <c r="O722" s="303"/>
      <c r="Q722" s="31"/>
    </row>
    <row r="723" spans="7:17" ht="13.15" x14ac:dyDescent="0.4">
      <c r="G723" s="384"/>
      <c r="O723" s="303"/>
      <c r="Q723" s="31"/>
    </row>
    <row r="724" spans="7:17" ht="13.15" x14ac:dyDescent="0.4">
      <c r="G724" s="384"/>
      <c r="O724" s="303"/>
      <c r="Q724" s="31"/>
    </row>
    <row r="725" spans="7:17" ht="13.15" x14ac:dyDescent="0.4">
      <c r="G725" s="384"/>
      <c r="O725" s="303"/>
      <c r="Q725" s="31"/>
    </row>
    <row r="726" spans="7:17" ht="13.15" x14ac:dyDescent="0.4">
      <c r="G726" s="384"/>
      <c r="O726" s="303"/>
      <c r="Q726" s="31"/>
    </row>
    <row r="727" spans="7:17" ht="13.15" x14ac:dyDescent="0.4">
      <c r="G727" s="384"/>
      <c r="O727" s="303"/>
      <c r="Q727" s="31"/>
    </row>
    <row r="728" spans="7:17" ht="13.15" x14ac:dyDescent="0.4">
      <c r="G728" s="384"/>
      <c r="O728" s="303"/>
      <c r="Q728" s="31"/>
    </row>
    <row r="729" spans="7:17" ht="13.15" x14ac:dyDescent="0.4">
      <c r="G729" s="384"/>
      <c r="O729" s="303"/>
      <c r="Q729" s="31"/>
    </row>
    <row r="730" spans="7:17" ht="13.15" x14ac:dyDescent="0.4">
      <c r="G730" s="384"/>
      <c r="O730" s="303"/>
      <c r="Q730" s="31"/>
    </row>
    <row r="731" spans="7:17" ht="13.15" x14ac:dyDescent="0.4">
      <c r="G731" s="384"/>
      <c r="O731" s="303"/>
      <c r="Q731" s="31"/>
    </row>
    <row r="732" spans="7:17" ht="13.15" x14ac:dyDescent="0.4">
      <c r="G732" s="384"/>
      <c r="O732" s="303"/>
      <c r="Q732" s="31"/>
    </row>
    <row r="733" spans="7:17" ht="13.15" x14ac:dyDescent="0.4">
      <c r="G733" s="384"/>
      <c r="O733" s="303"/>
      <c r="Q733" s="31"/>
    </row>
    <row r="734" spans="7:17" ht="13.15" x14ac:dyDescent="0.4">
      <c r="G734" s="384"/>
      <c r="O734" s="303"/>
      <c r="Q734" s="31"/>
    </row>
    <row r="735" spans="7:17" ht="13.15" x14ac:dyDescent="0.4">
      <c r="G735" s="384"/>
      <c r="O735" s="303"/>
      <c r="Q735" s="31"/>
    </row>
    <row r="736" spans="7:17" ht="13.15" x14ac:dyDescent="0.4">
      <c r="G736" s="384"/>
      <c r="O736" s="303"/>
      <c r="Q736" s="31"/>
    </row>
    <row r="737" spans="7:17" ht="13.15" x14ac:dyDescent="0.4">
      <c r="G737" s="384"/>
      <c r="O737" s="303"/>
      <c r="Q737" s="31"/>
    </row>
    <row r="738" spans="7:17" ht="13.15" x14ac:dyDescent="0.4">
      <c r="G738" s="384"/>
      <c r="O738" s="303"/>
      <c r="Q738" s="31"/>
    </row>
    <row r="739" spans="7:17" ht="13.15" x14ac:dyDescent="0.4">
      <c r="G739" s="384"/>
      <c r="O739" s="303"/>
      <c r="Q739" s="31"/>
    </row>
    <row r="740" spans="7:17" ht="13.15" x14ac:dyDescent="0.4">
      <c r="G740" s="384"/>
      <c r="O740" s="303"/>
      <c r="Q740" s="31"/>
    </row>
    <row r="741" spans="7:17" ht="13.15" x14ac:dyDescent="0.4">
      <c r="G741" s="384"/>
      <c r="O741" s="303"/>
      <c r="Q741" s="31"/>
    </row>
    <row r="742" spans="7:17" ht="13.15" x14ac:dyDescent="0.4">
      <c r="G742" s="384"/>
      <c r="O742" s="303"/>
      <c r="Q742" s="31"/>
    </row>
    <row r="743" spans="7:17" ht="13.15" x14ac:dyDescent="0.4">
      <c r="G743" s="384"/>
      <c r="O743" s="303"/>
      <c r="Q743" s="31"/>
    </row>
    <row r="744" spans="7:17" ht="13.15" x14ac:dyDescent="0.4">
      <c r="G744" s="384"/>
      <c r="O744" s="303"/>
      <c r="Q744" s="31"/>
    </row>
    <row r="745" spans="7:17" ht="13.15" x14ac:dyDescent="0.4">
      <c r="G745" s="384"/>
      <c r="O745" s="303"/>
      <c r="Q745" s="31"/>
    </row>
    <row r="746" spans="7:17" ht="13.15" x14ac:dyDescent="0.4">
      <c r="G746" s="384"/>
      <c r="O746" s="303"/>
      <c r="Q746" s="31"/>
    </row>
    <row r="747" spans="7:17" ht="13.15" x14ac:dyDescent="0.4">
      <c r="G747" s="384"/>
      <c r="O747" s="303"/>
      <c r="Q747" s="31"/>
    </row>
    <row r="748" spans="7:17" ht="13.15" x14ac:dyDescent="0.4">
      <c r="G748" s="384"/>
      <c r="O748" s="303"/>
      <c r="Q748" s="31"/>
    </row>
    <row r="749" spans="7:17" ht="13.15" x14ac:dyDescent="0.4">
      <c r="G749" s="384"/>
      <c r="O749" s="303"/>
      <c r="Q749" s="31"/>
    </row>
    <row r="750" spans="7:17" ht="13.15" x14ac:dyDescent="0.4">
      <c r="G750" s="384"/>
      <c r="O750" s="303"/>
      <c r="Q750" s="31"/>
    </row>
    <row r="751" spans="7:17" ht="13.15" x14ac:dyDescent="0.4">
      <c r="G751" s="384"/>
      <c r="O751" s="303"/>
      <c r="Q751" s="31"/>
    </row>
    <row r="752" spans="7:17" ht="13.15" x14ac:dyDescent="0.4">
      <c r="G752" s="384"/>
      <c r="O752" s="303"/>
      <c r="Q752" s="31"/>
    </row>
    <row r="753" spans="7:17" ht="13.15" x14ac:dyDescent="0.4">
      <c r="G753" s="384"/>
      <c r="O753" s="303"/>
      <c r="Q753" s="31"/>
    </row>
    <row r="754" spans="7:17" ht="13.15" x14ac:dyDescent="0.4">
      <c r="G754" s="384"/>
      <c r="O754" s="303"/>
      <c r="Q754" s="31"/>
    </row>
    <row r="755" spans="7:17" ht="13.15" x14ac:dyDescent="0.4">
      <c r="G755" s="384"/>
      <c r="O755" s="303"/>
      <c r="Q755" s="31"/>
    </row>
    <row r="756" spans="7:17" ht="13.15" x14ac:dyDescent="0.4">
      <c r="G756" s="384"/>
      <c r="O756" s="303"/>
      <c r="Q756" s="31"/>
    </row>
    <row r="757" spans="7:17" ht="13.15" x14ac:dyDescent="0.4">
      <c r="G757" s="384"/>
      <c r="O757" s="303"/>
      <c r="Q757" s="31"/>
    </row>
    <row r="758" spans="7:17" ht="13.15" x14ac:dyDescent="0.4">
      <c r="G758" s="384"/>
      <c r="O758" s="303"/>
      <c r="Q758" s="31"/>
    </row>
    <row r="759" spans="7:17" ht="13.15" x14ac:dyDescent="0.4">
      <c r="G759" s="384"/>
      <c r="O759" s="303"/>
      <c r="Q759" s="31"/>
    </row>
    <row r="760" spans="7:17" ht="13.15" x14ac:dyDescent="0.4">
      <c r="G760" s="384"/>
      <c r="O760" s="303"/>
      <c r="Q760" s="31"/>
    </row>
    <row r="761" spans="7:17" ht="13.15" x14ac:dyDescent="0.4">
      <c r="G761" s="384"/>
      <c r="O761" s="303"/>
      <c r="Q761" s="31"/>
    </row>
    <row r="762" spans="7:17" ht="13.15" x14ac:dyDescent="0.4">
      <c r="G762" s="384"/>
      <c r="O762" s="303"/>
      <c r="Q762" s="31"/>
    </row>
    <row r="763" spans="7:17" ht="13.15" x14ac:dyDescent="0.4">
      <c r="G763" s="384"/>
      <c r="O763" s="303"/>
      <c r="Q763" s="31"/>
    </row>
    <row r="764" spans="7:17" ht="13.15" x14ac:dyDescent="0.4">
      <c r="G764" s="384"/>
      <c r="O764" s="303"/>
      <c r="Q764" s="31"/>
    </row>
    <row r="765" spans="7:17" ht="13.15" x14ac:dyDescent="0.4">
      <c r="G765" s="384"/>
      <c r="O765" s="303"/>
      <c r="Q765" s="31"/>
    </row>
    <row r="766" spans="7:17" ht="13.15" x14ac:dyDescent="0.4">
      <c r="G766" s="384"/>
      <c r="O766" s="303"/>
      <c r="Q766" s="31"/>
    </row>
    <row r="767" spans="7:17" ht="13.15" x14ac:dyDescent="0.4">
      <c r="G767" s="384"/>
      <c r="O767" s="303"/>
      <c r="Q767" s="31"/>
    </row>
    <row r="768" spans="7:17" ht="13.15" x14ac:dyDescent="0.4">
      <c r="G768" s="384"/>
      <c r="O768" s="303"/>
      <c r="Q768" s="31"/>
    </row>
    <row r="769" spans="7:17" ht="13.15" x14ac:dyDescent="0.4">
      <c r="G769" s="384"/>
      <c r="O769" s="303"/>
      <c r="Q769" s="31"/>
    </row>
    <row r="770" spans="7:17" ht="13.15" x14ac:dyDescent="0.4">
      <c r="G770" s="384"/>
      <c r="O770" s="303"/>
      <c r="Q770" s="31"/>
    </row>
    <row r="771" spans="7:17" ht="13.15" x14ac:dyDescent="0.4">
      <c r="G771" s="384"/>
      <c r="O771" s="303"/>
      <c r="Q771" s="31"/>
    </row>
    <row r="772" spans="7:17" ht="13.15" x14ac:dyDescent="0.4">
      <c r="G772" s="384"/>
      <c r="O772" s="303"/>
      <c r="Q772" s="31"/>
    </row>
    <row r="773" spans="7:17" ht="13.15" x14ac:dyDescent="0.4">
      <c r="G773" s="384"/>
      <c r="O773" s="303"/>
      <c r="Q773" s="31"/>
    </row>
    <row r="774" spans="7:17" ht="13.15" x14ac:dyDescent="0.4">
      <c r="G774" s="384"/>
      <c r="O774" s="303"/>
      <c r="Q774" s="31"/>
    </row>
    <row r="775" spans="7:17" ht="13.15" x14ac:dyDescent="0.4">
      <c r="G775" s="384"/>
      <c r="O775" s="303"/>
      <c r="Q775" s="31"/>
    </row>
    <row r="776" spans="7:17" ht="13.15" x14ac:dyDescent="0.4">
      <c r="G776" s="384"/>
      <c r="O776" s="303"/>
      <c r="Q776" s="31"/>
    </row>
    <row r="777" spans="7:17" ht="13.15" x14ac:dyDescent="0.4">
      <c r="G777" s="384"/>
      <c r="O777" s="303"/>
      <c r="Q777" s="31"/>
    </row>
    <row r="778" spans="7:17" ht="13.15" x14ac:dyDescent="0.4">
      <c r="G778" s="384"/>
      <c r="O778" s="303"/>
      <c r="Q778" s="31"/>
    </row>
    <row r="779" spans="7:17" ht="13.15" x14ac:dyDescent="0.4">
      <c r="G779" s="384"/>
      <c r="O779" s="303"/>
      <c r="Q779" s="31"/>
    </row>
    <row r="780" spans="7:17" ht="13.15" x14ac:dyDescent="0.4">
      <c r="G780" s="384"/>
      <c r="O780" s="303"/>
      <c r="Q780" s="31"/>
    </row>
    <row r="781" spans="7:17" ht="13.15" x14ac:dyDescent="0.4">
      <c r="G781" s="384"/>
      <c r="O781" s="303"/>
      <c r="Q781" s="31"/>
    </row>
    <row r="782" spans="7:17" ht="13.15" x14ac:dyDescent="0.4">
      <c r="G782" s="384"/>
      <c r="O782" s="303"/>
      <c r="Q782" s="31"/>
    </row>
    <row r="783" spans="7:17" ht="13.15" x14ac:dyDescent="0.4">
      <c r="G783" s="384"/>
      <c r="O783" s="303"/>
      <c r="Q783" s="31"/>
    </row>
    <row r="784" spans="7:17" ht="13.15" x14ac:dyDescent="0.4">
      <c r="G784" s="384"/>
      <c r="O784" s="303"/>
      <c r="Q784" s="31"/>
    </row>
    <row r="785" spans="7:17" ht="13.15" x14ac:dyDescent="0.4">
      <c r="G785" s="384"/>
      <c r="O785" s="303"/>
      <c r="Q785" s="31"/>
    </row>
    <row r="786" spans="7:17" ht="13.15" x14ac:dyDescent="0.4">
      <c r="G786" s="384"/>
      <c r="O786" s="303"/>
      <c r="Q786" s="31"/>
    </row>
    <row r="787" spans="7:17" ht="13.15" x14ac:dyDescent="0.4">
      <c r="G787" s="384"/>
      <c r="O787" s="303"/>
      <c r="Q787" s="31"/>
    </row>
    <row r="788" spans="7:17" ht="13.15" x14ac:dyDescent="0.4">
      <c r="G788" s="384"/>
      <c r="O788" s="303"/>
      <c r="Q788" s="31"/>
    </row>
    <row r="789" spans="7:17" ht="13.15" x14ac:dyDescent="0.4">
      <c r="G789" s="384"/>
      <c r="O789" s="303"/>
      <c r="Q789" s="31"/>
    </row>
    <row r="790" spans="7:17" ht="13.15" x14ac:dyDescent="0.4">
      <c r="G790" s="384"/>
      <c r="O790" s="303"/>
      <c r="Q790" s="31"/>
    </row>
    <row r="791" spans="7:17" ht="13.15" x14ac:dyDescent="0.4">
      <c r="G791" s="384"/>
      <c r="O791" s="303"/>
      <c r="Q791" s="31"/>
    </row>
    <row r="792" spans="7:17" ht="13.15" x14ac:dyDescent="0.4">
      <c r="G792" s="384"/>
      <c r="O792" s="303"/>
      <c r="Q792" s="31"/>
    </row>
    <row r="793" spans="7:17" ht="13.15" x14ac:dyDescent="0.4">
      <c r="G793" s="384"/>
      <c r="O793" s="303"/>
      <c r="Q793" s="31"/>
    </row>
    <row r="794" spans="7:17" ht="13.15" x14ac:dyDescent="0.4">
      <c r="G794" s="384"/>
      <c r="O794" s="303"/>
      <c r="Q794" s="31"/>
    </row>
    <row r="795" spans="7:17" ht="13.15" x14ac:dyDescent="0.4">
      <c r="G795" s="384"/>
      <c r="O795" s="303"/>
      <c r="Q795" s="31"/>
    </row>
    <row r="796" spans="7:17" ht="13.15" x14ac:dyDescent="0.4">
      <c r="G796" s="384"/>
      <c r="O796" s="303"/>
      <c r="Q796" s="31"/>
    </row>
    <row r="797" spans="7:17" ht="13.15" x14ac:dyDescent="0.4">
      <c r="G797" s="384"/>
      <c r="O797" s="303"/>
      <c r="Q797" s="31"/>
    </row>
    <row r="798" spans="7:17" ht="13.15" x14ac:dyDescent="0.4">
      <c r="G798" s="384"/>
      <c r="O798" s="303"/>
      <c r="Q798" s="31"/>
    </row>
    <row r="799" spans="7:17" ht="13.15" x14ac:dyDescent="0.4">
      <c r="G799" s="384"/>
      <c r="O799" s="303"/>
      <c r="Q799" s="31"/>
    </row>
    <row r="800" spans="7:17" ht="13.15" x14ac:dyDescent="0.4">
      <c r="G800" s="384"/>
      <c r="O800" s="303"/>
      <c r="Q800" s="31"/>
    </row>
    <row r="801" spans="7:17" ht="13.15" x14ac:dyDescent="0.4">
      <c r="G801" s="384"/>
      <c r="O801" s="303"/>
      <c r="Q801" s="31"/>
    </row>
    <row r="802" spans="7:17" ht="13.15" x14ac:dyDescent="0.4">
      <c r="G802" s="384"/>
      <c r="O802" s="303"/>
      <c r="Q802" s="31"/>
    </row>
    <row r="803" spans="7:17" ht="13.15" x14ac:dyDescent="0.4">
      <c r="G803" s="384"/>
      <c r="O803" s="303"/>
      <c r="Q803" s="31"/>
    </row>
    <row r="804" spans="7:17" ht="13.15" x14ac:dyDescent="0.4">
      <c r="G804" s="384"/>
      <c r="O804" s="303"/>
      <c r="Q804" s="31"/>
    </row>
    <row r="805" spans="7:17" ht="13.15" x14ac:dyDescent="0.4">
      <c r="G805" s="384"/>
      <c r="O805" s="303"/>
      <c r="Q805" s="31"/>
    </row>
    <row r="806" spans="7:17" ht="13.15" x14ac:dyDescent="0.4">
      <c r="G806" s="384"/>
      <c r="O806" s="303"/>
      <c r="Q806" s="31"/>
    </row>
    <row r="807" spans="7:17" ht="13.15" x14ac:dyDescent="0.4">
      <c r="G807" s="384"/>
      <c r="O807" s="303"/>
      <c r="Q807" s="31"/>
    </row>
    <row r="808" spans="7:17" ht="13.15" x14ac:dyDescent="0.4">
      <c r="G808" s="384"/>
      <c r="O808" s="303"/>
      <c r="Q808" s="31"/>
    </row>
    <row r="809" spans="7:17" ht="13.15" x14ac:dyDescent="0.4">
      <c r="G809" s="384"/>
      <c r="O809" s="303"/>
      <c r="Q809" s="31"/>
    </row>
    <row r="810" spans="7:17" ht="13.15" x14ac:dyDescent="0.4">
      <c r="G810" s="384"/>
      <c r="O810" s="303"/>
      <c r="Q810" s="31"/>
    </row>
    <row r="811" spans="7:17" ht="13.15" x14ac:dyDescent="0.4">
      <c r="G811" s="384"/>
      <c r="O811" s="303"/>
      <c r="Q811" s="31"/>
    </row>
    <row r="812" spans="7:17" ht="13.15" x14ac:dyDescent="0.4">
      <c r="G812" s="384"/>
      <c r="O812" s="303"/>
      <c r="Q812" s="31"/>
    </row>
    <row r="813" spans="7:17" ht="13.15" x14ac:dyDescent="0.4">
      <c r="G813" s="384"/>
      <c r="O813" s="303"/>
      <c r="Q813" s="31"/>
    </row>
    <row r="814" spans="7:17" ht="13.15" x14ac:dyDescent="0.4">
      <c r="G814" s="384"/>
      <c r="O814" s="303"/>
      <c r="Q814" s="31"/>
    </row>
    <row r="815" spans="7:17" ht="13.15" x14ac:dyDescent="0.4">
      <c r="G815" s="384"/>
      <c r="O815" s="303"/>
      <c r="Q815" s="31"/>
    </row>
    <row r="816" spans="7:17" ht="13.15" x14ac:dyDescent="0.4">
      <c r="G816" s="384"/>
      <c r="O816" s="303"/>
      <c r="Q816" s="31"/>
    </row>
    <row r="817" spans="7:17" ht="13.15" x14ac:dyDescent="0.4">
      <c r="G817" s="384"/>
      <c r="O817" s="303"/>
      <c r="Q817" s="31"/>
    </row>
    <row r="818" spans="7:17" ht="13.15" x14ac:dyDescent="0.4">
      <c r="G818" s="384"/>
      <c r="O818" s="303"/>
      <c r="Q818" s="31"/>
    </row>
    <row r="819" spans="7:17" ht="13.15" x14ac:dyDescent="0.4">
      <c r="G819" s="384"/>
      <c r="O819" s="303"/>
      <c r="Q819" s="31"/>
    </row>
    <row r="820" spans="7:17" ht="13.15" x14ac:dyDescent="0.4">
      <c r="G820" s="384"/>
      <c r="O820" s="303"/>
      <c r="Q820" s="31"/>
    </row>
    <row r="821" spans="7:17" ht="13.15" x14ac:dyDescent="0.4">
      <c r="G821" s="384"/>
      <c r="O821" s="303"/>
      <c r="Q821" s="31"/>
    </row>
    <row r="822" spans="7:17" ht="13.15" x14ac:dyDescent="0.4">
      <c r="G822" s="384"/>
      <c r="O822" s="303"/>
      <c r="Q822" s="31"/>
    </row>
    <row r="823" spans="7:17" ht="13.15" x14ac:dyDescent="0.4">
      <c r="G823" s="384"/>
      <c r="O823" s="303"/>
      <c r="Q823" s="31"/>
    </row>
    <row r="824" spans="7:17" ht="13.15" x14ac:dyDescent="0.4">
      <c r="G824" s="384"/>
      <c r="O824" s="303"/>
      <c r="Q824" s="31"/>
    </row>
    <row r="825" spans="7:17" ht="13.15" x14ac:dyDescent="0.4">
      <c r="G825" s="384"/>
      <c r="O825" s="303"/>
      <c r="Q825" s="31"/>
    </row>
    <row r="826" spans="7:17" ht="13.15" x14ac:dyDescent="0.4">
      <c r="G826" s="384"/>
      <c r="O826" s="303"/>
      <c r="Q826" s="31"/>
    </row>
    <row r="827" spans="7:17" ht="13.15" x14ac:dyDescent="0.4">
      <c r="G827" s="384"/>
      <c r="O827" s="303"/>
      <c r="Q827" s="31"/>
    </row>
    <row r="828" spans="7:17" ht="13.15" x14ac:dyDescent="0.4">
      <c r="G828" s="384"/>
      <c r="O828" s="303"/>
      <c r="Q828" s="31"/>
    </row>
    <row r="829" spans="7:17" ht="13.15" x14ac:dyDescent="0.4">
      <c r="G829" s="384"/>
      <c r="O829" s="303"/>
      <c r="Q829" s="31"/>
    </row>
    <row r="830" spans="7:17" ht="13.15" x14ac:dyDescent="0.4">
      <c r="G830" s="384"/>
      <c r="O830" s="303"/>
      <c r="Q830" s="31"/>
    </row>
    <row r="831" spans="7:17" ht="13.15" x14ac:dyDescent="0.4">
      <c r="G831" s="384"/>
      <c r="O831" s="303"/>
      <c r="Q831" s="31"/>
    </row>
    <row r="832" spans="7:17" ht="13.15" x14ac:dyDescent="0.4">
      <c r="G832" s="384"/>
      <c r="O832" s="303"/>
      <c r="Q832" s="31"/>
    </row>
    <row r="833" spans="7:17" ht="13.15" x14ac:dyDescent="0.4">
      <c r="G833" s="384"/>
      <c r="O833" s="303"/>
      <c r="Q833" s="31"/>
    </row>
    <row r="834" spans="7:17" ht="13.15" x14ac:dyDescent="0.4">
      <c r="G834" s="384"/>
      <c r="O834" s="303"/>
      <c r="Q834" s="31"/>
    </row>
    <row r="835" spans="7:17" ht="13.15" x14ac:dyDescent="0.4">
      <c r="G835" s="384"/>
      <c r="O835" s="303"/>
      <c r="Q835" s="31"/>
    </row>
    <row r="836" spans="7:17" ht="13.15" x14ac:dyDescent="0.4">
      <c r="G836" s="384"/>
      <c r="O836" s="303"/>
      <c r="Q836" s="31"/>
    </row>
    <row r="837" spans="7:17" ht="13.15" x14ac:dyDescent="0.4">
      <c r="G837" s="384"/>
      <c r="O837" s="303"/>
      <c r="Q837" s="31"/>
    </row>
    <row r="838" spans="7:17" ht="13.15" x14ac:dyDescent="0.4">
      <c r="G838" s="384"/>
      <c r="O838" s="303"/>
      <c r="Q838" s="31"/>
    </row>
    <row r="839" spans="7:17" ht="13.15" x14ac:dyDescent="0.4">
      <c r="G839" s="384"/>
      <c r="O839" s="303"/>
      <c r="Q839" s="31"/>
    </row>
    <row r="840" spans="7:17" ht="13.15" x14ac:dyDescent="0.4">
      <c r="G840" s="384"/>
      <c r="O840" s="303"/>
      <c r="Q840" s="31"/>
    </row>
    <row r="841" spans="7:17" ht="13.15" x14ac:dyDescent="0.4">
      <c r="G841" s="384"/>
      <c r="O841" s="303"/>
      <c r="Q841" s="31"/>
    </row>
    <row r="842" spans="7:17" ht="13.15" x14ac:dyDescent="0.4">
      <c r="G842" s="384"/>
      <c r="O842" s="303"/>
      <c r="Q842" s="31"/>
    </row>
    <row r="843" spans="7:17" ht="13.15" x14ac:dyDescent="0.4">
      <c r="G843" s="384"/>
      <c r="O843" s="303"/>
      <c r="Q843" s="31"/>
    </row>
    <row r="844" spans="7:17" ht="13.15" x14ac:dyDescent="0.4">
      <c r="G844" s="384"/>
      <c r="O844" s="303"/>
      <c r="Q844" s="31"/>
    </row>
    <row r="845" spans="7:17" ht="13.15" x14ac:dyDescent="0.4">
      <c r="G845" s="384"/>
      <c r="O845" s="303"/>
      <c r="Q845" s="31"/>
    </row>
    <row r="846" spans="7:17" ht="13.15" x14ac:dyDescent="0.4">
      <c r="G846" s="384"/>
      <c r="O846" s="303"/>
      <c r="Q846" s="31"/>
    </row>
    <row r="847" spans="7:17" ht="13.15" x14ac:dyDescent="0.4">
      <c r="G847" s="384"/>
      <c r="O847" s="303"/>
      <c r="Q847" s="31"/>
    </row>
    <row r="848" spans="7:17" ht="13.15" x14ac:dyDescent="0.4">
      <c r="G848" s="384"/>
      <c r="O848" s="303"/>
      <c r="Q848" s="31"/>
    </row>
    <row r="849" spans="7:17" ht="13.15" x14ac:dyDescent="0.4">
      <c r="G849" s="384"/>
      <c r="O849" s="303"/>
      <c r="Q849" s="31"/>
    </row>
    <row r="850" spans="7:17" ht="13.15" x14ac:dyDescent="0.4">
      <c r="G850" s="384"/>
      <c r="O850" s="303"/>
      <c r="Q850" s="31"/>
    </row>
    <row r="851" spans="7:17" ht="13.15" x14ac:dyDescent="0.4">
      <c r="G851" s="384"/>
      <c r="O851" s="303"/>
      <c r="Q851" s="31"/>
    </row>
    <row r="852" spans="7:17" ht="13.15" x14ac:dyDescent="0.4">
      <c r="G852" s="384"/>
      <c r="O852" s="303"/>
      <c r="Q852" s="31"/>
    </row>
    <row r="853" spans="7:17" ht="13.15" x14ac:dyDescent="0.4">
      <c r="G853" s="384"/>
      <c r="O853" s="303"/>
      <c r="Q853" s="31"/>
    </row>
    <row r="854" spans="7:17" ht="13.15" x14ac:dyDescent="0.4">
      <c r="G854" s="384"/>
      <c r="O854" s="303"/>
      <c r="Q854" s="31"/>
    </row>
    <row r="855" spans="7:17" ht="13.15" x14ac:dyDescent="0.4">
      <c r="G855" s="384"/>
      <c r="O855" s="303"/>
      <c r="Q855" s="31"/>
    </row>
    <row r="856" spans="7:17" ht="13.15" x14ac:dyDescent="0.4">
      <c r="G856" s="384"/>
      <c r="O856" s="303"/>
      <c r="Q856" s="31"/>
    </row>
    <row r="857" spans="7:17" ht="13.15" x14ac:dyDescent="0.4">
      <c r="G857" s="384"/>
      <c r="O857" s="303"/>
      <c r="Q857" s="31"/>
    </row>
    <row r="858" spans="7:17" ht="13.15" x14ac:dyDescent="0.4">
      <c r="G858" s="384"/>
      <c r="O858" s="303"/>
      <c r="Q858" s="31"/>
    </row>
    <row r="859" spans="7:17" ht="13.15" x14ac:dyDescent="0.4">
      <c r="G859" s="384"/>
      <c r="O859" s="303"/>
      <c r="Q859" s="31"/>
    </row>
    <row r="860" spans="7:17" ht="13.15" x14ac:dyDescent="0.4">
      <c r="G860" s="384"/>
      <c r="O860" s="303"/>
      <c r="Q860" s="31"/>
    </row>
    <row r="861" spans="7:17" ht="13.15" x14ac:dyDescent="0.4">
      <c r="G861" s="384"/>
      <c r="O861" s="303"/>
      <c r="Q861" s="31"/>
    </row>
    <row r="862" spans="7:17" ht="13.15" x14ac:dyDescent="0.4">
      <c r="G862" s="384"/>
      <c r="O862" s="303"/>
      <c r="Q862" s="31"/>
    </row>
    <row r="863" spans="7:17" ht="13.15" x14ac:dyDescent="0.4">
      <c r="G863" s="384"/>
      <c r="O863" s="303"/>
      <c r="Q863" s="31"/>
    </row>
    <row r="864" spans="7:17" ht="13.15" x14ac:dyDescent="0.4">
      <c r="G864" s="384"/>
      <c r="O864" s="303"/>
      <c r="Q864" s="31"/>
    </row>
    <row r="865" spans="7:17" ht="13.15" x14ac:dyDescent="0.4">
      <c r="G865" s="384"/>
      <c r="O865" s="303"/>
      <c r="Q865" s="31"/>
    </row>
    <row r="866" spans="7:17" ht="13.15" x14ac:dyDescent="0.4">
      <c r="G866" s="384"/>
      <c r="O866" s="303"/>
      <c r="Q866" s="31"/>
    </row>
    <row r="867" spans="7:17" ht="13.15" x14ac:dyDescent="0.4">
      <c r="G867" s="384"/>
      <c r="O867" s="303"/>
      <c r="Q867" s="31"/>
    </row>
    <row r="868" spans="7:17" ht="13.15" x14ac:dyDescent="0.4">
      <c r="G868" s="384"/>
      <c r="O868" s="303"/>
      <c r="Q868" s="31"/>
    </row>
    <row r="869" spans="7:17" ht="13.15" x14ac:dyDescent="0.4">
      <c r="G869" s="384"/>
      <c r="O869" s="303"/>
      <c r="Q869" s="31"/>
    </row>
    <row r="870" spans="7:17" ht="13.15" x14ac:dyDescent="0.4">
      <c r="G870" s="384"/>
      <c r="O870" s="303"/>
      <c r="Q870" s="31"/>
    </row>
    <row r="871" spans="7:17" ht="13.15" x14ac:dyDescent="0.4">
      <c r="G871" s="384"/>
      <c r="O871" s="303"/>
      <c r="Q871" s="31"/>
    </row>
    <row r="872" spans="7:17" ht="13.15" x14ac:dyDescent="0.4">
      <c r="G872" s="384"/>
      <c r="O872" s="303"/>
      <c r="Q872" s="31"/>
    </row>
    <row r="873" spans="7:17" ht="13.15" x14ac:dyDescent="0.4">
      <c r="G873" s="384"/>
      <c r="O873" s="303"/>
      <c r="Q873" s="31"/>
    </row>
    <row r="874" spans="7:17" ht="13.15" x14ac:dyDescent="0.4">
      <c r="G874" s="384"/>
      <c r="O874" s="303"/>
      <c r="Q874" s="31"/>
    </row>
    <row r="875" spans="7:17" ht="13.15" x14ac:dyDescent="0.4">
      <c r="G875" s="384"/>
      <c r="O875" s="303"/>
      <c r="Q875" s="31"/>
    </row>
    <row r="876" spans="7:17" ht="13.15" x14ac:dyDescent="0.4">
      <c r="G876" s="384"/>
      <c r="O876" s="303"/>
      <c r="Q876" s="31"/>
    </row>
    <row r="877" spans="7:17" ht="13.15" x14ac:dyDescent="0.4">
      <c r="G877" s="384"/>
      <c r="O877" s="303"/>
      <c r="Q877" s="31"/>
    </row>
    <row r="878" spans="7:17" ht="13.15" x14ac:dyDescent="0.4">
      <c r="G878" s="384"/>
      <c r="O878" s="303"/>
      <c r="Q878" s="31"/>
    </row>
    <row r="879" spans="7:17" ht="13.15" x14ac:dyDescent="0.4">
      <c r="G879" s="384"/>
      <c r="O879" s="303"/>
      <c r="Q879" s="31"/>
    </row>
    <row r="880" spans="7:17" ht="13.15" x14ac:dyDescent="0.4">
      <c r="G880" s="384"/>
      <c r="O880" s="303"/>
      <c r="Q880" s="31"/>
    </row>
    <row r="881" spans="7:17" ht="13.15" x14ac:dyDescent="0.4">
      <c r="G881" s="384"/>
      <c r="O881" s="303"/>
      <c r="Q881" s="31"/>
    </row>
    <row r="882" spans="7:17" ht="13.15" x14ac:dyDescent="0.4">
      <c r="G882" s="384"/>
      <c r="O882" s="303"/>
      <c r="Q882" s="31"/>
    </row>
    <row r="883" spans="7:17" ht="13.15" x14ac:dyDescent="0.4">
      <c r="G883" s="384"/>
      <c r="O883" s="303"/>
      <c r="Q883" s="31"/>
    </row>
    <row r="884" spans="7:17" ht="13.15" x14ac:dyDescent="0.4">
      <c r="G884" s="384"/>
      <c r="O884" s="303"/>
      <c r="Q884" s="31"/>
    </row>
    <row r="885" spans="7:17" ht="13.15" x14ac:dyDescent="0.4">
      <c r="G885" s="384"/>
      <c r="O885" s="303"/>
      <c r="Q885" s="31"/>
    </row>
    <row r="886" spans="7:17" ht="13.15" x14ac:dyDescent="0.4">
      <c r="G886" s="384"/>
      <c r="O886" s="303"/>
      <c r="Q886" s="31"/>
    </row>
    <row r="887" spans="7:17" ht="13.15" x14ac:dyDescent="0.4">
      <c r="G887" s="384"/>
      <c r="O887" s="303"/>
      <c r="Q887" s="31"/>
    </row>
    <row r="888" spans="7:17" ht="13.15" x14ac:dyDescent="0.4">
      <c r="G888" s="384"/>
      <c r="O888" s="303"/>
      <c r="Q888" s="31"/>
    </row>
    <row r="889" spans="7:17" ht="13.15" x14ac:dyDescent="0.4">
      <c r="G889" s="384"/>
      <c r="O889" s="303"/>
      <c r="Q889" s="31"/>
    </row>
    <row r="890" spans="7:17" ht="13.15" x14ac:dyDescent="0.4">
      <c r="G890" s="384"/>
      <c r="O890" s="303"/>
      <c r="Q890" s="31"/>
    </row>
    <row r="891" spans="7:17" ht="13.15" x14ac:dyDescent="0.4">
      <c r="G891" s="384"/>
      <c r="O891" s="303"/>
      <c r="Q891" s="31"/>
    </row>
    <row r="892" spans="7:17" ht="13.15" x14ac:dyDescent="0.4">
      <c r="G892" s="384"/>
      <c r="O892" s="303"/>
      <c r="Q892" s="31"/>
    </row>
    <row r="893" spans="7:17" ht="13.15" x14ac:dyDescent="0.4">
      <c r="G893" s="384"/>
      <c r="O893" s="303"/>
      <c r="Q893" s="31"/>
    </row>
    <row r="894" spans="7:17" ht="13.15" x14ac:dyDescent="0.4">
      <c r="G894" s="384"/>
      <c r="O894" s="303"/>
      <c r="Q894" s="31"/>
    </row>
    <row r="895" spans="7:17" ht="13.15" x14ac:dyDescent="0.4">
      <c r="G895" s="384"/>
      <c r="O895" s="303"/>
      <c r="Q895" s="31"/>
    </row>
    <row r="896" spans="7:17" ht="13.15" x14ac:dyDescent="0.4">
      <c r="G896" s="384"/>
      <c r="O896" s="303"/>
      <c r="Q896" s="31"/>
    </row>
    <row r="897" spans="7:17" ht="13.15" x14ac:dyDescent="0.4">
      <c r="G897" s="384"/>
      <c r="O897" s="303"/>
      <c r="Q897" s="31"/>
    </row>
    <row r="898" spans="7:17" ht="13.15" x14ac:dyDescent="0.4">
      <c r="G898" s="384"/>
      <c r="O898" s="303"/>
      <c r="Q898" s="31"/>
    </row>
    <row r="899" spans="7:17" ht="13.15" x14ac:dyDescent="0.4">
      <c r="G899" s="384"/>
      <c r="O899" s="303"/>
      <c r="Q899" s="31"/>
    </row>
    <row r="900" spans="7:17" ht="13.15" x14ac:dyDescent="0.4">
      <c r="G900" s="384"/>
      <c r="O900" s="303"/>
      <c r="Q900" s="31"/>
    </row>
    <row r="901" spans="7:17" ht="13.15" x14ac:dyDescent="0.4">
      <c r="G901" s="384"/>
      <c r="O901" s="303"/>
      <c r="Q901" s="31"/>
    </row>
    <row r="902" spans="7:17" ht="13.15" x14ac:dyDescent="0.4">
      <c r="G902" s="384"/>
      <c r="O902" s="303"/>
      <c r="Q902" s="31"/>
    </row>
    <row r="903" spans="7:17" ht="13.15" x14ac:dyDescent="0.4">
      <c r="G903" s="384"/>
      <c r="O903" s="303"/>
      <c r="Q903" s="31"/>
    </row>
    <row r="904" spans="7:17" ht="13.15" x14ac:dyDescent="0.4">
      <c r="G904" s="384"/>
      <c r="O904" s="303"/>
      <c r="Q904" s="31"/>
    </row>
    <row r="905" spans="7:17" ht="13.15" x14ac:dyDescent="0.4">
      <c r="G905" s="384"/>
      <c r="O905" s="303"/>
      <c r="Q905" s="31"/>
    </row>
    <row r="906" spans="7:17" ht="13.15" x14ac:dyDescent="0.4">
      <c r="G906" s="384"/>
      <c r="O906" s="303"/>
      <c r="Q906" s="31"/>
    </row>
    <row r="907" spans="7:17" ht="13.15" x14ac:dyDescent="0.4">
      <c r="G907" s="384"/>
      <c r="O907" s="303"/>
      <c r="Q907" s="31"/>
    </row>
    <row r="908" spans="7:17" ht="13.15" x14ac:dyDescent="0.4">
      <c r="G908" s="384"/>
      <c r="O908" s="303"/>
      <c r="Q908" s="31"/>
    </row>
    <row r="909" spans="7:17" ht="13.15" x14ac:dyDescent="0.4">
      <c r="G909" s="384"/>
      <c r="O909" s="303"/>
      <c r="Q909" s="31"/>
    </row>
    <row r="910" spans="7:17" ht="13.15" x14ac:dyDescent="0.4">
      <c r="G910" s="384"/>
      <c r="O910" s="303"/>
      <c r="Q910" s="31"/>
    </row>
    <row r="911" spans="7:17" ht="13.15" x14ac:dyDescent="0.4">
      <c r="G911" s="384"/>
      <c r="O911" s="303"/>
      <c r="Q911" s="31"/>
    </row>
    <row r="912" spans="7:17" ht="13.15" x14ac:dyDescent="0.4">
      <c r="G912" s="384"/>
      <c r="O912" s="303"/>
      <c r="Q912" s="31"/>
    </row>
    <row r="913" spans="7:17" ht="13.15" x14ac:dyDescent="0.4">
      <c r="G913" s="384"/>
      <c r="O913" s="303"/>
      <c r="Q913" s="31"/>
    </row>
    <row r="914" spans="7:17" ht="13.15" x14ac:dyDescent="0.4">
      <c r="G914" s="384"/>
      <c r="O914" s="303"/>
      <c r="Q914" s="31"/>
    </row>
    <row r="915" spans="7:17" ht="13.15" x14ac:dyDescent="0.4">
      <c r="G915" s="384"/>
      <c r="O915" s="303"/>
      <c r="Q915" s="31"/>
    </row>
    <row r="916" spans="7:17" ht="13.15" x14ac:dyDescent="0.4">
      <c r="G916" s="384"/>
      <c r="O916" s="303"/>
      <c r="Q916" s="31"/>
    </row>
    <row r="917" spans="7:17" ht="13.15" x14ac:dyDescent="0.4">
      <c r="G917" s="384"/>
      <c r="O917" s="303"/>
      <c r="Q917" s="31"/>
    </row>
    <row r="918" spans="7:17" ht="13.15" x14ac:dyDescent="0.4">
      <c r="G918" s="384"/>
      <c r="O918" s="303"/>
      <c r="Q918" s="31"/>
    </row>
    <row r="919" spans="7:17" ht="13.15" x14ac:dyDescent="0.4">
      <c r="G919" s="384"/>
      <c r="O919" s="303"/>
      <c r="Q919" s="31"/>
    </row>
    <row r="920" spans="7:17" ht="13.15" x14ac:dyDescent="0.4">
      <c r="G920" s="384"/>
      <c r="O920" s="303"/>
      <c r="Q920" s="31"/>
    </row>
    <row r="921" spans="7:17" ht="13.15" x14ac:dyDescent="0.4">
      <c r="G921" s="384"/>
      <c r="O921" s="303"/>
      <c r="Q921" s="31"/>
    </row>
    <row r="922" spans="7:17" ht="13.15" x14ac:dyDescent="0.4">
      <c r="G922" s="384"/>
      <c r="O922" s="303"/>
      <c r="Q922" s="31"/>
    </row>
    <row r="923" spans="7:17" ht="13.15" x14ac:dyDescent="0.4">
      <c r="G923" s="384"/>
      <c r="O923" s="303"/>
      <c r="Q923" s="31"/>
    </row>
    <row r="924" spans="7:17" ht="13.15" x14ac:dyDescent="0.4">
      <c r="G924" s="384"/>
      <c r="O924" s="303"/>
      <c r="Q924" s="31"/>
    </row>
    <row r="925" spans="7:17" ht="13.15" x14ac:dyDescent="0.4">
      <c r="G925" s="384"/>
      <c r="O925" s="303"/>
      <c r="Q925" s="31"/>
    </row>
    <row r="926" spans="7:17" ht="13.15" x14ac:dyDescent="0.4">
      <c r="G926" s="384"/>
      <c r="O926" s="303"/>
      <c r="Q926" s="31"/>
    </row>
    <row r="927" spans="7:17" ht="13.15" x14ac:dyDescent="0.4">
      <c r="G927" s="384"/>
      <c r="O927" s="303"/>
      <c r="Q927" s="31"/>
    </row>
    <row r="928" spans="7:17" ht="13.15" x14ac:dyDescent="0.4">
      <c r="G928" s="384"/>
      <c r="O928" s="303"/>
      <c r="Q928" s="31"/>
    </row>
    <row r="929" spans="7:17" ht="13.15" x14ac:dyDescent="0.4">
      <c r="G929" s="384"/>
      <c r="O929" s="303"/>
      <c r="Q929" s="31"/>
    </row>
    <row r="930" spans="7:17" ht="13.15" x14ac:dyDescent="0.4">
      <c r="G930" s="384"/>
      <c r="O930" s="303"/>
      <c r="Q930" s="31"/>
    </row>
    <row r="931" spans="7:17" ht="13.15" x14ac:dyDescent="0.4">
      <c r="G931" s="384"/>
      <c r="O931" s="303"/>
      <c r="Q931" s="31"/>
    </row>
    <row r="932" spans="7:17" ht="13.15" x14ac:dyDescent="0.4">
      <c r="G932" s="384"/>
      <c r="O932" s="303"/>
      <c r="Q932" s="31"/>
    </row>
    <row r="933" spans="7:17" ht="13.15" x14ac:dyDescent="0.4">
      <c r="G933" s="384"/>
      <c r="O933" s="303"/>
      <c r="Q933" s="31"/>
    </row>
    <row r="934" spans="7:17" ht="13.15" x14ac:dyDescent="0.4">
      <c r="G934" s="384"/>
      <c r="O934" s="303"/>
      <c r="Q934" s="31"/>
    </row>
    <row r="935" spans="7:17" ht="13.15" x14ac:dyDescent="0.4">
      <c r="G935" s="384"/>
      <c r="O935" s="303"/>
      <c r="Q935" s="31"/>
    </row>
    <row r="936" spans="7:17" ht="13.15" x14ac:dyDescent="0.4">
      <c r="G936" s="384"/>
      <c r="O936" s="303"/>
      <c r="Q936" s="31"/>
    </row>
    <row r="937" spans="7:17" ht="13.15" x14ac:dyDescent="0.4">
      <c r="G937" s="384"/>
      <c r="O937" s="303"/>
      <c r="Q937" s="31"/>
    </row>
    <row r="938" spans="7:17" ht="13.15" x14ac:dyDescent="0.4">
      <c r="G938" s="384"/>
      <c r="O938" s="303"/>
      <c r="Q938" s="31"/>
    </row>
    <row r="939" spans="7:17" ht="13.15" x14ac:dyDescent="0.4">
      <c r="G939" s="384"/>
      <c r="O939" s="303"/>
      <c r="Q939" s="31"/>
    </row>
    <row r="940" spans="7:17" ht="13.15" x14ac:dyDescent="0.4">
      <c r="G940" s="384"/>
      <c r="O940" s="303"/>
      <c r="Q940" s="31"/>
    </row>
    <row r="941" spans="7:17" ht="13.15" x14ac:dyDescent="0.4">
      <c r="G941" s="384"/>
      <c r="O941" s="303"/>
      <c r="Q941" s="31"/>
    </row>
    <row r="942" spans="7:17" ht="13.15" x14ac:dyDescent="0.4">
      <c r="G942" s="384"/>
      <c r="O942" s="303"/>
      <c r="Q942" s="31"/>
    </row>
    <row r="943" spans="7:17" ht="13.15" x14ac:dyDescent="0.4">
      <c r="G943" s="384"/>
      <c r="O943" s="303"/>
      <c r="Q943" s="31"/>
    </row>
    <row r="944" spans="7:17" ht="13.15" x14ac:dyDescent="0.4">
      <c r="G944" s="384"/>
      <c r="O944" s="303"/>
      <c r="Q944" s="31"/>
    </row>
    <row r="945" spans="7:17" ht="13.15" x14ac:dyDescent="0.4">
      <c r="G945" s="384"/>
      <c r="O945" s="303"/>
      <c r="Q945" s="31"/>
    </row>
    <row r="946" spans="7:17" ht="13.15" x14ac:dyDescent="0.4">
      <c r="G946" s="384"/>
      <c r="O946" s="303"/>
      <c r="Q946" s="31"/>
    </row>
    <row r="947" spans="7:17" ht="13.15" x14ac:dyDescent="0.4">
      <c r="G947" s="384"/>
      <c r="O947" s="303"/>
      <c r="Q947" s="31"/>
    </row>
    <row r="948" spans="7:17" ht="13.15" x14ac:dyDescent="0.4">
      <c r="G948" s="384"/>
      <c r="O948" s="303"/>
      <c r="Q948" s="31"/>
    </row>
    <row r="949" spans="7:17" ht="13.15" x14ac:dyDescent="0.4">
      <c r="G949" s="384"/>
      <c r="O949" s="303"/>
      <c r="Q949" s="31"/>
    </row>
    <row r="950" spans="7:17" ht="13.15" x14ac:dyDescent="0.4">
      <c r="G950" s="384"/>
      <c r="O950" s="303"/>
      <c r="Q950" s="31"/>
    </row>
    <row r="951" spans="7:17" ht="13.15" x14ac:dyDescent="0.4">
      <c r="G951" s="384"/>
      <c r="O951" s="303"/>
      <c r="Q951" s="31"/>
    </row>
    <row r="952" spans="7:17" ht="13.15" x14ac:dyDescent="0.4">
      <c r="G952" s="384"/>
      <c r="O952" s="303"/>
      <c r="Q952" s="31"/>
    </row>
    <row r="953" spans="7:17" ht="13.15" x14ac:dyDescent="0.4">
      <c r="G953" s="384"/>
      <c r="O953" s="303"/>
      <c r="Q953" s="31"/>
    </row>
    <row r="954" spans="7:17" ht="13.15" x14ac:dyDescent="0.4">
      <c r="G954" s="384"/>
      <c r="O954" s="303"/>
      <c r="Q954" s="31"/>
    </row>
    <row r="955" spans="7:17" ht="13.15" x14ac:dyDescent="0.4">
      <c r="G955" s="384"/>
      <c r="O955" s="303"/>
      <c r="Q955" s="31"/>
    </row>
    <row r="956" spans="7:17" ht="13.15" x14ac:dyDescent="0.4">
      <c r="G956" s="384"/>
      <c r="O956" s="303"/>
      <c r="Q956" s="31"/>
    </row>
    <row r="957" spans="7:17" ht="13.15" x14ac:dyDescent="0.4">
      <c r="G957" s="384"/>
      <c r="O957" s="303"/>
      <c r="Q957" s="31"/>
    </row>
    <row r="958" spans="7:17" ht="13.15" x14ac:dyDescent="0.4">
      <c r="G958" s="384"/>
      <c r="O958" s="303"/>
      <c r="Q958" s="31"/>
    </row>
    <row r="959" spans="7:17" ht="13.15" x14ac:dyDescent="0.4">
      <c r="G959" s="384"/>
      <c r="O959" s="303"/>
      <c r="Q959" s="31"/>
    </row>
    <row r="960" spans="7:17" ht="13.15" x14ac:dyDescent="0.4">
      <c r="G960" s="384"/>
      <c r="O960" s="303"/>
      <c r="Q960" s="31"/>
    </row>
    <row r="961" spans="7:17" ht="13.15" x14ac:dyDescent="0.4">
      <c r="G961" s="384"/>
      <c r="O961" s="303"/>
      <c r="Q961" s="31"/>
    </row>
    <row r="962" spans="7:17" ht="13.15" x14ac:dyDescent="0.4">
      <c r="G962" s="384"/>
      <c r="O962" s="303"/>
      <c r="Q962" s="31"/>
    </row>
    <row r="963" spans="7:17" ht="13.15" x14ac:dyDescent="0.4">
      <c r="G963" s="384"/>
      <c r="O963" s="303"/>
      <c r="Q963" s="31"/>
    </row>
    <row r="964" spans="7:17" ht="13.15" x14ac:dyDescent="0.4">
      <c r="G964" s="384"/>
      <c r="O964" s="303"/>
      <c r="Q964" s="31"/>
    </row>
    <row r="965" spans="7:17" ht="13.15" x14ac:dyDescent="0.4">
      <c r="G965" s="384"/>
      <c r="O965" s="303"/>
      <c r="Q965" s="31"/>
    </row>
    <row r="966" spans="7:17" ht="13.15" x14ac:dyDescent="0.4">
      <c r="G966" s="384"/>
      <c r="O966" s="303"/>
      <c r="Q966" s="31"/>
    </row>
    <row r="967" spans="7:17" ht="13.15" x14ac:dyDescent="0.4">
      <c r="G967" s="384"/>
      <c r="O967" s="303"/>
      <c r="Q967" s="31"/>
    </row>
    <row r="968" spans="7:17" ht="13.15" x14ac:dyDescent="0.4">
      <c r="G968" s="384"/>
      <c r="O968" s="303"/>
      <c r="Q968" s="31"/>
    </row>
    <row r="969" spans="7:17" ht="13.15" x14ac:dyDescent="0.4">
      <c r="G969" s="384"/>
      <c r="O969" s="303"/>
      <c r="Q969" s="31"/>
    </row>
    <row r="970" spans="7:17" ht="13.15" x14ac:dyDescent="0.4">
      <c r="G970" s="384"/>
      <c r="O970" s="303"/>
      <c r="Q970" s="31"/>
    </row>
    <row r="971" spans="7:17" ht="13.15" x14ac:dyDescent="0.4">
      <c r="G971" s="384"/>
      <c r="O971" s="303"/>
      <c r="Q971" s="31"/>
    </row>
    <row r="972" spans="7:17" ht="13.15" x14ac:dyDescent="0.4">
      <c r="G972" s="384"/>
      <c r="O972" s="303"/>
      <c r="Q972" s="31"/>
    </row>
    <row r="973" spans="7:17" ht="13.15" x14ac:dyDescent="0.4">
      <c r="G973" s="384"/>
      <c r="O973" s="303"/>
      <c r="Q973" s="31"/>
    </row>
    <row r="974" spans="7:17" ht="13.15" x14ac:dyDescent="0.4">
      <c r="G974" s="384"/>
      <c r="O974" s="303"/>
      <c r="Q974" s="31"/>
    </row>
    <row r="975" spans="7:17" ht="13.15" x14ac:dyDescent="0.4">
      <c r="G975" s="384"/>
      <c r="O975" s="303"/>
      <c r="Q975" s="31"/>
    </row>
    <row r="976" spans="7:17" ht="13.15" x14ac:dyDescent="0.4">
      <c r="G976" s="384"/>
      <c r="O976" s="303"/>
      <c r="Q976" s="31"/>
    </row>
    <row r="977" spans="7:17" ht="13.15" x14ac:dyDescent="0.4">
      <c r="G977" s="384"/>
      <c r="O977" s="303"/>
      <c r="Q977" s="31"/>
    </row>
    <row r="978" spans="7:17" ht="13.15" x14ac:dyDescent="0.4">
      <c r="G978" s="384"/>
      <c r="O978" s="303"/>
      <c r="Q978" s="31"/>
    </row>
    <row r="979" spans="7:17" ht="13.15" x14ac:dyDescent="0.4">
      <c r="G979" s="384"/>
      <c r="O979" s="303"/>
      <c r="Q979" s="31"/>
    </row>
    <row r="980" spans="7:17" ht="13.15" x14ac:dyDescent="0.4">
      <c r="G980" s="384"/>
      <c r="O980" s="303"/>
      <c r="Q980" s="31"/>
    </row>
    <row r="981" spans="7:17" ht="13.15" x14ac:dyDescent="0.4">
      <c r="G981" s="384"/>
      <c r="O981" s="303"/>
      <c r="Q981" s="31"/>
    </row>
    <row r="982" spans="7:17" ht="13.15" x14ac:dyDescent="0.4">
      <c r="G982" s="384"/>
      <c r="O982" s="303"/>
      <c r="Q982" s="31"/>
    </row>
    <row r="983" spans="7:17" ht="13.15" x14ac:dyDescent="0.4">
      <c r="G983" s="384"/>
      <c r="O983" s="303"/>
      <c r="Q983" s="31"/>
    </row>
    <row r="984" spans="7:17" ht="13.15" x14ac:dyDescent="0.4">
      <c r="G984" s="384"/>
      <c r="O984" s="303"/>
      <c r="Q984" s="31"/>
    </row>
    <row r="985" spans="7:17" ht="13.15" x14ac:dyDescent="0.4">
      <c r="G985" s="384"/>
      <c r="O985" s="303"/>
      <c r="Q985" s="31"/>
    </row>
    <row r="986" spans="7:17" ht="13.15" x14ac:dyDescent="0.4">
      <c r="G986" s="384"/>
      <c r="O986" s="303"/>
      <c r="Q986" s="31"/>
    </row>
    <row r="987" spans="7:17" ht="13.15" x14ac:dyDescent="0.4">
      <c r="G987" s="384"/>
      <c r="O987" s="303"/>
      <c r="Q987" s="31"/>
    </row>
    <row r="988" spans="7:17" ht="13.15" x14ac:dyDescent="0.4">
      <c r="G988" s="384"/>
      <c r="O988" s="303"/>
      <c r="Q988" s="31"/>
    </row>
    <row r="989" spans="7:17" ht="13.15" x14ac:dyDescent="0.4">
      <c r="G989" s="384"/>
      <c r="O989" s="303"/>
      <c r="Q989" s="31"/>
    </row>
    <row r="990" spans="7:17" ht="13.15" x14ac:dyDescent="0.4">
      <c r="G990" s="384"/>
      <c r="O990" s="303"/>
      <c r="Q990" s="31"/>
    </row>
    <row r="991" spans="7:17" ht="13.15" x14ac:dyDescent="0.4">
      <c r="G991" s="384"/>
      <c r="O991" s="303"/>
      <c r="Q991" s="31"/>
    </row>
    <row r="992" spans="7:17" ht="13.15" x14ac:dyDescent="0.4">
      <c r="G992" s="384"/>
      <c r="O992" s="303"/>
      <c r="Q992" s="31"/>
    </row>
    <row r="993" spans="7:17" ht="13.15" x14ac:dyDescent="0.4">
      <c r="G993" s="384"/>
      <c r="O993" s="303"/>
      <c r="Q993" s="31"/>
    </row>
    <row r="994" spans="7:17" ht="13.15" x14ac:dyDescent="0.4">
      <c r="G994" s="384"/>
      <c r="O994" s="303"/>
      <c r="Q994" s="31"/>
    </row>
    <row r="995" spans="7:17" ht="13.15" x14ac:dyDescent="0.4">
      <c r="G995" s="384"/>
      <c r="O995" s="303"/>
      <c r="Q995" s="31"/>
    </row>
    <row r="996" spans="7:17" ht="13.15" x14ac:dyDescent="0.4">
      <c r="G996" s="384"/>
      <c r="O996" s="303"/>
      <c r="Q996" s="31"/>
    </row>
    <row r="997" spans="7:17" ht="13.15" x14ac:dyDescent="0.4">
      <c r="G997" s="384"/>
      <c r="O997" s="303"/>
      <c r="Q997" s="31"/>
    </row>
    <row r="998" spans="7:17" ht="13.15" x14ac:dyDescent="0.4">
      <c r="G998" s="384"/>
      <c r="O998" s="303"/>
      <c r="Q998" s="31"/>
    </row>
    <row r="999" spans="7:17" ht="13.15" x14ac:dyDescent="0.4">
      <c r="G999" s="384"/>
      <c r="O999" s="303"/>
      <c r="Q999" s="31"/>
    </row>
    <row r="1000" spans="7:17" ht="13.15" x14ac:dyDescent="0.4">
      <c r="G1000" s="384"/>
      <c r="O1000" s="303"/>
      <c r="Q1000" s="31"/>
    </row>
  </sheetData>
  <printOptions horizontalCentered="1" gridLines="1"/>
  <pageMargins left="0.7" right="0.7" top="0.75" bottom="0.75" header="0" footer="0"/>
  <pageSetup fitToHeight="0" pageOrder="overThenDown" orientation="portrait" cellComments="atEnd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outlinePr summaryBelow="0" summaryRight="0"/>
  </sheetPr>
  <dimension ref="A1:X996"/>
  <sheetViews>
    <sheetView workbookViewId="0"/>
  </sheetViews>
  <sheetFormatPr defaultColWidth="14.42578125" defaultRowHeight="15.75" customHeight="1" x14ac:dyDescent="0.4"/>
  <cols>
    <col min="1" max="1" width="17.42578125" customWidth="1"/>
    <col min="2" max="2" width="10.85546875" customWidth="1"/>
    <col min="3" max="3" width="6.28515625" customWidth="1"/>
    <col min="4" max="4" width="7.42578125" customWidth="1"/>
    <col min="5" max="5" width="19.28515625" customWidth="1"/>
    <col min="6" max="7" width="3.28515625" customWidth="1"/>
    <col min="8" max="8" width="9.5703125" customWidth="1"/>
    <col min="9" max="9" width="7.140625" customWidth="1"/>
    <col min="10" max="10" width="7.7109375" customWidth="1"/>
    <col min="11" max="11" width="26" customWidth="1"/>
    <col min="12" max="12" width="9.85546875" customWidth="1"/>
    <col min="13" max="13" width="7.140625" customWidth="1"/>
  </cols>
  <sheetData>
    <row r="1" spans="1:24" ht="15.75" customHeight="1" x14ac:dyDescent="0.55000000000000004">
      <c r="A1" s="29" t="s">
        <v>129</v>
      </c>
      <c r="B1" s="29" t="s">
        <v>12</v>
      </c>
      <c r="C1" s="29" t="s">
        <v>25</v>
      </c>
      <c r="D1" s="29" t="s">
        <v>20</v>
      </c>
      <c r="E1" s="35" t="s">
        <v>134</v>
      </c>
      <c r="F1" s="29" t="s">
        <v>8</v>
      </c>
      <c r="G1" s="29" t="s">
        <v>10</v>
      </c>
      <c r="H1" s="25" t="s">
        <v>4</v>
      </c>
      <c r="I1" s="25" t="s">
        <v>136</v>
      </c>
      <c r="J1" s="22" t="s">
        <v>2696</v>
      </c>
      <c r="K1" s="29" t="s">
        <v>2</v>
      </c>
      <c r="L1" s="29" t="s">
        <v>11</v>
      </c>
      <c r="M1" s="37" t="s">
        <v>7</v>
      </c>
      <c r="N1" s="373"/>
      <c r="O1" s="373"/>
      <c r="P1" s="373"/>
      <c r="Q1" s="373"/>
      <c r="R1" s="373"/>
      <c r="S1" s="373"/>
      <c r="T1" s="373"/>
      <c r="U1" s="373"/>
      <c r="V1" s="373"/>
      <c r="W1" s="373"/>
      <c r="X1" s="373"/>
    </row>
    <row r="2" spans="1:24" ht="15.75" customHeight="1" x14ac:dyDescent="0.55000000000000004">
      <c r="A2" s="58">
        <f t="shared" ref="A2:A29" si="0">O2</f>
        <v>44782</v>
      </c>
      <c r="B2" s="59">
        <f t="shared" ref="B2:B29" si="1">A2-21</f>
        <v>44761</v>
      </c>
      <c r="C2" s="57">
        <f t="shared" ref="C2:C29" ca="1" si="2">A2-TODAY()</f>
        <v>-1458</v>
      </c>
      <c r="D2" s="61" t="str">
        <f t="shared" ref="D2:D29" si="3">MIN(F2:G2)&amp;" x "&amp;MAX(F2:G2)</f>
        <v>24 x 32</v>
      </c>
      <c r="E2" s="60" t="str">
        <f t="shared" ref="E2:E29" si="4">R2</f>
        <v>Autumn Creek</v>
      </c>
      <c r="F2" s="57">
        <v>24</v>
      </c>
      <c r="G2" s="57">
        <v>32</v>
      </c>
      <c r="H2" s="63">
        <f t="shared" ref="H2:I2" si="5">W2</f>
        <v>1632</v>
      </c>
      <c r="I2" s="63" t="str">
        <f t="shared" si="5"/>
        <v>$0*</v>
      </c>
      <c r="J2" s="57">
        <f t="shared" ref="J2:K2" si="6">S2</f>
        <v>2</v>
      </c>
      <c r="K2" s="61" t="str">
        <f t="shared" si="6"/>
        <v>Eric Newhouse</v>
      </c>
      <c r="L2" s="62" t="str">
        <f t="shared" ref="L2:L29" si="7">V2</f>
        <v>EH</v>
      </c>
      <c r="M2" s="64" t="str">
        <f t="shared" ref="M2:M29" si="8">U2</f>
        <v>2 3D</v>
      </c>
      <c r="N2" s="373"/>
      <c r="O2" s="396">
        <v>44782</v>
      </c>
      <c r="P2" s="397">
        <v>13</v>
      </c>
      <c r="Q2" s="397" t="s">
        <v>348</v>
      </c>
      <c r="R2" s="397" t="s">
        <v>411</v>
      </c>
      <c r="S2" s="397">
        <v>2</v>
      </c>
      <c r="T2" s="397" t="s">
        <v>1356</v>
      </c>
      <c r="U2" s="397" t="s">
        <v>54</v>
      </c>
      <c r="V2" s="398" t="s">
        <v>690</v>
      </c>
      <c r="W2" s="399">
        <v>1632</v>
      </c>
      <c r="X2" s="397" t="s">
        <v>1289</v>
      </c>
    </row>
    <row r="3" spans="1:24" ht="15.75" customHeight="1" x14ac:dyDescent="0.55000000000000004">
      <c r="A3" s="58">
        <f t="shared" si="0"/>
        <v>44782</v>
      </c>
      <c r="B3" s="59">
        <f t="shared" si="1"/>
        <v>44761</v>
      </c>
      <c r="C3" s="57">
        <f t="shared" ca="1" si="2"/>
        <v>-1458</v>
      </c>
      <c r="D3" s="61" t="str">
        <f t="shared" si="3"/>
        <v>38 x 56</v>
      </c>
      <c r="E3" s="60" t="str">
        <f t="shared" si="4"/>
        <v>Palm Fronds</v>
      </c>
      <c r="F3" s="57">
        <v>38</v>
      </c>
      <c r="G3" s="57">
        <v>56</v>
      </c>
      <c r="H3" s="63">
        <f t="shared" ref="H3:I3" si="9">W3</f>
        <v>4522</v>
      </c>
      <c r="I3" s="63" t="str">
        <f t="shared" si="9"/>
        <v>$0*</v>
      </c>
      <c r="J3" s="57">
        <f t="shared" ref="J3:K3" si="10">S3</f>
        <v>2</v>
      </c>
      <c r="K3" s="61" t="str">
        <f t="shared" si="10"/>
        <v>Eric Newhouse</v>
      </c>
      <c r="L3" s="62" t="str">
        <f t="shared" si="7"/>
        <v>EH</v>
      </c>
      <c r="M3" s="64" t="str">
        <f t="shared" si="8"/>
        <v>2 3D</v>
      </c>
      <c r="N3" s="373"/>
      <c r="O3" s="396">
        <v>44782</v>
      </c>
      <c r="P3" s="397">
        <v>13</v>
      </c>
      <c r="Q3" s="397" t="s">
        <v>371</v>
      </c>
      <c r="R3" s="397" t="s">
        <v>1180</v>
      </c>
      <c r="S3" s="397">
        <v>2</v>
      </c>
      <c r="T3" s="397" t="s">
        <v>1356</v>
      </c>
      <c r="U3" s="397" t="s">
        <v>54</v>
      </c>
      <c r="V3" s="398" t="s">
        <v>690</v>
      </c>
      <c r="W3" s="399">
        <v>4522</v>
      </c>
      <c r="X3" s="397" t="s">
        <v>1289</v>
      </c>
    </row>
    <row r="4" spans="1:24" ht="15.75" customHeight="1" x14ac:dyDescent="0.55000000000000004">
      <c r="A4" s="58">
        <f t="shared" si="0"/>
        <v>44783</v>
      </c>
      <c r="B4" s="59">
        <f t="shared" si="1"/>
        <v>44762</v>
      </c>
      <c r="C4" s="57">
        <f t="shared" ca="1" si="2"/>
        <v>-1457</v>
      </c>
      <c r="D4" s="61" t="str">
        <f t="shared" si="3"/>
        <v>30 x 40</v>
      </c>
      <c r="E4" s="60" t="str">
        <f t="shared" si="4"/>
        <v>Autumn Creek</v>
      </c>
      <c r="F4" s="57">
        <v>30</v>
      </c>
      <c r="G4" s="57">
        <v>40</v>
      </c>
      <c r="H4" s="63">
        <f t="shared" ref="H4:I4" si="11">W4</f>
        <v>3000</v>
      </c>
      <c r="I4" s="63">
        <f t="shared" si="11"/>
        <v>0</v>
      </c>
      <c r="J4" s="57">
        <f t="shared" ref="J4:K4" si="12">S4</f>
        <v>1</v>
      </c>
      <c r="K4" s="61" t="str">
        <f t="shared" si="12"/>
        <v>Sandra Ersley</v>
      </c>
      <c r="L4" s="62" t="str">
        <f t="shared" si="7"/>
        <v>EH</v>
      </c>
      <c r="M4" s="64" t="str">
        <f t="shared" si="8"/>
        <v>2 3D</v>
      </c>
      <c r="N4" s="373"/>
      <c r="O4" s="396">
        <v>44783</v>
      </c>
      <c r="P4" s="397">
        <v>14</v>
      </c>
      <c r="Q4" s="397" t="s">
        <v>374</v>
      </c>
      <c r="R4" s="397" t="s">
        <v>411</v>
      </c>
      <c r="S4" s="397">
        <v>1</v>
      </c>
      <c r="T4" s="397" t="s">
        <v>1547</v>
      </c>
      <c r="U4" s="397" t="s">
        <v>54</v>
      </c>
      <c r="V4" s="398" t="s">
        <v>690</v>
      </c>
      <c r="W4" s="399">
        <v>3000</v>
      </c>
      <c r="X4" s="399">
        <v>0</v>
      </c>
    </row>
    <row r="5" spans="1:24" ht="15.75" customHeight="1" x14ac:dyDescent="0.55000000000000004">
      <c r="A5" s="58">
        <f t="shared" si="0"/>
        <v>44783</v>
      </c>
      <c r="B5" s="59">
        <f t="shared" si="1"/>
        <v>44762</v>
      </c>
      <c r="C5" s="57">
        <f t="shared" ca="1" si="2"/>
        <v>-1457</v>
      </c>
      <c r="D5" s="61" t="str">
        <f t="shared" si="3"/>
        <v>48 x 62</v>
      </c>
      <c r="E5" s="60" t="str">
        <f t="shared" si="4"/>
        <v>Coastal Blues</v>
      </c>
      <c r="F5" s="57">
        <v>48</v>
      </c>
      <c r="G5" s="57">
        <v>62</v>
      </c>
      <c r="H5" s="63">
        <f t="shared" ref="H5:I5" si="13">W5</f>
        <v>7500</v>
      </c>
      <c r="I5" s="63" t="str">
        <f t="shared" si="13"/>
        <v>$0*</v>
      </c>
      <c r="J5" s="57">
        <f t="shared" ref="J5:K5" si="14">S5</f>
        <v>1</v>
      </c>
      <c r="K5" s="61" t="str">
        <f t="shared" si="14"/>
        <v>Adelyn Reed</v>
      </c>
      <c r="L5" s="62" t="str">
        <f t="shared" si="7"/>
        <v>EH</v>
      </c>
      <c r="M5" s="64" t="str">
        <f t="shared" si="8"/>
        <v>2 3D</v>
      </c>
      <c r="N5" s="373"/>
      <c r="O5" s="396">
        <v>44783</v>
      </c>
      <c r="P5" s="397">
        <v>14</v>
      </c>
      <c r="Q5" s="397" t="s">
        <v>2697</v>
      </c>
      <c r="R5" s="397" t="s">
        <v>1413</v>
      </c>
      <c r="S5" s="397">
        <v>1</v>
      </c>
      <c r="T5" s="397" t="s">
        <v>1497</v>
      </c>
      <c r="U5" s="397" t="s">
        <v>54</v>
      </c>
      <c r="V5" s="398" t="s">
        <v>690</v>
      </c>
      <c r="W5" s="399">
        <v>7500</v>
      </c>
      <c r="X5" s="397" t="s">
        <v>1289</v>
      </c>
    </row>
    <row r="6" spans="1:24" ht="15.75" customHeight="1" x14ac:dyDescent="0.55000000000000004">
      <c r="A6" s="58">
        <f t="shared" si="0"/>
        <v>44783</v>
      </c>
      <c r="B6" s="59">
        <f t="shared" si="1"/>
        <v>44762</v>
      </c>
      <c r="C6" s="57">
        <f t="shared" ca="1" si="2"/>
        <v>-1457</v>
      </c>
      <c r="D6" s="61" t="str">
        <f t="shared" si="3"/>
        <v>40 x 50</v>
      </c>
      <c r="E6" s="60" t="str">
        <f t="shared" si="4"/>
        <v>Vines at Dawn</v>
      </c>
      <c r="F6" s="57">
        <v>40</v>
      </c>
      <c r="G6" s="57">
        <v>50</v>
      </c>
      <c r="H6" s="63">
        <f t="shared" ref="H6:I6" si="15">W6</f>
        <v>5000</v>
      </c>
      <c r="I6" s="63" t="str">
        <f t="shared" si="15"/>
        <v>$0*</v>
      </c>
      <c r="J6" s="57">
        <f t="shared" ref="J6:K6" si="16">S6</f>
        <v>1</v>
      </c>
      <c r="K6" s="61" t="str">
        <f t="shared" si="16"/>
        <v>Adelyn Reed</v>
      </c>
      <c r="L6" s="62" t="str">
        <f t="shared" si="7"/>
        <v>EH</v>
      </c>
      <c r="M6" s="64" t="str">
        <f t="shared" si="8"/>
        <v>2 3D</v>
      </c>
      <c r="N6" s="373"/>
      <c r="O6" s="396">
        <v>44783</v>
      </c>
      <c r="P6" s="397">
        <v>14</v>
      </c>
      <c r="Q6" s="397" t="s">
        <v>293</v>
      </c>
      <c r="R6" s="397" t="s">
        <v>1376</v>
      </c>
      <c r="S6" s="397">
        <v>1</v>
      </c>
      <c r="T6" s="397" t="s">
        <v>1497</v>
      </c>
      <c r="U6" s="397" t="s">
        <v>54</v>
      </c>
      <c r="V6" s="398" t="s">
        <v>690</v>
      </c>
      <c r="W6" s="399">
        <v>5000</v>
      </c>
      <c r="X6" s="397" t="s">
        <v>1289</v>
      </c>
    </row>
    <row r="7" spans="1:24" ht="15.75" customHeight="1" x14ac:dyDescent="0.55000000000000004">
      <c r="A7" s="58">
        <f t="shared" si="0"/>
        <v>44783</v>
      </c>
      <c r="B7" s="59">
        <f t="shared" si="1"/>
        <v>44762</v>
      </c>
      <c r="C7" s="57">
        <f t="shared" ca="1" si="2"/>
        <v>-1457</v>
      </c>
      <c r="D7" s="61" t="str">
        <f t="shared" si="3"/>
        <v>17 x 26</v>
      </c>
      <c r="E7" s="60" t="str">
        <f t="shared" si="4"/>
        <v>Floral Lace</v>
      </c>
      <c r="F7" s="57">
        <v>17</v>
      </c>
      <c r="G7" s="57">
        <v>26</v>
      </c>
      <c r="H7" s="63">
        <f t="shared" ref="H7:I7" si="17">W7</f>
        <v>1105</v>
      </c>
      <c r="I7" s="63" t="str">
        <f t="shared" si="17"/>
        <v>$0*</v>
      </c>
      <c r="J7" s="57">
        <f t="shared" ref="J7:K7" si="18">S7</f>
        <v>6</v>
      </c>
      <c r="K7" s="61" t="str">
        <f t="shared" si="18"/>
        <v>Adelyn Reed</v>
      </c>
      <c r="L7" s="62" t="str">
        <f t="shared" si="7"/>
        <v>EH</v>
      </c>
      <c r="M7" s="64" t="str">
        <f t="shared" si="8"/>
        <v>2 3D</v>
      </c>
      <c r="N7" s="373"/>
      <c r="O7" s="396">
        <v>44783</v>
      </c>
      <c r="P7" s="397">
        <v>14</v>
      </c>
      <c r="Q7" s="397" t="s">
        <v>2698</v>
      </c>
      <c r="R7" s="397" t="s">
        <v>761</v>
      </c>
      <c r="S7" s="397">
        <v>6</v>
      </c>
      <c r="T7" s="397" t="s">
        <v>1497</v>
      </c>
      <c r="U7" s="397" t="s">
        <v>54</v>
      </c>
      <c r="V7" s="398" t="s">
        <v>690</v>
      </c>
      <c r="W7" s="399">
        <v>1105</v>
      </c>
      <c r="X7" s="397" t="s">
        <v>1289</v>
      </c>
    </row>
    <row r="8" spans="1:24" ht="15.75" customHeight="1" x14ac:dyDescent="0.55000000000000004">
      <c r="A8" s="58">
        <f t="shared" si="0"/>
        <v>44783</v>
      </c>
      <c r="B8" s="59">
        <f t="shared" si="1"/>
        <v>44762</v>
      </c>
      <c r="C8" s="57">
        <f t="shared" ca="1" si="2"/>
        <v>-1457</v>
      </c>
      <c r="D8" s="61" t="str">
        <f t="shared" si="3"/>
        <v>28 x 36</v>
      </c>
      <c r="E8" s="60" t="str">
        <f t="shared" si="4"/>
        <v>Pelican Sky</v>
      </c>
      <c r="F8" s="57">
        <v>28</v>
      </c>
      <c r="G8" s="57">
        <v>36</v>
      </c>
      <c r="H8" s="63">
        <f t="shared" ref="H8:I8" si="19">W8</f>
        <v>2520</v>
      </c>
      <c r="I8" s="63" t="str">
        <f t="shared" si="19"/>
        <v>$0*</v>
      </c>
      <c r="J8" s="57">
        <f t="shared" ref="J8:K8" si="20">S8</f>
        <v>9</v>
      </c>
      <c r="K8" s="61" t="str">
        <f t="shared" si="20"/>
        <v>Adelyn Reed</v>
      </c>
      <c r="L8" s="62" t="str">
        <f t="shared" si="7"/>
        <v>EH</v>
      </c>
      <c r="M8" s="64" t="str">
        <f t="shared" si="8"/>
        <v>2 3D</v>
      </c>
      <c r="N8" s="373"/>
      <c r="O8" s="396">
        <v>44783</v>
      </c>
      <c r="P8" s="397">
        <v>14</v>
      </c>
      <c r="Q8" s="397" t="s">
        <v>121</v>
      </c>
      <c r="R8" s="397" t="s">
        <v>1056</v>
      </c>
      <c r="S8" s="397">
        <v>9</v>
      </c>
      <c r="T8" s="397" t="s">
        <v>1497</v>
      </c>
      <c r="U8" s="397" t="s">
        <v>54</v>
      </c>
      <c r="V8" s="398" t="s">
        <v>690</v>
      </c>
      <c r="W8" s="399">
        <v>2520</v>
      </c>
      <c r="X8" s="397" t="s">
        <v>1289</v>
      </c>
    </row>
    <row r="9" spans="1:24" ht="15.75" customHeight="1" x14ac:dyDescent="0.55000000000000004">
      <c r="A9" s="58">
        <f t="shared" si="0"/>
        <v>44783</v>
      </c>
      <c r="B9" s="59">
        <f t="shared" si="1"/>
        <v>44762</v>
      </c>
      <c r="C9" s="57">
        <f t="shared" ca="1" si="2"/>
        <v>-1457</v>
      </c>
      <c r="D9" s="61" t="str">
        <f t="shared" si="3"/>
        <v>17 x 26</v>
      </c>
      <c r="E9" s="60" t="str">
        <f t="shared" si="4"/>
        <v>Waves of Sunflowers</v>
      </c>
      <c r="F9" s="57">
        <v>17</v>
      </c>
      <c r="G9" s="57">
        <v>26</v>
      </c>
      <c r="H9" s="63">
        <f t="shared" ref="H9:I9" si="21">W9</f>
        <v>1200</v>
      </c>
      <c r="I9" s="63" t="str">
        <f t="shared" si="21"/>
        <v>$0*</v>
      </c>
      <c r="J9" s="57">
        <f t="shared" ref="J9:K9" si="22">S9</f>
        <v>2</v>
      </c>
      <c r="K9" s="61" t="str">
        <f t="shared" si="22"/>
        <v>Adelyn Reed</v>
      </c>
      <c r="L9" s="62" t="str">
        <f t="shared" si="7"/>
        <v>EH</v>
      </c>
      <c r="M9" s="64" t="str">
        <f t="shared" si="8"/>
        <v>2 3D</v>
      </c>
      <c r="N9" s="373"/>
      <c r="O9" s="396">
        <v>44783</v>
      </c>
      <c r="P9" s="397">
        <v>14</v>
      </c>
      <c r="Q9" s="397" t="s">
        <v>148</v>
      </c>
      <c r="R9" s="397" t="s">
        <v>424</v>
      </c>
      <c r="S9" s="397">
        <v>2</v>
      </c>
      <c r="T9" s="397" t="s">
        <v>1497</v>
      </c>
      <c r="U9" s="397" t="s">
        <v>54</v>
      </c>
      <c r="V9" s="398" t="s">
        <v>690</v>
      </c>
      <c r="W9" s="399">
        <v>1200</v>
      </c>
      <c r="X9" s="397" t="s">
        <v>1289</v>
      </c>
    </row>
    <row r="10" spans="1:24" x14ac:dyDescent="0.45">
      <c r="A10" s="50">
        <f t="shared" si="0"/>
        <v>44783</v>
      </c>
      <c r="B10" s="51">
        <f t="shared" si="1"/>
        <v>44762</v>
      </c>
      <c r="C10" s="49">
        <f t="shared" ca="1" si="2"/>
        <v>-1457</v>
      </c>
      <c r="D10" s="52" t="str">
        <f t="shared" si="3"/>
        <v>24 x 31</v>
      </c>
      <c r="E10" s="267" t="str">
        <f t="shared" si="4"/>
        <v>Vineyard Hues</v>
      </c>
      <c r="F10" s="40">
        <v>24</v>
      </c>
      <c r="G10" s="40">
        <v>31</v>
      </c>
      <c r="H10" s="54">
        <f t="shared" ref="H10:I10" si="23">W10</f>
        <v>665</v>
      </c>
      <c r="I10" s="54">
        <f t="shared" si="23"/>
        <v>0</v>
      </c>
      <c r="J10" s="49">
        <f t="shared" ref="J10:K10" si="24">S10</f>
        <v>0</v>
      </c>
      <c r="K10" s="40" t="str">
        <f t="shared" si="24"/>
        <v>Camilla Schaeffer</v>
      </c>
      <c r="L10" s="53" t="str">
        <f t="shared" si="7"/>
        <v>White</v>
      </c>
      <c r="M10" s="55" t="str">
        <f t="shared" si="8"/>
        <v>3 Canv</v>
      </c>
      <c r="N10" s="56"/>
      <c r="O10" s="49">
        <v>44783</v>
      </c>
      <c r="P10" s="49">
        <v>14</v>
      </c>
      <c r="Q10" s="40" t="s">
        <v>2699</v>
      </c>
      <c r="R10" s="49" t="s">
        <v>1503</v>
      </c>
      <c r="S10" s="49"/>
      <c r="T10" s="279" t="s">
        <v>1592</v>
      </c>
      <c r="U10" s="279" t="s">
        <v>66</v>
      </c>
      <c r="V10" s="280" t="s">
        <v>5</v>
      </c>
      <c r="W10" s="400">
        <v>665</v>
      </c>
      <c r="X10" s="400">
        <v>0</v>
      </c>
    </row>
    <row r="11" spans="1:24" ht="15.75" customHeight="1" x14ac:dyDescent="0.55000000000000004">
      <c r="A11" s="58">
        <f t="shared" si="0"/>
        <v>44783</v>
      </c>
      <c r="B11" s="59">
        <f t="shared" si="1"/>
        <v>44762</v>
      </c>
      <c r="C11" s="57">
        <f t="shared" ca="1" si="2"/>
        <v>-1457</v>
      </c>
      <c r="D11" s="61" t="str">
        <f t="shared" si="3"/>
        <v>38 x 50</v>
      </c>
      <c r="E11" s="60" t="str">
        <f t="shared" si="4"/>
        <v>Blooming Poppies</v>
      </c>
      <c r="F11" s="57">
        <v>38</v>
      </c>
      <c r="G11" s="57">
        <v>50</v>
      </c>
      <c r="H11" s="63">
        <f t="shared" ref="H11:I11" si="25">W11</f>
        <v>4750</v>
      </c>
      <c r="I11" s="63">
        <f t="shared" si="25"/>
        <v>0</v>
      </c>
      <c r="J11" s="57">
        <f t="shared" ref="J11:K11" si="26">S11</f>
        <v>4</v>
      </c>
      <c r="K11" s="61" t="str">
        <f t="shared" si="26"/>
        <v>Linda Helbock</v>
      </c>
      <c r="L11" s="62" t="str">
        <f t="shared" si="7"/>
        <v>EH</v>
      </c>
      <c r="M11" s="64" t="str">
        <f t="shared" si="8"/>
        <v>2 3D</v>
      </c>
      <c r="N11" s="373"/>
      <c r="O11" s="396">
        <v>44783</v>
      </c>
      <c r="P11" s="397">
        <v>15</v>
      </c>
      <c r="Q11" s="397" t="s">
        <v>369</v>
      </c>
      <c r="R11" s="397" t="s">
        <v>1163</v>
      </c>
      <c r="S11" s="397">
        <v>4</v>
      </c>
      <c r="T11" s="397" t="s">
        <v>1521</v>
      </c>
      <c r="U11" s="397" t="s">
        <v>54</v>
      </c>
      <c r="V11" s="398" t="s">
        <v>690</v>
      </c>
      <c r="W11" s="399">
        <v>4750</v>
      </c>
      <c r="X11" s="399">
        <v>0</v>
      </c>
    </row>
    <row r="12" spans="1:24" ht="15.75" customHeight="1" x14ac:dyDescent="0.55000000000000004">
      <c r="A12" s="50">
        <f t="shared" si="0"/>
        <v>44784</v>
      </c>
      <c r="B12" s="51">
        <f t="shared" si="1"/>
        <v>44763</v>
      </c>
      <c r="C12" s="49">
        <f t="shared" ca="1" si="2"/>
        <v>-1456</v>
      </c>
      <c r="D12" s="52" t="str">
        <f t="shared" si="3"/>
        <v>15 x 20</v>
      </c>
      <c r="E12" s="267" t="str">
        <f t="shared" si="4"/>
        <v>Layers of Vines</v>
      </c>
      <c r="F12" s="40">
        <v>15</v>
      </c>
      <c r="G12" s="40">
        <v>20</v>
      </c>
      <c r="H12" s="54">
        <f t="shared" ref="H12:I12" si="27">W12</f>
        <v>450</v>
      </c>
      <c r="I12" s="54">
        <f t="shared" si="27"/>
        <v>0</v>
      </c>
      <c r="J12" s="49">
        <f t="shared" ref="J12:K12" si="28">S12</f>
        <v>0</v>
      </c>
      <c r="K12" s="40" t="str">
        <f t="shared" si="28"/>
        <v>Adelyn Reed</v>
      </c>
      <c r="L12" s="53" t="str">
        <f t="shared" si="7"/>
        <v>Gold</v>
      </c>
      <c r="M12" s="55" t="str">
        <f t="shared" si="8"/>
        <v>3 Canv</v>
      </c>
      <c r="N12" s="373"/>
      <c r="O12" s="278">
        <v>44784</v>
      </c>
      <c r="P12" s="279">
        <v>15</v>
      </c>
      <c r="Q12" s="279" t="s">
        <v>154</v>
      </c>
      <c r="R12" s="279" t="s">
        <v>73</v>
      </c>
      <c r="S12" s="279"/>
      <c r="T12" s="279" t="s">
        <v>1497</v>
      </c>
      <c r="U12" s="279" t="s">
        <v>66</v>
      </c>
      <c r="V12" s="280" t="s">
        <v>51</v>
      </c>
      <c r="W12" s="400">
        <v>450</v>
      </c>
      <c r="X12" s="400">
        <v>0</v>
      </c>
    </row>
    <row r="13" spans="1:24" ht="15.75" customHeight="1" x14ac:dyDescent="0.55000000000000004">
      <c r="A13" s="50">
        <f t="shared" si="0"/>
        <v>44785</v>
      </c>
      <c r="B13" s="51">
        <f t="shared" si="1"/>
        <v>44764</v>
      </c>
      <c r="C13" s="49">
        <f t="shared" ca="1" si="2"/>
        <v>-1455</v>
      </c>
      <c r="D13" s="52" t="str">
        <f t="shared" si="3"/>
        <v>28 x 47</v>
      </c>
      <c r="E13" s="267" t="str">
        <f t="shared" si="4"/>
        <v>Cypress Radiance</v>
      </c>
      <c r="F13" s="40">
        <v>28</v>
      </c>
      <c r="G13" s="40">
        <v>47</v>
      </c>
      <c r="H13" s="54">
        <f t="shared" ref="H13:I13" si="29">W13</f>
        <v>910</v>
      </c>
      <c r="I13" s="54">
        <f t="shared" si="29"/>
        <v>0</v>
      </c>
      <c r="J13" s="49">
        <f t="shared" ref="J13:K13" si="30">S13</f>
        <v>0</v>
      </c>
      <c r="K13" s="40" t="str">
        <f t="shared" si="30"/>
        <v>Kim Butchereit</v>
      </c>
      <c r="L13" s="53" t="str">
        <f t="shared" si="7"/>
        <v>Silver</v>
      </c>
      <c r="M13" s="55" t="str">
        <f t="shared" si="8"/>
        <v>3 Canv</v>
      </c>
      <c r="N13" s="373"/>
      <c r="O13" s="278">
        <v>44785</v>
      </c>
      <c r="P13" s="279">
        <v>16</v>
      </c>
      <c r="Q13" s="279" t="s">
        <v>336</v>
      </c>
      <c r="R13" s="279" t="s">
        <v>1292</v>
      </c>
      <c r="S13" s="279"/>
      <c r="T13" s="279" t="s">
        <v>1616</v>
      </c>
      <c r="U13" s="279" t="s">
        <v>66</v>
      </c>
      <c r="V13" s="280" t="s">
        <v>58</v>
      </c>
      <c r="W13" s="400">
        <v>910</v>
      </c>
      <c r="X13" s="400">
        <v>0</v>
      </c>
    </row>
    <row r="14" spans="1:24" ht="15.75" customHeight="1" x14ac:dyDescent="0.55000000000000004">
      <c r="A14" s="50">
        <f t="shared" si="0"/>
        <v>44785</v>
      </c>
      <c r="B14" s="51">
        <f t="shared" si="1"/>
        <v>44764</v>
      </c>
      <c r="C14" s="49">
        <f t="shared" ca="1" si="2"/>
        <v>-1455</v>
      </c>
      <c r="D14" s="52" t="str">
        <f t="shared" si="3"/>
        <v>30 x 38</v>
      </c>
      <c r="E14" s="267" t="str">
        <f t="shared" si="4"/>
        <v>Dancing Cypress</v>
      </c>
      <c r="F14" s="40">
        <v>30</v>
      </c>
      <c r="G14" s="40">
        <v>38</v>
      </c>
      <c r="H14" s="54">
        <f t="shared" ref="H14:I14" si="31">W14</f>
        <v>640</v>
      </c>
      <c r="I14" s="54">
        <f t="shared" si="31"/>
        <v>0</v>
      </c>
      <c r="J14" s="49">
        <f t="shared" ref="J14:K14" si="32">S14</f>
        <v>0</v>
      </c>
      <c r="K14" s="40" t="str">
        <f t="shared" si="32"/>
        <v>Benjamin Miller</v>
      </c>
      <c r="L14" s="53" t="str">
        <f t="shared" si="7"/>
        <v>Stretched</v>
      </c>
      <c r="M14" s="55" t="str">
        <f t="shared" si="8"/>
        <v>3 Canv</v>
      </c>
      <c r="N14" s="373"/>
      <c r="O14" s="278">
        <v>44785</v>
      </c>
      <c r="P14" s="279">
        <v>16</v>
      </c>
      <c r="Q14" s="279" t="s">
        <v>2700</v>
      </c>
      <c r="R14" s="279" t="s">
        <v>495</v>
      </c>
      <c r="S14" s="279"/>
      <c r="T14" s="279" t="s">
        <v>1605</v>
      </c>
      <c r="U14" s="279" t="s">
        <v>66</v>
      </c>
      <c r="V14" s="280" t="s">
        <v>50</v>
      </c>
      <c r="W14" s="400">
        <v>640</v>
      </c>
      <c r="X14" s="400">
        <v>0</v>
      </c>
    </row>
    <row r="15" spans="1:24" ht="15.75" customHeight="1" x14ac:dyDescent="0.55000000000000004">
      <c r="A15" s="58">
        <f t="shared" si="0"/>
        <v>44786</v>
      </c>
      <c r="B15" s="59">
        <f t="shared" si="1"/>
        <v>44765</v>
      </c>
      <c r="C15" s="57">
        <f t="shared" ca="1" si="2"/>
        <v>-1454</v>
      </c>
      <c r="D15" s="61" t="str">
        <f t="shared" si="3"/>
        <v>23 x 30</v>
      </c>
      <c r="E15" s="60" t="str">
        <f t="shared" si="4"/>
        <v>Mt Hood</v>
      </c>
      <c r="F15" s="57">
        <v>23</v>
      </c>
      <c r="G15" s="57">
        <v>30</v>
      </c>
      <c r="H15" s="63">
        <f t="shared" ref="H15:I15" si="33">W15</f>
        <v>1800</v>
      </c>
      <c r="I15" s="63" t="str">
        <f t="shared" si="33"/>
        <v>$0*</v>
      </c>
      <c r="J15" s="57">
        <f t="shared" ref="J15:K15" si="34">S15</f>
        <v>1</v>
      </c>
      <c r="K15" s="61" t="str">
        <f t="shared" si="34"/>
        <v>Doug Everson</v>
      </c>
      <c r="L15" s="62" t="str">
        <f t="shared" si="7"/>
        <v>Black</v>
      </c>
      <c r="M15" s="64" t="str">
        <f t="shared" si="8"/>
        <v>2 3D</v>
      </c>
      <c r="N15" s="373"/>
      <c r="O15" s="396">
        <v>44786</v>
      </c>
      <c r="P15" s="397">
        <v>17</v>
      </c>
      <c r="Q15" s="397" t="s">
        <v>244</v>
      </c>
      <c r="R15" s="397" t="s">
        <v>2402</v>
      </c>
      <c r="S15" s="397">
        <v>1</v>
      </c>
      <c r="T15" s="397" t="s">
        <v>2701</v>
      </c>
      <c r="U15" s="397" t="s">
        <v>54</v>
      </c>
      <c r="V15" s="398" t="s">
        <v>1</v>
      </c>
      <c r="W15" s="399">
        <v>1800</v>
      </c>
      <c r="X15" s="397" t="s">
        <v>1289</v>
      </c>
    </row>
    <row r="16" spans="1:24" ht="15.75" customHeight="1" x14ac:dyDescent="0.55000000000000004">
      <c r="A16" s="58">
        <f t="shared" si="0"/>
        <v>44786</v>
      </c>
      <c r="B16" s="59">
        <f t="shared" si="1"/>
        <v>44765</v>
      </c>
      <c r="C16" s="57">
        <f t="shared" ca="1" si="2"/>
        <v>-1454</v>
      </c>
      <c r="D16" s="61" t="str">
        <f t="shared" si="3"/>
        <v>23 x 30</v>
      </c>
      <c r="E16" s="60" t="str">
        <f t="shared" si="4"/>
        <v>Mt Hood</v>
      </c>
      <c r="F16" s="57">
        <v>23</v>
      </c>
      <c r="G16" s="57">
        <v>30</v>
      </c>
      <c r="H16" s="63">
        <f t="shared" ref="H16:I16" si="35">W16</f>
        <v>1800</v>
      </c>
      <c r="I16" s="63" t="str">
        <f t="shared" si="35"/>
        <v>$0*</v>
      </c>
      <c r="J16" s="57">
        <f t="shared" ref="J16:K16" si="36">S16</f>
        <v>2</v>
      </c>
      <c r="K16" s="61" t="str">
        <f t="shared" si="36"/>
        <v>Doug Everson</v>
      </c>
      <c r="L16" s="62" t="str">
        <f t="shared" si="7"/>
        <v>Black</v>
      </c>
      <c r="M16" s="64" t="str">
        <f t="shared" si="8"/>
        <v>2 3D</v>
      </c>
      <c r="N16" s="373"/>
      <c r="O16" s="396">
        <v>44786</v>
      </c>
      <c r="P16" s="397">
        <v>17</v>
      </c>
      <c r="Q16" s="397" t="s">
        <v>244</v>
      </c>
      <c r="R16" s="397" t="s">
        <v>2402</v>
      </c>
      <c r="S16" s="397">
        <v>2</v>
      </c>
      <c r="T16" s="397" t="s">
        <v>2701</v>
      </c>
      <c r="U16" s="397" t="s">
        <v>54</v>
      </c>
      <c r="V16" s="398" t="s">
        <v>1</v>
      </c>
      <c r="W16" s="399">
        <v>1800</v>
      </c>
      <c r="X16" s="397" t="s">
        <v>1289</v>
      </c>
    </row>
    <row r="17" spans="1:24" ht="15.75" customHeight="1" x14ac:dyDescent="0.55000000000000004">
      <c r="A17" s="58">
        <f t="shared" si="0"/>
        <v>44786</v>
      </c>
      <c r="B17" s="59">
        <f t="shared" si="1"/>
        <v>44765</v>
      </c>
      <c r="C17" s="57">
        <f t="shared" ca="1" si="2"/>
        <v>-1454</v>
      </c>
      <c r="D17" s="61" t="str">
        <f t="shared" si="3"/>
        <v>24 x 48</v>
      </c>
      <c r="E17" s="60" t="str">
        <f t="shared" si="4"/>
        <v>Ojai Poppies</v>
      </c>
      <c r="F17" s="57">
        <v>24</v>
      </c>
      <c r="G17" s="57">
        <v>48</v>
      </c>
      <c r="H17" s="63">
        <f t="shared" ref="H17:I17" si="37">W17</f>
        <v>2320</v>
      </c>
      <c r="I17" s="63">
        <f t="shared" si="37"/>
        <v>0</v>
      </c>
      <c r="J17" s="57">
        <f t="shared" ref="J17:K17" si="38">S17</f>
        <v>1</v>
      </c>
      <c r="K17" s="61" t="str">
        <f t="shared" si="38"/>
        <v>Katherine Wilson</v>
      </c>
      <c r="L17" s="62" t="str">
        <f t="shared" si="7"/>
        <v>EH</v>
      </c>
      <c r="M17" s="64" t="str">
        <f t="shared" si="8"/>
        <v>2 3D</v>
      </c>
      <c r="N17" s="373"/>
      <c r="O17" s="396">
        <v>44786</v>
      </c>
      <c r="P17" s="397">
        <v>18</v>
      </c>
      <c r="Q17" s="397" t="s">
        <v>2702</v>
      </c>
      <c r="R17" s="397" t="s">
        <v>1580</v>
      </c>
      <c r="S17" s="397">
        <v>1</v>
      </c>
      <c r="T17" s="397" t="s">
        <v>1674</v>
      </c>
      <c r="U17" s="397" t="s">
        <v>54</v>
      </c>
      <c r="V17" s="398" t="s">
        <v>690</v>
      </c>
      <c r="W17" s="399">
        <v>2320</v>
      </c>
      <c r="X17" s="399">
        <v>0</v>
      </c>
    </row>
    <row r="18" spans="1:24" ht="15.75" customHeight="1" x14ac:dyDescent="0.55000000000000004">
      <c r="A18" s="50">
        <f t="shared" si="0"/>
        <v>44787</v>
      </c>
      <c r="B18" s="51">
        <f t="shared" si="1"/>
        <v>44766</v>
      </c>
      <c r="C18" s="49">
        <f t="shared" ca="1" si="2"/>
        <v>-1453</v>
      </c>
      <c r="D18" s="52" t="str">
        <f t="shared" si="3"/>
        <v>36 x 36</v>
      </c>
      <c r="E18" s="267" t="str">
        <f t="shared" si="4"/>
        <v>Under the Oak</v>
      </c>
      <c r="F18" s="40">
        <v>36</v>
      </c>
      <c r="G18" s="40">
        <v>36</v>
      </c>
      <c r="H18" s="54">
        <f t="shared" ref="H18:I18" si="39">W18</f>
        <v>595</v>
      </c>
      <c r="I18" s="54" t="str">
        <f t="shared" si="39"/>
        <v>$0*</v>
      </c>
      <c r="J18" s="49">
        <f t="shared" ref="J18:K18" si="40">S18</f>
        <v>0</v>
      </c>
      <c r="K18" s="40" t="str">
        <f t="shared" si="40"/>
        <v>Brian &amp; Stephanie Thorndyke</v>
      </c>
      <c r="L18" s="53" t="str">
        <f t="shared" si="7"/>
        <v>Stretched</v>
      </c>
      <c r="M18" s="55" t="str">
        <f t="shared" si="8"/>
        <v>3 Canv</v>
      </c>
      <c r="N18" s="373"/>
      <c r="O18" s="278">
        <v>44787</v>
      </c>
      <c r="P18" s="279">
        <v>18</v>
      </c>
      <c r="Q18" s="279" t="s">
        <v>282</v>
      </c>
      <c r="R18" s="279" t="s">
        <v>1685</v>
      </c>
      <c r="S18" s="279"/>
      <c r="T18" s="279" t="s">
        <v>1684</v>
      </c>
      <c r="U18" s="279" t="s">
        <v>66</v>
      </c>
      <c r="V18" s="280" t="s">
        <v>50</v>
      </c>
      <c r="W18" s="400">
        <v>595</v>
      </c>
      <c r="X18" s="279" t="s">
        <v>1289</v>
      </c>
    </row>
    <row r="19" spans="1:24" ht="15.75" customHeight="1" x14ac:dyDescent="0.55000000000000004">
      <c r="A19" s="50">
        <f t="shared" si="0"/>
        <v>44787</v>
      </c>
      <c r="B19" s="51">
        <f t="shared" si="1"/>
        <v>44766</v>
      </c>
      <c r="C19" s="49">
        <f t="shared" ca="1" si="2"/>
        <v>-1453</v>
      </c>
      <c r="D19" s="52" t="str">
        <f t="shared" si="3"/>
        <v>33 x 48</v>
      </c>
      <c r="E19" s="267" t="str">
        <f t="shared" si="4"/>
        <v>Layers of Gold</v>
      </c>
      <c r="F19" s="40">
        <v>33</v>
      </c>
      <c r="G19" s="40">
        <v>48</v>
      </c>
      <c r="H19" s="54">
        <f t="shared" ref="H19:I19" si="41">W19</f>
        <v>718.25</v>
      </c>
      <c r="I19" s="54" t="str">
        <f t="shared" si="41"/>
        <v>$0*</v>
      </c>
      <c r="J19" s="49">
        <f t="shared" ref="J19:K19" si="42">S19</f>
        <v>0</v>
      </c>
      <c r="K19" s="40" t="str">
        <f t="shared" si="42"/>
        <v>Brian &amp; Stephanie Thorndyke</v>
      </c>
      <c r="L19" s="53" t="str">
        <f t="shared" si="7"/>
        <v>Stretched</v>
      </c>
      <c r="M19" s="55" t="str">
        <f t="shared" si="8"/>
        <v>3 Canv</v>
      </c>
      <c r="N19" s="373"/>
      <c r="O19" s="278">
        <v>44787</v>
      </c>
      <c r="P19" s="279">
        <v>18</v>
      </c>
      <c r="Q19" s="279" t="s">
        <v>356</v>
      </c>
      <c r="R19" s="279" t="s">
        <v>557</v>
      </c>
      <c r="S19" s="279"/>
      <c r="T19" s="279" t="s">
        <v>1684</v>
      </c>
      <c r="U19" s="279" t="s">
        <v>66</v>
      </c>
      <c r="V19" s="280" t="s">
        <v>50</v>
      </c>
      <c r="W19" s="281">
        <v>718.25</v>
      </c>
      <c r="X19" s="279" t="s">
        <v>1289</v>
      </c>
    </row>
    <row r="20" spans="1:24" ht="15.75" customHeight="1" x14ac:dyDescent="0.55000000000000004">
      <c r="A20" s="50">
        <f t="shared" si="0"/>
        <v>44787</v>
      </c>
      <c r="B20" s="51">
        <f t="shared" si="1"/>
        <v>44766</v>
      </c>
      <c r="C20" s="49">
        <f t="shared" ca="1" si="2"/>
        <v>-1453</v>
      </c>
      <c r="D20" s="52" t="str">
        <f t="shared" si="3"/>
        <v>26 x 39</v>
      </c>
      <c r="E20" s="267" t="str">
        <f t="shared" si="4"/>
        <v>Vineyard Hills</v>
      </c>
      <c r="F20" s="40">
        <v>26</v>
      </c>
      <c r="G20" s="40">
        <v>39</v>
      </c>
      <c r="H20" s="54">
        <f t="shared" ref="H20:I20" si="43">W20</f>
        <v>505.75</v>
      </c>
      <c r="I20" s="54" t="str">
        <f t="shared" si="43"/>
        <v>$0*</v>
      </c>
      <c r="J20" s="49">
        <f t="shared" ref="J20:K20" si="44">S20</f>
        <v>0</v>
      </c>
      <c r="K20" s="40" t="str">
        <f t="shared" si="44"/>
        <v>Brian &amp; Stephanie Thorndyke</v>
      </c>
      <c r="L20" s="53" t="str">
        <f t="shared" si="7"/>
        <v>Stretched</v>
      </c>
      <c r="M20" s="55" t="str">
        <f t="shared" si="8"/>
        <v>3 Canv</v>
      </c>
      <c r="N20" s="373"/>
      <c r="O20" s="278">
        <v>44787</v>
      </c>
      <c r="P20" s="279">
        <v>18</v>
      </c>
      <c r="Q20" s="279" t="s">
        <v>373</v>
      </c>
      <c r="R20" s="279" t="s">
        <v>623</v>
      </c>
      <c r="S20" s="279"/>
      <c r="T20" s="279" t="s">
        <v>1684</v>
      </c>
      <c r="U20" s="279" t="s">
        <v>66</v>
      </c>
      <c r="V20" s="280" t="s">
        <v>50</v>
      </c>
      <c r="W20" s="281">
        <v>505.75</v>
      </c>
      <c r="X20" s="279" t="s">
        <v>1289</v>
      </c>
    </row>
    <row r="21" spans="1:24" ht="15.75" customHeight="1" x14ac:dyDescent="0.55000000000000004">
      <c r="A21" s="50">
        <f t="shared" si="0"/>
        <v>44787</v>
      </c>
      <c r="B21" s="51">
        <f t="shared" si="1"/>
        <v>44766</v>
      </c>
      <c r="C21" s="49">
        <f t="shared" ca="1" si="2"/>
        <v>-1453</v>
      </c>
      <c r="D21" s="52" t="str">
        <f t="shared" si="3"/>
        <v>31 x 47</v>
      </c>
      <c r="E21" s="267" t="str">
        <f t="shared" si="4"/>
        <v>Vineyard Oak</v>
      </c>
      <c r="F21" s="40">
        <v>31</v>
      </c>
      <c r="G21" s="40">
        <v>47</v>
      </c>
      <c r="H21" s="54">
        <f t="shared" ref="H21:I21" si="45">W21</f>
        <v>663</v>
      </c>
      <c r="I21" s="54" t="str">
        <f t="shared" si="45"/>
        <v>$0*</v>
      </c>
      <c r="J21" s="49">
        <f t="shared" ref="J21:K21" si="46">S21</f>
        <v>0</v>
      </c>
      <c r="K21" s="40" t="str">
        <f t="shared" si="46"/>
        <v>Brian &amp; Stephanie Thorndyke</v>
      </c>
      <c r="L21" s="53" t="str">
        <f t="shared" si="7"/>
        <v>Stretched</v>
      </c>
      <c r="M21" s="55" t="str">
        <f t="shared" si="8"/>
        <v>3 Canv</v>
      </c>
      <c r="N21" s="373"/>
      <c r="O21" s="278">
        <v>44787</v>
      </c>
      <c r="P21" s="279">
        <v>18</v>
      </c>
      <c r="Q21" s="279" t="s">
        <v>223</v>
      </c>
      <c r="R21" s="279" t="s">
        <v>408</v>
      </c>
      <c r="S21" s="279"/>
      <c r="T21" s="279" t="s">
        <v>1684</v>
      </c>
      <c r="U21" s="279" t="s">
        <v>66</v>
      </c>
      <c r="V21" s="280" t="s">
        <v>50</v>
      </c>
      <c r="W21" s="400">
        <v>663</v>
      </c>
      <c r="X21" s="279" t="s">
        <v>1289</v>
      </c>
    </row>
    <row r="22" spans="1:24" ht="15.75" customHeight="1" x14ac:dyDescent="0.55000000000000004">
      <c r="A22" s="50">
        <f t="shared" si="0"/>
        <v>44787</v>
      </c>
      <c r="B22" s="51">
        <f t="shared" si="1"/>
        <v>44766</v>
      </c>
      <c r="C22" s="49">
        <f t="shared" ca="1" si="2"/>
        <v>-1453</v>
      </c>
      <c r="D22" s="52" t="str">
        <f t="shared" si="3"/>
        <v>20 x 90</v>
      </c>
      <c r="E22" s="267" t="str">
        <f t="shared" si="4"/>
        <v>North Rim Hexaptych</v>
      </c>
      <c r="F22" s="40">
        <v>20</v>
      </c>
      <c r="G22" s="40">
        <v>90</v>
      </c>
      <c r="H22" s="54">
        <f t="shared" ref="H22:I22" si="47">W22</f>
        <v>2040</v>
      </c>
      <c r="I22" s="54" t="str">
        <f t="shared" si="47"/>
        <v>$0*</v>
      </c>
      <c r="J22" s="49">
        <f t="shared" ref="J22:K22" si="48">S22</f>
        <v>0</v>
      </c>
      <c r="K22" s="40" t="str">
        <f t="shared" si="48"/>
        <v>john grant</v>
      </c>
      <c r="L22" s="53" t="str">
        <f t="shared" si="7"/>
        <v>Stretched</v>
      </c>
      <c r="M22" s="55" t="str">
        <f t="shared" si="8"/>
        <v>3 Canv</v>
      </c>
      <c r="N22" s="373"/>
      <c r="O22" s="278">
        <v>44787</v>
      </c>
      <c r="P22" s="279">
        <v>18</v>
      </c>
      <c r="Q22" s="279" t="s">
        <v>254</v>
      </c>
      <c r="R22" s="279" t="s">
        <v>1329</v>
      </c>
      <c r="S22" s="279"/>
      <c r="T22" s="279" t="s">
        <v>1729</v>
      </c>
      <c r="U22" s="279" t="s">
        <v>66</v>
      </c>
      <c r="V22" s="280" t="s">
        <v>50</v>
      </c>
      <c r="W22" s="400">
        <v>2040</v>
      </c>
      <c r="X22" s="279" t="s">
        <v>1289</v>
      </c>
    </row>
    <row r="23" spans="1:24" ht="15.75" customHeight="1" x14ac:dyDescent="0.55000000000000004">
      <c r="A23" s="58">
        <f t="shared" si="0"/>
        <v>44787</v>
      </c>
      <c r="B23" s="59">
        <f t="shared" si="1"/>
        <v>44766</v>
      </c>
      <c r="C23" s="57">
        <f t="shared" ca="1" si="2"/>
        <v>-1453</v>
      </c>
      <c r="D23" s="61" t="str">
        <f t="shared" si="3"/>
        <v>30 x 34</v>
      </c>
      <c r="E23" s="60" t="str">
        <f t="shared" si="4"/>
        <v>Arizona Light</v>
      </c>
      <c r="F23" s="57">
        <v>30</v>
      </c>
      <c r="G23" s="57">
        <v>34</v>
      </c>
      <c r="H23" s="63">
        <f t="shared" ref="H23:I23" si="49">W23</f>
        <v>2550</v>
      </c>
      <c r="I23" s="63" t="str">
        <f t="shared" si="49"/>
        <v>$0*</v>
      </c>
      <c r="J23" s="57">
        <f t="shared" ref="J23:K23" si="50">S23</f>
        <v>3</v>
      </c>
      <c r="K23" s="61" t="str">
        <f t="shared" si="50"/>
        <v>john grant</v>
      </c>
      <c r="L23" s="62" t="str">
        <f t="shared" si="7"/>
        <v>EH</v>
      </c>
      <c r="M23" s="64" t="str">
        <f t="shared" si="8"/>
        <v>2 3D</v>
      </c>
      <c r="N23" s="373"/>
      <c r="O23" s="396">
        <v>44787</v>
      </c>
      <c r="P23" s="397">
        <v>18</v>
      </c>
      <c r="Q23" s="397" t="s">
        <v>2703</v>
      </c>
      <c r="R23" s="397" t="s">
        <v>1189</v>
      </c>
      <c r="S23" s="397">
        <v>3</v>
      </c>
      <c r="T23" s="397" t="s">
        <v>1729</v>
      </c>
      <c r="U23" s="397" t="s">
        <v>54</v>
      </c>
      <c r="V23" s="398" t="s">
        <v>690</v>
      </c>
      <c r="W23" s="399">
        <v>2550</v>
      </c>
      <c r="X23" s="397" t="s">
        <v>1289</v>
      </c>
    </row>
    <row r="24" spans="1:24" ht="15.75" customHeight="1" x14ac:dyDescent="0.55000000000000004">
      <c r="A24" s="50">
        <f t="shared" si="0"/>
        <v>44788</v>
      </c>
      <c r="B24" s="51">
        <f t="shared" si="1"/>
        <v>44767</v>
      </c>
      <c r="C24" s="49">
        <f t="shared" ca="1" si="2"/>
        <v>-1452</v>
      </c>
      <c r="D24" s="52" t="str">
        <f t="shared" si="3"/>
        <v>25 x 40</v>
      </c>
      <c r="E24" s="267" t="str">
        <f t="shared" si="4"/>
        <v>Blacks Beach</v>
      </c>
      <c r="F24" s="40">
        <v>25</v>
      </c>
      <c r="G24" s="40">
        <v>40</v>
      </c>
      <c r="H24" s="54">
        <f t="shared" ref="H24:I24" si="51">W24</f>
        <v>750</v>
      </c>
      <c r="I24" s="54">
        <f t="shared" si="51"/>
        <v>0</v>
      </c>
      <c r="J24" s="49">
        <f t="shared" ref="J24:K24" si="52">S24</f>
        <v>0</v>
      </c>
      <c r="K24" s="40" t="str">
        <f t="shared" si="52"/>
        <v>Stephanie Williams</v>
      </c>
      <c r="L24" s="53" t="str">
        <f t="shared" si="7"/>
        <v>Silver</v>
      </c>
      <c r="M24" s="55" t="str">
        <f t="shared" si="8"/>
        <v>3 Canv</v>
      </c>
      <c r="N24" s="373"/>
      <c r="O24" s="278">
        <v>44788</v>
      </c>
      <c r="P24" s="279">
        <v>19</v>
      </c>
      <c r="Q24" s="279" t="s">
        <v>2704</v>
      </c>
      <c r="R24" s="279" t="s">
        <v>1763</v>
      </c>
      <c r="S24" s="279"/>
      <c r="T24" s="279" t="s">
        <v>277</v>
      </c>
      <c r="U24" s="279" t="s">
        <v>66</v>
      </c>
      <c r="V24" s="280" t="s">
        <v>58</v>
      </c>
      <c r="W24" s="400">
        <v>750</v>
      </c>
      <c r="X24" s="400">
        <v>0</v>
      </c>
    </row>
    <row r="25" spans="1:24" ht="15.75" customHeight="1" x14ac:dyDescent="0.55000000000000004">
      <c r="A25" s="50">
        <f t="shared" si="0"/>
        <v>44788</v>
      </c>
      <c r="B25" s="51">
        <f t="shared" si="1"/>
        <v>44767</v>
      </c>
      <c r="C25" s="49">
        <f t="shared" ca="1" si="2"/>
        <v>-1452</v>
      </c>
      <c r="D25" s="52" t="str">
        <f t="shared" si="3"/>
        <v>15 x 18</v>
      </c>
      <c r="E25" s="267" t="str">
        <f t="shared" si="4"/>
        <v>Cypress Dusk</v>
      </c>
      <c r="F25" s="40">
        <v>15</v>
      </c>
      <c r="G25" s="40">
        <v>18</v>
      </c>
      <c r="H25" s="54">
        <f t="shared" ref="H25:I25" si="53">W25</f>
        <v>405</v>
      </c>
      <c r="I25" s="54" t="str">
        <f t="shared" si="53"/>
        <v>$0*</v>
      </c>
      <c r="J25" s="49">
        <f t="shared" ref="J25:K25" si="54">S25</f>
        <v>0</v>
      </c>
      <c r="K25" s="40" t="str">
        <f t="shared" si="54"/>
        <v>Adelyn Reed</v>
      </c>
      <c r="L25" s="53" t="str">
        <f t="shared" si="7"/>
        <v>Silver</v>
      </c>
      <c r="M25" s="55" t="str">
        <f t="shared" si="8"/>
        <v>3 Canv</v>
      </c>
      <c r="N25" s="373"/>
      <c r="O25" s="278">
        <v>44788</v>
      </c>
      <c r="P25" s="279">
        <v>19</v>
      </c>
      <c r="Q25" s="279" t="s">
        <v>81</v>
      </c>
      <c r="R25" s="279" t="s">
        <v>588</v>
      </c>
      <c r="S25" s="279"/>
      <c r="T25" s="279" t="s">
        <v>1497</v>
      </c>
      <c r="U25" s="279" t="s">
        <v>66</v>
      </c>
      <c r="V25" s="280" t="s">
        <v>58</v>
      </c>
      <c r="W25" s="400">
        <v>405</v>
      </c>
      <c r="X25" s="279" t="s">
        <v>1289</v>
      </c>
    </row>
    <row r="26" spans="1:24" ht="15.75" customHeight="1" x14ac:dyDescent="0.55000000000000004">
      <c r="A26" s="50">
        <f t="shared" si="0"/>
        <v>44788</v>
      </c>
      <c r="B26" s="51">
        <f t="shared" si="1"/>
        <v>44767</v>
      </c>
      <c r="C26" s="49">
        <f t="shared" ca="1" si="2"/>
        <v>-1452</v>
      </c>
      <c r="D26" s="52" t="str">
        <f t="shared" si="3"/>
        <v>15 x 19</v>
      </c>
      <c r="E26" s="267" t="str">
        <f t="shared" si="4"/>
        <v>Point Lobos Dusk</v>
      </c>
      <c r="F26" s="40">
        <v>15</v>
      </c>
      <c r="G26" s="40">
        <v>19</v>
      </c>
      <c r="H26" s="54">
        <f t="shared" ref="H26:I26" si="55">W26</f>
        <v>430</v>
      </c>
      <c r="I26" s="54" t="str">
        <f t="shared" si="55"/>
        <v>$0*</v>
      </c>
      <c r="J26" s="49">
        <f t="shared" ref="J26:K26" si="56">S26</f>
        <v>0</v>
      </c>
      <c r="K26" s="40" t="str">
        <f t="shared" si="56"/>
        <v>Adelyn Reed</v>
      </c>
      <c r="L26" s="53" t="str">
        <f t="shared" si="7"/>
        <v>Silver</v>
      </c>
      <c r="M26" s="55" t="str">
        <f t="shared" si="8"/>
        <v>3 Canv</v>
      </c>
      <c r="N26" s="373"/>
      <c r="O26" s="278">
        <v>44788</v>
      </c>
      <c r="P26" s="279">
        <v>19</v>
      </c>
      <c r="Q26" s="279" t="s">
        <v>79</v>
      </c>
      <c r="R26" s="279" t="s">
        <v>1273</v>
      </c>
      <c r="S26" s="279"/>
      <c r="T26" s="279" t="s">
        <v>1497</v>
      </c>
      <c r="U26" s="279" t="s">
        <v>66</v>
      </c>
      <c r="V26" s="280" t="s">
        <v>58</v>
      </c>
      <c r="W26" s="400">
        <v>430</v>
      </c>
      <c r="X26" s="279" t="s">
        <v>1289</v>
      </c>
    </row>
    <row r="27" spans="1:24" ht="15.75" customHeight="1" x14ac:dyDescent="0.55000000000000004">
      <c r="A27" s="50">
        <f t="shared" si="0"/>
        <v>44788</v>
      </c>
      <c r="B27" s="51">
        <f t="shared" si="1"/>
        <v>44767</v>
      </c>
      <c r="C27" s="49">
        <f t="shared" ca="1" si="2"/>
        <v>-1452</v>
      </c>
      <c r="D27" s="52" t="str">
        <f t="shared" si="3"/>
        <v>30 x 46</v>
      </c>
      <c r="E27" s="267" t="str">
        <f t="shared" si="4"/>
        <v>Crystal Autumn</v>
      </c>
      <c r="F27" s="40">
        <v>30</v>
      </c>
      <c r="G27" s="40">
        <v>46</v>
      </c>
      <c r="H27" s="54">
        <f t="shared" ref="H27:I27" si="57">W27</f>
        <v>950</v>
      </c>
      <c r="I27" s="54">
        <f t="shared" si="57"/>
        <v>0</v>
      </c>
      <c r="J27" s="49">
        <f t="shared" ref="J27:K27" si="58">S27</f>
        <v>0</v>
      </c>
      <c r="K27" s="40" t="str">
        <f t="shared" si="58"/>
        <v>Sandra Ersley</v>
      </c>
      <c r="L27" s="53" t="str">
        <f t="shared" si="7"/>
        <v>Gold</v>
      </c>
      <c r="M27" s="55" t="str">
        <f t="shared" si="8"/>
        <v>3 Canv</v>
      </c>
      <c r="N27" s="373"/>
      <c r="O27" s="278">
        <v>44788</v>
      </c>
      <c r="P27" s="279">
        <v>20</v>
      </c>
      <c r="Q27" s="279" t="s">
        <v>104</v>
      </c>
      <c r="R27" s="279" t="s">
        <v>534</v>
      </c>
      <c r="S27" s="279"/>
      <c r="T27" s="279" t="s">
        <v>1547</v>
      </c>
      <c r="U27" s="279" t="s">
        <v>66</v>
      </c>
      <c r="V27" s="280" t="s">
        <v>51</v>
      </c>
      <c r="W27" s="400">
        <v>950</v>
      </c>
      <c r="X27" s="400">
        <v>0</v>
      </c>
    </row>
    <row r="28" spans="1:24" ht="15.75" customHeight="1" x14ac:dyDescent="0.55000000000000004">
      <c r="A28" s="346">
        <f t="shared" si="0"/>
        <v>44789</v>
      </c>
      <c r="B28" s="277">
        <f t="shared" si="1"/>
        <v>44768</v>
      </c>
      <c r="C28" s="347">
        <f t="shared" ca="1" si="2"/>
        <v>-1451</v>
      </c>
      <c r="D28" s="348" t="str">
        <f t="shared" si="3"/>
        <v>11 x 14</v>
      </c>
      <c r="E28" s="349" t="str">
        <f t="shared" si="4"/>
        <v>Monterey Cove</v>
      </c>
      <c r="F28" s="347">
        <v>11</v>
      </c>
      <c r="G28" s="347">
        <v>14</v>
      </c>
      <c r="H28" s="351">
        <f t="shared" ref="H28:I28" si="59">W28</f>
        <v>5800</v>
      </c>
      <c r="I28" s="351" t="str">
        <f t="shared" si="59"/>
        <v>$0*</v>
      </c>
      <c r="J28" s="347">
        <f t="shared" ref="J28:K28" si="60">S28</f>
        <v>0</v>
      </c>
      <c r="K28" s="348" t="str">
        <f t="shared" si="60"/>
        <v>Scott Drablos</v>
      </c>
      <c r="L28" s="350">
        <f t="shared" si="7"/>
        <v>0</v>
      </c>
      <c r="M28" s="352" t="str">
        <f t="shared" si="8"/>
        <v>1 Orig</v>
      </c>
      <c r="N28" s="373"/>
      <c r="O28" s="401">
        <v>44789</v>
      </c>
      <c r="P28" s="402">
        <v>20</v>
      </c>
      <c r="Q28" s="402" t="s">
        <v>326</v>
      </c>
      <c r="R28" s="402" t="s">
        <v>1385</v>
      </c>
      <c r="S28" s="402"/>
      <c r="T28" s="402" t="s">
        <v>1405</v>
      </c>
      <c r="U28" s="402" t="s">
        <v>42</v>
      </c>
      <c r="V28" s="403"/>
      <c r="W28" s="404">
        <v>5800</v>
      </c>
      <c r="X28" s="402" t="s">
        <v>1289</v>
      </c>
    </row>
    <row r="29" spans="1:24" ht="15.75" customHeight="1" x14ac:dyDescent="0.55000000000000004">
      <c r="A29" s="58">
        <f t="shared" si="0"/>
        <v>44789</v>
      </c>
      <c r="B29" s="59">
        <f t="shared" si="1"/>
        <v>44768</v>
      </c>
      <c r="C29" s="57">
        <f t="shared" ca="1" si="2"/>
        <v>-1451</v>
      </c>
      <c r="D29" s="61" t="str">
        <f t="shared" si="3"/>
        <v>12 x 12</v>
      </c>
      <c r="E29" s="60" t="str">
        <f t="shared" si="4"/>
        <v>Coastal Color</v>
      </c>
      <c r="F29" s="57">
        <v>12</v>
      </c>
      <c r="G29" s="57">
        <v>12</v>
      </c>
      <c r="H29" s="63">
        <f t="shared" ref="H29:I29" si="61">W29</f>
        <v>750</v>
      </c>
      <c r="I29" s="63" t="str">
        <f t="shared" si="61"/>
        <v>$0*</v>
      </c>
      <c r="J29" s="57">
        <f t="shared" ref="J29:K29" si="62">S29</f>
        <v>1</v>
      </c>
      <c r="K29" s="61" t="str">
        <f t="shared" si="62"/>
        <v>Scott Drablos</v>
      </c>
      <c r="L29" s="62" t="str">
        <f t="shared" si="7"/>
        <v>EH</v>
      </c>
      <c r="M29" s="64" t="str">
        <f t="shared" si="8"/>
        <v>2 3D</v>
      </c>
      <c r="N29" s="373"/>
      <c r="O29" s="396">
        <v>44789</v>
      </c>
      <c r="P29" s="397">
        <v>20</v>
      </c>
      <c r="Q29" s="397" t="s">
        <v>57</v>
      </c>
      <c r="R29" s="397" t="s">
        <v>1429</v>
      </c>
      <c r="S29" s="397">
        <v>1</v>
      </c>
      <c r="T29" s="397" t="s">
        <v>1405</v>
      </c>
      <c r="U29" s="397" t="s">
        <v>54</v>
      </c>
      <c r="V29" s="398" t="s">
        <v>690</v>
      </c>
      <c r="W29" s="399">
        <v>750</v>
      </c>
      <c r="X29" s="397" t="s">
        <v>1289</v>
      </c>
    </row>
    <row r="30" spans="1:24" ht="18" x14ac:dyDescent="0.55000000000000004">
      <c r="A30" s="373"/>
      <c r="B30" s="373"/>
      <c r="C30" s="373"/>
      <c r="D30" s="373"/>
      <c r="E30" s="373"/>
      <c r="F30" s="373"/>
      <c r="G30" s="373"/>
      <c r="H30" s="373"/>
      <c r="I30" s="373"/>
      <c r="J30" s="373"/>
      <c r="K30" s="373"/>
      <c r="L30" s="373"/>
      <c r="M30" s="373"/>
      <c r="N30" s="373"/>
      <c r="O30" s="373"/>
      <c r="P30" s="373"/>
      <c r="Q30" s="373"/>
      <c r="R30" s="373"/>
      <c r="S30" s="373"/>
      <c r="T30" s="373"/>
      <c r="U30" s="373"/>
      <c r="V30" s="373"/>
      <c r="W30" s="373"/>
      <c r="X30" s="373"/>
    </row>
    <row r="31" spans="1:24" ht="18" x14ac:dyDescent="0.55000000000000004">
      <c r="A31" s="373"/>
      <c r="B31" s="373"/>
      <c r="C31" s="373"/>
      <c r="D31" s="373"/>
      <c r="E31" s="373"/>
      <c r="F31" s="373"/>
      <c r="G31" s="373"/>
      <c r="H31" s="373"/>
      <c r="I31" s="373"/>
      <c r="J31" s="373"/>
      <c r="K31" s="373"/>
      <c r="L31" s="373"/>
      <c r="M31" s="373"/>
      <c r="N31" s="373"/>
      <c r="O31" s="373"/>
      <c r="P31" s="373"/>
      <c r="Q31" s="373"/>
      <c r="R31" s="373"/>
      <c r="S31" s="373"/>
      <c r="T31" s="373"/>
      <c r="U31" s="373"/>
      <c r="V31" s="373"/>
      <c r="W31" s="373"/>
      <c r="X31" s="373"/>
    </row>
    <row r="32" spans="1:24" ht="18" x14ac:dyDescent="0.55000000000000004">
      <c r="A32" s="373"/>
      <c r="B32" s="373"/>
      <c r="C32" s="373"/>
      <c r="D32" s="373"/>
      <c r="E32" s="373"/>
      <c r="F32" s="373"/>
      <c r="G32" s="373"/>
      <c r="H32" s="373"/>
      <c r="I32" s="373"/>
      <c r="J32" s="373"/>
      <c r="K32" s="373"/>
      <c r="L32" s="373"/>
      <c r="M32" s="373"/>
      <c r="N32" s="373"/>
      <c r="O32" s="373"/>
      <c r="P32" s="373"/>
      <c r="Q32" s="373"/>
      <c r="R32" s="373"/>
      <c r="S32" s="373"/>
      <c r="T32" s="373"/>
      <c r="U32" s="373"/>
      <c r="V32" s="373"/>
      <c r="W32" s="373"/>
      <c r="X32" s="373"/>
    </row>
    <row r="33" spans="1:24" ht="18" x14ac:dyDescent="0.55000000000000004">
      <c r="A33" s="373"/>
      <c r="B33" s="373"/>
      <c r="C33" s="373"/>
      <c r="D33" s="373"/>
      <c r="E33" s="373"/>
      <c r="F33" s="373"/>
      <c r="G33" s="373"/>
      <c r="H33" s="373"/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</row>
    <row r="34" spans="1:24" ht="18" x14ac:dyDescent="0.55000000000000004">
      <c r="A34" s="373"/>
      <c r="B34" s="373"/>
      <c r="C34" s="373"/>
      <c r="D34" s="373"/>
      <c r="E34" s="373"/>
      <c r="F34" s="373"/>
      <c r="G34" s="373"/>
      <c r="H34" s="373"/>
      <c r="I34" s="373"/>
      <c r="J34" s="373"/>
      <c r="K34" s="373"/>
      <c r="L34" s="373"/>
      <c r="M34" s="373"/>
      <c r="N34" s="373"/>
      <c r="O34" s="373"/>
      <c r="P34" s="373"/>
      <c r="Q34" s="373"/>
      <c r="R34" s="373"/>
      <c r="S34" s="373"/>
      <c r="T34" s="373"/>
      <c r="U34" s="373"/>
      <c r="V34" s="373"/>
      <c r="W34" s="373"/>
      <c r="X34" s="373"/>
    </row>
    <row r="35" spans="1:24" ht="18" x14ac:dyDescent="0.55000000000000004">
      <c r="A35" s="373"/>
      <c r="B35" s="373"/>
      <c r="C35" s="373"/>
      <c r="D35" s="373"/>
      <c r="E35" s="373"/>
      <c r="F35" s="373"/>
      <c r="G35" s="373"/>
      <c r="H35" s="373"/>
      <c r="I35" s="373"/>
      <c r="J35" s="373"/>
      <c r="K35" s="373"/>
      <c r="L35" s="373"/>
      <c r="M35" s="373"/>
      <c r="N35" s="373"/>
      <c r="O35" s="373"/>
      <c r="P35" s="373"/>
      <c r="Q35" s="373"/>
      <c r="R35" s="373"/>
      <c r="S35" s="373"/>
      <c r="T35" s="373"/>
      <c r="U35" s="373"/>
      <c r="V35" s="373"/>
      <c r="W35" s="373"/>
      <c r="X35" s="373"/>
    </row>
    <row r="36" spans="1:24" ht="18" x14ac:dyDescent="0.55000000000000004">
      <c r="A36" s="373"/>
      <c r="B36" s="373"/>
      <c r="C36" s="373"/>
      <c r="D36" s="373"/>
      <c r="E36" s="373"/>
      <c r="F36" s="373"/>
      <c r="G36" s="373"/>
      <c r="H36" s="373"/>
      <c r="I36" s="373"/>
      <c r="J36" s="373"/>
      <c r="K36" s="373"/>
      <c r="L36" s="373"/>
      <c r="M36" s="373"/>
      <c r="N36" s="373"/>
      <c r="O36" s="373"/>
      <c r="P36" s="373"/>
      <c r="Q36" s="373"/>
      <c r="R36" s="373"/>
      <c r="S36" s="373"/>
      <c r="T36" s="373"/>
      <c r="U36" s="373"/>
      <c r="V36" s="373"/>
      <c r="W36" s="373"/>
      <c r="X36" s="373"/>
    </row>
    <row r="37" spans="1:24" ht="18" x14ac:dyDescent="0.55000000000000004">
      <c r="A37" s="373"/>
      <c r="B37" s="373"/>
      <c r="C37" s="373"/>
      <c r="D37" s="373"/>
      <c r="E37" s="373"/>
      <c r="F37" s="373"/>
      <c r="G37" s="373"/>
      <c r="H37" s="373"/>
      <c r="I37" s="373"/>
      <c r="J37" s="373"/>
      <c r="K37" s="373"/>
      <c r="L37" s="373"/>
      <c r="M37" s="373"/>
      <c r="N37" s="373"/>
      <c r="O37" s="373"/>
      <c r="P37" s="373"/>
      <c r="Q37" s="373"/>
      <c r="R37" s="373"/>
      <c r="S37" s="373"/>
      <c r="T37" s="373"/>
      <c r="U37" s="373"/>
      <c r="V37" s="373"/>
      <c r="W37" s="373"/>
      <c r="X37" s="373"/>
    </row>
    <row r="38" spans="1:24" ht="18" x14ac:dyDescent="0.55000000000000004">
      <c r="A38" s="373"/>
      <c r="B38" s="373"/>
      <c r="C38" s="373"/>
      <c r="D38" s="373"/>
      <c r="E38" s="373"/>
      <c r="F38" s="373"/>
      <c r="G38" s="373"/>
      <c r="H38" s="373"/>
      <c r="I38" s="373"/>
      <c r="J38" s="373"/>
      <c r="K38" s="373"/>
      <c r="L38" s="373"/>
      <c r="M38" s="373"/>
      <c r="N38" s="373"/>
      <c r="O38" s="373"/>
      <c r="P38" s="373"/>
      <c r="Q38" s="373"/>
      <c r="R38" s="373"/>
      <c r="S38" s="373"/>
      <c r="T38" s="373"/>
      <c r="U38" s="373"/>
      <c r="V38" s="373"/>
      <c r="W38" s="373"/>
      <c r="X38" s="373"/>
    </row>
    <row r="39" spans="1:24" ht="18" x14ac:dyDescent="0.55000000000000004">
      <c r="A39" s="373"/>
      <c r="B39" s="373"/>
      <c r="C39" s="373"/>
      <c r="D39" s="373"/>
      <c r="E39" s="373"/>
      <c r="F39" s="373"/>
      <c r="G39" s="373"/>
      <c r="H39" s="373"/>
      <c r="I39" s="373"/>
      <c r="J39" s="373"/>
      <c r="K39" s="373"/>
      <c r="L39" s="373"/>
      <c r="M39" s="373"/>
      <c r="N39" s="373"/>
      <c r="O39" s="373"/>
      <c r="P39" s="373"/>
      <c r="Q39" s="373"/>
      <c r="R39" s="373"/>
      <c r="S39" s="373"/>
      <c r="T39" s="373"/>
      <c r="U39" s="373"/>
      <c r="V39" s="373"/>
      <c r="W39" s="373"/>
      <c r="X39" s="373"/>
    </row>
    <row r="40" spans="1:24" ht="18" x14ac:dyDescent="0.55000000000000004">
      <c r="A40" s="373"/>
      <c r="B40" s="373"/>
      <c r="C40" s="373"/>
      <c r="D40" s="373"/>
      <c r="E40" s="373"/>
      <c r="F40" s="373"/>
      <c r="G40" s="373"/>
      <c r="H40" s="373"/>
      <c r="I40" s="373"/>
      <c r="J40" s="373"/>
      <c r="K40" s="373"/>
      <c r="L40" s="373"/>
      <c r="M40" s="373"/>
      <c r="N40" s="373"/>
      <c r="O40" s="373"/>
      <c r="P40" s="373"/>
      <c r="Q40" s="373"/>
      <c r="R40" s="373"/>
      <c r="S40" s="373"/>
      <c r="T40" s="373"/>
      <c r="U40" s="373"/>
      <c r="V40" s="373"/>
      <c r="W40" s="373"/>
      <c r="X40" s="373"/>
    </row>
    <row r="41" spans="1:24" ht="18" x14ac:dyDescent="0.55000000000000004">
      <c r="A41" s="373"/>
      <c r="B41" s="373"/>
      <c r="C41" s="373"/>
      <c r="D41" s="373"/>
      <c r="E41" s="373"/>
      <c r="F41" s="373"/>
      <c r="G41" s="373"/>
      <c r="H41" s="373"/>
      <c r="I41" s="373"/>
      <c r="J41" s="373"/>
      <c r="K41" s="373"/>
      <c r="L41" s="373"/>
      <c r="M41" s="373"/>
      <c r="N41" s="373"/>
      <c r="O41" s="373"/>
      <c r="P41" s="373"/>
      <c r="Q41" s="373"/>
      <c r="R41" s="373"/>
      <c r="S41" s="373"/>
      <c r="T41" s="373"/>
      <c r="U41" s="373"/>
      <c r="V41" s="373"/>
      <c r="W41" s="373"/>
      <c r="X41" s="373"/>
    </row>
    <row r="42" spans="1:24" ht="18" x14ac:dyDescent="0.55000000000000004">
      <c r="A42" s="373"/>
      <c r="B42" s="373"/>
      <c r="C42" s="373"/>
      <c r="D42" s="373"/>
      <c r="E42" s="373"/>
      <c r="F42" s="373"/>
      <c r="G42" s="373"/>
      <c r="H42" s="373"/>
      <c r="I42" s="373"/>
      <c r="J42" s="373"/>
      <c r="K42" s="373"/>
      <c r="L42" s="373"/>
      <c r="M42" s="373"/>
      <c r="N42" s="373"/>
      <c r="O42" s="373"/>
      <c r="P42" s="373"/>
      <c r="Q42" s="373"/>
      <c r="R42" s="373"/>
      <c r="S42" s="373"/>
      <c r="T42" s="373"/>
      <c r="U42" s="373"/>
      <c r="V42" s="373"/>
      <c r="W42" s="373"/>
      <c r="X42" s="373"/>
    </row>
    <row r="43" spans="1:24" ht="18" x14ac:dyDescent="0.55000000000000004">
      <c r="A43" s="373"/>
      <c r="B43" s="373"/>
      <c r="C43" s="373"/>
      <c r="D43" s="373"/>
      <c r="E43" s="373"/>
      <c r="F43" s="373"/>
      <c r="G43" s="373"/>
      <c r="H43" s="373"/>
      <c r="I43" s="373"/>
      <c r="J43" s="373"/>
      <c r="K43" s="373"/>
      <c r="L43" s="373"/>
      <c r="M43" s="373"/>
      <c r="N43" s="373"/>
      <c r="O43" s="373"/>
      <c r="P43" s="373"/>
      <c r="Q43" s="373"/>
      <c r="R43" s="373"/>
      <c r="S43" s="373"/>
      <c r="T43" s="373"/>
      <c r="U43" s="373"/>
      <c r="V43" s="373"/>
      <c r="W43" s="373"/>
      <c r="X43" s="373"/>
    </row>
    <row r="44" spans="1:24" ht="18" x14ac:dyDescent="0.55000000000000004">
      <c r="A44" s="373"/>
      <c r="B44" s="373"/>
      <c r="C44" s="373"/>
      <c r="D44" s="373"/>
      <c r="E44" s="373"/>
      <c r="F44" s="373"/>
      <c r="G44" s="373"/>
      <c r="H44" s="373"/>
      <c r="I44" s="373"/>
      <c r="J44" s="373"/>
      <c r="K44" s="373"/>
      <c r="L44" s="373"/>
      <c r="M44" s="373"/>
      <c r="N44" s="373"/>
      <c r="O44" s="373"/>
      <c r="P44" s="373"/>
      <c r="Q44" s="373"/>
      <c r="R44" s="373"/>
      <c r="S44" s="373"/>
      <c r="T44" s="373"/>
      <c r="U44" s="373"/>
      <c r="V44" s="373"/>
      <c r="W44" s="373"/>
      <c r="X44" s="373"/>
    </row>
    <row r="45" spans="1:24" ht="18" x14ac:dyDescent="0.55000000000000004">
      <c r="A45" s="373"/>
      <c r="B45" s="373"/>
      <c r="C45" s="373"/>
      <c r="D45" s="373"/>
      <c r="E45" s="373"/>
      <c r="F45" s="373"/>
      <c r="G45" s="373"/>
      <c r="H45" s="373"/>
      <c r="I45" s="373"/>
      <c r="J45" s="373"/>
      <c r="K45" s="373"/>
      <c r="L45" s="373"/>
      <c r="M45" s="373"/>
      <c r="N45" s="373"/>
      <c r="O45" s="373"/>
      <c r="P45" s="373"/>
      <c r="Q45" s="373"/>
      <c r="R45" s="373"/>
      <c r="S45" s="373"/>
      <c r="T45" s="373"/>
      <c r="U45" s="373"/>
      <c r="V45" s="373"/>
      <c r="W45" s="373"/>
      <c r="X45" s="373"/>
    </row>
    <row r="46" spans="1:24" ht="18" x14ac:dyDescent="0.55000000000000004">
      <c r="A46" s="373"/>
      <c r="B46" s="373"/>
      <c r="C46" s="373"/>
      <c r="D46" s="373"/>
      <c r="E46" s="373"/>
      <c r="F46" s="373"/>
      <c r="G46" s="373"/>
      <c r="H46" s="373"/>
      <c r="I46" s="373"/>
      <c r="J46" s="373"/>
      <c r="K46" s="373"/>
      <c r="L46" s="373"/>
      <c r="M46" s="373"/>
      <c r="N46" s="373"/>
      <c r="O46" s="373"/>
      <c r="P46" s="373"/>
      <c r="Q46" s="373"/>
      <c r="R46" s="373"/>
      <c r="S46" s="373"/>
      <c r="T46" s="373"/>
      <c r="U46" s="373"/>
      <c r="V46" s="373"/>
      <c r="W46" s="373"/>
      <c r="X46" s="373"/>
    </row>
    <row r="47" spans="1:24" ht="18" x14ac:dyDescent="0.55000000000000004">
      <c r="A47" s="373"/>
      <c r="B47" s="373"/>
      <c r="C47" s="373"/>
      <c r="D47" s="373"/>
      <c r="E47" s="373"/>
      <c r="F47" s="373"/>
      <c r="G47" s="373"/>
      <c r="H47" s="373"/>
      <c r="I47" s="373"/>
      <c r="J47" s="373"/>
      <c r="K47" s="373"/>
      <c r="L47" s="373"/>
      <c r="M47" s="373"/>
      <c r="N47" s="373"/>
      <c r="O47" s="373"/>
      <c r="P47" s="373"/>
      <c r="Q47" s="373"/>
      <c r="R47" s="373"/>
      <c r="S47" s="373"/>
      <c r="T47" s="373"/>
      <c r="U47" s="373"/>
      <c r="V47" s="373"/>
      <c r="W47" s="373"/>
      <c r="X47" s="373"/>
    </row>
    <row r="48" spans="1:24" ht="18" x14ac:dyDescent="0.55000000000000004">
      <c r="A48" s="373"/>
      <c r="B48" s="373"/>
      <c r="C48" s="373"/>
      <c r="D48" s="373"/>
      <c r="E48" s="373"/>
      <c r="F48" s="373"/>
      <c r="G48" s="373"/>
      <c r="H48" s="373"/>
      <c r="I48" s="373"/>
      <c r="J48" s="373"/>
      <c r="K48" s="373"/>
      <c r="L48" s="373"/>
      <c r="M48" s="373"/>
      <c r="N48" s="373"/>
      <c r="O48" s="373"/>
      <c r="P48" s="373"/>
      <c r="Q48" s="373"/>
      <c r="R48" s="373"/>
      <c r="S48" s="373"/>
      <c r="T48" s="373"/>
      <c r="U48" s="373"/>
      <c r="V48" s="373"/>
      <c r="W48" s="373"/>
      <c r="X48" s="373"/>
    </row>
    <row r="49" spans="1:24" ht="18" x14ac:dyDescent="0.55000000000000004">
      <c r="A49" s="373"/>
      <c r="B49" s="373"/>
      <c r="C49" s="373"/>
      <c r="D49" s="373"/>
      <c r="E49" s="373"/>
      <c r="F49" s="373"/>
      <c r="G49" s="373"/>
      <c r="H49" s="373"/>
      <c r="I49" s="373"/>
      <c r="J49" s="373"/>
      <c r="K49" s="373"/>
      <c r="L49" s="373"/>
      <c r="M49" s="373"/>
      <c r="N49" s="373"/>
      <c r="O49" s="373"/>
      <c r="P49" s="373"/>
      <c r="Q49" s="373"/>
      <c r="R49" s="373"/>
      <c r="S49" s="373"/>
      <c r="T49" s="373"/>
      <c r="U49" s="373"/>
      <c r="V49" s="373"/>
      <c r="W49" s="373"/>
      <c r="X49" s="373"/>
    </row>
    <row r="50" spans="1:24" ht="18" x14ac:dyDescent="0.55000000000000004">
      <c r="A50" s="373"/>
      <c r="B50" s="373"/>
      <c r="C50" s="373"/>
      <c r="D50" s="373"/>
      <c r="E50" s="373"/>
      <c r="F50" s="373"/>
      <c r="G50" s="373"/>
      <c r="H50" s="373"/>
      <c r="I50" s="373"/>
      <c r="J50" s="373"/>
      <c r="K50" s="373"/>
      <c r="L50" s="373"/>
      <c r="M50" s="373"/>
      <c r="N50" s="373"/>
      <c r="O50" s="373"/>
      <c r="P50" s="373"/>
      <c r="Q50" s="373"/>
      <c r="R50" s="373"/>
      <c r="S50" s="373"/>
      <c r="T50" s="373"/>
      <c r="U50" s="373"/>
      <c r="V50" s="373"/>
      <c r="W50" s="373"/>
      <c r="X50" s="373"/>
    </row>
    <row r="51" spans="1:24" ht="18" x14ac:dyDescent="0.55000000000000004">
      <c r="A51" s="373"/>
      <c r="B51" s="373"/>
      <c r="C51" s="373"/>
      <c r="D51" s="373"/>
      <c r="E51" s="373"/>
      <c r="F51" s="373"/>
      <c r="G51" s="373"/>
      <c r="H51" s="373"/>
      <c r="I51" s="373"/>
      <c r="J51" s="373"/>
      <c r="K51" s="373"/>
      <c r="L51" s="373"/>
      <c r="M51" s="373"/>
      <c r="N51" s="373"/>
      <c r="O51" s="373"/>
      <c r="P51" s="373"/>
      <c r="Q51" s="373"/>
      <c r="R51" s="373"/>
      <c r="S51" s="373"/>
      <c r="T51" s="373"/>
      <c r="U51" s="373"/>
      <c r="V51" s="373"/>
      <c r="W51" s="373"/>
      <c r="X51" s="373"/>
    </row>
    <row r="52" spans="1:24" ht="18" x14ac:dyDescent="0.55000000000000004">
      <c r="A52" s="373"/>
      <c r="B52" s="373"/>
      <c r="C52" s="373"/>
      <c r="D52" s="373"/>
      <c r="E52" s="373"/>
      <c r="F52" s="373"/>
      <c r="G52" s="373"/>
      <c r="H52" s="373"/>
      <c r="I52" s="373"/>
      <c r="J52" s="373"/>
      <c r="K52" s="373"/>
      <c r="L52" s="373"/>
      <c r="M52" s="373"/>
      <c r="N52" s="373"/>
      <c r="O52" s="373"/>
      <c r="P52" s="373"/>
      <c r="Q52" s="373"/>
      <c r="R52" s="373"/>
      <c r="S52" s="373"/>
      <c r="T52" s="373"/>
      <c r="U52" s="373"/>
      <c r="V52" s="373"/>
      <c r="W52" s="373"/>
      <c r="X52" s="373"/>
    </row>
    <row r="53" spans="1:24" ht="18" x14ac:dyDescent="0.55000000000000004">
      <c r="A53" s="373"/>
      <c r="B53" s="373"/>
      <c r="C53" s="373"/>
      <c r="D53" s="373"/>
      <c r="E53" s="373"/>
      <c r="F53" s="373"/>
      <c r="G53" s="373"/>
      <c r="H53" s="373"/>
      <c r="I53" s="373"/>
      <c r="J53" s="373"/>
      <c r="K53" s="373"/>
      <c r="L53" s="373"/>
      <c r="M53" s="373"/>
      <c r="N53" s="373"/>
      <c r="O53" s="373"/>
      <c r="P53" s="373"/>
      <c r="Q53" s="373"/>
      <c r="R53" s="373"/>
      <c r="S53" s="373"/>
      <c r="T53" s="373"/>
      <c r="U53" s="373"/>
      <c r="V53" s="373"/>
      <c r="W53" s="373"/>
      <c r="X53" s="373"/>
    </row>
    <row r="54" spans="1:24" ht="18" x14ac:dyDescent="0.55000000000000004">
      <c r="A54" s="373"/>
      <c r="B54" s="373"/>
      <c r="C54" s="373"/>
      <c r="D54" s="373"/>
      <c r="E54" s="373"/>
      <c r="F54" s="373"/>
      <c r="G54" s="373"/>
      <c r="H54" s="373"/>
      <c r="I54" s="373"/>
      <c r="J54" s="373"/>
      <c r="K54" s="373"/>
      <c r="L54" s="373"/>
      <c r="M54" s="373"/>
      <c r="N54" s="373"/>
      <c r="O54" s="373"/>
      <c r="P54" s="373"/>
      <c r="Q54" s="373"/>
      <c r="R54" s="373"/>
      <c r="S54" s="373"/>
      <c r="T54" s="373"/>
      <c r="U54" s="373"/>
      <c r="V54" s="373"/>
      <c r="W54" s="373"/>
      <c r="X54" s="373"/>
    </row>
    <row r="55" spans="1:24" ht="18" x14ac:dyDescent="0.55000000000000004">
      <c r="A55" s="373"/>
      <c r="B55" s="373"/>
      <c r="C55" s="373"/>
      <c r="D55" s="373"/>
      <c r="E55" s="373"/>
      <c r="F55" s="373"/>
      <c r="G55" s="373"/>
      <c r="H55" s="373"/>
      <c r="I55" s="373"/>
      <c r="J55" s="373"/>
      <c r="K55" s="373"/>
      <c r="L55" s="373"/>
      <c r="M55" s="373"/>
      <c r="N55" s="373"/>
      <c r="O55" s="373"/>
      <c r="P55" s="373"/>
      <c r="Q55" s="373"/>
      <c r="R55" s="373"/>
      <c r="S55" s="373"/>
      <c r="T55" s="373"/>
      <c r="U55" s="373"/>
      <c r="V55" s="373"/>
      <c r="W55" s="373"/>
      <c r="X55" s="373"/>
    </row>
    <row r="56" spans="1:24" ht="18" x14ac:dyDescent="0.55000000000000004">
      <c r="A56" s="373"/>
      <c r="B56" s="373"/>
      <c r="C56" s="373"/>
      <c r="D56" s="373"/>
      <c r="E56" s="373"/>
      <c r="F56" s="373"/>
      <c r="G56" s="373"/>
      <c r="H56" s="373"/>
      <c r="I56" s="373"/>
      <c r="J56" s="373"/>
      <c r="K56" s="373"/>
      <c r="L56" s="373"/>
      <c r="M56" s="373"/>
      <c r="N56" s="373"/>
      <c r="O56" s="373"/>
      <c r="P56" s="373"/>
      <c r="Q56" s="373"/>
      <c r="R56" s="373"/>
      <c r="S56" s="373"/>
      <c r="T56" s="373"/>
      <c r="U56" s="373"/>
      <c r="V56" s="373"/>
      <c r="W56" s="373"/>
      <c r="X56" s="373"/>
    </row>
    <row r="57" spans="1:24" ht="18" x14ac:dyDescent="0.55000000000000004">
      <c r="A57" s="373"/>
      <c r="B57" s="373"/>
      <c r="C57" s="373"/>
      <c r="D57" s="373"/>
      <c r="E57" s="373"/>
      <c r="F57" s="373"/>
      <c r="G57" s="373"/>
      <c r="H57" s="373"/>
      <c r="I57" s="373"/>
      <c r="J57" s="373"/>
      <c r="K57" s="373"/>
      <c r="L57" s="373"/>
      <c r="M57" s="373"/>
      <c r="N57" s="373"/>
      <c r="O57" s="373"/>
      <c r="P57" s="373"/>
      <c r="Q57" s="373"/>
      <c r="R57" s="373"/>
      <c r="S57" s="373"/>
      <c r="T57" s="373"/>
      <c r="U57" s="373"/>
      <c r="V57" s="373"/>
      <c r="W57" s="373"/>
      <c r="X57" s="373"/>
    </row>
    <row r="58" spans="1:24" ht="18" x14ac:dyDescent="0.55000000000000004">
      <c r="A58" s="373"/>
      <c r="B58" s="373"/>
      <c r="C58" s="373"/>
      <c r="D58" s="373"/>
      <c r="E58" s="373"/>
      <c r="F58" s="373"/>
      <c r="G58" s="373"/>
      <c r="H58" s="373"/>
      <c r="I58" s="373"/>
      <c r="J58" s="373"/>
      <c r="K58" s="373"/>
      <c r="L58" s="373"/>
      <c r="M58" s="373"/>
      <c r="N58" s="373"/>
      <c r="O58" s="373"/>
      <c r="P58" s="373"/>
      <c r="Q58" s="373"/>
      <c r="R58" s="373"/>
      <c r="S58" s="373"/>
      <c r="T58" s="373"/>
      <c r="U58" s="373"/>
      <c r="V58" s="373"/>
      <c r="W58" s="373"/>
      <c r="X58" s="373"/>
    </row>
    <row r="59" spans="1:24" ht="18" x14ac:dyDescent="0.55000000000000004">
      <c r="A59" s="373"/>
      <c r="B59" s="373"/>
      <c r="C59" s="373"/>
      <c r="D59" s="373"/>
      <c r="E59" s="373"/>
      <c r="F59" s="373"/>
      <c r="G59" s="373"/>
      <c r="H59" s="373"/>
      <c r="I59" s="373"/>
      <c r="J59" s="373"/>
      <c r="K59" s="373"/>
      <c r="L59" s="373"/>
      <c r="M59" s="373"/>
      <c r="N59" s="373"/>
      <c r="O59" s="373"/>
      <c r="P59" s="373"/>
      <c r="Q59" s="373"/>
      <c r="R59" s="373"/>
      <c r="S59" s="373"/>
      <c r="T59" s="373"/>
      <c r="U59" s="373"/>
      <c r="V59" s="373"/>
      <c r="W59" s="373"/>
      <c r="X59" s="373"/>
    </row>
    <row r="60" spans="1:24" ht="18" x14ac:dyDescent="0.55000000000000004">
      <c r="A60" s="373"/>
      <c r="B60" s="373"/>
      <c r="C60" s="373"/>
      <c r="D60" s="373"/>
      <c r="E60" s="373"/>
      <c r="F60" s="373"/>
      <c r="G60" s="373"/>
      <c r="H60" s="373"/>
      <c r="I60" s="373"/>
      <c r="J60" s="373"/>
      <c r="K60" s="373"/>
      <c r="L60" s="373"/>
      <c r="M60" s="373"/>
      <c r="N60" s="373"/>
      <c r="O60" s="373"/>
      <c r="P60" s="373"/>
      <c r="Q60" s="373"/>
      <c r="R60" s="373"/>
      <c r="S60" s="373"/>
      <c r="T60" s="373"/>
      <c r="U60" s="373"/>
      <c r="V60" s="373"/>
      <c r="W60" s="373"/>
      <c r="X60" s="373"/>
    </row>
    <row r="61" spans="1:24" ht="18" x14ac:dyDescent="0.55000000000000004">
      <c r="A61" s="373"/>
      <c r="B61" s="373"/>
      <c r="C61" s="373"/>
      <c r="D61" s="373"/>
      <c r="E61" s="373"/>
      <c r="F61" s="373"/>
      <c r="G61" s="373"/>
      <c r="H61" s="373"/>
      <c r="I61" s="373"/>
      <c r="J61" s="373"/>
      <c r="K61" s="373"/>
      <c r="L61" s="373"/>
      <c r="M61" s="373"/>
      <c r="N61" s="373"/>
      <c r="O61" s="373"/>
      <c r="P61" s="373"/>
      <c r="Q61" s="373"/>
      <c r="R61" s="373"/>
      <c r="S61" s="373"/>
      <c r="T61" s="373"/>
      <c r="U61" s="373"/>
      <c r="V61" s="373"/>
      <c r="W61" s="373"/>
      <c r="X61" s="373"/>
    </row>
    <row r="62" spans="1:24" ht="18" x14ac:dyDescent="0.55000000000000004">
      <c r="A62" s="373"/>
      <c r="B62" s="373"/>
      <c r="C62" s="373"/>
      <c r="D62" s="373"/>
      <c r="E62" s="373"/>
      <c r="F62" s="373"/>
      <c r="G62" s="373"/>
      <c r="H62" s="373"/>
      <c r="I62" s="373"/>
      <c r="J62" s="373"/>
      <c r="K62" s="373"/>
      <c r="L62" s="373"/>
      <c r="M62" s="373"/>
      <c r="N62" s="373"/>
      <c r="O62" s="373"/>
      <c r="P62" s="373"/>
      <c r="Q62" s="373"/>
      <c r="R62" s="373"/>
      <c r="S62" s="373"/>
      <c r="T62" s="373"/>
      <c r="U62" s="373"/>
      <c r="V62" s="373"/>
      <c r="W62" s="373"/>
      <c r="X62" s="373"/>
    </row>
    <row r="63" spans="1:24" ht="18" x14ac:dyDescent="0.55000000000000004">
      <c r="A63" s="373"/>
      <c r="B63" s="373"/>
      <c r="C63" s="373"/>
      <c r="D63" s="373"/>
      <c r="E63" s="373"/>
      <c r="F63" s="373"/>
      <c r="G63" s="373"/>
      <c r="H63" s="373"/>
      <c r="I63" s="373"/>
      <c r="J63" s="373"/>
      <c r="K63" s="373"/>
      <c r="L63" s="373"/>
      <c r="M63" s="373"/>
      <c r="N63" s="373"/>
      <c r="O63" s="373"/>
      <c r="P63" s="373"/>
      <c r="Q63" s="373"/>
      <c r="R63" s="373"/>
      <c r="S63" s="373"/>
      <c r="T63" s="373"/>
      <c r="U63" s="373"/>
      <c r="V63" s="373"/>
      <c r="W63" s="373"/>
      <c r="X63" s="373"/>
    </row>
    <row r="64" spans="1:24" ht="18" x14ac:dyDescent="0.55000000000000004">
      <c r="A64" s="373"/>
      <c r="B64" s="373"/>
      <c r="C64" s="373"/>
      <c r="D64" s="373"/>
      <c r="E64" s="373"/>
      <c r="F64" s="373"/>
      <c r="G64" s="373"/>
      <c r="H64" s="373"/>
      <c r="I64" s="373"/>
      <c r="J64" s="373"/>
      <c r="K64" s="373"/>
      <c r="L64" s="373"/>
      <c r="M64" s="373"/>
      <c r="N64" s="373"/>
      <c r="O64" s="373"/>
      <c r="P64" s="373"/>
      <c r="Q64" s="373"/>
      <c r="R64" s="373"/>
      <c r="S64" s="373"/>
      <c r="T64" s="373"/>
      <c r="U64" s="373"/>
      <c r="V64" s="373"/>
      <c r="W64" s="373"/>
      <c r="X64" s="373"/>
    </row>
    <row r="65" spans="1:24" ht="18" x14ac:dyDescent="0.55000000000000004">
      <c r="A65" s="373"/>
      <c r="B65" s="373"/>
      <c r="C65" s="373"/>
      <c r="D65" s="373"/>
      <c r="E65" s="373"/>
      <c r="F65" s="373"/>
      <c r="G65" s="373"/>
      <c r="H65" s="373"/>
      <c r="I65" s="373"/>
      <c r="J65" s="373"/>
      <c r="K65" s="373"/>
      <c r="L65" s="373"/>
      <c r="M65" s="373"/>
      <c r="N65" s="373"/>
      <c r="O65" s="373"/>
      <c r="P65" s="373"/>
      <c r="Q65" s="373"/>
      <c r="R65" s="373"/>
      <c r="S65" s="373"/>
      <c r="T65" s="373"/>
      <c r="U65" s="373"/>
      <c r="V65" s="373"/>
      <c r="W65" s="373"/>
      <c r="X65" s="373"/>
    </row>
    <row r="66" spans="1:24" ht="18" x14ac:dyDescent="0.55000000000000004">
      <c r="A66" s="373"/>
      <c r="B66" s="373"/>
      <c r="C66" s="373"/>
      <c r="D66" s="373"/>
      <c r="E66" s="373"/>
      <c r="F66" s="373"/>
      <c r="G66" s="373"/>
      <c r="H66" s="373"/>
      <c r="I66" s="373"/>
      <c r="J66" s="373"/>
      <c r="K66" s="373"/>
      <c r="L66" s="373"/>
      <c r="M66" s="373"/>
      <c r="N66" s="373"/>
      <c r="O66" s="373"/>
      <c r="P66" s="373"/>
      <c r="Q66" s="373"/>
      <c r="R66" s="373"/>
      <c r="S66" s="373"/>
      <c r="T66" s="373"/>
      <c r="U66" s="373"/>
      <c r="V66" s="373"/>
      <c r="W66" s="373"/>
      <c r="X66" s="373"/>
    </row>
    <row r="67" spans="1:24" ht="18" x14ac:dyDescent="0.55000000000000004">
      <c r="A67" s="373"/>
      <c r="B67" s="373"/>
      <c r="C67" s="373"/>
      <c r="D67" s="373"/>
      <c r="E67" s="373"/>
      <c r="F67" s="373"/>
      <c r="G67" s="373"/>
      <c r="H67" s="373"/>
      <c r="I67" s="373"/>
      <c r="J67" s="373"/>
      <c r="K67" s="373"/>
      <c r="L67" s="373"/>
      <c r="M67" s="373"/>
      <c r="N67" s="373"/>
      <c r="O67" s="373"/>
      <c r="P67" s="373"/>
      <c r="Q67" s="373"/>
      <c r="R67" s="373"/>
      <c r="S67" s="373"/>
      <c r="T67" s="373"/>
      <c r="U67" s="373"/>
      <c r="V67" s="373"/>
      <c r="W67" s="373"/>
      <c r="X67" s="373"/>
    </row>
    <row r="68" spans="1:24" ht="18" x14ac:dyDescent="0.55000000000000004">
      <c r="A68" s="373"/>
      <c r="B68" s="373"/>
      <c r="C68" s="373"/>
      <c r="D68" s="373"/>
      <c r="E68" s="373"/>
      <c r="F68" s="373"/>
      <c r="G68" s="373"/>
      <c r="H68" s="373"/>
      <c r="I68" s="373"/>
      <c r="J68" s="373"/>
      <c r="K68" s="373"/>
      <c r="L68" s="373"/>
      <c r="M68" s="373"/>
      <c r="N68" s="373"/>
      <c r="O68" s="373"/>
      <c r="P68" s="373"/>
      <c r="Q68" s="373"/>
      <c r="R68" s="373"/>
      <c r="S68" s="373"/>
      <c r="T68" s="373"/>
      <c r="U68" s="373"/>
      <c r="V68" s="373"/>
      <c r="W68" s="373"/>
      <c r="X68" s="373"/>
    </row>
    <row r="69" spans="1:24" ht="18" x14ac:dyDescent="0.55000000000000004">
      <c r="A69" s="373"/>
      <c r="B69" s="373"/>
      <c r="C69" s="373"/>
      <c r="D69" s="373"/>
      <c r="E69" s="373"/>
      <c r="F69" s="373"/>
      <c r="G69" s="373"/>
      <c r="H69" s="373"/>
      <c r="I69" s="373"/>
      <c r="J69" s="373"/>
      <c r="K69" s="373"/>
      <c r="L69" s="373"/>
      <c r="M69" s="373"/>
      <c r="N69" s="373"/>
      <c r="O69" s="373"/>
      <c r="P69" s="373"/>
      <c r="Q69" s="373"/>
      <c r="R69" s="373"/>
      <c r="S69" s="373"/>
      <c r="T69" s="373"/>
      <c r="U69" s="373"/>
      <c r="V69" s="373"/>
      <c r="W69" s="373"/>
      <c r="X69" s="373"/>
    </row>
    <row r="70" spans="1:24" ht="18" x14ac:dyDescent="0.55000000000000004">
      <c r="A70" s="373"/>
      <c r="B70" s="373"/>
      <c r="C70" s="373"/>
      <c r="D70" s="373"/>
      <c r="E70" s="373"/>
      <c r="F70" s="373"/>
      <c r="G70" s="373"/>
      <c r="H70" s="373"/>
      <c r="I70" s="373"/>
      <c r="J70" s="373"/>
      <c r="K70" s="373"/>
      <c r="L70" s="373"/>
      <c r="M70" s="373"/>
      <c r="N70" s="373"/>
      <c r="O70" s="373"/>
      <c r="P70" s="373"/>
      <c r="Q70" s="373"/>
      <c r="R70" s="373"/>
      <c r="S70" s="373"/>
      <c r="T70" s="373"/>
      <c r="U70" s="373"/>
      <c r="V70" s="373"/>
      <c r="W70" s="373"/>
      <c r="X70" s="373"/>
    </row>
    <row r="71" spans="1:24" ht="18" x14ac:dyDescent="0.55000000000000004">
      <c r="A71" s="373"/>
      <c r="B71" s="373"/>
      <c r="C71" s="373"/>
      <c r="D71" s="373"/>
      <c r="E71" s="373"/>
      <c r="F71" s="373"/>
      <c r="G71" s="373"/>
      <c r="H71" s="373"/>
      <c r="I71" s="373"/>
      <c r="J71" s="373"/>
      <c r="K71" s="373"/>
      <c r="L71" s="373"/>
      <c r="M71" s="373"/>
      <c r="N71" s="373"/>
      <c r="O71" s="373"/>
      <c r="P71" s="373"/>
      <c r="Q71" s="373"/>
      <c r="R71" s="373"/>
      <c r="S71" s="373"/>
      <c r="T71" s="373"/>
      <c r="U71" s="373"/>
      <c r="V71" s="373"/>
      <c r="W71" s="373"/>
      <c r="X71" s="373"/>
    </row>
    <row r="72" spans="1:24" ht="18" x14ac:dyDescent="0.55000000000000004">
      <c r="A72" s="373"/>
      <c r="B72" s="373"/>
      <c r="C72" s="373"/>
      <c r="D72" s="373"/>
      <c r="E72" s="373"/>
      <c r="F72" s="373"/>
      <c r="G72" s="373"/>
      <c r="H72" s="373"/>
      <c r="I72" s="373"/>
      <c r="J72" s="373"/>
      <c r="K72" s="373"/>
      <c r="L72" s="373"/>
      <c r="M72" s="373"/>
      <c r="N72" s="373"/>
      <c r="O72" s="373"/>
      <c r="P72" s="373"/>
      <c r="Q72" s="373"/>
      <c r="R72" s="373"/>
      <c r="S72" s="373"/>
      <c r="T72" s="373"/>
      <c r="U72" s="373"/>
      <c r="V72" s="373"/>
      <c r="W72" s="373"/>
      <c r="X72" s="373"/>
    </row>
    <row r="73" spans="1:24" ht="18" x14ac:dyDescent="0.55000000000000004">
      <c r="A73" s="373"/>
      <c r="B73" s="373"/>
      <c r="C73" s="373"/>
      <c r="D73" s="373"/>
      <c r="E73" s="373"/>
      <c r="F73" s="373"/>
      <c r="G73" s="373"/>
      <c r="H73" s="373"/>
      <c r="I73" s="373"/>
      <c r="J73" s="373"/>
      <c r="K73" s="373"/>
      <c r="L73" s="373"/>
      <c r="M73" s="373"/>
      <c r="N73" s="373"/>
      <c r="O73" s="373"/>
      <c r="P73" s="373"/>
      <c r="Q73" s="373"/>
      <c r="R73" s="373"/>
      <c r="S73" s="373"/>
      <c r="T73" s="373"/>
      <c r="U73" s="373"/>
      <c r="V73" s="373"/>
      <c r="W73" s="373"/>
      <c r="X73" s="373"/>
    </row>
    <row r="74" spans="1:24" ht="18" x14ac:dyDescent="0.55000000000000004">
      <c r="A74" s="373"/>
      <c r="B74" s="373"/>
      <c r="C74" s="373"/>
      <c r="D74" s="373"/>
      <c r="E74" s="373"/>
      <c r="F74" s="373"/>
      <c r="G74" s="373"/>
      <c r="H74" s="373"/>
      <c r="I74" s="373"/>
      <c r="J74" s="373"/>
      <c r="K74" s="373"/>
      <c r="L74" s="373"/>
      <c r="M74" s="373"/>
      <c r="N74" s="373"/>
      <c r="O74" s="373"/>
      <c r="P74" s="373"/>
      <c r="Q74" s="373"/>
      <c r="R74" s="373"/>
      <c r="S74" s="373"/>
      <c r="T74" s="373"/>
      <c r="U74" s="373"/>
      <c r="V74" s="373"/>
      <c r="W74" s="373"/>
      <c r="X74" s="373"/>
    </row>
    <row r="75" spans="1:24" ht="18" x14ac:dyDescent="0.55000000000000004">
      <c r="A75" s="373"/>
      <c r="B75" s="373"/>
      <c r="C75" s="373"/>
      <c r="D75" s="373"/>
      <c r="E75" s="373"/>
      <c r="F75" s="373"/>
      <c r="G75" s="373"/>
      <c r="H75" s="373"/>
      <c r="I75" s="373"/>
      <c r="J75" s="373"/>
      <c r="K75" s="373"/>
      <c r="L75" s="373"/>
      <c r="M75" s="373"/>
      <c r="N75" s="373"/>
      <c r="O75" s="373"/>
      <c r="P75" s="373"/>
      <c r="Q75" s="373"/>
      <c r="R75" s="373"/>
      <c r="S75" s="373"/>
      <c r="T75" s="373"/>
      <c r="U75" s="373"/>
      <c r="V75" s="373"/>
      <c r="W75" s="373"/>
      <c r="X75" s="373"/>
    </row>
    <row r="76" spans="1:24" ht="18" x14ac:dyDescent="0.55000000000000004">
      <c r="A76" s="373"/>
      <c r="B76" s="373"/>
      <c r="C76" s="373"/>
      <c r="D76" s="373"/>
      <c r="E76" s="373"/>
      <c r="F76" s="373"/>
      <c r="G76" s="373"/>
      <c r="H76" s="373"/>
      <c r="I76" s="373"/>
      <c r="J76" s="373"/>
      <c r="K76" s="373"/>
      <c r="L76" s="373"/>
      <c r="M76" s="373"/>
      <c r="N76" s="373"/>
      <c r="O76" s="373"/>
      <c r="P76" s="373"/>
      <c r="Q76" s="373"/>
      <c r="R76" s="373"/>
      <c r="S76" s="373"/>
      <c r="T76" s="373"/>
      <c r="U76" s="373"/>
      <c r="V76" s="373"/>
      <c r="W76" s="373"/>
      <c r="X76" s="373"/>
    </row>
    <row r="77" spans="1:24" ht="18" x14ac:dyDescent="0.55000000000000004">
      <c r="A77" s="373"/>
      <c r="B77" s="373"/>
      <c r="C77" s="373"/>
      <c r="D77" s="373"/>
      <c r="E77" s="373"/>
      <c r="F77" s="373"/>
      <c r="G77" s="373"/>
      <c r="H77" s="373"/>
      <c r="I77" s="373"/>
      <c r="J77" s="373"/>
      <c r="K77" s="373"/>
      <c r="L77" s="373"/>
      <c r="M77" s="373"/>
      <c r="N77" s="373"/>
      <c r="O77" s="373"/>
      <c r="P77" s="373"/>
      <c r="Q77" s="373"/>
      <c r="R77" s="373"/>
      <c r="S77" s="373"/>
      <c r="T77" s="373"/>
      <c r="U77" s="373"/>
      <c r="V77" s="373"/>
      <c r="W77" s="373"/>
      <c r="X77" s="373"/>
    </row>
    <row r="78" spans="1:24" ht="18" x14ac:dyDescent="0.55000000000000004">
      <c r="A78" s="373"/>
      <c r="B78" s="373"/>
      <c r="C78" s="373"/>
      <c r="D78" s="373"/>
      <c r="E78" s="373"/>
      <c r="F78" s="373"/>
      <c r="G78" s="373"/>
      <c r="H78" s="373"/>
      <c r="I78" s="373"/>
      <c r="J78" s="373"/>
      <c r="K78" s="373"/>
      <c r="L78" s="373"/>
      <c r="M78" s="373"/>
      <c r="N78" s="373"/>
      <c r="O78" s="373"/>
      <c r="P78" s="373"/>
      <c r="Q78" s="373"/>
      <c r="R78" s="373"/>
      <c r="S78" s="373"/>
      <c r="T78" s="373"/>
      <c r="U78" s="373"/>
      <c r="V78" s="373"/>
      <c r="W78" s="373"/>
      <c r="X78" s="373"/>
    </row>
    <row r="79" spans="1:24" ht="18" x14ac:dyDescent="0.55000000000000004">
      <c r="A79" s="373"/>
      <c r="B79" s="373"/>
      <c r="C79" s="373"/>
      <c r="D79" s="373"/>
      <c r="E79" s="373"/>
      <c r="F79" s="373"/>
      <c r="G79" s="373"/>
      <c r="H79" s="373"/>
      <c r="I79" s="373"/>
      <c r="J79" s="373"/>
      <c r="K79" s="373"/>
      <c r="L79" s="373"/>
      <c r="M79" s="373"/>
      <c r="N79" s="373"/>
      <c r="O79" s="373"/>
      <c r="P79" s="373"/>
      <c r="Q79" s="373"/>
      <c r="R79" s="373"/>
      <c r="S79" s="373"/>
      <c r="T79" s="373"/>
      <c r="U79" s="373"/>
      <c r="V79" s="373"/>
      <c r="W79" s="373"/>
      <c r="X79" s="373"/>
    </row>
    <row r="80" spans="1:24" ht="18" x14ac:dyDescent="0.55000000000000004">
      <c r="A80" s="373"/>
      <c r="B80" s="373"/>
      <c r="C80" s="373"/>
      <c r="D80" s="373"/>
      <c r="E80" s="373"/>
      <c r="F80" s="373"/>
      <c r="G80" s="373"/>
      <c r="H80" s="373"/>
      <c r="I80" s="373"/>
      <c r="J80" s="373"/>
      <c r="K80" s="373"/>
      <c r="L80" s="373"/>
      <c r="M80" s="373"/>
      <c r="N80" s="373"/>
      <c r="O80" s="373"/>
      <c r="P80" s="373"/>
      <c r="Q80" s="373"/>
      <c r="R80" s="373"/>
      <c r="S80" s="373"/>
      <c r="T80" s="373"/>
      <c r="U80" s="373"/>
      <c r="V80" s="373"/>
      <c r="W80" s="373"/>
      <c r="X80" s="373"/>
    </row>
    <row r="81" spans="1:24" ht="18" x14ac:dyDescent="0.55000000000000004">
      <c r="A81" s="373"/>
      <c r="B81" s="373"/>
      <c r="C81" s="373"/>
      <c r="D81" s="373"/>
      <c r="E81" s="373"/>
      <c r="F81" s="373"/>
      <c r="G81" s="373"/>
      <c r="H81" s="373"/>
      <c r="I81" s="373"/>
      <c r="J81" s="373"/>
      <c r="K81" s="373"/>
      <c r="L81" s="373"/>
      <c r="M81" s="373"/>
      <c r="N81" s="373"/>
      <c r="O81" s="373"/>
      <c r="P81" s="373"/>
      <c r="Q81" s="373"/>
      <c r="R81" s="373"/>
      <c r="S81" s="373"/>
      <c r="T81" s="373"/>
      <c r="U81" s="373"/>
      <c r="V81" s="373"/>
      <c r="W81" s="373"/>
      <c r="X81" s="373"/>
    </row>
    <row r="82" spans="1:24" ht="18" x14ac:dyDescent="0.55000000000000004">
      <c r="A82" s="373"/>
      <c r="B82" s="373"/>
      <c r="C82" s="373"/>
      <c r="D82" s="373"/>
      <c r="E82" s="373"/>
      <c r="F82" s="373"/>
      <c r="G82" s="373"/>
      <c r="H82" s="373"/>
      <c r="I82" s="373"/>
      <c r="J82" s="373"/>
      <c r="K82" s="373"/>
      <c r="L82" s="373"/>
      <c r="M82" s="373"/>
      <c r="N82" s="373"/>
      <c r="O82" s="373"/>
      <c r="P82" s="373"/>
      <c r="Q82" s="373"/>
      <c r="R82" s="373"/>
      <c r="S82" s="373"/>
      <c r="T82" s="373"/>
      <c r="U82" s="373"/>
      <c r="V82" s="373"/>
      <c r="W82" s="373"/>
      <c r="X82" s="373"/>
    </row>
    <row r="83" spans="1:24" ht="18" x14ac:dyDescent="0.55000000000000004">
      <c r="A83" s="373"/>
      <c r="B83" s="373"/>
      <c r="C83" s="373"/>
      <c r="D83" s="373"/>
      <c r="E83" s="373"/>
      <c r="F83" s="373"/>
      <c r="G83" s="373"/>
      <c r="H83" s="373"/>
      <c r="I83" s="373"/>
      <c r="J83" s="373"/>
      <c r="K83" s="373"/>
      <c r="L83" s="373"/>
      <c r="M83" s="373"/>
      <c r="N83" s="373"/>
      <c r="O83" s="373"/>
      <c r="P83" s="373"/>
      <c r="Q83" s="373"/>
      <c r="R83" s="373"/>
      <c r="S83" s="373"/>
      <c r="T83" s="373"/>
      <c r="U83" s="373"/>
      <c r="V83" s="373"/>
      <c r="W83" s="373"/>
      <c r="X83" s="373"/>
    </row>
    <row r="84" spans="1:24" ht="18" x14ac:dyDescent="0.55000000000000004">
      <c r="A84" s="373"/>
      <c r="B84" s="373"/>
      <c r="C84" s="373"/>
      <c r="D84" s="373"/>
      <c r="E84" s="373"/>
      <c r="F84" s="373"/>
      <c r="G84" s="373"/>
      <c r="H84" s="373"/>
      <c r="I84" s="373"/>
      <c r="J84" s="373"/>
      <c r="K84" s="373"/>
      <c r="L84" s="373"/>
      <c r="M84" s="373"/>
      <c r="N84" s="373"/>
      <c r="O84" s="373"/>
      <c r="P84" s="373"/>
      <c r="Q84" s="373"/>
      <c r="R84" s="373"/>
      <c r="S84" s="373"/>
      <c r="T84" s="373"/>
      <c r="U84" s="373"/>
      <c r="V84" s="373"/>
      <c r="W84" s="373"/>
      <c r="X84" s="373"/>
    </row>
    <row r="85" spans="1:24" ht="18" x14ac:dyDescent="0.55000000000000004">
      <c r="A85" s="373"/>
      <c r="B85" s="373"/>
      <c r="C85" s="373"/>
      <c r="D85" s="373"/>
      <c r="E85" s="373"/>
      <c r="F85" s="373"/>
      <c r="G85" s="373"/>
      <c r="H85" s="373"/>
      <c r="I85" s="373"/>
      <c r="J85" s="373"/>
      <c r="K85" s="373"/>
      <c r="L85" s="373"/>
      <c r="M85" s="373"/>
      <c r="N85" s="373"/>
      <c r="O85" s="373"/>
      <c r="P85" s="373"/>
      <c r="Q85" s="373"/>
      <c r="R85" s="373"/>
      <c r="S85" s="373"/>
      <c r="T85" s="373"/>
      <c r="U85" s="373"/>
      <c r="V85" s="373"/>
      <c r="W85" s="373"/>
      <c r="X85" s="373"/>
    </row>
    <row r="86" spans="1:24" ht="18" x14ac:dyDescent="0.55000000000000004">
      <c r="A86" s="373"/>
      <c r="B86" s="373"/>
      <c r="C86" s="373"/>
      <c r="D86" s="373"/>
      <c r="E86" s="373"/>
      <c r="F86" s="373"/>
      <c r="G86" s="373"/>
      <c r="H86" s="373"/>
      <c r="I86" s="373"/>
      <c r="J86" s="373"/>
      <c r="K86" s="373"/>
      <c r="L86" s="373"/>
      <c r="M86" s="373"/>
      <c r="N86" s="373"/>
      <c r="O86" s="373"/>
      <c r="P86" s="373"/>
      <c r="Q86" s="373"/>
      <c r="R86" s="373"/>
      <c r="S86" s="373"/>
      <c r="T86" s="373"/>
      <c r="U86" s="373"/>
      <c r="V86" s="373"/>
      <c r="W86" s="373"/>
      <c r="X86" s="373"/>
    </row>
    <row r="87" spans="1:24" ht="18" x14ac:dyDescent="0.55000000000000004">
      <c r="A87" s="373"/>
      <c r="B87" s="373"/>
      <c r="C87" s="373"/>
      <c r="D87" s="373"/>
      <c r="E87" s="373"/>
      <c r="F87" s="373"/>
      <c r="G87" s="373"/>
      <c r="H87" s="373"/>
      <c r="I87" s="373"/>
      <c r="J87" s="373"/>
      <c r="K87" s="373"/>
      <c r="L87" s="373"/>
      <c r="M87" s="373"/>
      <c r="N87" s="373"/>
      <c r="O87" s="373"/>
      <c r="P87" s="373"/>
      <c r="Q87" s="373"/>
      <c r="R87" s="373"/>
      <c r="S87" s="373"/>
      <c r="T87" s="373"/>
      <c r="U87" s="373"/>
      <c r="V87" s="373"/>
      <c r="W87" s="373"/>
      <c r="X87" s="373"/>
    </row>
    <row r="88" spans="1:24" ht="18" x14ac:dyDescent="0.55000000000000004">
      <c r="A88" s="373"/>
      <c r="B88" s="373"/>
      <c r="C88" s="373"/>
      <c r="D88" s="373"/>
      <c r="E88" s="373"/>
      <c r="F88" s="373"/>
      <c r="G88" s="373"/>
      <c r="H88" s="373"/>
      <c r="I88" s="373"/>
      <c r="J88" s="373"/>
      <c r="K88" s="373"/>
      <c r="L88" s="373"/>
      <c r="M88" s="373"/>
      <c r="N88" s="373"/>
      <c r="O88" s="373"/>
      <c r="P88" s="373"/>
      <c r="Q88" s="373"/>
      <c r="R88" s="373"/>
      <c r="S88" s="373"/>
      <c r="T88" s="373"/>
      <c r="U88" s="373"/>
      <c r="V88" s="373"/>
      <c r="W88" s="373"/>
      <c r="X88" s="373"/>
    </row>
    <row r="89" spans="1:24" ht="18" x14ac:dyDescent="0.55000000000000004">
      <c r="A89" s="373"/>
      <c r="B89" s="373"/>
      <c r="C89" s="373"/>
      <c r="D89" s="373"/>
      <c r="E89" s="373"/>
      <c r="F89" s="373"/>
      <c r="G89" s="373"/>
      <c r="H89" s="373"/>
      <c r="I89" s="373"/>
      <c r="J89" s="373"/>
      <c r="K89" s="373"/>
      <c r="L89" s="373"/>
      <c r="M89" s="373"/>
      <c r="N89" s="373"/>
      <c r="O89" s="373"/>
      <c r="P89" s="373"/>
      <c r="Q89" s="373"/>
      <c r="R89" s="373"/>
      <c r="S89" s="373"/>
      <c r="T89" s="373"/>
      <c r="U89" s="373"/>
      <c r="V89" s="373"/>
      <c r="W89" s="373"/>
      <c r="X89" s="373"/>
    </row>
    <row r="90" spans="1:24" ht="18" x14ac:dyDescent="0.55000000000000004">
      <c r="A90" s="373"/>
      <c r="B90" s="373"/>
      <c r="C90" s="373"/>
      <c r="D90" s="373"/>
      <c r="E90" s="373"/>
      <c r="F90" s="373"/>
      <c r="G90" s="373"/>
      <c r="H90" s="373"/>
      <c r="I90" s="373"/>
      <c r="J90" s="373"/>
      <c r="K90" s="373"/>
      <c r="L90" s="373"/>
      <c r="M90" s="373"/>
      <c r="N90" s="373"/>
      <c r="O90" s="373"/>
      <c r="P90" s="373"/>
      <c r="Q90" s="373"/>
      <c r="R90" s="373"/>
      <c r="S90" s="373"/>
      <c r="T90" s="373"/>
      <c r="U90" s="373"/>
      <c r="V90" s="373"/>
      <c r="W90" s="373"/>
      <c r="X90" s="373"/>
    </row>
    <row r="91" spans="1:24" ht="18" x14ac:dyDescent="0.55000000000000004">
      <c r="A91" s="373"/>
      <c r="B91" s="373"/>
      <c r="C91" s="373"/>
      <c r="D91" s="373"/>
      <c r="E91" s="373"/>
      <c r="F91" s="373"/>
      <c r="G91" s="373"/>
      <c r="H91" s="373"/>
      <c r="I91" s="373"/>
      <c r="J91" s="373"/>
      <c r="K91" s="373"/>
      <c r="L91" s="373"/>
      <c r="M91" s="373"/>
      <c r="N91" s="373"/>
      <c r="O91" s="373"/>
      <c r="P91" s="373"/>
      <c r="Q91" s="373"/>
      <c r="R91" s="373"/>
      <c r="S91" s="373"/>
      <c r="T91" s="373"/>
      <c r="U91" s="373"/>
      <c r="V91" s="373"/>
      <c r="W91" s="373"/>
      <c r="X91" s="373"/>
    </row>
    <row r="92" spans="1:24" ht="18" x14ac:dyDescent="0.55000000000000004">
      <c r="A92" s="373"/>
      <c r="B92" s="373"/>
      <c r="C92" s="373"/>
      <c r="D92" s="373"/>
      <c r="E92" s="373"/>
      <c r="F92" s="373"/>
      <c r="G92" s="373"/>
      <c r="H92" s="373"/>
      <c r="I92" s="373"/>
      <c r="J92" s="373"/>
      <c r="K92" s="373"/>
      <c r="L92" s="373"/>
      <c r="M92" s="373"/>
      <c r="N92" s="373"/>
      <c r="O92" s="373"/>
      <c r="P92" s="373"/>
      <c r="Q92" s="373"/>
      <c r="R92" s="373"/>
      <c r="S92" s="373"/>
      <c r="T92" s="373"/>
      <c r="U92" s="373"/>
      <c r="V92" s="373"/>
      <c r="W92" s="373"/>
      <c r="X92" s="373"/>
    </row>
    <row r="93" spans="1:24" ht="18" x14ac:dyDescent="0.55000000000000004">
      <c r="A93" s="373"/>
      <c r="B93" s="373"/>
      <c r="C93" s="373"/>
      <c r="D93" s="373"/>
      <c r="E93" s="373"/>
      <c r="F93" s="373"/>
      <c r="G93" s="373"/>
      <c r="H93" s="373"/>
      <c r="I93" s="373"/>
      <c r="J93" s="373"/>
      <c r="K93" s="373"/>
      <c r="L93" s="373"/>
      <c r="M93" s="373"/>
      <c r="N93" s="373"/>
      <c r="O93" s="373"/>
      <c r="P93" s="373"/>
      <c r="Q93" s="373"/>
      <c r="R93" s="373"/>
      <c r="S93" s="373"/>
      <c r="T93" s="373"/>
      <c r="U93" s="373"/>
      <c r="V93" s="373"/>
      <c r="W93" s="373"/>
      <c r="X93" s="373"/>
    </row>
    <row r="94" spans="1:24" ht="18" x14ac:dyDescent="0.55000000000000004">
      <c r="A94" s="373"/>
      <c r="B94" s="373"/>
      <c r="C94" s="373"/>
      <c r="D94" s="373"/>
      <c r="E94" s="373"/>
      <c r="F94" s="373"/>
      <c r="G94" s="373"/>
      <c r="H94" s="373"/>
      <c r="I94" s="373"/>
      <c r="J94" s="373"/>
      <c r="K94" s="373"/>
      <c r="L94" s="373"/>
      <c r="M94" s="373"/>
      <c r="N94" s="373"/>
      <c r="O94" s="373"/>
      <c r="P94" s="373"/>
      <c r="Q94" s="373"/>
      <c r="R94" s="373"/>
      <c r="S94" s="373"/>
      <c r="T94" s="373"/>
      <c r="U94" s="373"/>
      <c r="V94" s="373"/>
      <c r="W94" s="373"/>
      <c r="X94" s="373"/>
    </row>
    <row r="95" spans="1:24" ht="18" x14ac:dyDescent="0.55000000000000004">
      <c r="A95" s="373"/>
      <c r="B95" s="373"/>
      <c r="C95" s="373"/>
      <c r="D95" s="373"/>
      <c r="E95" s="373"/>
      <c r="F95" s="373"/>
      <c r="G95" s="373"/>
      <c r="H95" s="373"/>
      <c r="I95" s="373"/>
      <c r="J95" s="373"/>
      <c r="K95" s="373"/>
      <c r="L95" s="373"/>
      <c r="M95" s="373"/>
      <c r="N95" s="373"/>
      <c r="O95" s="373"/>
      <c r="P95" s="373"/>
      <c r="Q95" s="373"/>
      <c r="R95" s="373"/>
      <c r="S95" s="373"/>
      <c r="T95" s="373"/>
      <c r="U95" s="373"/>
      <c r="V95" s="373"/>
      <c r="W95" s="373"/>
      <c r="X95" s="373"/>
    </row>
    <row r="96" spans="1:24" ht="18" x14ac:dyDescent="0.55000000000000004">
      <c r="A96" s="373"/>
      <c r="B96" s="373"/>
      <c r="C96" s="373"/>
      <c r="D96" s="373"/>
      <c r="E96" s="373"/>
      <c r="F96" s="373"/>
      <c r="G96" s="373"/>
      <c r="H96" s="373"/>
      <c r="I96" s="373"/>
      <c r="J96" s="373"/>
      <c r="K96" s="373"/>
      <c r="L96" s="373"/>
      <c r="M96" s="373"/>
      <c r="N96" s="373"/>
      <c r="O96" s="373"/>
      <c r="P96" s="373"/>
      <c r="Q96" s="373"/>
      <c r="R96" s="373"/>
      <c r="S96" s="373"/>
      <c r="T96" s="373"/>
      <c r="U96" s="373"/>
      <c r="V96" s="373"/>
      <c r="W96" s="373"/>
      <c r="X96" s="373"/>
    </row>
    <row r="97" spans="1:24" ht="18" x14ac:dyDescent="0.55000000000000004">
      <c r="A97" s="373"/>
      <c r="B97" s="373"/>
      <c r="C97" s="373"/>
      <c r="D97" s="373"/>
      <c r="E97" s="373"/>
      <c r="F97" s="373"/>
      <c r="G97" s="373"/>
      <c r="H97" s="373"/>
      <c r="I97" s="373"/>
      <c r="J97" s="373"/>
      <c r="K97" s="373"/>
      <c r="L97" s="373"/>
      <c r="M97" s="373"/>
      <c r="N97" s="373"/>
      <c r="O97" s="373"/>
      <c r="P97" s="373"/>
      <c r="Q97" s="373"/>
      <c r="R97" s="373"/>
      <c r="S97" s="373"/>
      <c r="T97" s="373"/>
      <c r="U97" s="373"/>
      <c r="V97" s="373"/>
      <c r="W97" s="373"/>
      <c r="X97" s="373"/>
    </row>
    <row r="98" spans="1:24" ht="18" x14ac:dyDescent="0.55000000000000004">
      <c r="A98" s="373"/>
      <c r="B98" s="373"/>
      <c r="C98" s="373"/>
      <c r="D98" s="373"/>
      <c r="E98" s="373"/>
      <c r="F98" s="373"/>
      <c r="G98" s="373"/>
      <c r="H98" s="373"/>
      <c r="I98" s="373"/>
      <c r="J98" s="373"/>
      <c r="K98" s="373"/>
      <c r="L98" s="373"/>
      <c r="M98" s="373"/>
      <c r="N98" s="373"/>
      <c r="O98" s="373"/>
      <c r="P98" s="373"/>
      <c r="Q98" s="373"/>
      <c r="R98" s="373"/>
      <c r="S98" s="373"/>
      <c r="T98" s="373"/>
      <c r="U98" s="373"/>
      <c r="V98" s="373"/>
      <c r="W98" s="373"/>
      <c r="X98" s="373"/>
    </row>
    <row r="99" spans="1:24" ht="18" x14ac:dyDescent="0.55000000000000004">
      <c r="A99" s="373"/>
      <c r="B99" s="373"/>
      <c r="C99" s="373"/>
      <c r="D99" s="373"/>
      <c r="E99" s="373"/>
      <c r="F99" s="373"/>
      <c r="G99" s="373"/>
      <c r="H99" s="373"/>
      <c r="I99" s="373"/>
      <c r="J99" s="373"/>
      <c r="K99" s="373"/>
      <c r="L99" s="373"/>
      <c r="M99" s="373"/>
      <c r="N99" s="373"/>
      <c r="O99" s="373"/>
      <c r="P99" s="373"/>
      <c r="Q99" s="373"/>
      <c r="R99" s="373"/>
      <c r="S99" s="373"/>
      <c r="T99" s="373"/>
      <c r="U99" s="373"/>
      <c r="V99" s="373"/>
      <c r="W99" s="373"/>
      <c r="X99" s="373"/>
    </row>
    <row r="100" spans="1:24" ht="18" x14ac:dyDescent="0.55000000000000004">
      <c r="A100" s="373"/>
      <c r="B100" s="373"/>
      <c r="C100" s="373"/>
      <c r="D100" s="373"/>
      <c r="E100" s="373"/>
      <c r="F100" s="373"/>
      <c r="G100" s="373"/>
      <c r="H100" s="373"/>
      <c r="I100" s="373"/>
      <c r="J100" s="373"/>
      <c r="K100" s="373"/>
      <c r="L100" s="373"/>
      <c r="M100" s="373"/>
      <c r="N100" s="373"/>
      <c r="O100" s="373"/>
      <c r="P100" s="373"/>
      <c r="Q100" s="373"/>
      <c r="R100" s="373"/>
      <c r="S100" s="373"/>
      <c r="T100" s="373"/>
      <c r="U100" s="373"/>
      <c r="V100" s="373"/>
      <c r="W100" s="373"/>
      <c r="X100" s="373"/>
    </row>
    <row r="101" spans="1:24" ht="18" x14ac:dyDescent="0.55000000000000004">
      <c r="A101" s="373"/>
      <c r="B101" s="373"/>
      <c r="C101" s="373"/>
      <c r="D101" s="373"/>
      <c r="E101" s="373"/>
      <c r="F101" s="373"/>
      <c r="G101" s="373"/>
      <c r="H101" s="373"/>
      <c r="I101" s="373"/>
      <c r="J101" s="373"/>
      <c r="K101" s="373"/>
      <c r="L101" s="373"/>
      <c r="M101" s="373"/>
      <c r="N101" s="373"/>
      <c r="O101" s="373"/>
      <c r="P101" s="373"/>
      <c r="Q101" s="373"/>
      <c r="R101" s="373"/>
      <c r="S101" s="373"/>
      <c r="T101" s="373"/>
      <c r="U101" s="373"/>
      <c r="V101" s="373"/>
      <c r="W101" s="373"/>
      <c r="X101" s="373"/>
    </row>
    <row r="102" spans="1:24" ht="18" x14ac:dyDescent="0.55000000000000004">
      <c r="A102" s="373"/>
      <c r="B102" s="373"/>
      <c r="C102" s="373"/>
      <c r="D102" s="373"/>
      <c r="E102" s="373"/>
      <c r="F102" s="373"/>
      <c r="G102" s="373"/>
      <c r="H102" s="373"/>
      <c r="I102" s="373"/>
      <c r="J102" s="373"/>
      <c r="K102" s="373"/>
      <c r="L102" s="373"/>
      <c r="M102" s="373"/>
      <c r="N102" s="373"/>
      <c r="O102" s="373"/>
      <c r="P102" s="373"/>
      <c r="Q102" s="373"/>
      <c r="R102" s="373"/>
      <c r="S102" s="373"/>
      <c r="T102" s="373"/>
      <c r="U102" s="373"/>
      <c r="V102" s="373"/>
      <c r="W102" s="373"/>
      <c r="X102" s="373"/>
    </row>
    <row r="103" spans="1:24" ht="18" x14ac:dyDescent="0.55000000000000004">
      <c r="A103" s="373"/>
      <c r="B103" s="373"/>
      <c r="C103" s="373"/>
      <c r="D103" s="373"/>
      <c r="E103" s="373"/>
      <c r="F103" s="373"/>
      <c r="G103" s="373"/>
      <c r="H103" s="373"/>
      <c r="I103" s="373"/>
      <c r="J103" s="373"/>
      <c r="K103" s="373"/>
      <c r="L103" s="373"/>
      <c r="M103" s="373"/>
      <c r="N103" s="373"/>
      <c r="O103" s="373"/>
      <c r="P103" s="373"/>
      <c r="Q103" s="373"/>
      <c r="R103" s="373"/>
      <c r="S103" s="373"/>
      <c r="T103" s="373"/>
      <c r="U103" s="373"/>
      <c r="V103" s="373"/>
      <c r="W103" s="373"/>
      <c r="X103" s="373"/>
    </row>
    <row r="104" spans="1:24" ht="18" x14ac:dyDescent="0.55000000000000004">
      <c r="A104" s="373"/>
      <c r="B104" s="373"/>
      <c r="C104" s="373"/>
      <c r="D104" s="373"/>
      <c r="E104" s="373"/>
      <c r="F104" s="373"/>
      <c r="G104" s="373"/>
      <c r="H104" s="373"/>
      <c r="I104" s="373"/>
      <c r="J104" s="373"/>
      <c r="K104" s="373"/>
      <c r="L104" s="373"/>
      <c r="M104" s="373"/>
      <c r="N104" s="373"/>
      <c r="O104" s="373"/>
      <c r="P104" s="373"/>
      <c r="Q104" s="373"/>
      <c r="R104" s="373"/>
      <c r="S104" s="373"/>
      <c r="T104" s="373"/>
      <c r="U104" s="373"/>
      <c r="V104" s="373"/>
      <c r="W104" s="373"/>
      <c r="X104" s="373"/>
    </row>
    <row r="105" spans="1:24" ht="18" x14ac:dyDescent="0.55000000000000004">
      <c r="A105" s="373"/>
      <c r="B105" s="373"/>
      <c r="C105" s="373"/>
      <c r="D105" s="373"/>
      <c r="E105" s="373"/>
      <c r="F105" s="373"/>
      <c r="G105" s="373"/>
      <c r="H105" s="373"/>
      <c r="I105" s="373"/>
      <c r="J105" s="373"/>
      <c r="K105" s="373"/>
      <c r="L105" s="373"/>
      <c r="M105" s="373"/>
      <c r="N105" s="373"/>
      <c r="O105" s="373"/>
      <c r="P105" s="373"/>
      <c r="Q105" s="373"/>
      <c r="R105" s="373"/>
      <c r="S105" s="373"/>
      <c r="T105" s="373"/>
      <c r="U105" s="373"/>
      <c r="V105" s="373"/>
      <c r="W105" s="373"/>
      <c r="X105" s="373"/>
    </row>
    <row r="106" spans="1:24" ht="18" x14ac:dyDescent="0.55000000000000004">
      <c r="A106" s="373"/>
      <c r="B106" s="373"/>
      <c r="C106" s="373"/>
      <c r="D106" s="373"/>
      <c r="E106" s="373"/>
      <c r="F106" s="373"/>
      <c r="G106" s="373"/>
      <c r="H106" s="373"/>
      <c r="I106" s="373"/>
      <c r="J106" s="373"/>
      <c r="K106" s="373"/>
      <c r="L106" s="373"/>
      <c r="M106" s="373"/>
      <c r="N106" s="373"/>
      <c r="O106" s="373"/>
      <c r="P106" s="373"/>
      <c r="Q106" s="373"/>
      <c r="R106" s="373"/>
      <c r="S106" s="373"/>
      <c r="T106" s="373"/>
      <c r="U106" s="373"/>
      <c r="V106" s="373"/>
      <c r="W106" s="373"/>
      <c r="X106" s="373"/>
    </row>
    <row r="107" spans="1:24" ht="18" x14ac:dyDescent="0.55000000000000004">
      <c r="A107" s="373"/>
      <c r="B107" s="373"/>
      <c r="C107" s="373"/>
      <c r="D107" s="373"/>
      <c r="E107" s="373"/>
      <c r="F107" s="373"/>
      <c r="G107" s="373"/>
      <c r="H107" s="373"/>
      <c r="I107" s="373"/>
      <c r="J107" s="373"/>
      <c r="K107" s="373"/>
      <c r="L107" s="373"/>
      <c r="M107" s="373"/>
      <c r="N107" s="373"/>
      <c r="O107" s="373"/>
      <c r="P107" s="373"/>
      <c r="Q107" s="373"/>
      <c r="R107" s="373"/>
      <c r="S107" s="373"/>
      <c r="T107" s="373"/>
      <c r="U107" s="373"/>
      <c r="V107" s="373"/>
      <c r="W107" s="373"/>
      <c r="X107" s="373"/>
    </row>
    <row r="108" spans="1:24" ht="18" x14ac:dyDescent="0.55000000000000004">
      <c r="A108" s="373"/>
      <c r="B108" s="373"/>
      <c r="C108" s="373"/>
      <c r="D108" s="373"/>
      <c r="E108" s="373"/>
      <c r="F108" s="373"/>
      <c r="G108" s="373"/>
      <c r="H108" s="373"/>
      <c r="I108" s="373"/>
      <c r="J108" s="373"/>
      <c r="K108" s="373"/>
      <c r="L108" s="373"/>
      <c r="M108" s="373"/>
      <c r="N108" s="373"/>
      <c r="O108" s="373"/>
      <c r="P108" s="373"/>
      <c r="Q108" s="373"/>
      <c r="R108" s="373"/>
      <c r="S108" s="373"/>
      <c r="T108" s="373"/>
      <c r="U108" s="373"/>
      <c r="V108" s="373"/>
      <c r="W108" s="373"/>
      <c r="X108" s="373"/>
    </row>
    <row r="109" spans="1:24" ht="18" x14ac:dyDescent="0.55000000000000004">
      <c r="A109" s="373"/>
      <c r="B109" s="373"/>
      <c r="C109" s="373"/>
      <c r="D109" s="373"/>
      <c r="E109" s="373"/>
      <c r="F109" s="373"/>
      <c r="G109" s="373"/>
      <c r="H109" s="373"/>
      <c r="I109" s="373"/>
      <c r="J109" s="373"/>
      <c r="K109" s="373"/>
      <c r="L109" s="373"/>
      <c r="M109" s="373"/>
      <c r="N109" s="373"/>
      <c r="O109" s="373"/>
      <c r="P109" s="373"/>
      <c r="Q109" s="373"/>
      <c r="R109" s="373"/>
      <c r="S109" s="373"/>
      <c r="T109" s="373"/>
      <c r="U109" s="373"/>
      <c r="V109" s="373"/>
      <c r="W109" s="373"/>
      <c r="X109" s="373"/>
    </row>
    <row r="110" spans="1:24" ht="18" x14ac:dyDescent="0.55000000000000004">
      <c r="A110" s="373"/>
      <c r="B110" s="373"/>
      <c r="C110" s="373"/>
      <c r="D110" s="373"/>
      <c r="E110" s="373"/>
      <c r="F110" s="373"/>
      <c r="G110" s="373"/>
      <c r="H110" s="373"/>
      <c r="I110" s="373"/>
      <c r="J110" s="373"/>
      <c r="K110" s="373"/>
      <c r="L110" s="373"/>
      <c r="M110" s="373"/>
      <c r="N110" s="373"/>
      <c r="O110" s="373"/>
      <c r="P110" s="373"/>
      <c r="Q110" s="373"/>
      <c r="R110" s="373"/>
      <c r="S110" s="373"/>
      <c r="T110" s="373"/>
      <c r="U110" s="373"/>
      <c r="V110" s="373"/>
      <c r="W110" s="373"/>
      <c r="X110" s="373"/>
    </row>
    <row r="111" spans="1:24" ht="18" x14ac:dyDescent="0.55000000000000004">
      <c r="A111" s="373"/>
      <c r="B111" s="373"/>
      <c r="C111" s="373"/>
      <c r="D111" s="373"/>
      <c r="E111" s="373"/>
      <c r="F111" s="373"/>
      <c r="G111" s="373"/>
      <c r="H111" s="373"/>
      <c r="I111" s="373"/>
      <c r="J111" s="373"/>
      <c r="K111" s="373"/>
      <c r="L111" s="373"/>
      <c r="M111" s="373"/>
      <c r="N111" s="373"/>
      <c r="O111" s="373"/>
      <c r="P111" s="373"/>
      <c r="Q111" s="373"/>
      <c r="R111" s="373"/>
      <c r="S111" s="373"/>
      <c r="T111" s="373"/>
      <c r="U111" s="373"/>
      <c r="V111" s="373"/>
      <c r="W111" s="373"/>
      <c r="X111" s="373"/>
    </row>
    <row r="112" spans="1:24" ht="18" x14ac:dyDescent="0.55000000000000004">
      <c r="A112" s="373"/>
      <c r="B112" s="373"/>
      <c r="C112" s="373"/>
      <c r="D112" s="373"/>
      <c r="E112" s="373"/>
      <c r="F112" s="373"/>
      <c r="G112" s="373"/>
      <c r="H112" s="373"/>
      <c r="I112" s="373"/>
      <c r="J112" s="373"/>
      <c r="K112" s="373"/>
      <c r="L112" s="373"/>
      <c r="M112" s="373"/>
      <c r="N112" s="373"/>
      <c r="O112" s="373"/>
      <c r="P112" s="373"/>
      <c r="Q112" s="373"/>
      <c r="R112" s="373"/>
      <c r="S112" s="373"/>
      <c r="T112" s="373"/>
      <c r="U112" s="373"/>
      <c r="V112" s="373"/>
      <c r="W112" s="373"/>
      <c r="X112" s="373"/>
    </row>
    <row r="113" spans="1:24" ht="18" x14ac:dyDescent="0.55000000000000004">
      <c r="A113" s="373"/>
      <c r="B113" s="373"/>
      <c r="C113" s="373"/>
      <c r="D113" s="373"/>
      <c r="E113" s="373"/>
      <c r="F113" s="373"/>
      <c r="G113" s="373"/>
      <c r="H113" s="373"/>
      <c r="I113" s="373"/>
      <c r="J113" s="373"/>
      <c r="K113" s="373"/>
      <c r="L113" s="373"/>
      <c r="M113" s="373"/>
      <c r="N113" s="373"/>
      <c r="O113" s="373"/>
      <c r="P113" s="373"/>
      <c r="Q113" s="373"/>
      <c r="R113" s="373"/>
      <c r="S113" s="373"/>
      <c r="T113" s="373"/>
      <c r="U113" s="373"/>
      <c r="V113" s="373"/>
      <c r="W113" s="373"/>
      <c r="X113" s="373"/>
    </row>
    <row r="114" spans="1:24" ht="18" x14ac:dyDescent="0.55000000000000004">
      <c r="A114" s="373"/>
      <c r="B114" s="373"/>
      <c r="C114" s="373"/>
      <c r="D114" s="373"/>
      <c r="E114" s="373"/>
      <c r="F114" s="373"/>
      <c r="G114" s="373"/>
      <c r="H114" s="373"/>
      <c r="I114" s="373"/>
      <c r="J114" s="373"/>
      <c r="K114" s="373"/>
      <c r="L114" s="373"/>
      <c r="M114" s="373"/>
      <c r="N114" s="373"/>
      <c r="O114" s="373"/>
      <c r="P114" s="373"/>
      <c r="Q114" s="373"/>
      <c r="R114" s="373"/>
      <c r="S114" s="373"/>
      <c r="T114" s="373"/>
      <c r="U114" s="373"/>
      <c r="V114" s="373"/>
      <c r="W114" s="373"/>
      <c r="X114" s="373"/>
    </row>
    <row r="115" spans="1:24" ht="18" x14ac:dyDescent="0.55000000000000004">
      <c r="A115" s="373"/>
      <c r="B115" s="373"/>
      <c r="C115" s="373"/>
      <c r="D115" s="373"/>
      <c r="E115" s="373"/>
      <c r="F115" s="373"/>
      <c r="G115" s="373"/>
      <c r="H115" s="373"/>
      <c r="I115" s="373"/>
      <c r="J115" s="373"/>
      <c r="K115" s="373"/>
      <c r="L115" s="373"/>
      <c r="M115" s="373"/>
      <c r="N115" s="373"/>
      <c r="O115" s="373"/>
      <c r="P115" s="373"/>
      <c r="Q115" s="373"/>
      <c r="R115" s="373"/>
      <c r="S115" s="373"/>
      <c r="T115" s="373"/>
      <c r="U115" s="373"/>
      <c r="V115" s="373"/>
      <c r="W115" s="373"/>
      <c r="X115" s="373"/>
    </row>
    <row r="116" spans="1:24" ht="18" x14ac:dyDescent="0.55000000000000004">
      <c r="A116" s="373"/>
      <c r="B116" s="373"/>
      <c r="C116" s="373"/>
      <c r="D116" s="373"/>
      <c r="E116" s="373"/>
      <c r="F116" s="373"/>
      <c r="G116" s="373"/>
      <c r="H116" s="373"/>
      <c r="I116" s="373"/>
      <c r="J116" s="373"/>
      <c r="K116" s="373"/>
      <c r="L116" s="373"/>
      <c r="M116" s="373"/>
      <c r="N116" s="373"/>
      <c r="O116" s="373"/>
      <c r="P116" s="373"/>
      <c r="Q116" s="373"/>
      <c r="R116" s="373"/>
      <c r="S116" s="373"/>
      <c r="T116" s="373"/>
      <c r="U116" s="373"/>
      <c r="V116" s="373"/>
      <c r="W116" s="373"/>
      <c r="X116" s="373"/>
    </row>
    <row r="117" spans="1:24" ht="18" x14ac:dyDescent="0.55000000000000004">
      <c r="A117" s="373"/>
      <c r="B117" s="373"/>
      <c r="C117" s="373"/>
      <c r="D117" s="373"/>
      <c r="E117" s="373"/>
      <c r="F117" s="373"/>
      <c r="G117" s="373"/>
      <c r="H117" s="373"/>
      <c r="I117" s="373"/>
      <c r="J117" s="373"/>
      <c r="K117" s="373"/>
      <c r="L117" s="373"/>
      <c r="M117" s="373"/>
      <c r="N117" s="373"/>
      <c r="O117" s="373"/>
      <c r="P117" s="373"/>
      <c r="Q117" s="373"/>
      <c r="R117" s="373"/>
      <c r="S117" s="373"/>
      <c r="T117" s="373"/>
      <c r="U117" s="373"/>
      <c r="V117" s="373"/>
      <c r="W117" s="373"/>
      <c r="X117" s="373"/>
    </row>
    <row r="118" spans="1:24" ht="18" x14ac:dyDescent="0.55000000000000004">
      <c r="A118" s="373"/>
      <c r="B118" s="373"/>
      <c r="C118" s="373"/>
      <c r="D118" s="373"/>
      <c r="E118" s="373"/>
      <c r="F118" s="373"/>
      <c r="G118" s="373"/>
      <c r="H118" s="373"/>
      <c r="I118" s="373"/>
      <c r="J118" s="373"/>
      <c r="K118" s="373"/>
      <c r="L118" s="373"/>
      <c r="M118" s="373"/>
      <c r="N118" s="373"/>
      <c r="O118" s="373"/>
      <c r="P118" s="373"/>
      <c r="Q118" s="373"/>
      <c r="R118" s="373"/>
      <c r="S118" s="373"/>
      <c r="T118" s="373"/>
      <c r="U118" s="373"/>
      <c r="V118" s="373"/>
      <c r="W118" s="373"/>
      <c r="X118" s="373"/>
    </row>
    <row r="119" spans="1:24" ht="18" x14ac:dyDescent="0.55000000000000004">
      <c r="A119" s="373"/>
      <c r="B119" s="373"/>
      <c r="C119" s="373"/>
      <c r="D119" s="373"/>
      <c r="E119" s="373"/>
      <c r="F119" s="373"/>
      <c r="G119" s="373"/>
      <c r="H119" s="373"/>
      <c r="I119" s="373"/>
      <c r="J119" s="373"/>
      <c r="K119" s="373"/>
      <c r="L119" s="373"/>
      <c r="M119" s="373"/>
      <c r="N119" s="373"/>
      <c r="O119" s="373"/>
      <c r="P119" s="373"/>
      <c r="Q119" s="373"/>
      <c r="R119" s="373"/>
      <c r="S119" s="373"/>
      <c r="T119" s="373"/>
      <c r="U119" s="373"/>
      <c r="V119" s="373"/>
      <c r="W119" s="373"/>
      <c r="X119" s="373"/>
    </row>
    <row r="120" spans="1:24" ht="18" x14ac:dyDescent="0.55000000000000004">
      <c r="A120" s="373"/>
      <c r="B120" s="373"/>
      <c r="C120" s="373"/>
      <c r="D120" s="373"/>
      <c r="E120" s="373"/>
      <c r="F120" s="373"/>
      <c r="G120" s="373"/>
      <c r="H120" s="373"/>
      <c r="I120" s="373"/>
      <c r="J120" s="373"/>
      <c r="K120" s="373"/>
      <c r="L120" s="373"/>
      <c r="M120" s="373"/>
      <c r="N120" s="373"/>
      <c r="O120" s="373"/>
      <c r="P120" s="373"/>
      <c r="Q120" s="373"/>
      <c r="R120" s="373"/>
      <c r="S120" s="373"/>
      <c r="T120" s="373"/>
      <c r="U120" s="373"/>
      <c r="V120" s="373"/>
      <c r="W120" s="373"/>
      <c r="X120" s="373"/>
    </row>
    <row r="121" spans="1:24" ht="18" x14ac:dyDescent="0.55000000000000004">
      <c r="A121" s="373"/>
      <c r="B121" s="373"/>
      <c r="C121" s="373"/>
      <c r="D121" s="373"/>
      <c r="E121" s="373"/>
      <c r="F121" s="373"/>
      <c r="G121" s="373"/>
      <c r="H121" s="373"/>
      <c r="I121" s="373"/>
      <c r="J121" s="373"/>
      <c r="K121" s="373"/>
      <c r="L121" s="373"/>
      <c r="M121" s="373"/>
      <c r="N121" s="373"/>
      <c r="O121" s="373"/>
      <c r="P121" s="373"/>
      <c r="Q121" s="373"/>
      <c r="R121" s="373"/>
      <c r="S121" s="373"/>
      <c r="T121" s="373"/>
      <c r="U121" s="373"/>
      <c r="V121" s="373"/>
      <c r="W121" s="373"/>
      <c r="X121" s="373"/>
    </row>
    <row r="122" spans="1:24" ht="18" x14ac:dyDescent="0.55000000000000004">
      <c r="A122" s="373"/>
      <c r="B122" s="373"/>
      <c r="C122" s="373"/>
      <c r="D122" s="373"/>
      <c r="E122" s="373"/>
      <c r="F122" s="373"/>
      <c r="G122" s="373"/>
      <c r="H122" s="373"/>
      <c r="I122" s="373"/>
      <c r="J122" s="373"/>
      <c r="K122" s="373"/>
      <c r="L122" s="373"/>
      <c r="M122" s="373"/>
      <c r="N122" s="373"/>
      <c r="O122" s="373"/>
      <c r="P122" s="373"/>
      <c r="Q122" s="373"/>
      <c r="R122" s="373"/>
      <c r="S122" s="373"/>
      <c r="T122" s="373"/>
      <c r="U122" s="373"/>
      <c r="V122" s="373"/>
      <c r="W122" s="373"/>
      <c r="X122" s="373"/>
    </row>
    <row r="123" spans="1:24" ht="18" x14ac:dyDescent="0.55000000000000004">
      <c r="A123" s="373"/>
      <c r="B123" s="373"/>
      <c r="C123" s="373"/>
      <c r="D123" s="373"/>
      <c r="E123" s="373"/>
      <c r="F123" s="373"/>
      <c r="G123" s="373"/>
      <c r="H123" s="373"/>
      <c r="I123" s="373"/>
      <c r="J123" s="373"/>
      <c r="K123" s="373"/>
      <c r="L123" s="373"/>
      <c r="M123" s="373"/>
      <c r="N123" s="373"/>
      <c r="O123" s="373"/>
      <c r="P123" s="373"/>
      <c r="Q123" s="373"/>
      <c r="R123" s="373"/>
      <c r="S123" s="373"/>
      <c r="T123" s="373"/>
      <c r="U123" s="373"/>
      <c r="V123" s="373"/>
      <c r="W123" s="373"/>
      <c r="X123" s="373"/>
    </row>
    <row r="124" spans="1:24" ht="18" x14ac:dyDescent="0.55000000000000004">
      <c r="A124" s="373"/>
      <c r="B124" s="373"/>
      <c r="C124" s="373"/>
      <c r="D124" s="373"/>
      <c r="E124" s="373"/>
      <c r="F124" s="373"/>
      <c r="G124" s="373"/>
      <c r="H124" s="373"/>
      <c r="I124" s="373"/>
      <c r="J124" s="373"/>
      <c r="K124" s="373"/>
      <c r="L124" s="373"/>
      <c r="M124" s="373"/>
      <c r="N124" s="373"/>
      <c r="O124" s="373"/>
      <c r="P124" s="373"/>
      <c r="Q124" s="373"/>
      <c r="R124" s="373"/>
      <c r="S124" s="373"/>
      <c r="T124" s="373"/>
      <c r="U124" s="373"/>
      <c r="V124" s="373"/>
      <c r="W124" s="373"/>
      <c r="X124" s="373"/>
    </row>
    <row r="125" spans="1:24" ht="18" x14ac:dyDescent="0.55000000000000004">
      <c r="A125" s="373"/>
      <c r="B125" s="373"/>
      <c r="C125" s="373"/>
      <c r="D125" s="373"/>
      <c r="E125" s="373"/>
      <c r="F125" s="373"/>
      <c r="G125" s="373"/>
      <c r="H125" s="373"/>
      <c r="I125" s="373"/>
      <c r="J125" s="373"/>
      <c r="K125" s="373"/>
      <c r="L125" s="373"/>
      <c r="M125" s="373"/>
      <c r="N125" s="373"/>
      <c r="O125" s="373"/>
      <c r="P125" s="373"/>
      <c r="Q125" s="373"/>
      <c r="R125" s="373"/>
      <c r="S125" s="373"/>
      <c r="T125" s="373"/>
      <c r="U125" s="373"/>
      <c r="V125" s="373"/>
      <c r="W125" s="373"/>
      <c r="X125" s="373"/>
    </row>
    <row r="126" spans="1:24" ht="18" x14ac:dyDescent="0.55000000000000004">
      <c r="A126" s="373"/>
      <c r="B126" s="373"/>
      <c r="C126" s="373"/>
      <c r="D126" s="373"/>
      <c r="E126" s="373"/>
      <c r="F126" s="373"/>
      <c r="G126" s="373"/>
      <c r="H126" s="373"/>
      <c r="I126" s="373"/>
      <c r="J126" s="373"/>
      <c r="K126" s="373"/>
      <c r="L126" s="373"/>
      <c r="M126" s="373"/>
      <c r="N126" s="373"/>
      <c r="O126" s="373"/>
      <c r="P126" s="373"/>
      <c r="Q126" s="373"/>
      <c r="R126" s="373"/>
      <c r="S126" s="373"/>
      <c r="T126" s="373"/>
      <c r="U126" s="373"/>
      <c r="V126" s="373"/>
      <c r="W126" s="373"/>
      <c r="X126" s="373"/>
    </row>
    <row r="127" spans="1:24" ht="18" x14ac:dyDescent="0.55000000000000004">
      <c r="A127" s="373"/>
      <c r="B127" s="373"/>
      <c r="C127" s="373"/>
      <c r="D127" s="373"/>
      <c r="E127" s="373"/>
      <c r="F127" s="373"/>
      <c r="G127" s="373"/>
      <c r="H127" s="373"/>
      <c r="I127" s="373"/>
      <c r="J127" s="373"/>
      <c r="K127" s="373"/>
      <c r="L127" s="373"/>
      <c r="M127" s="373"/>
      <c r="N127" s="373"/>
      <c r="O127" s="373"/>
      <c r="P127" s="373"/>
      <c r="Q127" s="373"/>
      <c r="R127" s="373"/>
      <c r="S127" s="373"/>
      <c r="T127" s="373"/>
      <c r="U127" s="373"/>
      <c r="V127" s="373"/>
      <c r="W127" s="373"/>
      <c r="X127" s="373"/>
    </row>
    <row r="128" spans="1:24" ht="18" x14ac:dyDescent="0.55000000000000004">
      <c r="A128" s="373"/>
      <c r="B128" s="373"/>
      <c r="C128" s="373"/>
      <c r="D128" s="373"/>
      <c r="E128" s="373"/>
      <c r="F128" s="373"/>
      <c r="G128" s="373"/>
      <c r="H128" s="373"/>
      <c r="I128" s="373"/>
      <c r="J128" s="373"/>
      <c r="K128" s="373"/>
      <c r="L128" s="373"/>
      <c r="M128" s="373"/>
      <c r="N128" s="373"/>
      <c r="O128" s="373"/>
      <c r="P128" s="373"/>
      <c r="Q128" s="373"/>
      <c r="R128" s="373"/>
      <c r="S128" s="373"/>
      <c r="T128" s="373"/>
      <c r="U128" s="373"/>
      <c r="V128" s="373"/>
      <c r="W128" s="373"/>
      <c r="X128" s="373"/>
    </row>
    <row r="129" spans="1:24" ht="18" x14ac:dyDescent="0.55000000000000004">
      <c r="A129" s="373"/>
      <c r="B129" s="373"/>
      <c r="C129" s="373"/>
      <c r="D129" s="373"/>
      <c r="E129" s="373"/>
      <c r="F129" s="373"/>
      <c r="G129" s="373"/>
      <c r="H129" s="373"/>
      <c r="I129" s="373"/>
      <c r="J129" s="373"/>
      <c r="K129" s="373"/>
      <c r="L129" s="373"/>
      <c r="M129" s="373"/>
      <c r="N129" s="373"/>
      <c r="O129" s="373"/>
      <c r="P129" s="373"/>
      <c r="Q129" s="373"/>
      <c r="R129" s="373"/>
      <c r="S129" s="373"/>
      <c r="T129" s="373"/>
      <c r="U129" s="373"/>
      <c r="V129" s="373"/>
      <c r="W129" s="373"/>
      <c r="X129" s="373"/>
    </row>
    <row r="130" spans="1:24" ht="18" x14ac:dyDescent="0.55000000000000004">
      <c r="A130" s="373"/>
      <c r="B130" s="373"/>
      <c r="C130" s="373"/>
      <c r="D130" s="373"/>
      <c r="E130" s="373"/>
      <c r="F130" s="373"/>
      <c r="G130" s="373"/>
      <c r="H130" s="373"/>
      <c r="I130" s="373"/>
      <c r="J130" s="373"/>
      <c r="K130" s="373"/>
      <c r="L130" s="373"/>
      <c r="M130" s="373"/>
      <c r="N130" s="373"/>
      <c r="O130" s="373"/>
      <c r="P130" s="373"/>
      <c r="Q130" s="373"/>
      <c r="R130" s="373"/>
      <c r="S130" s="373"/>
      <c r="T130" s="373"/>
      <c r="U130" s="373"/>
      <c r="V130" s="373"/>
      <c r="W130" s="373"/>
      <c r="X130" s="373"/>
    </row>
    <row r="131" spans="1:24" ht="18" x14ac:dyDescent="0.55000000000000004">
      <c r="A131" s="373"/>
      <c r="B131" s="373"/>
      <c r="C131" s="373"/>
      <c r="D131" s="373"/>
      <c r="E131" s="373"/>
      <c r="F131" s="373"/>
      <c r="G131" s="373"/>
      <c r="H131" s="373"/>
      <c r="I131" s="373"/>
      <c r="J131" s="373"/>
      <c r="K131" s="373"/>
      <c r="L131" s="373"/>
      <c r="M131" s="373"/>
      <c r="N131" s="373"/>
      <c r="O131" s="373"/>
      <c r="P131" s="373"/>
      <c r="Q131" s="373"/>
      <c r="R131" s="373"/>
      <c r="S131" s="373"/>
      <c r="T131" s="373"/>
      <c r="U131" s="373"/>
      <c r="V131" s="373"/>
      <c r="W131" s="373"/>
      <c r="X131" s="373"/>
    </row>
    <row r="132" spans="1:24" ht="18" x14ac:dyDescent="0.55000000000000004">
      <c r="A132" s="373"/>
      <c r="B132" s="373"/>
      <c r="C132" s="373"/>
      <c r="D132" s="373"/>
      <c r="E132" s="373"/>
      <c r="F132" s="373"/>
      <c r="G132" s="373"/>
      <c r="H132" s="373"/>
      <c r="I132" s="373"/>
      <c r="J132" s="373"/>
      <c r="K132" s="373"/>
      <c r="L132" s="373"/>
      <c r="M132" s="373"/>
      <c r="N132" s="373"/>
      <c r="O132" s="373"/>
      <c r="P132" s="373"/>
      <c r="Q132" s="373"/>
      <c r="R132" s="373"/>
      <c r="S132" s="373"/>
      <c r="T132" s="373"/>
      <c r="U132" s="373"/>
      <c r="V132" s="373"/>
      <c r="W132" s="373"/>
      <c r="X132" s="373"/>
    </row>
    <row r="133" spans="1:24" ht="18" x14ac:dyDescent="0.55000000000000004">
      <c r="A133" s="373"/>
      <c r="B133" s="373"/>
      <c r="C133" s="373"/>
      <c r="D133" s="373"/>
      <c r="E133" s="373"/>
      <c r="F133" s="373"/>
      <c r="G133" s="373"/>
      <c r="H133" s="373"/>
      <c r="I133" s="373"/>
      <c r="J133" s="373"/>
      <c r="K133" s="373"/>
      <c r="L133" s="373"/>
      <c r="M133" s="373"/>
      <c r="N133" s="373"/>
      <c r="O133" s="373"/>
      <c r="P133" s="373"/>
      <c r="Q133" s="373"/>
      <c r="R133" s="373"/>
      <c r="S133" s="373"/>
      <c r="T133" s="373"/>
      <c r="U133" s="373"/>
      <c r="V133" s="373"/>
      <c r="W133" s="373"/>
      <c r="X133" s="373"/>
    </row>
    <row r="134" spans="1:24" ht="18" x14ac:dyDescent="0.55000000000000004">
      <c r="A134" s="373"/>
      <c r="B134" s="373"/>
      <c r="C134" s="373"/>
      <c r="D134" s="373"/>
      <c r="E134" s="373"/>
      <c r="F134" s="373"/>
      <c r="G134" s="373"/>
      <c r="H134" s="373"/>
      <c r="I134" s="373"/>
      <c r="J134" s="373"/>
      <c r="K134" s="373"/>
      <c r="L134" s="373"/>
      <c r="M134" s="373"/>
      <c r="N134" s="373"/>
      <c r="O134" s="373"/>
      <c r="P134" s="373"/>
      <c r="Q134" s="373"/>
      <c r="R134" s="373"/>
      <c r="S134" s="373"/>
      <c r="T134" s="373"/>
      <c r="U134" s="373"/>
      <c r="V134" s="373"/>
      <c r="W134" s="373"/>
      <c r="X134" s="373"/>
    </row>
    <row r="135" spans="1:24" ht="18" x14ac:dyDescent="0.55000000000000004">
      <c r="A135" s="373"/>
      <c r="B135" s="373"/>
      <c r="C135" s="373"/>
      <c r="D135" s="373"/>
      <c r="E135" s="373"/>
      <c r="F135" s="373"/>
      <c r="G135" s="373"/>
      <c r="H135" s="373"/>
      <c r="I135" s="373"/>
      <c r="J135" s="373"/>
      <c r="K135" s="373"/>
      <c r="L135" s="373"/>
      <c r="M135" s="373"/>
      <c r="N135" s="373"/>
      <c r="O135" s="373"/>
      <c r="P135" s="373"/>
      <c r="Q135" s="373"/>
      <c r="R135" s="373"/>
      <c r="S135" s="373"/>
      <c r="T135" s="373"/>
      <c r="U135" s="373"/>
      <c r="V135" s="373"/>
      <c r="W135" s="373"/>
      <c r="X135" s="373"/>
    </row>
    <row r="136" spans="1:24" ht="18" x14ac:dyDescent="0.55000000000000004">
      <c r="A136" s="373"/>
      <c r="B136" s="373"/>
      <c r="C136" s="373"/>
      <c r="D136" s="373"/>
      <c r="E136" s="373"/>
      <c r="F136" s="373"/>
      <c r="G136" s="373"/>
      <c r="H136" s="373"/>
      <c r="I136" s="373"/>
      <c r="J136" s="373"/>
      <c r="K136" s="373"/>
      <c r="L136" s="373"/>
      <c r="M136" s="373"/>
      <c r="N136" s="373"/>
      <c r="O136" s="373"/>
      <c r="P136" s="373"/>
      <c r="Q136" s="373"/>
      <c r="R136" s="373"/>
      <c r="S136" s="373"/>
      <c r="T136" s="373"/>
      <c r="U136" s="373"/>
      <c r="V136" s="373"/>
      <c r="W136" s="373"/>
      <c r="X136" s="373"/>
    </row>
    <row r="137" spans="1:24" ht="18" x14ac:dyDescent="0.55000000000000004">
      <c r="A137" s="373"/>
      <c r="B137" s="373"/>
      <c r="C137" s="373"/>
      <c r="D137" s="373"/>
      <c r="E137" s="373"/>
      <c r="F137" s="373"/>
      <c r="G137" s="373"/>
      <c r="H137" s="373"/>
      <c r="I137" s="373"/>
      <c r="J137" s="373"/>
      <c r="K137" s="373"/>
      <c r="L137" s="373"/>
      <c r="M137" s="373"/>
      <c r="N137" s="373"/>
      <c r="O137" s="373"/>
      <c r="P137" s="373"/>
      <c r="Q137" s="373"/>
      <c r="R137" s="373"/>
      <c r="S137" s="373"/>
      <c r="T137" s="373"/>
      <c r="U137" s="373"/>
      <c r="V137" s="373"/>
      <c r="W137" s="373"/>
      <c r="X137" s="373"/>
    </row>
    <row r="138" spans="1:24" ht="18" x14ac:dyDescent="0.55000000000000004">
      <c r="A138" s="373"/>
      <c r="B138" s="373"/>
      <c r="C138" s="373"/>
      <c r="D138" s="373"/>
      <c r="E138" s="373"/>
      <c r="F138" s="373"/>
      <c r="G138" s="373"/>
      <c r="H138" s="373"/>
      <c r="I138" s="373"/>
      <c r="J138" s="373"/>
      <c r="K138" s="373"/>
      <c r="L138" s="373"/>
      <c r="M138" s="373"/>
      <c r="N138" s="373"/>
      <c r="O138" s="373"/>
      <c r="P138" s="373"/>
      <c r="Q138" s="373"/>
      <c r="R138" s="373"/>
      <c r="S138" s="373"/>
      <c r="T138" s="373"/>
      <c r="U138" s="373"/>
      <c r="V138" s="373"/>
      <c r="W138" s="373"/>
      <c r="X138" s="373"/>
    </row>
    <row r="139" spans="1:24" ht="18" x14ac:dyDescent="0.55000000000000004">
      <c r="A139" s="373"/>
      <c r="B139" s="373"/>
      <c r="C139" s="373"/>
      <c r="D139" s="373"/>
      <c r="E139" s="373"/>
      <c r="F139" s="373"/>
      <c r="G139" s="373"/>
      <c r="H139" s="373"/>
      <c r="I139" s="373"/>
      <c r="J139" s="373"/>
      <c r="K139" s="373"/>
      <c r="L139" s="373"/>
      <c r="M139" s="373"/>
      <c r="N139" s="373"/>
      <c r="O139" s="373"/>
      <c r="P139" s="373"/>
      <c r="Q139" s="373"/>
      <c r="R139" s="373"/>
      <c r="S139" s="373"/>
      <c r="T139" s="373"/>
      <c r="U139" s="373"/>
      <c r="V139" s="373"/>
      <c r="W139" s="373"/>
      <c r="X139" s="373"/>
    </row>
    <row r="140" spans="1:24" ht="18" x14ac:dyDescent="0.55000000000000004">
      <c r="A140" s="373"/>
      <c r="B140" s="373"/>
      <c r="C140" s="373"/>
      <c r="D140" s="373"/>
      <c r="E140" s="373"/>
      <c r="F140" s="373"/>
      <c r="G140" s="373"/>
      <c r="H140" s="373"/>
      <c r="I140" s="373"/>
      <c r="J140" s="373"/>
      <c r="K140" s="373"/>
      <c r="L140" s="373"/>
      <c r="M140" s="373"/>
      <c r="N140" s="373"/>
      <c r="O140" s="373"/>
      <c r="P140" s="373"/>
      <c r="Q140" s="373"/>
      <c r="R140" s="373"/>
      <c r="S140" s="373"/>
      <c r="T140" s="373"/>
      <c r="U140" s="373"/>
      <c r="V140" s="373"/>
      <c r="W140" s="373"/>
      <c r="X140" s="373"/>
    </row>
    <row r="141" spans="1:24" ht="18" x14ac:dyDescent="0.55000000000000004">
      <c r="A141" s="373"/>
      <c r="B141" s="373"/>
      <c r="C141" s="373"/>
      <c r="D141" s="373"/>
      <c r="E141" s="373"/>
      <c r="F141" s="373"/>
      <c r="G141" s="373"/>
      <c r="H141" s="373"/>
      <c r="I141" s="373"/>
      <c r="J141" s="373"/>
      <c r="K141" s="373"/>
      <c r="L141" s="373"/>
      <c r="M141" s="373"/>
      <c r="N141" s="373"/>
      <c r="O141" s="373"/>
      <c r="P141" s="373"/>
      <c r="Q141" s="373"/>
      <c r="R141" s="373"/>
      <c r="S141" s="373"/>
      <c r="T141" s="373"/>
      <c r="U141" s="373"/>
      <c r="V141" s="373"/>
      <c r="W141" s="373"/>
      <c r="X141" s="373"/>
    </row>
    <row r="142" spans="1:24" ht="18" x14ac:dyDescent="0.55000000000000004">
      <c r="A142" s="373"/>
      <c r="B142" s="373"/>
      <c r="C142" s="373"/>
      <c r="D142" s="373"/>
      <c r="E142" s="373"/>
      <c r="F142" s="373"/>
      <c r="G142" s="373"/>
      <c r="H142" s="373"/>
      <c r="I142" s="373"/>
      <c r="J142" s="373"/>
      <c r="K142" s="373"/>
      <c r="L142" s="373"/>
      <c r="M142" s="373"/>
      <c r="N142" s="373"/>
      <c r="O142" s="373"/>
      <c r="P142" s="373"/>
      <c r="Q142" s="373"/>
      <c r="R142" s="373"/>
      <c r="S142" s="373"/>
      <c r="T142" s="373"/>
      <c r="U142" s="373"/>
      <c r="V142" s="373"/>
      <c r="W142" s="373"/>
      <c r="X142" s="373"/>
    </row>
    <row r="143" spans="1:24" ht="18" x14ac:dyDescent="0.55000000000000004">
      <c r="A143" s="373"/>
      <c r="B143" s="373"/>
      <c r="C143" s="373"/>
      <c r="D143" s="373"/>
      <c r="E143" s="373"/>
      <c r="F143" s="373"/>
      <c r="G143" s="373"/>
      <c r="H143" s="373"/>
      <c r="I143" s="373"/>
      <c r="J143" s="373"/>
      <c r="K143" s="373"/>
      <c r="L143" s="373"/>
      <c r="M143" s="373"/>
      <c r="N143" s="373"/>
      <c r="O143" s="373"/>
      <c r="P143" s="373"/>
      <c r="Q143" s="373"/>
      <c r="R143" s="373"/>
      <c r="S143" s="373"/>
      <c r="T143" s="373"/>
      <c r="U143" s="373"/>
      <c r="V143" s="373"/>
      <c r="W143" s="373"/>
      <c r="X143" s="373"/>
    </row>
    <row r="144" spans="1:24" ht="18" x14ac:dyDescent="0.55000000000000004">
      <c r="A144" s="373"/>
      <c r="B144" s="373"/>
      <c r="C144" s="373"/>
      <c r="D144" s="373"/>
      <c r="E144" s="373"/>
      <c r="F144" s="373"/>
      <c r="G144" s="373"/>
      <c r="H144" s="373"/>
      <c r="I144" s="373"/>
      <c r="J144" s="373"/>
      <c r="K144" s="373"/>
      <c r="L144" s="373"/>
      <c r="M144" s="373"/>
      <c r="N144" s="373"/>
      <c r="O144" s="373"/>
      <c r="P144" s="373"/>
      <c r="Q144" s="373"/>
      <c r="R144" s="373"/>
      <c r="S144" s="373"/>
      <c r="T144" s="373"/>
      <c r="U144" s="373"/>
      <c r="V144" s="373"/>
      <c r="W144" s="373"/>
      <c r="X144" s="373"/>
    </row>
    <row r="145" spans="1:24" ht="18" x14ac:dyDescent="0.55000000000000004">
      <c r="A145" s="373"/>
      <c r="B145" s="373"/>
      <c r="C145" s="373"/>
      <c r="D145" s="373"/>
      <c r="E145" s="373"/>
      <c r="F145" s="373"/>
      <c r="G145" s="373"/>
      <c r="H145" s="373"/>
      <c r="I145" s="373"/>
      <c r="J145" s="373"/>
      <c r="K145" s="373"/>
      <c r="L145" s="373"/>
      <c r="M145" s="373"/>
      <c r="N145" s="373"/>
      <c r="O145" s="373"/>
      <c r="P145" s="373"/>
      <c r="Q145" s="373"/>
      <c r="R145" s="373"/>
      <c r="S145" s="373"/>
      <c r="T145" s="373"/>
      <c r="U145" s="373"/>
      <c r="V145" s="373"/>
      <c r="W145" s="373"/>
      <c r="X145" s="373"/>
    </row>
    <row r="146" spans="1:24" ht="18" x14ac:dyDescent="0.55000000000000004">
      <c r="A146" s="373"/>
      <c r="B146" s="373"/>
      <c r="C146" s="373"/>
      <c r="D146" s="373"/>
      <c r="E146" s="373"/>
      <c r="F146" s="373"/>
      <c r="G146" s="373"/>
      <c r="H146" s="373"/>
      <c r="I146" s="373"/>
      <c r="J146" s="373"/>
      <c r="K146" s="373"/>
      <c r="L146" s="373"/>
      <c r="M146" s="373"/>
      <c r="N146" s="373"/>
      <c r="O146" s="373"/>
      <c r="P146" s="373"/>
      <c r="Q146" s="373"/>
      <c r="R146" s="373"/>
      <c r="S146" s="373"/>
      <c r="T146" s="373"/>
      <c r="U146" s="373"/>
      <c r="V146" s="373"/>
      <c r="W146" s="373"/>
      <c r="X146" s="373"/>
    </row>
    <row r="147" spans="1:24" ht="18" x14ac:dyDescent="0.55000000000000004">
      <c r="A147" s="373"/>
      <c r="B147" s="373"/>
      <c r="C147" s="373"/>
      <c r="D147" s="373"/>
      <c r="E147" s="373"/>
      <c r="F147" s="373"/>
      <c r="G147" s="373"/>
      <c r="H147" s="373"/>
      <c r="I147" s="373"/>
      <c r="J147" s="373"/>
      <c r="K147" s="373"/>
      <c r="L147" s="373"/>
      <c r="M147" s="373"/>
      <c r="N147" s="373"/>
      <c r="O147" s="373"/>
      <c r="P147" s="373"/>
      <c r="Q147" s="373"/>
      <c r="R147" s="373"/>
      <c r="S147" s="373"/>
      <c r="T147" s="373"/>
      <c r="U147" s="373"/>
      <c r="V147" s="373"/>
      <c r="W147" s="373"/>
      <c r="X147" s="373"/>
    </row>
    <row r="148" spans="1:24" ht="18" x14ac:dyDescent="0.55000000000000004">
      <c r="A148" s="373"/>
      <c r="B148" s="373"/>
      <c r="C148" s="373"/>
      <c r="D148" s="373"/>
      <c r="E148" s="373"/>
      <c r="F148" s="373"/>
      <c r="G148" s="373"/>
      <c r="H148" s="373"/>
      <c r="I148" s="373"/>
      <c r="J148" s="373"/>
      <c r="K148" s="373"/>
      <c r="L148" s="373"/>
      <c r="M148" s="373"/>
      <c r="N148" s="373"/>
      <c r="O148" s="373"/>
      <c r="P148" s="373"/>
      <c r="Q148" s="373"/>
      <c r="R148" s="373"/>
      <c r="S148" s="373"/>
      <c r="T148" s="373"/>
      <c r="U148" s="373"/>
      <c r="V148" s="373"/>
      <c r="W148" s="373"/>
      <c r="X148" s="373"/>
    </row>
    <row r="149" spans="1:24" ht="18" x14ac:dyDescent="0.55000000000000004">
      <c r="A149" s="373"/>
      <c r="B149" s="373"/>
      <c r="C149" s="373"/>
      <c r="D149" s="373"/>
      <c r="E149" s="373"/>
      <c r="F149" s="373"/>
      <c r="G149" s="373"/>
      <c r="H149" s="373"/>
      <c r="I149" s="373"/>
      <c r="J149" s="373"/>
      <c r="K149" s="373"/>
      <c r="L149" s="373"/>
      <c r="M149" s="373"/>
      <c r="N149" s="373"/>
      <c r="O149" s="373"/>
      <c r="P149" s="373"/>
      <c r="Q149" s="373"/>
      <c r="R149" s="373"/>
      <c r="S149" s="373"/>
      <c r="T149" s="373"/>
      <c r="U149" s="373"/>
      <c r="V149" s="373"/>
      <c r="W149" s="373"/>
      <c r="X149" s="373"/>
    </row>
    <row r="150" spans="1:24" ht="18" x14ac:dyDescent="0.55000000000000004">
      <c r="A150" s="373"/>
      <c r="B150" s="373"/>
      <c r="C150" s="373"/>
      <c r="D150" s="373"/>
      <c r="E150" s="373"/>
      <c r="F150" s="373"/>
      <c r="G150" s="373"/>
      <c r="H150" s="373"/>
      <c r="I150" s="373"/>
      <c r="J150" s="373"/>
      <c r="K150" s="373"/>
      <c r="L150" s="373"/>
      <c r="M150" s="373"/>
      <c r="N150" s="373"/>
      <c r="O150" s="373"/>
      <c r="P150" s="373"/>
      <c r="Q150" s="373"/>
      <c r="R150" s="373"/>
      <c r="S150" s="373"/>
      <c r="T150" s="373"/>
      <c r="U150" s="373"/>
      <c r="V150" s="373"/>
      <c r="W150" s="373"/>
      <c r="X150" s="373"/>
    </row>
    <row r="151" spans="1:24" ht="18" x14ac:dyDescent="0.55000000000000004">
      <c r="A151" s="373"/>
      <c r="B151" s="373"/>
      <c r="C151" s="373"/>
      <c r="D151" s="373"/>
      <c r="E151" s="373"/>
      <c r="F151" s="373"/>
      <c r="G151" s="373"/>
      <c r="H151" s="373"/>
      <c r="I151" s="373"/>
      <c r="J151" s="373"/>
      <c r="K151" s="373"/>
      <c r="L151" s="373"/>
      <c r="M151" s="373"/>
      <c r="N151" s="373"/>
      <c r="O151" s="373"/>
      <c r="P151" s="373"/>
      <c r="Q151" s="373"/>
      <c r="R151" s="373"/>
      <c r="S151" s="373"/>
      <c r="T151" s="373"/>
      <c r="U151" s="373"/>
      <c r="V151" s="373"/>
      <c r="W151" s="373"/>
      <c r="X151" s="373"/>
    </row>
    <row r="152" spans="1:24" ht="18" x14ac:dyDescent="0.55000000000000004">
      <c r="A152" s="373"/>
      <c r="B152" s="373"/>
      <c r="C152" s="373"/>
      <c r="D152" s="373"/>
      <c r="E152" s="373"/>
      <c r="F152" s="373"/>
      <c r="G152" s="373"/>
      <c r="H152" s="373"/>
      <c r="I152" s="373"/>
      <c r="J152" s="373"/>
      <c r="K152" s="373"/>
      <c r="L152" s="373"/>
      <c r="M152" s="373"/>
      <c r="N152" s="373"/>
      <c r="O152" s="373"/>
      <c r="P152" s="373"/>
      <c r="Q152" s="373"/>
      <c r="R152" s="373"/>
      <c r="S152" s="373"/>
      <c r="T152" s="373"/>
      <c r="U152" s="373"/>
      <c r="V152" s="373"/>
      <c r="W152" s="373"/>
      <c r="X152" s="373"/>
    </row>
    <row r="153" spans="1:24" ht="18" x14ac:dyDescent="0.55000000000000004">
      <c r="A153" s="373"/>
      <c r="B153" s="373"/>
      <c r="C153" s="373"/>
      <c r="D153" s="373"/>
      <c r="E153" s="373"/>
      <c r="F153" s="373"/>
      <c r="G153" s="373"/>
      <c r="H153" s="373"/>
      <c r="I153" s="373"/>
      <c r="J153" s="373"/>
      <c r="K153" s="373"/>
      <c r="L153" s="373"/>
      <c r="M153" s="373"/>
      <c r="N153" s="373"/>
      <c r="O153" s="373"/>
      <c r="P153" s="373"/>
      <c r="Q153" s="373"/>
      <c r="R153" s="373"/>
      <c r="S153" s="373"/>
      <c r="T153" s="373"/>
      <c r="U153" s="373"/>
      <c r="V153" s="373"/>
      <c r="W153" s="373"/>
      <c r="X153" s="373"/>
    </row>
    <row r="154" spans="1:24" ht="18" x14ac:dyDescent="0.55000000000000004">
      <c r="A154" s="373"/>
      <c r="B154" s="373"/>
      <c r="C154" s="373"/>
      <c r="D154" s="373"/>
      <c r="E154" s="373"/>
      <c r="F154" s="373"/>
      <c r="G154" s="373"/>
      <c r="H154" s="373"/>
      <c r="I154" s="373"/>
      <c r="J154" s="373"/>
      <c r="K154" s="373"/>
      <c r="L154" s="373"/>
      <c r="M154" s="373"/>
      <c r="N154" s="373"/>
      <c r="O154" s="373"/>
      <c r="P154" s="373"/>
      <c r="Q154" s="373"/>
      <c r="R154" s="373"/>
      <c r="S154" s="373"/>
      <c r="T154" s="373"/>
      <c r="U154" s="373"/>
      <c r="V154" s="373"/>
      <c r="W154" s="373"/>
      <c r="X154" s="373"/>
    </row>
    <row r="155" spans="1:24" ht="18" x14ac:dyDescent="0.55000000000000004">
      <c r="A155" s="373"/>
      <c r="B155" s="373"/>
      <c r="C155" s="373"/>
      <c r="D155" s="373"/>
      <c r="E155" s="373"/>
      <c r="F155" s="373"/>
      <c r="G155" s="373"/>
      <c r="H155" s="373"/>
      <c r="I155" s="373"/>
      <c r="J155" s="373"/>
      <c r="K155" s="373"/>
      <c r="L155" s="373"/>
      <c r="M155" s="373"/>
      <c r="N155" s="373"/>
      <c r="O155" s="373"/>
      <c r="P155" s="373"/>
      <c r="Q155" s="373"/>
      <c r="R155" s="373"/>
      <c r="S155" s="373"/>
      <c r="T155" s="373"/>
      <c r="U155" s="373"/>
      <c r="V155" s="373"/>
      <c r="W155" s="373"/>
      <c r="X155" s="373"/>
    </row>
    <row r="156" spans="1:24" ht="18" x14ac:dyDescent="0.55000000000000004">
      <c r="A156" s="373"/>
      <c r="B156" s="373"/>
      <c r="C156" s="373"/>
      <c r="D156" s="373"/>
      <c r="E156" s="373"/>
      <c r="F156" s="373"/>
      <c r="G156" s="373"/>
      <c r="H156" s="373"/>
      <c r="I156" s="373"/>
      <c r="J156" s="373"/>
      <c r="K156" s="373"/>
      <c r="L156" s="373"/>
      <c r="M156" s="373"/>
      <c r="N156" s="373"/>
      <c r="O156" s="373"/>
      <c r="P156" s="373"/>
      <c r="Q156" s="373"/>
      <c r="R156" s="373"/>
      <c r="S156" s="373"/>
      <c r="T156" s="373"/>
      <c r="U156" s="373"/>
      <c r="V156" s="373"/>
      <c r="W156" s="373"/>
      <c r="X156" s="373"/>
    </row>
    <row r="157" spans="1:24" ht="18" x14ac:dyDescent="0.55000000000000004">
      <c r="A157" s="373"/>
      <c r="B157" s="373"/>
      <c r="C157" s="373"/>
      <c r="D157" s="373"/>
      <c r="E157" s="373"/>
      <c r="F157" s="373"/>
      <c r="G157" s="373"/>
      <c r="H157" s="373"/>
      <c r="I157" s="373"/>
      <c r="J157" s="373"/>
      <c r="K157" s="373"/>
      <c r="L157" s="373"/>
      <c r="M157" s="373"/>
      <c r="N157" s="373"/>
      <c r="O157" s="373"/>
      <c r="P157" s="373"/>
      <c r="Q157" s="373"/>
      <c r="R157" s="373"/>
      <c r="S157" s="373"/>
      <c r="T157" s="373"/>
      <c r="U157" s="373"/>
      <c r="V157" s="373"/>
      <c r="W157" s="373"/>
      <c r="X157" s="373"/>
    </row>
    <row r="158" spans="1:24" ht="18" x14ac:dyDescent="0.55000000000000004">
      <c r="A158" s="373"/>
      <c r="B158" s="373"/>
      <c r="C158" s="373"/>
      <c r="D158" s="373"/>
      <c r="E158" s="373"/>
      <c r="F158" s="373"/>
      <c r="G158" s="373"/>
      <c r="H158" s="373"/>
      <c r="I158" s="373"/>
      <c r="J158" s="373"/>
      <c r="K158" s="373"/>
      <c r="L158" s="373"/>
      <c r="M158" s="373"/>
      <c r="N158" s="373"/>
      <c r="O158" s="373"/>
      <c r="P158" s="373"/>
      <c r="Q158" s="373"/>
      <c r="R158" s="373"/>
      <c r="S158" s="373"/>
      <c r="T158" s="373"/>
      <c r="U158" s="373"/>
      <c r="V158" s="373"/>
      <c r="W158" s="373"/>
      <c r="X158" s="373"/>
    </row>
    <row r="159" spans="1:24" ht="18" x14ac:dyDescent="0.55000000000000004">
      <c r="A159" s="373"/>
      <c r="B159" s="373"/>
      <c r="C159" s="373"/>
      <c r="D159" s="373"/>
      <c r="E159" s="373"/>
      <c r="F159" s="373"/>
      <c r="G159" s="373"/>
      <c r="H159" s="373"/>
      <c r="I159" s="373"/>
      <c r="J159" s="373"/>
      <c r="K159" s="373"/>
      <c r="L159" s="373"/>
      <c r="M159" s="373"/>
      <c r="N159" s="373"/>
      <c r="O159" s="373"/>
      <c r="P159" s="373"/>
      <c r="Q159" s="373"/>
      <c r="R159" s="373"/>
      <c r="S159" s="373"/>
      <c r="T159" s="373"/>
      <c r="U159" s="373"/>
      <c r="V159" s="373"/>
      <c r="W159" s="373"/>
      <c r="X159" s="373"/>
    </row>
    <row r="160" spans="1:24" ht="18" x14ac:dyDescent="0.55000000000000004">
      <c r="A160" s="373"/>
      <c r="B160" s="373"/>
      <c r="C160" s="373"/>
      <c r="D160" s="373"/>
      <c r="E160" s="373"/>
      <c r="F160" s="373"/>
      <c r="G160" s="373"/>
      <c r="H160" s="373"/>
      <c r="I160" s="373"/>
      <c r="J160" s="373"/>
      <c r="K160" s="373"/>
      <c r="L160" s="373"/>
      <c r="M160" s="373"/>
      <c r="N160" s="373"/>
      <c r="O160" s="373"/>
      <c r="P160" s="373"/>
      <c r="Q160" s="373"/>
      <c r="R160" s="373"/>
      <c r="S160" s="373"/>
      <c r="T160" s="373"/>
      <c r="U160" s="373"/>
      <c r="V160" s="373"/>
      <c r="W160" s="373"/>
      <c r="X160" s="373"/>
    </row>
    <row r="161" spans="1:24" ht="18" x14ac:dyDescent="0.55000000000000004">
      <c r="A161" s="373"/>
      <c r="B161" s="373"/>
      <c r="C161" s="373"/>
      <c r="D161" s="373"/>
      <c r="E161" s="373"/>
      <c r="F161" s="373"/>
      <c r="G161" s="373"/>
      <c r="H161" s="373"/>
      <c r="I161" s="373"/>
      <c r="J161" s="373"/>
      <c r="K161" s="373"/>
      <c r="L161" s="373"/>
      <c r="M161" s="373"/>
      <c r="N161" s="373"/>
      <c r="O161" s="373"/>
      <c r="P161" s="373"/>
      <c r="Q161" s="373"/>
      <c r="R161" s="373"/>
      <c r="S161" s="373"/>
      <c r="T161" s="373"/>
      <c r="U161" s="373"/>
      <c r="V161" s="373"/>
      <c r="W161" s="373"/>
      <c r="X161" s="373"/>
    </row>
    <row r="162" spans="1:24" ht="18" x14ac:dyDescent="0.55000000000000004">
      <c r="A162" s="373"/>
      <c r="B162" s="373"/>
      <c r="C162" s="373"/>
      <c r="D162" s="373"/>
      <c r="E162" s="373"/>
      <c r="F162" s="373"/>
      <c r="G162" s="373"/>
      <c r="H162" s="373"/>
      <c r="I162" s="373"/>
      <c r="J162" s="373"/>
      <c r="K162" s="373"/>
      <c r="L162" s="373"/>
      <c r="M162" s="373"/>
      <c r="N162" s="373"/>
      <c r="O162" s="373"/>
      <c r="P162" s="373"/>
      <c r="Q162" s="373"/>
      <c r="R162" s="373"/>
      <c r="S162" s="373"/>
      <c r="T162" s="373"/>
      <c r="U162" s="373"/>
      <c r="V162" s="373"/>
      <c r="W162" s="373"/>
      <c r="X162" s="373"/>
    </row>
    <row r="163" spans="1:24" ht="18" x14ac:dyDescent="0.55000000000000004">
      <c r="A163" s="373"/>
      <c r="B163" s="373"/>
      <c r="C163" s="373"/>
      <c r="D163" s="373"/>
      <c r="E163" s="373"/>
      <c r="F163" s="373"/>
      <c r="G163" s="373"/>
      <c r="H163" s="373"/>
      <c r="I163" s="373"/>
      <c r="J163" s="373"/>
      <c r="K163" s="373"/>
      <c r="L163" s="373"/>
      <c r="M163" s="373"/>
      <c r="N163" s="373"/>
      <c r="O163" s="373"/>
      <c r="P163" s="373"/>
      <c r="Q163" s="373"/>
      <c r="R163" s="373"/>
      <c r="S163" s="373"/>
      <c r="T163" s="373"/>
      <c r="U163" s="373"/>
      <c r="V163" s="373"/>
      <c r="W163" s="373"/>
      <c r="X163" s="373"/>
    </row>
    <row r="164" spans="1:24" ht="18" x14ac:dyDescent="0.55000000000000004">
      <c r="A164" s="373"/>
      <c r="B164" s="373"/>
      <c r="C164" s="373"/>
      <c r="D164" s="373"/>
      <c r="E164" s="373"/>
      <c r="F164" s="373"/>
      <c r="G164" s="373"/>
      <c r="H164" s="373"/>
      <c r="I164" s="373"/>
      <c r="J164" s="373"/>
      <c r="K164" s="373"/>
      <c r="L164" s="373"/>
      <c r="M164" s="373"/>
      <c r="N164" s="373"/>
      <c r="O164" s="373"/>
      <c r="P164" s="373"/>
      <c r="Q164" s="373"/>
      <c r="R164" s="373"/>
      <c r="S164" s="373"/>
      <c r="T164" s="373"/>
      <c r="U164" s="373"/>
      <c r="V164" s="373"/>
      <c r="W164" s="373"/>
      <c r="X164" s="373"/>
    </row>
    <row r="165" spans="1:24" ht="18" x14ac:dyDescent="0.55000000000000004">
      <c r="A165" s="373"/>
      <c r="B165" s="373"/>
      <c r="C165" s="373"/>
      <c r="D165" s="373"/>
      <c r="E165" s="373"/>
      <c r="F165" s="373"/>
      <c r="G165" s="373"/>
      <c r="H165" s="373"/>
      <c r="I165" s="373"/>
      <c r="J165" s="373"/>
      <c r="K165" s="373"/>
      <c r="L165" s="373"/>
      <c r="M165" s="373"/>
      <c r="N165" s="373"/>
      <c r="O165" s="373"/>
      <c r="P165" s="373"/>
      <c r="Q165" s="373"/>
      <c r="R165" s="373"/>
      <c r="S165" s="373"/>
      <c r="T165" s="373"/>
      <c r="U165" s="373"/>
      <c r="V165" s="373"/>
      <c r="W165" s="373"/>
      <c r="X165" s="373"/>
    </row>
    <row r="166" spans="1:24" ht="18" x14ac:dyDescent="0.55000000000000004">
      <c r="A166" s="373"/>
      <c r="B166" s="373"/>
      <c r="C166" s="373"/>
      <c r="D166" s="373"/>
      <c r="E166" s="373"/>
      <c r="F166" s="373"/>
      <c r="G166" s="373"/>
      <c r="H166" s="373"/>
      <c r="I166" s="373"/>
      <c r="J166" s="373"/>
      <c r="K166" s="373"/>
      <c r="L166" s="373"/>
      <c r="M166" s="373"/>
      <c r="N166" s="373"/>
      <c r="O166" s="373"/>
      <c r="P166" s="373"/>
      <c r="Q166" s="373"/>
      <c r="R166" s="373"/>
      <c r="S166" s="373"/>
      <c r="T166" s="373"/>
      <c r="U166" s="373"/>
      <c r="V166" s="373"/>
      <c r="W166" s="373"/>
      <c r="X166" s="373"/>
    </row>
    <row r="167" spans="1:24" ht="18" x14ac:dyDescent="0.55000000000000004">
      <c r="A167" s="373"/>
      <c r="B167" s="373"/>
      <c r="C167" s="373"/>
      <c r="D167" s="373"/>
      <c r="E167" s="373"/>
      <c r="F167" s="373"/>
      <c r="G167" s="373"/>
      <c r="H167" s="373"/>
      <c r="I167" s="373"/>
      <c r="J167" s="373"/>
      <c r="K167" s="373"/>
      <c r="L167" s="373"/>
      <c r="M167" s="373"/>
      <c r="N167" s="373"/>
      <c r="O167" s="373"/>
      <c r="P167" s="373"/>
      <c r="Q167" s="373"/>
      <c r="R167" s="373"/>
      <c r="S167" s="373"/>
      <c r="T167" s="373"/>
      <c r="U167" s="373"/>
      <c r="V167" s="373"/>
      <c r="W167" s="373"/>
      <c r="X167" s="373"/>
    </row>
    <row r="168" spans="1:24" ht="18" x14ac:dyDescent="0.55000000000000004">
      <c r="A168" s="373"/>
      <c r="B168" s="373"/>
      <c r="C168" s="373"/>
      <c r="D168" s="373"/>
      <c r="E168" s="373"/>
      <c r="F168" s="373"/>
      <c r="G168" s="373"/>
      <c r="H168" s="373"/>
      <c r="I168" s="373"/>
      <c r="J168" s="373"/>
      <c r="K168" s="373"/>
      <c r="L168" s="373"/>
      <c r="M168" s="373"/>
      <c r="N168" s="373"/>
      <c r="O168" s="373"/>
      <c r="P168" s="373"/>
      <c r="Q168" s="373"/>
      <c r="R168" s="373"/>
      <c r="S168" s="373"/>
      <c r="T168" s="373"/>
      <c r="U168" s="373"/>
      <c r="V168" s="373"/>
      <c r="W168" s="373"/>
      <c r="X168" s="373"/>
    </row>
    <row r="169" spans="1:24" ht="18" x14ac:dyDescent="0.55000000000000004">
      <c r="A169" s="373"/>
      <c r="B169" s="373"/>
      <c r="C169" s="373"/>
      <c r="D169" s="373"/>
      <c r="E169" s="373"/>
      <c r="F169" s="373"/>
      <c r="G169" s="373"/>
      <c r="H169" s="373"/>
      <c r="I169" s="373"/>
      <c r="J169" s="373"/>
      <c r="K169" s="373"/>
      <c r="L169" s="373"/>
      <c r="M169" s="373"/>
      <c r="N169" s="373"/>
      <c r="O169" s="373"/>
      <c r="P169" s="373"/>
      <c r="Q169" s="373"/>
      <c r="R169" s="373"/>
      <c r="S169" s="373"/>
      <c r="T169" s="373"/>
      <c r="U169" s="373"/>
      <c r="V169" s="373"/>
      <c r="W169" s="373"/>
      <c r="X169" s="373"/>
    </row>
    <row r="170" spans="1:24" ht="18" x14ac:dyDescent="0.55000000000000004">
      <c r="A170" s="373"/>
      <c r="B170" s="373"/>
      <c r="C170" s="373"/>
      <c r="D170" s="373"/>
      <c r="E170" s="373"/>
      <c r="F170" s="373"/>
      <c r="G170" s="373"/>
      <c r="H170" s="373"/>
      <c r="I170" s="373"/>
      <c r="J170" s="373"/>
      <c r="K170" s="373"/>
      <c r="L170" s="373"/>
      <c r="M170" s="373"/>
      <c r="N170" s="373"/>
      <c r="O170" s="373"/>
      <c r="P170" s="373"/>
      <c r="Q170" s="373"/>
      <c r="R170" s="373"/>
      <c r="S170" s="373"/>
      <c r="T170" s="373"/>
      <c r="U170" s="373"/>
      <c r="V170" s="373"/>
      <c r="W170" s="373"/>
      <c r="X170" s="373"/>
    </row>
    <row r="171" spans="1:24" ht="18" x14ac:dyDescent="0.55000000000000004">
      <c r="A171" s="373"/>
      <c r="B171" s="373"/>
      <c r="C171" s="373"/>
      <c r="D171" s="373"/>
      <c r="E171" s="373"/>
      <c r="F171" s="373"/>
      <c r="G171" s="373"/>
      <c r="H171" s="373"/>
      <c r="I171" s="373"/>
      <c r="J171" s="373"/>
      <c r="K171" s="373"/>
      <c r="L171" s="373"/>
      <c r="M171" s="373"/>
      <c r="N171" s="373"/>
      <c r="O171" s="373"/>
      <c r="P171" s="373"/>
      <c r="Q171" s="373"/>
      <c r="R171" s="373"/>
      <c r="S171" s="373"/>
      <c r="T171" s="373"/>
      <c r="U171" s="373"/>
      <c r="V171" s="373"/>
      <c r="W171" s="373"/>
      <c r="X171" s="373"/>
    </row>
    <row r="172" spans="1:24" ht="18" x14ac:dyDescent="0.55000000000000004">
      <c r="A172" s="373"/>
      <c r="B172" s="373"/>
      <c r="C172" s="373"/>
      <c r="D172" s="373"/>
      <c r="E172" s="373"/>
      <c r="F172" s="373"/>
      <c r="G172" s="373"/>
      <c r="H172" s="373"/>
      <c r="I172" s="373"/>
      <c r="J172" s="373"/>
      <c r="K172" s="373"/>
      <c r="L172" s="373"/>
      <c r="M172" s="373"/>
      <c r="N172" s="373"/>
      <c r="O172" s="373"/>
      <c r="P172" s="373"/>
      <c r="Q172" s="373"/>
      <c r="R172" s="373"/>
      <c r="S172" s="373"/>
      <c r="T172" s="373"/>
      <c r="U172" s="373"/>
      <c r="V172" s="373"/>
      <c r="W172" s="373"/>
      <c r="X172" s="373"/>
    </row>
    <row r="173" spans="1:24" ht="18" x14ac:dyDescent="0.55000000000000004">
      <c r="A173" s="373"/>
      <c r="B173" s="373"/>
      <c r="C173" s="373"/>
      <c r="D173" s="373"/>
      <c r="E173" s="373"/>
      <c r="F173" s="373"/>
      <c r="G173" s="373"/>
      <c r="H173" s="373"/>
      <c r="I173" s="373"/>
      <c r="J173" s="373"/>
      <c r="K173" s="373"/>
      <c r="L173" s="373"/>
      <c r="M173" s="373"/>
      <c r="N173" s="373"/>
      <c r="O173" s="373"/>
      <c r="P173" s="373"/>
      <c r="Q173" s="373"/>
      <c r="R173" s="373"/>
      <c r="S173" s="373"/>
      <c r="T173" s="373"/>
      <c r="U173" s="373"/>
      <c r="V173" s="373"/>
      <c r="W173" s="373"/>
      <c r="X173" s="373"/>
    </row>
    <row r="174" spans="1:24" ht="18" x14ac:dyDescent="0.55000000000000004">
      <c r="A174" s="373"/>
      <c r="B174" s="373"/>
      <c r="C174" s="373"/>
      <c r="D174" s="373"/>
      <c r="E174" s="373"/>
      <c r="F174" s="373"/>
      <c r="G174" s="373"/>
      <c r="H174" s="373"/>
      <c r="I174" s="373"/>
      <c r="J174" s="373"/>
      <c r="K174" s="373"/>
      <c r="L174" s="373"/>
      <c r="M174" s="373"/>
      <c r="N174" s="373"/>
      <c r="O174" s="373"/>
      <c r="P174" s="373"/>
      <c r="Q174" s="373"/>
      <c r="R174" s="373"/>
      <c r="S174" s="373"/>
      <c r="T174" s="373"/>
      <c r="U174" s="373"/>
      <c r="V174" s="373"/>
      <c r="W174" s="373"/>
      <c r="X174" s="373"/>
    </row>
    <row r="175" spans="1:24" ht="18" x14ac:dyDescent="0.55000000000000004">
      <c r="A175" s="373"/>
      <c r="B175" s="373"/>
      <c r="C175" s="373"/>
      <c r="D175" s="373"/>
      <c r="E175" s="373"/>
      <c r="F175" s="373"/>
      <c r="G175" s="373"/>
      <c r="H175" s="373"/>
      <c r="I175" s="373"/>
      <c r="J175" s="373"/>
      <c r="K175" s="373"/>
      <c r="L175" s="373"/>
      <c r="M175" s="373"/>
      <c r="N175" s="373"/>
      <c r="O175" s="373"/>
      <c r="P175" s="373"/>
      <c r="Q175" s="373"/>
      <c r="R175" s="373"/>
      <c r="S175" s="373"/>
      <c r="T175" s="373"/>
      <c r="U175" s="373"/>
      <c r="V175" s="373"/>
      <c r="W175" s="373"/>
      <c r="X175" s="373"/>
    </row>
    <row r="176" spans="1:24" ht="18" x14ac:dyDescent="0.55000000000000004">
      <c r="A176" s="373"/>
      <c r="B176" s="373"/>
      <c r="C176" s="373"/>
      <c r="D176" s="373"/>
      <c r="E176" s="373"/>
      <c r="F176" s="373"/>
      <c r="G176" s="373"/>
      <c r="H176" s="373"/>
      <c r="I176" s="373"/>
      <c r="J176" s="373"/>
      <c r="K176" s="373"/>
      <c r="L176" s="373"/>
      <c r="M176" s="373"/>
      <c r="N176" s="373"/>
      <c r="O176" s="373"/>
      <c r="P176" s="373"/>
      <c r="Q176" s="373"/>
      <c r="R176" s="373"/>
      <c r="S176" s="373"/>
      <c r="T176" s="373"/>
      <c r="U176" s="373"/>
      <c r="V176" s="373"/>
      <c r="W176" s="373"/>
      <c r="X176" s="373"/>
    </row>
    <row r="177" spans="1:24" ht="18" x14ac:dyDescent="0.55000000000000004">
      <c r="A177" s="373"/>
      <c r="B177" s="373"/>
      <c r="C177" s="373"/>
      <c r="D177" s="373"/>
      <c r="E177" s="373"/>
      <c r="F177" s="373"/>
      <c r="G177" s="373"/>
      <c r="H177" s="373"/>
      <c r="I177" s="373"/>
      <c r="J177" s="373"/>
      <c r="K177" s="373"/>
      <c r="L177" s="373"/>
      <c r="M177" s="373"/>
      <c r="N177" s="373"/>
      <c r="O177" s="373"/>
      <c r="P177" s="373"/>
      <c r="Q177" s="373"/>
      <c r="R177" s="373"/>
      <c r="S177" s="373"/>
      <c r="T177" s="373"/>
      <c r="U177" s="373"/>
      <c r="V177" s="373"/>
      <c r="W177" s="373"/>
      <c r="X177" s="373"/>
    </row>
    <row r="178" spans="1:24" ht="18" x14ac:dyDescent="0.55000000000000004">
      <c r="A178" s="373"/>
      <c r="B178" s="373"/>
      <c r="C178" s="373"/>
      <c r="D178" s="373"/>
      <c r="E178" s="373"/>
      <c r="F178" s="373"/>
      <c r="G178" s="373"/>
      <c r="H178" s="373"/>
      <c r="I178" s="373"/>
      <c r="J178" s="373"/>
      <c r="K178" s="373"/>
      <c r="L178" s="373"/>
      <c r="M178" s="373"/>
      <c r="N178" s="373"/>
      <c r="O178" s="373"/>
      <c r="P178" s="373"/>
      <c r="Q178" s="373"/>
      <c r="R178" s="373"/>
      <c r="S178" s="373"/>
      <c r="T178" s="373"/>
      <c r="U178" s="373"/>
      <c r="V178" s="373"/>
      <c r="W178" s="373"/>
      <c r="X178" s="373"/>
    </row>
    <row r="179" spans="1:24" ht="18" x14ac:dyDescent="0.55000000000000004">
      <c r="A179" s="373"/>
      <c r="B179" s="373"/>
      <c r="C179" s="373"/>
      <c r="D179" s="373"/>
      <c r="E179" s="373"/>
      <c r="F179" s="373"/>
      <c r="G179" s="373"/>
      <c r="H179" s="373"/>
      <c r="I179" s="373"/>
      <c r="J179" s="373"/>
      <c r="K179" s="373"/>
      <c r="L179" s="373"/>
      <c r="M179" s="373"/>
      <c r="N179" s="373"/>
      <c r="O179" s="373"/>
      <c r="P179" s="373"/>
      <c r="Q179" s="373"/>
      <c r="R179" s="373"/>
      <c r="S179" s="373"/>
      <c r="T179" s="373"/>
      <c r="U179" s="373"/>
      <c r="V179" s="373"/>
      <c r="W179" s="373"/>
      <c r="X179" s="373"/>
    </row>
    <row r="180" spans="1:24" ht="18" x14ac:dyDescent="0.55000000000000004">
      <c r="A180" s="373"/>
      <c r="B180" s="373"/>
      <c r="C180" s="373"/>
      <c r="D180" s="373"/>
      <c r="E180" s="373"/>
      <c r="F180" s="373"/>
      <c r="G180" s="373"/>
      <c r="H180" s="373"/>
      <c r="I180" s="373"/>
      <c r="J180" s="373"/>
      <c r="K180" s="373"/>
      <c r="L180" s="373"/>
      <c r="M180" s="373"/>
      <c r="N180" s="373"/>
      <c r="O180" s="373"/>
      <c r="P180" s="373"/>
      <c r="Q180" s="373"/>
      <c r="R180" s="373"/>
      <c r="S180" s="373"/>
      <c r="T180" s="373"/>
      <c r="U180" s="373"/>
      <c r="V180" s="373"/>
      <c r="W180" s="373"/>
      <c r="X180" s="373"/>
    </row>
    <row r="181" spans="1:24" ht="18" x14ac:dyDescent="0.55000000000000004">
      <c r="A181" s="373"/>
      <c r="B181" s="373"/>
      <c r="C181" s="373"/>
      <c r="D181" s="373"/>
      <c r="E181" s="373"/>
      <c r="F181" s="373"/>
      <c r="G181" s="373"/>
      <c r="H181" s="373"/>
      <c r="I181" s="373"/>
      <c r="J181" s="373"/>
      <c r="K181" s="373"/>
      <c r="L181" s="373"/>
      <c r="M181" s="373"/>
      <c r="N181" s="373"/>
      <c r="O181" s="373"/>
      <c r="P181" s="373"/>
      <c r="Q181" s="373"/>
      <c r="R181" s="373"/>
      <c r="S181" s="373"/>
      <c r="T181" s="373"/>
      <c r="U181" s="373"/>
      <c r="V181" s="373"/>
      <c r="W181" s="373"/>
      <c r="X181" s="373"/>
    </row>
    <row r="182" spans="1:24" ht="18" x14ac:dyDescent="0.55000000000000004">
      <c r="A182" s="373"/>
      <c r="B182" s="373"/>
      <c r="C182" s="373"/>
      <c r="D182" s="373"/>
      <c r="E182" s="373"/>
      <c r="F182" s="373"/>
      <c r="G182" s="373"/>
      <c r="H182" s="373"/>
      <c r="I182" s="373"/>
      <c r="J182" s="373"/>
      <c r="K182" s="373"/>
      <c r="L182" s="373"/>
      <c r="M182" s="373"/>
      <c r="N182" s="373"/>
      <c r="O182" s="373"/>
      <c r="P182" s="373"/>
      <c r="Q182" s="373"/>
      <c r="R182" s="373"/>
      <c r="S182" s="373"/>
      <c r="T182" s="373"/>
      <c r="U182" s="373"/>
      <c r="V182" s="373"/>
      <c r="W182" s="373"/>
      <c r="X182" s="373"/>
    </row>
    <row r="183" spans="1:24" ht="18" x14ac:dyDescent="0.55000000000000004">
      <c r="A183" s="373"/>
      <c r="B183" s="373"/>
      <c r="C183" s="373"/>
      <c r="D183" s="373"/>
      <c r="E183" s="373"/>
      <c r="F183" s="373"/>
      <c r="G183" s="373"/>
      <c r="H183" s="373"/>
      <c r="I183" s="373"/>
      <c r="J183" s="373"/>
      <c r="K183" s="373"/>
      <c r="L183" s="373"/>
      <c r="M183" s="373"/>
      <c r="N183" s="373"/>
      <c r="O183" s="373"/>
      <c r="P183" s="373"/>
      <c r="Q183" s="373"/>
      <c r="R183" s="373"/>
      <c r="S183" s="373"/>
      <c r="T183" s="373"/>
      <c r="U183" s="373"/>
      <c r="V183" s="373"/>
      <c r="W183" s="373"/>
      <c r="X183" s="373"/>
    </row>
    <row r="184" spans="1:24" ht="18" x14ac:dyDescent="0.55000000000000004">
      <c r="A184" s="373"/>
      <c r="B184" s="373"/>
      <c r="C184" s="373"/>
      <c r="D184" s="373"/>
      <c r="E184" s="373"/>
      <c r="F184" s="373"/>
      <c r="G184" s="373"/>
      <c r="H184" s="373"/>
      <c r="I184" s="373"/>
      <c r="J184" s="373"/>
      <c r="K184" s="373"/>
      <c r="L184" s="373"/>
      <c r="M184" s="373"/>
      <c r="N184" s="373"/>
      <c r="O184" s="373"/>
      <c r="P184" s="373"/>
      <c r="Q184" s="373"/>
      <c r="R184" s="373"/>
      <c r="S184" s="373"/>
      <c r="T184" s="373"/>
      <c r="U184" s="373"/>
      <c r="V184" s="373"/>
      <c r="W184" s="373"/>
      <c r="X184" s="373"/>
    </row>
    <row r="185" spans="1:24" ht="18" x14ac:dyDescent="0.55000000000000004">
      <c r="A185" s="373"/>
      <c r="B185" s="373"/>
      <c r="C185" s="373"/>
      <c r="D185" s="373"/>
      <c r="E185" s="373"/>
      <c r="F185" s="373"/>
      <c r="G185" s="373"/>
      <c r="H185" s="373"/>
      <c r="I185" s="373"/>
      <c r="J185" s="373"/>
      <c r="K185" s="373"/>
      <c r="L185" s="373"/>
      <c r="M185" s="373"/>
      <c r="N185" s="373"/>
      <c r="O185" s="373"/>
      <c r="P185" s="373"/>
      <c r="Q185" s="373"/>
      <c r="R185" s="373"/>
      <c r="S185" s="373"/>
      <c r="T185" s="373"/>
      <c r="U185" s="373"/>
      <c r="V185" s="373"/>
      <c r="W185" s="373"/>
      <c r="X185" s="373"/>
    </row>
    <row r="186" spans="1:24" ht="18" x14ac:dyDescent="0.55000000000000004">
      <c r="A186" s="373"/>
      <c r="B186" s="373"/>
      <c r="C186" s="373"/>
      <c r="D186" s="373"/>
      <c r="E186" s="373"/>
      <c r="F186" s="373"/>
      <c r="G186" s="373"/>
      <c r="H186" s="373"/>
      <c r="I186" s="373"/>
      <c r="J186" s="373"/>
      <c r="K186" s="373"/>
      <c r="L186" s="373"/>
      <c r="M186" s="373"/>
      <c r="N186" s="373"/>
      <c r="O186" s="373"/>
      <c r="P186" s="373"/>
      <c r="Q186" s="373"/>
      <c r="R186" s="373"/>
      <c r="S186" s="373"/>
      <c r="T186" s="373"/>
      <c r="U186" s="373"/>
      <c r="V186" s="373"/>
      <c r="W186" s="373"/>
      <c r="X186" s="373"/>
    </row>
    <row r="187" spans="1:24" ht="18" x14ac:dyDescent="0.55000000000000004">
      <c r="A187" s="373"/>
      <c r="B187" s="373"/>
      <c r="C187" s="373"/>
      <c r="D187" s="373"/>
      <c r="E187" s="373"/>
      <c r="F187" s="373"/>
      <c r="G187" s="373"/>
      <c r="H187" s="373"/>
      <c r="I187" s="373"/>
      <c r="J187" s="373"/>
      <c r="K187" s="373"/>
      <c r="L187" s="373"/>
      <c r="M187" s="373"/>
      <c r="N187" s="373"/>
      <c r="O187" s="373"/>
      <c r="P187" s="373"/>
      <c r="Q187" s="373"/>
      <c r="R187" s="373"/>
      <c r="S187" s="373"/>
      <c r="T187" s="373"/>
      <c r="U187" s="373"/>
      <c r="V187" s="373"/>
      <c r="W187" s="373"/>
      <c r="X187" s="373"/>
    </row>
    <row r="188" spans="1:24" ht="18" x14ac:dyDescent="0.55000000000000004">
      <c r="A188" s="373"/>
      <c r="B188" s="373"/>
      <c r="C188" s="373"/>
      <c r="D188" s="373"/>
      <c r="E188" s="373"/>
      <c r="F188" s="373"/>
      <c r="G188" s="373"/>
      <c r="H188" s="373"/>
      <c r="I188" s="373"/>
      <c r="J188" s="373"/>
      <c r="K188" s="373"/>
      <c r="L188" s="373"/>
      <c r="M188" s="373"/>
      <c r="N188" s="373"/>
      <c r="O188" s="373"/>
      <c r="P188" s="373"/>
      <c r="Q188" s="373"/>
      <c r="R188" s="373"/>
      <c r="S188" s="373"/>
      <c r="T188" s="373"/>
      <c r="U188" s="373"/>
      <c r="V188" s="373"/>
      <c r="W188" s="373"/>
      <c r="X188" s="373"/>
    </row>
    <row r="189" spans="1:24" ht="18" x14ac:dyDescent="0.55000000000000004">
      <c r="A189" s="373"/>
      <c r="B189" s="373"/>
      <c r="C189" s="373"/>
      <c r="D189" s="373"/>
      <c r="E189" s="373"/>
      <c r="F189" s="373"/>
      <c r="G189" s="373"/>
      <c r="H189" s="373"/>
      <c r="I189" s="373"/>
      <c r="J189" s="373"/>
      <c r="K189" s="373"/>
      <c r="L189" s="373"/>
      <c r="M189" s="373"/>
      <c r="N189" s="373"/>
      <c r="O189" s="373"/>
      <c r="P189" s="373"/>
      <c r="Q189" s="373"/>
      <c r="R189" s="373"/>
      <c r="S189" s="373"/>
      <c r="T189" s="373"/>
      <c r="U189" s="373"/>
      <c r="V189" s="373"/>
      <c r="W189" s="373"/>
      <c r="X189" s="373"/>
    </row>
    <row r="190" spans="1:24" ht="18" x14ac:dyDescent="0.55000000000000004">
      <c r="A190" s="373"/>
      <c r="B190" s="373"/>
      <c r="C190" s="373"/>
      <c r="D190" s="373"/>
      <c r="E190" s="373"/>
      <c r="F190" s="373"/>
      <c r="G190" s="373"/>
      <c r="H190" s="373"/>
      <c r="I190" s="373"/>
      <c r="J190" s="373"/>
      <c r="K190" s="373"/>
      <c r="L190" s="373"/>
      <c r="M190" s="373"/>
      <c r="N190" s="373"/>
      <c r="O190" s="373"/>
      <c r="P190" s="373"/>
      <c r="Q190" s="373"/>
      <c r="R190" s="373"/>
      <c r="S190" s="373"/>
      <c r="T190" s="373"/>
      <c r="U190" s="373"/>
      <c r="V190" s="373"/>
      <c r="W190" s="373"/>
      <c r="X190" s="373"/>
    </row>
    <row r="191" spans="1:24" ht="18" x14ac:dyDescent="0.55000000000000004">
      <c r="A191" s="373"/>
      <c r="B191" s="373"/>
      <c r="C191" s="373"/>
      <c r="D191" s="373"/>
      <c r="E191" s="373"/>
      <c r="F191" s="373"/>
      <c r="G191" s="373"/>
      <c r="H191" s="373"/>
      <c r="I191" s="373"/>
      <c r="J191" s="373"/>
      <c r="K191" s="373"/>
      <c r="L191" s="373"/>
      <c r="M191" s="373"/>
      <c r="N191" s="373"/>
      <c r="O191" s="373"/>
      <c r="P191" s="373"/>
      <c r="Q191" s="373"/>
      <c r="R191" s="373"/>
      <c r="S191" s="373"/>
      <c r="T191" s="373"/>
      <c r="U191" s="373"/>
      <c r="V191" s="373"/>
      <c r="W191" s="373"/>
      <c r="X191" s="373"/>
    </row>
    <row r="192" spans="1:24" ht="18" x14ac:dyDescent="0.55000000000000004">
      <c r="A192" s="373"/>
      <c r="B192" s="373"/>
      <c r="C192" s="373"/>
      <c r="D192" s="373"/>
      <c r="E192" s="373"/>
      <c r="F192" s="373"/>
      <c r="G192" s="373"/>
      <c r="H192" s="373"/>
      <c r="I192" s="373"/>
      <c r="J192" s="373"/>
      <c r="K192" s="373"/>
      <c r="L192" s="373"/>
      <c r="M192" s="373"/>
      <c r="N192" s="373"/>
      <c r="O192" s="373"/>
      <c r="P192" s="373"/>
      <c r="Q192" s="373"/>
      <c r="R192" s="373"/>
      <c r="S192" s="373"/>
      <c r="T192" s="373"/>
      <c r="U192" s="373"/>
      <c r="V192" s="373"/>
      <c r="W192" s="373"/>
      <c r="X192" s="373"/>
    </row>
    <row r="193" spans="1:24" ht="18" x14ac:dyDescent="0.55000000000000004">
      <c r="A193" s="373"/>
      <c r="B193" s="373"/>
      <c r="C193" s="373"/>
      <c r="D193" s="373"/>
      <c r="E193" s="373"/>
      <c r="F193" s="373"/>
      <c r="G193" s="373"/>
      <c r="H193" s="373"/>
      <c r="I193" s="373"/>
      <c r="J193" s="373"/>
      <c r="K193" s="373"/>
      <c r="L193" s="373"/>
      <c r="M193" s="373"/>
      <c r="N193" s="373"/>
      <c r="O193" s="373"/>
      <c r="P193" s="373"/>
      <c r="Q193" s="373"/>
      <c r="R193" s="373"/>
      <c r="S193" s="373"/>
      <c r="T193" s="373"/>
      <c r="U193" s="373"/>
      <c r="V193" s="373"/>
      <c r="W193" s="373"/>
      <c r="X193" s="373"/>
    </row>
    <row r="194" spans="1:24" ht="18" x14ac:dyDescent="0.55000000000000004">
      <c r="A194" s="373"/>
      <c r="B194" s="373"/>
      <c r="C194" s="373"/>
      <c r="D194" s="373"/>
      <c r="E194" s="373"/>
      <c r="F194" s="373"/>
      <c r="G194" s="373"/>
      <c r="H194" s="373"/>
      <c r="I194" s="373"/>
      <c r="J194" s="373"/>
      <c r="K194" s="373"/>
      <c r="L194" s="373"/>
      <c r="M194" s="373"/>
      <c r="N194" s="373"/>
      <c r="O194" s="373"/>
      <c r="P194" s="373"/>
      <c r="Q194" s="373"/>
      <c r="R194" s="373"/>
      <c r="S194" s="373"/>
      <c r="T194" s="373"/>
      <c r="U194" s="373"/>
      <c r="V194" s="373"/>
      <c r="W194" s="373"/>
      <c r="X194" s="373"/>
    </row>
    <row r="195" spans="1:24" ht="18" x14ac:dyDescent="0.55000000000000004">
      <c r="A195" s="373"/>
      <c r="B195" s="373"/>
      <c r="C195" s="373"/>
      <c r="D195" s="373"/>
      <c r="E195" s="373"/>
      <c r="F195" s="373"/>
      <c r="G195" s="373"/>
      <c r="H195" s="373"/>
      <c r="I195" s="373"/>
      <c r="J195" s="373"/>
      <c r="K195" s="373"/>
      <c r="L195" s="373"/>
      <c r="M195" s="373"/>
      <c r="N195" s="373"/>
      <c r="O195" s="373"/>
      <c r="P195" s="373"/>
      <c r="Q195" s="373"/>
      <c r="R195" s="373"/>
      <c r="S195" s="373"/>
      <c r="T195" s="373"/>
      <c r="U195" s="373"/>
      <c r="V195" s="373"/>
      <c r="W195" s="373"/>
      <c r="X195" s="373"/>
    </row>
    <row r="196" spans="1:24" ht="18" x14ac:dyDescent="0.55000000000000004">
      <c r="A196" s="373"/>
      <c r="B196" s="373"/>
      <c r="C196" s="373"/>
      <c r="D196" s="373"/>
      <c r="E196" s="373"/>
      <c r="F196" s="373"/>
      <c r="G196" s="373"/>
      <c r="H196" s="373"/>
      <c r="I196" s="373"/>
      <c r="J196" s="373"/>
      <c r="K196" s="373"/>
      <c r="L196" s="373"/>
      <c r="M196" s="373"/>
      <c r="N196" s="373"/>
      <c r="O196" s="373"/>
      <c r="P196" s="373"/>
      <c r="Q196" s="373"/>
      <c r="R196" s="373"/>
      <c r="S196" s="373"/>
      <c r="T196" s="373"/>
      <c r="U196" s="373"/>
      <c r="V196" s="373"/>
      <c r="W196" s="373"/>
      <c r="X196" s="373"/>
    </row>
    <row r="197" spans="1:24" ht="18" x14ac:dyDescent="0.55000000000000004">
      <c r="A197" s="373"/>
      <c r="B197" s="373"/>
      <c r="C197" s="373"/>
      <c r="D197" s="373"/>
      <c r="E197" s="373"/>
      <c r="F197" s="373"/>
      <c r="G197" s="373"/>
      <c r="H197" s="373"/>
      <c r="I197" s="373"/>
      <c r="J197" s="373"/>
      <c r="K197" s="373"/>
      <c r="L197" s="373"/>
      <c r="M197" s="373"/>
      <c r="N197" s="373"/>
      <c r="O197" s="373"/>
      <c r="P197" s="373"/>
      <c r="Q197" s="373"/>
      <c r="R197" s="373"/>
      <c r="S197" s="373"/>
      <c r="T197" s="373"/>
      <c r="U197" s="373"/>
      <c r="V197" s="373"/>
      <c r="W197" s="373"/>
      <c r="X197" s="373"/>
    </row>
    <row r="198" spans="1:24" ht="18" x14ac:dyDescent="0.55000000000000004">
      <c r="A198" s="373"/>
      <c r="B198" s="373"/>
      <c r="C198" s="373"/>
      <c r="D198" s="373"/>
      <c r="E198" s="373"/>
      <c r="F198" s="373"/>
      <c r="G198" s="373"/>
      <c r="H198" s="373"/>
      <c r="I198" s="373"/>
      <c r="J198" s="373"/>
      <c r="K198" s="373"/>
      <c r="L198" s="373"/>
      <c r="M198" s="373"/>
      <c r="N198" s="373"/>
      <c r="O198" s="373"/>
      <c r="P198" s="373"/>
      <c r="Q198" s="373"/>
      <c r="R198" s="373"/>
      <c r="S198" s="373"/>
      <c r="T198" s="373"/>
      <c r="U198" s="373"/>
      <c r="V198" s="373"/>
      <c r="W198" s="373"/>
      <c r="X198" s="373"/>
    </row>
    <row r="199" spans="1:24" ht="18" x14ac:dyDescent="0.55000000000000004">
      <c r="A199" s="373"/>
      <c r="B199" s="373"/>
      <c r="C199" s="373"/>
      <c r="D199" s="373"/>
      <c r="E199" s="373"/>
      <c r="F199" s="373"/>
      <c r="G199" s="373"/>
      <c r="H199" s="373"/>
      <c r="I199" s="373"/>
      <c r="J199" s="373"/>
      <c r="K199" s="373"/>
      <c r="L199" s="373"/>
      <c r="M199" s="373"/>
      <c r="N199" s="373"/>
      <c r="O199" s="373"/>
      <c r="P199" s="373"/>
      <c r="Q199" s="373"/>
      <c r="R199" s="373"/>
      <c r="S199" s="373"/>
      <c r="T199" s="373"/>
      <c r="U199" s="373"/>
      <c r="V199" s="373"/>
      <c r="W199" s="373"/>
      <c r="X199" s="373"/>
    </row>
    <row r="200" spans="1:24" ht="18" x14ac:dyDescent="0.55000000000000004">
      <c r="A200" s="373"/>
      <c r="B200" s="373"/>
      <c r="C200" s="373"/>
      <c r="D200" s="373"/>
      <c r="E200" s="373"/>
      <c r="F200" s="373"/>
      <c r="G200" s="373"/>
      <c r="H200" s="373"/>
      <c r="I200" s="373"/>
      <c r="J200" s="373"/>
      <c r="K200" s="373"/>
      <c r="L200" s="373"/>
      <c r="M200" s="373"/>
      <c r="N200" s="373"/>
      <c r="O200" s="373"/>
      <c r="P200" s="373"/>
      <c r="Q200" s="373"/>
      <c r="R200" s="373"/>
      <c r="S200" s="373"/>
      <c r="T200" s="373"/>
      <c r="U200" s="373"/>
      <c r="V200" s="373"/>
      <c r="W200" s="373"/>
      <c r="X200" s="373"/>
    </row>
    <row r="201" spans="1:24" ht="18" x14ac:dyDescent="0.55000000000000004">
      <c r="A201" s="373"/>
      <c r="B201" s="373"/>
      <c r="C201" s="373"/>
      <c r="D201" s="373"/>
      <c r="E201" s="373"/>
      <c r="F201" s="373"/>
      <c r="G201" s="373"/>
      <c r="H201" s="373"/>
      <c r="I201" s="373"/>
      <c r="J201" s="373"/>
      <c r="K201" s="373"/>
      <c r="L201" s="373"/>
      <c r="M201" s="373"/>
      <c r="N201" s="373"/>
      <c r="O201" s="373"/>
      <c r="P201" s="373"/>
      <c r="Q201" s="373"/>
      <c r="R201" s="373"/>
      <c r="S201" s="373"/>
      <c r="T201" s="373"/>
      <c r="U201" s="373"/>
      <c r="V201" s="373"/>
      <c r="W201" s="373"/>
      <c r="X201" s="373"/>
    </row>
    <row r="202" spans="1:24" ht="18" x14ac:dyDescent="0.55000000000000004">
      <c r="A202" s="373"/>
      <c r="B202" s="373"/>
      <c r="C202" s="373"/>
      <c r="D202" s="373"/>
      <c r="E202" s="373"/>
      <c r="F202" s="373"/>
      <c r="G202" s="373"/>
      <c r="H202" s="373"/>
      <c r="I202" s="373"/>
      <c r="J202" s="373"/>
      <c r="K202" s="373"/>
      <c r="L202" s="373"/>
      <c r="M202" s="373"/>
      <c r="N202" s="373"/>
      <c r="O202" s="373"/>
      <c r="P202" s="373"/>
      <c r="Q202" s="373"/>
      <c r="R202" s="373"/>
      <c r="S202" s="373"/>
      <c r="T202" s="373"/>
      <c r="U202" s="373"/>
      <c r="V202" s="373"/>
      <c r="W202" s="373"/>
      <c r="X202" s="373"/>
    </row>
    <row r="203" spans="1:24" ht="18" x14ac:dyDescent="0.55000000000000004">
      <c r="A203" s="373"/>
      <c r="B203" s="373"/>
      <c r="C203" s="373"/>
      <c r="D203" s="373"/>
      <c r="E203" s="373"/>
      <c r="F203" s="373"/>
      <c r="G203" s="373"/>
      <c r="H203" s="373"/>
      <c r="I203" s="373"/>
      <c r="J203" s="373"/>
      <c r="K203" s="373"/>
      <c r="L203" s="373"/>
      <c r="M203" s="373"/>
      <c r="N203" s="373"/>
      <c r="O203" s="373"/>
      <c r="P203" s="373"/>
      <c r="Q203" s="373"/>
      <c r="R203" s="373"/>
      <c r="S203" s="373"/>
      <c r="T203" s="373"/>
      <c r="U203" s="373"/>
      <c r="V203" s="373"/>
      <c r="W203" s="373"/>
      <c r="X203" s="373"/>
    </row>
    <row r="204" spans="1:24" ht="18" x14ac:dyDescent="0.55000000000000004">
      <c r="A204" s="373"/>
      <c r="B204" s="373"/>
      <c r="C204" s="373"/>
      <c r="D204" s="373"/>
      <c r="E204" s="373"/>
      <c r="F204" s="373"/>
      <c r="G204" s="373"/>
      <c r="H204" s="373"/>
      <c r="I204" s="373"/>
      <c r="J204" s="373"/>
      <c r="K204" s="373"/>
      <c r="L204" s="373"/>
      <c r="M204" s="373"/>
      <c r="N204" s="373"/>
      <c r="O204" s="373"/>
      <c r="P204" s="373"/>
      <c r="Q204" s="373"/>
      <c r="R204" s="373"/>
      <c r="S204" s="373"/>
      <c r="T204" s="373"/>
      <c r="U204" s="373"/>
      <c r="V204" s="373"/>
      <c r="W204" s="373"/>
      <c r="X204" s="373"/>
    </row>
    <row r="205" spans="1:24" ht="18" x14ac:dyDescent="0.55000000000000004">
      <c r="A205" s="373"/>
      <c r="B205" s="373"/>
      <c r="C205" s="373"/>
      <c r="D205" s="373"/>
      <c r="E205" s="373"/>
      <c r="F205" s="373"/>
      <c r="G205" s="373"/>
      <c r="H205" s="373"/>
      <c r="I205" s="373"/>
      <c r="J205" s="373"/>
      <c r="K205" s="373"/>
      <c r="L205" s="373"/>
      <c r="M205" s="373"/>
      <c r="N205" s="373"/>
      <c r="O205" s="373"/>
      <c r="P205" s="373"/>
      <c r="Q205" s="373"/>
      <c r="R205" s="373"/>
      <c r="S205" s="373"/>
      <c r="T205" s="373"/>
      <c r="U205" s="373"/>
      <c r="V205" s="373"/>
      <c r="W205" s="373"/>
      <c r="X205" s="373"/>
    </row>
    <row r="206" spans="1:24" ht="18" x14ac:dyDescent="0.55000000000000004">
      <c r="A206" s="373"/>
      <c r="B206" s="373"/>
      <c r="C206" s="373"/>
      <c r="D206" s="373"/>
      <c r="E206" s="373"/>
      <c r="F206" s="373"/>
      <c r="G206" s="373"/>
      <c r="H206" s="373"/>
      <c r="I206" s="373"/>
      <c r="J206" s="373"/>
      <c r="K206" s="373"/>
      <c r="L206" s="373"/>
      <c r="M206" s="373"/>
      <c r="N206" s="373"/>
      <c r="O206" s="373"/>
      <c r="P206" s="373"/>
      <c r="Q206" s="373"/>
      <c r="R206" s="373"/>
      <c r="S206" s="373"/>
      <c r="T206" s="373"/>
      <c r="U206" s="373"/>
      <c r="V206" s="373"/>
      <c r="W206" s="373"/>
      <c r="X206" s="373"/>
    </row>
    <row r="207" spans="1:24" ht="18" x14ac:dyDescent="0.55000000000000004">
      <c r="A207" s="373"/>
      <c r="B207" s="373"/>
      <c r="C207" s="373"/>
      <c r="D207" s="373"/>
      <c r="E207" s="373"/>
      <c r="F207" s="373"/>
      <c r="G207" s="373"/>
      <c r="H207" s="373"/>
      <c r="I207" s="373"/>
      <c r="J207" s="373"/>
      <c r="K207" s="373"/>
      <c r="L207" s="373"/>
      <c r="M207" s="373"/>
      <c r="N207" s="373"/>
      <c r="O207" s="373"/>
      <c r="P207" s="373"/>
      <c r="Q207" s="373"/>
      <c r="R207" s="373"/>
      <c r="S207" s="373"/>
      <c r="T207" s="373"/>
      <c r="U207" s="373"/>
      <c r="V207" s="373"/>
      <c r="W207" s="373"/>
      <c r="X207" s="373"/>
    </row>
    <row r="208" spans="1:24" ht="18" x14ac:dyDescent="0.55000000000000004">
      <c r="A208" s="373"/>
      <c r="B208" s="373"/>
      <c r="C208" s="373"/>
      <c r="D208" s="373"/>
      <c r="E208" s="373"/>
      <c r="F208" s="373"/>
      <c r="G208" s="373"/>
      <c r="H208" s="373"/>
      <c r="I208" s="373"/>
      <c r="J208" s="373"/>
      <c r="K208" s="373"/>
      <c r="L208" s="373"/>
      <c r="M208" s="373"/>
      <c r="N208" s="373"/>
      <c r="O208" s="373"/>
      <c r="P208" s="373"/>
      <c r="Q208" s="373"/>
      <c r="R208" s="373"/>
      <c r="S208" s="373"/>
      <c r="T208" s="373"/>
      <c r="U208" s="373"/>
      <c r="V208" s="373"/>
      <c r="W208" s="373"/>
      <c r="X208" s="373"/>
    </row>
    <row r="209" spans="1:24" ht="18" x14ac:dyDescent="0.55000000000000004">
      <c r="A209" s="373"/>
      <c r="B209" s="373"/>
      <c r="C209" s="373"/>
      <c r="D209" s="373"/>
      <c r="E209" s="373"/>
      <c r="F209" s="373"/>
      <c r="G209" s="373"/>
      <c r="H209" s="373"/>
      <c r="I209" s="373"/>
      <c r="J209" s="373"/>
      <c r="K209" s="373"/>
      <c r="L209" s="373"/>
      <c r="M209" s="373"/>
      <c r="N209" s="373"/>
      <c r="O209" s="373"/>
      <c r="P209" s="373"/>
      <c r="Q209" s="373"/>
      <c r="R209" s="373"/>
      <c r="S209" s="373"/>
      <c r="T209" s="373"/>
      <c r="U209" s="373"/>
      <c r="V209" s="373"/>
      <c r="W209" s="373"/>
      <c r="X209" s="373"/>
    </row>
    <row r="210" spans="1:24" ht="18" x14ac:dyDescent="0.55000000000000004">
      <c r="A210" s="373"/>
      <c r="B210" s="373"/>
      <c r="C210" s="373"/>
      <c r="D210" s="373"/>
      <c r="E210" s="373"/>
      <c r="F210" s="373"/>
      <c r="G210" s="373"/>
      <c r="H210" s="373"/>
      <c r="I210" s="373"/>
      <c r="J210" s="373"/>
      <c r="K210" s="373"/>
      <c r="L210" s="373"/>
      <c r="M210" s="373"/>
      <c r="N210" s="373"/>
      <c r="O210" s="373"/>
      <c r="P210" s="373"/>
      <c r="Q210" s="373"/>
      <c r="R210" s="373"/>
      <c r="S210" s="373"/>
      <c r="T210" s="373"/>
      <c r="U210" s="373"/>
      <c r="V210" s="373"/>
      <c r="W210" s="373"/>
      <c r="X210" s="373"/>
    </row>
    <row r="211" spans="1:24" ht="18" x14ac:dyDescent="0.55000000000000004">
      <c r="A211" s="373"/>
      <c r="B211" s="373"/>
      <c r="C211" s="373"/>
      <c r="D211" s="373"/>
      <c r="E211" s="373"/>
      <c r="F211" s="373"/>
      <c r="G211" s="373"/>
      <c r="H211" s="373"/>
      <c r="I211" s="373"/>
      <c r="J211" s="373"/>
      <c r="K211" s="373"/>
      <c r="L211" s="373"/>
      <c r="M211" s="373"/>
      <c r="N211" s="373"/>
      <c r="O211" s="373"/>
      <c r="P211" s="373"/>
      <c r="Q211" s="373"/>
      <c r="R211" s="373"/>
      <c r="S211" s="373"/>
      <c r="T211" s="373"/>
      <c r="U211" s="373"/>
      <c r="V211" s="373"/>
      <c r="W211" s="373"/>
      <c r="X211" s="373"/>
    </row>
    <row r="212" spans="1:24" ht="18" x14ac:dyDescent="0.55000000000000004">
      <c r="A212" s="373"/>
      <c r="B212" s="373"/>
      <c r="C212" s="373"/>
      <c r="D212" s="373"/>
      <c r="E212" s="373"/>
      <c r="F212" s="373"/>
      <c r="G212" s="373"/>
      <c r="H212" s="373"/>
      <c r="I212" s="373"/>
      <c r="J212" s="373"/>
      <c r="K212" s="373"/>
      <c r="L212" s="373"/>
      <c r="M212" s="373"/>
      <c r="N212" s="373"/>
      <c r="O212" s="373"/>
      <c r="P212" s="373"/>
      <c r="Q212" s="373"/>
      <c r="R212" s="373"/>
      <c r="S212" s="373"/>
      <c r="T212" s="373"/>
      <c r="U212" s="373"/>
      <c r="V212" s="373"/>
      <c r="W212" s="373"/>
      <c r="X212" s="373"/>
    </row>
    <row r="213" spans="1:24" ht="18" x14ac:dyDescent="0.55000000000000004">
      <c r="A213" s="373"/>
      <c r="B213" s="373"/>
      <c r="C213" s="373"/>
      <c r="D213" s="373"/>
      <c r="E213" s="373"/>
      <c r="F213" s="373"/>
      <c r="G213" s="373"/>
      <c r="H213" s="373"/>
      <c r="I213" s="373"/>
      <c r="J213" s="373"/>
      <c r="K213" s="373"/>
      <c r="L213" s="373"/>
      <c r="M213" s="373"/>
      <c r="N213" s="373"/>
      <c r="O213" s="373"/>
      <c r="P213" s="373"/>
      <c r="Q213" s="373"/>
      <c r="R213" s="373"/>
      <c r="S213" s="373"/>
      <c r="T213" s="373"/>
      <c r="U213" s="373"/>
      <c r="V213" s="373"/>
      <c r="W213" s="373"/>
      <c r="X213" s="373"/>
    </row>
    <row r="214" spans="1:24" ht="18" x14ac:dyDescent="0.55000000000000004">
      <c r="A214" s="373"/>
      <c r="B214" s="373"/>
      <c r="C214" s="373"/>
      <c r="D214" s="373"/>
      <c r="E214" s="373"/>
      <c r="F214" s="373"/>
      <c r="G214" s="373"/>
      <c r="H214" s="373"/>
      <c r="I214" s="373"/>
      <c r="J214" s="373"/>
      <c r="K214" s="373"/>
      <c r="L214" s="373"/>
      <c r="M214" s="373"/>
      <c r="N214" s="373"/>
      <c r="O214" s="373"/>
      <c r="P214" s="373"/>
      <c r="Q214" s="373"/>
      <c r="R214" s="373"/>
      <c r="S214" s="373"/>
      <c r="T214" s="373"/>
      <c r="U214" s="373"/>
      <c r="V214" s="373"/>
      <c r="W214" s="373"/>
      <c r="X214" s="373"/>
    </row>
    <row r="215" spans="1:24" ht="18" x14ac:dyDescent="0.55000000000000004">
      <c r="A215" s="373"/>
      <c r="B215" s="373"/>
      <c r="C215" s="373"/>
      <c r="D215" s="373"/>
      <c r="E215" s="373"/>
      <c r="F215" s="373"/>
      <c r="G215" s="373"/>
      <c r="H215" s="373"/>
      <c r="I215" s="373"/>
      <c r="J215" s="373"/>
      <c r="K215" s="373"/>
      <c r="L215" s="373"/>
      <c r="M215" s="373"/>
      <c r="N215" s="373"/>
      <c r="O215" s="373"/>
      <c r="P215" s="373"/>
      <c r="Q215" s="373"/>
      <c r="R215" s="373"/>
      <c r="S215" s="373"/>
      <c r="T215" s="373"/>
      <c r="U215" s="373"/>
      <c r="V215" s="373"/>
      <c r="W215" s="373"/>
      <c r="X215" s="373"/>
    </row>
    <row r="216" spans="1:24" ht="18" x14ac:dyDescent="0.55000000000000004">
      <c r="A216" s="373"/>
      <c r="B216" s="373"/>
      <c r="C216" s="373"/>
      <c r="D216" s="373"/>
      <c r="E216" s="373"/>
      <c r="F216" s="373"/>
      <c r="G216" s="373"/>
      <c r="H216" s="373"/>
      <c r="I216" s="373"/>
      <c r="J216" s="373"/>
      <c r="K216" s="373"/>
      <c r="L216" s="373"/>
      <c r="M216" s="373"/>
      <c r="N216" s="373"/>
      <c r="O216" s="373"/>
      <c r="P216" s="373"/>
      <c r="Q216" s="373"/>
      <c r="R216" s="373"/>
      <c r="S216" s="373"/>
      <c r="T216" s="373"/>
      <c r="U216" s="373"/>
      <c r="V216" s="373"/>
      <c r="W216" s="373"/>
      <c r="X216" s="373"/>
    </row>
    <row r="217" spans="1:24" ht="18" x14ac:dyDescent="0.55000000000000004">
      <c r="A217" s="373"/>
      <c r="B217" s="373"/>
      <c r="C217" s="373"/>
      <c r="D217" s="373"/>
      <c r="E217" s="373"/>
      <c r="F217" s="373"/>
      <c r="G217" s="373"/>
      <c r="H217" s="373"/>
      <c r="I217" s="373"/>
      <c r="J217" s="373"/>
      <c r="K217" s="373"/>
      <c r="L217" s="373"/>
      <c r="M217" s="373"/>
      <c r="N217" s="373"/>
      <c r="O217" s="373"/>
      <c r="P217" s="373"/>
      <c r="Q217" s="373"/>
      <c r="R217" s="373"/>
      <c r="S217" s="373"/>
      <c r="T217" s="373"/>
      <c r="U217" s="373"/>
      <c r="V217" s="373"/>
      <c r="W217" s="373"/>
      <c r="X217" s="373"/>
    </row>
    <row r="218" spans="1:24" ht="18" x14ac:dyDescent="0.55000000000000004">
      <c r="A218" s="373"/>
      <c r="B218" s="373"/>
      <c r="C218" s="373"/>
      <c r="D218" s="373"/>
      <c r="E218" s="373"/>
      <c r="F218" s="373"/>
      <c r="G218" s="373"/>
      <c r="H218" s="373"/>
      <c r="I218" s="373"/>
      <c r="J218" s="373"/>
      <c r="K218" s="373"/>
      <c r="L218" s="373"/>
      <c r="M218" s="373"/>
      <c r="N218" s="373"/>
      <c r="O218" s="373"/>
      <c r="P218" s="373"/>
      <c r="Q218" s="373"/>
      <c r="R218" s="373"/>
      <c r="S218" s="373"/>
      <c r="T218" s="373"/>
      <c r="U218" s="373"/>
      <c r="V218" s="373"/>
      <c r="W218" s="373"/>
      <c r="X218" s="373"/>
    </row>
    <row r="219" spans="1:24" ht="18" x14ac:dyDescent="0.55000000000000004">
      <c r="A219" s="373"/>
      <c r="B219" s="373"/>
      <c r="C219" s="373"/>
      <c r="D219" s="373"/>
      <c r="E219" s="373"/>
      <c r="F219" s="373"/>
      <c r="G219" s="373"/>
      <c r="H219" s="373"/>
      <c r="I219" s="373"/>
      <c r="J219" s="373"/>
      <c r="K219" s="373"/>
      <c r="L219" s="373"/>
      <c r="M219" s="373"/>
      <c r="N219" s="373"/>
      <c r="O219" s="373"/>
      <c r="P219" s="373"/>
      <c r="Q219" s="373"/>
      <c r="R219" s="373"/>
      <c r="S219" s="373"/>
      <c r="T219" s="373"/>
      <c r="U219" s="373"/>
      <c r="V219" s="373"/>
      <c r="W219" s="373"/>
      <c r="X219" s="373"/>
    </row>
    <row r="220" spans="1:24" ht="18" x14ac:dyDescent="0.55000000000000004">
      <c r="A220" s="373"/>
      <c r="B220" s="373"/>
      <c r="C220" s="373"/>
      <c r="D220" s="373"/>
      <c r="E220" s="373"/>
      <c r="F220" s="373"/>
      <c r="G220" s="373"/>
      <c r="H220" s="373"/>
      <c r="I220" s="373"/>
      <c r="J220" s="373"/>
      <c r="K220" s="373"/>
      <c r="L220" s="373"/>
      <c r="M220" s="373"/>
      <c r="N220" s="373"/>
      <c r="O220" s="373"/>
      <c r="P220" s="373"/>
      <c r="Q220" s="373"/>
      <c r="R220" s="373"/>
      <c r="S220" s="373"/>
      <c r="T220" s="373"/>
      <c r="U220" s="373"/>
      <c r="V220" s="373"/>
      <c r="W220" s="373"/>
      <c r="X220" s="373"/>
    </row>
    <row r="221" spans="1:24" ht="18" x14ac:dyDescent="0.55000000000000004">
      <c r="A221" s="373"/>
      <c r="B221" s="373"/>
      <c r="C221" s="373"/>
      <c r="D221" s="373"/>
      <c r="E221" s="373"/>
      <c r="F221" s="373"/>
      <c r="G221" s="373"/>
      <c r="H221" s="373"/>
      <c r="I221" s="373"/>
      <c r="J221" s="373"/>
      <c r="K221" s="373"/>
      <c r="L221" s="373"/>
      <c r="M221" s="373"/>
      <c r="N221" s="373"/>
      <c r="O221" s="373"/>
      <c r="P221" s="373"/>
      <c r="Q221" s="373"/>
      <c r="R221" s="373"/>
      <c r="S221" s="373"/>
      <c r="T221" s="373"/>
      <c r="U221" s="373"/>
      <c r="V221" s="373"/>
      <c r="W221" s="373"/>
      <c r="X221" s="373"/>
    </row>
    <row r="222" spans="1:24" ht="18" x14ac:dyDescent="0.55000000000000004">
      <c r="A222" s="373"/>
      <c r="B222" s="373"/>
      <c r="C222" s="373"/>
      <c r="D222" s="373"/>
      <c r="E222" s="373"/>
      <c r="F222" s="373"/>
      <c r="G222" s="373"/>
      <c r="H222" s="373"/>
      <c r="I222" s="373"/>
      <c r="J222" s="373"/>
      <c r="K222" s="373"/>
      <c r="L222" s="373"/>
      <c r="M222" s="373"/>
      <c r="N222" s="373"/>
      <c r="O222" s="373"/>
      <c r="P222" s="373"/>
      <c r="Q222" s="373"/>
      <c r="R222" s="373"/>
      <c r="S222" s="373"/>
      <c r="T222" s="373"/>
      <c r="U222" s="373"/>
      <c r="V222" s="373"/>
      <c r="W222" s="373"/>
      <c r="X222" s="373"/>
    </row>
    <row r="223" spans="1:24" ht="18" x14ac:dyDescent="0.55000000000000004">
      <c r="A223" s="373"/>
      <c r="B223" s="373"/>
      <c r="C223" s="373"/>
      <c r="D223" s="373"/>
      <c r="E223" s="373"/>
      <c r="F223" s="373"/>
      <c r="G223" s="373"/>
      <c r="H223" s="373"/>
      <c r="I223" s="373"/>
      <c r="J223" s="373"/>
      <c r="K223" s="373"/>
      <c r="L223" s="373"/>
      <c r="M223" s="373"/>
      <c r="N223" s="373"/>
      <c r="O223" s="373"/>
      <c r="P223" s="373"/>
      <c r="Q223" s="373"/>
      <c r="R223" s="373"/>
      <c r="S223" s="373"/>
      <c r="T223" s="373"/>
      <c r="U223" s="373"/>
      <c r="V223" s="373"/>
      <c r="W223" s="373"/>
      <c r="X223" s="373"/>
    </row>
    <row r="224" spans="1:24" ht="18" x14ac:dyDescent="0.55000000000000004">
      <c r="A224" s="373"/>
      <c r="B224" s="373"/>
      <c r="C224" s="373"/>
      <c r="D224" s="373"/>
      <c r="E224" s="373"/>
      <c r="F224" s="373"/>
      <c r="G224" s="373"/>
      <c r="H224" s="373"/>
      <c r="I224" s="373"/>
      <c r="J224" s="373"/>
      <c r="K224" s="373"/>
      <c r="L224" s="373"/>
      <c r="M224" s="373"/>
      <c r="N224" s="373"/>
      <c r="O224" s="373"/>
      <c r="P224" s="373"/>
      <c r="Q224" s="373"/>
      <c r="R224" s="373"/>
      <c r="S224" s="373"/>
      <c r="T224" s="373"/>
      <c r="U224" s="373"/>
      <c r="V224" s="373"/>
      <c r="W224" s="373"/>
      <c r="X224" s="373"/>
    </row>
    <row r="225" spans="1:24" ht="18" x14ac:dyDescent="0.55000000000000004">
      <c r="A225" s="373"/>
      <c r="B225" s="373"/>
      <c r="C225" s="373"/>
      <c r="D225" s="373"/>
      <c r="E225" s="373"/>
      <c r="F225" s="373"/>
      <c r="G225" s="373"/>
      <c r="H225" s="373"/>
      <c r="I225" s="373"/>
      <c r="J225" s="373"/>
      <c r="K225" s="373"/>
      <c r="L225" s="373"/>
      <c r="M225" s="373"/>
      <c r="N225" s="373"/>
      <c r="O225" s="373"/>
      <c r="P225" s="373"/>
      <c r="Q225" s="373"/>
      <c r="R225" s="373"/>
      <c r="S225" s="373"/>
      <c r="T225" s="373"/>
      <c r="U225" s="373"/>
      <c r="V225" s="373"/>
      <c r="W225" s="373"/>
      <c r="X225" s="373"/>
    </row>
    <row r="226" spans="1:24" ht="18" x14ac:dyDescent="0.55000000000000004">
      <c r="A226" s="373"/>
      <c r="B226" s="373"/>
      <c r="C226" s="373"/>
      <c r="D226" s="373"/>
      <c r="E226" s="373"/>
      <c r="F226" s="373"/>
      <c r="G226" s="373"/>
      <c r="H226" s="373"/>
      <c r="I226" s="373"/>
      <c r="J226" s="373"/>
      <c r="K226" s="373"/>
      <c r="L226" s="373"/>
      <c r="M226" s="373"/>
      <c r="N226" s="373"/>
      <c r="O226" s="373"/>
      <c r="P226" s="373"/>
      <c r="Q226" s="373"/>
      <c r="R226" s="373"/>
      <c r="S226" s="373"/>
      <c r="T226" s="373"/>
      <c r="U226" s="373"/>
      <c r="V226" s="373"/>
      <c r="W226" s="373"/>
      <c r="X226" s="373"/>
    </row>
    <row r="227" spans="1:24" ht="18" x14ac:dyDescent="0.55000000000000004">
      <c r="A227" s="373"/>
      <c r="B227" s="373"/>
      <c r="C227" s="373"/>
      <c r="D227" s="373"/>
      <c r="E227" s="373"/>
      <c r="F227" s="373"/>
      <c r="G227" s="373"/>
      <c r="H227" s="373"/>
      <c r="I227" s="373"/>
      <c r="J227" s="373"/>
      <c r="K227" s="373"/>
      <c r="L227" s="373"/>
      <c r="M227" s="373"/>
      <c r="N227" s="373"/>
      <c r="O227" s="373"/>
      <c r="P227" s="373"/>
      <c r="Q227" s="373"/>
      <c r="R227" s="373"/>
      <c r="S227" s="373"/>
      <c r="T227" s="373"/>
      <c r="U227" s="373"/>
      <c r="V227" s="373"/>
      <c r="W227" s="373"/>
      <c r="X227" s="373"/>
    </row>
    <row r="228" spans="1:24" ht="18" x14ac:dyDescent="0.55000000000000004">
      <c r="A228" s="373"/>
      <c r="B228" s="373"/>
      <c r="C228" s="373"/>
      <c r="D228" s="373"/>
      <c r="E228" s="373"/>
      <c r="F228" s="373"/>
      <c r="G228" s="373"/>
      <c r="H228" s="373"/>
      <c r="I228" s="373"/>
      <c r="J228" s="373"/>
      <c r="K228" s="373"/>
      <c r="L228" s="373"/>
      <c r="M228" s="373"/>
      <c r="N228" s="373"/>
      <c r="O228" s="373"/>
      <c r="P228" s="373"/>
      <c r="Q228" s="373"/>
      <c r="R228" s="373"/>
      <c r="S228" s="373"/>
      <c r="T228" s="373"/>
      <c r="U228" s="373"/>
      <c r="V228" s="373"/>
      <c r="W228" s="373"/>
      <c r="X228" s="373"/>
    </row>
    <row r="229" spans="1:24" ht="18" x14ac:dyDescent="0.55000000000000004">
      <c r="A229" s="373"/>
      <c r="B229" s="373"/>
      <c r="C229" s="373"/>
      <c r="D229" s="373"/>
      <c r="E229" s="373"/>
      <c r="F229" s="373"/>
      <c r="G229" s="373"/>
      <c r="H229" s="373"/>
      <c r="I229" s="373"/>
      <c r="J229" s="373"/>
      <c r="K229" s="373"/>
      <c r="L229" s="373"/>
      <c r="M229" s="373"/>
      <c r="N229" s="373"/>
      <c r="O229" s="373"/>
      <c r="P229" s="373"/>
      <c r="Q229" s="373"/>
      <c r="R229" s="373"/>
      <c r="S229" s="373"/>
      <c r="T229" s="373"/>
      <c r="U229" s="373"/>
      <c r="V229" s="373"/>
      <c r="W229" s="373"/>
      <c r="X229" s="373"/>
    </row>
    <row r="230" spans="1:24" ht="18" x14ac:dyDescent="0.55000000000000004">
      <c r="A230" s="373"/>
      <c r="B230" s="373"/>
      <c r="C230" s="373"/>
      <c r="D230" s="373"/>
      <c r="E230" s="373"/>
      <c r="F230" s="373"/>
      <c r="G230" s="373"/>
      <c r="H230" s="373"/>
      <c r="I230" s="373"/>
      <c r="J230" s="373"/>
      <c r="K230" s="373"/>
      <c r="L230" s="373"/>
      <c r="M230" s="373"/>
      <c r="N230" s="373"/>
      <c r="O230" s="373"/>
      <c r="P230" s="373"/>
      <c r="Q230" s="373"/>
      <c r="R230" s="373"/>
      <c r="S230" s="373"/>
      <c r="T230" s="373"/>
      <c r="U230" s="373"/>
      <c r="V230" s="373"/>
      <c r="W230" s="373"/>
      <c r="X230" s="373"/>
    </row>
    <row r="231" spans="1:24" ht="18" x14ac:dyDescent="0.55000000000000004">
      <c r="A231" s="373"/>
      <c r="B231" s="373"/>
      <c r="C231" s="373"/>
      <c r="D231" s="373"/>
      <c r="E231" s="373"/>
      <c r="F231" s="373"/>
      <c r="G231" s="373"/>
      <c r="H231" s="373"/>
      <c r="I231" s="373"/>
      <c r="J231" s="373"/>
      <c r="K231" s="373"/>
      <c r="L231" s="373"/>
      <c r="M231" s="373"/>
      <c r="N231" s="373"/>
      <c r="O231" s="373"/>
      <c r="P231" s="373"/>
      <c r="Q231" s="373"/>
      <c r="R231" s="373"/>
      <c r="S231" s="373"/>
      <c r="T231" s="373"/>
      <c r="U231" s="373"/>
      <c r="V231" s="373"/>
      <c r="W231" s="373"/>
      <c r="X231" s="373"/>
    </row>
    <row r="232" spans="1:24" ht="18" x14ac:dyDescent="0.55000000000000004">
      <c r="A232" s="373"/>
      <c r="B232" s="373"/>
      <c r="C232" s="373"/>
      <c r="D232" s="373"/>
      <c r="E232" s="373"/>
      <c r="F232" s="373"/>
      <c r="G232" s="373"/>
      <c r="H232" s="373"/>
      <c r="I232" s="373"/>
      <c r="J232" s="373"/>
      <c r="K232" s="373"/>
      <c r="L232" s="373"/>
      <c r="M232" s="373"/>
      <c r="N232" s="373"/>
      <c r="O232" s="373"/>
      <c r="P232" s="373"/>
      <c r="Q232" s="373"/>
      <c r="R232" s="373"/>
      <c r="S232" s="373"/>
      <c r="T232" s="373"/>
      <c r="U232" s="373"/>
      <c r="V232" s="373"/>
      <c r="W232" s="373"/>
      <c r="X232" s="373"/>
    </row>
    <row r="233" spans="1:24" ht="18" x14ac:dyDescent="0.55000000000000004">
      <c r="A233" s="373"/>
      <c r="B233" s="373"/>
      <c r="C233" s="373"/>
      <c r="D233" s="373"/>
      <c r="E233" s="373"/>
      <c r="F233" s="373"/>
      <c r="G233" s="373"/>
      <c r="H233" s="373"/>
      <c r="I233" s="373"/>
      <c r="J233" s="373"/>
      <c r="K233" s="373"/>
      <c r="L233" s="373"/>
      <c r="M233" s="373"/>
      <c r="N233" s="373"/>
      <c r="O233" s="373"/>
      <c r="P233" s="373"/>
      <c r="Q233" s="373"/>
      <c r="R233" s="373"/>
      <c r="S233" s="373"/>
      <c r="T233" s="373"/>
      <c r="U233" s="373"/>
      <c r="V233" s="373"/>
      <c r="W233" s="373"/>
      <c r="X233" s="373"/>
    </row>
    <row r="234" spans="1:24" ht="18" x14ac:dyDescent="0.55000000000000004">
      <c r="A234" s="373"/>
      <c r="B234" s="373"/>
      <c r="C234" s="373"/>
      <c r="D234" s="373"/>
      <c r="E234" s="373"/>
      <c r="F234" s="373"/>
      <c r="G234" s="373"/>
      <c r="H234" s="373"/>
      <c r="I234" s="373"/>
      <c r="J234" s="373"/>
      <c r="K234" s="373"/>
      <c r="L234" s="373"/>
      <c r="M234" s="373"/>
      <c r="N234" s="373"/>
      <c r="O234" s="373"/>
      <c r="P234" s="373"/>
      <c r="Q234" s="373"/>
      <c r="R234" s="373"/>
      <c r="S234" s="373"/>
      <c r="T234" s="373"/>
      <c r="U234" s="373"/>
      <c r="V234" s="373"/>
      <c r="W234" s="373"/>
      <c r="X234" s="373"/>
    </row>
    <row r="235" spans="1:24" ht="18" x14ac:dyDescent="0.55000000000000004">
      <c r="A235" s="373"/>
      <c r="B235" s="373"/>
      <c r="C235" s="373"/>
      <c r="D235" s="373"/>
      <c r="E235" s="373"/>
      <c r="F235" s="373"/>
      <c r="G235" s="373"/>
      <c r="H235" s="373"/>
      <c r="I235" s="373"/>
      <c r="J235" s="373"/>
      <c r="K235" s="373"/>
      <c r="L235" s="373"/>
      <c r="M235" s="373"/>
      <c r="N235" s="373"/>
      <c r="O235" s="373"/>
      <c r="P235" s="373"/>
      <c r="Q235" s="373"/>
      <c r="R235" s="373"/>
      <c r="S235" s="373"/>
      <c r="T235" s="373"/>
      <c r="U235" s="373"/>
      <c r="V235" s="373"/>
      <c r="W235" s="373"/>
      <c r="X235" s="373"/>
    </row>
    <row r="236" spans="1:24" ht="18" x14ac:dyDescent="0.55000000000000004">
      <c r="A236" s="373"/>
      <c r="B236" s="373"/>
      <c r="C236" s="373"/>
      <c r="D236" s="373"/>
      <c r="E236" s="373"/>
      <c r="F236" s="373"/>
      <c r="G236" s="373"/>
      <c r="H236" s="373"/>
      <c r="I236" s="373"/>
      <c r="J236" s="373"/>
      <c r="K236" s="373"/>
      <c r="L236" s="373"/>
      <c r="M236" s="373"/>
      <c r="N236" s="373"/>
      <c r="O236" s="373"/>
      <c r="P236" s="373"/>
      <c r="Q236" s="373"/>
      <c r="R236" s="373"/>
      <c r="S236" s="373"/>
      <c r="T236" s="373"/>
      <c r="U236" s="373"/>
      <c r="V236" s="373"/>
      <c r="W236" s="373"/>
      <c r="X236" s="373"/>
    </row>
    <row r="237" spans="1:24" ht="18" x14ac:dyDescent="0.55000000000000004">
      <c r="A237" s="373"/>
      <c r="B237" s="373"/>
      <c r="C237" s="373"/>
      <c r="D237" s="373"/>
      <c r="E237" s="373"/>
      <c r="F237" s="373"/>
      <c r="G237" s="373"/>
      <c r="H237" s="373"/>
      <c r="I237" s="373"/>
      <c r="J237" s="373"/>
      <c r="K237" s="373"/>
      <c r="L237" s="373"/>
      <c r="M237" s="373"/>
      <c r="N237" s="373"/>
      <c r="O237" s="373"/>
      <c r="P237" s="373"/>
      <c r="Q237" s="373"/>
      <c r="R237" s="373"/>
      <c r="S237" s="373"/>
      <c r="T237" s="373"/>
      <c r="U237" s="373"/>
      <c r="V237" s="373"/>
      <c r="W237" s="373"/>
      <c r="X237" s="373"/>
    </row>
    <row r="238" spans="1:24" ht="18" x14ac:dyDescent="0.55000000000000004">
      <c r="A238" s="373"/>
      <c r="B238" s="373"/>
      <c r="C238" s="373"/>
      <c r="D238" s="373"/>
      <c r="E238" s="373"/>
      <c r="F238" s="373"/>
      <c r="G238" s="373"/>
      <c r="H238" s="373"/>
      <c r="I238" s="373"/>
      <c r="J238" s="373"/>
      <c r="K238" s="373"/>
      <c r="L238" s="373"/>
      <c r="M238" s="373"/>
      <c r="N238" s="373"/>
      <c r="O238" s="373"/>
      <c r="P238" s="373"/>
      <c r="Q238" s="373"/>
      <c r="R238" s="373"/>
      <c r="S238" s="373"/>
      <c r="T238" s="373"/>
      <c r="U238" s="373"/>
      <c r="V238" s="373"/>
      <c r="W238" s="373"/>
      <c r="X238" s="373"/>
    </row>
    <row r="239" spans="1:24" ht="18" x14ac:dyDescent="0.55000000000000004">
      <c r="A239" s="373"/>
      <c r="B239" s="373"/>
      <c r="C239" s="373"/>
      <c r="D239" s="373"/>
      <c r="E239" s="373"/>
      <c r="F239" s="373"/>
      <c r="G239" s="373"/>
      <c r="H239" s="373"/>
      <c r="I239" s="373"/>
      <c r="J239" s="373"/>
      <c r="K239" s="373"/>
      <c r="L239" s="373"/>
      <c r="M239" s="373"/>
      <c r="N239" s="373"/>
      <c r="O239" s="373"/>
      <c r="P239" s="373"/>
      <c r="Q239" s="373"/>
      <c r="R239" s="373"/>
      <c r="S239" s="373"/>
      <c r="T239" s="373"/>
      <c r="U239" s="373"/>
      <c r="V239" s="373"/>
      <c r="W239" s="373"/>
      <c r="X239" s="373"/>
    </row>
    <row r="240" spans="1:24" ht="18" x14ac:dyDescent="0.55000000000000004">
      <c r="A240" s="373"/>
      <c r="B240" s="373"/>
      <c r="C240" s="373"/>
      <c r="D240" s="373"/>
      <c r="E240" s="373"/>
      <c r="F240" s="373"/>
      <c r="G240" s="373"/>
      <c r="H240" s="373"/>
      <c r="I240" s="373"/>
      <c r="J240" s="373"/>
      <c r="K240" s="373"/>
      <c r="L240" s="373"/>
      <c r="M240" s="373"/>
      <c r="N240" s="373"/>
      <c r="O240" s="373"/>
      <c r="P240" s="373"/>
      <c r="Q240" s="373"/>
      <c r="R240" s="373"/>
      <c r="S240" s="373"/>
      <c r="T240" s="373"/>
      <c r="U240" s="373"/>
      <c r="V240" s="373"/>
      <c r="W240" s="373"/>
      <c r="X240" s="373"/>
    </row>
    <row r="241" spans="1:24" ht="18" x14ac:dyDescent="0.55000000000000004">
      <c r="A241" s="373"/>
      <c r="B241" s="373"/>
      <c r="C241" s="373"/>
      <c r="D241" s="373"/>
      <c r="E241" s="373"/>
      <c r="F241" s="373"/>
      <c r="G241" s="373"/>
      <c r="H241" s="373"/>
      <c r="I241" s="373"/>
      <c r="J241" s="373"/>
      <c r="K241" s="373"/>
      <c r="L241" s="373"/>
      <c r="M241" s="373"/>
      <c r="N241" s="373"/>
      <c r="O241" s="373"/>
      <c r="P241" s="373"/>
      <c r="Q241" s="373"/>
      <c r="R241" s="373"/>
      <c r="S241" s="373"/>
      <c r="T241" s="373"/>
      <c r="U241" s="373"/>
      <c r="V241" s="373"/>
      <c r="W241" s="373"/>
      <c r="X241" s="373"/>
    </row>
    <row r="242" spans="1:24" ht="18" x14ac:dyDescent="0.55000000000000004">
      <c r="A242" s="373"/>
      <c r="B242" s="373"/>
      <c r="C242" s="373"/>
      <c r="D242" s="373"/>
      <c r="E242" s="373"/>
      <c r="F242" s="373"/>
      <c r="G242" s="373"/>
      <c r="H242" s="373"/>
      <c r="I242" s="373"/>
      <c r="J242" s="373"/>
      <c r="K242" s="373"/>
      <c r="L242" s="373"/>
      <c r="M242" s="373"/>
      <c r="N242" s="373"/>
      <c r="O242" s="373"/>
      <c r="P242" s="373"/>
      <c r="Q242" s="373"/>
      <c r="R242" s="373"/>
      <c r="S242" s="373"/>
      <c r="T242" s="373"/>
      <c r="U242" s="373"/>
      <c r="V242" s="373"/>
      <c r="W242" s="373"/>
      <c r="X242" s="373"/>
    </row>
    <row r="243" spans="1:24" ht="18" x14ac:dyDescent="0.55000000000000004">
      <c r="A243" s="373"/>
      <c r="B243" s="373"/>
      <c r="C243" s="373"/>
      <c r="D243" s="373"/>
      <c r="E243" s="373"/>
      <c r="F243" s="373"/>
      <c r="G243" s="373"/>
      <c r="H243" s="373"/>
      <c r="I243" s="373"/>
      <c r="J243" s="373"/>
      <c r="K243" s="373"/>
      <c r="L243" s="373"/>
      <c r="M243" s="373"/>
      <c r="N243" s="373"/>
      <c r="O243" s="373"/>
      <c r="P243" s="373"/>
      <c r="Q243" s="373"/>
      <c r="R243" s="373"/>
      <c r="S243" s="373"/>
      <c r="T243" s="373"/>
      <c r="U243" s="373"/>
      <c r="V243" s="373"/>
      <c r="W243" s="373"/>
      <c r="X243" s="373"/>
    </row>
    <row r="244" spans="1:24" ht="18" x14ac:dyDescent="0.55000000000000004">
      <c r="A244" s="373"/>
      <c r="B244" s="373"/>
      <c r="C244" s="373"/>
      <c r="D244" s="373"/>
      <c r="E244" s="373"/>
      <c r="F244" s="373"/>
      <c r="G244" s="373"/>
      <c r="H244" s="373"/>
      <c r="I244" s="373"/>
      <c r="J244" s="373"/>
      <c r="K244" s="373"/>
      <c r="L244" s="373"/>
      <c r="M244" s="373"/>
      <c r="N244" s="373"/>
      <c r="O244" s="373"/>
      <c r="P244" s="373"/>
      <c r="Q244" s="373"/>
      <c r="R244" s="373"/>
      <c r="S244" s="373"/>
      <c r="T244" s="373"/>
      <c r="U244" s="373"/>
      <c r="V244" s="373"/>
      <c r="W244" s="373"/>
      <c r="X244" s="373"/>
    </row>
    <row r="245" spans="1:24" ht="18" x14ac:dyDescent="0.55000000000000004">
      <c r="A245" s="373"/>
      <c r="B245" s="373"/>
      <c r="C245" s="373"/>
      <c r="D245" s="373"/>
      <c r="E245" s="373"/>
      <c r="F245" s="373"/>
      <c r="G245" s="373"/>
      <c r="H245" s="373"/>
      <c r="I245" s="373"/>
      <c r="J245" s="373"/>
      <c r="K245" s="373"/>
      <c r="L245" s="373"/>
      <c r="M245" s="373"/>
      <c r="N245" s="373"/>
      <c r="O245" s="373"/>
      <c r="P245" s="373"/>
      <c r="Q245" s="373"/>
      <c r="R245" s="373"/>
      <c r="S245" s="373"/>
      <c r="T245" s="373"/>
      <c r="U245" s="373"/>
      <c r="V245" s="373"/>
      <c r="W245" s="373"/>
      <c r="X245" s="373"/>
    </row>
    <row r="246" spans="1:24" ht="18" x14ac:dyDescent="0.55000000000000004">
      <c r="A246" s="373"/>
      <c r="B246" s="373"/>
      <c r="C246" s="373"/>
      <c r="D246" s="373"/>
      <c r="E246" s="373"/>
      <c r="F246" s="373"/>
      <c r="G246" s="373"/>
      <c r="H246" s="373"/>
      <c r="I246" s="373"/>
      <c r="J246" s="373"/>
      <c r="K246" s="373"/>
      <c r="L246" s="373"/>
      <c r="M246" s="373"/>
      <c r="N246" s="373"/>
      <c r="O246" s="373"/>
      <c r="P246" s="373"/>
      <c r="Q246" s="373"/>
      <c r="R246" s="373"/>
      <c r="S246" s="373"/>
      <c r="T246" s="373"/>
      <c r="U246" s="373"/>
      <c r="V246" s="373"/>
      <c r="W246" s="373"/>
      <c r="X246" s="373"/>
    </row>
    <row r="247" spans="1:24" ht="18" x14ac:dyDescent="0.55000000000000004">
      <c r="A247" s="373"/>
      <c r="B247" s="373"/>
      <c r="C247" s="373"/>
      <c r="D247" s="373"/>
      <c r="E247" s="373"/>
      <c r="F247" s="373"/>
      <c r="G247" s="373"/>
      <c r="H247" s="373"/>
      <c r="I247" s="373"/>
      <c r="J247" s="373"/>
      <c r="K247" s="373"/>
      <c r="L247" s="373"/>
      <c r="M247" s="373"/>
      <c r="N247" s="373"/>
      <c r="O247" s="373"/>
      <c r="P247" s="373"/>
      <c r="Q247" s="373"/>
      <c r="R247" s="373"/>
      <c r="S247" s="373"/>
      <c r="T247" s="373"/>
      <c r="U247" s="373"/>
      <c r="V247" s="373"/>
      <c r="W247" s="373"/>
      <c r="X247" s="373"/>
    </row>
    <row r="248" spans="1:24" ht="18" x14ac:dyDescent="0.55000000000000004">
      <c r="A248" s="373"/>
      <c r="B248" s="373"/>
      <c r="C248" s="373"/>
      <c r="D248" s="373"/>
      <c r="E248" s="373"/>
      <c r="F248" s="373"/>
      <c r="G248" s="373"/>
      <c r="H248" s="373"/>
      <c r="I248" s="373"/>
      <c r="J248" s="373"/>
      <c r="K248" s="373"/>
      <c r="L248" s="373"/>
      <c r="M248" s="373"/>
      <c r="N248" s="373"/>
      <c r="O248" s="373"/>
      <c r="P248" s="373"/>
      <c r="Q248" s="373"/>
      <c r="R248" s="373"/>
      <c r="S248" s="373"/>
      <c r="T248" s="373"/>
      <c r="U248" s="373"/>
      <c r="V248" s="373"/>
      <c r="W248" s="373"/>
      <c r="X248" s="373"/>
    </row>
    <row r="249" spans="1:24" ht="18" x14ac:dyDescent="0.55000000000000004">
      <c r="A249" s="373"/>
      <c r="B249" s="373"/>
      <c r="C249" s="373"/>
      <c r="D249" s="373"/>
      <c r="E249" s="373"/>
      <c r="F249" s="373"/>
      <c r="G249" s="373"/>
      <c r="H249" s="373"/>
      <c r="I249" s="373"/>
      <c r="J249" s="373"/>
      <c r="K249" s="373"/>
      <c r="L249" s="373"/>
      <c r="M249" s="373"/>
      <c r="N249" s="373"/>
      <c r="O249" s="373"/>
      <c r="P249" s="373"/>
      <c r="Q249" s="373"/>
      <c r="R249" s="373"/>
      <c r="S249" s="373"/>
      <c r="T249" s="373"/>
      <c r="U249" s="373"/>
      <c r="V249" s="373"/>
      <c r="W249" s="373"/>
      <c r="X249" s="373"/>
    </row>
    <row r="250" spans="1:24" ht="18" x14ac:dyDescent="0.55000000000000004">
      <c r="A250" s="373"/>
      <c r="B250" s="373"/>
      <c r="C250" s="373"/>
      <c r="D250" s="373"/>
      <c r="E250" s="373"/>
      <c r="F250" s="373"/>
      <c r="G250" s="373"/>
      <c r="H250" s="373"/>
      <c r="I250" s="373"/>
      <c r="J250" s="373"/>
      <c r="K250" s="373"/>
      <c r="L250" s="373"/>
      <c r="M250" s="373"/>
      <c r="N250" s="373"/>
      <c r="O250" s="373"/>
      <c r="P250" s="373"/>
      <c r="Q250" s="373"/>
      <c r="R250" s="373"/>
      <c r="S250" s="373"/>
      <c r="T250" s="373"/>
      <c r="U250" s="373"/>
      <c r="V250" s="373"/>
      <c r="W250" s="373"/>
      <c r="X250" s="373"/>
    </row>
    <row r="251" spans="1:24" ht="18" x14ac:dyDescent="0.55000000000000004">
      <c r="A251" s="373"/>
      <c r="B251" s="373"/>
      <c r="C251" s="373"/>
      <c r="D251" s="373"/>
      <c r="E251" s="373"/>
      <c r="F251" s="373"/>
      <c r="G251" s="373"/>
      <c r="H251" s="373"/>
      <c r="I251" s="373"/>
      <c r="J251" s="373"/>
      <c r="K251" s="373"/>
      <c r="L251" s="373"/>
      <c r="M251" s="373"/>
      <c r="N251" s="373"/>
      <c r="O251" s="373"/>
      <c r="P251" s="373"/>
      <c r="Q251" s="373"/>
      <c r="R251" s="373"/>
      <c r="S251" s="373"/>
      <c r="T251" s="373"/>
      <c r="U251" s="373"/>
      <c r="V251" s="373"/>
      <c r="W251" s="373"/>
      <c r="X251" s="373"/>
    </row>
    <row r="252" spans="1:24" ht="18" x14ac:dyDescent="0.55000000000000004">
      <c r="A252" s="373"/>
      <c r="B252" s="373"/>
      <c r="C252" s="373"/>
      <c r="D252" s="373"/>
      <c r="E252" s="373"/>
      <c r="F252" s="373"/>
      <c r="G252" s="373"/>
      <c r="H252" s="373"/>
      <c r="I252" s="373"/>
      <c r="J252" s="373"/>
      <c r="K252" s="373"/>
      <c r="L252" s="373"/>
      <c r="M252" s="373"/>
      <c r="N252" s="373"/>
      <c r="O252" s="373"/>
      <c r="P252" s="373"/>
      <c r="Q252" s="373"/>
      <c r="R252" s="373"/>
      <c r="S252" s="373"/>
      <c r="T252" s="373"/>
      <c r="U252" s="373"/>
      <c r="V252" s="373"/>
      <c r="W252" s="373"/>
      <c r="X252" s="373"/>
    </row>
    <row r="253" spans="1:24" ht="18" x14ac:dyDescent="0.55000000000000004">
      <c r="A253" s="373"/>
      <c r="B253" s="373"/>
      <c r="C253" s="373"/>
      <c r="D253" s="373"/>
      <c r="E253" s="373"/>
      <c r="F253" s="373"/>
      <c r="G253" s="373"/>
      <c r="H253" s="373"/>
      <c r="I253" s="373"/>
      <c r="J253" s="373"/>
      <c r="K253" s="373"/>
      <c r="L253" s="373"/>
      <c r="M253" s="373"/>
      <c r="N253" s="373"/>
      <c r="O253" s="373"/>
      <c r="P253" s="373"/>
      <c r="Q253" s="373"/>
      <c r="R253" s="373"/>
      <c r="S253" s="373"/>
      <c r="T253" s="373"/>
      <c r="U253" s="373"/>
      <c r="V253" s="373"/>
      <c r="W253" s="373"/>
      <c r="X253" s="373"/>
    </row>
    <row r="254" spans="1:24" ht="18" x14ac:dyDescent="0.55000000000000004">
      <c r="A254" s="373"/>
      <c r="B254" s="373"/>
      <c r="C254" s="373"/>
      <c r="D254" s="373"/>
      <c r="E254" s="373"/>
      <c r="F254" s="373"/>
      <c r="G254" s="373"/>
      <c r="H254" s="373"/>
      <c r="I254" s="373"/>
      <c r="J254" s="373"/>
      <c r="K254" s="373"/>
      <c r="L254" s="373"/>
      <c r="M254" s="373"/>
      <c r="N254" s="373"/>
      <c r="O254" s="373"/>
      <c r="P254" s="373"/>
      <c r="Q254" s="373"/>
      <c r="R254" s="373"/>
      <c r="S254" s="373"/>
      <c r="T254" s="373"/>
      <c r="U254" s="373"/>
      <c r="V254" s="373"/>
      <c r="W254" s="373"/>
      <c r="X254" s="373"/>
    </row>
    <row r="255" spans="1:24" ht="18" x14ac:dyDescent="0.55000000000000004">
      <c r="A255" s="373"/>
      <c r="B255" s="373"/>
      <c r="C255" s="373"/>
      <c r="D255" s="373"/>
      <c r="E255" s="373"/>
      <c r="F255" s="373"/>
      <c r="G255" s="373"/>
      <c r="H255" s="373"/>
      <c r="I255" s="373"/>
      <c r="J255" s="373"/>
      <c r="K255" s="373"/>
      <c r="L255" s="373"/>
      <c r="M255" s="373"/>
      <c r="N255" s="373"/>
      <c r="O255" s="373"/>
      <c r="P255" s="373"/>
      <c r="Q255" s="373"/>
      <c r="R255" s="373"/>
      <c r="S255" s="373"/>
      <c r="T255" s="373"/>
      <c r="U255" s="373"/>
      <c r="V255" s="373"/>
      <c r="W255" s="373"/>
      <c r="X255" s="373"/>
    </row>
    <row r="256" spans="1:24" ht="18" x14ac:dyDescent="0.55000000000000004">
      <c r="A256" s="373"/>
      <c r="B256" s="373"/>
      <c r="C256" s="373"/>
      <c r="D256" s="373"/>
      <c r="E256" s="373"/>
      <c r="F256" s="373"/>
      <c r="G256" s="373"/>
      <c r="H256" s="373"/>
      <c r="I256" s="373"/>
      <c r="J256" s="373"/>
      <c r="K256" s="373"/>
      <c r="L256" s="373"/>
      <c r="M256" s="373"/>
      <c r="N256" s="373"/>
      <c r="O256" s="373"/>
      <c r="P256" s="373"/>
      <c r="Q256" s="373"/>
      <c r="R256" s="373"/>
      <c r="S256" s="373"/>
      <c r="T256" s="373"/>
      <c r="U256" s="373"/>
      <c r="V256" s="373"/>
      <c r="W256" s="373"/>
      <c r="X256" s="373"/>
    </row>
    <row r="257" spans="1:24" ht="18" x14ac:dyDescent="0.55000000000000004">
      <c r="A257" s="373"/>
      <c r="B257" s="373"/>
      <c r="C257" s="373"/>
      <c r="D257" s="373"/>
      <c r="E257" s="373"/>
      <c r="F257" s="373"/>
      <c r="G257" s="373"/>
      <c r="H257" s="373"/>
      <c r="I257" s="373"/>
      <c r="J257" s="373"/>
      <c r="K257" s="373"/>
      <c r="L257" s="373"/>
      <c r="M257" s="373"/>
      <c r="N257" s="373"/>
      <c r="O257" s="373"/>
      <c r="P257" s="373"/>
      <c r="Q257" s="373"/>
      <c r="R257" s="373"/>
      <c r="S257" s="373"/>
      <c r="T257" s="373"/>
      <c r="U257" s="373"/>
      <c r="V257" s="373"/>
      <c r="W257" s="373"/>
      <c r="X257" s="373"/>
    </row>
    <row r="258" spans="1:24" ht="18" x14ac:dyDescent="0.55000000000000004">
      <c r="A258" s="373"/>
      <c r="B258" s="373"/>
      <c r="C258" s="373"/>
      <c r="D258" s="373"/>
      <c r="E258" s="373"/>
      <c r="F258" s="373"/>
      <c r="G258" s="373"/>
      <c r="H258" s="373"/>
      <c r="I258" s="373"/>
      <c r="J258" s="373"/>
      <c r="K258" s="373"/>
      <c r="L258" s="373"/>
      <c r="M258" s="373"/>
      <c r="N258" s="373"/>
      <c r="O258" s="373"/>
      <c r="P258" s="373"/>
      <c r="Q258" s="373"/>
      <c r="R258" s="373"/>
      <c r="S258" s="373"/>
      <c r="T258" s="373"/>
      <c r="U258" s="373"/>
      <c r="V258" s="373"/>
      <c r="W258" s="373"/>
      <c r="X258" s="373"/>
    </row>
    <row r="259" spans="1:24" ht="18" x14ac:dyDescent="0.55000000000000004">
      <c r="A259" s="373"/>
      <c r="B259" s="373"/>
      <c r="C259" s="373"/>
      <c r="D259" s="373"/>
      <c r="E259" s="373"/>
      <c r="F259" s="373"/>
      <c r="G259" s="373"/>
      <c r="H259" s="373"/>
      <c r="I259" s="373"/>
      <c r="J259" s="373"/>
      <c r="K259" s="373"/>
      <c r="L259" s="373"/>
      <c r="M259" s="373"/>
      <c r="N259" s="373"/>
      <c r="O259" s="373"/>
      <c r="P259" s="373"/>
      <c r="Q259" s="373"/>
      <c r="R259" s="373"/>
      <c r="S259" s="373"/>
      <c r="T259" s="373"/>
      <c r="U259" s="373"/>
      <c r="V259" s="373"/>
      <c r="W259" s="373"/>
      <c r="X259" s="373"/>
    </row>
    <row r="260" spans="1:24" ht="18" x14ac:dyDescent="0.55000000000000004">
      <c r="A260" s="373"/>
      <c r="B260" s="373"/>
      <c r="C260" s="373"/>
      <c r="D260" s="373"/>
      <c r="E260" s="373"/>
      <c r="F260" s="373"/>
      <c r="G260" s="373"/>
      <c r="H260" s="373"/>
      <c r="I260" s="373"/>
      <c r="J260" s="373"/>
      <c r="K260" s="373"/>
      <c r="L260" s="373"/>
      <c r="M260" s="373"/>
      <c r="N260" s="373"/>
      <c r="O260" s="373"/>
      <c r="P260" s="373"/>
      <c r="Q260" s="373"/>
      <c r="R260" s="373"/>
      <c r="S260" s="373"/>
      <c r="T260" s="373"/>
      <c r="U260" s="373"/>
      <c r="V260" s="373"/>
      <c r="W260" s="373"/>
      <c r="X260" s="373"/>
    </row>
    <row r="261" spans="1:24" ht="18" x14ac:dyDescent="0.55000000000000004">
      <c r="A261" s="373"/>
      <c r="B261" s="373"/>
      <c r="C261" s="373"/>
      <c r="D261" s="373"/>
      <c r="E261" s="373"/>
      <c r="F261" s="373"/>
      <c r="G261" s="373"/>
      <c r="H261" s="373"/>
      <c r="I261" s="373"/>
      <c r="J261" s="373"/>
      <c r="K261" s="373"/>
      <c r="L261" s="373"/>
      <c r="M261" s="373"/>
      <c r="N261" s="373"/>
      <c r="O261" s="373"/>
      <c r="P261" s="373"/>
      <c r="Q261" s="373"/>
      <c r="R261" s="373"/>
      <c r="S261" s="373"/>
      <c r="T261" s="373"/>
      <c r="U261" s="373"/>
      <c r="V261" s="373"/>
      <c r="W261" s="373"/>
      <c r="X261" s="373"/>
    </row>
    <row r="262" spans="1:24" ht="18" x14ac:dyDescent="0.55000000000000004">
      <c r="A262" s="373"/>
      <c r="B262" s="373"/>
      <c r="C262" s="373"/>
      <c r="D262" s="373"/>
      <c r="E262" s="373"/>
      <c r="F262" s="373"/>
      <c r="G262" s="373"/>
      <c r="H262" s="373"/>
      <c r="I262" s="373"/>
      <c r="J262" s="373"/>
      <c r="K262" s="373"/>
      <c r="L262" s="373"/>
      <c r="M262" s="373"/>
      <c r="N262" s="373"/>
      <c r="O262" s="373"/>
      <c r="P262" s="373"/>
      <c r="Q262" s="373"/>
      <c r="R262" s="373"/>
      <c r="S262" s="373"/>
      <c r="T262" s="373"/>
      <c r="U262" s="373"/>
      <c r="V262" s="373"/>
      <c r="W262" s="373"/>
      <c r="X262" s="373"/>
    </row>
    <row r="263" spans="1:24" ht="18" x14ac:dyDescent="0.55000000000000004">
      <c r="A263" s="373"/>
      <c r="B263" s="373"/>
      <c r="C263" s="373"/>
      <c r="D263" s="373"/>
      <c r="E263" s="373"/>
      <c r="F263" s="373"/>
      <c r="G263" s="373"/>
      <c r="H263" s="373"/>
      <c r="I263" s="373"/>
      <c r="J263" s="373"/>
      <c r="K263" s="373"/>
      <c r="L263" s="373"/>
      <c r="M263" s="373"/>
      <c r="N263" s="373"/>
      <c r="O263" s="373"/>
      <c r="P263" s="373"/>
      <c r="Q263" s="373"/>
      <c r="R263" s="373"/>
      <c r="S263" s="373"/>
      <c r="T263" s="373"/>
      <c r="U263" s="373"/>
      <c r="V263" s="373"/>
      <c r="W263" s="373"/>
      <c r="X263" s="373"/>
    </row>
    <row r="264" spans="1:24" ht="18" x14ac:dyDescent="0.55000000000000004">
      <c r="A264" s="373"/>
      <c r="B264" s="373"/>
      <c r="C264" s="373"/>
      <c r="D264" s="373"/>
      <c r="E264" s="373"/>
      <c r="F264" s="373"/>
      <c r="G264" s="373"/>
      <c r="H264" s="373"/>
      <c r="I264" s="373"/>
      <c r="J264" s="373"/>
      <c r="K264" s="373"/>
      <c r="L264" s="373"/>
      <c r="M264" s="373"/>
      <c r="N264" s="373"/>
      <c r="O264" s="373"/>
      <c r="P264" s="373"/>
      <c r="Q264" s="373"/>
      <c r="R264" s="373"/>
      <c r="S264" s="373"/>
      <c r="T264" s="373"/>
      <c r="U264" s="373"/>
      <c r="V264" s="373"/>
      <c r="W264" s="373"/>
      <c r="X264" s="373"/>
    </row>
    <row r="265" spans="1:24" ht="18" x14ac:dyDescent="0.55000000000000004">
      <c r="A265" s="373"/>
      <c r="B265" s="373"/>
      <c r="C265" s="373"/>
      <c r="D265" s="373"/>
      <c r="E265" s="373"/>
      <c r="F265" s="373"/>
      <c r="G265" s="373"/>
      <c r="H265" s="373"/>
      <c r="I265" s="373"/>
      <c r="J265" s="373"/>
      <c r="K265" s="373"/>
      <c r="L265" s="373"/>
      <c r="M265" s="373"/>
      <c r="N265" s="373"/>
      <c r="O265" s="373"/>
      <c r="P265" s="373"/>
      <c r="Q265" s="373"/>
      <c r="R265" s="373"/>
      <c r="S265" s="373"/>
      <c r="T265" s="373"/>
      <c r="U265" s="373"/>
      <c r="V265" s="373"/>
      <c r="W265" s="373"/>
      <c r="X265" s="373"/>
    </row>
    <row r="266" spans="1:24" ht="18" x14ac:dyDescent="0.55000000000000004">
      <c r="A266" s="373"/>
      <c r="B266" s="373"/>
      <c r="C266" s="373"/>
      <c r="D266" s="373"/>
      <c r="E266" s="373"/>
      <c r="F266" s="373"/>
      <c r="G266" s="373"/>
      <c r="H266" s="373"/>
      <c r="I266" s="373"/>
      <c r="J266" s="373"/>
      <c r="K266" s="373"/>
      <c r="L266" s="373"/>
      <c r="M266" s="373"/>
      <c r="N266" s="373"/>
      <c r="O266" s="373"/>
      <c r="P266" s="373"/>
      <c r="Q266" s="373"/>
      <c r="R266" s="373"/>
      <c r="S266" s="373"/>
      <c r="T266" s="373"/>
      <c r="U266" s="373"/>
      <c r="V266" s="373"/>
      <c r="W266" s="373"/>
      <c r="X266" s="373"/>
    </row>
    <row r="267" spans="1:24" ht="18" x14ac:dyDescent="0.55000000000000004">
      <c r="A267" s="373"/>
      <c r="B267" s="373"/>
      <c r="C267" s="373"/>
      <c r="D267" s="373"/>
      <c r="E267" s="373"/>
      <c r="F267" s="373"/>
      <c r="G267" s="373"/>
      <c r="H267" s="373"/>
      <c r="I267" s="373"/>
      <c r="J267" s="373"/>
      <c r="K267" s="373"/>
      <c r="L267" s="373"/>
      <c r="M267" s="373"/>
      <c r="N267" s="373"/>
      <c r="O267" s="373"/>
      <c r="P267" s="373"/>
      <c r="Q267" s="373"/>
      <c r="R267" s="373"/>
      <c r="S267" s="373"/>
      <c r="T267" s="373"/>
      <c r="U267" s="373"/>
      <c r="V267" s="373"/>
      <c r="W267" s="373"/>
      <c r="X267" s="373"/>
    </row>
    <row r="268" spans="1:24" ht="18" x14ac:dyDescent="0.55000000000000004">
      <c r="A268" s="373"/>
      <c r="B268" s="373"/>
      <c r="C268" s="373"/>
      <c r="D268" s="373"/>
      <c r="E268" s="373"/>
      <c r="F268" s="373"/>
      <c r="G268" s="373"/>
      <c r="H268" s="373"/>
      <c r="I268" s="373"/>
      <c r="J268" s="373"/>
      <c r="K268" s="373"/>
      <c r="L268" s="373"/>
      <c r="M268" s="373"/>
      <c r="N268" s="373"/>
      <c r="O268" s="373"/>
      <c r="P268" s="373"/>
      <c r="Q268" s="373"/>
      <c r="R268" s="373"/>
      <c r="S268" s="373"/>
      <c r="T268" s="373"/>
      <c r="U268" s="373"/>
      <c r="V268" s="373"/>
      <c r="W268" s="373"/>
      <c r="X268" s="373"/>
    </row>
    <row r="269" spans="1:24" ht="18" x14ac:dyDescent="0.55000000000000004">
      <c r="A269" s="373"/>
      <c r="B269" s="373"/>
      <c r="C269" s="373"/>
      <c r="D269" s="373"/>
      <c r="E269" s="373"/>
      <c r="F269" s="373"/>
      <c r="G269" s="373"/>
      <c r="H269" s="373"/>
      <c r="I269" s="373"/>
      <c r="J269" s="373"/>
      <c r="K269" s="373"/>
      <c r="L269" s="373"/>
      <c r="M269" s="373"/>
      <c r="N269" s="373"/>
      <c r="O269" s="373"/>
      <c r="P269" s="373"/>
      <c r="Q269" s="373"/>
      <c r="R269" s="373"/>
      <c r="S269" s="373"/>
      <c r="T269" s="373"/>
      <c r="U269" s="373"/>
      <c r="V269" s="373"/>
      <c r="W269" s="373"/>
      <c r="X269" s="373"/>
    </row>
    <row r="270" spans="1:24" ht="18" x14ac:dyDescent="0.55000000000000004">
      <c r="A270" s="373"/>
      <c r="B270" s="373"/>
      <c r="C270" s="373"/>
      <c r="D270" s="373"/>
      <c r="E270" s="373"/>
      <c r="F270" s="373"/>
      <c r="G270" s="373"/>
      <c r="H270" s="373"/>
      <c r="I270" s="373"/>
      <c r="J270" s="373"/>
      <c r="K270" s="373"/>
      <c r="L270" s="373"/>
      <c r="M270" s="373"/>
      <c r="N270" s="373"/>
      <c r="O270" s="373"/>
      <c r="P270" s="373"/>
      <c r="Q270" s="373"/>
      <c r="R270" s="373"/>
      <c r="S270" s="373"/>
      <c r="T270" s="373"/>
      <c r="U270" s="373"/>
      <c r="V270" s="373"/>
      <c r="W270" s="373"/>
      <c r="X270" s="373"/>
    </row>
    <row r="271" spans="1:24" ht="18" x14ac:dyDescent="0.55000000000000004">
      <c r="A271" s="373"/>
      <c r="B271" s="373"/>
      <c r="C271" s="373"/>
      <c r="D271" s="373"/>
      <c r="E271" s="373"/>
      <c r="F271" s="373"/>
      <c r="G271" s="373"/>
      <c r="H271" s="373"/>
      <c r="I271" s="373"/>
      <c r="J271" s="373"/>
      <c r="K271" s="373"/>
      <c r="L271" s="373"/>
      <c r="M271" s="373"/>
      <c r="N271" s="373"/>
      <c r="O271" s="373"/>
      <c r="P271" s="373"/>
      <c r="Q271" s="373"/>
      <c r="R271" s="373"/>
      <c r="S271" s="373"/>
      <c r="T271" s="373"/>
      <c r="U271" s="373"/>
      <c r="V271" s="373"/>
      <c r="W271" s="373"/>
      <c r="X271" s="373"/>
    </row>
    <row r="272" spans="1:24" ht="18" x14ac:dyDescent="0.55000000000000004">
      <c r="A272" s="373"/>
      <c r="B272" s="373"/>
      <c r="C272" s="373"/>
      <c r="D272" s="373"/>
      <c r="E272" s="373"/>
      <c r="F272" s="373"/>
      <c r="G272" s="373"/>
      <c r="H272" s="373"/>
      <c r="I272" s="373"/>
      <c r="J272" s="373"/>
      <c r="K272" s="373"/>
      <c r="L272" s="373"/>
      <c r="M272" s="373"/>
      <c r="N272" s="373"/>
      <c r="O272" s="373"/>
      <c r="P272" s="373"/>
      <c r="Q272" s="373"/>
      <c r="R272" s="373"/>
      <c r="S272" s="373"/>
      <c r="T272" s="373"/>
      <c r="U272" s="373"/>
      <c r="V272" s="373"/>
      <c r="W272" s="373"/>
      <c r="X272" s="373"/>
    </row>
    <row r="273" spans="1:24" ht="18" x14ac:dyDescent="0.55000000000000004">
      <c r="A273" s="373"/>
      <c r="B273" s="373"/>
      <c r="C273" s="373"/>
      <c r="D273" s="373"/>
      <c r="E273" s="373"/>
      <c r="F273" s="373"/>
      <c r="G273" s="373"/>
      <c r="H273" s="373"/>
      <c r="I273" s="373"/>
      <c r="J273" s="373"/>
      <c r="K273" s="373"/>
      <c r="L273" s="373"/>
      <c r="M273" s="373"/>
      <c r="N273" s="373"/>
      <c r="O273" s="373"/>
      <c r="P273" s="373"/>
      <c r="Q273" s="373"/>
      <c r="R273" s="373"/>
      <c r="S273" s="373"/>
      <c r="T273" s="373"/>
      <c r="U273" s="373"/>
      <c r="V273" s="373"/>
      <c r="W273" s="373"/>
      <c r="X273" s="373"/>
    </row>
    <row r="274" spans="1:24" ht="18" x14ac:dyDescent="0.55000000000000004">
      <c r="A274" s="373"/>
      <c r="B274" s="373"/>
      <c r="C274" s="373"/>
      <c r="D274" s="373"/>
      <c r="E274" s="373"/>
      <c r="F274" s="373"/>
      <c r="G274" s="373"/>
      <c r="H274" s="373"/>
      <c r="I274" s="373"/>
      <c r="J274" s="373"/>
      <c r="K274" s="373"/>
      <c r="L274" s="373"/>
      <c r="M274" s="373"/>
      <c r="N274" s="373"/>
      <c r="O274" s="373"/>
      <c r="P274" s="373"/>
      <c r="Q274" s="373"/>
      <c r="R274" s="373"/>
      <c r="S274" s="373"/>
      <c r="T274" s="373"/>
      <c r="U274" s="373"/>
      <c r="V274" s="373"/>
      <c r="W274" s="373"/>
      <c r="X274" s="373"/>
    </row>
    <row r="275" spans="1:24" ht="18" x14ac:dyDescent="0.55000000000000004">
      <c r="A275" s="373"/>
      <c r="B275" s="373"/>
      <c r="C275" s="373"/>
      <c r="D275" s="373"/>
      <c r="E275" s="373"/>
      <c r="F275" s="373"/>
      <c r="G275" s="373"/>
      <c r="H275" s="373"/>
      <c r="I275" s="373"/>
      <c r="J275" s="373"/>
      <c r="K275" s="373"/>
      <c r="L275" s="373"/>
      <c r="M275" s="373"/>
      <c r="N275" s="373"/>
      <c r="O275" s="373"/>
      <c r="P275" s="373"/>
      <c r="Q275" s="373"/>
      <c r="R275" s="373"/>
      <c r="S275" s="373"/>
      <c r="T275" s="373"/>
      <c r="U275" s="373"/>
      <c r="V275" s="373"/>
      <c r="W275" s="373"/>
      <c r="X275" s="373"/>
    </row>
    <row r="276" spans="1:24" ht="18" x14ac:dyDescent="0.55000000000000004">
      <c r="A276" s="373"/>
      <c r="B276" s="373"/>
      <c r="C276" s="373"/>
      <c r="D276" s="373"/>
      <c r="E276" s="373"/>
      <c r="F276" s="373"/>
      <c r="G276" s="373"/>
      <c r="H276" s="373"/>
      <c r="I276" s="373"/>
      <c r="J276" s="373"/>
      <c r="K276" s="373"/>
      <c r="L276" s="373"/>
      <c r="M276" s="373"/>
      <c r="N276" s="373"/>
      <c r="O276" s="373"/>
      <c r="P276" s="373"/>
      <c r="Q276" s="373"/>
      <c r="R276" s="373"/>
      <c r="S276" s="373"/>
      <c r="T276" s="373"/>
      <c r="U276" s="373"/>
      <c r="V276" s="373"/>
      <c r="W276" s="373"/>
      <c r="X276" s="373"/>
    </row>
    <row r="277" spans="1:24" ht="18" x14ac:dyDescent="0.55000000000000004">
      <c r="A277" s="373"/>
      <c r="B277" s="373"/>
      <c r="C277" s="373"/>
      <c r="D277" s="373"/>
      <c r="E277" s="373"/>
      <c r="F277" s="373"/>
      <c r="G277" s="373"/>
      <c r="H277" s="373"/>
      <c r="I277" s="373"/>
      <c r="J277" s="373"/>
      <c r="K277" s="373"/>
      <c r="L277" s="373"/>
      <c r="M277" s="373"/>
      <c r="N277" s="373"/>
      <c r="O277" s="373"/>
      <c r="P277" s="373"/>
      <c r="Q277" s="373"/>
      <c r="R277" s="373"/>
      <c r="S277" s="373"/>
      <c r="T277" s="373"/>
      <c r="U277" s="373"/>
      <c r="V277" s="373"/>
      <c r="W277" s="373"/>
      <c r="X277" s="373"/>
    </row>
    <row r="278" spans="1:24" ht="18" x14ac:dyDescent="0.55000000000000004">
      <c r="A278" s="373"/>
      <c r="B278" s="373"/>
      <c r="C278" s="373"/>
      <c r="D278" s="373"/>
      <c r="E278" s="373"/>
      <c r="F278" s="373"/>
      <c r="G278" s="373"/>
      <c r="H278" s="373"/>
      <c r="I278" s="373"/>
      <c r="J278" s="373"/>
      <c r="K278" s="373"/>
      <c r="L278" s="373"/>
      <c r="M278" s="373"/>
      <c r="N278" s="373"/>
      <c r="O278" s="373"/>
      <c r="P278" s="373"/>
      <c r="Q278" s="373"/>
      <c r="R278" s="373"/>
      <c r="S278" s="373"/>
      <c r="T278" s="373"/>
      <c r="U278" s="373"/>
      <c r="V278" s="373"/>
      <c r="W278" s="373"/>
      <c r="X278" s="373"/>
    </row>
    <row r="279" spans="1:24" ht="18" x14ac:dyDescent="0.55000000000000004">
      <c r="A279" s="373"/>
      <c r="B279" s="373"/>
      <c r="C279" s="373"/>
      <c r="D279" s="373"/>
      <c r="E279" s="373"/>
      <c r="F279" s="373"/>
      <c r="G279" s="373"/>
      <c r="H279" s="373"/>
      <c r="I279" s="373"/>
      <c r="J279" s="373"/>
      <c r="K279" s="373"/>
      <c r="L279" s="373"/>
      <c r="M279" s="373"/>
      <c r="N279" s="373"/>
      <c r="O279" s="373"/>
      <c r="P279" s="373"/>
      <c r="Q279" s="373"/>
      <c r="R279" s="373"/>
      <c r="S279" s="373"/>
      <c r="T279" s="373"/>
      <c r="U279" s="373"/>
      <c r="V279" s="373"/>
      <c r="W279" s="373"/>
      <c r="X279" s="373"/>
    </row>
    <row r="280" spans="1:24" ht="18" x14ac:dyDescent="0.55000000000000004">
      <c r="A280" s="373"/>
      <c r="B280" s="373"/>
      <c r="C280" s="373"/>
      <c r="D280" s="373"/>
      <c r="E280" s="373"/>
      <c r="F280" s="373"/>
      <c r="G280" s="373"/>
      <c r="H280" s="373"/>
      <c r="I280" s="373"/>
      <c r="J280" s="373"/>
      <c r="K280" s="373"/>
      <c r="L280" s="373"/>
      <c r="M280" s="373"/>
      <c r="N280" s="373"/>
      <c r="O280" s="373"/>
      <c r="P280" s="373"/>
      <c r="Q280" s="373"/>
      <c r="R280" s="373"/>
      <c r="S280" s="373"/>
      <c r="T280" s="373"/>
      <c r="U280" s="373"/>
      <c r="V280" s="373"/>
      <c r="W280" s="373"/>
      <c r="X280" s="373"/>
    </row>
    <row r="281" spans="1:24" ht="18" x14ac:dyDescent="0.55000000000000004">
      <c r="A281" s="373"/>
      <c r="B281" s="373"/>
      <c r="C281" s="373"/>
      <c r="D281" s="373"/>
      <c r="E281" s="373"/>
      <c r="F281" s="373"/>
      <c r="G281" s="373"/>
      <c r="H281" s="373"/>
      <c r="I281" s="373"/>
      <c r="J281" s="373"/>
      <c r="K281" s="373"/>
      <c r="L281" s="373"/>
      <c r="M281" s="373"/>
      <c r="N281" s="373"/>
      <c r="O281" s="373"/>
      <c r="P281" s="373"/>
      <c r="Q281" s="373"/>
      <c r="R281" s="373"/>
      <c r="S281" s="373"/>
      <c r="T281" s="373"/>
      <c r="U281" s="373"/>
      <c r="V281" s="373"/>
      <c r="W281" s="373"/>
      <c r="X281" s="373"/>
    </row>
    <row r="282" spans="1:24" ht="18" x14ac:dyDescent="0.55000000000000004">
      <c r="A282" s="373"/>
      <c r="B282" s="373"/>
      <c r="C282" s="373"/>
      <c r="D282" s="373"/>
      <c r="E282" s="373"/>
      <c r="F282" s="373"/>
      <c r="G282" s="373"/>
      <c r="H282" s="373"/>
      <c r="I282" s="373"/>
      <c r="J282" s="373"/>
      <c r="K282" s="373"/>
      <c r="L282" s="373"/>
      <c r="M282" s="373"/>
      <c r="N282" s="373"/>
      <c r="O282" s="373"/>
      <c r="P282" s="373"/>
      <c r="Q282" s="373"/>
      <c r="R282" s="373"/>
      <c r="S282" s="373"/>
      <c r="T282" s="373"/>
      <c r="U282" s="373"/>
      <c r="V282" s="373"/>
      <c r="W282" s="373"/>
      <c r="X282" s="373"/>
    </row>
    <row r="283" spans="1:24" ht="18" x14ac:dyDescent="0.55000000000000004">
      <c r="A283" s="373"/>
      <c r="B283" s="373"/>
      <c r="C283" s="373"/>
      <c r="D283" s="373"/>
      <c r="E283" s="373"/>
      <c r="F283" s="373"/>
      <c r="G283" s="373"/>
      <c r="H283" s="373"/>
      <c r="I283" s="373"/>
      <c r="J283" s="373"/>
      <c r="K283" s="373"/>
      <c r="L283" s="373"/>
      <c r="M283" s="373"/>
      <c r="N283" s="373"/>
      <c r="O283" s="373"/>
      <c r="P283" s="373"/>
      <c r="Q283" s="373"/>
      <c r="R283" s="373"/>
      <c r="S283" s="373"/>
      <c r="T283" s="373"/>
      <c r="U283" s="373"/>
      <c r="V283" s="373"/>
      <c r="W283" s="373"/>
      <c r="X283" s="373"/>
    </row>
    <row r="284" spans="1:24" ht="18" x14ac:dyDescent="0.55000000000000004">
      <c r="A284" s="373"/>
      <c r="B284" s="373"/>
      <c r="C284" s="373"/>
      <c r="D284" s="373"/>
      <c r="E284" s="373"/>
      <c r="F284" s="373"/>
      <c r="G284" s="373"/>
      <c r="H284" s="373"/>
      <c r="I284" s="373"/>
      <c r="J284" s="373"/>
      <c r="K284" s="373"/>
      <c r="L284" s="373"/>
      <c r="M284" s="373"/>
      <c r="N284" s="373"/>
      <c r="O284" s="373"/>
      <c r="P284" s="373"/>
      <c r="Q284" s="373"/>
      <c r="R284" s="373"/>
      <c r="S284" s="373"/>
      <c r="T284" s="373"/>
      <c r="U284" s="373"/>
      <c r="V284" s="373"/>
      <c r="W284" s="373"/>
      <c r="X284" s="373"/>
    </row>
    <row r="285" spans="1:24" ht="18" x14ac:dyDescent="0.55000000000000004">
      <c r="A285" s="373"/>
      <c r="B285" s="373"/>
      <c r="C285" s="373"/>
      <c r="D285" s="373"/>
      <c r="E285" s="373"/>
      <c r="F285" s="373"/>
      <c r="G285" s="373"/>
      <c r="H285" s="373"/>
      <c r="I285" s="373"/>
      <c r="J285" s="373"/>
      <c r="K285" s="373"/>
      <c r="L285" s="373"/>
      <c r="M285" s="373"/>
      <c r="N285" s="373"/>
      <c r="O285" s="373"/>
      <c r="P285" s="373"/>
      <c r="Q285" s="373"/>
      <c r="R285" s="373"/>
      <c r="S285" s="373"/>
      <c r="T285" s="373"/>
      <c r="U285" s="373"/>
      <c r="V285" s="373"/>
      <c r="W285" s="373"/>
      <c r="X285" s="373"/>
    </row>
    <row r="286" spans="1:24" ht="18" x14ac:dyDescent="0.55000000000000004">
      <c r="A286" s="373"/>
      <c r="B286" s="373"/>
      <c r="C286" s="373"/>
      <c r="D286" s="373"/>
      <c r="E286" s="373"/>
      <c r="F286" s="373"/>
      <c r="G286" s="373"/>
      <c r="H286" s="373"/>
      <c r="I286" s="373"/>
      <c r="J286" s="373"/>
      <c r="K286" s="373"/>
      <c r="L286" s="373"/>
      <c r="M286" s="373"/>
      <c r="N286" s="373"/>
      <c r="O286" s="373"/>
      <c r="P286" s="373"/>
      <c r="Q286" s="373"/>
      <c r="R286" s="373"/>
      <c r="S286" s="373"/>
      <c r="T286" s="373"/>
      <c r="U286" s="373"/>
      <c r="V286" s="373"/>
      <c r="W286" s="373"/>
      <c r="X286" s="373"/>
    </row>
    <row r="287" spans="1:24" ht="18" x14ac:dyDescent="0.55000000000000004">
      <c r="A287" s="373"/>
      <c r="B287" s="373"/>
      <c r="C287" s="373"/>
      <c r="D287" s="373"/>
      <c r="E287" s="373"/>
      <c r="F287" s="373"/>
      <c r="G287" s="373"/>
      <c r="H287" s="373"/>
      <c r="I287" s="373"/>
      <c r="J287" s="373"/>
      <c r="K287" s="373"/>
      <c r="L287" s="373"/>
      <c r="M287" s="373"/>
      <c r="N287" s="373"/>
      <c r="O287" s="373"/>
      <c r="P287" s="373"/>
      <c r="Q287" s="373"/>
      <c r="R287" s="373"/>
      <c r="S287" s="373"/>
      <c r="T287" s="373"/>
      <c r="U287" s="373"/>
      <c r="V287" s="373"/>
      <c r="W287" s="373"/>
      <c r="X287" s="373"/>
    </row>
    <row r="288" spans="1:24" ht="18" x14ac:dyDescent="0.55000000000000004">
      <c r="A288" s="373"/>
      <c r="B288" s="373"/>
      <c r="C288" s="373"/>
      <c r="D288" s="373"/>
      <c r="E288" s="373"/>
      <c r="F288" s="373"/>
      <c r="G288" s="373"/>
      <c r="H288" s="373"/>
      <c r="I288" s="373"/>
      <c r="J288" s="373"/>
      <c r="K288" s="373"/>
      <c r="L288" s="373"/>
      <c r="M288" s="373"/>
      <c r="N288" s="373"/>
      <c r="O288" s="373"/>
      <c r="P288" s="373"/>
      <c r="Q288" s="373"/>
      <c r="R288" s="373"/>
      <c r="S288" s="373"/>
      <c r="T288" s="373"/>
      <c r="U288" s="373"/>
      <c r="V288" s="373"/>
      <c r="W288" s="373"/>
      <c r="X288" s="373"/>
    </row>
    <row r="289" spans="1:24" ht="18" x14ac:dyDescent="0.55000000000000004">
      <c r="A289" s="373"/>
      <c r="B289" s="373"/>
      <c r="C289" s="373"/>
      <c r="D289" s="373"/>
      <c r="E289" s="373"/>
      <c r="F289" s="373"/>
      <c r="G289" s="373"/>
      <c r="H289" s="373"/>
      <c r="I289" s="373"/>
      <c r="J289" s="373"/>
      <c r="K289" s="373"/>
      <c r="L289" s="373"/>
      <c r="M289" s="373"/>
      <c r="N289" s="373"/>
      <c r="O289" s="373"/>
      <c r="P289" s="373"/>
      <c r="Q289" s="373"/>
      <c r="R289" s="373"/>
      <c r="S289" s="373"/>
      <c r="T289" s="373"/>
      <c r="U289" s="373"/>
      <c r="V289" s="373"/>
      <c r="W289" s="373"/>
      <c r="X289" s="373"/>
    </row>
    <row r="290" spans="1:24" ht="18" x14ac:dyDescent="0.55000000000000004">
      <c r="A290" s="373"/>
      <c r="B290" s="373"/>
      <c r="C290" s="373"/>
      <c r="D290" s="373"/>
      <c r="E290" s="373"/>
      <c r="F290" s="373"/>
      <c r="G290" s="373"/>
      <c r="H290" s="373"/>
      <c r="I290" s="373"/>
      <c r="J290" s="373"/>
      <c r="K290" s="373"/>
      <c r="L290" s="373"/>
      <c r="M290" s="373"/>
      <c r="N290" s="373"/>
      <c r="O290" s="373"/>
      <c r="P290" s="373"/>
      <c r="Q290" s="373"/>
      <c r="R290" s="373"/>
      <c r="S290" s="373"/>
      <c r="T290" s="373"/>
      <c r="U290" s="373"/>
      <c r="V290" s="373"/>
      <c r="W290" s="373"/>
      <c r="X290" s="373"/>
    </row>
    <row r="291" spans="1:24" ht="18" x14ac:dyDescent="0.55000000000000004">
      <c r="A291" s="373"/>
      <c r="B291" s="373"/>
      <c r="C291" s="373"/>
      <c r="D291" s="373"/>
      <c r="E291" s="373"/>
      <c r="F291" s="373"/>
      <c r="G291" s="373"/>
      <c r="H291" s="373"/>
      <c r="I291" s="373"/>
      <c r="J291" s="373"/>
      <c r="K291" s="373"/>
      <c r="L291" s="373"/>
      <c r="M291" s="373"/>
      <c r="N291" s="373"/>
      <c r="O291" s="373"/>
      <c r="P291" s="373"/>
      <c r="Q291" s="373"/>
      <c r="R291" s="373"/>
      <c r="S291" s="373"/>
      <c r="T291" s="373"/>
      <c r="U291" s="373"/>
      <c r="V291" s="373"/>
      <c r="W291" s="373"/>
      <c r="X291" s="373"/>
    </row>
    <row r="292" spans="1:24" ht="18" x14ac:dyDescent="0.55000000000000004">
      <c r="A292" s="373"/>
      <c r="B292" s="373"/>
      <c r="C292" s="373"/>
      <c r="D292" s="373"/>
      <c r="E292" s="373"/>
      <c r="F292" s="373"/>
      <c r="G292" s="373"/>
      <c r="H292" s="373"/>
      <c r="I292" s="373"/>
      <c r="J292" s="373"/>
      <c r="K292" s="373"/>
      <c r="L292" s="373"/>
      <c r="M292" s="373"/>
      <c r="N292" s="373"/>
      <c r="O292" s="373"/>
      <c r="P292" s="373"/>
      <c r="Q292" s="373"/>
      <c r="R292" s="373"/>
      <c r="S292" s="373"/>
      <c r="T292" s="373"/>
      <c r="U292" s="373"/>
      <c r="V292" s="373"/>
      <c r="W292" s="373"/>
      <c r="X292" s="373"/>
    </row>
    <row r="293" spans="1:24" ht="18" x14ac:dyDescent="0.55000000000000004">
      <c r="A293" s="373"/>
      <c r="B293" s="373"/>
      <c r="C293" s="373"/>
      <c r="D293" s="373"/>
      <c r="E293" s="373"/>
      <c r="F293" s="373"/>
      <c r="G293" s="373"/>
      <c r="H293" s="373"/>
      <c r="I293" s="373"/>
      <c r="J293" s="373"/>
      <c r="K293" s="373"/>
      <c r="L293" s="373"/>
      <c r="M293" s="373"/>
      <c r="N293" s="373"/>
      <c r="O293" s="373"/>
      <c r="P293" s="373"/>
      <c r="Q293" s="373"/>
      <c r="R293" s="373"/>
      <c r="S293" s="373"/>
      <c r="T293" s="373"/>
      <c r="U293" s="373"/>
      <c r="V293" s="373"/>
      <c r="W293" s="373"/>
      <c r="X293" s="373"/>
    </row>
    <row r="294" spans="1:24" ht="18" x14ac:dyDescent="0.55000000000000004">
      <c r="A294" s="373"/>
      <c r="B294" s="373"/>
      <c r="C294" s="373"/>
      <c r="D294" s="373"/>
      <c r="E294" s="373"/>
      <c r="F294" s="373"/>
      <c r="G294" s="373"/>
      <c r="H294" s="373"/>
      <c r="I294" s="373"/>
      <c r="J294" s="373"/>
      <c r="K294" s="373"/>
      <c r="L294" s="373"/>
      <c r="M294" s="373"/>
      <c r="N294" s="373"/>
      <c r="O294" s="373"/>
      <c r="P294" s="373"/>
      <c r="Q294" s="373"/>
      <c r="R294" s="373"/>
      <c r="S294" s="373"/>
      <c r="T294" s="373"/>
      <c r="U294" s="373"/>
      <c r="V294" s="373"/>
      <c r="W294" s="373"/>
      <c r="X294" s="373"/>
    </row>
    <row r="295" spans="1:24" ht="18" x14ac:dyDescent="0.55000000000000004">
      <c r="A295" s="373"/>
      <c r="B295" s="373"/>
      <c r="C295" s="373"/>
      <c r="D295" s="373"/>
      <c r="E295" s="373"/>
      <c r="F295" s="373"/>
      <c r="G295" s="373"/>
      <c r="H295" s="373"/>
      <c r="I295" s="373"/>
      <c r="J295" s="373"/>
      <c r="K295" s="373"/>
      <c r="L295" s="373"/>
      <c r="M295" s="373"/>
      <c r="N295" s="373"/>
      <c r="O295" s="373"/>
      <c r="P295" s="373"/>
      <c r="Q295" s="373"/>
      <c r="R295" s="373"/>
      <c r="S295" s="373"/>
      <c r="T295" s="373"/>
      <c r="U295" s="373"/>
      <c r="V295" s="373"/>
      <c r="W295" s="373"/>
      <c r="X295" s="373"/>
    </row>
    <row r="296" spans="1:24" ht="18" x14ac:dyDescent="0.55000000000000004">
      <c r="A296" s="373"/>
      <c r="B296" s="373"/>
      <c r="C296" s="373"/>
      <c r="D296" s="373"/>
      <c r="E296" s="373"/>
      <c r="F296" s="373"/>
      <c r="G296" s="373"/>
      <c r="H296" s="373"/>
      <c r="I296" s="373"/>
      <c r="J296" s="373"/>
      <c r="K296" s="373"/>
      <c r="L296" s="373"/>
      <c r="M296" s="373"/>
      <c r="N296" s="373"/>
      <c r="O296" s="373"/>
      <c r="P296" s="373"/>
      <c r="Q296" s="373"/>
      <c r="R296" s="373"/>
      <c r="S296" s="373"/>
      <c r="T296" s="373"/>
      <c r="U296" s="373"/>
      <c r="V296" s="373"/>
      <c r="W296" s="373"/>
      <c r="X296" s="373"/>
    </row>
    <row r="297" spans="1:24" ht="18" x14ac:dyDescent="0.55000000000000004">
      <c r="A297" s="373"/>
      <c r="B297" s="373"/>
      <c r="C297" s="373"/>
      <c r="D297" s="373"/>
      <c r="E297" s="373"/>
      <c r="F297" s="373"/>
      <c r="G297" s="373"/>
      <c r="H297" s="373"/>
      <c r="I297" s="373"/>
      <c r="J297" s="373"/>
      <c r="K297" s="373"/>
      <c r="L297" s="373"/>
      <c r="M297" s="373"/>
      <c r="N297" s="373"/>
      <c r="O297" s="373"/>
      <c r="P297" s="373"/>
      <c r="Q297" s="373"/>
      <c r="R297" s="373"/>
      <c r="S297" s="373"/>
      <c r="T297" s="373"/>
      <c r="U297" s="373"/>
      <c r="V297" s="373"/>
      <c r="W297" s="373"/>
      <c r="X297" s="373"/>
    </row>
    <row r="298" spans="1:24" ht="18" x14ac:dyDescent="0.55000000000000004">
      <c r="A298" s="373"/>
      <c r="B298" s="373"/>
      <c r="C298" s="373"/>
      <c r="D298" s="373"/>
      <c r="E298" s="373"/>
      <c r="F298" s="373"/>
      <c r="G298" s="373"/>
      <c r="H298" s="373"/>
      <c r="I298" s="373"/>
      <c r="J298" s="373"/>
      <c r="K298" s="373"/>
      <c r="L298" s="373"/>
      <c r="M298" s="373"/>
      <c r="N298" s="373"/>
      <c r="O298" s="373"/>
      <c r="P298" s="373"/>
      <c r="Q298" s="373"/>
      <c r="R298" s="373"/>
      <c r="S298" s="373"/>
      <c r="T298" s="373"/>
      <c r="U298" s="373"/>
      <c r="V298" s="373"/>
      <c r="W298" s="373"/>
      <c r="X298" s="373"/>
    </row>
    <row r="299" spans="1:24" ht="18" x14ac:dyDescent="0.55000000000000004">
      <c r="A299" s="373"/>
      <c r="B299" s="373"/>
      <c r="C299" s="373"/>
      <c r="D299" s="373"/>
      <c r="E299" s="373"/>
      <c r="F299" s="373"/>
      <c r="G299" s="373"/>
      <c r="H299" s="373"/>
      <c r="I299" s="373"/>
      <c r="J299" s="373"/>
      <c r="K299" s="373"/>
      <c r="L299" s="373"/>
      <c r="M299" s="373"/>
      <c r="N299" s="373"/>
      <c r="O299" s="373"/>
      <c r="P299" s="373"/>
      <c r="Q299" s="373"/>
      <c r="R299" s="373"/>
      <c r="S299" s="373"/>
      <c r="T299" s="373"/>
      <c r="U299" s="373"/>
      <c r="V299" s="373"/>
      <c r="W299" s="373"/>
      <c r="X299" s="373"/>
    </row>
    <row r="300" spans="1:24" ht="18" x14ac:dyDescent="0.55000000000000004">
      <c r="A300" s="373"/>
      <c r="B300" s="373"/>
      <c r="C300" s="373"/>
      <c r="D300" s="373"/>
      <c r="E300" s="373"/>
      <c r="F300" s="373"/>
      <c r="G300" s="373"/>
      <c r="H300" s="373"/>
      <c r="I300" s="373"/>
      <c r="J300" s="373"/>
      <c r="K300" s="373"/>
      <c r="L300" s="373"/>
      <c r="M300" s="373"/>
      <c r="N300" s="373"/>
      <c r="O300" s="373"/>
      <c r="P300" s="373"/>
      <c r="Q300" s="373"/>
      <c r="R300" s="373"/>
      <c r="S300" s="373"/>
      <c r="T300" s="373"/>
      <c r="U300" s="373"/>
      <c r="V300" s="373"/>
      <c r="W300" s="373"/>
      <c r="X300" s="373"/>
    </row>
    <row r="301" spans="1:24" ht="18" x14ac:dyDescent="0.55000000000000004">
      <c r="A301" s="373"/>
      <c r="B301" s="373"/>
      <c r="C301" s="373"/>
      <c r="D301" s="373"/>
      <c r="E301" s="373"/>
      <c r="F301" s="373"/>
      <c r="G301" s="373"/>
      <c r="H301" s="373"/>
      <c r="I301" s="373"/>
      <c r="J301" s="373"/>
      <c r="K301" s="373"/>
      <c r="L301" s="373"/>
      <c r="M301" s="373"/>
      <c r="N301" s="373"/>
      <c r="O301" s="373"/>
      <c r="P301" s="373"/>
      <c r="Q301" s="373"/>
      <c r="R301" s="373"/>
      <c r="S301" s="373"/>
      <c r="T301" s="373"/>
      <c r="U301" s="373"/>
      <c r="V301" s="373"/>
      <c r="W301" s="373"/>
      <c r="X301" s="373"/>
    </row>
    <row r="302" spans="1:24" ht="18" x14ac:dyDescent="0.55000000000000004">
      <c r="A302" s="373"/>
      <c r="B302" s="373"/>
      <c r="C302" s="373"/>
      <c r="D302" s="373"/>
      <c r="E302" s="373"/>
      <c r="F302" s="373"/>
      <c r="G302" s="373"/>
      <c r="H302" s="373"/>
      <c r="I302" s="373"/>
      <c r="J302" s="373"/>
      <c r="K302" s="373"/>
      <c r="L302" s="373"/>
      <c r="M302" s="373"/>
      <c r="N302" s="373"/>
      <c r="O302" s="373"/>
      <c r="P302" s="373"/>
      <c r="Q302" s="373"/>
      <c r="R302" s="373"/>
      <c r="S302" s="373"/>
      <c r="T302" s="373"/>
      <c r="U302" s="373"/>
      <c r="V302" s="373"/>
      <c r="W302" s="373"/>
      <c r="X302" s="373"/>
    </row>
    <row r="303" spans="1:24" ht="18" x14ac:dyDescent="0.55000000000000004">
      <c r="A303" s="373"/>
      <c r="B303" s="373"/>
      <c r="C303" s="373"/>
      <c r="D303" s="373"/>
      <c r="E303" s="373"/>
      <c r="F303" s="373"/>
      <c r="G303" s="373"/>
      <c r="H303" s="373"/>
      <c r="I303" s="373"/>
      <c r="J303" s="373"/>
      <c r="K303" s="373"/>
      <c r="L303" s="373"/>
      <c r="M303" s="373"/>
      <c r="N303" s="373"/>
      <c r="O303" s="373"/>
      <c r="P303" s="373"/>
      <c r="Q303" s="373"/>
      <c r="R303" s="373"/>
      <c r="S303" s="373"/>
      <c r="T303" s="373"/>
      <c r="U303" s="373"/>
      <c r="V303" s="373"/>
      <c r="W303" s="373"/>
      <c r="X303" s="373"/>
    </row>
    <row r="304" spans="1:24" ht="18" x14ac:dyDescent="0.55000000000000004">
      <c r="A304" s="373"/>
      <c r="B304" s="373"/>
      <c r="C304" s="373"/>
      <c r="D304" s="373"/>
      <c r="E304" s="373"/>
      <c r="F304" s="373"/>
      <c r="G304" s="373"/>
      <c r="H304" s="373"/>
      <c r="I304" s="373"/>
      <c r="J304" s="373"/>
      <c r="K304" s="373"/>
      <c r="L304" s="373"/>
      <c r="M304" s="373"/>
      <c r="N304" s="373"/>
      <c r="O304" s="373"/>
      <c r="P304" s="373"/>
      <c r="Q304" s="373"/>
      <c r="R304" s="373"/>
      <c r="S304" s="373"/>
      <c r="T304" s="373"/>
      <c r="U304" s="373"/>
      <c r="V304" s="373"/>
      <c r="W304" s="373"/>
      <c r="X304" s="373"/>
    </row>
    <row r="305" spans="1:24" ht="18" x14ac:dyDescent="0.55000000000000004">
      <c r="A305" s="373"/>
      <c r="B305" s="373"/>
      <c r="C305" s="373"/>
      <c r="D305" s="373"/>
      <c r="E305" s="373"/>
      <c r="F305" s="373"/>
      <c r="G305" s="373"/>
      <c r="H305" s="373"/>
      <c r="I305" s="373"/>
      <c r="J305" s="373"/>
      <c r="K305" s="373"/>
      <c r="L305" s="373"/>
      <c r="M305" s="373"/>
      <c r="N305" s="373"/>
      <c r="O305" s="373"/>
      <c r="P305" s="373"/>
      <c r="Q305" s="373"/>
      <c r="R305" s="373"/>
      <c r="S305" s="373"/>
      <c r="T305" s="373"/>
      <c r="U305" s="373"/>
      <c r="V305" s="373"/>
      <c r="W305" s="373"/>
      <c r="X305" s="373"/>
    </row>
    <row r="306" spans="1:24" ht="18" x14ac:dyDescent="0.55000000000000004">
      <c r="A306" s="373"/>
      <c r="B306" s="373"/>
      <c r="C306" s="373"/>
      <c r="D306" s="373"/>
      <c r="E306" s="373"/>
      <c r="F306" s="373"/>
      <c r="G306" s="373"/>
      <c r="H306" s="373"/>
      <c r="I306" s="373"/>
      <c r="J306" s="373"/>
      <c r="K306" s="373"/>
      <c r="L306" s="373"/>
      <c r="M306" s="373"/>
      <c r="N306" s="373"/>
      <c r="O306" s="373"/>
      <c r="P306" s="373"/>
      <c r="Q306" s="373"/>
      <c r="R306" s="373"/>
      <c r="S306" s="373"/>
      <c r="T306" s="373"/>
      <c r="U306" s="373"/>
      <c r="V306" s="373"/>
      <c r="W306" s="373"/>
      <c r="X306" s="373"/>
    </row>
    <row r="307" spans="1:24" ht="18" x14ac:dyDescent="0.55000000000000004">
      <c r="A307" s="373"/>
      <c r="B307" s="373"/>
      <c r="C307" s="373"/>
      <c r="D307" s="373"/>
      <c r="E307" s="373"/>
      <c r="F307" s="373"/>
      <c r="G307" s="373"/>
      <c r="H307" s="373"/>
      <c r="I307" s="373"/>
      <c r="J307" s="373"/>
      <c r="K307" s="373"/>
      <c r="L307" s="373"/>
      <c r="M307" s="373"/>
      <c r="N307" s="373"/>
      <c r="O307" s="373"/>
      <c r="P307" s="373"/>
      <c r="Q307" s="373"/>
      <c r="R307" s="373"/>
      <c r="S307" s="373"/>
      <c r="T307" s="373"/>
      <c r="U307" s="373"/>
      <c r="V307" s="373"/>
      <c r="W307" s="373"/>
      <c r="X307" s="373"/>
    </row>
    <row r="308" spans="1:24" ht="18" x14ac:dyDescent="0.55000000000000004">
      <c r="A308" s="373"/>
      <c r="B308" s="373"/>
      <c r="C308" s="373"/>
      <c r="D308" s="373"/>
      <c r="E308" s="373"/>
      <c r="F308" s="373"/>
      <c r="G308" s="373"/>
      <c r="H308" s="373"/>
      <c r="I308" s="373"/>
      <c r="J308" s="373"/>
      <c r="K308" s="373"/>
      <c r="L308" s="373"/>
      <c r="M308" s="373"/>
      <c r="N308" s="373"/>
      <c r="O308" s="373"/>
      <c r="P308" s="373"/>
      <c r="Q308" s="373"/>
      <c r="R308" s="373"/>
      <c r="S308" s="373"/>
      <c r="T308" s="373"/>
      <c r="U308" s="373"/>
      <c r="V308" s="373"/>
      <c r="W308" s="373"/>
      <c r="X308" s="373"/>
    </row>
    <row r="309" spans="1:24" ht="18" x14ac:dyDescent="0.55000000000000004">
      <c r="A309" s="373"/>
      <c r="B309" s="373"/>
      <c r="C309" s="373"/>
      <c r="D309" s="373"/>
      <c r="E309" s="373"/>
      <c r="F309" s="373"/>
      <c r="G309" s="373"/>
      <c r="H309" s="373"/>
      <c r="I309" s="373"/>
      <c r="J309" s="373"/>
      <c r="K309" s="373"/>
      <c r="L309" s="373"/>
      <c r="M309" s="373"/>
      <c r="N309" s="373"/>
      <c r="O309" s="373"/>
      <c r="P309" s="373"/>
      <c r="Q309" s="373"/>
      <c r="R309" s="373"/>
      <c r="S309" s="373"/>
      <c r="T309" s="373"/>
      <c r="U309" s="373"/>
      <c r="V309" s="373"/>
      <c r="W309" s="373"/>
      <c r="X309" s="373"/>
    </row>
    <row r="310" spans="1:24" ht="18" x14ac:dyDescent="0.55000000000000004">
      <c r="A310" s="373"/>
      <c r="B310" s="373"/>
      <c r="C310" s="373"/>
      <c r="D310" s="373"/>
      <c r="E310" s="373"/>
      <c r="F310" s="373"/>
      <c r="G310" s="373"/>
      <c r="H310" s="373"/>
      <c r="I310" s="373"/>
      <c r="J310" s="373"/>
      <c r="K310" s="373"/>
      <c r="L310" s="373"/>
      <c r="M310" s="373"/>
      <c r="N310" s="373"/>
      <c r="O310" s="373"/>
      <c r="P310" s="373"/>
      <c r="Q310" s="373"/>
      <c r="R310" s="373"/>
      <c r="S310" s="373"/>
      <c r="T310" s="373"/>
      <c r="U310" s="373"/>
      <c r="V310" s="373"/>
      <c r="W310" s="373"/>
      <c r="X310" s="373"/>
    </row>
    <row r="311" spans="1:24" ht="18" x14ac:dyDescent="0.55000000000000004">
      <c r="A311" s="373"/>
      <c r="B311" s="373"/>
      <c r="C311" s="373"/>
      <c r="D311" s="373"/>
      <c r="E311" s="373"/>
      <c r="F311" s="373"/>
      <c r="G311" s="373"/>
      <c r="H311" s="373"/>
      <c r="I311" s="373"/>
      <c r="J311" s="373"/>
      <c r="K311" s="373"/>
      <c r="L311" s="373"/>
      <c r="M311" s="373"/>
      <c r="N311" s="373"/>
      <c r="O311" s="373"/>
      <c r="P311" s="373"/>
      <c r="Q311" s="373"/>
      <c r="R311" s="373"/>
      <c r="S311" s="373"/>
      <c r="T311" s="373"/>
      <c r="U311" s="373"/>
      <c r="V311" s="373"/>
      <c r="W311" s="373"/>
      <c r="X311" s="373"/>
    </row>
    <row r="312" spans="1:24" ht="18" x14ac:dyDescent="0.55000000000000004">
      <c r="A312" s="373"/>
      <c r="B312" s="373"/>
      <c r="C312" s="373"/>
      <c r="D312" s="373"/>
      <c r="E312" s="373"/>
      <c r="F312" s="373"/>
      <c r="G312" s="373"/>
      <c r="H312" s="373"/>
      <c r="I312" s="373"/>
      <c r="J312" s="373"/>
      <c r="K312" s="373"/>
      <c r="L312" s="373"/>
      <c r="M312" s="373"/>
      <c r="N312" s="373"/>
      <c r="O312" s="373"/>
      <c r="P312" s="373"/>
      <c r="Q312" s="373"/>
      <c r="R312" s="373"/>
      <c r="S312" s="373"/>
      <c r="T312" s="373"/>
      <c r="U312" s="373"/>
      <c r="V312" s="373"/>
      <c r="W312" s="373"/>
      <c r="X312" s="373"/>
    </row>
    <row r="313" spans="1:24" ht="18" x14ac:dyDescent="0.55000000000000004">
      <c r="A313" s="373"/>
      <c r="B313" s="373"/>
      <c r="C313" s="373"/>
      <c r="D313" s="373"/>
      <c r="E313" s="373"/>
      <c r="F313" s="373"/>
      <c r="G313" s="373"/>
      <c r="H313" s="373"/>
      <c r="I313" s="373"/>
      <c r="J313" s="373"/>
      <c r="K313" s="373"/>
      <c r="L313" s="373"/>
      <c r="M313" s="373"/>
      <c r="N313" s="373"/>
      <c r="O313" s="373"/>
      <c r="P313" s="373"/>
      <c r="Q313" s="373"/>
      <c r="R313" s="373"/>
      <c r="S313" s="373"/>
      <c r="T313" s="373"/>
      <c r="U313" s="373"/>
      <c r="V313" s="373"/>
      <c r="W313" s="373"/>
      <c r="X313" s="373"/>
    </row>
    <row r="314" spans="1:24" ht="18" x14ac:dyDescent="0.55000000000000004">
      <c r="A314" s="373"/>
      <c r="B314" s="373"/>
      <c r="C314" s="373"/>
      <c r="D314" s="373"/>
      <c r="E314" s="373"/>
      <c r="F314" s="373"/>
      <c r="G314" s="373"/>
      <c r="H314" s="373"/>
      <c r="I314" s="373"/>
      <c r="J314" s="373"/>
      <c r="K314" s="373"/>
      <c r="L314" s="373"/>
      <c r="M314" s="373"/>
      <c r="N314" s="373"/>
      <c r="O314" s="373"/>
      <c r="P314" s="373"/>
      <c r="Q314" s="373"/>
      <c r="R314" s="373"/>
      <c r="S314" s="373"/>
      <c r="T314" s="373"/>
      <c r="U314" s="373"/>
      <c r="V314" s="373"/>
      <c r="W314" s="373"/>
      <c r="X314" s="373"/>
    </row>
    <row r="315" spans="1:24" ht="18" x14ac:dyDescent="0.55000000000000004">
      <c r="A315" s="373"/>
      <c r="B315" s="373"/>
      <c r="C315" s="373"/>
      <c r="D315" s="373"/>
      <c r="E315" s="373"/>
      <c r="F315" s="373"/>
      <c r="G315" s="373"/>
      <c r="H315" s="373"/>
      <c r="I315" s="373"/>
      <c r="J315" s="373"/>
      <c r="K315" s="373"/>
      <c r="L315" s="373"/>
      <c r="M315" s="373"/>
      <c r="N315" s="373"/>
      <c r="O315" s="373"/>
      <c r="P315" s="373"/>
      <c r="Q315" s="373"/>
      <c r="R315" s="373"/>
      <c r="S315" s="373"/>
      <c r="T315" s="373"/>
      <c r="U315" s="373"/>
      <c r="V315" s="373"/>
      <c r="W315" s="373"/>
      <c r="X315" s="373"/>
    </row>
    <row r="316" spans="1:24" ht="18" x14ac:dyDescent="0.55000000000000004">
      <c r="A316" s="373"/>
      <c r="B316" s="373"/>
      <c r="C316" s="373"/>
      <c r="D316" s="373"/>
      <c r="E316" s="373"/>
      <c r="F316" s="373"/>
      <c r="G316" s="373"/>
      <c r="H316" s="373"/>
      <c r="I316" s="373"/>
      <c r="J316" s="373"/>
      <c r="K316" s="373"/>
      <c r="L316" s="373"/>
      <c r="M316" s="373"/>
      <c r="N316" s="373"/>
      <c r="O316" s="373"/>
      <c r="P316" s="373"/>
      <c r="Q316" s="373"/>
      <c r="R316" s="373"/>
      <c r="S316" s="373"/>
      <c r="T316" s="373"/>
      <c r="U316" s="373"/>
      <c r="V316" s="373"/>
      <c r="W316" s="373"/>
      <c r="X316" s="373"/>
    </row>
    <row r="317" spans="1:24" ht="18" x14ac:dyDescent="0.55000000000000004">
      <c r="A317" s="373"/>
      <c r="B317" s="373"/>
      <c r="C317" s="373"/>
      <c r="D317" s="373"/>
      <c r="E317" s="373"/>
      <c r="F317" s="373"/>
      <c r="G317" s="373"/>
      <c r="H317" s="373"/>
      <c r="I317" s="373"/>
      <c r="J317" s="373"/>
      <c r="K317" s="373"/>
      <c r="L317" s="373"/>
      <c r="M317" s="373"/>
      <c r="N317" s="373"/>
      <c r="O317" s="373"/>
      <c r="P317" s="373"/>
      <c r="Q317" s="373"/>
      <c r="R317" s="373"/>
      <c r="S317" s="373"/>
      <c r="T317" s="373"/>
      <c r="U317" s="373"/>
      <c r="V317" s="373"/>
      <c r="W317" s="373"/>
      <c r="X317" s="373"/>
    </row>
    <row r="318" spans="1:24" ht="18" x14ac:dyDescent="0.55000000000000004">
      <c r="A318" s="373"/>
      <c r="B318" s="373"/>
      <c r="C318" s="373"/>
      <c r="D318" s="373"/>
      <c r="E318" s="373"/>
      <c r="F318" s="373"/>
      <c r="G318" s="373"/>
      <c r="H318" s="373"/>
      <c r="I318" s="373"/>
      <c r="J318" s="373"/>
      <c r="K318" s="373"/>
      <c r="L318" s="373"/>
      <c r="M318" s="373"/>
      <c r="N318" s="373"/>
      <c r="O318" s="373"/>
      <c r="P318" s="373"/>
      <c r="Q318" s="373"/>
      <c r="R318" s="373"/>
      <c r="S318" s="373"/>
      <c r="T318" s="373"/>
      <c r="U318" s="373"/>
      <c r="V318" s="373"/>
      <c r="W318" s="373"/>
      <c r="X318" s="373"/>
    </row>
    <row r="319" spans="1:24" ht="18" x14ac:dyDescent="0.55000000000000004">
      <c r="A319" s="373"/>
      <c r="B319" s="373"/>
      <c r="C319" s="373"/>
      <c r="D319" s="373"/>
      <c r="E319" s="373"/>
      <c r="F319" s="373"/>
      <c r="G319" s="373"/>
      <c r="H319" s="373"/>
      <c r="I319" s="373"/>
      <c r="J319" s="373"/>
      <c r="K319" s="373"/>
      <c r="L319" s="373"/>
      <c r="M319" s="373"/>
      <c r="N319" s="373"/>
      <c r="O319" s="373"/>
      <c r="P319" s="373"/>
      <c r="Q319" s="373"/>
      <c r="R319" s="373"/>
      <c r="S319" s="373"/>
      <c r="T319" s="373"/>
      <c r="U319" s="373"/>
      <c r="V319" s="373"/>
      <c r="W319" s="373"/>
      <c r="X319" s="373"/>
    </row>
    <row r="320" spans="1:24" ht="18" x14ac:dyDescent="0.55000000000000004">
      <c r="A320" s="373"/>
      <c r="B320" s="373"/>
      <c r="C320" s="373"/>
      <c r="D320" s="373"/>
      <c r="E320" s="373"/>
      <c r="F320" s="373"/>
      <c r="G320" s="373"/>
      <c r="H320" s="373"/>
      <c r="I320" s="373"/>
      <c r="J320" s="373"/>
      <c r="K320" s="373"/>
      <c r="L320" s="373"/>
      <c r="M320" s="373"/>
      <c r="N320" s="373"/>
      <c r="O320" s="373"/>
      <c r="P320" s="373"/>
      <c r="Q320" s="373"/>
      <c r="R320" s="373"/>
      <c r="S320" s="373"/>
      <c r="T320" s="373"/>
      <c r="U320" s="373"/>
      <c r="V320" s="373"/>
      <c r="W320" s="373"/>
      <c r="X320" s="373"/>
    </row>
    <row r="321" spans="1:24" ht="18" x14ac:dyDescent="0.55000000000000004">
      <c r="A321" s="373"/>
      <c r="B321" s="373"/>
      <c r="C321" s="373"/>
      <c r="D321" s="373"/>
      <c r="E321" s="373"/>
      <c r="F321" s="373"/>
      <c r="G321" s="373"/>
      <c r="H321" s="373"/>
      <c r="I321" s="373"/>
      <c r="J321" s="373"/>
      <c r="K321" s="373"/>
      <c r="L321" s="373"/>
      <c r="M321" s="373"/>
      <c r="N321" s="373"/>
      <c r="O321" s="373"/>
      <c r="P321" s="373"/>
      <c r="Q321" s="373"/>
      <c r="R321" s="373"/>
      <c r="S321" s="373"/>
      <c r="T321" s="373"/>
      <c r="U321" s="373"/>
      <c r="V321" s="373"/>
      <c r="W321" s="373"/>
      <c r="X321" s="373"/>
    </row>
    <row r="322" spans="1:24" ht="18" x14ac:dyDescent="0.55000000000000004">
      <c r="A322" s="373"/>
      <c r="B322" s="373"/>
      <c r="C322" s="373"/>
      <c r="D322" s="373"/>
      <c r="E322" s="373"/>
      <c r="F322" s="373"/>
      <c r="G322" s="373"/>
      <c r="H322" s="373"/>
      <c r="I322" s="373"/>
      <c r="J322" s="373"/>
      <c r="K322" s="373"/>
      <c r="L322" s="373"/>
      <c r="M322" s="373"/>
      <c r="N322" s="373"/>
      <c r="O322" s="373"/>
      <c r="P322" s="373"/>
      <c r="Q322" s="373"/>
      <c r="R322" s="373"/>
      <c r="S322" s="373"/>
      <c r="T322" s="373"/>
      <c r="U322" s="373"/>
      <c r="V322" s="373"/>
      <c r="W322" s="373"/>
      <c r="X322" s="373"/>
    </row>
    <row r="323" spans="1:24" ht="18" x14ac:dyDescent="0.55000000000000004">
      <c r="A323" s="373"/>
      <c r="B323" s="373"/>
      <c r="C323" s="373"/>
      <c r="D323" s="373"/>
      <c r="E323" s="373"/>
      <c r="F323" s="373"/>
      <c r="G323" s="373"/>
      <c r="H323" s="373"/>
      <c r="I323" s="373"/>
      <c r="J323" s="373"/>
      <c r="K323" s="373"/>
      <c r="L323" s="373"/>
      <c r="M323" s="373"/>
      <c r="N323" s="373"/>
      <c r="O323" s="373"/>
      <c r="P323" s="373"/>
      <c r="Q323" s="373"/>
      <c r="R323" s="373"/>
      <c r="S323" s="373"/>
      <c r="T323" s="373"/>
      <c r="U323" s="373"/>
      <c r="V323" s="373"/>
      <c r="W323" s="373"/>
      <c r="X323" s="373"/>
    </row>
    <row r="324" spans="1:24" ht="18" x14ac:dyDescent="0.55000000000000004">
      <c r="A324" s="373"/>
      <c r="B324" s="373"/>
      <c r="C324" s="373"/>
      <c r="D324" s="373"/>
      <c r="E324" s="373"/>
      <c r="F324" s="373"/>
      <c r="G324" s="373"/>
      <c r="H324" s="373"/>
      <c r="I324" s="373"/>
      <c r="J324" s="373"/>
      <c r="K324" s="373"/>
      <c r="L324" s="373"/>
      <c r="M324" s="373"/>
      <c r="N324" s="373"/>
      <c r="O324" s="373"/>
      <c r="P324" s="373"/>
      <c r="Q324" s="373"/>
      <c r="R324" s="373"/>
      <c r="S324" s="373"/>
      <c r="T324" s="373"/>
      <c r="U324" s="373"/>
      <c r="V324" s="373"/>
      <c r="W324" s="373"/>
      <c r="X324" s="373"/>
    </row>
    <row r="325" spans="1:24" ht="18" x14ac:dyDescent="0.55000000000000004">
      <c r="A325" s="373"/>
      <c r="B325" s="373"/>
      <c r="C325" s="373"/>
      <c r="D325" s="373"/>
      <c r="E325" s="373"/>
      <c r="F325" s="373"/>
      <c r="G325" s="373"/>
      <c r="H325" s="373"/>
      <c r="I325" s="373"/>
      <c r="J325" s="373"/>
      <c r="K325" s="373"/>
      <c r="L325" s="373"/>
      <c r="M325" s="373"/>
      <c r="N325" s="373"/>
      <c r="O325" s="373"/>
      <c r="P325" s="373"/>
      <c r="Q325" s="373"/>
      <c r="R325" s="373"/>
      <c r="S325" s="373"/>
      <c r="T325" s="373"/>
      <c r="U325" s="373"/>
      <c r="V325" s="373"/>
      <c r="W325" s="373"/>
      <c r="X325" s="373"/>
    </row>
    <row r="326" spans="1:24" ht="18" x14ac:dyDescent="0.55000000000000004">
      <c r="A326" s="373"/>
      <c r="B326" s="373"/>
      <c r="C326" s="373"/>
      <c r="D326" s="373"/>
      <c r="E326" s="373"/>
      <c r="F326" s="373"/>
      <c r="G326" s="373"/>
      <c r="H326" s="373"/>
      <c r="I326" s="373"/>
      <c r="J326" s="373"/>
      <c r="K326" s="373"/>
      <c r="L326" s="373"/>
      <c r="M326" s="373"/>
      <c r="N326" s="373"/>
      <c r="O326" s="373"/>
      <c r="P326" s="373"/>
      <c r="Q326" s="373"/>
      <c r="R326" s="373"/>
      <c r="S326" s="373"/>
      <c r="T326" s="373"/>
      <c r="U326" s="373"/>
      <c r="V326" s="373"/>
      <c r="W326" s="373"/>
      <c r="X326" s="373"/>
    </row>
    <row r="327" spans="1:24" ht="18" x14ac:dyDescent="0.55000000000000004">
      <c r="A327" s="373"/>
      <c r="B327" s="373"/>
      <c r="C327" s="373"/>
      <c r="D327" s="373"/>
      <c r="E327" s="373"/>
      <c r="F327" s="373"/>
      <c r="G327" s="373"/>
      <c r="H327" s="373"/>
      <c r="I327" s="373"/>
      <c r="J327" s="373"/>
      <c r="K327" s="373"/>
      <c r="L327" s="373"/>
      <c r="M327" s="373"/>
      <c r="N327" s="373"/>
      <c r="O327" s="373"/>
      <c r="P327" s="373"/>
      <c r="Q327" s="373"/>
      <c r="R327" s="373"/>
      <c r="S327" s="373"/>
      <c r="T327" s="373"/>
      <c r="U327" s="373"/>
      <c r="V327" s="373"/>
      <c r="W327" s="373"/>
      <c r="X327" s="373"/>
    </row>
    <row r="328" spans="1:24" ht="18" x14ac:dyDescent="0.55000000000000004">
      <c r="A328" s="373"/>
      <c r="B328" s="373"/>
      <c r="C328" s="373"/>
      <c r="D328" s="373"/>
      <c r="E328" s="373"/>
      <c r="F328" s="373"/>
      <c r="G328" s="373"/>
      <c r="H328" s="373"/>
      <c r="I328" s="373"/>
      <c r="J328" s="373"/>
      <c r="K328" s="373"/>
      <c r="L328" s="373"/>
      <c r="M328" s="373"/>
      <c r="N328" s="373"/>
      <c r="O328" s="373"/>
      <c r="P328" s="373"/>
      <c r="Q328" s="373"/>
      <c r="R328" s="373"/>
      <c r="S328" s="373"/>
      <c r="T328" s="373"/>
      <c r="U328" s="373"/>
      <c r="V328" s="373"/>
      <c r="W328" s="373"/>
      <c r="X328" s="373"/>
    </row>
    <row r="329" spans="1:24" ht="18" x14ac:dyDescent="0.55000000000000004">
      <c r="A329" s="373"/>
      <c r="B329" s="373"/>
      <c r="C329" s="373"/>
      <c r="D329" s="373"/>
      <c r="E329" s="373"/>
      <c r="F329" s="373"/>
      <c r="G329" s="373"/>
      <c r="H329" s="373"/>
      <c r="I329" s="373"/>
      <c r="J329" s="373"/>
      <c r="K329" s="373"/>
      <c r="L329" s="373"/>
      <c r="M329" s="373"/>
      <c r="N329" s="373"/>
      <c r="O329" s="373"/>
      <c r="P329" s="373"/>
      <c r="Q329" s="373"/>
      <c r="R329" s="373"/>
      <c r="S329" s="373"/>
      <c r="T329" s="373"/>
      <c r="U329" s="373"/>
      <c r="V329" s="373"/>
      <c r="W329" s="373"/>
      <c r="X329" s="373"/>
    </row>
    <row r="330" spans="1:24" ht="18" x14ac:dyDescent="0.55000000000000004">
      <c r="A330" s="373"/>
      <c r="B330" s="373"/>
      <c r="C330" s="373"/>
      <c r="D330" s="373"/>
      <c r="E330" s="373"/>
      <c r="F330" s="373"/>
      <c r="G330" s="373"/>
      <c r="H330" s="373"/>
      <c r="I330" s="373"/>
      <c r="J330" s="373"/>
      <c r="K330" s="373"/>
      <c r="L330" s="373"/>
      <c r="M330" s="373"/>
      <c r="N330" s="373"/>
      <c r="O330" s="373"/>
      <c r="P330" s="373"/>
      <c r="Q330" s="373"/>
      <c r="R330" s="373"/>
      <c r="S330" s="373"/>
      <c r="T330" s="373"/>
      <c r="U330" s="373"/>
      <c r="V330" s="373"/>
      <c r="W330" s="373"/>
      <c r="X330" s="373"/>
    </row>
    <row r="331" spans="1:24" ht="18" x14ac:dyDescent="0.55000000000000004">
      <c r="A331" s="373"/>
      <c r="B331" s="373"/>
      <c r="C331" s="373"/>
      <c r="D331" s="373"/>
      <c r="E331" s="373"/>
      <c r="F331" s="373"/>
      <c r="G331" s="373"/>
      <c r="H331" s="373"/>
      <c r="I331" s="373"/>
      <c r="J331" s="373"/>
      <c r="K331" s="373"/>
      <c r="L331" s="373"/>
      <c r="M331" s="373"/>
      <c r="N331" s="373"/>
      <c r="O331" s="373"/>
      <c r="P331" s="373"/>
      <c r="Q331" s="373"/>
      <c r="R331" s="373"/>
      <c r="S331" s="373"/>
      <c r="T331" s="373"/>
      <c r="U331" s="373"/>
      <c r="V331" s="373"/>
      <c r="W331" s="373"/>
      <c r="X331" s="373"/>
    </row>
    <row r="332" spans="1:24" ht="18" x14ac:dyDescent="0.55000000000000004">
      <c r="A332" s="373"/>
      <c r="B332" s="373"/>
      <c r="C332" s="373"/>
      <c r="D332" s="373"/>
      <c r="E332" s="373"/>
      <c r="F332" s="373"/>
      <c r="G332" s="373"/>
      <c r="H332" s="373"/>
      <c r="I332" s="373"/>
      <c r="J332" s="373"/>
      <c r="K332" s="373"/>
      <c r="L332" s="373"/>
      <c r="M332" s="373"/>
      <c r="N332" s="373"/>
      <c r="O332" s="373"/>
      <c r="P332" s="373"/>
      <c r="Q332" s="373"/>
      <c r="R332" s="373"/>
      <c r="S332" s="373"/>
      <c r="T332" s="373"/>
      <c r="U332" s="373"/>
      <c r="V332" s="373"/>
      <c r="W332" s="373"/>
      <c r="X332" s="373"/>
    </row>
    <row r="333" spans="1:24" ht="18" x14ac:dyDescent="0.55000000000000004">
      <c r="A333" s="373"/>
      <c r="B333" s="373"/>
      <c r="C333" s="373"/>
      <c r="D333" s="373"/>
      <c r="E333" s="373"/>
      <c r="F333" s="373"/>
      <c r="G333" s="373"/>
      <c r="H333" s="373"/>
      <c r="I333" s="373"/>
      <c r="J333" s="373"/>
      <c r="K333" s="373"/>
      <c r="L333" s="373"/>
      <c r="M333" s="373"/>
      <c r="N333" s="373"/>
      <c r="O333" s="373"/>
      <c r="P333" s="373"/>
      <c r="Q333" s="373"/>
      <c r="R333" s="373"/>
      <c r="S333" s="373"/>
      <c r="T333" s="373"/>
      <c r="U333" s="373"/>
      <c r="V333" s="373"/>
      <c r="W333" s="373"/>
      <c r="X333" s="373"/>
    </row>
    <row r="334" spans="1:24" ht="18" x14ac:dyDescent="0.55000000000000004">
      <c r="A334" s="373"/>
      <c r="B334" s="373"/>
      <c r="C334" s="373"/>
      <c r="D334" s="373"/>
      <c r="E334" s="373"/>
      <c r="F334" s="373"/>
      <c r="G334" s="373"/>
      <c r="H334" s="373"/>
      <c r="I334" s="373"/>
      <c r="J334" s="373"/>
      <c r="K334" s="373"/>
      <c r="L334" s="373"/>
      <c r="M334" s="373"/>
      <c r="N334" s="373"/>
      <c r="O334" s="373"/>
      <c r="P334" s="373"/>
      <c r="Q334" s="373"/>
      <c r="R334" s="373"/>
      <c r="S334" s="373"/>
      <c r="T334" s="373"/>
      <c r="U334" s="373"/>
      <c r="V334" s="373"/>
      <c r="W334" s="373"/>
      <c r="X334" s="373"/>
    </row>
    <row r="335" spans="1:24" ht="18" x14ac:dyDescent="0.55000000000000004">
      <c r="A335" s="373"/>
      <c r="B335" s="373"/>
      <c r="C335" s="373"/>
      <c r="D335" s="373"/>
      <c r="E335" s="373"/>
      <c r="F335" s="373"/>
      <c r="G335" s="373"/>
      <c r="H335" s="373"/>
      <c r="I335" s="373"/>
      <c r="J335" s="373"/>
      <c r="K335" s="373"/>
      <c r="L335" s="373"/>
      <c r="M335" s="373"/>
      <c r="N335" s="373"/>
      <c r="O335" s="373"/>
      <c r="P335" s="373"/>
      <c r="Q335" s="373"/>
      <c r="R335" s="373"/>
      <c r="S335" s="373"/>
      <c r="T335" s="373"/>
      <c r="U335" s="373"/>
      <c r="V335" s="373"/>
      <c r="W335" s="373"/>
      <c r="X335" s="373"/>
    </row>
    <row r="336" spans="1:24" ht="18" x14ac:dyDescent="0.55000000000000004">
      <c r="A336" s="373"/>
      <c r="B336" s="373"/>
      <c r="C336" s="373"/>
      <c r="D336" s="373"/>
      <c r="E336" s="373"/>
      <c r="F336" s="373"/>
      <c r="G336" s="373"/>
      <c r="H336" s="373"/>
      <c r="I336" s="373"/>
      <c r="J336" s="373"/>
      <c r="K336" s="373"/>
      <c r="L336" s="373"/>
      <c r="M336" s="373"/>
      <c r="N336" s="373"/>
      <c r="O336" s="373"/>
      <c r="P336" s="373"/>
      <c r="Q336" s="373"/>
      <c r="R336" s="373"/>
      <c r="S336" s="373"/>
      <c r="T336" s="373"/>
      <c r="U336" s="373"/>
      <c r="V336" s="373"/>
      <c r="W336" s="373"/>
      <c r="X336" s="373"/>
    </row>
    <row r="337" spans="1:24" ht="18" x14ac:dyDescent="0.55000000000000004">
      <c r="A337" s="373"/>
      <c r="B337" s="373"/>
      <c r="C337" s="373"/>
      <c r="D337" s="373"/>
      <c r="E337" s="373"/>
      <c r="F337" s="373"/>
      <c r="G337" s="373"/>
      <c r="H337" s="373"/>
      <c r="I337" s="373"/>
      <c r="J337" s="373"/>
      <c r="K337" s="373"/>
      <c r="L337" s="373"/>
      <c r="M337" s="373"/>
      <c r="N337" s="373"/>
      <c r="O337" s="373"/>
      <c r="P337" s="373"/>
      <c r="Q337" s="373"/>
      <c r="R337" s="373"/>
      <c r="S337" s="373"/>
      <c r="T337" s="373"/>
      <c r="U337" s="373"/>
      <c r="V337" s="373"/>
      <c r="W337" s="373"/>
      <c r="X337" s="373"/>
    </row>
    <row r="338" spans="1:24" ht="18" x14ac:dyDescent="0.55000000000000004">
      <c r="A338" s="373"/>
      <c r="B338" s="373"/>
      <c r="C338" s="373"/>
      <c r="D338" s="373"/>
      <c r="E338" s="373"/>
      <c r="F338" s="373"/>
      <c r="G338" s="373"/>
      <c r="H338" s="373"/>
      <c r="I338" s="373"/>
      <c r="J338" s="373"/>
      <c r="K338" s="373"/>
      <c r="L338" s="373"/>
      <c r="M338" s="373"/>
      <c r="N338" s="373"/>
      <c r="O338" s="373"/>
      <c r="P338" s="373"/>
      <c r="Q338" s="373"/>
      <c r="R338" s="373"/>
      <c r="S338" s="373"/>
      <c r="T338" s="373"/>
      <c r="U338" s="373"/>
      <c r="V338" s="373"/>
      <c r="W338" s="373"/>
      <c r="X338" s="373"/>
    </row>
    <row r="339" spans="1:24" ht="18" x14ac:dyDescent="0.55000000000000004">
      <c r="A339" s="373"/>
      <c r="B339" s="373"/>
      <c r="C339" s="373"/>
      <c r="D339" s="373"/>
      <c r="E339" s="373"/>
      <c r="F339" s="373"/>
      <c r="G339" s="373"/>
      <c r="H339" s="373"/>
      <c r="I339" s="373"/>
      <c r="J339" s="373"/>
      <c r="K339" s="373"/>
      <c r="L339" s="373"/>
      <c r="M339" s="373"/>
      <c r="N339" s="373"/>
      <c r="O339" s="373"/>
      <c r="P339" s="373"/>
      <c r="Q339" s="373"/>
      <c r="R339" s="373"/>
      <c r="S339" s="373"/>
      <c r="T339" s="373"/>
      <c r="U339" s="373"/>
      <c r="V339" s="373"/>
      <c r="W339" s="373"/>
      <c r="X339" s="373"/>
    </row>
    <row r="340" spans="1:24" ht="18" x14ac:dyDescent="0.55000000000000004">
      <c r="A340" s="373"/>
      <c r="B340" s="373"/>
      <c r="C340" s="373"/>
      <c r="D340" s="373"/>
      <c r="E340" s="373"/>
      <c r="F340" s="373"/>
      <c r="G340" s="373"/>
      <c r="H340" s="373"/>
      <c r="I340" s="373"/>
      <c r="J340" s="373"/>
      <c r="K340" s="373"/>
      <c r="L340" s="373"/>
      <c r="M340" s="373"/>
      <c r="N340" s="373"/>
      <c r="O340" s="373"/>
      <c r="P340" s="373"/>
      <c r="Q340" s="373"/>
      <c r="R340" s="373"/>
      <c r="S340" s="373"/>
      <c r="T340" s="373"/>
      <c r="U340" s="373"/>
      <c r="V340" s="373"/>
      <c r="W340" s="373"/>
      <c r="X340" s="373"/>
    </row>
    <row r="341" spans="1:24" ht="18" x14ac:dyDescent="0.55000000000000004">
      <c r="A341" s="373"/>
      <c r="B341" s="373"/>
      <c r="C341" s="373"/>
      <c r="D341" s="373"/>
      <c r="E341" s="373"/>
      <c r="F341" s="373"/>
      <c r="G341" s="373"/>
      <c r="H341" s="373"/>
      <c r="I341" s="373"/>
      <c r="J341" s="373"/>
      <c r="K341" s="373"/>
      <c r="L341" s="373"/>
      <c r="M341" s="373"/>
      <c r="N341" s="373"/>
      <c r="O341" s="373"/>
      <c r="P341" s="373"/>
      <c r="Q341" s="373"/>
      <c r="R341" s="373"/>
      <c r="S341" s="373"/>
      <c r="T341" s="373"/>
      <c r="U341" s="373"/>
      <c r="V341" s="373"/>
      <c r="W341" s="373"/>
      <c r="X341" s="373"/>
    </row>
    <row r="342" spans="1:24" ht="18" x14ac:dyDescent="0.55000000000000004">
      <c r="A342" s="373"/>
      <c r="B342" s="373"/>
      <c r="C342" s="373"/>
      <c r="D342" s="373"/>
      <c r="E342" s="373"/>
      <c r="F342" s="373"/>
      <c r="G342" s="373"/>
      <c r="H342" s="373"/>
      <c r="I342" s="373"/>
      <c r="J342" s="373"/>
      <c r="K342" s="373"/>
      <c r="L342" s="373"/>
      <c r="M342" s="373"/>
      <c r="N342" s="373"/>
      <c r="O342" s="373"/>
      <c r="P342" s="373"/>
      <c r="Q342" s="373"/>
      <c r="R342" s="373"/>
      <c r="S342" s="373"/>
      <c r="T342" s="373"/>
      <c r="U342" s="373"/>
      <c r="V342" s="373"/>
      <c r="W342" s="373"/>
      <c r="X342" s="373"/>
    </row>
    <row r="343" spans="1:24" ht="18" x14ac:dyDescent="0.55000000000000004">
      <c r="A343" s="373"/>
      <c r="B343" s="373"/>
      <c r="C343" s="373"/>
      <c r="D343" s="373"/>
      <c r="E343" s="373"/>
      <c r="F343" s="373"/>
      <c r="G343" s="373"/>
      <c r="H343" s="373"/>
      <c r="I343" s="373"/>
      <c r="J343" s="373"/>
      <c r="K343" s="373"/>
      <c r="L343" s="373"/>
      <c r="M343" s="373"/>
      <c r="N343" s="373"/>
      <c r="O343" s="373"/>
      <c r="P343" s="373"/>
      <c r="Q343" s="373"/>
      <c r="R343" s="373"/>
      <c r="S343" s="373"/>
      <c r="T343" s="373"/>
      <c r="U343" s="373"/>
      <c r="V343" s="373"/>
      <c r="W343" s="373"/>
      <c r="X343" s="373"/>
    </row>
    <row r="344" spans="1:24" ht="18" x14ac:dyDescent="0.55000000000000004">
      <c r="A344" s="373"/>
      <c r="B344" s="373"/>
      <c r="C344" s="373"/>
      <c r="D344" s="373"/>
      <c r="E344" s="373"/>
      <c r="F344" s="373"/>
      <c r="G344" s="373"/>
      <c r="H344" s="373"/>
      <c r="I344" s="373"/>
      <c r="J344" s="373"/>
      <c r="K344" s="373"/>
      <c r="L344" s="373"/>
      <c r="M344" s="373"/>
      <c r="N344" s="373"/>
      <c r="O344" s="373"/>
      <c r="P344" s="373"/>
      <c r="Q344" s="373"/>
      <c r="R344" s="373"/>
      <c r="S344" s="373"/>
      <c r="T344" s="373"/>
      <c r="U344" s="373"/>
      <c r="V344" s="373"/>
      <c r="W344" s="373"/>
      <c r="X344" s="373"/>
    </row>
    <row r="345" spans="1:24" ht="18" x14ac:dyDescent="0.55000000000000004">
      <c r="A345" s="373"/>
      <c r="B345" s="373"/>
      <c r="C345" s="373"/>
      <c r="D345" s="373"/>
      <c r="E345" s="373"/>
      <c r="F345" s="373"/>
      <c r="G345" s="373"/>
      <c r="H345" s="373"/>
      <c r="I345" s="373"/>
      <c r="J345" s="373"/>
      <c r="K345" s="373"/>
      <c r="L345" s="373"/>
      <c r="M345" s="373"/>
      <c r="N345" s="373"/>
      <c r="O345" s="373"/>
      <c r="P345" s="373"/>
      <c r="Q345" s="373"/>
      <c r="R345" s="373"/>
      <c r="S345" s="373"/>
      <c r="T345" s="373"/>
      <c r="U345" s="373"/>
      <c r="V345" s="373"/>
      <c r="W345" s="373"/>
      <c r="X345" s="373"/>
    </row>
    <row r="346" spans="1:24" ht="18" x14ac:dyDescent="0.55000000000000004">
      <c r="A346" s="373"/>
      <c r="B346" s="373"/>
      <c r="C346" s="373"/>
      <c r="D346" s="373"/>
      <c r="E346" s="373"/>
      <c r="F346" s="373"/>
      <c r="G346" s="373"/>
      <c r="H346" s="373"/>
      <c r="I346" s="373"/>
      <c r="J346" s="373"/>
      <c r="K346" s="373"/>
      <c r="L346" s="373"/>
      <c r="M346" s="373"/>
      <c r="N346" s="373"/>
      <c r="O346" s="373"/>
      <c r="P346" s="373"/>
      <c r="Q346" s="373"/>
      <c r="R346" s="373"/>
      <c r="S346" s="373"/>
      <c r="T346" s="373"/>
      <c r="U346" s="373"/>
      <c r="V346" s="373"/>
      <c r="W346" s="373"/>
      <c r="X346" s="373"/>
    </row>
    <row r="347" spans="1:24" ht="18" x14ac:dyDescent="0.55000000000000004">
      <c r="A347" s="373"/>
      <c r="B347" s="373"/>
      <c r="C347" s="373"/>
      <c r="D347" s="373"/>
      <c r="E347" s="373"/>
      <c r="F347" s="373"/>
      <c r="G347" s="373"/>
      <c r="H347" s="373"/>
      <c r="I347" s="373"/>
      <c r="J347" s="373"/>
      <c r="K347" s="373"/>
      <c r="L347" s="373"/>
      <c r="M347" s="373"/>
      <c r="N347" s="373"/>
      <c r="O347" s="373"/>
      <c r="P347" s="373"/>
      <c r="Q347" s="373"/>
      <c r="R347" s="373"/>
      <c r="S347" s="373"/>
      <c r="T347" s="373"/>
      <c r="U347" s="373"/>
      <c r="V347" s="373"/>
      <c r="W347" s="373"/>
      <c r="X347" s="373"/>
    </row>
    <row r="348" spans="1:24" ht="18" x14ac:dyDescent="0.55000000000000004">
      <c r="A348" s="373"/>
      <c r="B348" s="373"/>
      <c r="C348" s="373"/>
      <c r="D348" s="373"/>
      <c r="E348" s="373"/>
      <c r="F348" s="373"/>
      <c r="G348" s="373"/>
      <c r="H348" s="373"/>
      <c r="I348" s="373"/>
      <c r="J348" s="373"/>
      <c r="K348" s="373"/>
      <c r="L348" s="373"/>
      <c r="M348" s="373"/>
      <c r="N348" s="373"/>
      <c r="O348" s="373"/>
      <c r="P348" s="373"/>
      <c r="Q348" s="373"/>
      <c r="R348" s="373"/>
      <c r="S348" s="373"/>
      <c r="T348" s="373"/>
      <c r="U348" s="373"/>
      <c r="V348" s="373"/>
      <c r="W348" s="373"/>
      <c r="X348" s="373"/>
    </row>
    <row r="349" spans="1:24" ht="18" x14ac:dyDescent="0.55000000000000004">
      <c r="A349" s="373"/>
      <c r="B349" s="373"/>
      <c r="C349" s="373"/>
      <c r="D349" s="373"/>
      <c r="E349" s="373"/>
      <c r="F349" s="373"/>
      <c r="G349" s="373"/>
      <c r="H349" s="373"/>
      <c r="I349" s="373"/>
      <c r="J349" s="373"/>
      <c r="K349" s="373"/>
      <c r="L349" s="373"/>
      <c r="M349" s="373"/>
      <c r="N349" s="373"/>
      <c r="O349" s="373"/>
      <c r="P349" s="373"/>
      <c r="Q349" s="373"/>
      <c r="R349" s="373"/>
      <c r="S349" s="373"/>
      <c r="T349" s="373"/>
      <c r="U349" s="373"/>
      <c r="V349" s="373"/>
      <c r="W349" s="373"/>
      <c r="X349" s="373"/>
    </row>
    <row r="350" spans="1:24" ht="18" x14ac:dyDescent="0.55000000000000004">
      <c r="A350" s="373"/>
      <c r="B350" s="373"/>
      <c r="C350" s="373"/>
      <c r="D350" s="373"/>
      <c r="E350" s="373"/>
      <c r="F350" s="373"/>
      <c r="G350" s="373"/>
      <c r="H350" s="373"/>
      <c r="I350" s="373"/>
      <c r="J350" s="373"/>
      <c r="K350" s="373"/>
      <c r="L350" s="373"/>
      <c r="M350" s="373"/>
      <c r="N350" s="373"/>
      <c r="O350" s="373"/>
      <c r="P350" s="373"/>
      <c r="Q350" s="373"/>
      <c r="R350" s="373"/>
      <c r="S350" s="373"/>
      <c r="T350" s="373"/>
      <c r="U350" s="373"/>
      <c r="V350" s="373"/>
      <c r="W350" s="373"/>
      <c r="X350" s="373"/>
    </row>
    <row r="351" spans="1:24" ht="18" x14ac:dyDescent="0.55000000000000004">
      <c r="A351" s="373"/>
      <c r="B351" s="373"/>
      <c r="C351" s="373"/>
      <c r="D351" s="373"/>
      <c r="E351" s="373"/>
      <c r="F351" s="373"/>
      <c r="G351" s="373"/>
      <c r="H351" s="373"/>
      <c r="I351" s="373"/>
      <c r="J351" s="373"/>
      <c r="K351" s="373"/>
      <c r="L351" s="373"/>
      <c r="M351" s="373"/>
      <c r="N351" s="373"/>
      <c r="O351" s="373"/>
      <c r="P351" s="373"/>
      <c r="Q351" s="373"/>
      <c r="R351" s="373"/>
      <c r="S351" s="373"/>
      <c r="T351" s="373"/>
      <c r="U351" s="373"/>
      <c r="V351" s="373"/>
      <c r="W351" s="373"/>
      <c r="X351" s="373"/>
    </row>
    <row r="352" spans="1:24" ht="18" x14ac:dyDescent="0.55000000000000004">
      <c r="A352" s="373"/>
      <c r="B352" s="373"/>
      <c r="C352" s="373"/>
      <c r="D352" s="373"/>
      <c r="E352" s="373"/>
      <c r="F352" s="373"/>
      <c r="G352" s="373"/>
      <c r="H352" s="373"/>
      <c r="I352" s="373"/>
      <c r="J352" s="373"/>
      <c r="K352" s="373"/>
      <c r="L352" s="373"/>
      <c r="M352" s="373"/>
      <c r="N352" s="373"/>
      <c r="O352" s="373"/>
      <c r="P352" s="373"/>
      <c r="Q352" s="373"/>
      <c r="R352" s="373"/>
      <c r="S352" s="373"/>
      <c r="T352" s="373"/>
      <c r="U352" s="373"/>
      <c r="V352" s="373"/>
      <c r="W352" s="373"/>
      <c r="X352" s="373"/>
    </row>
    <row r="353" spans="1:24" ht="18" x14ac:dyDescent="0.55000000000000004">
      <c r="A353" s="373"/>
      <c r="B353" s="373"/>
      <c r="C353" s="373"/>
      <c r="D353" s="373"/>
      <c r="E353" s="373"/>
      <c r="F353" s="373"/>
      <c r="G353" s="373"/>
      <c r="H353" s="373"/>
      <c r="I353" s="373"/>
      <c r="J353" s="373"/>
      <c r="K353" s="373"/>
      <c r="L353" s="373"/>
      <c r="M353" s="373"/>
      <c r="N353" s="373"/>
      <c r="O353" s="373"/>
      <c r="P353" s="373"/>
      <c r="Q353" s="373"/>
      <c r="R353" s="373"/>
      <c r="S353" s="373"/>
      <c r="T353" s="373"/>
      <c r="U353" s="373"/>
      <c r="V353" s="373"/>
      <c r="W353" s="373"/>
      <c r="X353" s="373"/>
    </row>
    <row r="354" spans="1:24" ht="18" x14ac:dyDescent="0.55000000000000004">
      <c r="A354" s="373"/>
      <c r="B354" s="373"/>
      <c r="C354" s="373"/>
      <c r="D354" s="373"/>
      <c r="E354" s="373"/>
      <c r="F354" s="373"/>
      <c r="G354" s="373"/>
      <c r="H354" s="373"/>
      <c r="I354" s="373"/>
      <c r="J354" s="373"/>
      <c r="K354" s="373"/>
      <c r="L354" s="373"/>
      <c r="M354" s="373"/>
      <c r="N354" s="373"/>
      <c r="O354" s="373"/>
      <c r="P354" s="373"/>
      <c r="Q354" s="373"/>
      <c r="R354" s="373"/>
      <c r="S354" s="373"/>
      <c r="T354" s="373"/>
      <c r="U354" s="373"/>
      <c r="V354" s="373"/>
      <c r="W354" s="373"/>
      <c r="X354" s="373"/>
    </row>
    <row r="355" spans="1:24" ht="18" x14ac:dyDescent="0.55000000000000004">
      <c r="A355" s="373"/>
      <c r="B355" s="373"/>
      <c r="C355" s="373"/>
      <c r="D355" s="373"/>
      <c r="E355" s="373"/>
      <c r="F355" s="373"/>
      <c r="G355" s="373"/>
      <c r="H355" s="373"/>
      <c r="I355" s="373"/>
      <c r="J355" s="373"/>
      <c r="K355" s="373"/>
      <c r="L355" s="373"/>
      <c r="M355" s="373"/>
      <c r="N355" s="373"/>
      <c r="O355" s="373"/>
      <c r="P355" s="373"/>
      <c r="Q355" s="373"/>
      <c r="R355" s="373"/>
      <c r="S355" s="373"/>
      <c r="T355" s="373"/>
      <c r="U355" s="373"/>
      <c r="V355" s="373"/>
      <c r="W355" s="373"/>
      <c r="X355" s="373"/>
    </row>
    <row r="356" spans="1:24" ht="18" x14ac:dyDescent="0.55000000000000004">
      <c r="A356" s="373"/>
      <c r="B356" s="373"/>
      <c r="C356" s="373"/>
      <c r="D356" s="373"/>
      <c r="E356" s="373"/>
      <c r="F356" s="373"/>
      <c r="G356" s="373"/>
      <c r="H356" s="373"/>
      <c r="I356" s="373"/>
      <c r="J356" s="373"/>
      <c r="K356" s="373"/>
      <c r="L356" s="373"/>
      <c r="M356" s="373"/>
      <c r="N356" s="373"/>
      <c r="O356" s="373"/>
      <c r="P356" s="373"/>
      <c r="Q356" s="373"/>
      <c r="R356" s="373"/>
      <c r="S356" s="373"/>
      <c r="T356" s="373"/>
      <c r="U356" s="373"/>
      <c r="V356" s="373"/>
      <c r="W356" s="373"/>
      <c r="X356" s="373"/>
    </row>
    <row r="357" spans="1:24" ht="18" x14ac:dyDescent="0.55000000000000004">
      <c r="A357" s="373"/>
      <c r="B357" s="373"/>
      <c r="C357" s="373"/>
      <c r="D357" s="373"/>
      <c r="E357" s="373"/>
      <c r="F357" s="373"/>
      <c r="G357" s="373"/>
      <c r="H357" s="373"/>
      <c r="I357" s="373"/>
      <c r="J357" s="373"/>
      <c r="K357" s="373"/>
      <c r="L357" s="373"/>
      <c r="M357" s="373"/>
      <c r="N357" s="373"/>
      <c r="O357" s="373"/>
      <c r="P357" s="373"/>
      <c r="Q357" s="373"/>
      <c r="R357" s="373"/>
      <c r="S357" s="373"/>
      <c r="T357" s="373"/>
      <c r="U357" s="373"/>
      <c r="V357" s="373"/>
      <c r="W357" s="373"/>
      <c r="X357" s="373"/>
    </row>
    <row r="358" spans="1:24" ht="18" x14ac:dyDescent="0.55000000000000004">
      <c r="A358" s="373"/>
      <c r="B358" s="373"/>
      <c r="C358" s="373"/>
      <c r="D358" s="373"/>
      <c r="E358" s="373"/>
      <c r="F358" s="373"/>
      <c r="G358" s="373"/>
      <c r="H358" s="373"/>
      <c r="I358" s="373"/>
      <c r="J358" s="373"/>
      <c r="K358" s="373"/>
      <c r="L358" s="373"/>
      <c r="M358" s="373"/>
      <c r="N358" s="373"/>
      <c r="O358" s="373"/>
      <c r="P358" s="373"/>
      <c r="Q358" s="373"/>
      <c r="R358" s="373"/>
      <c r="S358" s="373"/>
      <c r="T358" s="373"/>
      <c r="U358" s="373"/>
      <c r="V358" s="373"/>
      <c r="W358" s="373"/>
      <c r="X358" s="373"/>
    </row>
    <row r="359" spans="1:24" ht="18" x14ac:dyDescent="0.55000000000000004">
      <c r="A359" s="373"/>
      <c r="B359" s="373"/>
      <c r="C359" s="373"/>
      <c r="D359" s="373"/>
      <c r="E359" s="373"/>
      <c r="F359" s="373"/>
      <c r="G359" s="373"/>
      <c r="H359" s="373"/>
      <c r="I359" s="373"/>
      <c r="J359" s="373"/>
      <c r="K359" s="373"/>
      <c r="L359" s="373"/>
      <c r="M359" s="373"/>
      <c r="N359" s="373"/>
      <c r="O359" s="373"/>
      <c r="P359" s="373"/>
      <c r="Q359" s="373"/>
      <c r="R359" s="373"/>
      <c r="S359" s="373"/>
      <c r="T359" s="373"/>
      <c r="U359" s="373"/>
      <c r="V359" s="373"/>
      <c r="W359" s="373"/>
      <c r="X359" s="373"/>
    </row>
    <row r="360" spans="1:24" ht="18" x14ac:dyDescent="0.55000000000000004">
      <c r="A360" s="373"/>
      <c r="B360" s="373"/>
      <c r="C360" s="373"/>
      <c r="D360" s="373"/>
      <c r="E360" s="373"/>
      <c r="F360" s="373"/>
      <c r="G360" s="373"/>
      <c r="H360" s="373"/>
      <c r="I360" s="373"/>
      <c r="J360" s="373"/>
      <c r="K360" s="373"/>
      <c r="L360" s="373"/>
      <c r="M360" s="373"/>
      <c r="N360" s="373"/>
      <c r="O360" s="373"/>
      <c r="P360" s="373"/>
      <c r="Q360" s="373"/>
      <c r="R360" s="373"/>
      <c r="S360" s="373"/>
      <c r="T360" s="373"/>
      <c r="U360" s="373"/>
      <c r="V360" s="373"/>
      <c r="W360" s="373"/>
      <c r="X360" s="373"/>
    </row>
    <row r="361" spans="1:24" ht="18" x14ac:dyDescent="0.55000000000000004">
      <c r="A361" s="373"/>
      <c r="B361" s="373"/>
      <c r="C361" s="373"/>
      <c r="D361" s="373"/>
      <c r="E361" s="373"/>
      <c r="F361" s="373"/>
      <c r="G361" s="373"/>
      <c r="H361" s="373"/>
      <c r="I361" s="373"/>
      <c r="J361" s="373"/>
      <c r="K361" s="373"/>
      <c r="L361" s="373"/>
      <c r="M361" s="373"/>
      <c r="N361" s="373"/>
      <c r="O361" s="373"/>
      <c r="P361" s="373"/>
      <c r="Q361" s="373"/>
      <c r="R361" s="373"/>
      <c r="S361" s="373"/>
      <c r="T361" s="373"/>
      <c r="U361" s="373"/>
      <c r="V361" s="373"/>
      <c r="W361" s="373"/>
      <c r="X361" s="373"/>
    </row>
    <row r="362" spans="1:24" ht="18" x14ac:dyDescent="0.55000000000000004">
      <c r="A362" s="373"/>
      <c r="B362" s="373"/>
      <c r="C362" s="373"/>
      <c r="D362" s="373"/>
      <c r="E362" s="373"/>
      <c r="F362" s="373"/>
      <c r="G362" s="373"/>
      <c r="H362" s="373"/>
      <c r="I362" s="373"/>
      <c r="J362" s="373"/>
      <c r="K362" s="373"/>
      <c r="L362" s="373"/>
      <c r="M362" s="373"/>
      <c r="N362" s="373"/>
      <c r="O362" s="373"/>
      <c r="P362" s="373"/>
      <c r="Q362" s="373"/>
      <c r="R362" s="373"/>
      <c r="S362" s="373"/>
      <c r="T362" s="373"/>
      <c r="U362" s="373"/>
      <c r="V362" s="373"/>
      <c r="W362" s="373"/>
      <c r="X362" s="373"/>
    </row>
    <row r="363" spans="1:24" ht="18" x14ac:dyDescent="0.55000000000000004">
      <c r="A363" s="373"/>
      <c r="B363" s="373"/>
      <c r="C363" s="373"/>
      <c r="D363" s="373"/>
      <c r="E363" s="373"/>
      <c r="F363" s="373"/>
      <c r="G363" s="373"/>
      <c r="H363" s="373"/>
      <c r="I363" s="373"/>
      <c r="J363" s="373"/>
      <c r="K363" s="373"/>
      <c r="L363" s="373"/>
      <c r="M363" s="373"/>
      <c r="N363" s="373"/>
      <c r="O363" s="373"/>
      <c r="P363" s="373"/>
      <c r="Q363" s="373"/>
      <c r="R363" s="373"/>
      <c r="S363" s="373"/>
      <c r="T363" s="373"/>
      <c r="U363" s="373"/>
      <c r="V363" s="373"/>
      <c r="W363" s="373"/>
      <c r="X363" s="373"/>
    </row>
    <row r="364" spans="1:24" ht="18" x14ac:dyDescent="0.55000000000000004">
      <c r="A364" s="373"/>
      <c r="B364" s="373"/>
      <c r="C364" s="373"/>
      <c r="D364" s="373"/>
      <c r="E364" s="373"/>
      <c r="F364" s="373"/>
      <c r="G364" s="373"/>
      <c r="H364" s="373"/>
      <c r="I364" s="373"/>
      <c r="J364" s="373"/>
      <c r="K364" s="373"/>
      <c r="L364" s="373"/>
      <c r="M364" s="373"/>
      <c r="N364" s="373"/>
      <c r="O364" s="373"/>
      <c r="P364" s="373"/>
      <c r="Q364" s="373"/>
      <c r="R364" s="373"/>
      <c r="S364" s="373"/>
      <c r="T364" s="373"/>
      <c r="U364" s="373"/>
      <c r="V364" s="373"/>
      <c r="W364" s="373"/>
      <c r="X364" s="373"/>
    </row>
    <row r="365" spans="1:24" ht="18" x14ac:dyDescent="0.55000000000000004">
      <c r="A365" s="373"/>
      <c r="B365" s="373"/>
      <c r="C365" s="373"/>
      <c r="D365" s="373"/>
      <c r="E365" s="373"/>
      <c r="F365" s="373"/>
      <c r="G365" s="373"/>
      <c r="H365" s="373"/>
      <c r="I365" s="373"/>
      <c r="J365" s="373"/>
      <c r="K365" s="373"/>
      <c r="L365" s="373"/>
      <c r="M365" s="373"/>
      <c r="N365" s="373"/>
      <c r="O365" s="373"/>
      <c r="P365" s="373"/>
      <c r="Q365" s="373"/>
      <c r="R365" s="373"/>
      <c r="S365" s="373"/>
      <c r="T365" s="373"/>
      <c r="U365" s="373"/>
      <c r="V365" s="373"/>
      <c r="W365" s="373"/>
      <c r="X365" s="373"/>
    </row>
    <row r="366" spans="1:24" ht="18" x14ac:dyDescent="0.55000000000000004">
      <c r="A366" s="373"/>
      <c r="B366" s="373"/>
      <c r="C366" s="373"/>
      <c r="D366" s="373"/>
      <c r="E366" s="373"/>
      <c r="F366" s="373"/>
      <c r="G366" s="373"/>
      <c r="H366" s="373"/>
      <c r="I366" s="373"/>
      <c r="J366" s="373"/>
      <c r="K366" s="373"/>
      <c r="L366" s="373"/>
      <c r="M366" s="373"/>
      <c r="N366" s="373"/>
      <c r="O366" s="373"/>
      <c r="P366" s="373"/>
      <c r="Q366" s="373"/>
      <c r="R366" s="373"/>
      <c r="S366" s="373"/>
      <c r="T366" s="373"/>
      <c r="U366" s="373"/>
      <c r="V366" s="373"/>
      <c r="W366" s="373"/>
      <c r="X366" s="373"/>
    </row>
    <row r="367" spans="1:24" ht="18" x14ac:dyDescent="0.55000000000000004">
      <c r="A367" s="373"/>
      <c r="B367" s="373"/>
      <c r="C367" s="373"/>
      <c r="D367" s="373"/>
      <c r="E367" s="373"/>
      <c r="F367" s="373"/>
      <c r="G367" s="373"/>
      <c r="H367" s="373"/>
      <c r="I367" s="373"/>
      <c r="J367" s="373"/>
      <c r="K367" s="373"/>
      <c r="L367" s="373"/>
      <c r="M367" s="373"/>
      <c r="N367" s="373"/>
      <c r="O367" s="373"/>
      <c r="P367" s="373"/>
      <c r="Q367" s="373"/>
      <c r="R367" s="373"/>
      <c r="S367" s="373"/>
      <c r="T367" s="373"/>
      <c r="U367" s="373"/>
      <c r="V367" s="373"/>
      <c r="W367" s="373"/>
      <c r="X367" s="373"/>
    </row>
    <row r="368" spans="1:24" ht="18" x14ac:dyDescent="0.55000000000000004">
      <c r="A368" s="373"/>
      <c r="B368" s="373"/>
      <c r="C368" s="373"/>
      <c r="D368" s="373"/>
      <c r="E368" s="373"/>
      <c r="F368" s="373"/>
      <c r="G368" s="373"/>
      <c r="H368" s="373"/>
      <c r="I368" s="373"/>
      <c r="J368" s="373"/>
      <c r="K368" s="373"/>
      <c r="L368" s="373"/>
      <c r="M368" s="373"/>
      <c r="N368" s="373"/>
      <c r="O368" s="373"/>
      <c r="P368" s="373"/>
      <c r="Q368" s="373"/>
      <c r="R368" s="373"/>
      <c r="S368" s="373"/>
      <c r="T368" s="373"/>
      <c r="U368" s="373"/>
      <c r="V368" s="373"/>
      <c r="W368" s="373"/>
      <c r="X368" s="373"/>
    </row>
    <row r="369" spans="1:24" ht="18" x14ac:dyDescent="0.55000000000000004">
      <c r="A369" s="373"/>
      <c r="B369" s="373"/>
      <c r="C369" s="373"/>
      <c r="D369" s="373"/>
      <c r="E369" s="373"/>
      <c r="F369" s="373"/>
      <c r="G369" s="373"/>
      <c r="H369" s="373"/>
      <c r="I369" s="373"/>
      <c r="J369" s="373"/>
      <c r="K369" s="373"/>
      <c r="L369" s="373"/>
      <c r="M369" s="373"/>
      <c r="N369" s="373"/>
      <c r="O369" s="373"/>
      <c r="P369" s="373"/>
      <c r="Q369" s="373"/>
      <c r="R369" s="373"/>
      <c r="S369" s="373"/>
      <c r="T369" s="373"/>
      <c r="U369" s="373"/>
      <c r="V369" s="373"/>
      <c r="W369" s="373"/>
      <c r="X369" s="373"/>
    </row>
    <row r="370" spans="1:24" ht="18" x14ac:dyDescent="0.55000000000000004">
      <c r="A370" s="373"/>
      <c r="B370" s="373"/>
      <c r="C370" s="373"/>
      <c r="D370" s="373"/>
      <c r="E370" s="373"/>
      <c r="F370" s="373"/>
      <c r="G370" s="373"/>
      <c r="H370" s="373"/>
      <c r="I370" s="373"/>
      <c r="J370" s="373"/>
      <c r="K370" s="373"/>
      <c r="L370" s="373"/>
      <c r="M370" s="373"/>
      <c r="N370" s="373"/>
      <c r="O370" s="373"/>
      <c r="P370" s="373"/>
      <c r="Q370" s="373"/>
      <c r="R370" s="373"/>
      <c r="S370" s="373"/>
      <c r="T370" s="373"/>
      <c r="U370" s="373"/>
      <c r="V370" s="373"/>
      <c r="W370" s="373"/>
      <c r="X370" s="373"/>
    </row>
    <row r="371" spans="1:24" ht="18" x14ac:dyDescent="0.55000000000000004">
      <c r="A371" s="373"/>
      <c r="B371" s="373"/>
      <c r="C371" s="373"/>
      <c r="D371" s="373"/>
      <c r="E371" s="373"/>
      <c r="F371" s="373"/>
      <c r="G371" s="373"/>
      <c r="H371" s="373"/>
      <c r="I371" s="373"/>
      <c r="J371" s="373"/>
      <c r="K371" s="373"/>
      <c r="L371" s="373"/>
      <c r="M371" s="373"/>
      <c r="N371" s="373"/>
      <c r="O371" s="373"/>
      <c r="P371" s="373"/>
      <c r="Q371" s="373"/>
      <c r="R371" s="373"/>
      <c r="S371" s="373"/>
      <c r="T371" s="373"/>
      <c r="U371" s="373"/>
      <c r="V371" s="373"/>
      <c r="W371" s="373"/>
      <c r="X371" s="373"/>
    </row>
    <row r="372" spans="1:24" ht="18" x14ac:dyDescent="0.55000000000000004">
      <c r="A372" s="373"/>
      <c r="B372" s="373"/>
      <c r="C372" s="373"/>
      <c r="D372" s="373"/>
      <c r="E372" s="373"/>
      <c r="F372" s="373"/>
      <c r="G372" s="373"/>
      <c r="H372" s="373"/>
      <c r="I372" s="373"/>
      <c r="J372" s="373"/>
      <c r="K372" s="373"/>
      <c r="L372" s="373"/>
      <c r="M372" s="373"/>
      <c r="N372" s="373"/>
      <c r="O372" s="373"/>
      <c r="P372" s="373"/>
      <c r="Q372" s="373"/>
      <c r="R372" s="373"/>
      <c r="S372" s="373"/>
      <c r="T372" s="373"/>
      <c r="U372" s="373"/>
      <c r="V372" s="373"/>
      <c r="W372" s="373"/>
      <c r="X372" s="373"/>
    </row>
    <row r="373" spans="1:24" ht="18" x14ac:dyDescent="0.55000000000000004">
      <c r="A373" s="373"/>
      <c r="B373" s="373"/>
      <c r="C373" s="373"/>
      <c r="D373" s="373"/>
      <c r="E373" s="373"/>
      <c r="F373" s="373"/>
      <c r="G373" s="373"/>
      <c r="H373" s="373"/>
      <c r="I373" s="373"/>
      <c r="J373" s="373"/>
      <c r="K373" s="373"/>
      <c r="L373" s="373"/>
      <c r="M373" s="373"/>
      <c r="N373" s="373"/>
      <c r="O373" s="373"/>
      <c r="P373" s="373"/>
      <c r="Q373" s="373"/>
      <c r="R373" s="373"/>
      <c r="S373" s="373"/>
      <c r="T373" s="373"/>
      <c r="U373" s="373"/>
      <c r="V373" s="373"/>
      <c r="W373" s="373"/>
      <c r="X373" s="373"/>
    </row>
    <row r="374" spans="1:24" ht="18" x14ac:dyDescent="0.55000000000000004">
      <c r="A374" s="373"/>
      <c r="B374" s="373"/>
      <c r="C374" s="373"/>
      <c r="D374" s="373"/>
      <c r="E374" s="373"/>
      <c r="F374" s="373"/>
      <c r="G374" s="373"/>
      <c r="H374" s="373"/>
      <c r="I374" s="373"/>
      <c r="J374" s="373"/>
      <c r="K374" s="373"/>
      <c r="L374" s="373"/>
      <c r="M374" s="373"/>
      <c r="N374" s="373"/>
      <c r="O374" s="373"/>
      <c r="P374" s="373"/>
      <c r="Q374" s="373"/>
      <c r="R374" s="373"/>
      <c r="S374" s="373"/>
      <c r="T374" s="373"/>
      <c r="U374" s="373"/>
      <c r="V374" s="373"/>
      <c r="W374" s="373"/>
      <c r="X374" s="373"/>
    </row>
    <row r="375" spans="1:24" ht="18" x14ac:dyDescent="0.55000000000000004">
      <c r="A375" s="373"/>
      <c r="B375" s="373"/>
      <c r="C375" s="373"/>
      <c r="D375" s="373"/>
      <c r="E375" s="373"/>
      <c r="F375" s="373"/>
      <c r="G375" s="373"/>
      <c r="H375" s="373"/>
      <c r="I375" s="373"/>
      <c r="J375" s="373"/>
      <c r="K375" s="373"/>
      <c r="L375" s="373"/>
      <c r="M375" s="373"/>
      <c r="N375" s="373"/>
      <c r="O375" s="373"/>
      <c r="P375" s="373"/>
      <c r="Q375" s="373"/>
      <c r="R375" s="373"/>
      <c r="S375" s="373"/>
      <c r="T375" s="373"/>
      <c r="U375" s="373"/>
      <c r="V375" s="373"/>
      <c r="W375" s="373"/>
      <c r="X375" s="373"/>
    </row>
    <row r="376" spans="1:24" ht="18" x14ac:dyDescent="0.55000000000000004">
      <c r="A376" s="373"/>
      <c r="B376" s="373"/>
      <c r="C376" s="373"/>
      <c r="D376" s="373"/>
      <c r="E376" s="373"/>
      <c r="F376" s="373"/>
      <c r="G376" s="373"/>
      <c r="H376" s="373"/>
      <c r="I376" s="373"/>
      <c r="J376" s="373"/>
      <c r="K376" s="373"/>
      <c r="L376" s="373"/>
      <c r="M376" s="373"/>
      <c r="N376" s="373"/>
      <c r="O376" s="373"/>
      <c r="P376" s="373"/>
      <c r="Q376" s="373"/>
      <c r="R376" s="373"/>
      <c r="S376" s="373"/>
      <c r="T376" s="373"/>
      <c r="U376" s="373"/>
      <c r="V376" s="373"/>
      <c r="W376" s="373"/>
      <c r="X376" s="373"/>
    </row>
    <row r="377" spans="1:24" ht="18" x14ac:dyDescent="0.55000000000000004">
      <c r="A377" s="373"/>
      <c r="B377" s="373"/>
      <c r="C377" s="373"/>
      <c r="D377" s="373"/>
      <c r="E377" s="373"/>
      <c r="F377" s="373"/>
      <c r="G377" s="373"/>
      <c r="H377" s="373"/>
      <c r="I377" s="373"/>
      <c r="J377" s="373"/>
      <c r="K377" s="373"/>
      <c r="L377" s="373"/>
      <c r="M377" s="373"/>
      <c r="N377" s="373"/>
      <c r="O377" s="373"/>
      <c r="P377" s="373"/>
      <c r="Q377" s="373"/>
      <c r="R377" s="373"/>
      <c r="S377" s="373"/>
      <c r="T377" s="373"/>
      <c r="U377" s="373"/>
      <c r="V377" s="373"/>
      <c r="W377" s="373"/>
      <c r="X377" s="373"/>
    </row>
    <row r="378" spans="1:24" ht="18" x14ac:dyDescent="0.55000000000000004">
      <c r="A378" s="373"/>
      <c r="B378" s="373"/>
      <c r="C378" s="373"/>
      <c r="D378" s="373"/>
      <c r="E378" s="373"/>
      <c r="F378" s="373"/>
      <c r="G378" s="373"/>
      <c r="H378" s="373"/>
      <c r="I378" s="373"/>
      <c r="J378" s="373"/>
      <c r="K378" s="373"/>
      <c r="L378" s="373"/>
      <c r="M378" s="373"/>
      <c r="N378" s="373"/>
      <c r="O378" s="373"/>
      <c r="P378" s="373"/>
      <c r="Q378" s="373"/>
      <c r="R378" s="373"/>
      <c r="S378" s="373"/>
      <c r="T378" s="373"/>
      <c r="U378" s="373"/>
      <c r="V378" s="373"/>
      <c r="W378" s="373"/>
      <c r="X378" s="373"/>
    </row>
    <row r="379" spans="1:24" ht="18" x14ac:dyDescent="0.55000000000000004">
      <c r="A379" s="373"/>
      <c r="B379" s="373"/>
      <c r="C379" s="373"/>
      <c r="D379" s="373"/>
      <c r="E379" s="373"/>
      <c r="F379" s="373"/>
      <c r="G379" s="373"/>
      <c r="H379" s="373"/>
      <c r="I379" s="373"/>
      <c r="J379" s="373"/>
      <c r="K379" s="373"/>
      <c r="L379" s="373"/>
      <c r="M379" s="373"/>
      <c r="N379" s="373"/>
      <c r="O379" s="373"/>
      <c r="P379" s="373"/>
      <c r="Q379" s="373"/>
      <c r="R379" s="373"/>
      <c r="S379" s="373"/>
      <c r="T379" s="373"/>
      <c r="U379" s="373"/>
      <c r="V379" s="373"/>
      <c r="W379" s="373"/>
      <c r="X379" s="373"/>
    </row>
    <row r="380" spans="1:24" ht="18" x14ac:dyDescent="0.55000000000000004">
      <c r="A380" s="373"/>
      <c r="B380" s="373"/>
      <c r="C380" s="373"/>
      <c r="D380" s="373"/>
      <c r="E380" s="373"/>
      <c r="F380" s="373"/>
      <c r="G380" s="373"/>
      <c r="H380" s="373"/>
      <c r="I380" s="373"/>
      <c r="J380" s="373"/>
      <c r="K380" s="373"/>
      <c r="L380" s="373"/>
      <c r="M380" s="373"/>
      <c r="N380" s="373"/>
      <c r="O380" s="373"/>
      <c r="P380" s="373"/>
      <c r="Q380" s="373"/>
      <c r="R380" s="373"/>
      <c r="S380" s="373"/>
      <c r="T380" s="373"/>
      <c r="U380" s="373"/>
      <c r="V380" s="373"/>
      <c r="W380" s="373"/>
      <c r="X380" s="373"/>
    </row>
    <row r="381" spans="1:24" ht="18" x14ac:dyDescent="0.55000000000000004">
      <c r="A381" s="373"/>
      <c r="B381" s="373"/>
      <c r="C381" s="373"/>
      <c r="D381" s="373"/>
      <c r="E381" s="373"/>
      <c r="F381" s="373"/>
      <c r="G381" s="373"/>
      <c r="H381" s="373"/>
      <c r="I381" s="373"/>
      <c r="J381" s="373"/>
      <c r="K381" s="373"/>
      <c r="L381" s="373"/>
      <c r="M381" s="373"/>
      <c r="N381" s="373"/>
      <c r="O381" s="373"/>
      <c r="P381" s="373"/>
      <c r="Q381" s="373"/>
      <c r="R381" s="373"/>
      <c r="S381" s="373"/>
      <c r="T381" s="373"/>
      <c r="U381" s="373"/>
      <c r="V381" s="373"/>
      <c r="W381" s="373"/>
      <c r="X381" s="373"/>
    </row>
    <row r="382" spans="1:24" ht="18" x14ac:dyDescent="0.55000000000000004">
      <c r="A382" s="373"/>
      <c r="B382" s="373"/>
      <c r="C382" s="373"/>
      <c r="D382" s="373"/>
      <c r="E382" s="373"/>
      <c r="F382" s="373"/>
      <c r="G382" s="373"/>
      <c r="H382" s="373"/>
      <c r="I382" s="373"/>
      <c r="J382" s="373"/>
      <c r="K382" s="373"/>
      <c r="L382" s="373"/>
      <c r="M382" s="373"/>
      <c r="N382" s="373"/>
      <c r="O382" s="373"/>
      <c r="P382" s="373"/>
      <c r="Q382" s="373"/>
      <c r="R382" s="373"/>
      <c r="S382" s="373"/>
      <c r="T382" s="373"/>
      <c r="U382" s="373"/>
      <c r="V382" s="373"/>
      <c r="W382" s="373"/>
      <c r="X382" s="373"/>
    </row>
    <row r="383" spans="1:24" ht="18" x14ac:dyDescent="0.55000000000000004">
      <c r="A383" s="373"/>
      <c r="B383" s="373"/>
      <c r="C383" s="373"/>
      <c r="D383" s="373"/>
      <c r="E383" s="373"/>
      <c r="F383" s="373"/>
      <c r="G383" s="373"/>
      <c r="H383" s="373"/>
      <c r="I383" s="373"/>
      <c r="J383" s="373"/>
      <c r="K383" s="373"/>
      <c r="L383" s="373"/>
      <c r="M383" s="373"/>
      <c r="N383" s="373"/>
      <c r="O383" s="373"/>
      <c r="P383" s="373"/>
      <c r="Q383" s="373"/>
      <c r="R383" s="373"/>
      <c r="S383" s="373"/>
      <c r="T383" s="373"/>
      <c r="U383" s="373"/>
      <c r="V383" s="373"/>
      <c r="W383" s="373"/>
      <c r="X383" s="373"/>
    </row>
    <row r="384" spans="1:24" ht="18" x14ac:dyDescent="0.55000000000000004">
      <c r="A384" s="373"/>
      <c r="B384" s="373"/>
      <c r="C384" s="373"/>
      <c r="D384" s="373"/>
      <c r="E384" s="373"/>
      <c r="F384" s="373"/>
      <c r="G384" s="373"/>
      <c r="H384" s="373"/>
      <c r="I384" s="373"/>
      <c r="J384" s="373"/>
      <c r="K384" s="373"/>
      <c r="L384" s="373"/>
      <c r="M384" s="373"/>
      <c r="N384" s="373"/>
      <c r="O384" s="373"/>
      <c r="P384" s="373"/>
      <c r="Q384" s="373"/>
      <c r="R384" s="373"/>
      <c r="S384" s="373"/>
      <c r="T384" s="373"/>
      <c r="U384" s="373"/>
      <c r="V384" s="373"/>
      <c r="W384" s="373"/>
      <c r="X384" s="373"/>
    </row>
    <row r="385" spans="1:24" ht="18" x14ac:dyDescent="0.55000000000000004">
      <c r="A385" s="373"/>
      <c r="B385" s="373"/>
      <c r="C385" s="373"/>
      <c r="D385" s="373"/>
      <c r="E385" s="373"/>
      <c r="F385" s="373"/>
      <c r="G385" s="373"/>
      <c r="H385" s="373"/>
      <c r="I385" s="373"/>
      <c r="J385" s="373"/>
      <c r="K385" s="373"/>
      <c r="L385" s="373"/>
      <c r="M385" s="373"/>
      <c r="N385" s="373"/>
      <c r="O385" s="373"/>
      <c r="P385" s="373"/>
      <c r="Q385" s="373"/>
      <c r="R385" s="373"/>
      <c r="S385" s="373"/>
      <c r="T385" s="373"/>
      <c r="U385" s="373"/>
      <c r="V385" s="373"/>
      <c r="W385" s="373"/>
      <c r="X385" s="373"/>
    </row>
    <row r="386" spans="1:24" ht="18" x14ac:dyDescent="0.55000000000000004">
      <c r="A386" s="373"/>
      <c r="B386" s="373"/>
      <c r="C386" s="373"/>
      <c r="D386" s="373"/>
      <c r="E386" s="373"/>
      <c r="F386" s="373"/>
      <c r="G386" s="373"/>
      <c r="H386" s="373"/>
      <c r="I386" s="373"/>
      <c r="J386" s="373"/>
      <c r="K386" s="373"/>
      <c r="L386" s="373"/>
      <c r="M386" s="373"/>
      <c r="N386" s="373"/>
      <c r="O386" s="373"/>
      <c r="P386" s="373"/>
      <c r="Q386" s="373"/>
      <c r="R386" s="373"/>
      <c r="S386" s="373"/>
      <c r="T386" s="373"/>
      <c r="U386" s="373"/>
      <c r="V386" s="373"/>
      <c r="W386" s="373"/>
      <c r="X386" s="373"/>
    </row>
    <row r="387" spans="1:24" ht="18" x14ac:dyDescent="0.55000000000000004">
      <c r="A387" s="373"/>
      <c r="B387" s="373"/>
      <c r="C387" s="373"/>
      <c r="D387" s="373"/>
      <c r="E387" s="373"/>
      <c r="F387" s="373"/>
      <c r="G387" s="373"/>
      <c r="H387" s="373"/>
      <c r="I387" s="373"/>
      <c r="J387" s="373"/>
      <c r="K387" s="373"/>
      <c r="L387" s="373"/>
      <c r="M387" s="373"/>
      <c r="N387" s="373"/>
      <c r="O387" s="373"/>
      <c r="P387" s="373"/>
      <c r="Q387" s="373"/>
      <c r="R387" s="373"/>
      <c r="S387" s="373"/>
      <c r="T387" s="373"/>
      <c r="U387" s="373"/>
      <c r="V387" s="373"/>
      <c r="W387" s="373"/>
      <c r="X387" s="373"/>
    </row>
    <row r="388" spans="1:24" ht="18" x14ac:dyDescent="0.55000000000000004">
      <c r="A388" s="373"/>
      <c r="B388" s="373"/>
      <c r="C388" s="373"/>
      <c r="D388" s="373"/>
      <c r="E388" s="373"/>
      <c r="F388" s="373"/>
      <c r="G388" s="373"/>
      <c r="H388" s="373"/>
      <c r="I388" s="373"/>
      <c r="J388" s="373"/>
      <c r="K388" s="373"/>
      <c r="L388" s="373"/>
      <c r="M388" s="373"/>
      <c r="N388" s="373"/>
      <c r="O388" s="373"/>
      <c r="P388" s="373"/>
      <c r="Q388" s="373"/>
      <c r="R388" s="373"/>
      <c r="S388" s="373"/>
      <c r="T388" s="373"/>
      <c r="U388" s="373"/>
      <c r="V388" s="373"/>
      <c r="W388" s="373"/>
      <c r="X388" s="373"/>
    </row>
    <row r="389" spans="1:24" ht="18" x14ac:dyDescent="0.55000000000000004">
      <c r="A389" s="373"/>
      <c r="B389" s="373"/>
      <c r="C389" s="373"/>
      <c r="D389" s="373"/>
      <c r="E389" s="373"/>
      <c r="F389" s="373"/>
      <c r="G389" s="373"/>
      <c r="H389" s="373"/>
      <c r="I389" s="373"/>
      <c r="J389" s="373"/>
      <c r="K389" s="373"/>
      <c r="L389" s="373"/>
      <c r="M389" s="373"/>
      <c r="N389" s="373"/>
      <c r="O389" s="373"/>
      <c r="P389" s="373"/>
      <c r="Q389" s="373"/>
      <c r="R389" s="373"/>
      <c r="S389" s="373"/>
      <c r="T389" s="373"/>
      <c r="U389" s="373"/>
      <c r="V389" s="373"/>
      <c r="W389" s="373"/>
      <c r="X389" s="373"/>
    </row>
    <row r="390" spans="1:24" ht="18" x14ac:dyDescent="0.55000000000000004">
      <c r="A390" s="373"/>
      <c r="B390" s="373"/>
      <c r="C390" s="373"/>
      <c r="D390" s="373"/>
      <c r="E390" s="373"/>
      <c r="F390" s="373"/>
      <c r="G390" s="373"/>
      <c r="H390" s="373"/>
      <c r="I390" s="373"/>
      <c r="J390" s="373"/>
      <c r="K390" s="373"/>
      <c r="L390" s="373"/>
      <c r="M390" s="373"/>
      <c r="N390" s="373"/>
      <c r="O390" s="373"/>
      <c r="P390" s="373"/>
      <c r="Q390" s="373"/>
      <c r="R390" s="373"/>
      <c r="S390" s="373"/>
      <c r="T390" s="373"/>
      <c r="U390" s="373"/>
      <c r="V390" s="373"/>
      <c r="W390" s="373"/>
      <c r="X390" s="373"/>
    </row>
    <row r="391" spans="1:24" ht="18" x14ac:dyDescent="0.55000000000000004">
      <c r="A391" s="373"/>
      <c r="B391" s="373"/>
      <c r="C391" s="373"/>
      <c r="D391" s="373"/>
      <c r="E391" s="373"/>
      <c r="F391" s="373"/>
      <c r="G391" s="373"/>
      <c r="H391" s="373"/>
      <c r="I391" s="373"/>
      <c r="J391" s="373"/>
      <c r="K391" s="373"/>
      <c r="L391" s="373"/>
      <c r="M391" s="373"/>
      <c r="N391" s="373"/>
      <c r="O391" s="373"/>
      <c r="P391" s="373"/>
      <c r="Q391" s="373"/>
      <c r="R391" s="373"/>
      <c r="S391" s="373"/>
      <c r="T391" s="373"/>
      <c r="U391" s="373"/>
      <c r="V391" s="373"/>
      <c r="W391" s="373"/>
      <c r="X391" s="373"/>
    </row>
    <row r="392" spans="1:24" ht="18" x14ac:dyDescent="0.55000000000000004">
      <c r="A392" s="373"/>
      <c r="B392" s="373"/>
      <c r="C392" s="373"/>
      <c r="D392" s="373"/>
      <c r="E392" s="373"/>
      <c r="F392" s="373"/>
      <c r="G392" s="373"/>
      <c r="H392" s="373"/>
      <c r="I392" s="373"/>
      <c r="J392" s="373"/>
      <c r="K392" s="373"/>
      <c r="L392" s="373"/>
      <c r="M392" s="373"/>
      <c r="N392" s="373"/>
      <c r="O392" s="373"/>
      <c r="P392" s="373"/>
      <c r="Q392" s="373"/>
      <c r="R392" s="373"/>
      <c r="S392" s="373"/>
      <c r="T392" s="373"/>
      <c r="U392" s="373"/>
      <c r="V392" s="373"/>
      <c r="W392" s="373"/>
      <c r="X392" s="373"/>
    </row>
    <row r="393" spans="1:24" ht="18" x14ac:dyDescent="0.55000000000000004">
      <c r="A393" s="373"/>
      <c r="B393" s="373"/>
      <c r="C393" s="373"/>
      <c r="D393" s="373"/>
      <c r="E393" s="373"/>
      <c r="F393" s="373"/>
      <c r="G393" s="373"/>
      <c r="H393" s="373"/>
      <c r="I393" s="373"/>
      <c r="J393" s="373"/>
      <c r="K393" s="373"/>
      <c r="L393" s="373"/>
      <c r="M393" s="373"/>
      <c r="N393" s="373"/>
      <c r="O393" s="373"/>
      <c r="P393" s="373"/>
      <c r="Q393" s="373"/>
      <c r="R393" s="373"/>
      <c r="S393" s="373"/>
      <c r="T393" s="373"/>
      <c r="U393" s="373"/>
      <c r="V393" s="373"/>
      <c r="W393" s="373"/>
      <c r="X393" s="373"/>
    </row>
    <row r="394" spans="1:24" ht="18" x14ac:dyDescent="0.55000000000000004">
      <c r="A394" s="373"/>
      <c r="B394" s="373"/>
      <c r="C394" s="373"/>
      <c r="D394" s="373"/>
      <c r="E394" s="373"/>
      <c r="F394" s="373"/>
      <c r="G394" s="373"/>
      <c r="H394" s="373"/>
      <c r="I394" s="373"/>
      <c r="J394" s="373"/>
      <c r="K394" s="373"/>
      <c r="L394" s="373"/>
      <c r="M394" s="373"/>
      <c r="N394" s="373"/>
      <c r="O394" s="373"/>
      <c r="P394" s="373"/>
      <c r="Q394" s="373"/>
      <c r="R394" s="373"/>
      <c r="S394" s="373"/>
      <c r="T394" s="373"/>
      <c r="U394" s="373"/>
      <c r="V394" s="373"/>
      <c r="W394" s="373"/>
      <c r="X394" s="373"/>
    </row>
    <row r="395" spans="1:24" ht="18" x14ac:dyDescent="0.55000000000000004">
      <c r="A395" s="373"/>
      <c r="B395" s="373"/>
      <c r="C395" s="373"/>
      <c r="D395" s="373"/>
      <c r="E395" s="373"/>
      <c r="F395" s="373"/>
      <c r="G395" s="373"/>
      <c r="H395" s="373"/>
      <c r="I395" s="373"/>
      <c r="J395" s="373"/>
      <c r="K395" s="373"/>
      <c r="L395" s="373"/>
      <c r="M395" s="373"/>
      <c r="N395" s="373"/>
      <c r="O395" s="373"/>
      <c r="P395" s="373"/>
      <c r="Q395" s="373"/>
      <c r="R395" s="373"/>
      <c r="S395" s="373"/>
      <c r="T395" s="373"/>
      <c r="U395" s="373"/>
      <c r="V395" s="373"/>
      <c r="W395" s="373"/>
      <c r="X395" s="373"/>
    </row>
    <row r="396" spans="1:24" ht="18" x14ac:dyDescent="0.55000000000000004">
      <c r="A396" s="373"/>
      <c r="B396" s="373"/>
      <c r="C396" s="373"/>
      <c r="D396" s="373"/>
      <c r="E396" s="373"/>
      <c r="F396" s="373"/>
      <c r="G396" s="373"/>
      <c r="H396" s="373"/>
      <c r="I396" s="373"/>
      <c r="J396" s="373"/>
      <c r="K396" s="373"/>
      <c r="L396" s="373"/>
      <c r="M396" s="373"/>
      <c r="N396" s="373"/>
      <c r="O396" s="373"/>
      <c r="P396" s="373"/>
      <c r="Q396" s="373"/>
      <c r="R396" s="373"/>
      <c r="S396" s="373"/>
      <c r="T396" s="373"/>
      <c r="U396" s="373"/>
      <c r="V396" s="373"/>
      <c r="W396" s="373"/>
      <c r="X396" s="373"/>
    </row>
    <row r="397" spans="1:24" ht="18" x14ac:dyDescent="0.55000000000000004">
      <c r="A397" s="373"/>
      <c r="B397" s="373"/>
      <c r="C397" s="373"/>
      <c r="D397" s="373"/>
      <c r="E397" s="373"/>
      <c r="F397" s="373"/>
      <c r="G397" s="373"/>
      <c r="H397" s="373"/>
      <c r="I397" s="373"/>
      <c r="J397" s="373"/>
      <c r="K397" s="373"/>
      <c r="L397" s="373"/>
      <c r="M397" s="373"/>
      <c r="N397" s="373"/>
      <c r="O397" s="373"/>
      <c r="P397" s="373"/>
      <c r="Q397" s="373"/>
      <c r="R397" s="373"/>
      <c r="S397" s="373"/>
      <c r="T397" s="373"/>
      <c r="U397" s="373"/>
      <c r="V397" s="373"/>
      <c r="W397" s="373"/>
      <c r="X397" s="373"/>
    </row>
    <row r="398" spans="1:24" ht="18" x14ac:dyDescent="0.55000000000000004">
      <c r="A398" s="373"/>
      <c r="B398" s="373"/>
      <c r="C398" s="373"/>
      <c r="D398" s="373"/>
      <c r="E398" s="373"/>
      <c r="F398" s="373"/>
      <c r="G398" s="373"/>
      <c r="H398" s="373"/>
      <c r="I398" s="373"/>
      <c r="J398" s="373"/>
      <c r="K398" s="373"/>
      <c r="L398" s="373"/>
      <c r="M398" s="373"/>
      <c r="N398" s="373"/>
      <c r="O398" s="373"/>
      <c r="P398" s="373"/>
      <c r="Q398" s="373"/>
      <c r="R398" s="373"/>
      <c r="S398" s="373"/>
      <c r="T398" s="373"/>
      <c r="U398" s="373"/>
      <c r="V398" s="373"/>
      <c r="W398" s="373"/>
      <c r="X398" s="373"/>
    </row>
    <row r="399" spans="1:24" ht="18" x14ac:dyDescent="0.55000000000000004">
      <c r="A399" s="373"/>
      <c r="B399" s="373"/>
      <c r="C399" s="373"/>
      <c r="D399" s="373"/>
      <c r="E399" s="373"/>
      <c r="F399" s="373"/>
      <c r="G399" s="373"/>
      <c r="H399" s="373"/>
      <c r="I399" s="373"/>
      <c r="J399" s="373"/>
      <c r="K399" s="373"/>
      <c r="L399" s="373"/>
      <c r="M399" s="373"/>
      <c r="N399" s="373"/>
      <c r="O399" s="373"/>
      <c r="P399" s="373"/>
      <c r="Q399" s="373"/>
      <c r="R399" s="373"/>
      <c r="S399" s="373"/>
      <c r="T399" s="373"/>
      <c r="U399" s="373"/>
      <c r="V399" s="373"/>
      <c r="W399" s="373"/>
      <c r="X399" s="373"/>
    </row>
    <row r="400" spans="1:24" ht="18" x14ac:dyDescent="0.55000000000000004">
      <c r="A400" s="373"/>
      <c r="B400" s="373"/>
      <c r="C400" s="373"/>
      <c r="D400" s="373"/>
      <c r="E400" s="373"/>
      <c r="F400" s="373"/>
      <c r="G400" s="373"/>
      <c r="H400" s="373"/>
      <c r="I400" s="373"/>
      <c r="J400" s="373"/>
      <c r="K400" s="373"/>
      <c r="L400" s="373"/>
      <c r="M400" s="373"/>
      <c r="N400" s="373"/>
      <c r="O400" s="373"/>
      <c r="P400" s="373"/>
      <c r="Q400" s="373"/>
      <c r="R400" s="373"/>
      <c r="S400" s="373"/>
      <c r="T400" s="373"/>
      <c r="U400" s="373"/>
      <c r="V400" s="373"/>
      <c r="W400" s="373"/>
      <c r="X400" s="373"/>
    </row>
    <row r="401" spans="1:24" ht="18" x14ac:dyDescent="0.55000000000000004">
      <c r="A401" s="373"/>
      <c r="B401" s="373"/>
      <c r="C401" s="373"/>
      <c r="D401" s="373"/>
      <c r="E401" s="373"/>
      <c r="F401" s="373"/>
      <c r="G401" s="373"/>
      <c r="H401" s="373"/>
      <c r="I401" s="373"/>
      <c r="J401" s="373"/>
      <c r="K401" s="373"/>
      <c r="L401" s="373"/>
      <c r="M401" s="373"/>
      <c r="N401" s="373"/>
      <c r="O401" s="373"/>
      <c r="P401" s="373"/>
      <c r="Q401" s="373"/>
      <c r="R401" s="373"/>
      <c r="S401" s="373"/>
      <c r="T401" s="373"/>
      <c r="U401" s="373"/>
      <c r="V401" s="373"/>
      <c r="W401" s="373"/>
      <c r="X401" s="373"/>
    </row>
    <row r="402" spans="1:24" ht="18" x14ac:dyDescent="0.55000000000000004">
      <c r="A402" s="373"/>
      <c r="B402" s="373"/>
      <c r="C402" s="373"/>
      <c r="D402" s="373"/>
      <c r="E402" s="373"/>
      <c r="F402" s="373"/>
      <c r="G402" s="373"/>
      <c r="H402" s="373"/>
      <c r="I402" s="373"/>
      <c r="J402" s="373"/>
      <c r="K402" s="373"/>
      <c r="L402" s="373"/>
      <c r="M402" s="373"/>
      <c r="N402" s="373"/>
      <c r="O402" s="373"/>
      <c r="P402" s="373"/>
      <c r="Q402" s="373"/>
      <c r="R402" s="373"/>
      <c r="S402" s="373"/>
      <c r="T402" s="373"/>
      <c r="U402" s="373"/>
      <c r="V402" s="373"/>
      <c r="W402" s="373"/>
      <c r="X402" s="373"/>
    </row>
    <row r="403" spans="1:24" ht="18" x14ac:dyDescent="0.55000000000000004">
      <c r="A403" s="373"/>
      <c r="B403" s="373"/>
      <c r="C403" s="373"/>
      <c r="D403" s="373"/>
      <c r="E403" s="373"/>
      <c r="F403" s="373"/>
      <c r="G403" s="373"/>
      <c r="H403" s="373"/>
      <c r="I403" s="373"/>
      <c r="J403" s="373"/>
      <c r="K403" s="373"/>
      <c r="L403" s="373"/>
      <c r="M403" s="373"/>
      <c r="N403" s="373"/>
      <c r="O403" s="373"/>
      <c r="P403" s="373"/>
      <c r="Q403" s="373"/>
      <c r="R403" s="373"/>
      <c r="S403" s="373"/>
      <c r="T403" s="373"/>
      <c r="U403" s="373"/>
      <c r="V403" s="373"/>
      <c r="W403" s="373"/>
      <c r="X403" s="373"/>
    </row>
    <row r="404" spans="1:24" ht="18" x14ac:dyDescent="0.55000000000000004">
      <c r="A404" s="373"/>
      <c r="B404" s="373"/>
      <c r="C404" s="373"/>
      <c r="D404" s="373"/>
      <c r="E404" s="373"/>
      <c r="F404" s="373"/>
      <c r="G404" s="373"/>
      <c r="H404" s="373"/>
      <c r="I404" s="373"/>
      <c r="J404" s="373"/>
      <c r="K404" s="373"/>
      <c r="L404" s="373"/>
      <c r="M404" s="373"/>
      <c r="N404" s="373"/>
      <c r="O404" s="373"/>
      <c r="P404" s="373"/>
      <c r="Q404" s="373"/>
      <c r="R404" s="373"/>
      <c r="S404" s="373"/>
      <c r="T404" s="373"/>
      <c r="U404" s="373"/>
      <c r="V404" s="373"/>
      <c r="W404" s="373"/>
      <c r="X404" s="373"/>
    </row>
    <row r="405" spans="1:24" ht="18" x14ac:dyDescent="0.55000000000000004">
      <c r="A405" s="373"/>
      <c r="B405" s="373"/>
      <c r="C405" s="373"/>
      <c r="D405" s="373"/>
      <c r="E405" s="373"/>
      <c r="F405" s="373"/>
      <c r="G405" s="373"/>
      <c r="H405" s="373"/>
      <c r="I405" s="373"/>
      <c r="J405" s="373"/>
      <c r="K405" s="373"/>
      <c r="L405" s="373"/>
      <c r="M405" s="373"/>
      <c r="N405" s="373"/>
      <c r="O405" s="373"/>
      <c r="P405" s="373"/>
      <c r="Q405" s="373"/>
      <c r="R405" s="373"/>
      <c r="S405" s="373"/>
      <c r="T405" s="373"/>
      <c r="U405" s="373"/>
      <c r="V405" s="373"/>
      <c r="W405" s="373"/>
      <c r="X405" s="373"/>
    </row>
    <row r="406" spans="1:24" ht="18" x14ac:dyDescent="0.55000000000000004">
      <c r="A406" s="373"/>
      <c r="B406" s="373"/>
      <c r="C406" s="373"/>
      <c r="D406" s="373"/>
      <c r="E406" s="373"/>
      <c r="F406" s="373"/>
      <c r="G406" s="373"/>
      <c r="H406" s="373"/>
      <c r="I406" s="373"/>
      <c r="J406" s="373"/>
      <c r="K406" s="373"/>
      <c r="L406" s="373"/>
      <c r="M406" s="373"/>
      <c r="N406" s="373"/>
      <c r="O406" s="373"/>
      <c r="P406" s="373"/>
      <c r="Q406" s="373"/>
      <c r="R406" s="373"/>
      <c r="S406" s="373"/>
      <c r="T406" s="373"/>
      <c r="U406" s="373"/>
      <c r="V406" s="373"/>
      <c r="W406" s="373"/>
      <c r="X406" s="373"/>
    </row>
    <row r="407" spans="1:24" ht="18" x14ac:dyDescent="0.55000000000000004">
      <c r="A407" s="373"/>
      <c r="B407" s="373"/>
      <c r="C407" s="373"/>
      <c r="D407" s="373"/>
      <c r="E407" s="373"/>
      <c r="F407" s="373"/>
      <c r="G407" s="373"/>
      <c r="H407" s="373"/>
      <c r="I407" s="373"/>
      <c r="J407" s="373"/>
      <c r="K407" s="373"/>
      <c r="L407" s="373"/>
      <c r="M407" s="373"/>
      <c r="N407" s="373"/>
      <c r="O407" s="373"/>
      <c r="P407" s="373"/>
      <c r="Q407" s="373"/>
      <c r="R407" s="373"/>
      <c r="S407" s="373"/>
      <c r="T407" s="373"/>
      <c r="U407" s="373"/>
      <c r="V407" s="373"/>
      <c r="W407" s="373"/>
      <c r="X407" s="373"/>
    </row>
    <row r="408" spans="1:24" ht="18" x14ac:dyDescent="0.55000000000000004">
      <c r="A408" s="373"/>
      <c r="B408" s="373"/>
      <c r="C408" s="373"/>
      <c r="D408" s="373"/>
      <c r="E408" s="373"/>
      <c r="F408" s="373"/>
      <c r="G408" s="373"/>
      <c r="H408" s="373"/>
      <c r="I408" s="373"/>
      <c r="J408" s="373"/>
      <c r="K408" s="373"/>
      <c r="L408" s="373"/>
      <c r="M408" s="373"/>
      <c r="N408" s="373"/>
      <c r="O408" s="373"/>
      <c r="P408" s="373"/>
      <c r="Q408" s="373"/>
      <c r="R408" s="373"/>
      <c r="S408" s="373"/>
      <c r="T408" s="373"/>
      <c r="U408" s="373"/>
      <c r="V408" s="373"/>
      <c r="W408" s="373"/>
      <c r="X408" s="373"/>
    </row>
    <row r="409" spans="1:24" ht="18" x14ac:dyDescent="0.55000000000000004">
      <c r="A409" s="373"/>
      <c r="B409" s="373"/>
      <c r="C409" s="373"/>
      <c r="D409" s="373"/>
      <c r="E409" s="373"/>
      <c r="F409" s="373"/>
      <c r="G409" s="373"/>
      <c r="H409" s="373"/>
      <c r="I409" s="373"/>
      <c r="J409" s="373"/>
      <c r="K409" s="373"/>
      <c r="L409" s="373"/>
      <c r="M409" s="373"/>
      <c r="N409" s="373"/>
      <c r="O409" s="373"/>
      <c r="P409" s="373"/>
      <c r="Q409" s="373"/>
      <c r="R409" s="373"/>
      <c r="S409" s="373"/>
      <c r="T409" s="373"/>
      <c r="U409" s="373"/>
      <c r="V409" s="373"/>
      <c r="W409" s="373"/>
      <c r="X409" s="373"/>
    </row>
    <row r="410" spans="1:24" ht="18" x14ac:dyDescent="0.55000000000000004">
      <c r="A410" s="373"/>
      <c r="B410" s="373"/>
      <c r="C410" s="373"/>
      <c r="D410" s="373"/>
      <c r="E410" s="373"/>
      <c r="F410" s="373"/>
      <c r="G410" s="373"/>
      <c r="H410" s="373"/>
      <c r="I410" s="373"/>
      <c r="J410" s="373"/>
      <c r="K410" s="373"/>
      <c r="L410" s="373"/>
      <c r="M410" s="373"/>
      <c r="N410" s="373"/>
      <c r="O410" s="373"/>
      <c r="P410" s="373"/>
      <c r="Q410" s="373"/>
      <c r="R410" s="373"/>
      <c r="S410" s="373"/>
      <c r="T410" s="373"/>
      <c r="U410" s="373"/>
      <c r="V410" s="373"/>
      <c r="W410" s="373"/>
      <c r="X410" s="373"/>
    </row>
    <row r="411" spans="1:24" ht="18" x14ac:dyDescent="0.55000000000000004">
      <c r="A411" s="373"/>
      <c r="B411" s="373"/>
      <c r="C411" s="373"/>
      <c r="D411" s="373"/>
      <c r="E411" s="373"/>
      <c r="F411" s="373"/>
      <c r="G411" s="373"/>
      <c r="H411" s="373"/>
      <c r="I411" s="373"/>
      <c r="J411" s="373"/>
      <c r="K411" s="373"/>
      <c r="L411" s="373"/>
      <c r="M411" s="373"/>
      <c r="N411" s="373"/>
      <c r="O411" s="373"/>
      <c r="P411" s="373"/>
      <c r="Q411" s="373"/>
      <c r="R411" s="373"/>
      <c r="S411" s="373"/>
      <c r="T411" s="373"/>
      <c r="U411" s="373"/>
      <c r="V411" s="373"/>
      <c r="W411" s="373"/>
      <c r="X411" s="373"/>
    </row>
    <row r="412" spans="1:24" ht="18" x14ac:dyDescent="0.55000000000000004">
      <c r="A412" s="373"/>
      <c r="B412" s="373"/>
      <c r="C412" s="373"/>
      <c r="D412" s="373"/>
      <c r="E412" s="373"/>
      <c r="F412" s="373"/>
      <c r="G412" s="373"/>
      <c r="H412" s="373"/>
      <c r="I412" s="373"/>
      <c r="J412" s="373"/>
      <c r="K412" s="373"/>
      <c r="L412" s="373"/>
      <c r="M412" s="373"/>
      <c r="N412" s="373"/>
      <c r="O412" s="373"/>
      <c r="P412" s="373"/>
      <c r="Q412" s="373"/>
      <c r="R412" s="373"/>
      <c r="S412" s="373"/>
      <c r="T412" s="373"/>
      <c r="U412" s="373"/>
      <c r="V412" s="373"/>
      <c r="W412" s="373"/>
      <c r="X412" s="373"/>
    </row>
    <row r="413" spans="1:24" ht="18" x14ac:dyDescent="0.55000000000000004">
      <c r="A413" s="373"/>
      <c r="B413" s="373"/>
      <c r="C413" s="373"/>
      <c r="D413" s="373"/>
      <c r="E413" s="373"/>
      <c r="F413" s="373"/>
      <c r="G413" s="373"/>
      <c r="H413" s="373"/>
      <c r="I413" s="373"/>
      <c r="J413" s="373"/>
      <c r="K413" s="373"/>
      <c r="L413" s="373"/>
      <c r="M413" s="373"/>
      <c r="N413" s="373"/>
      <c r="O413" s="373"/>
      <c r="P413" s="373"/>
      <c r="Q413" s="373"/>
      <c r="R413" s="373"/>
      <c r="S413" s="373"/>
      <c r="T413" s="373"/>
      <c r="U413" s="373"/>
      <c r="V413" s="373"/>
      <c r="W413" s="373"/>
      <c r="X413" s="373"/>
    </row>
    <row r="414" spans="1:24" ht="18" x14ac:dyDescent="0.55000000000000004">
      <c r="A414" s="373"/>
      <c r="B414" s="373"/>
      <c r="C414" s="373"/>
      <c r="D414" s="373"/>
      <c r="E414" s="373"/>
      <c r="F414" s="373"/>
      <c r="G414" s="373"/>
      <c r="H414" s="373"/>
      <c r="I414" s="373"/>
      <c r="J414" s="373"/>
      <c r="K414" s="373"/>
      <c r="L414" s="373"/>
      <c r="M414" s="373"/>
      <c r="N414" s="373"/>
      <c r="O414" s="373"/>
      <c r="P414" s="373"/>
      <c r="Q414" s="373"/>
      <c r="R414" s="373"/>
      <c r="S414" s="373"/>
      <c r="T414" s="373"/>
      <c r="U414" s="373"/>
      <c r="V414" s="373"/>
      <c r="W414" s="373"/>
      <c r="X414" s="373"/>
    </row>
    <row r="415" spans="1:24" ht="18" x14ac:dyDescent="0.55000000000000004">
      <c r="A415" s="373"/>
      <c r="B415" s="373"/>
      <c r="C415" s="373"/>
      <c r="D415" s="373"/>
      <c r="E415" s="373"/>
      <c r="F415" s="373"/>
      <c r="G415" s="373"/>
      <c r="H415" s="373"/>
      <c r="I415" s="373"/>
      <c r="J415" s="373"/>
      <c r="K415" s="373"/>
      <c r="L415" s="373"/>
      <c r="M415" s="373"/>
      <c r="N415" s="373"/>
      <c r="O415" s="373"/>
      <c r="P415" s="373"/>
      <c r="Q415" s="373"/>
      <c r="R415" s="373"/>
      <c r="S415" s="373"/>
      <c r="T415" s="373"/>
      <c r="U415" s="373"/>
      <c r="V415" s="373"/>
      <c r="W415" s="373"/>
      <c r="X415" s="373"/>
    </row>
    <row r="416" spans="1:24" ht="18" x14ac:dyDescent="0.55000000000000004">
      <c r="A416" s="373"/>
      <c r="B416" s="373"/>
      <c r="C416" s="373"/>
      <c r="D416" s="373"/>
      <c r="E416" s="373"/>
      <c r="F416" s="373"/>
      <c r="G416" s="373"/>
      <c r="H416" s="373"/>
      <c r="I416" s="373"/>
      <c r="J416" s="373"/>
      <c r="K416" s="373"/>
      <c r="L416" s="373"/>
      <c r="M416" s="373"/>
      <c r="N416" s="373"/>
      <c r="O416" s="373"/>
      <c r="P416" s="373"/>
      <c r="Q416" s="373"/>
      <c r="R416" s="373"/>
      <c r="S416" s="373"/>
      <c r="T416" s="373"/>
      <c r="U416" s="373"/>
      <c r="V416" s="373"/>
      <c r="W416" s="373"/>
      <c r="X416" s="373"/>
    </row>
    <row r="417" spans="1:24" ht="18" x14ac:dyDescent="0.55000000000000004">
      <c r="A417" s="373"/>
      <c r="B417" s="373"/>
      <c r="C417" s="373"/>
      <c r="D417" s="373"/>
      <c r="E417" s="373"/>
      <c r="F417" s="373"/>
      <c r="G417" s="373"/>
      <c r="H417" s="373"/>
      <c r="I417" s="373"/>
      <c r="J417" s="373"/>
      <c r="K417" s="373"/>
      <c r="L417" s="373"/>
      <c r="M417" s="373"/>
      <c r="N417" s="373"/>
      <c r="O417" s="373"/>
      <c r="P417" s="373"/>
      <c r="Q417" s="373"/>
      <c r="R417" s="373"/>
      <c r="S417" s="373"/>
      <c r="T417" s="373"/>
      <c r="U417" s="373"/>
      <c r="V417" s="373"/>
      <c r="W417" s="373"/>
      <c r="X417" s="373"/>
    </row>
    <row r="418" spans="1:24" ht="18" x14ac:dyDescent="0.55000000000000004">
      <c r="A418" s="373"/>
      <c r="B418" s="373"/>
      <c r="C418" s="373"/>
      <c r="D418" s="373"/>
      <c r="E418" s="373"/>
      <c r="F418" s="373"/>
      <c r="G418" s="373"/>
      <c r="H418" s="373"/>
      <c r="I418" s="373"/>
      <c r="J418" s="373"/>
      <c r="K418" s="373"/>
      <c r="L418" s="373"/>
      <c r="M418" s="373"/>
      <c r="N418" s="373"/>
      <c r="O418" s="373"/>
      <c r="P418" s="373"/>
      <c r="Q418" s="373"/>
      <c r="R418" s="373"/>
      <c r="S418" s="373"/>
      <c r="T418" s="373"/>
      <c r="U418" s="373"/>
      <c r="V418" s="373"/>
      <c r="W418" s="373"/>
      <c r="X418" s="373"/>
    </row>
    <row r="419" spans="1:24" ht="18" x14ac:dyDescent="0.55000000000000004">
      <c r="A419" s="373"/>
      <c r="B419" s="373"/>
      <c r="C419" s="373"/>
      <c r="D419" s="373"/>
      <c r="E419" s="373"/>
      <c r="F419" s="373"/>
      <c r="G419" s="373"/>
      <c r="H419" s="373"/>
      <c r="I419" s="373"/>
      <c r="J419" s="373"/>
      <c r="K419" s="373"/>
      <c r="L419" s="373"/>
      <c r="M419" s="373"/>
      <c r="N419" s="373"/>
      <c r="O419" s="373"/>
      <c r="P419" s="373"/>
      <c r="Q419" s="373"/>
      <c r="R419" s="373"/>
      <c r="S419" s="373"/>
      <c r="T419" s="373"/>
      <c r="U419" s="373"/>
      <c r="V419" s="373"/>
      <c r="W419" s="373"/>
      <c r="X419" s="373"/>
    </row>
    <row r="420" spans="1:24" ht="18" x14ac:dyDescent="0.55000000000000004">
      <c r="A420" s="373"/>
      <c r="B420" s="373"/>
      <c r="C420" s="373"/>
      <c r="D420" s="373"/>
      <c r="E420" s="373"/>
      <c r="F420" s="373"/>
      <c r="G420" s="373"/>
      <c r="H420" s="373"/>
      <c r="I420" s="373"/>
      <c r="J420" s="373"/>
      <c r="K420" s="373"/>
      <c r="L420" s="373"/>
      <c r="M420" s="373"/>
      <c r="N420" s="373"/>
      <c r="O420" s="373"/>
      <c r="P420" s="373"/>
      <c r="Q420" s="373"/>
      <c r="R420" s="373"/>
      <c r="S420" s="373"/>
      <c r="T420" s="373"/>
      <c r="U420" s="373"/>
      <c r="V420" s="373"/>
      <c r="W420" s="373"/>
      <c r="X420" s="373"/>
    </row>
    <row r="421" spans="1:24" ht="18" x14ac:dyDescent="0.55000000000000004">
      <c r="A421" s="373"/>
      <c r="B421" s="373"/>
      <c r="C421" s="373"/>
      <c r="D421" s="373"/>
      <c r="E421" s="373"/>
      <c r="F421" s="373"/>
      <c r="G421" s="373"/>
      <c r="H421" s="373"/>
      <c r="I421" s="373"/>
      <c r="J421" s="373"/>
      <c r="K421" s="373"/>
      <c r="L421" s="373"/>
      <c r="M421" s="373"/>
      <c r="N421" s="373"/>
      <c r="O421" s="373"/>
      <c r="P421" s="373"/>
      <c r="Q421" s="373"/>
      <c r="R421" s="373"/>
      <c r="S421" s="373"/>
      <c r="T421" s="373"/>
      <c r="U421" s="373"/>
      <c r="V421" s="373"/>
      <c r="W421" s="373"/>
      <c r="X421" s="373"/>
    </row>
    <row r="422" spans="1:24" ht="18" x14ac:dyDescent="0.55000000000000004">
      <c r="A422" s="373"/>
      <c r="B422" s="373"/>
      <c r="C422" s="373"/>
      <c r="D422" s="373"/>
      <c r="E422" s="373"/>
      <c r="F422" s="373"/>
      <c r="G422" s="373"/>
      <c r="H422" s="373"/>
      <c r="I422" s="373"/>
      <c r="J422" s="373"/>
      <c r="K422" s="373"/>
      <c r="L422" s="373"/>
      <c r="M422" s="373"/>
      <c r="N422" s="373"/>
      <c r="O422" s="373"/>
      <c r="P422" s="373"/>
      <c r="Q422" s="373"/>
      <c r="R422" s="373"/>
      <c r="S422" s="373"/>
      <c r="T422" s="373"/>
      <c r="U422" s="373"/>
      <c r="V422" s="373"/>
      <c r="W422" s="373"/>
      <c r="X422" s="373"/>
    </row>
    <row r="423" spans="1:24" ht="18" x14ac:dyDescent="0.55000000000000004">
      <c r="A423" s="373"/>
      <c r="B423" s="373"/>
      <c r="C423" s="373"/>
      <c r="D423" s="373"/>
      <c r="E423" s="373"/>
      <c r="F423" s="373"/>
      <c r="G423" s="373"/>
      <c r="H423" s="373"/>
      <c r="I423" s="373"/>
      <c r="J423" s="373"/>
      <c r="K423" s="373"/>
      <c r="L423" s="373"/>
      <c r="M423" s="373"/>
      <c r="N423" s="373"/>
      <c r="O423" s="373"/>
      <c r="P423" s="373"/>
      <c r="Q423" s="373"/>
      <c r="R423" s="373"/>
      <c r="S423" s="373"/>
      <c r="T423" s="373"/>
      <c r="U423" s="373"/>
      <c r="V423" s="373"/>
      <c r="W423" s="373"/>
      <c r="X423" s="373"/>
    </row>
    <row r="424" spans="1:24" ht="18" x14ac:dyDescent="0.55000000000000004">
      <c r="A424" s="373"/>
      <c r="B424" s="373"/>
      <c r="C424" s="373"/>
      <c r="D424" s="373"/>
      <c r="E424" s="373"/>
      <c r="F424" s="373"/>
      <c r="G424" s="373"/>
      <c r="H424" s="373"/>
      <c r="I424" s="373"/>
      <c r="J424" s="373"/>
      <c r="K424" s="373"/>
      <c r="L424" s="373"/>
      <c r="M424" s="373"/>
      <c r="N424" s="373"/>
      <c r="O424" s="373"/>
      <c r="P424" s="373"/>
      <c r="Q424" s="373"/>
      <c r="R424" s="373"/>
      <c r="S424" s="373"/>
      <c r="T424" s="373"/>
      <c r="U424" s="373"/>
      <c r="V424" s="373"/>
      <c r="W424" s="373"/>
      <c r="X424" s="373"/>
    </row>
    <row r="425" spans="1:24" ht="18" x14ac:dyDescent="0.55000000000000004">
      <c r="A425" s="373"/>
      <c r="B425" s="373"/>
      <c r="C425" s="373"/>
      <c r="D425" s="373"/>
      <c r="E425" s="373"/>
      <c r="F425" s="373"/>
      <c r="G425" s="373"/>
      <c r="H425" s="373"/>
      <c r="I425" s="373"/>
      <c r="J425" s="373"/>
      <c r="K425" s="373"/>
      <c r="L425" s="373"/>
      <c r="M425" s="373"/>
      <c r="N425" s="373"/>
      <c r="O425" s="373"/>
      <c r="P425" s="373"/>
      <c r="Q425" s="373"/>
      <c r="R425" s="373"/>
      <c r="S425" s="373"/>
      <c r="T425" s="373"/>
      <c r="U425" s="373"/>
      <c r="V425" s="373"/>
      <c r="W425" s="373"/>
      <c r="X425" s="373"/>
    </row>
    <row r="426" spans="1:24" ht="18" x14ac:dyDescent="0.55000000000000004">
      <c r="A426" s="373"/>
      <c r="B426" s="373"/>
      <c r="C426" s="373"/>
      <c r="D426" s="373"/>
      <c r="E426" s="373"/>
      <c r="F426" s="373"/>
      <c r="G426" s="373"/>
      <c r="H426" s="373"/>
      <c r="I426" s="373"/>
      <c r="J426" s="373"/>
      <c r="K426" s="373"/>
      <c r="L426" s="373"/>
      <c r="M426" s="373"/>
      <c r="N426" s="373"/>
      <c r="O426" s="373"/>
      <c r="P426" s="373"/>
      <c r="Q426" s="373"/>
      <c r="R426" s="373"/>
      <c r="S426" s="373"/>
      <c r="T426" s="373"/>
      <c r="U426" s="373"/>
      <c r="V426" s="373"/>
      <c r="W426" s="373"/>
      <c r="X426" s="373"/>
    </row>
    <row r="427" spans="1:24" ht="18" x14ac:dyDescent="0.55000000000000004">
      <c r="A427" s="373"/>
      <c r="B427" s="373"/>
      <c r="C427" s="373"/>
      <c r="D427" s="373"/>
      <c r="E427" s="373"/>
      <c r="F427" s="373"/>
      <c r="G427" s="373"/>
      <c r="H427" s="373"/>
      <c r="I427" s="373"/>
      <c r="J427" s="373"/>
      <c r="K427" s="373"/>
      <c r="L427" s="373"/>
      <c r="M427" s="373"/>
      <c r="N427" s="373"/>
      <c r="O427" s="373"/>
      <c r="P427" s="373"/>
      <c r="Q427" s="373"/>
      <c r="R427" s="373"/>
      <c r="S427" s="373"/>
      <c r="T427" s="373"/>
      <c r="U427" s="373"/>
      <c r="V427" s="373"/>
      <c r="W427" s="373"/>
      <c r="X427" s="373"/>
    </row>
    <row r="428" spans="1:24" ht="18" x14ac:dyDescent="0.55000000000000004">
      <c r="A428" s="373"/>
      <c r="B428" s="373"/>
      <c r="C428" s="373"/>
      <c r="D428" s="373"/>
      <c r="E428" s="373"/>
      <c r="F428" s="373"/>
      <c r="G428" s="373"/>
      <c r="H428" s="373"/>
      <c r="I428" s="373"/>
      <c r="J428" s="373"/>
      <c r="K428" s="373"/>
      <c r="L428" s="373"/>
      <c r="M428" s="373"/>
      <c r="N428" s="373"/>
      <c r="O428" s="373"/>
      <c r="P428" s="373"/>
      <c r="Q428" s="373"/>
      <c r="R428" s="373"/>
      <c r="S428" s="373"/>
      <c r="T428" s="373"/>
      <c r="U428" s="373"/>
      <c r="V428" s="373"/>
      <c r="W428" s="373"/>
      <c r="X428" s="373"/>
    </row>
    <row r="429" spans="1:24" ht="18" x14ac:dyDescent="0.55000000000000004">
      <c r="A429" s="373"/>
      <c r="B429" s="373"/>
      <c r="C429" s="373"/>
      <c r="D429" s="373"/>
      <c r="E429" s="373"/>
      <c r="F429" s="373"/>
      <c r="G429" s="373"/>
      <c r="H429" s="373"/>
      <c r="I429" s="373"/>
      <c r="J429" s="373"/>
      <c r="K429" s="373"/>
      <c r="L429" s="373"/>
      <c r="M429" s="373"/>
      <c r="N429" s="373"/>
      <c r="O429" s="373"/>
      <c r="P429" s="373"/>
      <c r="Q429" s="373"/>
      <c r="R429" s="373"/>
      <c r="S429" s="373"/>
      <c r="T429" s="373"/>
      <c r="U429" s="373"/>
      <c r="V429" s="373"/>
      <c r="W429" s="373"/>
      <c r="X429" s="373"/>
    </row>
    <row r="430" spans="1:24" ht="18" x14ac:dyDescent="0.55000000000000004">
      <c r="A430" s="373"/>
      <c r="B430" s="373"/>
      <c r="C430" s="373"/>
      <c r="D430" s="373"/>
      <c r="E430" s="373"/>
      <c r="F430" s="373"/>
      <c r="G430" s="373"/>
      <c r="H430" s="373"/>
      <c r="I430" s="373"/>
      <c r="J430" s="373"/>
      <c r="K430" s="373"/>
      <c r="L430" s="373"/>
      <c r="M430" s="373"/>
      <c r="N430" s="373"/>
      <c r="O430" s="373"/>
      <c r="P430" s="373"/>
      <c r="Q430" s="373"/>
      <c r="R430" s="373"/>
      <c r="S430" s="373"/>
      <c r="T430" s="373"/>
      <c r="U430" s="373"/>
      <c r="V430" s="373"/>
      <c r="W430" s="373"/>
      <c r="X430" s="373"/>
    </row>
    <row r="431" spans="1:24" ht="18" x14ac:dyDescent="0.55000000000000004">
      <c r="A431" s="373"/>
      <c r="B431" s="373"/>
      <c r="C431" s="373"/>
      <c r="D431" s="373"/>
      <c r="E431" s="373"/>
      <c r="F431" s="373"/>
      <c r="G431" s="373"/>
      <c r="H431" s="373"/>
      <c r="I431" s="373"/>
      <c r="J431" s="373"/>
      <c r="K431" s="373"/>
      <c r="L431" s="373"/>
      <c r="M431" s="373"/>
      <c r="N431" s="373"/>
      <c r="O431" s="373"/>
      <c r="P431" s="373"/>
      <c r="Q431" s="373"/>
      <c r="R431" s="373"/>
      <c r="S431" s="373"/>
      <c r="T431" s="373"/>
      <c r="U431" s="373"/>
      <c r="V431" s="373"/>
      <c r="W431" s="373"/>
      <c r="X431" s="373"/>
    </row>
    <row r="432" spans="1:24" ht="18" x14ac:dyDescent="0.55000000000000004">
      <c r="A432" s="373"/>
      <c r="B432" s="373"/>
      <c r="C432" s="373"/>
      <c r="D432" s="373"/>
      <c r="E432" s="373"/>
      <c r="F432" s="373"/>
      <c r="G432" s="373"/>
      <c r="H432" s="373"/>
      <c r="I432" s="373"/>
      <c r="J432" s="373"/>
      <c r="K432" s="373"/>
      <c r="L432" s="373"/>
      <c r="M432" s="373"/>
      <c r="N432" s="373"/>
      <c r="O432" s="373"/>
      <c r="P432" s="373"/>
      <c r="Q432" s="373"/>
      <c r="R432" s="373"/>
      <c r="S432" s="373"/>
      <c r="T432" s="373"/>
      <c r="U432" s="373"/>
      <c r="V432" s="373"/>
      <c r="W432" s="373"/>
      <c r="X432" s="373"/>
    </row>
    <row r="433" spans="1:24" ht="18" x14ac:dyDescent="0.55000000000000004">
      <c r="A433" s="373"/>
      <c r="B433" s="373"/>
      <c r="C433" s="373"/>
      <c r="D433" s="373"/>
      <c r="E433" s="373"/>
      <c r="F433" s="373"/>
      <c r="G433" s="373"/>
      <c r="H433" s="373"/>
      <c r="I433" s="373"/>
      <c r="J433" s="373"/>
      <c r="K433" s="373"/>
      <c r="L433" s="373"/>
      <c r="M433" s="373"/>
      <c r="N433" s="373"/>
      <c r="O433" s="373"/>
      <c r="P433" s="373"/>
      <c r="Q433" s="373"/>
      <c r="R433" s="373"/>
      <c r="S433" s="373"/>
      <c r="T433" s="373"/>
      <c r="U433" s="373"/>
      <c r="V433" s="373"/>
      <c r="W433" s="373"/>
      <c r="X433" s="373"/>
    </row>
    <row r="434" spans="1:24" ht="18" x14ac:dyDescent="0.55000000000000004">
      <c r="A434" s="373"/>
      <c r="B434" s="373"/>
      <c r="C434" s="373"/>
      <c r="D434" s="373"/>
      <c r="E434" s="373"/>
      <c r="F434" s="373"/>
      <c r="G434" s="373"/>
      <c r="H434" s="373"/>
      <c r="I434" s="373"/>
      <c r="J434" s="373"/>
      <c r="K434" s="373"/>
      <c r="L434" s="373"/>
      <c r="M434" s="373"/>
      <c r="N434" s="373"/>
      <c r="O434" s="373"/>
      <c r="P434" s="373"/>
      <c r="Q434" s="373"/>
      <c r="R434" s="373"/>
      <c r="S434" s="373"/>
      <c r="T434" s="373"/>
      <c r="U434" s="373"/>
      <c r="V434" s="373"/>
      <c r="W434" s="373"/>
      <c r="X434" s="373"/>
    </row>
    <row r="435" spans="1:24" ht="18" x14ac:dyDescent="0.55000000000000004">
      <c r="A435" s="373"/>
      <c r="B435" s="373"/>
      <c r="C435" s="373"/>
      <c r="D435" s="373"/>
      <c r="E435" s="373"/>
      <c r="F435" s="373"/>
      <c r="G435" s="373"/>
      <c r="H435" s="373"/>
      <c r="I435" s="373"/>
      <c r="J435" s="373"/>
      <c r="K435" s="373"/>
      <c r="L435" s="373"/>
      <c r="M435" s="373"/>
      <c r="N435" s="373"/>
      <c r="O435" s="373"/>
      <c r="P435" s="373"/>
      <c r="Q435" s="373"/>
      <c r="R435" s="373"/>
      <c r="S435" s="373"/>
      <c r="T435" s="373"/>
      <c r="U435" s="373"/>
      <c r="V435" s="373"/>
      <c r="W435" s="373"/>
      <c r="X435" s="373"/>
    </row>
    <row r="436" spans="1:24" ht="18" x14ac:dyDescent="0.55000000000000004">
      <c r="A436" s="373"/>
      <c r="B436" s="373"/>
      <c r="C436" s="373"/>
      <c r="D436" s="373"/>
      <c r="E436" s="373"/>
      <c r="F436" s="373"/>
      <c r="G436" s="373"/>
      <c r="H436" s="373"/>
      <c r="I436" s="373"/>
      <c r="J436" s="373"/>
      <c r="K436" s="373"/>
      <c r="L436" s="373"/>
      <c r="M436" s="373"/>
      <c r="N436" s="373"/>
      <c r="O436" s="373"/>
      <c r="P436" s="373"/>
      <c r="Q436" s="373"/>
      <c r="R436" s="373"/>
      <c r="S436" s="373"/>
      <c r="T436" s="373"/>
      <c r="U436" s="373"/>
      <c r="V436" s="373"/>
      <c r="W436" s="373"/>
      <c r="X436" s="373"/>
    </row>
    <row r="437" spans="1:24" ht="18" x14ac:dyDescent="0.55000000000000004">
      <c r="A437" s="373"/>
      <c r="B437" s="373"/>
      <c r="C437" s="373"/>
      <c r="D437" s="373"/>
      <c r="E437" s="373"/>
      <c r="F437" s="373"/>
      <c r="G437" s="373"/>
      <c r="H437" s="373"/>
      <c r="I437" s="373"/>
      <c r="J437" s="373"/>
      <c r="K437" s="373"/>
      <c r="L437" s="373"/>
      <c r="M437" s="373"/>
      <c r="N437" s="373"/>
      <c r="O437" s="373"/>
      <c r="P437" s="373"/>
      <c r="Q437" s="373"/>
      <c r="R437" s="373"/>
      <c r="S437" s="373"/>
      <c r="T437" s="373"/>
      <c r="U437" s="373"/>
      <c r="V437" s="373"/>
      <c r="W437" s="373"/>
      <c r="X437" s="373"/>
    </row>
    <row r="438" spans="1:24" ht="18" x14ac:dyDescent="0.55000000000000004">
      <c r="A438" s="373"/>
      <c r="B438" s="373"/>
      <c r="C438" s="373"/>
      <c r="D438" s="373"/>
      <c r="E438" s="373"/>
      <c r="F438" s="373"/>
      <c r="G438" s="373"/>
      <c r="H438" s="373"/>
      <c r="I438" s="373"/>
      <c r="J438" s="373"/>
      <c r="K438" s="373"/>
      <c r="L438" s="373"/>
      <c r="M438" s="373"/>
      <c r="N438" s="373"/>
      <c r="O438" s="373"/>
      <c r="P438" s="373"/>
      <c r="Q438" s="373"/>
      <c r="R438" s="373"/>
      <c r="S438" s="373"/>
      <c r="T438" s="373"/>
      <c r="U438" s="373"/>
      <c r="V438" s="373"/>
      <c r="W438" s="373"/>
      <c r="X438" s="373"/>
    </row>
    <row r="439" spans="1:24" ht="18" x14ac:dyDescent="0.55000000000000004">
      <c r="A439" s="373"/>
      <c r="B439" s="373"/>
      <c r="C439" s="373"/>
      <c r="D439" s="373"/>
      <c r="E439" s="373"/>
      <c r="F439" s="373"/>
      <c r="G439" s="373"/>
      <c r="H439" s="373"/>
      <c r="I439" s="373"/>
      <c r="J439" s="373"/>
      <c r="K439" s="373"/>
      <c r="L439" s="373"/>
      <c r="M439" s="373"/>
      <c r="N439" s="373"/>
      <c r="O439" s="373"/>
      <c r="P439" s="373"/>
      <c r="Q439" s="373"/>
      <c r="R439" s="373"/>
      <c r="S439" s="373"/>
      <c r="T439" s="373"/>
      <c r="U439" s="373"/>
      <c r="V439" s="373"/>
      <c r="W439" s="373"/>
      <c r="X439" s="373"/>
    </row>
    <row r="440" spans="1:24" ht="18" x14ac:dyDescent="0.55000000000000004">
      <c r="A440" s="373"/>
      <c r="B440" s="373"/>
      <c r="C440" s="373"/>
      <c r="D440" s="373"/>
      <c r="E440" s="373"/>
      <c r="F440" s="373"/>
      <c r="G440" s="373"/>
      <c r="H440" s="373"/>
      <c r="I440" s="373"/>
      <c r="J440" s="373"/>
      <c r="K440" s="373"/>
      <c r="L440" s="373"/>
      <c r="M440" s="373"/>
      <c r="N440" s="373"/>
      <c r="O440" s="373"/>
      <c r="P440" s="373"/>
      <c r="Q440" s="373"/>
      <c r="R440" s="373"/>
      <c r="S440" s="373"/>
      <c r="T440" s="373"/>
      <c r="U440" s="373"/>
      <c r="V440" s="373"/>
      <c r="W440" s="373"/>
      <c r="X440" s="373"/>
    </row>
    <row r="441" spans="1:24" ht="18" x14ac:dyDescent="0.55000000000000004">
      <c r="A441" s="373"/>
      <c r="B441" s="373"/>
      <c r="C441" s="373"/>
      <c r="D441" s="373"/>
      <c r="E441" s="373"/>
      <c r="F441" s="373"/>
      <c r="G441" s="373"/>
      <c r="H441" s="373"/>
      <c r="I441" s="373"/>
      <c r="J441" s="373"/>
      <c r="K441" s="373"/>
      <c r="L441" s="373"/>
      <c r="M441" s="373"/>
      <c r="N441" s="373"/>
      <c r="O441" s="373"/>
      <c r="P441" s="373"/>
      <c r="Q441" s="373"/>
      <c r="R441" s="373"/>
      <c r="S441" s="373"/>
      <c r="T441" s="373"/>
      <c r="U441" s="373"/>
      <c r="V441" s="373"/>
      <c r="W441" s="373"/>
      <c r="X441" s="373"/>
    </row>
    <row r="442" spans="1:24" ht="18" x14ac:dyDescent="0.55000000000000004">
      <c r="A442" s="373"/>
      <c r="B442" s="373"/>
      <c r="C442" s="373"/>
      <c r="D442" s="373"/>
      <c r="E442" s="373"/>
      <c r="F442" s="373"/>
      <c r="G442" s="373"/>
      <c r="H442" s="373"/>
      <c r="I442" s="373"/>
      <c r="J442" s="373"/>
      <c r="K442" s="373"/>
      <c r="L442" s="373"/>
      <c r="M442" s="373"/>
      <c r="N442" s="373"/>
      <c r="O442" s="373"/>
      <c r="P442" s="373"/>
      <c r="Q442" s="373"/>
      <c r="R442" s="373"/>
      <c r="S442" s="373"/>
      <c r="T442" s="373"/>
      <c r="U442" s="373"/>
      <c r="V442" s="373"/>
      <c r="W442" s="373"/>
      <c r="X442" s="373"/>
    </row>
    <row r="443" spans="1:24" ht="18" x14ac:dyDescent="0.55000000000000004">
      <c r="A443" s="373"/>
      <c r="B443" s="373"/>
      <c r="C443" s="373"/>
      <c r="D443" s="373"/>
      <c r="E443" s="373"/>
      <c r="F443" s="373"/>
      <c r="G443" s="373"/>
      <c r="H443" s="373"/>
      <c r="I443" s="373"/>
      <c r="J443" s="373"/>
      <c r="K443" s="373"/>
      <c r="L443" s="373"/>
      <c r="M443" s="373"/>
      <c r="N443" s="373"/>
      <c r="O443" s="373"/>
      <c r="P443" s="373"/>
      <c r="Q443" s="373"/>
      <c r="R443" s="373"/>
      <c r="S443" s="373"/>
      <c r="T443" s="373"/>
      <c r="U443" s="373"/>
      <c r="V443" s="373"/>
      <c r="W443" s="373"/>
      <c r="X443" s="373"/>
    </row>
    <row r="444" spans="1:24" ht="18" x14ac:dyDescent="0.55000000000000004">
      <c r="A444" s="373"/>
      <c r="B444" s="373"/>
      <c r="C444" s="373"/>
      <c r="D444" s="373"/>
      <c r="E444" s="373"/>
      <c r="F444" s="373"/>
      <c r="G444" s="373"/>
      <c r="H444" s="373"/>
      <c r="I444" s="373"/>
      <c r="J444" s="373"/>
      <c r="K444" s="373"/>
      <c r="L444" s="373"/>
      <c r="M444" s="373"/>
      <c r="N444" s="373"/>
      <c r="O444" s="373"/>
      <c r="P444" s="373"/>
      <c r="Q444" s="373"/>
      <c r="R444" s="373"/>
      <c r="S444" s="373"/>
      <c r="T444" s="373"/>
      <c r="U444" s="373"/>
      <c r="V444" s="373"/>
      <c r="W444" s="373"/>
      <c r="X444" s="373"/>
    </row>
    <row r="445" spans="1:24" ht="18" x14ac:dyDescent="0.55000000000000004">
      <c r="A445" s="373"/>
      <c r="B445" s="373"/>
      <c r="C445" s="373"/>
      <c r="D445" s="373"/>
      <c r="E445" s="373"/>
      <c r="F445" s="373"/>
      <c r="G445" s="373"/>
      <c r="H445" s="373"/>
      <c r="I445" s="373"/>
      <c r="J445" s="373"/>
      <c r="K445" s="373"/>
      <c r="L445" s="373"/>
      <c r="M445" s="373"/>
      <c r="N445" s="373"/>
      <c r="O445" s="373"/>
      <c r="P445" s="373"/>
      <c r="Q445" s="373"/>
      <c r="R445" s="373"/>
      <c r="S445" s="373"/>
      <c r="T445" s="373"/>
      <c r="U445" s="373"/>
      <c r="V445" s="373"/>
      <c r="W445" s="373"/>
      <c r="X445" s="373"/>
    </row>
    <row r="446" spans="1:24" ht="18" x14ac:dyDescent="0.55000000000000004">
      <c r="A446" s="373"/>
      <c r="B446" s="373"/>
      <c r="C446" s="373"/>
      <c r="D446" s="373"/>
      <c r="E446" s="373"/>
      <c r="F446" s="373"/>
      <c r="G446" s="373"/>
      <c r="H446" s="373"/>
      <c r="I446" s="373"/>
      <c r="J446" s="373"/>
      <c r="K446" s="373"/>
      <c r="L446" s="373"/>
      <c r="M446" s="373"/>
      <c r="N446" s="373"/>
      <c r="O446" s="373"/>
      <c r="P446" s="373"/>
      <c r="Q446" s="373"/>
      <c r="R446" s="373"/>
      <c r="S446" s="373"/>
      <c r="T446" s="373"/>
      <c r="U446" s="373"/>
      <c r="V446" s="373"/>
      <c r="W446" s="373"/>
      <c r="X446" s="373"/>
    </row>
    <row r="447" spans="1:24" ht="18" x14ac:dyDescent="0.55000000000000004">
      <c r="A447" s="373"/>
      <c r="B447" s="373"/>
      <c r="C447" s="373"/>
      <c r="D447" s="373"/>
      <c r="E447" s="373"/>
      <c r="F447" s="373"/>
      <c r="G447" s="373"/>
      <c r="H447" s="373"/>
      <c r="I447" s="373"/>
      <c r="J447" s="373"/>
      <c r="K447" s="373"/>
      <c r="L447" s="373"/>
      <c r="M447" s="373"/>
      <c r="N447" s="373"/>
      <c r="O447" s="373"/>
      <c r="P447" s="373"/>
      <c r="Q447" s="373"/>
      <c r="R447" s="373"/>
      <c r="S447" s="373"/>
      <c r="T447" s="373"/>
      <c r="U447" s="373"/>
      <c r="V447" s="373"/>
      <c r="W447" s="373"/>
      <c r="X447" s="373"/>
    </row>
    <row r="448" spans="1:24" ht="18" x14ac:dyDescent="0.55000000000000004">
      <c r="A448" s="373"/>
      <c r="B448" s="373"/>
      <c r="C448" s="373"/>
      <c r="D448" s="373"/>
      <c r="E448" s="373"/>
      <c r="F448" s="373"/>
      <c r="G448" s="373"/>
      <c r="H448" s="373"/>
      <c r="I448" s="373"/>
      <c r="J448" s="373"/>
      <c r="K448" s="373"/>
      <c r="L448" s="373"/>
      <c r="M448" s="373"/>
      <c r="N448" s="373"/>
      <c r="O448" s="373"/>
      <c r="P448" s="373"/>
      <c r="Q448" s="373"/>
      <c r="R448" s="373"/>
      <c r="S448" s="373"/>
      <c r="T448" s="373"/>
      <c r="U448" s="373"/>
      <c r="V448" s="373"/>
      <c r="W448" s="373"/>
      <c r="X448" s="373"/>
    </row>
    <row r="449" spans="1:24" ht="18" x14ac:dyDescent="0.55000000000000004">
      <c r="A449" s="373"/>
      <c r="B449" s="373"/>
      <c r="C449" s="373"/>
      <c r="D449" s="373"/>
      <c r="E449" s="373"/>
      <c r="F449" s="373"/>
      <c r="G449" s="373"/>
      <c r="H449" s="373"/>
      <c r="I449" s="373"/>
      <c r="J449" s="373"/>
      <c r="K449" s="373"/>
      <c r="L449" s="373"/>
      <c r="M449" s="373"/>
      <c r="N449" s="373"/>
      <c r="O449" s="373"/>
      <c r="P449" s="373"/>
      <c r="Q449" s="373"/>
      <c r="R449" s="373"/>
      <c r="S449" s="373"/>
      <c r="T449" s="373"/>
      <c r="U449" s="373"/>
      <c r="V449" s="373"/>
      <c r="W449" s="373"/>
      <c r="X449" s="373"/>
    </row>
    <row r="450" spans="1:24" ht="18" x14ac:dyDescent="0.55000000000000004">
      <c r="A450" s="373"/>
      <c r="B450" s="373"/>
      <c r="C450" s="373"/>
      <c r="D450" s="373"/>
      <c r="E450" s="373"/>
      <c r="F450" s="373"/>
      <c r="G450" s="373"/>
      <c r="H450" s="373"/>
      <c r="I450" s="373"/>
      <c r="J450" s="373"/>
      <c r="K450" s="373"/>
      <c r="L450" s="373"/>
      <c r="M450" s="373"/>
      <c r="N450" s="373"/>
      <c r="O450" s="373"/>
      <c r="P450" s="373"/>
      <c r="Q450" s="373"/>
      <c r="R450" s="373"/>
      <c r="S450" s="373"/>
      <c r="T450" s="373"/>
      <c r="U450" s="373"/>
      <c r="V450" s="373"/>
      <c r="W450" s="373"/>
      <c r="X450" s="373"/>
    </row>
    <row r="451" spans="1:24" ht="18" x14ac:dyDescent="0.55000000000000004">
      <c r="A451" s="373"/>
      <c r="B451" s="373"/>
      <c r="C451" s="373"/>
      <c r="D451" s="373"/>
      <c r="E451" s="373"/>
      <c r="F451" s="373"/>
      <c r="G451" s="373"/>
      <c r="H451" s="373"/>
      <c r="I451" s="373"/>
      <c r="J451" s="373"/>
      <c r="K451" s="373"/>
      <c r="L451" s="373"/>
      <c r="M451" s="373"/>
      <c r="N451" s="373"/>
      <c r="O451" s="373"/>
      <c r="P451" s="373"/>
      <c r="Q451" s="373"/>
      <c r="R451" s="373"/>
      <c r="S451" s="373"/>
      <c r="T451" s="373"/>
      <c r="U451" s="373"/>
      <c r="V451" s="373"/>
      <c r="W451" s="373"/>
      <c r="X451" s="373"/>
    </row>
    <row r="452" spans="1:24" ht="18" x14ac:dyDescent="0.55000000000000004">
      <c r="A452" s="373"/>
      <c r="B452" s="373"/>
      <c r="C452" s="373"/>
      <c r="D452" s="373"/>
      <c r="E452" s="373"/>
      <c r="F452" s="373"/>
      <c r="G452" s="373"/>
      <c r="H452" s="373"/>
      <c r="I452" s="373"/>
      <c r="J452" s="373"/>
      <c r="K452" s="373"/>
      <c r="L452" s="373"/>
      <c r="M452" s="373"/>
      <c r="N452" s="373"/>
      <c r="O452" s="373"/>
      <c r="P452" s="373"/>
      <c r="Q452" s="373"/>
      <c r="R452" s="373"/>
      <c r="S452" s="373"/>
      <c r="T452" s="373"/>
      <c r="U452" s="373"/>
      <c r="V452" s="373"/>
      <c r="W452" s="373"/>
      <c r="X452" s="373"/>
    </row>
    <row r="453" spans="1:24" ht="18" x14ac:dyDescent="0.55000000000000004">
      <c r="A453" s="373"/>
      <c r="B453" s="373"/>
      <c r="C453" s="373"/>
      <c r="D453" s="373"/>
      <c r="E453" s="373"/>
      <c r="F453" s="373"/>
      <c r="G453" s="373"/>
      <c r="H453" s="373"/>
      <c r="I453" s="373"/>
      <c r="J453" s="373"/>
      <c r="K453" s="373"/>
      <c r="L453" s="373"/>
      <c r="M453" s="373"/>
      <c r="N453" s="373"/>
      <c r="O453" s="373"/>
      <c r="P453" s="373"/>
      <c r="Q453" s="373"/>
      <c r="R453" s="373"/>
      <c r="S453" s="373"/>
      <c r="T453" s="373"/>
      <c r="U453" s="373"/>
      <c r="V453" s="373"/>
      <c r="W453" s="373"/>
      <c r="X453" s="373"/>
    </row>
    <row r="454" spans="1:24" ht="18" x14ac:dyDescent="0.55000000000000004">
      <c r="A454" s="373"/>
      <c r="B454" s="373"/>
      <c r="C454" s="373"/>
      <c r="D454" s="373"/>
      <c r="E454" s="373"/>
      <c r="F454" s="373"/>
      <c r="G454" s="373"/>
      <c r="H454" s="373"/>
      <c r="I454" s="373"/>
      <c r="J454" s="373"/>
      <c r="K454" s="373"/>
      <c r="L454" s="373"/>
      <c r="M454" s="373"/>
      <c r="N454" s="373"/>
      <c r="O454" s="373"/>
      <c r="P454" s="373"/>
      <c r="Q454" s="373"/>
      <c r="R454" s="373"/>
      <c r="S454" s="373"/>
      <c r="T454" s="373"/>
      <c r="U454" s="373"/>
      <c r="V454" s="373"/>
      <c r="W454" s="373"/>
      <c r="X454" s="373"/>
    </row>
    <row r="455" spans="1:24" ht="18" x14ac:dyDescent="0.55000000000000004">
      <c r="A455" s="373"/>
      <c r="B455" s="373"/>
      <c r="C455" s="373"/>
      <c r="D455" s="373"/>
      <c r="E455" s="373"/>
      <c r="F455" s="373"/>
      <c r="G455" s="373"/>
      <c r="H455" s="373"/>
      <c r="I455" s="373"/>
      <c r="J455" s="373"/>
      <c r="K455" s="373"/>
      <c r="L455" s="373"/>
      <c r="M455" s="373"/>
      <c r="N455" s="373"/>
      <c r="O455" s="373"/>
      <c r="P455" s="373"/>
      <c r="Q455" s="373"/>
      <c r="R455" s="373"/>
      <c r="S455" s="373"/>
      <c r="T455" s="373"/>
      <c r="U455" s="373"/>
      <c r="V455" s="373"/>
      <c r="W455" s="373"/>
      <c r="X455" s="373"/>
    </row>
    <row r="456" spans="1:24" ht="18" x14ac:dyDescent="0.55000000000000004">
      <c r="A456" s="373"/>
      <c r="B456" s="373"/>
      <c r="C456" s="373"/>
      <c r="D456" s="373"/>
      <c r="E456" s="373"/>
      <c r="F456" s="373"/>
      <c r="G456" s="373"/>
      <c r="H456" s="373"/>
      <c r="I456" s="373"/>
      <c r="J456" s="373"/>
      <c r="K456" s="373"/>
      <c r="L456" s="373"/>
      <c r="M456" s="373"/>
      <c r="N456" s="373"/>
      <c r="O456" s="373"/>
      <c r="P456" s="373"/>
      <c r="Q456" s="373"/>
      <c r="R456" s="373"/>
      <c r="S456" s="373"/>
      <c r="T456" s="373"/>
      <c r="U456" s="373"/>
      <c r="V456" s="373"/>
      <c r="W456" s="373"/>
      <c r="X456" s="373"/>
    </row>
    <row r="457" spans="1:24" ht="18" x14ac:dyDescent="0.55000000000000004">
      <c r="A457" s="373"/>
      <c r="B457" s="373"/>
      <c r="C457" s="373"/>
      <c r="D457" s="373"/>
      <c r="E457" s="373"/>
      <c r="F457" s="373"/>
      <c r="G457" s="373"/>
      <c r="H457" s="373"/>
      <c r="I457" s="373"/>
      <c r="J457" s="373"/>
      <c r="K457" s="373"/>
      <c r="L457" s="373"/>
      <c r="M457" s="373"/>
      <c r="N457" s="373"/>
      <c r="O457" s="373"/>
      <c r="P457" s="373"/>
      <c r="Q457" s="373"/>
      <c r="R457" s="373"/>
      <c r="S457" s="373"/>
      <c r="T457" s="373"/>
      <c r="U457" s="373"/>
      <c r="V457" s="373"/>
      <c r="W457" s="373"/>
      <c r="X457" s="373"/>
    </row>
    <row r="458" spans="1:24" ht="18" x14ac:dyDescent="0.55000000000000004">
      <c r="A458" s="373"/>
      <c r="B458" s="373"/>
      <c r="C458" s="373"/>
      <c r="D458" s="373"/>
      <c r="E458" s="373"/>
      <c r="F458" s="373"/>
      <c r="G458" s="373"/>
      <c r="H458" s="373"/>
      <c r="I458" s="373"/>
      <c r="J458" s="373"/>
      <c r="K458" s="373"/>
      <c r="L458" s="373"/>
      <c r="M458" s="373"/>
      <c r="N458" s="373"/>
      <c r="O458" s="373"/>
      <c r="P458" s="373"/>
      <c r="Q458" s="373"/>
      <c r="R458" s="373"/>
      <c r="S458" s="373"/>
      <c r="T458" s="373"/>
      <c r="U458" s="373"/>
      <c r="V458" s="373"/>
      <c r="W458" s="373"/>
      <c r="X458" s="373"/>
    </row>
    <row r="459" spans="1:24" ht="18" x14ac:dyDescent="0.55000000000000004">
      <c r="A459" s="373"/>
      <c r="B459" s="373"/>
      <c r="C459" s="373"/>
      <c r="D459" s="373"/>
      <c r="E459" s="373"/>
      <c r="F459" s="373"/>
      <c r="G459" s="373"/>
      <c r="H459" s="373"/>
      <c r="I459" s="373"/>
      <c r="J459" s="373"/>
      <c r="K459" s="373"/>
      <c r="L459" s="373"/>
      <c r="M459" s="373"/>
      <c r="N459" s="373"/>
      <c r="O459" s="373"/>
      <c r="P459" s="373"/>
      <c r="Q459" s="373"/>
      <c r="R459" s="373"/>
      <c r="S459" s="373"/>
      <c r="T459" s="373"/>
      <c r="U459" s="373"/>
      <c r="V459" s="373"/>
      <c r="W459" s="373"/>
      <c r="X459" s="373"/>
    </row>
    <row r="460" spans="1:24" ht="18" x14ac:dyDescent="0.55000000000000004">
      <c r="A460" s="373"/>
      <c r="B460" s="373"/>
      <c r="C460" s="373"/>
      <c r="D460" s="373"/>
      <c r="E460" s="373"/>
      <c r="F460" s="373"/>
      <c r="G460" s="373"/>
      <c r="H460" s="373"/>
      <c r="I460" s="373"/>
      <c r="J460" s="373"/>
      <c r="K460" s="373"/>
      <c r="L460" s="373"/>
      <c r="M460" s="373"/>
      <c r="N460" s="373"/>
      <c r="O460" s="373"/>
      <c r="P460" s="373"/>
      <c r="Q460" s="373"/>
      <c r="R460" s="373"/>
      <c r="S460" s="373"/>
      <c r="T460" s="373"/>
      <c r="U460" s="373"/>
      <c r="V460" s="373"/>
      <c r="W460" s="373"/>
      <c r="X460" s="373"/>
    </row>
    <row r="461" spans="1:24" ht="18" x14ac:dyDescent="0.55000000000000004">
      <c r="A461" s="373"/>
      <c r="B461" s="373"/>
      <c r="C461" s="373"/>
      <c r="D461" s="373"/>
      <c r="E461" s="373"/>
      <c r="F461" s="373"/>
      <c r="G461" s="373"/>
      <c r="H461" s="373"/>
      <c r="I461" s="373"/>
      <c r="J461" s="373"/>
      <c r="K461" s="373"/>
      <c r="L461" s="373"/>
      <c r="M461" s="373"/>
      <c r="N461" s="373"/>
      <c r="O461" s="373"/>
      <c r="P461" s="373"/>
      <c r="Q461" s="373"/>
      <c r="R461" s="373"/>
      <c r="S461" s="373"/>
      <c r="T461" s="373"/>
      <c r="U461" s="373"/>
      <c r="V461" s="373"/>
      <c r="W461" s="373"/>
      <c r="X461" s="373"/>
    </row>
    <row r="462" spans="1:24" ht="18" x14ac:dyDescent="0.55000000000000004">
      <c r="A462" s="373"/>
      <c r="B462" s="373"/>
      <c r="C462" s="373"/>
      <c r="D462" s="373"/>
      <c r="E462" s="373"/>
      <c r="F462" s="373"/>
      <c r="G462" s="373"/>
      <c r="H462" s="373"/>
      <c r="I462" s="373"/>
      <c r="J462" s="373"/>
      <c r="K462" s="373"/>
      <c r="L462" s="373"/>
      <c r="M462" s="373"/>
      <c r="N462" s="373"/>
      <c r="O462" s="373"/>
      <c r="P462" s="373"/>
      <c r="Q462" s="373"/>
      <c r="R462" s="373"/>
      <c r="S462" s="373"/>
      <c r="T462" s="373"/>
      <c r="U462" s="373"/>
      <c r="V462" s="373"/>
      <c r="W462" s="373"/>
      <c r="X462" s="373"/>
    </row>
    <row r="463" spans="1:24" ht="18" x14ac:dyDescent="0.55000000000000004">
      <c r="A463" s="373"/>
      <c r="B463" s="373"/>
      <c r="C463" s="373"/>
      <c r="D463" s="373"/>
      <c r="E463" s="373"/>
      <c r="F463" s="373"/>
      <c r="G463" s="373"/>
      <c r="H463" s="373"/>
      <c r="I463" s="373"/>
      <c r="J463" s="373"/>
      <c r="K463" s="373"/>
      <c r="L463" s="373"/>
      <c r="M463" s="373"/>
      <c r="N463" s="373"/>
      <c r="O463" s="373"/>
      <c r="P463" s="373"/>
      <c r="Q463" s="373"/>
      <c r="R463" s="373"/>
      <c r="S463" s="373"/>
      <c r="T463" s="373"/>
      <c r="U463" s="373"/>
      <c r="V463" s="373"/>
      <c r="W463" s="373"/>
      <c r="X463" s="373"/>
    </row>
    <row r="464" spans="1:24" ht="18" x14ac:dyDescent="0.55000000000000004">
      <c r="A464" s="373"/>
      <c r="B464" s="373"/>
      <c r="C464" s="373"/>
      <c r="D464" s="373"/>
      <c r="E464" s="373"/>
      <c r="F464" s="373"/>
      <c r="G464" s="373"/>
      <c r="H464" s="373"/>
      <c r="I464" s="373"/>
      <c r="J464" s="373"/>
      <c r="K464" s="373"/>
      <c r="L464" s="373"/>
      <c r="M464" s="373"/>
      <c r="N464" s="373"/>
      <c r="O464" s="373"/>
      <c r="P464" s="373"/>
      <c r="Q464" s="373"/>
      <c r="R464" s="373"/>
      <c r="S464" s="373"/>
      <c r="T464" s="373"/>
      <c r="U464" s="373"/>
      <c r="V464" s="373"/>
      <c r="W464" s="373"/>
      <c r="X464" s="373"/>
    </row>
    <row r="465" spans="1:24" ht="18" x14ac:dyDescent="0.55000000000000004">
      <c r="A465" s="373"/>
      <c r="B465" s="373"/>
      <c r="C465" s="373"/>
      <c r="D465" s="373"/>
      <c r="E465" s="373"/>
      <c r="F465" s="373"/>
      <c r="G465" s="373"/>
      <c r="H465" s="373"/>
      <c r="I465" s="373"/>
      <c r="J465" s="373"/>
      <c r="K465" s="373"/>
      <c r="L465" s="373"/>
      <c r="M465" s="373"/>
      <c r="N465" s="373"/>
      <c r="O465" s="373"/>
      <c r="P465" s="373"/>
      <c r="Q465" s="373"/>
      <c r="R465" s="373"/>
      <c r="S465" s="373"/>
      <c r="T465" s="373"/>
      <c r="U465" s="373"/>
      <c r="V465" s="373"/>
      <c r="W465" s="373"/>
      <c r="X465" s="373"/>
    </row>
    <row r="466" spans="1:24" ht="18" x14ac:dyDescent="0.55000000000000004">
      <c r="A466" s="373"/>
      <c r="B466" s="373"/>
      <c r="C466" s="373"/>
      <c r="D466" s="373"/>
      <c r="E466" s="373"/>
      <c r="F466" s="373"/>
      <c r="G466" s="373"/>
      <c r="H466" s="373"/>
      <c r="I466" s="373"/>
      <c r="J466" s="373"/>
      <c r="K466" s="373"/>
      <c r="L466" s="373"/>
      <c r="M466" s="373"/>
      <c r="N466" s="373"/>
      <c r="O466" s="373"/>
      <c r="P466" s="373"/>
      <c r="Q466" s="373"/>
      <c r="R466" s="373"/>
      <c r="S466" s="373"/>
      <c r="T466" s="373"/>
      <c r="U466" s="373"/>
      <c r="V466" s="373"/>
      <c r="W466" s="373"/>
      <c r="X466" s="373"/>
    </row>
    <row r="467" spans="1:24" ht="18" x14ac:dyDescent="0.55000000000000004">
      <c r="A467" s="373"/>
      <c r="B467" s="373"/>
      <c r="C467" s="373"/>
      <c r="D467" s="373"/>
      <c r="E467" s="373"/>
      <c r="F467" s="373"/>
      <c r="G467" s="373"/>
      <c r="H467" s="373"/>
      <c r="I467" s="373"/>
      <c r="J467" s="373"/>
      <c r="K467" s="373"/>
      <c r="L467" s="373"/>
      <c r="M467" s="373"/>
      <c r="N467" s="373"/>
      <c r="O467" s="373"/>
      <c r="P467" s="373"/>
      <c r="Q467" s="373"/>
      <c r="R467" s="373"/>
      <c r="S467" s="373"/>
      <c r="T467" s="373"/>
      <c r="U467" s="373"/>
      <c r="V467" s="373"/>
      <c r="W467" s="373"/>
      <c r="X467" s="373"/>
    </row>
    <row r="468" spans="1:24" ht="18" x14ac:dyDescent="0.55000000000000004">
      <c r="A468" s="373"/>
      <c r="B468" s="373"/>
      <c r="C468" s="373"/>
      <c r="D468" s="373"/>
      <c r="E468" s="373"/>
      <c r="F468" s="373"/>
      <c r="G468" s="373"/>
      <c r="H468" s="373"/>
      <c r="I468" s="373"/>
      <c r="J468" s="373"/>
      <c r="K468" s="373"/>
      <c r="L468" s="373"/>
      <c r="M468" s="373"/>
      <c r="N468" s="373"/>
      <c r="O468" s="373"/>
      <c r="P468" s="373"/>
      <c r="Q468" s="373"/>
      <c r="R468" s="373"/>
      <c r="S468" s="373"/>
      <c r="T468" s="373"/>
      <c r="U468" s="373"/>
      <c r="V468" s="373"/>
      <c r="W468" s="373"/>
      <c r="X468" s="373"/>
    </row>
    <row r="469" spans="1:24" ht="18" x14ac:dyDescent="0.55000000000000004">
      <c r="A469" s="373"/>
      <c r="B469" s="373"/>
      <c r="C469" s="373"/>
      <c r="D469" s="373"/>
      <c r="E469" s="373"/>
      <c r="F469" s="373"/>
      <c r="G469" s="373"/>
      <c r="H469" s="373"/>
      <c r="I469" s="373"/>
      <c r="J469" s="373"/>
      <c r="K469" s="373"/>
      <c r="L469" s="373"/>
      <c r="M469" s="373"/>
      <c r="N469" s="373"/>
      <c r="O469" s="373"/>
      <c r="P469" s="373"/>
      <c r="Q469" s="373"/>
      <c r="R469" s="373"/>
      <c r="S469" s="373"/>
      <c r="T469" s="373"/>
      <c r="U469" s="373"/>
      <c r="V469" s="373"/>
      <c r="W469" s="373"/>
      <c r="X469" s="373"/>
    </row>
    <row r="470" spans="1:24" ht="18" x14ac:dyDescent="0.55000000000000004">
      <c r="A470" s="373"/>
      <c r="B470" s="373"/>
      <c r="C470" s="373"/>
      <c r="D470" s="373"/>
      <c r="E470" s="373"/>
      <c r="F470" s="373"/>
      <c r="G470" s="373"/>
      <c r="H470" s="373"/>
      <c r="I470" s="373"/>
      <c r="J470" s="373"/>
      <c r="K470" s="373"/>
      <c r="L470" s="373"/>
      <c r="M470" s="373"/>
      <c r="N470" s="373"/>
      <c r="O470" s="373"/>
      <c r="P470" s="373"/>
      <c r="Q470" s="373"/>
      <c r="R470" s="373"/>
      <c r="S470" s="373"/>
      <c r="T470" s="373"/>
      <c r="U470" s="373"/>
      <c r="V470" s="373"/>
      <c r="W470" s="373"/>
      <c r="X470" s="373"/>
    </row>
    <row r="471" spans="1:24" ht="18" x14ac:dyDescent="0.55000000000000004">
      <c r="A471" s="373"/>
      <c r="B471" s="373"/>
      <c r="C471" s="373"/>
      <c r="D471" s="373"/>
      <c r="E471" s="373"/>
      <c r="F471" s="373"/>
      <c r="G471" s="373"/>
      <c r="H471" s="373"/>
      <c r="I471" s="373"/>
      <c r="J471" s="373"/>
      <c r="K471" s="373"/>
      <c r="L471" s="373"/>
      <c r="M471" s="373"/>
      <c r="N471" s="373"/>
      <c r="O471" s="373"/>
      <c r="P471" s="373"/>
      <c r="Q471" s="373"/>
      <c r="R471" s="373"/>
      <c r="S471" s="373"/>
      <c r="T471" s="373"/>
      <c r="U471" s="373"/>
      <c r="V471" s="373"/>
      <c r="W471" s="373"/>
      <c r="X471" s="373"/>
    </row>
    <row r="472" spans="1:24" ht="18" x14ac:dyDescent="0.55000000000000004">
      <c r="A472" s="373"/>
      <c r="B472" s="373"/>
      <c r="C472" s="373"/>
      <c r="D472" s="373"/>
      <c r="E472" s="373"/>
      <c r="F472" s="373"/>
      <c r="G472" s="373"/>
      <c r="H472" s="373"/>
      <c r="I472" s="373"/>
      <c r="J472" s="373"/>
      <c r="K472" s="373"/>
      <c r="L472" s="373"/>
      <c r="M472" s="373"/>
      <c r="N472" s="373"/>
      <c r="O472" s="373"/>
      <c r="P472" s="373"/>
      <c r="Q472" s="373"/>
      <c r="R472" s="373"/>
      <c r="S472" s="373"/>
      <c r="T472" s="373"/>
      <c r="U472" s="373"/>
      <c r="V472" s="373"/>
      <c r="W472" s="373"/>
      <c r="X472" s="373"/>
    </row>
    <row r="473" spans="1:24" ht="18" x14ac:dyDescent="0.55000000000000004">
      <c r="A473" s="373"/>
      <c r="B473" s="373"/>
      <c r="C473" s="373"/>
      <c r="D473" s="373"/>
      <c r="E473" s="373"/>
      <c r="F473" s="373"/>
      <c r="G473" s="373"/>
      <c r="H473" s="373"/>
      <c r="I473" s="373"/>
      <c r="J473" s="373"/>
      <c r="K473" s="373"/>
      <c r="L473" s="373"/>
      <c r="M473" s="373"/>
      <c r="N473" s="373"/>
      <c r="O473" s="373"/>
      <c r="P473" s="373"/>
      <c r="Q473" s="373"/>
      <c r="R473" s="373"/>
      <c r="S473" s="373"/>
      <c r="T473" s="373"/>
      <c r="U473" s="373"/>
      <c r="V473" s="373"/>
      <c r="W473" s="373"/>
      <c r="X473" s="373"/>
    </row>
    <row r="474" spans="1:24" ht="18" x14ac:dyDescent="0.55000000000000004">
      <c r="A474" s="373"/>
      <c r="B474" s="373"/>
      <c r="C474" s="373"/>
      <c r="D474" s="373"/>
      <c r="E474" s="373"/>
      <c r="F474" s="373"/>
      <c r="G474" s="373"/>
      <c r="H474" s="373"/>
      <c r="I474" s="373"/>
      <c r="J474" s="373"/>
      <c r="K474" s="373"/>
      <c r="L474" s="373"/>
      <c r="M474" s="373"/>
      <c r="N474" s="373"/>
      <c r="O474" s="373"/>
      <c r="P474" s="373"/>
      <c r="Q474" s="373"/>
      <c r="R474" s="373"/>
      <c r="S474" s="373"/>
      <c r="T474" s="373"/>
      <c r="U474" s="373"/>
      <c r="V474" s="373"/>
      <c r="W474" s="373"/>
      <c r="X474" s="373"/>
    </row>
    <row r="475" spans="1:24" ht="18" x14ac:dyDescent="0.55000000000000004">
      <c r="A475" s="373"/>
      <c r="B475" s="373"/>
      <c r="C475" s="373"/>
      <c r="D475" s="373"/>
      <c r="E475" s="373"/>
      <c r="F475" s="373"/>
      <c r="G475" s="373"/>
      <c r="H475" s="373"/>
      <c r="I475" s="373"/>
      <c r="J475" s="373"/>
      <c r="K475" s="373"/>
      <c r="L475" s="373"/>
      <c r="M475" s="373"/>
      <c r="N475" s="373"/>
      <c r="O475" s="373"/>
      <c r="P475" s="373"/>
      <c r="Q475" s="373"/>
      <c r="R475" s="373"/>
      <c r="S475" s="373"/>
      <c r="T475" s="373"/>
      <c r="U475" s="373"/>
      <c r="V475" s="373"/>
      <c r="W475" s="373"/>
      <c r="X475" s="373"/>
    </row>
    <row r="476" spans="1:24" ht="18" x14ac:dyDescent="0.55000000000000004">
      <c r="A476" s="373"/>
      <c r="B476" s="373"/>
      <c r="C476" s="373"/>
      <c r="D476" s="373"/>
      <c r="E476" s="373"/>
      <c r="F476" s="373"/>
      <c r="G476" s="373"/>
      <c r="H476" s="373"/>
      <c r="I476" s="373"/>
      <c r="J476" s="373"/>
      <c r="K476" s="373"/>
      <c r="L476" s="373"/>
      <c r="M476" s="373"/>
      <c r="N476" s="373"/>
      <c r="O476" s="373"/>
      <c r="P476" s="373"/>
      <c r="Q476" s="373"/>
      <c r="R476" s="373"/>
      <c r="S476" s="373"/>
      <c r="T476" s="373"/>
      <c r="U476" s="373"/>
      <c r="V476" s="373"/>
      <c r="W476" s="373"/>
      <c r="X476" s="373"/>
    </row>
    <row r="477" spans="1:24" ht="18" x14ac:dyDescent="0.55000000000000004">
      <c r="A477" s="373"/>
      <c r="B477" s="373"/>
      <c r="C477" s="373"/>
      <c r="D477" s="373"/>
      <c r="E477" s="373"/>
      <c r="F477" s="373"/>
      <c r="G477" s="373"/>
      <c r="H477" s="373"/>
      <c r="I477" s="373"/>
      <c r="J477" s="373"/>
      <c r="K477" s="373"/>
      <c r="L477" s="373"/>
      <c r="M477" s="373"/>
      <c r="N477" s="373"/>
      <c r="O477" s="373"/>
      <c r="P477" s="373"/>
      <c r="Q477" s="373"/>
      <c r="R477" s="373"/>
      <c r="S477" s="373"/>
      <c r="T477" s="373"/>
      <c r="U477" s="373"/>
      <c r="V477" s="373"/>
      <c r="W477" s="373"/>
      <c r="X477" s="373"/>
    </row>
    <row r="478" spans="1:24" ht="18" x14ac:dyDescent="0.55000000000000004">
      <c r="A478" s="373"/>
      <c r="B478" s="373"/>
      <c r="C478" s="373"/>
      <c r="D478" s="373"/>
      <c r="E478" s="373"/>
      <c r="F478" s="373"/>
      <c r="G478" s="373"/>
      <c r="H478" s="373"/>
      <c r="I478" s="373"/>
      <c r="J478" s="373"/>
      <c r="K478" s="373"/>
      <c r="L478" s="373"/>
      <c r="M478" s="373"/>
      <c r="N478" s="373"/>
      <c r="O478" s="373"/>
      <c r="P478" s="373"/>
      <c r="Q478" s="373"/>
      <c r="R478" s="373"/>
      <c r="S478" s="373"/>
      <c r="T478" s="373"/>
      <c r="U478" s="373"/>
      <c r="V478" s="373"/>
      <c r="W478" s="373"/>
      <c r="X478" s="373"/>
    </row>
    <row r="479" spans="1:24" ht="18" x14ac:dyDescent="0.55000000000000004">
      <c r="A479" s="373"/>
      <c r="B479" s="373"/>
      <c r="C479" s="373"/>
      <c r="D479" s="373"/>
      <c r="E479" s="373"/>
      <c r="F479" s="373"/>
      <c r="G479" s="373"/>
      <c r="H479" s="373"/>
      <c r="I479" s="373"/>
      <c r="J479" s="373"/>
      <c r="K479" s="373"/>
      <c r="L479" s="373"/>
      <c r="M479" s="373"/>
      <c r="N479" s="373"/>
      <c r="O479" s="373"/>
      <c r="P479" s="373"/>
      <c r="Q479" s="373"/>
      <c r="R479" s="373"/>
      <c r="S479" s="373"/>
      <c r="T479" s="373"/>
      <c r="U479" s="373"/>
      <c r="V479" s="373"/>
      <c r="W479" s="373"/>
      <c r="X479" s="373"/>
    </row>
    <row r="480" spans="1:24" ht="18" x14ac:dyDescent="0.55000000000000004">
      <c r="A480" s="373"/>
      <c r="B480" s="373"/>
      <c r="C480" s="373"/>
      <c r="D480" s="373"/>
      <c r="E480" s="373"/>
      <c r="F480" s="373"/>
      <c r="G480" s="373"/>
      <c r="H480" s="373"/>
      <c r="I480" s="373"/>
      <c r="J480" s="373"/>
      <c r="K480" s="373"/>
      <c r="L480" s="373"/>
      <c r="M480" s="373"/>
      <c r="N480" s="373"/>
      <c r="O480" s="373"/>
      <c r="P480" s="373"/>
      <c r="Q480" s="373"/>
      <c r="R480" s="373"/>
      <c r="S480" s="373"/>
      <c r="T480" s="373"/>
      <c r="U480" s="373"/>
      <c r="V480" s="373"/>
      <c r="W480" s="373"/>
      <c r="X480" s="373"/>
    </row>
    <row r="481" spans="1:24" ht="18" x14ac:dyDescent="0.55000000000000004">
      <c r="A481" s="373"/>
      <c r="B481" s="373"/>
      <c r="C481" s="373"/>
      <c r="D481" s="373"/>
      <c r="E481" s="373"/>
      <c r="F481" s="373"/>
      <c r="G481" s="373"/>
      <c r="H481" s="373"/>
      <c r="I481" s="373"/>
      <c r="J481" s="373"/>
      <c r="K481" s="373"/>
      <c r="L481" s="373"/>
      <c r="M481" s="373"/>
      <c r="N481" s="373"/>
      <c r="O481" s="373"/>
      <c r="P481" s="373"/>
      <c r="Q481" s="373"/>
      <c r="R481" s="373"/>
      <c r="S481" s="373"/>
      <c r="T481" s="373"/>
      <c r="U481" s="373"/>
      <c r="V481" s="373"/>
      <c r="W481" s="373"/>
      <c r="X481" s="373"/>
    </row>
    <row r="482" spans="1:24" ht="18" x14ac:dyDescent="0.55000000000000004">
      <c r="A482" s="373"/>
      <c r="B482" s="373"/>
      <c r="C482" s="373"/>
      <c r="D482" s="373"/>
      <c r="E482" s="373"/>
      <c r="F482" s="373"/>
      <c r="G482" s="373"/>
      <c r="H482" s="373"/>
      <c r="I482" s="373"/>
      <c r="J482" s="373"/>
      <c r="K482" s="373"/>
      <c r="L482" s="373"/>
      <c r="M482" s="373"/>
      <c r="N482" s="373"/>
      <c r="O482" s="373"/>
      <c r="P482" s="373"/>
      <c r="Q482" s="373"/>
      <c r="R482" s="373"/>
      <c r="S482" s="373"/>
      <c r="T482" s="373"/>
      <c r="U482" s="373"/>
      <c r="V482" s="373"/>
      <c r="W482" s="373"/>
      <c r="X482" s="373"/>
    </row>
    <row r="483" spans="1:24" ht="18" x14ac:dyDescent="0.55000000000000004">
      <c r="A483" s="373"/>
      <c r="B483" s="373"/>
      <c r="C483" s="373"/>
      <c r="D483" s="373"/>
      <c r="E483" s="373"/>
      <c r="F483" s="373"/>
      <c r="G483" s="373"/>
      <c r="H483" s="373"/>
      <c r="I483" s="373"/>
      <c r="J483" s="373"/>
      <c r="K483" s="373"/>
      <c r="L483" s="373"/>
      <c r="M483" s="373"/>
      <c r="N483" s="373"/>
      <c r="O483" s="373"/>
      <c r="P483" s="373"/>
      <c r="Q483" s="373"/>
      <c r="R483" s="373"/>
      <c r="S483" s="373"/>
      <c r="T483" s="373"/>
      <c r="U483" s="373"/>
      <c r="V483" s="373"/>
      <c r="W483" s="373"/>
      <c r="X483" s="373"/>
    </row>
    <row r="484" spans="1:24" ht="18" x14ac:dyDescent="0.55000000000000004">
      <c r="A484" s="373"/>
      <c r="B484" s="373"/>
      <c r="C484" s="373"/>
      <c r="D484" s="373"/>
      <c r="E484" s="373"/>
      <c r="F484" s="373"/>
      <c r="G484" s="373"/>
      <c r="H484" s="373"/>
      <c r="I484" s="373"/>
      <c r="J484" s="373"/>
      <c r="K484" s="373"/>
      <c r="L484" s="373"/>
      <c r="M484" s="373"/>
      <c r="N484" s="373"/>
      <c r="O484" s="373"/>
      <c r="P484" s="373"/>
      <c r="Q484" s="373"/>
      <c r="R484" s="373"/>
      <c r="S484" s="373"/>
      <c r="T484" s="373"/>
      <c r="U484" s="373"/>
      <c r="V484" s="373"/>
      <c r="W484" s="373"/>
      <c r="X484" s="373"/>
    </row>
    <row r="485" spans="1:24" ht="18" x14ac:dyDescent="0.55000000000000004">
      <c r="A485" s="373"/>
      <c r="B485" s="373"/>
      <c r="C485" s="373"/>
      <c r="D485" s="373"/>
      <c r="E485" s="373"/>
      <c r="F485" s="373"/>
      <c r="G485" s="373"/>
      <c r="H485" s="373"/>
      <c r="I485" s="373"/>
      <c r="J485" s="373"/>
      <c r="K485" s="373"/>
      <c r="L485" s="373"/>
      <c r="M485" s="373"/>
      <c r="N485" s="373"/>
      <c r="O485" s="373"/>
      <c r="P485" s="373"/>
      <c r="Q485" s="373"/>
      <c r="R485" s="373"/>
      <c r="S485" s="373"/>
      <c r="T485" s="373"/>
      <c r="U485" s="373"/>
      <c r="V485" s="373"/>
      <c r="W485" s="373"/>
      <c r="X485" s="373"/>
    </row>
    <row r="486" spans="1:24" ht="18" x14ac:dyDescent="0.55000000000000004">
      <c r="A486" s="373"/>
      <c r="B486" s="373"/>
      <c r="C486" s="373"/>
      <c r="D486" s="373"/>
      <c r="E486" s="373"/>
      <c r="F486" s="373"/>
      <c r="G486" s="373"/>
      <c r="H486" s="373"/>
      <c r="I486" s="373"/>
      <c r="J486" s="373"/>
      <c r="K486" s="373"/>
      <c r="L486" s="373"/>
      <c r="M486" s="373"/>
      <c r="N486" s="373"/>
      <c r="O486" s="373"/>
      <c r="P486" s="373"/>
      <c r="Q486" s="373"/>
      <c r="R486" s="373"/>
      <c r="S486" s="373"/>
      <c r="T486" s="373"/>
      <c r="U486" s="373"/>
      <c r="V486" s="373"/>
      <c r="W486" s="373"/>
      <c r="X486" s="373"/>
    </row>
    <row r="487" spans="1:24" ht="18" x14ac:dyDescent="0.55000000000000004">
      <c r="A487" s="373"/>
      <c r="B487" s="373"/>
      <c r="C487" s="373"/>
      <c r="D487" s="373"/>
      <c r="E487" s="373"/>
      <c r="F487" s="373"/>
      <c r="G487" s="373"/>
      <c r="H487" s="373"/>
      <c r="I487" s="373"/>
      <c r="J487" s="373"/>
      <c r="K487" s="373"/>
      <c r="L487" s="373"/>
      <c r="M487" s="373"/>
      <c r="N487" s="373"/>
      <c r="O487" s="373"/>
      <c r="P487" s="373"/>
      <c r="Q487" s="373"/>
      <c r="R487" s="373"/>
      <c r="S487" s="373"/>
      <c r="T487" s="373"/>
      <c r="U487" s="373"/>
      <c r="V487" s="373"/>
      <c r="W487" s="373"/>
      <c r="X487" s="373"/>
    </row>
    <row r="488" spans="1:24" ht="18" x14ac:dyDescent="0.55000000000000004">
      <c r="A488" s="373"/>
      <c r="B488" s="373"/>
      <c r="C488" s="373"/>
      <c r="D488" s="373"/>
      <c r="E488" s="373"/>
      <c r="F488" s="373"/>
      <c r="G488" s="373"/>
      <c r="H488" s="373"/>
      <c r="I488" s="373"/>
      <c r="J488" s="373"/>
      <c r="K488" s="373"/>
      <c r="L488" s="373"/>
      <c r="M488" s="373"/>
      <c r="N488" s="373"/>
      <c r="O488" s="373"/>
      <c r="P488" s="373"/>
      <c r="Q488" s="373"/>
      <c r="R488" s="373"/>
      <c r="S488" s="373"/>
      <c r="T488" s="373"/>
      <c r="U488" s="373"/>
      <c r="V488" s="373"/>
      <c r="W488" s="373"/>
      <c r="X488" s="373"/>
    </row>
    <row r="489" spans="1:24" ht="18" x14ac:dyDescent="0.55000000000000004">
      <c r="A489" s="373"/>
      <c r="B489" s="373"/>
      <c r="C489" s="373"/>
      <c r="D489" s="373"/>
      <c r="E489" s="373"/>
      <c r="F489" s="373"/>
      <c r="G489" s="373"/>
      <c r="H489" s="373"/>
      <c r="I489" s="373"/>
      <c r="J489" s="373"/>
      <c r="K489" s="373"/>
      <c r="L489" s="373"/>
      <c r="M489" s="373"/>
      <c r="N489" s="373"/>
      <c r="O489" s="373"/>
      <c r="P489" s="373"/>
      <c r="Q489" s="373"/>
      <c r="R489" s="373"/>
      <c r="S489" s="373"/>
      <c r="T489" s="373"/>
      <c r="U489" s="373"/>
      <c r="V489" s="373"/>
      <c r="W489" s="373"/>
      <c r="X489" s="373"/>
    </row>
    <row r="490" spans="1:24" ht="18" x14ac:dyDescent="0.55000000000000004">
      <c r="A490" s="373"/>
      <c r="B490" s="373"/>
      <c r="C490" s="373"/>
      <c r="D490" s="373"/>
      <c r="E490" s="373"/>
      <c r="F490" s="373"/>
      <c r="G490" s="373"/>
      <c r="H490" s="373"/>
      <c r="I490" s="373"/>
      <c r="J490" s="373"/>
      <c r="K490" s="373"/>
      <c r="L490" s="373"/>
      <c r="M490" s="373"/>
      <c r="N490" s="373"/>
      <c r="O490" s="373"/>
      <c r="P490" s="373"/>
      <c r="Q490" s="373"/>
      <c r="R490" s="373"/>
      <c r="S490" s="373"/>
      <c r="T490" s="373"/>
      <c r="U490" s="373"/>
      <c r="V490" s="373"/>
      <c r="W490" s="373"/>
      <c r="X490" s="373"/>
    </row>
    <row r="491" spans="1:24" ht="18" x14ac:dyDescent="0.55000000000000004">
      <c r="A491" s="373"/>
      <c r="B491" s="373"/>
      <c r="C491" s="373"/>
      <c r="D491" s="373"/>
      <c r="E491" s="373"/>
      <c r="F491" s="373"/>
      <c r="G491" s="373"/>
      <c r="H491" s="373"/>
      <c r="I491" s="373"/>
      <c r="J491" s="373"/>
      <c r="K491" s="373"/>
      <c r="L491" s="373"/>
      <c r="M491" s="373"/>
      <c r="N491" s="373"/>
      <c r="O491" s="373"/>
      <c r="P491" s="373"/>
      <c r="Q491" s="373"/>
      <c r="R491" s="373"/>
      <c r="S491" s="373"/>
      <c r="T491" s="373"/>
      <c r="U491" s="373"/>
      <c r="V491" s="373"/>
      <c r="W491" s="373"/>
      <c r="X491" s="373"/>
    </row>
    <row r="492" spans="1:24" ht="18" x14ac:dyDescent="0.55000000000000004">
      <c r="A492" s="373"/>
      <c r="B492" s="373"/>
      <c r="C492" s="373"/>
      <c r="D492" s="373"/>
      <c r="E492" s="373"/>
      <c r="F492" s="373"/>
      <c r="G492" s="373"/>
      <c r="H492" s="373"/>
      <c r="I492" s="373"/>
      <c r="J492" s="373"/>
      <c r="K492" s="373"/>
      <c r="L492" s="373"/>
      <c r="M492" s="373"/>
      <c r="N492" s="373"/>
      <c r="O492" s="373"/>
      <c r="P492" s="373"/>
      <c r="Q492" s="373"/>
      <c r="R492" s="373"/>
      <c r="S492" s="373"/>
      <c r="T492" s="373"/>
      <c r="U492" s="373"/>
      <c r="V492" s="373"/>
      <c r="W492" s="373"/>
      <c r="X492" s="373"/>
    </row>
    <row r="493" spans="1:24" ht="18" x14ac:dyDescent="0.55000000000000004">
      <c r="A493" s="373"/>
      <c r="B493" s="373"/>
      <c r="C493" s="373"/>
      <c r="D493" s="373"/>
      <c r="E493" s="373"/>
      <c r="F493" s="373"/>
      <c r="G493" s="373"/>
      <c r="H493" s="373"/>
      <c r="I493" s="373"/>
      <c r="J493" s="373"/>
      <c r="K493" s="373"/>
      <c r="L493" s="373"/>
      <c r="M493" s="373"/>
      <c r="N493" s="373"/>
      <c r="O493" s="373"/>
      <c r="P493" s="373"/>
      <c r="Q493" s="373"/>
      <c r="R493" s="373"/>
      <c r="S493" s="373"/>
      <c r="T493" s="373"/>
      <c r="U493" s="373"/>
      <c r="V493" s="373"/>
      <c r="W493" s="373"/>
      <c r="X493" s="373"/>
    </row>
    <row r="494" spans="1:24" ht="18" x14ac:dyDescent="0.55000000000000004">
      <c r="A494" s="373"/>
      <c r="B494" s="373"/>
      <c r="C494" s="373"/>
      <c r="D494" s="373"/>
      <c r="E494" s="373"/>
      <c r="F494" s="373"/>
      <c r="G494" s="373"/>
      <c r="H494" s="373"/>
      <c r="I494" s="373"/>
      <c r="J494" s="373"/>
      <c r="K494" s="373"/>
      <c r="L494" s="373"/>
      <c r="M494" s="373"/>
      <c r="N494" s="373"/>
      <c r="O494" s="373"/>
      <c r="P494" s="373"/>
      <c r="Q494" s="373"/>
      <c r="R494" s="373"/>
      <c r="S494" s="373"/>
      <c r="T494" s="373"/>
      <c r="U494" s="373"/>
      <c r="V494" s="373"/>
      <c r="W494" s="373"/>
      <c r="X494" s="373"/>
    </row>
    <row r="495" spans="1:24" ht="18" x14ac:dyDescent="0.55000000000000004">
      <c r="A495" s="373"/>
      <c r="B495" s="373"/>
      <c r="C495" s="373"/>
      <c r="D495" s="373"/>
      <c r="E495" s="373"/>
      <c r="F495" s="373"/>
      <c r="G495" s="373"/>
      <c r="H495" s="373"/>
      <c r="I495" s="373"/>
      <c r="J495" s="373"/>
      <c r="K495" s="373"/>
      <c r="L495" s="373"/>
      <c r="M495" s="373"/>
      <c r="N495" s="373"/>
      <c r="O495" s="373"/>
      <c r="P495" s="373"/>
      <c r="Q495" s="373"/>
      <c r="R495" s="373"/>
      <c r="S495" s="373"/>
      <c r="T495" s="373"/>
      <c r="U495" s="373"/>
      <c r="V495" s="373"/>
      <c r="W495" s="373"/>
      <c r="X495" s="373"/>
    </row>
    <row r="496" spans="1:24" ht="18" x14ac:dyDescent="0.55000000000000004">
      <c r="A496" s="373"/>
      <c r="B496" s="373"/>
      <c r="C496" s="373"/>
      <c r="D496" s="373"/>
      <c r="E496" s="373"/>
      <c r="F496" s="373"/>
      <c r="G496" s="373"/>
      <c r="H496" s="373"/>
      <c r="I496" s="373"/>
      <c r="J496" s="373"/>
      <c r="K496" s="373"/>
      <c r="L496" s="373"/>
      <c r="M496" s="373"/>
      <c r="N496" s="373"/>
      <c r="O496" s="373"/>
      <c r="P496" s="373"/>
      <c r="Q496" s="373"/>
      <c r="R496" s="373"/>
      <c r="S496" s="373"/>
      <c r="T496" s="373"/>
      <c r="U496" s="373"/>
      <c r="V496" s="373"/>
      <c r="W496" s="373"/>
      <c r="X496" s="373"/>
    </row>
    <row r="497" spans="1:24" ht="18" x14ac:dyDescent="0.55000000000000004">
      <c r="A497" s="373"/>
      <c r="B497" s="373"/>
      <c r="C497" s="373"/>
      <c r="D497" s="373"/>
      <c r="E497" s="373"/>
      <c r="F497" s="373"/>
      <c r="G497" s="373"/>
      <c r="H497" s="373"/>
      <c r="I497" s="373"/>
      <c r="J497" s="373"/>
      <c r="K497" s="373"/>
      <c r="L497" s="373"/>
      <c r="M497" s="373"/>
      <c r="N497" s="373"/>
      <c r="O497" s="373"/>
      <c r="P497" s="373"/>
      <c r="Q497" s="373"/>
      <c r="R497" s="373"/>
      <c r="S497" s="373"/>
      <c r="T497" s="373"/>
      <c r="U497" s="373"/>
      <c r="V497" s="373"/>
      <c r="W497" s="373"/>
      <c r="X497" s="373"/>
    </row>
    <row r="498" spans="1:24" ht="18" x14ac:dyDescent="0.55000000000000004">
      <c r="A498" s="373"/>
      <c r="B498" s="373"/>
      <c r="C498" s="373"/>
      <c r="D498" s="373"/>
      <c r="E498" s="373"/>
      <c r="F498" s="373"/>
      <c r="G498" s="373"/>
      <c r="H498" s="373"/>
      <c r="I498" s="373"/>
      <c r="J498" s="373"/>
      <c r="K498" s="373"/>
      <c r="L498" s="373"/>
      <c r="M498" s="373"/>
      <c r="N498" s="373"/>
      <c r="O498" s="373"/>
      <c r="P498" s="373"/>
      <c r="Q498" s="373"/>
      <c r="R498" s="373"/>
      <c r="S498" s="373"/>
      <c r="T498" s="373"/>
      <c r="U498" s="373"/>
      <c r="V498" s="373"/>
      <c r="W498" s="373"/>
      <c r="X498" s="373"/>
    </row>
    <row r="499" spans="1:24" ht="18" x14ac:dyDescent="0.55000000000000004">
      <c r="A499" s="373"/>
      <c r="B499" s="373"/>
      <c r="C499" s="373"/>
      <c r="D499" s="373"/>
      <c r="E499" s="373"/>
      <c r="F499" s="373"/>
      <c r="G499" s="373"/>
      <c r="H499" s="373"/>
      <c r="I499" s="373"/>
      <c r="J499" s="373"/>
      <c r="K499" s="373"/>
      <c r="L499" s="373"/>
      <c r="M499" s="373"/>
      <c r="N499" s="373"/>
      <c r="O499" s="373"/>
      <c r="P499" s="373"/>
      <c r="Q499" s="373"/>
      <c r="R499" s="373"/>
      <c r="S499" s="373"/>
      <c r="T499" s="373"/>
      <c r="U499" s="373"/>
      <c r="V499" s="373"/>
      <c r="W499" s="373"/>
      <c r="X499" s="373"/>
    </row>
    <row r="500" spans="1:24" ht="18" x14ac:dyDescent="0.55000000000000004">
      <c r="A500" s="373"/>
      <c r="B500" s="373"/>
      <c r="C500" s="373"/>
      <c r="D500" s="373"/>
      <c r="E500" s="373"/>
      <c r="F500" s="373"/>
      <c r="G500" s="373"/>
      <c r="H500" s="373"/>
      <c r="I500" s="373"/>
      <c r="J500" s="373"/>
      <c r="K500" s="373"/>
      <c r="L500" s="373"/>
      <c r="M500" s="373"/>
      <c r="N500" s="373"/>
      <c r="O500" s="373"/>
      <c r="P500" s="373"/>
      <c r="Q500" s="373"/>
      <c r="R500" s="373"/>
      <c r="S500" s="373"/>
      <c r="T500" s="373"/>
      <c r="U500" s="373"/>
      <c r="V500" s="373"/>
      <c r="W500" s="373"/>
      <c r="X500" s="373"/>
    </row>
    <row r="501" spans="1:24" ht="18" x14ac:dyDescent="0.55000000000000004">
      <c r="A501" s="373"/>
      <c r="B501" s="373"/>
      <c r="C501" s="373"/>
      <c r="D501" s="373"/>
      <c r="E501" s="373"/>
      <c r="F501" s="373"/>
      <c r="G501" s="373"/>
      <c r="H501" s="373"/>
      <c r="I501" s="373"/>
      <c r="J501" s="373"/>
      <c r="K501" s="373"/>
      <c r="L501" s="373"/>
      <c r="M501" s="373"/>
      <c r="N501" s="373"/>
      <c r="O501" s="373"/>
      <c r="P501" s="373"/>
      <c r="Q501" s="373"/>
      <c r="R501" s="373"/>
      <c r="S501" s="373"/>
      <c r="T501" s="373"/>
      <c r="U501" s="373"/>
      <c r="V501" s="373"/>
      <c r="W501" s="373"/>
      <c r="X501" s="373"/>
    </row>
    <row r="502" spans="1:24" ht="18" x14ac:dyDescent="0.55000000000000004">
      <c r="A502" s="373"/>
      <c r="B502" s="373"/>
      <c r="C502" s="373"/>
      <c r="D502" s="373"/>
      <c r="E502" s="373"/>
      <c r="F502" s="373"/>
      <c r="G502" s="373"/>
      <c r="H502" s="373"/>
      <c r="I502" s="373"/>
      <c r="J502" s="373"/>
      <c r="K502" s="373"/>
      <c r="L502" s="373"/>
      <c r="M502" s="373"/>
      <c r="N502" s="373"/>
      <c r="O502" s="373"/>
      <c r="P502" s="373"/>
      <c r="Q502" s="373"/>
      <c r="R502" s="373"/>
      <c r="S502" s="373"/>
      <c r="T502" s="373"/>
      <c r="U502" s="373"/>
      <c r="V502" s="373"/>
      <c r="W502" s="373"/>
      <c r="X502" s="373"/>
    </row>
    <row r="503" spans="1:24" ht="18" x14ac:dyDescent="0.55000000000000004">
      <c r="A503" s="373"/>
      <c r="B503" s="373"/>
      <c r="C503" s="373"/>
      <c r="D503" s="373"/>
      <c r="E503" s="373"/>
      <c r="F503" s="373"/>
      <c r="G503" s="373"/>
      <c r="H503" s="373"/>
      <c r="I503" s="373"/>
      <c r="J503" s="373"/>
      <c r="K503" s="373"/>
      <c r="L503" s="373"/>
      <c r="M503" s="373"/>
      <c r="N503" s="373"/>
      <c r="O503" s="373"/>
      <c r="P503" s="373"/>
      <c r="Q503" s="373"/>
      <c r="R503" s="373"/>
      <c r="S503" s="373"/>
      <c r="T503" s="373"/>
      <c r="U503" s="373"/>
      <c r="V503" s="373"/>
      <c r="W503" s="373"/>
      <c r="X503" s="373"/>
    </row>
    <row r="504" spans="1:24" ht="18" x14ac:dyDescent="0.55000000000000004">
      <c r="A504" s="373"/>
      <c r="B504" s="373"/>
      <c r="C504" s="373"/>
      <c r="D504" s="373"/>
      <c r="E504" s="373"/>
      <c r="F504" s="373"/>
      <c r="G504" s="373"/>
      <c r="H504" s="373"/>
      <c r="I504" s="373"/>
      <c r="J504" s="373"/>
      <c r="K504" s="373"/>
      <c r="L504" s="373"/>
      <c r="M504" s="373"/>
      <c r="N504" s="373"/>
      <c r="O504" s="373"/>
      <c r="P504" s="373"/>
      <c r="Q504" s="373"/>
      <c r="R504" s="373"/>
      <c r="S504" s="373"/>
      <c r="T504" s="373"/>
      <c r="U504" s="373"/>
      <c r="V504" s="373"/>
      <c r="W504" s="373"/>
      <c r="X504" s="373"/>
    </row>
    <row r="505" spans="1:24" ht="18" x14ac:dyDescent="0.55000000000000004">
      <c r="A505" s="373"/>
      <c r="B505" s="373"/>
      <c r="C505" s="373"/>
      <c r="D505" s="373"/>
      <c r="E505" s="373"/>
      <c r="F505" s="373"/>
      <c r="G505" s="373"/>
      <c r="H505" s="373"/>
      <c r="I505" s="373"/>
      <c r="J505" s="373"/>
      <c r="K505" s="373"/>
      <c r="L505" s="373"/>
      <c r="M505" s="373"/>
      <c r="N505" s="373"/>
      <c r="O505" s="373"/>
      <c r="P505" s="373"/>
      <c r="Q505" s="373"/>
      <c r="R505" s="373"/>
      <c r="S505" s="373"/>
      <c r="T505" s="373"/>
      <c r="U505" s="373"/>
      <c r="V505" s="373"/>
      <c r="W505" s="373"/>
      <c r="X505" s="373"/>
    </row>
    <row r="506" spans="1:24" ht="18" x14ac:dyDescent="0.55000000000000004">
      <c r="A506" s="373"/>
      <c r="B506" s="373"/>
      <c r="C506" s="373"/>
      <c r="D506" s="373"/>
      <c r="E506" s="373"/>
      <c r="F506" s="373"/>
      <c r="G506" s="373"/>
      <c r="H506" s="373"/>
      <c r="I506" s="373"/>
      <c r="J506" s="373"/>
      <c r="K506" s="373"/>
      <c r="L506" s="373"/>
      <c r="M506" s="373"/>
      <c r="N506" s="373"/>
      <c r="O506" s="373"/>
      <c r="P506" s="373"/>
      <c r="Q506" s="373"/>
      <c r="R506" s="373"/>
      <c r="S506" s="373"/>
      <c r="T506" s="373"/>
      <c r="U506" s="373"/>
      <c r="V506" s="373"/>
      <c r="W506" s="373"/>
      <c r="X506" s="373"/>
    </row>
    <row r="507" spans="1:24" ht="18" x14ac:dyDescent="0.55000000000000004">
      <c r="A507" s="373"/>
      <c r="B507" s="373"/>
      <c r="C507" s="373"/>
      <c r="D507" s="373"/>
      <c r="E507" s="373"/>
      <c r="F507" s="373"/>
      <c r="G507" s="373"/>
      <c r="H507" s="373"/>
      <c r="I507" s="373"/>
      <c r="J507" s="373"/>
      <c r="K507" s="373"/>
      <c r="L507" s="373"/>
      <c r="M507" s="373"/>
      <c r="N507" s="373"/>
      <c r="O507" s="373"/>
      <c r="P507" s="373"/>
      <c r="Q507" s="373"/>
      <c r="R507" s="373"/>
      <c r="S507" s="373"/>
      <c r="T507" s="373"/>
      <c r="U507" s="373"/>
      <c r="V507" s="373"/>
      <c r="W507" s="373"/>
      <c r="X507" s="373"/>
    </row>
    <row r="508" spans="1:24" ht="18" x14ac:dyDescent="0.55000000000000004">
      <c r="A508" s="373"/>
      <c r="B508" s="373"/>
      <c r="C508" s="373"/>
      <c r="D508" s="373"/>
      <c r="E508" s="373"/>
      <c r="F508" s="373"/>
      <c r="G508" s="373"/>
      <c r="H508" s="373"/>
      <c r="I508" s="373"/>
      <c r="J508" s="373"/>
      <c r="K508" s="373"/>
      <c r="L508" s="373"/>
      <c r="M508" s="373"/>
      <c r="N508" s="373"/>
      <c r="O508" s="373"/>
      <c r="P508" s="373"/>
      <c r="Q508" s="373"/>
      <c r="R508" s="373"/>
      <c r="S508" s="373"/>
      <c r="T508" s="373"/>
      <c r="U508" s="373"/>
      <c r="V508" s="373"/>
      <c r="W508" s="373"/>
      <c r="X508" s="373"/>
    </row>
    <row r="509" spans="1:24" ht="18" x14ac:dyDescent="0.55000000000000004">
      <c r="A509" s="373"/>
      <c r="B509" s="373"/>
      <c r="C509" s="373"/>
      <c r="D509" s="373"/>
      <c r="E509" s="373"/>
      <c r="F509" s="373"/>
      <c r="G509" s="373"/>
      <c r="H509" s="373"/>
      <c r="I509" s="373"/>
      <c r="J509" s="373"/>
      <c r="K509" s="373"/>
      <c r="L509" s="373"/>
      <c r="M509" s="373"/>
      <c r="N509" s="373"/>
      <c r="O509" s="373"/>
      <c r="P509" s="373"/>
      <c r="Q509" s="373"/>
      <c r="R509" s="373"/>
      <c r="S509" s="373"/>
      <c r="T509" s="373"/>
      <c r="U509" s="373"/>
      <c r="V509" s="373"/>
      <c r="W509" s="373"/>
      <c r="X509" s="373"/>
    </row>
    <row r="510" spans="1:24" ht="18" x14ac:dyDescent="0.55000000000000004">
      <c r="A510" s="373"/>
      <c r="B510" s="373"/>
      <c r="C510" s="373"/>
      <c r="D510" s="373"/>
      <c r="E510" s="373"/>
      <c r="F510" s="373"/>
      <c r="G510" s="373"/>
      <c r="H510" s="373"/>
      <c r="I510" s="373"/>
      <c r="J510" s="373"/>
      <c r="K510" s="373"/>
      <c r="L510" s="373"/>
      <c r="M510" s="373"/>
      <c r="N510" s="373"/>
      <c r="O510" s="373"/>
      <c r="P510" s="373"/>
      <c r="Q510" s="373"/>
      <c r="R510" s="373"/>
      <c r="S510" s="373"/>
      <c r="T510" s="373"/>
      <c r="U510" s="373"/>
      <c r="V510" s="373"/>
      <c r="W510" s="373"/>
      <c r="X510" s="373"/>
    </row>
    <row r="511" spans="1:24" ht="18" x14ac:dyDescent="0.55000000000000004">
      <c r="A511" s="373"/>
      <c r="B511" s="373"/>
      <c r="C511" s="373"/>
      <c r="D511" s="373"/>
      <c r="E511" s="373"/>
      <c r="F511" s="373"/>
      <c r="G511" s="373"/>
      <c r="H511" s="373"/>
      <c r="I511" s="373"/>
      <c r="J511" s="373"/>
      <c r="K511" s="373"/>
      <c r="L511" s="373"/>
      <c r="M511" s="373"/>
      <c r="N511" s="373"/>
      <c r="O511" s="373"/>
      <c r="P511" s="373"/>
      <c r="Q511" s="373"/>
      <c r="R511" s="373"/>
      <c r="S511" s="373"/>
      <c r="T511" s="373"/>
      <c r="U511" s="373"/>
      <c r="V511" s="373"/>
      <c r="W511" s="373"/>
      <c r="X511" s="373"/>
    </row>
    <row r="512" spans="1:24" ht="18" x14ac:dyDescent="0.55000000000000004">
      <c r="A512" s="373"/>
      <c r="B512" s="373"/>
      <c r="C512" s="373"/>
      <c r="D512" s="373"/>
      <c r="E512" s="373"/>
      <c r="F512" s="373"/>
      <c r="G512" s="373"/>
      <c r="H512" s="373"/>
      <c r="I512" s="373"/>
      <c r="J512" s="373"/>
      <c r="K512" s="373"/>
      <c r="L512" s="373"/>
      <c r="M512" s="373"/>
      <c r="N512" s="373"/>
      <c r="O512" s="373"/>
      <c r="P512" s="373"/>
      <c r="Q512" s="373"/>
      <c r="R512" s="373"/>
      <c r="S512" s="373"/>
      <c r="T512" s="373"/>
      <c r="U512" s="373"/>
      <c r="V512" s="373"/>
      <c r="W512" s="373"/>
      <c r="X512" s="373"/>
    </row>
    <row r="513" spans="1:24" ht="18" x14ac:dyDescent="0.55000000000000004">
      <c r="A513" s="373"/>
      <c r="B513" s="373"/>
      <c r="C513" s="373"/>
      <c r="D513" s="373"/>
      <c r="E513" s="373"/>
      <c r="F513" s="373"/>
      <c r="G513" s="373"/>
      <c r="H513" s="373"/>
      <c r="I513" s="373"/>
      <c r="J513" s="373"/>
      <c r="K513" s="373"/>
      <c r="L513" s="373"/>
      <c r="M513" s="373"/>
      <c r="N513" s="373"/>
      <c r="O513" s="373"/>
      <c r="P513" s="373"/>
      <c r="Q513" s="373"/>
      <c r="R513" s="373"/>
      <c r="S513" s="373"/>
      <c r="T513" s="373"/>
      <c r="U513" s="373"/>
      <c r="V513" s="373"/>
      <c r="W513" s="373"/>
      <c r="X513" s="373"/>
    </row>
    <row r="514" spans="1:24" ht="18" x14ac:dyDescent="0.55000000000000004">
      <c r="A514" s="373"/>
      <c r="B514" s="373"/>
      <c r="C514" s="373"/>
      <c r="D514" s="373"/>
      <c r="E514" s="373"/>
      <c r="F514" s="373"/>
      <c r="G514" s="373"/>
      <c r="H514" s="373"/>
      <c r="I514" s="373"/>
      <c r="J514" s="373"/>
      <c r="K514" s="373"/>
      <c r="L514" s="373"/>
      <c r="M514" s="373"/>
      <c r="N514" s="373"/>
      <c r="O514" s="373"/>
      <c r="P514" s="373"/>
      <c r="Q514" s="373"/>
      <c r="R514" s="373"/>
      <c r="S514" s="373"/>
      <c r="T514" s="373"/>
      <c r="U514" s="373"/>
      <c r="V514" s="373"/>
      <c r="W514" s="373"/>
      <c r="X514" s="373"/>
    </row>
    <row r="515" spans="1:24" ht="18" x14ac:dyDescent="0.55000000000000004">
      <c r="A515" s="373"/>
      <c r="B515" s="373"/>
      <c r="C515" s="373"/>
      <c r="D515" s="373"/>
      <c r="E515" s="373"/>
      <c r="F515" s="373"/>
      <c r="G515" s="373"/>
      <c r="H515" s="373"/>
      <c r="I515" s="373"/>
      <c r="J515" s="373"/>
      <c r="K515" s="373"/>
      <c r="L515" s="373"/>
      <c r="M515" s="373"/>
      <c r="N515" s="373"/>
      <c r="O515" s="373"/>
      <c r="P515" s="373"/>
      <c r="Q515" s="373"/>
      <c r="R515" s="373"/>
      <c r="S515" s="373"/>
      <c r="T515" s="373"/>
      <c r="U515" s="373"/>
      <c r="V515" s="373"/>
      <c r="W515" s="373"/>
      <c r="X515" s="373"/>
    </row>
    <row r="516" spans="1:24" ht="18" x14ac:dyDescent="0.55000000000000004">
      <c r="A516" s="373"/>
      <c r="B516" s="373"/>
      <c r="C516" s="373"/>
      <c r="D516" s="373"/>
      <c r="E516" s="373"/>
      <c r="F516" s="373"/>
      <c r="G516" s="373"/>
      <c r="H516" s="373"/>
      <c r="I516" s="373"/>
      <c r="J516" s="373"/>
      <c r="K516" s="373"/>
      <c r="L516" s="373"/>
      <c r="M516" s="373"/>
      <c r="N516" s="373"/>
      <c r="O516" s="373"/>
      <c r="P516" s="373"/>
      <c r="Q516" s="373"/>
      <c r="R516" s="373"/>
      <c r="S516" s="373"/>
      <c r="T516" s="373"/>
      <c r="U516" s="373"/>
      <c r="V516" s="373"/>
      <c r="W516" s="373"/>
      <c r="X516" s="373"/>
    </row>
    <row r="517" spans="1:24" ht="18" x14ac:dyDescent="0.55000000000000004">
      <c r="A517" s="373"/>
      <c r="B517" s="373"/>
      <c r="C517" s="373"/>
      <c r="D517" s="373"/>
      <c r="E517" s="373"/>
      <c r="F517" s="373"/>
      <c r="G517" s="373"/>
      <c r="H517" s="373"/>
      <c r="I517" s="373"/>
      <c r="J517" s="373"/>
      <c r="K517" s="373"/>
      <c r="L517" s="373"/>
      <c r="M517" s="373"/>
      <c r="N517" s="373"/>
      <c r="O517" s="373"/>
      <c r="P517" s="373"/>
      <c r="Q517" s="373"/>
      <c r="R517" s="373"/>
      <c r="S517" s="373"/>
      <c r="T517" s="373"/>
      <c r="U517" s="373"/>
      <c r="V517" s="373"/>
      <c r="W517" s="373"/>
      <c r="X517" s="373"/>
    </row>
    <row r="518" spans="1:24" ht="18" x14ac:dyDescent="0.55000000000000004">
      <c r="A518" s="373"/>
      <c r="B518" s="373"/>
      <c r="C518" s="373"/>
      <c r="D518" s="373"/>
      <c r="E518" s="373"/>
      <c r="F518" s="373"/>
      <c r="G518" s="373"/>
      <c r="H518" s="373"/>
      <c r="I518" s="373"/>
      <c r="J518" s="373"/>
      <c r="K518" s="373"/>
      <c r="L518" s="373"/>
      <c r="M518" s="373"/>
      <c r="N518" s="373"/>
      <c r="O518" s="373"/>
      <c r="P518" s="373"/>
      <c r="Q518" s="373"/>
      <c r="R518" s="373"/>
      <c r="S518" s="373"/>
      <c r="T518" s="373"/>
      <c r="U518" s="373"/>
      <c r="V518" s="373"/>
      <c r="W518" s="373"/>
      <c r="X518" s="373"/>
    </row>
    <row r="519" spans="1:24" ht="18" x14ac:dyDescent="0.55000000000000004">
      <c r="A519" s="373"/>
      <c r="B519" s="373"/>
      <c r="C519" s="373"/>
      <c r="D519" s="373"/>
      <c r="E519" s="373"/>
      <c r="F519" s="373"/>
      <c r="G519" s="373"/>
      <c r="H519" s="373"/>
      <c r="I519" s="373"/>
      <c r="J519" s="373"/>
      <c r="K519" s="373"/>
      <c r="L519" s="373"/>
      <c r="M519" s="373"/>
      <c r="N519" s="373"/>
      <c r="O519" s="373"/>
      <c r="P519" s="373"/>
      <c r="Q519" s="373"/>
      <c r="R519" s="373"/>
      <c r="S519" s="373"/>
      <c r="T519" s="373"/>
      <c r="U519" s="373"/>
      <c r="V519" s="373"/>
      <c r="W519" s="373"/>
      <c r="X519" s="373"/>
    </row>
    <row r="520" spans="1:24" ht="18" x14ac:dyDescent="0.55000000000000004">
      <c r="A520" s="373"/>
      <c r="B520" s="373"/>
      <c r="C520" s="373"/>
      <c r="D520" s="373"/>
      <c r="E520" s="373"/>
      <c r="F520" s="373"/>
      <c r="G520" s="373"/>
      <c r="H520" s="373"/>
      <c r="I520" s="373"/>
      <c r="J520" s="373"/>
      <c r="K520" s="373"/>
      <c r="L520" s="373"/>
      <c r="M520" s="373"/>
      <c r="N520" s="373"/>
      <c r="O520" s="373"/>
      <c r="P520" s="373"/>
      <c r="Q520" s="373"/>
      <c r="R520" s="373"/>
      <c r="S520" s="373"/>
      <c r="T520" s="373"/>
      <c r="U520" s="373"/>
      <c r="V520" s="373"/>
      <c r="W520" s="373"/>
      <c r="X520" s="373"/>
    </row>
    <row r="521" spans="1:24" ht="18" x14ac:dyDescent="0.55000000000000004">
      <c r="A521" s="373"/>
      <c r="B521" s="373"/>
      <c r="C521" s="373"/>
      <c r="D521" s="373"/>
      <c r="E521" s="373"/>
      <c r="F521" s="373"/>
      <c r="G521" s="373"/>
      <c r="H521" s="373"/>
      <c r="I521" s="373"/>
      <c r="J521" s="373"/>
      <c r="K521" s="373"/>
      <c r="L521" s="373"/>
      <c r="M521" s="373"/>
      <c r="N521" s="373"/>
      <c r="O521" s="373"/>
      <c r="P521" s="373"/>
      <c r="Q521" s="373"/>
      <c r="R521" s="373"/>
      <c r="S521" s="373"/>
      <c r="T521" s="373"/>
      <c r="U521" s="373"/>
      <c r="V521" s="373"/>
      <c r="W521" s="373"/>
      <c r="X521" s="373"/>
    </row>
    <row r="522" spans="1:24" ht="18" x14ac:dyDescent="0.55000000000000004">
      <c r="A522" s="373"/>
      <c r="B522" s="373"/>
      <c r="C522" s="373"/>
      <c r="D522" s="373"/>
      <c r="E522" s="373"/>
      <c r="F522" s="373"/>
      <c r="G522" s="373"/>
      <c r="H522" s="373"/>
      <c r="I522" s="373"/>
      <c r="J522" s="373"/>
      <c r="K522" s="373"/>
      <c r="L522" s="373"/>
      <c r="M522" s="373"/>
      <c r="N522" s="373"/>
      <c r="O522" s="373"/>
      <c r="P522" s="373"/>
      <c r="Q522" s="373"/>
      <c r="R522" s="373"/>
      <c r="S522" s="373"/>
      <c r="T522" s="373"/>
      <c r="U522" s="373"/>
      <c r="V522" s="373"/>
      <c r="W522" s="373"/>
      <c r="X522" s="373"/>
    </row>
    <row r="523" spans="1:24" ht="18" x14ac:dyDescent="0.55000000000000004">
      <c r="A523" s="373"/>
      <c r="B523" s="373"/>
      <c r="C523" s="373"/>
      <c r="D523" s="373"/>
      <c r="E523" s="373"/>
      <c r="F523" s="373"/>
      <c r="G523" s="373"/>
      <c r="H523" s="373"/>
      <c r="I523" s="373"/>
      <c r="J523" s="373"/>
      <c r="K523" s="373"/>
      <c r="L523" s="373"/>
      <c r="M523" s="373"/>
      <c r="N523" s="373"/>
      <c r="O523" s="373"/>
      <c r="P523" s="373"/>
      <c r="Q523" s="373"/>
      <c r="R523" s="373"/>
      <c r="S523" s="373"/>
      <c r="T523" s="373"/>
      <c r="U523" s="373"/>
      <c r="V523" s="373"/>
      <c r="W523" s="373"/>
      <c r="X523" s="373"/>
    </row>
    <row r="524" spans="1:24" ht="18" x14ac:dyDescent="0.55000000000000004">
      <c r="A524" s="373"/>
      <c r="B524" s="373"/>
      <c r="C524" s="373"/>
      <c r="D524" s="373"/>
      <c r="E524" s="373"/>
      <c r="F524" s="373"/>
      <c r="G524" s="373"/>
      <c r="H524" s="373"/>
      <c r="I524" s="373"/>
      <c r="J524" s="373"/>
      <c r="K524" s="373"/>
      <c r="L524" s="373"/>
      <c r="M524" s="373"/>
      <c r="N524" s="373"/>
      <c r="O524" s="373"/>
      <c r="P524" s="373"/>
      <c r="Q524" s="373"/>
      <c r="R524" s="373"/>
      <c r="S524" s="373"/>
      <c r="T524" s="373"/>
      <c r="U524" s="373"/>
      <c r="V524" s="373"/>
      <c r="W524" s="373"/>
      <c r="X524" s="373"/>
    </row>
    <row r="525" spans="1:24" ht="18" x14ac:dyDescent="0.55000000000000004">
      <c r="A525" s="373"/>
      <c r="B525" s="373"/>
      <c r="C525" s="373"/>
      <c r="D525" s="373"/>
      <c r="E525" s="373"/>
      <c r="F525" s="373"/>
      <c r="G525" s="373"/>
      <c r="H525" s="373"/>
      <c r="I525" s="373"/>
      <c r="J525" s="373"/>
      <c r="K525" s="373"/>
      <c r="L525" s="373"/>
      <c r="M525" s="373"/>
      <c r="N525" s="373"/>
      <c r="O525" s="373"/>
      <c r="P525" s="373"/>
      <c r="Q525" s="373"/>
      <c r="R525" s="373"/>
      <c r="S525" s="373"/>
      <c r="T525" s="373"/>
      <c r="U525" s="373"/>
      <c r="V525" s="373"/>
      <c r="W525" s="373"/>
      <c r="X525" s="373"/>
    </row>
    <row r="526" spans="1:24" ht="18" x14ac:dyDescent="0.55000000000000004">
      <c r="A526" s="373"/>
      <c r="B526" s="373"/>
      <c r="C526" s="373"/>
      <c r="D526" s="373"/>
      <c r="E526" s="373"/>
      <c r="F526" s="373"/>
      <c r="G526" s="373"/>
      <c r="H526" s="373"/>
      <c r="I526" s="373"/>
      <c r="J526" s="373"/>
      <c r="K526" s="373"/>
      <c r="L526" s="373"/>
      <c r="M526" s="373"/>
      <c r="N526" s="373"/>
      <c r="O526" s="373"/>
      <c r="P526" s="373"/>
      <c r="Q526" s="373"/>
      <c r="R526" s="373"/>
      <c r="S526" s="373"/>
      <c r="T526" s="373"/>
      <c r="U526" s="373"/>
      <c r="V526" s="373"/>
      <c r="W526" s="373"/>
      <c r="X526" s="373"/>
    </row>
    <row r="527" spans="1:24" ht="18" x14ac:dyDescent="0.55000000000000004">
      <c r="A527" s="373"/>
      <c r="B527" s="373"/>
      <c r="C527" s="373"/>
      <c r="D527" s="373"/>
      <c r="E527" s="373"/>
      <c r="F527" s="373"/>
      <c r="G527" s="373"/>
      <c r="H527" s="373"/>
      <c r="I527" s="373"/>
      <c r="J527" s="373"/>
      <c r="K527" s="373"/>
      <c r="L527" s="373"/>
      <c r="M527" s="373"/>
      <c r="N527" s="373"/>
      <c r="O527" s="373"/>
      <c r="P527" s="373"/>
      <c r="Q527" s="373"/>
      <c r="R527" s="373"/>
      <c r="S527" s="373"/>
      <c r="T527" s="373"/>
      <c r="U527" s="373"/>
      <c r="V527" s="373"/>
      <c r="W527" s="373"/>
      <c r="X527" s="373"/>
    </row>
    <row r="528" spans="1:24" ht="18" x14ac:dyDescent="0.55000000000000004">
      <c r="A528" s="373"/>
      <c r="B528" s="373"/>
      <c r="C528" s="373"/>
      <c r="D528" s="373"/>
      <c r="E528" s="373"/>
      <c r="F528" s="373"/>
      <c r="G528" s="373"/>
      <c r="H528" s="373"/>
      <c r="I528" s="373"/>
      <c r="J528" s="373"/>
      <c r="K528" s="373"/>
      <c r="L528" s="373"/>
      <c r="M528" s="373"/>
      <c r="N528" s="373"/>
      <c r="O528" s="373"/>
      <c r="P528" s="373"/>
      <c r="Q528" s="373"/>
      <c r="R528" s="373"/>
      <c r="S528" s="373"/>
      <c r="T528" s="373"/>
      <c r="U528" s="373"/>
      <c r="V528" s="373"/>
      <c r="W528" s="373"/>
      <c r="X528" s="373"/>
    </row>
    <row r="529" spans="1:24" ht="18" x14ac:dyDescent="0.55000000000000004">
      <c r="A529" s="373"/>
      <c r="B529" s="373"/>
      <c r="C529" s="373"/>
      <c r="D529" s="373"/>
      <c r="E529" s="373"/>
      <c r="F529" s="373"/>
      <c r="G529" s="373"/>
      <c r="H529" s="373"/>
      <c r="I529" s="373"/>
      <c r="J529" s="373"/>
      <c r="K529" s="373"/>
      <c r="L529" s="373"/>
      <c r="M529" s="373"/>
      <c r="N529" s="373"/>
      <c r="O529" s="373"/>
      <c r="P529" s="373"/>
      <c r="Q529" s="373"/>
      <c r="R529" s="373"/>
      <c r="S529" s="373"/>
      <c r="T529" s="373"/>
      <c r="U529" s="373"/>
      <c r="V529" s="373"/>
      <c r="W529" s="373"/>
      <c r="X529" s="373"/>
    </row>
    <row r="530" spans="1:24" ht="18" x14ac:dyDescent="0.55000000000000004">
      <c r="A530" s="373"/>
      <c r="B530" s="373"/>
      <c r="C530" s="373"/>
      <c r="D530" s="373"/>
      <c r="E530" s="373"/>
      <c r="F530" s="373"/>
      <c r="G530" s="373"/>
      <c r="H530" s="373"/>
      <c r="I530" s="373"/>
      <c r="J530" s="373"/>
      <c r="K530" s="373"/>
      <c r="L530" s="373"/>
      <c r="M530" s="373"/>
      <c r="N530" s="373"/>
      <c r="O530" s="373"/>
      <c r="P530" s="373"/>
      <c r="Q530" s="373"/>
      <c r="R530" s="373"/>
      <c r="S530" s="373"/>
      <c r="T530" s="373"/>
      <c r="U530" s="373"/>
      <c r="V530" s="373"/>
      <c r="W530" s="373"/>
      <c r="X530" s="373"/>
    </row>
    <row r="531" spans="1:24" ht="18" x14ac:dyDescent="0.55000000000000004">
      <c r="A531" s="373"/>
      <c r="B531" s="373"/>
      <c r="C531" s="373"/>
      <c r="D531" s="373"/>
      <c r="E531" s="373"/>
      <c r="F531" s="373"/>
      <c r="G531" s="373"/>
      <c r="H531" s="373"/>
      <c r="I531" s="373"/>
      <c r="J531" s="373"/>
      <c r="K531" s="373"/>
      <c r="L531" s="373"/>
      <c r="M531" s="373"/>
      <c r="N531" s="373"/>
      <c r="O531" s="373"/>
      <c r="P531" s="373"/>
      <c r="Q531" s="373"/>
      <c r="R531" s="373"/>
      <c r="S531" s="373"/>
      <c r="T531" s="373"/>
      <c r="U531" s="373"/>
      <c r="V531" s="373"/>
      <c r="W531" s="373"/>
      <c r="X531" s="373"/>
    </row>
    <row r="532" spans="1:24" ht="18" x14ac:dyDescent="0.55000000000000004">
      <c r="A532" s="373"/>
      <c r="B532" s="373"/>
      <c r="C532" s="373"/>
      <c r="D532" s="373"/>
      <c r="E532" s="373"/>
      <c r="F532" s="373"/>
      <c r="G532" s="373"/>
      <c r="H532" s="373"/>
      <c r="I532" s="373"/>
      <c r="J532" s="373"/>
      <c r="K532" s="373"/>
      <c r="L532" s="373"/>
      <c r="M532" s="373"/>
      <c r="N532" s="373"/>
      <c r="O532" s="373"/>
      <c r="P532" s="373"/>
      <c r="Q532" s="373"/>
      <c r="R532" s="373"/>
      <c r="S532" s="373"/>
      <c r="T532" s="373"/>
      <c r="U532" s="373"/>
      <c r="V532" s="373"/>
      <c r="W532" s="373"/>
      <c r="X532" s="373"/>
    </row>
    <row r="533" spans="1:24" ht="18" x14ac:dyDescent="0.55000000000000004">
      <c r="A533" s="373"/>
      <c r="B533" s="373"/>
      <c r="C533" s="373"/>
      <c r="D533" s="373"/>
      <c r="E533" s="373"/>
      <c r="F533" s="373"/>
      <c r="G533" s="373"/>
      <c r="H533" s="373"/>
      <c r="I533" s="373"/>
      <c r="J533" s="373"/>
      <c r="K533" s="373"/>
      <c r="L533" s="373"/>
      <c r="M533" s="373"/>
      <c r="N533" s="373"/>
      <c r="O533" s="373"/>
      <c r="P533" s="373"/>
      <c r="Q533" s="373"/>
      <c r="R533" s="373"/>
      <c r="S533" s="373"/>
      <c r="T533" s="373"/>
      <c r="U533" s="373"/>
      <c r="V533" s="373"/>
      <c r="W533" s="373"/>
      <c r="X533" s="373"/>
    </row>
    <row r="534" spans="1:24" ht="18" x14ac:dyDescent="0.55000000000000004">
      <c r="A534" s="373"/>
      <c r="B534" s="373"/>
      <c r="C534" s="373"/>
      <c r="D534" s="373"/>
      <c r="E534" s="373"/>
      <c r="F534" s="373"/>
      <c r="G534" s="373"/>
      <c r="H534" s="373"/>
      <c r="I534" s="373"/>
      <c r="J534" s="373"/>
      <c r="K534" s="373"/>
      <c r="L534" s="373"/>
      <c r="M534" s="373"/>
      <c r="N534" s="373"/>
      <c r="O534" s="373"/>
      <c r="P534" s="373"/>
      <c r="Q534" s="373"/>
      <c r="R534" s="373"/>
      <c r="S534" s="373"/>
      <c r="T534" s="373"/>
      <c r="U534" s="373"/>
      <c r="V534" s="373"/>
      <c r="W534" s="373"/>
      <c r="X534" s="373"/>
    </row>
    <row r="535" spans="1:24" ht="18" x14ac:dyDescent="0.55000000000000004">
      <c r="A535" s="373"/>
      <c r="B535" s="373"/>
      <c r="C535" s="373"/>
      <c r="D535" s="373"/>
      <c r="E535" s="373"/>
      <c r="F535" s="373"/>
      <c r="G535" s="373"/>
      <c r="H535" s="373"/>
      <c r="I535" s="373"/>
      <c r="J535" s="373"/>
      <c r="K535" s="373"/>
      <c r="L535" s="373"/>
      <c r="M535" s="373"/>
      <c r="N535" s="373"/>
      <c r="O535" s="373"/>
      <c r="P535" s="373"/>
      <c r="Q535" s="373"/>
      <c r="R535" s="373"/>
      <c r="S535" s="373"/>
      <c r="T535" s="373"/>
      <c r="U535" s="373"/>
      <c r="V535" s="373"/>
      <c r="W535" s="373"/>
      <c r="X535" s="373"/>
    </row>
    <row r="536" spans="1:24" ht="18" x14ac:dyDescent="0.55000000000000004">
      <c r="A536" s="373"/>
      <c r="B536" s="373"/>
      <c r="C536" s="373"/>
      <c r="D536" s="373"/>
      <c r="E536" s="373"/>
      <c r="F536" s="373"/>
      <c r="G536" s="373"/>
      <c r="H536" s="373"/>
      <c r="I536" s="373"/>
      <c r="J536" s="373"/>
      <c r="K536" s="373"/>
      <c r="L536" s="373"/>
      <c r="M536" s="373"/>
      <c r="N536" s="373"/>
      <c r="O536" s="373"/>
      <c r="P536" s="373"/>
      <c r="Q536" s="373"/>
      <c r="R536" s="373"/>
      <c r="S536" s="373"/>
      <c r="T536" s="373"/>
      <c r="U536" s="373"/>
      <c r="V536" s="373"/>
      <c r="W536" s="373"/>
      <c r="X536" s="373"/>
    </row>
    <row r="537" spans="1:24" ht="18" x14ac:dyDescent="0.55000000000000004">
      <c r="A537" s="373"/>
      <c r="B537" s="373"/>
      <c r="C537" s="373"/>
      <c r="D537" s="373"/>
      <c r="E537" s="373"/>
      <c r="F537" s="373"/>
      <c r="G537" s="373"/>
      <c r="H537" s="373"/>
      <c r="I537" s="373"/>
      <c r="J537" s="373"/>
      <c r="K537" s="373"/>
      <c r="L537" s="373"/>
      <c r="M537" s="373"/>
      <c r="N537" s="373"/>
      <c r="O537" s="373"/>
      <c r="P537" s="373"/>
      <c r="Q537" s="373"/>
      <c r="R537" s="373"/>
      <c r="S537" s="373"/>
      <c r="T537" s="373"/>
      <c r="U537" s="373"/>
      <c r="V537" s="373"/>
      <c r="W537" s="373"/>
      <c r="X537" s="373"/>
    </row>
    <row r="538" spans="1:24" ht="18" x14ac:dyDescent="0.55000000000000004">
      <c r="A538" s="373"/>
      <c r="B538" s="373"/>
      <c r="C538" s="373"/>
      <c r="D538" s="373"/>
      <c r="E538" s="373"/>
      <c r="F538" s="373"/>
      <c r="G538" s="373"/>
      <c r="H538" s="373"/>
      <c r="I538" s="373"/>
      <c r="J538" s="373"/>
      <c r="K538" s="373"/>
      <c r="L538" s="373"/>
      <c r="M538" s="373"/>
      <c r="N538" s="373"/>
      <c r="O538" s="373"/>
      <c r="P538" s="373"/>
      <c r="Q538" s="373"/>
      <c r="R538" s="373"/>
      <c r="S538" s="373"/>
      <c r="T538" s="373"/>
      <c r="U538" s="373"/>
      <c r="V538" s="373"/>
      <c r="W538" s="373"/>
      <c r="X538" s="373"/>
    </row>
    <row r="539" spans="1:24" ht="18" x14ac:dyDescent="0.55000000000000004">
      <c r="A539" s="373"/>
      <c r="B539" s="373"/>
      <c r="C539" s="373"/>
      <c r="D539" s="373"/>
      <c r="E539" s="373"/>
      <c r="F539" s="373"/>
      <c r="G539" s="373"/>
      <c r="H539" s="373"/>
      <c r="I539" s="373"/>
      <c r="J539" s="373"/>
      <c r="K539" s="373"/>
      <c r="L539" s="373"/>
      <c r="M539" s="373"/>
      <c r="N539" s="373"/>
      <c r="O539" s="373"/>
      <c r="P539" s="373"/>
      <c r="Q539" s="373"/>
      <c r="R539" s="373"/>
      <c r="S539" s="373"/>
      <c r="T539" s="373"/>
      <c r="U539" s="373"/>
      <c r="V539" s="373"/>
      <c r="W539" s="373"/>
      <c r="X539" s="373"/>
    </row>
    <row r="540" spans="1:24" ht="18" x14ac:dyDescent="0.55000000000000004">
      <c r="A540" s="373"/>
      <c r="B540" s="373"/>
      <c r="C540" s="373"/>
      <c r="D540" s="373"/>
      <c r="E540" s="373"/>
      <c r="F540" s="373"/>
      <c r="G540" s="373"/>
      <c r="H540" s="373"/>
      <c r="I540" s="373"/>
      <c r="J540" s="373"/>
      <c r="K540" s="373"/>
      <c r="L540" s="373"/>
      <c r="M540" s="373"/>
      <c r="N540" s="373"/>
      <c r="O540" s="373"/>
      <c r="P540" s="373"/>
      <c r="Q540" s="373"/>
      <c r="R540" s="373"/>
      <c r="S540" s="373"/>
      <c r="T540" s="373"/>
      <c r="U540" s="373"/>
      <c r="V540" s="373"/>
      <c r="W540" s="373"/>
      <c r="X540" s="373"/>
    </row>
    <row r="541" spans="1:24" ht="18" x14ac:dyDescent="0.55000000000000004">
      <c r="A541" s="373"/>
      <c r="B541" s="373"/>
      <c r="C541" s="373"/>
      <c r="D541" s="373"/>
      <c r="E541" s="373"/>
      <c r="F541" s="373"/>
      <c r="G541" s="373"/>
      <c r="H541" s="373"/>
      <c r="I541" s="373"/>
      <c r="J541" s="373"/>
      <c r="K541" s="373"/>
      <c r="L541" s="373"/>
      <c r="M541" s="373"/>
      <c r="N541" s="373"/>
      <c r="O541" s="373"/>
      <c r="P541" s="373"/>
      <c r="Q541" s="373"/>
      <c r="R541" s="373"/>
      <c r="S541" s="373"/>
      <c r="T541" s="373"/>
      <c r="U541" s="373"/>
      <c r="V541" s="373"/>
      <c r="W541" s="373"/>
      <c r="X541" s="373"/>
    </row>
    <row r="542" spans="1:24" ht="18" x14ac:dyDescent="0.55000000000000004">
      <c r="A542" s="373"/>
      <c r="B542" s="373"/>
      <c r="C542" s="373"/>
      <c r="D542" s="373"/>
      <c r="E542" s="373"/>
      <c r="F542" s="373"/>
      <c r="G542" s="373"/>
      <c r="H542" s="373"/>
      <c r="I542" s="373"/>
      <c r="J542" s="373"/>
      <c r="K542" s="373"/>
      <c r="L542" s="373"/>
      <c r="M542" s="373"/>
      <c r="N542" s="373"/>
      <c r="O542" s="373"/>
      <c r="P542" s="373"/>
      <c r="Q542" s="373"/>
      <c r="R542" s="373"/>
      <c r="S542" s="373"/>
      <c r="T542" s="373"/>
      <c r="U542" s="373"/>
      <c r="V542" s="373"/>
      <c r="W542" s="373"/>
      <c r="X542" s="373"/>
    </row>
    <row r="543" spans="1:24" ht="18" x14ac:dyDescent="0.55000000000000004">
      <c r="A543" s="373"/>
      <c r="B543" s="373"/>
      <c r="C543" s="373"/>
      <c r="D543" s="373"/>
      <c r="E543" s="373"/>
      <c r="F543" s="373"/>
      <c r="G543" s="373"/>
      <c r="H543" s="373"/>
      <c r="I543" s="373"/>
      <c r="J543" s="373"/>
      <c r="K543" s="373"/>
      <c r="L543" s="373"/>
      <c r="M543" s="373"/>
      <c r="N543" s="373"/>
      <c r="O543" s="373"/>
      <c r="P543" s="373"/>
      <c r="Q543" s="373"/>
      <c r="R543" s="373"/>
      <c r="S543" s="373"/>
      <c r="T543" s="373"/>
      <c r="U543" s="373"/>
      <c r="V543" s="373"/>
      <c r="W543" s="373"/>
      <c r="X543" s="373"/>
    </row>
    <row r="544" spans="1:24" ht="18" x14ac:dyDescent="0.55000000000000004">
      <c r="A544" s="373"/>
      <c r="B544" s="373"/>
      <c r="C544" s="373"/>
      <c r="D544" s="373"/>
      <c r="E544" s="373"/>
      <c r="F544" s="373"/>
      <c r="G544" s="373"/>
      <c r="H544" s="373"/>
      <c r="I544" s="373"/>
      <c r="J544" s="373"/>
      <c r="K544" s="373"/>
      <c r="L544" s="373"/>
      <c r="M544" s="373"/>
      <c r="N544" s="373"/>
      <c r="O544" s="373"/>
      <c r="P544" s="373"/>
      <c r="Q544" s="373"/>
      <c r="R544" s="373"/>
      <c r="S544" s="373"/>
      <c r="T544" s="373"/>
      <c r="U544" s="373"/>
      <c r="V544" s="373"/>
      <c r="W544" s="373"/>
      <c r="X544" s="373"/>
    </row>
    <row r="545" spans="1:24" ht="18" x14ac:dyDescent="0.55000000000000004">
      <c r="A545" s="373"/>
      <c r="B545" s="373"/>
      <c r="C545" s="373"/>
      <c r="D545" s="373"/>
      <c r="E545" s="373"/>
      <c r="F545" s="373"/>
      <c r="G545" s="373"/>
      <c r="H545" s="373"/>
      <c r="I545" s="373"/>
      <c r="J545" s="373"/>
      <c r="K545" s="373"/>
      <c r="L545" s="373"/>
      <c r="M545" s="373"/>
      <c r="N545" s="373"/>
      <c r="O545" s="373"/>
      <c r="P545" s="373"/>
      <c r="Q545" s="373"/>
      <c r="R545" s="373"/>
      <c r="S545" s="373"/>
      <c r="T545" s="373"/>
      <c r="U545" s="373"/>
      <c r="V545" s="373"/>
      <c r="W545" s="373"/>
      <c r="X545" s="373"/>
    </row>
    <row r="546" spans="1:24" ht="18" x14ac:dyDescent="0.55000000000000004">
      <c r="A546" s="373"/>
      <c r="B546" s="373"/>
      <c r="C546" s="373"/>
      <c r="D546" s="373"/>
      <c r="E546" s="373"/>
      <c r="F546" s="373"/>
      <c r="G546" s="373"/>
      <c r="H546" s="373"/>
      <c r="I546" s="373"/>
      <c r="J546" s="373"/>
      <c r="K546" s="373"/>
      <c r="L546" s="373"/>
      <c r="M546" s="373"/>
      <c r="N546" s="373"/>
      <c r="O546" s="373"/>
      <c r="P546" s="373"/>
      <c r="Q546" s="373"/>
      <c r="R546" s="373"/>
      <c r="S546" s="373"/>
      <c r="T546" s="373"/>
      <c r="U546" s="373"/>
      <c r="V546" s="373"/>
      <c r="W546" s="373"/>
      <c r="X546" s="373"/>
    </row>
    <row r="547" spans="1:24" ht="18" x14ac:dyDescent="0.55000000000000004">
      <c r="A547" s="373"/>
      <c r="B547" s="373"/>
      <c r="C547" s="373"/>
      <c r="D547" s="373"/>
      <c r="E547" s="373"/>
      <c r="F547" s="373"/>
      <c r="G547" s="373"/>
      <c r="H547" s="373"/>
      <c r="I547" s="373"/>
      <c r="J547" s="373"/>
      <c r="K547" s="373"/>
      <c r="L547" s="373"/>
      <c r="M547" s="373"/>
      <c r="N547" s="373"/>
      <c r="O547" s="373"/>
      <c r="P547" s="373"/>
      <c r="Q547" s="373"/>
      <c r="R547" s="373"/>
      <c r="S547" s="373"/>
      <c r="T547" s="373"/>
      <c r="U547" s="373"/>
      <c r="V547" s="373"/>
      <c r="W547" s="373"/>
      <c r="X547" s="373"/>
    </row>
    <row r="548" spans="1:24" ht="18" x14ac:dyDescent="0.55000000000000004">
      <c r="A548" s="373"/>
      <c r="B548" s="373"/>
      <c r="C548" s="373"/>
      <c r="D548" s="373"/>
      <c r="E548" s="373"/>
      <c r="F548" s="373"/>
      <c r="G548" s="373"/>
      <c r="H548" s="373"/>
      <c r="I548" s="373"/>
      <c r="J548" s="373"/>
      <c r="K548" s="373"/>
      <c r="L548" s="373"/>
      <c r="M548" s="373"/>
      <c r="N548" s="373"/>
      <c r="O548" s="373"/>
      <c r="P548" s="373"/>
      <c r="Q548" s="373"/>
      <c r="R548" s="373"/>
      <c r="S548" s="373"/>
      <c r="T548" s="373"/>
      <c r="U548" s="373"/>
      <c r="V548" s="373"/>
      <c r="W548" s="373"/>
      <c r="X548" s="373"/>
    </row>
    <row r="549" spans="1:24" ht="18" x14ac:dyDescent="0.55000000000000004">
      <c r="A549" s="373"/>
      <c r="B549" s="373"/>
      <c r="C549" s="373"/>
      <c r="D549" s="373"/>
      <c r="E549" s="373"/>
      <c r="F549" s="373"/>
      <c r="G549" s="373"/>
      <c r="H549" s="373"/>
      <c r="I549" s="373"/>
      <c r="J549" s="373"/>
      <c r="K549" s="373"/>
      <c r="L549" s="373"/>
      <c r="M549" s="373"/>
      <c r="N549" s="373"/>
      <c r="O549" s="373"/>
      <c r="P549" s="373"/>
      <c r="Q549" s="373"/>
      <c r="R549" s="373"/>
      <c r="S549" s="373"/>
      <c r="T549" s="373"/>
      <c r="U549" s="373"/>
      <c r="V549" s="373"/>
      <c r="W549" s="373"/>
      <c r="X549" s="373"/>
    </row>
    <row r="550" spans="1:24" ht="18" x14ac:dyDescent="0.55000000000000004">
      <c r="A550" s="373"/>
      <c r="B550" s="373"/>
      <c r="C550" s="373"/>
      <c r="D550" s="373"/>
      <c r="E550" s="373"/>
      <c r="F550" s="373"/>
      <c r="G550" s="373"/>
      <c r="H550" s="373"/>
      <c r="I550" s="373"/>
      <c r="J550" s="373"/>
      <c r="K550" s="373"/>
      <c r="L550" s="373"/>
      <c r="M550" s="373"/>
      <c r="N550" s="373"/>
      <c r="O550" s="373"/>
      <c r="P550" s="373"/>
      <c r="Q550" s="373"/>
      <c r="R550" s="373"/>
      <c r="S550" s="373"/>
      <c r="T550" s="373"/>
      <c r="U550" s="373"/>
      <c r="V550" s="373"/>
      <c r="W550" s="373"/>
      <c r="X550" s="373"/>
    </row>
    <row r="551" spans="1:24" ht="18" x14ac:dyDescent="0.55000000000000004">
      <c r="A551" s="373"/>
      <c r="B551" s="373"/>
      <c r="C551" s="373"/>
      <c r="D551" s="373"/>
      <c r="E551" s="373"/>
      <c r="F551" s="373"/>
      <c r="G551" s="373"/>
      <c r="H551" s="373"/>
      <c r="I551" s="373"/>
      <c r="J551" s="373"/>
      <c r="K551" s="373"/>
      <c r="L551" s="373"/>
      <c r="M551" s="373"/>
      <c r="N551" s="373"/>
      <c r="O551" s="373"/>
      <c r="P551" s="373"/>
      <c r="Q551" s="373"/>
      <c r="R551" s="373"/>
      <c r="S551" s="373"/>
      <c r="T551" s="373"/>
      <c r="U551" s="373"/>
      <c r="V551" s="373"/>
      <c r="W551" s="373"/>
      <c r="X551" s="373"/>
    </row>
    <row r="552" spans="1:24" ht="18" x14ac:dyDescent="0.55000000000000004">
      <c r="A552" s="373"/>
      <c r="B552" s="373"/>
      <c r="C552" s="373"/>
      <c r="D552" s="373"/>
      <c r="E552" s="373"/>
      <c r="F552" s="373"/>
      <c r="G552" s="373"/>
      <c r="H552" s="373"/>
      <c r="I552" s="373"/>
      <c r="J552" s="373"/>
      <c r="K552" s="373"/>
      <c r="L552" s="373"/>
      <c r="M552" s="373"/>
      <c r="N552" s="373"/>
      <c r="O552" s="373"/>
      <c r="P552" s="373"/>
      <c r="Q552" s="373"/>
      <c r="R552" s="373"/>
      <c r="S552" s="373"/>
      <c r="T552" s="373"/>
      <c r="U552" s="373"/>
      <c r="V552" s="373"/>
      <c r="W552" s="373"/>
      <c r="X552" s="373"/>
    </row>
    <row r="553" spans="1:24" ht="18" x14ac:dyDescent="0.55000000000000004">
      <c r="A553" s="373"/>
      <c r="B553" s="373"/>
      <c r="C553" s="373"/>
      <c r="D553" s="373"/>
      <c r="E553" s="373"/>
      <c r="F553" s="373"/>
      <c r="G553" s="373"/>
      <c r="H553" s="373"/>
      <c r="I553" s="373"/>
      <c r="J553" s="373"/>
      <c r="K553" s="373"/>
      <c r="L553" s="373"/>
      <c r="M553" s="373"/>
      <c r="N553" s="373"/>
      <c r="O553" s="373"/>
      <c r="P553" s="373"/>
      <c r="Q553" s="373"/>
      <c r="R553" s="373"/>
      <c r="S553" s="373"/>
      <c r="T553" s="373"/>
      <c r="U553" s="373"/>
      <c r="V553" s="373"/>
      <c r="W553" s="373"/>
      <c r="X553" s="373"/>
    </row>
    <row r="554" spans="1:24" ht="18" x14ac:dyDescent="0.55000000000000004">
      <c r="A554" s="373"/>
      <c r="B554" s="373"/>
      <c r="C554" s="373"/>
      <c r="D554" s="373"/>
      <c r="E554" s="373"/>
      <c r="F554" s="373"/>
      <c r="G554" s="373"/>
      <c r="H554" s="373"/>
      <c r="I554" s="373"/>
      <c r="J554" s="373"/>
      <c r="K554" s="373"/>
      <c r="L554" s="373"/>
      <c r="M554" s="373"/>
      <c r="N554" s="373"/>
      <c r="O554" s="373"/>
      <c r="P554" s="373"/>
      <c r="Q554" s="373"/>
      <c r="R554" s="373"/>
      <c r="S554" s="373"/>
      <c r="T554" s="373"/>
      <c r="U554" s="373"/>
      <c r="V554" s="373"/>
      <c r="W554" s="373"/>
      <c r="X554" s="373"/>
    </row>
    <row r="555" spans="1:24" ht="18" x14ac:dyDescent="0.55000000000000004">
      <c r="A555" s="373"/>
      <c r="B555" s="373"/>
      <c r="C555" s="373"/>
      <c r="D555" s="373"/>
      <c r="E555" s="373"/>
      <c r="F555" s="373"/>
      <c r="G555" s="373"/>
      <c r="H555" s="373"/>
      <c r="I555" s="373"/>
      <c r="J555" s="373"/>
      <c r="K555" s="373"/>
      <c r="L555" s="373"/>
      <c r="M555" s="373"/>
      <c r="N555" s="373"/>
      <c r="O555" s="373"/>
      <c r="P555" s="373"/>
      <c r="Q555" s="373"/>
      <c r="R555" s="373"/>
      <c r="S555" s="373"/>
      <c r="T555" s="373"/>
      <c r="U555" s="373"/>
      <c r="V555" s="373"/>
      <c r="W555" s="373"/>
      <c r="X555" s="373"/>
    </row>
    <row r="556" spans="1:24" ht="18" x14ac:dyDescent="0.55000000000000004">
      <c r="A556" s="373"/>
      <c r="B556" s="373"/>
      <c r="C556" s="373"/>
      <c r="D556" s="373"/>
      <c r="E556" s="373"/>
      <c r="F556" s="373"/>
      <c r="G556" s="373"/>
      <c r="H556" s="373"/>
      <c r="I556" s="373"/>
      <c r="J556" s="373"/>
      <c r="K556" s="373"/>
      <c r="L556" s="373"/>
      <c r="M556" s="373"/>
      <c r="N556" s="373"/>
      <c r="O556" s="373"/>
      <c r="P556" s="373"/>
      <c r="Q556" s="373"/>
      <c r="R556" s="373"/>
      <c r="S556" s="373"/>
      <c r="T556" s="373"/>
      <c r="U556" s="373"/>
      <c r="V556" s="373"/>
      <c r="W556" s="373"/>
      <c r="X556" s="373"/>
    </row>
    <row r="557" spans="1:24" ht="18" x14ac:dyDescent="0.55000000000000004">
      <c r="A557" s="373"/>
      <c r="B557" s="373"/>
      <c r="C557" s="373"/>
      <c r="D557" s="373"/>
      <c r="E557" s="373"/>
      <c r="F557" s="373"/>
      <c r="G557" s="373"/>
      <c r="H557" s="373"/>
      <c r="I557" s="373"/>
      <c r="J557" s="373"/>
      <c r="K557" s="373"/>
      <c r="L557" s="373"/>
      <c r="M557" s="373"/>
      <c r="N557" s="373"/>
      <c r="O557" s="373"/>
      <c r="P557" s="373"/>
      <c r="Q557" s="373"/>
      <c r="R557" s="373"/>
      <c r="S557" s="373"/>
      <c r="T557" s="373"/>
      <c r="U557" s="373"/>
      <c r="V557" s="373"/>
      <c r="W557" s="373"/>
      <c r="X557" s="373"/>
    </row>
    <row r="558" spans="1:24" ht="18" x14ac:dyDescent="0.55000000000000004">
      <c r="A558" s="373"/>
      <c r="B558" s="373"/>
      <c r="C558" s="373"/>
      <c r="D558" s="373"/>
      <c r="E558" s="373"/>
      <c r="F558" s="373"/>
      <c r="G558" s="373"/>
      <c r="H558" s="373"/>
      <c r="I558" s="373"/>
      <c r="J558" s="373"/>
      <c r="K558" s="373"/>
      <c r="L558" s="373"/>
      <c r="M558" s="373"/>
      <c r="N558" s="373"/>
      <c r="O558" s="373"/>
      <c r="P558" s="373"/>
      <c r="Q558" s="373"/>
      <c r="R558" s="373"/>
      <c r="S558" s="373"/>
      <c r="T558" s="373"/>
      <c r="U558" s="373"/>
      <c r="V558" s="373"/>
      <c r="W558" s="373"/>
      <c r="X558" s="373"/>
    </row>
    <row r="559" spans="1:24" ht="18" x14ac:dyDescent="0.55000000000000004">
      <c r="A559" s="373"/>
      <c r="B559" s="373"/>
      <c r="C559" s="373"/>
      <c r="D559" s="373"/>
      <c r="E559" s="373"/>
      <c r="F559" s="373"/>
      <c r="G559" s="373"/>
      <c r="H559" s="373"/>
      <c r="I559" s="373"/>
      <c r="J559" s="373"/>
      <c r="K559" s="373"/>
      <c r="L559" s="373"/>
      <c r="M559" s="373"/>
      <c r="N559" s="373"/>
      <c r="O559" s="373"/>
      <c r="P559" s="373"/>
      <c r="Q559" s="373"/>
      <c r="R559" s="373"/>
      <c r="S559" s="373"/>
      <c r="T559" s="373"/>
      <c r="U559" s="373"/>
      <c r="V559" s="373"/>
      <c r="W559" s="373"/>
      <c r="X559" s="373"/>
    </row>
    <row r="560" spans="1:24" ht="18" x14ac:dyDescent="0.55000000000000004">
      <c r="A560" s="373"/>
      <c r="B560" s="373"/>
      <c r="C560" s="373"/>
      <c r="D560" s="373"/>
      <c r="E560" s="373"/>
      <c r="F560" s="373"/>
      <c r="G560" s="373"/>
      <c r="H560" s="373"/>
      <c r="I560" s="373"/>
      <c r="J560" s="373"/>
      <c r="K560" s="373"/>
      <c r="L560" s="373"/>
      <c r="M560" s="373"/>
      <c r="N560" s="373"/>
      <c r="O560" s="373"/>
      <c r="P560" s="373"/>
      <c r="Q560" s="373"/>
      <c r="R560" s="373"/>
      <c r="S560" s="373"/>
      <c r="T560" s="373"/>
      <c r="U560" s="373"/>
      <c r="V560" s="373"/>
      <c r="W560" s="373"/>
      <c r="X560" s="373"/>
    </row>
    <row r="561" spans="1:24" ht="18" x14ac:dyDescent="0.55000000000000004">
      <c r="A561" s="373"/>
      <c r="B561" s="373"/>
      <c r="C561" s="373"/>
      <c r="D561" s="373"/>
      <c r="E561" s="373"/>
      <c r="F561" s="373"/>
      <c r="G561" s="373"/>
      <c r="H561" s="373"/>
      <c r="I561" s="373"/>
      <c r="J561" s="373"/>
      <c r="K561" s="373"/>
      <c r="L561" s="373"/>
      <c r="M561" s="373"/>
      <c r="N561" s="373"/>
      <c r="O561" s="373"/>
      <c r="P561" s="373"/>
      <c r="Q561" s="373"/>
      <c r="R561" s="373"/>
      <c r="S561" s="373"/>
      <c r="T561" s="373"/>
      <c r="U561" s="373"/>
      <c r="V561" s="373"/>
      <c r="W561" s="373"/>
      <c r="X561" s="373"/>
    </row>
    <row r="562" spans="1:24" ht="18" x14ac:dyDescent="0.55000000000000004">
      <c r="A562" s="373"/>
      <c r="B562" s="373"/>
      <c r="C562" s="373"/>
      <c r="D562" s="373"/>
      <c r="E562" s="373"/>
      <c r="F562" s="373"/>
      <c r="G562" s="373"/>
      <c r="H562" s="373"/>
      <c r="I562" s="373"/>
      <c r="J562" s="373"/>
      <c r="K562" s="373"/>
      <c r="L562" s="373"/>
      <c r="M562" s="373"/>
      <c r="N562" s="373"/>
      <c r="O562" s="373"/>
      <c r="P562" s="373"/>
      <c r="Q562" s="373"/>
      <c r="R562" s="373"/>
      <c r="S562" s="373"/>
      <c r="T562" s="373"/>
      <c r="U562" s="373"/>
      <c r="V562" s="373"/>
      <c r="W562" s="373"/>
      <c r="X562" s="373"/>
    </row>
    <row r="563" spans="1:24" ht="18" x14ac:dyDescent="0.55000000000000004">
      <c r="A563" s="373"/>
      <c r="B563" s="373"/>
      <c r="C563" s="373"/>
      <c r="D563" s="373"/>
      <c r="E563" s="373"/>
      <c r="F563" s="373"/>
      <c r="G563" s="373"/>
      <c r="H563" s="373"/>
      <c r="I563" s="373"/>
      <c r="J563" s="373"/>
      <c r="K563" s="373"/>
      <c r="L563" s="373"/>
      <c r="M563" s="373"/>
      <c r="N563" s="373"/>
      <c r="O563" s="373"/>
      <c r="P563" s="373"/>
      <c r="Q563" s="373"/>
      <c r="R563" s="373"/>
      <c r="S563" s="373"/>
      <c r="T563" s="373"/>
      <c r="U563" s="373"/>
      <c r="V563" s="373"/>
      <c r="W563" s="373"/>
      <c r="X563" s="373"/>
    </row>
    <row r="564" spans="1:24" ht="18" x14ac:dyDescent="0.55000000000000004">
      <c r="A564" s="373"/>
      <c r="B564" s="373"/>
      <c r="C564" s="373"/>
      <c r="D564" s="373"/>
      <c r="E564" s="373"/>
      <c r="F564" s="373"/>
      <c r="G564" s="373"/>
      <c r="H564" s="373"/>
      <c r="I564" s="373"/>
      <c r="J564" s="373"/>
      <c r="K564" s="373"/>
      <c r="L564" s="373"/>
      <c r="M564" s="373"/>
      <c r="N564" s="373"/>
      <c r="O564" s="373"/>
      <c r="P564" s="373"/>
      <c r="Q564" s="373"/>
      <c r="R564" s="373"/>
      <c r="S564" s="373"/>
      <c r="T564" s="373"/>
      <c r="U564" s="373"/>
      <c r="V564" s="373"/>
      <c r="W564" s="373"/>
      <c r="X564" s="373"/>
    </row>
    <row r="565" spans="1:24" ht="18" x14ac:dyDescent="0.55000000000000004">
      <c r="A565" s="373"/>
      <c r="B565" s="373"/>
      <c r="C565" s="373"/>
      <c r="D565" s="373"/>
      <c r="E565" s="373"/>
      <c r="F565" s="373"/>
      <c r="G565" s="373"/>
      <c r="H565" s="373"/>
      <c r="I565" s="373"/>
      <c r="J565" s="373"/>
      <c r="K565" s="373"/>
      <c r="L565" s="373"/>
      <c r="M565" s="373"/>
      <c r="N565" s="373"/>
      <c r="O565" s="373"/>
      <c r="P565" s="373"/>
      <c r="Q565" s="373"/>
      <c r="R565" s="373"/>
      <c r="S565" s="373"/>
      <c r="T565" s="373"/>
      <c r="U565" s="373"/>
      <c r="V565" s="373"/>
      <c r="W565" s="373"/>
      <c r="X565" s="373"/>
    </row>
    <row r="566" spans="1:24" ht="18" x14ac:dyDescent="0.55000000000000004">
      <c r="A566" s="373"/>
      <c r="B566" s="373"/>
      <c r="C566" s="373"/>
      <c r="D566" s="373"/>
      <c r="E566" s="373"/>
      <c r="F566" s="373"/>
      <c r="G566" s="373"/>
      <c r="H566" s="373"/>
      <c r="I566" s="373"/>
      <c r="J566" s="373"/>
      <c r="K566" s="373"/>
      <c r="L566" s="373"/>
      <c r="M566" s="373"/>
      <c r="N566" s="373"/>
      <c r="O566" s="373"/>
      <c r="P566" s="373"/>
      <c r="Q566" s="373"/>
      <c r="R566" s="373"/>
      <c r="S566" s="373"/>
      <c r="T566" s="373"/>
      <c r="U566" s="373"/>
      <c r="V566" s="373"/>
      <c r="W566" s="373"/>
      <c r="X566" s="373"/>
    </row>
    <row r="567" spans="1:24" ht="18" x14ac:dyDescent="0.55000000000000004">
      <c r="A567" s="373"/>
      <c r="B567" s="373"/>
      <c r="C567" s="373"/>
      <c r="D567" s="373"/>
      <c r="E567" s="373"/>
      <c r="F567" s="373"/>
      <c r="G567" s="373"/>
      <c r="H567" s="373"/>
      <c r="I567" s="373"/>
      <c r="J567" s="373"/>
      <c r="K567" s="373"/>
      <c r="L567" s="373"/>
      <c r="M567" s="373"/>
      <c r="N567" s="373"/>
      <c r="O567" s="373"/>
      <c r="P567" s="373"/>
      <c r="Q567" s="373"/>
      <c r="R567" s="373"/>
      <c r="S567" s="373"/>
      <c r="T567" s="373"/>
      <c r="U567" s="373"/>
      <c r="V567" s="373"/>
      <c r="W567" s="373"/>
      <c r="X567" s="373"/>
    </row>
    <row r="568" spans="1:24" ht="18" x14ac:dyDescent="0.55000000000000004">
      <c r="A568" s="373"/>
      <c r="B568" s="373"/>
      <c r="C568" s="373"/>
      <c r="D568" s="373"/>
      <c r="E568" s="373"/>
      <c r="F568" s="373"/>
      <c r="G568" s="373"/>
      <c r="H568" s="373"/>
      <c r="I568" s="373"/>
      <c r="J568" s="373"/>
      <c r="K568" s="373"/>
      <c r="L568" s="373"/>
      <c r="M568" s="373"/>
      <c r="N568" s="373"/>
      <c r="O568" s="373"/>
      <c r="P568" s="373"/>
      <c r="Q568" s="373"/>
      <c r="R568" s="373"/>
      <c r="S568" s="373"/>
      <c r="T568" s="373"/>
      <c r="U568" s="373"/>
      <c r="V568" s="373"/>
      <c r="W568" s="373"/>
      <c r="X568" s="373"/>
    </row>
    <row r="569" spans="1:24" ht="18" x14ac:dyDescent="0.55000000000000004">
      <c r="A569" s="373"/>
      <c r="B569" s="373"/>
      <c r="C569" s="373"/>
      <c r="D569" s="373"/>
      <c r="E569" s="373"/>
      <c r="F569" s="373"/>
      <c r="G569" s="373"/>
      <c r="H569" s="373"/>
      <c r="I569" s="373"/>
      <c r="J569" s="373"/>
      <c r="K569" s="373"/>
      <c r="L569" s="373"/>
      <c r="M569" s="373"/>
      <c r="N569" s="373"/>
      <c r="O569" s="373"/>
      <c r="P569" s="373"/>
      <c r="Q569" s="373"/>
      <c r="R569" s="373"/>
      <c r="S569" s="373"/>
      <c r="T569" s="373"/>
      <c r="U569" s="373"/>
      <c r="V569" s="373"/>
      <c r="W569" s="373"/>
      <c r="X569" s="373"/>
    </row>
    <row r="570" spans="1:24" ht="18" x14ac:dyDescent="0.55000000000000004">
      <c r="A570" s="373"/>
      <c r="B570" s="373"/>
      <c r="C570" s="373"/>
      <c r="D570" s="373"/>
      <c r="E570" s="373"/>
      <c r="F570" s="373"/>
      <c r="G570" s="373"/>
      <c r="H570" s="373"/>
      <c r="I570" s="373"/>
      <c r="J570" s="373"/>
      <c r="K570" s="373"/>
      <c r="L570" s="373"/>
      <c r="M570" s="373"/>
      <c r="N570" s="373"/>
      <c r="O570" s="373"/>
      <c r="P570" s="373"/>
      <c r="Q570" s="373"/>
      <c r="R570" s="373"/>
      <c r="S570" s="373"/>
      <c r="T570" s="373"/>
      <c r="U570" s="373"/>
      <c r="V570" s="373"/>
      <c r="W570" s="373"/>
      <c r="X570" s="373"/>
    </row>
    <row r="571" spans="1:24" ht="18" x14ac:dyDescent="0.55000000000000004">
      <c r="A571" s="373"/>
      <c r="B571" s="373"/>
      <c r="C571" s="373"/>
      <c r="D571" s="373"/>
      <c r="E571" s="373"/>
      <c r="F571" s="373"/>
      <c r="G571" s="373"/>
      <c r="H571" s="373"/>
      <c r="I571" s="373"/>
      <c r="J571" s="373"/>
      <c r="K571" s="373"/>
      <c r="L571" s="373"/>
      <c r="M571" s="373"/>
      <c r="N571" s="373"/>
      <c r="O571" s="373"/>
      <c r="P571" s="373"/>
      <c r="Q571" s="373"/>
      <c r="R571" s="373"/>
      <c r="S571" s="373"/>
      <c r="T571" s="373"/>
      <c r="U571" s="373"/>
      <c r="V571" s="373"/>
      <c r="W571" s="373"/>
      <c r="X571" s="373"/>
    </row>
    <row r="572" spans="1:24" ht="18" x14ac:dyDescent="0.55000000000000004">
      <c r="A572" s="373"/>
      <c r="B572" s="373"/>
      <c r="C572" s="373"/>
      <c r="D572" s="373"/>
      <c r="E572" s="373"/>
      <c r="F572" s="373"/>
      <c r="G572" s="373"/>
      <c r="H572" s="373"/>
      <c r="I572" s="373"/>
      <c r="J572" s="373"/>
      <c r="K572" s="373"/>
      <c r="L572" s="373"/>
      <c r="M572" s="373"/>
      <c r="N572" s="373"/>
      <c r="O572" s="373"/>
      <c r="P572" s="373"/>
      <c r="Q572" s="373"/>
      <c r="R572" s="373"/>
      <c r="S572" s="373"/>
      <c r="T572" s="373"/>
      <c r="U572" s="373"/>
      <c r="V572" s="373"/>
      <c r="W572" s="373"/>
      <c r="X572" s="373"/>
    </row>
    <row r="573" spans="1:24" ht="18" x14ac:dyDescent="0.55000000000000004">
      <c r="A573" s="373"/>
      <c r="B573" s="373"/>
      <c r="C573" s="373"/>
      <c r="D573" s="373"/>
      <c r="E573" s="373"/>
      <c r="F573" s="373"/>
      <c r="G573" s="373"/>
      <c r="H573" s="373"/>
      <c r="I573" s="373"/>
      <c r="J573" s="373"/>
      <c r="K573" s="373"/>
      <c r="L573" s="373"/>
      <c r="M573" s="373"/>
      <c r="N573" s="373"/>
      <c r="O573" s="373"/>
      <c r="P573" s="373"/>
      <c r="Q573" s="373"/>
      <c r="R573" s="373"/>
      <c r="S573" s="373"/>
      <c r="T573" s="373"/>
      <c r="U573" s="373"/>
      <c r="V573" s="373"/>
      <c r="W573" s="373"/>
      <c r="X573" s="373"/>
    </row>
    <row r="574" spans="1:24" ht="18" x14ac:dyDescent="0.55000000000000004">
      <c r="A574" s="373"/>
      <c r="B574" s="373"/>
      <c r="C574" s="373"/>
      <c r="D574" s="373"/>
      <c r="E574" s="373"/>
      <c r="F574" s="373"/>
      <c r="G574" s="373"/>
      <c r="H574" s="373"/>
      <c r="I574" s="373"/>
      <c r="J574" s="373"/>
      <c r="K574" s="373"/>
      <c r="L574" s="373"/>
      <c r="M574" s="373"/>
      <c r="N574" s="373"/>
      <c r="O574" s="373"/>
      <c r="P574" s="373"/>
      <c r="Q574" s="373"/>
      <c r="R574" s="373"/>
      <c r="S574" s="373"/>
      <c r="T574" s="373"/>
      <c r="U574" s="373"/>
      <c r="V574" s="373"/>
      <c r="W574" s="373"/>
      <c r="X574" s="373"/>
    </row>
    <row r="575" spans="1:24" ht="18" x14ac:dyDescent="0.55000000000000004">
      <c r="A575" s="373"/>
      <c r="B575" s="373"/>
      <c r="C575" s="373"/>
      <c r="D575" s="373"/>
      <c r="E575" s="373"/>
      <c r="F575" s="373"/>
      <c r="G575" s="373"/>
      <c r="H575" s="373"/>
      <c r="I575" s="373"/>
      <c r="J575" s="373"/>
      <c r="K575" s="373"/>
      <c r="L575" s="373"/>
      <c r="M575" s="373"/>
      <c r="N575" s="373"/>
      <c r="O575" s="373"/>
      <c r="P575" s="373"/>
      <c r="Q575" s="373"/>
      <c r="R575" s="373"/>
      <c r="S575" s="373"/>
      <c r="T575" s="373"/>
      <c r="U575" s="373"/>
      <c r="V575" s="373"/>
      <c r="W575" s="373"/>
      <c r="X575" s="373"/>
    </row>
    <row r="576" spans="1:24" ht="18" x14ac:dyDescent="0.55000000000000004">
      <c r="A576" s="373"/>
      <c r="B576" s="373"/>
      <c r="C576" s="373"/>
      <c r="D576" s="373"/>
      <c r="E576" s="373"/>
      <c r="F576" s="373"/>
      <c r="G576" s="373"/>
      <c r="H576" s="373"/>
      <c r="I576" s="373"/>
      <c r="J576" s="373"/>
      <c r="K576" s="373"/>
      <c r="L576" s="373"/>
      <c r="M576" s="373"/>
      <c r="N576" s="373"/>
      <c r="O576" s="373"/>
      <c r="P576" s="373"/>
      <c r="Q576" s="373"/>
      <c r="R576" s="373"/>
      <c r="S576" s="373"/>
      <c r="T576" s="373"/>
      <c r="U576" s="373"/>
      <c r="V576" s="373"/>
      <c r="W576" s="373"/>
      <c r="X576" s="373"/>
    </row>
    <row r="577" spans="1:24" ht="18" x14ac:dyDescent="0.55000000000000004">
      <c r="A577" s="373"/>
      <c r="B577" s="373"/>
      <c r="C577" s="373"/>
      <c r="D577" s="373"/>
      <c r="E577" s="373"/>
      <c r="F577" s="373"/>
      <c r="G577" s="373"/>
      <c r="H577" s="373"/>
      <c r="I577" s="373"/>
      <c r="J577" s="373"/>
      <c r="K577" s="373"/>
      <c r="L577" s="373"/>
      <c r="M577" s="373"/>
      <c r="N577" s="373"/>
      <c r="O577" s="373"/>
      <c r="P577" s="373"/>
      <c r="Q577" s="373"/>
      <c r="R577" s="373"/>
      <c r="S577" s="373"/>
      <c r="T577" s="373"/>
      <c r="U577" s="373"/>
      <c r="V577" s="373"/>
      <c r="W577" s="373"/>
      <c r="X577" s="373"/>
    </row>
    <row r="578" spans="1:24" ht="18" x14ac:dyDescent="0.55000000000000004">
      <c r="A578" s="373"/>
      <c r="B578" s="373"/>
      <c r="C578" s="373"/>
      <c r="D578" s="373"/>
      <c r="E578" s="373"/>
      <c r="F578" s="373"/>
      <c r="G578" s="373"/>
      <c r="H578" s="373"/>
      <c r="I578" s="373"/>
      <c r="J578" s="373"/>
      <c r="K578" s="373"/>
      <c r="L578" s="373"/>
      <c r="M578" s="373"/>
      <c r="N578" s="373"/>
      <c r="O578" s="373"/>
      <c r="P578" s="373"/>
      <c r="Q578" s="373"/>
      <c r="R578" s="373"/>
      <c r="S578" s="373"/>
      <c r="T578" s="373"/>
      <c r="U578" s="373"/>
      <c r="V578" s="373"/>
      <c r="W578" s="373"/>
      <c r="X578" s="373"/>
    </row>
    <row r="579" spans="1:24" ht="18" x14ac:dyDescent="0.55000000000000004">
      <c r="A579" s="373"/>
      <c r="B579" s="373"/>
      <c r="C579" s="373"/>
      <c r="D579" s="373"/>
      <c r="E579" s="373"/>
      <c r="F579" s="373"/>
      <c r="G579" s="373"/>
      <c r="H579" s="373"/>
      <c r="I579" s="373"/>
      <c r="J579" s="373"/>
      <c r="K579" s="373"/>
      <c r="L579" s="373"/>
      <c r="M579" s="373"/>
      <c r="N579" s="373"/>
      <c r="O579" s="373"/>
      <c r="P579" s="373"/>
      <c r="Q579" s="373"/>
      <c r="R579" s="373"/>
      <c r="S579" s="373"/>
      <c r="T579" s="373"/>
      <c r="U579" s="373"/>
      <c r="V579" s="373"/>
      <c r="W579" s="373"/>
      <c r="X579" s="373"/>
    </row>
    <row r="580" spans="1:24" ht="18" x14ac:dyDescent="0.55000000000000004">
      <c r="A580" s="373"/>
      <c r="B580" s="373"/>
      <c r="C580" s="373"/>
      <c r="D580" s="373"/>
      <c r="E580" s="373"/>
      <c r="F580" s="373"/>
      <c r="G580" s="373"/>
      <c r="H580" s="373"/>
      <c r="I580" s="373"/>
      <c r="J580" s="373"/>
      <c r="K580" s="373"/>
      <c r="L580" s="373"/>
      <c r="M580" s="373"/>
      <c r="N580" s="373"/>
      <c r="O580" s="373"/>
      <c r="P580" s="373"/>
      <c r="Q580" s="373"/>
      <c r="R580" s="373"/>
      <c r="S580" s="373"/>
      <c r="T580" s="373"/>
      <c r="U580" s="373"/>
      <c r="V580" s="373"/>
      <c r="W580" s="373"/>
      <c r="X580" s="373"/>
    </row>
    <row r="581" spans="1:24" ht="18" x14ac:dyDescent="0.55000000000000004">
      <c r="A581" s="373"/>
      <c r="B581" s="373"/>
      <c r="C581" s="373"/>
      <c r="D581" s="373"/>
      <c r="E581" s="373"/>
      <c r="F581" s="373"/>
      <c r="G581" s="373"/>
      <c r="H581" s="373"/>
      <c r="I581" s="373"/>
      <c r="J581" s="373"/>
      <c r="K581" s="373"/>
      <c r="L581" s="373"/>
      <c r="M581" s="373"/>
      <c r="N581" s="373"/>
      <c r="O581" s="373"/>
      <c r="P581" s="373"/>
      <c r="Q581" s="373"/>
      <c r="R581" s="373"/>
      <c r="S581" s="373"/>
      <c r="T581" s="373"/>
      <c r="U581" s="373"/>
      <c r="V581" s="373"/>
      <c r="W581" s="373"/>
      <c r="X581" s="373"/>
    </row>
    <row r="582" spans="1:24" ht="18" x14ac:dyDescent="0.55000000000000004">
      <c r="A582" s="373"/>
      <c r="B582" s="373"/>
      <c r="C582" s="373"/>
      <c r="D582" s="373"/>
      <c r="E582" s="373"/>
      <c r="F582" s="373"/>
      <c r="G582" s="373"/>
      <c r="H582" s="373"/>
      <c r="I582" s="373"/>
      <c r="J582" s="373"/>
      <c r="K582" s="373"/>
      <c r="L582" s="373"/>
      <c r="M582" s="373"/>
      <c r="N582" s="373"/>
      <c r="O582" s="373"/>
      <c r="P582" s="373"/>
      <c r="Q582" s="373"/>
      <c r="R582" s="373"/>
      <c r="S582" s="373"/>
      <c r="T582" s="373"/>
      <c r="U582" s="373"/>
      <c r="V582" s="373"/>
      <c r="W582" s="373"/>
      <c r="X582" s="373"/>
    </row>
    <row r="583" spans="1:24" ht="18" x14ac:dyDescent="0.55000000000000004">
      <c r="A583" s="373"/>
      <c r="B583" s="373"/>
      <c r="C583" s="373"/>
      <c r="D583" s="373"/>
      <c r="E583" s="373"/>
      <c r="F583" s="373"/>
      <c r="G583" s="373"/>
      <c r="H583" s="373"/>
      <c r="I583" s="373"/>
      <c r="J583" s="373"/>
      <c r="K583" s="373"/>
      <c r="L583" s="373"/>
      <c r="M583" s="373"/>
      <c r="N583" s="373"/>
      <c r="O583" s="373"/>
      <c r="P583" s="373"/>
      <c r="Q583" s="373"/>
      <c r="R583" s="373"/>
      <c r="S583" s="373"/>
      <c r="T583" s="373"/>
      <c r="U583" s="373"/>
      <c r="V583" s="373"/>
      <c r="W583" s="373"/>
      <c r="X583" s="373"/>
    </row>
    <row r="584" spans="1:24" ht="18" x14ac:dyDescent="0.55000000000000004">
      <c r="A584" s="373"/>
      <c r="B584" s="373"/>
      <c r="C584" s="373"/>
      <c r="D584" s="373"/>
      <c r="E584" s="373"/>
      <c r="F584" s="373"/>
      <c r="G584" s="373"/>
      <c r="H584" s="373"/>
      <c r="I584" s="373"/>
      <c r="J584" s="373"/>
      <c r="K584" s="373"/>
      <c r="L584" s="373"/>
      <c r="M584" s="373"/>
      <c r="N584" s="373"/>
      <c r="O584" s="373"/>
      <c r="P584" s="373"/>
      <c r="Q584" s="373"/>
      <c r="R584" s="373"/>
      <c r="S584" s="373"/>
      <c r="T584" s="373"/>
      <c r="U584" s="373"/>
      <c r="V584" s="373"/>
      <c r="W584" s="373"/>
      <c r="X584" s="373"/>
    </row>
    <row r="585" spans="1:24" ht="18" x14ac:dyDescent="0.55000000000000004">
      <c r="A585" s="373"/>
      <c r="B585" s="373"/>
      <c r="C585" s="373"/>
      <c r="D585" s="373"/>
      <c r="E585" s="373"/>
      <c r="F585" s="373"/>
      <c r="G585" s="373"/>
      <c r="H585" s="373"/>
      <c r="I585" s="373"/>
      <c r="J585" s="373"/>
      <c r="K585" s="373"/>
      <c r="L585" s="373"/>
      <c r="M585" s="373"/>
      <c r="N585" s="373"/>
      <c r="O585" s="373"/>
      <c r="P585" s="373"/>
      <c r="Q585" s="373"/>
      <c r="R585" s="373"/>
      <c r="S585" s="373"/>
      <c r="T585" s="373"/>
      <c r="U585" s="373"/>
      <c r="V585" s="373"/>
      <c r="W585" s="373"/>
      <c r="X585" s="373"/>
    </row>
    <row r="586" spans="1:24" ht="18" x14ac:dyDescent="0.55000000000000004">
      <c r="A586" s="373"/>
      <c r="B586" s="373"/>
      <c r="C586" s="373"/>
      <c r="D586" s="373"/>
      <c r="E586" s="373"/>
      <c r="F586" s="373"/>
      <c r="G586" s="373"/>
      <c r="H586" s="373"/>
      <c r="I586" s="373"/>
      <c r="J586" s="373"/>
      <c r="K586" s="373"/>
      <c r="L586" s="373"/>
      <c r="M586" s="373"/>
      <c r="N586" s="373"/>
      <c r="O586" s="373"/>
      <c r="P586" s="373"/>
      <c r="Q586" s="373"/>
      <c r="R586" s="373"/>
      <c r="S586" s="373"/>
      <c r="T586" s="373"/>
      <c r="U586" s="373"/>
      <c r="V586" s="373"/>
      <c r="W586" s="373"/>
      <c r="X586" s="373"/>
    </row>
    <row r="587" spans="1:24" ht="18" x14ac:dyDescent="0.55000000000000004">
      <c r="A587" s="373"/>
      <c r="B587" s="373"/>
      <c r="C587" s="373"/>
      <c r="D587" s="373"/>
      <c r="E587" s="373"/>
      <c r="F587" s="373"/>
      <c r="G587" s="373"/>
      <c r="H587" s="373"/>
      <c r="I587" s="373"/>
      <c r="J587" s="373"/>
      <c r="K587" s="373"/>
      <c r="L587" s="373"/>
      <c r="M587" s="373"/>
      <c r="N587" s="373"/>
      <c r="O587" s="373"/>
      <c r="P587" s="373"/>
      <c r="Q587" s="373"/>
      <c r="R587" s="373"/>
      <c r="S587" s="373"/>
      <c r="T587" s="373"/>
      <c r="U587" s="373"/>
      <c r="V587" s="373"/>
      <c r="W587" s="373"/>
      <c r="X587" s="373"/>
    </row>
    <row r="588" spans="1:24" ht="18" x14ac:dyDescent="0.55000000000000004">
      <c r="A588" s="373"/>
      <c r="B588" s="373"/>
      <c r="C588" s="373"/>
      <c r="D588" s="373"/>
      <c r="E588" s="373"/>
      <c r="F588" s="373"/>
      <c r="G588" s="373"/>
      <c r="H588" s="373"/>
      <c r="I588" s="373"/>
      <c r="J588" s="373"/>
      <c r="K588" s="373"/>
      <c r="L588" s="373"/>
      <c r="M588" s="373"/>
      <c r="N588" s="373"/>
      <c r="O588" s="373"/>
      <c r="P588" s="373"/>
      <c r="Q588" s="373"/>
      <c r="R588" s="373"/>
      <c r="S588" s="373"/>
      <c r="T588" s="373"/>
      <c r="U588" s="373"/>
      <c r="V588" s="373"/>
      <c r="W588" s="373"/>
      <c r="X588" s="373"/>
    </row>
    <row r="589" spans="1:24" ht="18" x14ac:dyDescent="0.55000000000000004">
      <c r="A589" s="373"/>
      <c r="B589" s="373"/>
      <c r="C589" s="373"/>
      <c r="D589" s="373"/>
      <c r="E589" s="373"/>
      <c r="F589" s="373"/>
      <c r="G589" s="373"/>
      <c r="H589" s="373"/>
      <c r="I589" s="373"/>
      <c r="J589" s="373"/>
      <c r="K589" s="373"/>
      <c r="L589" s="373"/>
      <c r="M589" s="373"/>
      <c r="N589" s="373"/>
      <c r="O589" s="373"/>
      <c r="P589" s="373"/>
      <c r="Q589" s="373"/>
      <c r="R589" s="373"/>
      <c r="S589" s="373"/>
      <c r="T589" s="373"/>
      <c r="U589" s="373"/>
      <c r="V589" s="373"/>
      <c r="W589" s="373"/>
      <c r="X589" s="373"/>
    </row>
    <row r="590" spans="1:24" ht="18" x14ac:dyDescent="0.55000000000000004">
      <c r="A590" s="373"/>
      <c r="B590" s="373"/>
      <c r="C590" s="373"/>
      <c r="D590" s="373"/>
      <c r="E590" s="373"/>
      <c r="F590" s="373"/>
      <c r="G590" s="373"/>
      <c r="H590" s="373"/>
      <c r="I590" s="373"/>
      <c r="J590" s="373"/>
      <c r="K590" s="373"/>
      <c r="L590" s="373"/>
      <c r="M590" s="373"/>
      <c r="N590" s="373"/>
      <c r="O590" s="373"/>
      <c r="P590" s="373"/>
      <c r="Q590" s="373"/>
      <c r="R590" s="373"/>
      <c r="S590" s="373"/>
      <c r="T590" s="373"/>
      <c r="U590" s="373"/>
      <c r="V590" s="373"/>
      <c r="W590" s="373"/>
      <c r="X590" s="373"/>
    </row>
    <row r="591" spans="1:24" ht="18" x14ac:dyDescent="0.55000000000000004">
      <c r="A591" s="373"/>
      <c r="B591" s="373"/>
      <c r="C591" s="373"/>
      <c r="D591" s="373"/>
      <c r="E591" s="373"/>
      <c r="F591" s="373"/>
      <c r="G591" s="373"/>
      <c r="H591" s="373"/>
      <c r="I591" s="373"/>
      <c r="J591" s="373"/>
      <c r="K591" s="373"/>
      <c r="L591" s="373"/>
      <c r="M591" s="373"/>
      <c r="N591" s="373"/>
      <c r="O591" s="373"/>
      <c r="P591" s="373"/>
      <c r="Q591" s="373"/>
      <c r="R591" s="373"/>
      <c r="S591" s="373"/>
      <c r="T591" s="373"/>
      <c r="U591" s="373"/>
      <c r="V591" s="373"/>
      <c r="W591" s="373"/>
      <c r="X591" s="373"/>
    </row>
    <row r="592" spans="1:24" ht="18" x14ac:dyDescent="0.55000000000000004">
      <c r="A592" s="373"/>
      <c r="B592" s="373"/>
      <c r="C592" s="373"/>
      <c r="D592" s="373"/>
      <c r="E592" s="373"/>
      <c r="F592" s="373"/>
      <c r="G592" s="373"/>
      <c r="H592" s="373"/>
      <c r="I592" s="373"/>
      <c r="J592" s="373"/>
      <c r="K592" s="373"/>
      <c r="L592" s="373"/>
      <c r="M592" s="373"/>
      <c r="N592" s="373"/>
      <c r="O592" s="373"/>
      <c r="P592" s="373"/>
      <c r="Q592" s="373"/>
      <c r="R592" s="373"/>
      <c r="S592" s="373"/>
      <c r="T592" s="373"/>
      <c r="U592" s="373"/>
      <c r="V592" s="373"/>
      <c r="W592" s="373"/>
      <c r="X592" s="373"/>
    </row>
    <row r="593" spans="1:24" ht="18" x14ac:dyDescent="0.55000000000000004">
      <c r="A593" s="373"/>
      <c r="B593" s="373"/>
      <c r="C593" s="373"/>
      <c r="D593" s="373"/>
      <c r="E593" s="373"/>
      <c r="F593" s="373"/>
      <c r="G593" s="373"/>
      <c r="H593" s="373"/>
      <c r="I593" s="373"/>
      <c r="J593" s="373"/>
      <c r="K593" s="373"/>
      <c r="L593" s="373"/>
      <c r="M593" s="373"/>
      <c r="N593" s="373"/>
      <c r="O593" s="373"/>
      <c r="P593" s="373"/>
      <c r="Q593" s="373"/>
      <c r="R593" s="373"/>
      <c r="S593" s="373"/>
      <c r="T593" s="373"/>
      <c r="U593" s="373"/>
      <c r="V593" s="373"/>
      <c r="W593" s="373"/>
      <c r="X593" s="373"/>
    </row>
    <row r="594" spans="1:24" ht="18" x14ac:dyDescent="0.55000000000000004">
      <c r="A594" s="373"/>
      <c r="B594" s="373"/>
      <c r="C594" s="373"/>
      <c r="D594" s="373"/>
      <c r="E594" s="373"/>
      <c r="F594" s="373"/>
      <c r="G594" s="373"/>
      <c r="H594" s="373"/>
      <c r="I594" s="373"/>
      <c r="J594" s="373"/>
      <c r="K594" s="373"/>
      <c r="L594" s="373"/>
      <c r="M594" s="373"/>
      <c r="N594" s="373"/>
      <c r="O594" s="373"/>
      <c r="P594" s="373"/>
      <c r="Q594" s="373"/>
      <c r="R594" s="373"/>
      <c r="S594" s="373"/>
      <c r="T594" s="373"/>
      <c r="U594" s="373"/>
      <c r="V594" s="373"/>
      <c r="W594" s="373"/>
      <c r="X594" s="373"/>
    </row>
    <row r="595" spans="1:24" ht="18" x14ac:dyDescent="0.55000000000000004">
      <c r="A595" s="373"/>
      <c r="B595" s="373"/>
      <c r="C595" s="373"/>
      <c r="D595" s="373"/>
      <c r="E595" s="373"/>
      <c r="F595" s="373"/>
      <c r="G595" s="373"/>
      <c r="H595" s="373"/>
      <c r="I595" s="373"/>
      <c r="J595" s="373"/>
      <c r="K595" s="373"/>
      <c r="L595" s="373"/>
      <c r="M595" s="373"/>
      <c r="N595" s="373"/>
      <c r="O595" s="373"/>
      <c r="P595" s="373"/>
      <c r="Q595" s="373"/>
      <c r="R595" s="373"/>
      <c r="S595" s="373"/>
      <c r="T595" s="373"/>
      <c r="U595" s="373"/>
      <c r="V595" s="373"/>
      <c r="W595" s="373"/>
      <c r="X595" s="373"/>
    </row>
    <row r="596" spans="1:24" ht="18" x14ac:dyDescent="0.55000000000000004">
      <c r="A596" s="373"/>
      <c r="B596" s="373"/>
      <c r="C596" s="373"/>
      <c r="D596" s="373"/>
      <c r="E596" s="373"/>
      <c r="F596" s="373"/>
      <c r="G596" s="373"/>
      <c r="H596" s="373"/>
      <c r="I596" s="373"/>
      <c r="J596" s="373"/>
      <c r="K596" s="373"/>
      <c r="L596" s="373"/>
      <c r="M596" s="373"/>
      <c r="N596" s="373"/>
      <c r="O596" s="373"/>
      <c r="P596" s="373"/>
      <c r="Q596" s="373"/>
      <c r="R596" s="373"/>
      <c r="S596" s="373"/>
      <c r="T596" s="373"/>
      <c r="U596" s="373"/>
      <c r="V596" s="373"/>
      <c r="W596" s="373"/>
      <c r="X596" s="373"/>
    </row>
    <row r="597" spans="1:24" ht="18" x14ac:dyDescent="0.55000000000000004">
      <c r="A597" s="373"/>
      <c r="B597" s="373"/>
      <c r="C597" s="373"/>
      <c r="D597" s="373"/>
      <c r="E597" s="373"/>
      <c r="F597" s="373"/>
      <c r="G597" s="373"/>
      <c r="H597" s="373"/>
      <c r="I597" s="373"/>
      <c r="J597" s="373"/>
      <c r="K597" s="373"/>
      <c r="L597" s="373"/>
      <c r="M597" s="373"/>
      <c r="N597" s="373"/>
      <c r="O597" s="373"/>
      <c r="P597" s="373"/>
      <c r="Q597" s="373"/>
      <c r="R597" s="373"/>
      <c r="S597" s="373"/>
      <c r="T597" s="373"/>
      <c r="U597" s="373"/>
      <c r="V597" s="373"/>
      <c r="W597" s="373"/>
      <c r="X597" s="373"/>
    </row>
    <row r="598" spans="1:24" ht="18" x14ac:dyDescent="0.55000000000000004">
      <c r="A598" s="373"/>
      <c r="B598" s="373"/>
      <c r="C598" s="373"/>
      <c r="D598" s="373"/>
      <c r="E598" s="373"/>
      <c r="F598" s="373"/>
      <c r="G598" s="373"/>
      <c r="H598" s="373"/>
      <c r="I598" s="373"/>
      <c r="J598" s="373"/>
      <c r="K598" s="373"/>
      <c r="L598" s="373"/>
      <c r="M598" s="373"/>
      <c r="N598" s="373"/>
      <c r="O598" s="373"/>
      <c r="P598" s="373"/>
      <c r="Q598" s="373"/>
      <c r="R598" s="373"/>
      <c r="S598" s="373"/>
      <c r="T598" s="373"/>
      <c r="U598" s="373"/>
      <c r="V598" s="373"/>
      <c r="W598" s="373"/>
      <c r="X598" s="373"/>
    </row>
    <row r="599" spans="1:24" ht="18" x14ac:dyDescent="0.55000000000000004">
      <c r="A599" s="373"/>
      <c r="B599" s="373"/>
      <c r="C599" s="373"/>
      <c r="D599" s="373"/>
      <c r="E599" s="373"/>
      <c r="F599" s="373"/>
      <c r="G599" s="373"/>
      <c r="H599" s="373"/>
      <c r="I599" s="373"/>
      <c r="J599" s="373"/>
      <c r="K599" s="373"/>
      <c r="L599" s="373"/>
      <c r="M599" s="373"/>
      <c r="N599" s="373"/>
      <c r="O599" s="373"/>
      <c r="P599" s="373"/>
      <c r="Q599" s="373"/>
      <c r="R599" s="373"/>
      <c r="S599" s="373"/>
      <c r="T599" s="373"/>
      <c r="U599" s="373"/>
      <c r="V599" s="373"/>
      <c r="W599" s="373"/>
      <c r="X599" s="373"/>
    </row>
    <row r="600" spans="1:24" ht="18" x14ac:dyDescent="0.55000000000000004">
      <c r="A600" s="373"/>
      <c r="B600" s="373"/>
      <c r="C600" s="373"/>
      <c r="D600" s="373"/>
      <c r="E600" s="373"/>
      <c r="F600" s="373"/>
      <c r="G600" s="373"/>
      <c r="H600" s="373"/>
      <c r="I600" s="373"/>
      <c r="J600" s="373"/>
      <c r="K600" s="373"/>
      <c r="L600" s="373"/>
      <c r="M600" s="373"/>
      <c r="N600" s="373"/>
      <c r="O600" s="373"/>
      <c r="P600" s="373"/>
      <c r="Q600" s="373"/>
      <c r="R600" s="373"/>
      <c r="S600" s="373"/>
      <c r="T600" s="373"/>
      <c r="U600" s="373"/>
      <c r="V600" s="373"/>
      <c r="W600" s="373"/>
      <c r="X600" s="373"/>
    </row>
    <row r="601" spans="1:24" ht="18" x14ac:dyDescent="0.55000000000000004">
      <c r="A601" s="373"/>
      <c r="B601" s="373"/>
      <c r="C601" s="373"/>
      <c r="D601" s="373"/>
      <c r="E601" s="373"/>
      <c r="F601" s="373"/>
      <c r="G601" s="373"/>
      <c r="H601" s="373"/>
      <c r="I601" s="373"/>
      <c r="J601" s="373"/>
      <c r="K601" s="373"/>
      <c r="L601" s="373"/>
      <c r="M601" s="373"/>
      <c r="N601" s="373"/>
      <c r="O601" s="373"/>
      <c r="P601" s="373"/>
      <c r="Q601" s="373"/>
      <c r="R601" s="373"/>
      <c r="S601" s="373"/>
      <c r="T601" s="373"/>
      <c r="U601" s="373"/>
      <c r="V601" s="373"/>
      <c r="W601" s="373"/>
      <c r="X601" s="373"/>
    </row>
    <row r="602" spans="1:24" ht="18" x14ac:dyDescent="0.55000000000000004">
      <c r="A602" s="373"/>
      <c r="B602" s="373"/>
      <c r="C602" s="373"/>
      <c r="D602" s="373"/>
      <c r="E602" s="373"/>
      <c r="F602" s="373"/>
      <c r="G602" s="373"/>
      <c r="H602" s="373"/>
      <c r="I602" s="373"/>
      <c r="J602" s="373"/>
      <c r="K602" s="373"/>
      <c r="L602" s="373"/>
      <c r="M602" s="373"/>
      <c r="N602" s="373"/>
      <c r="O602" s="373"/>
      <c r="P602" s="373"/>
      <c r="Q602" s="373"/>
      <c r="R602" s="373"/>
      <c r="S602" s="373"/>
      <c r="T602" s="373"/>
      <c r="U602" s="373"/>
      <c r="V602" s="373"/>
      <c r="W602" s="373"/>
      <c r="X602" s="373"/>
    </row>
    <row r="603" spans="1:24" ht="18" x14ac:dyDescent="0.55000000000000004">
      <c r="A603" s="373"/>
      <c r="B603" s="373"/>
      <c r="C603" s="373"/>
      <c r="D603" s="373"/>
      <c r="E603" s="373"/>
      <c r="F603" s="373"/>
      <c r="G603" s="373"/>
      <c r="H603" s="373"/>
      <c r="I603" s="373"/>
      <c r="J603" s="373"/>
      <c r="K603" s="373"/>
      <c r="L603" s="373"/>
      <c r="M603" s="373"/>
      <c r="N603" s="373"/>
      <c r="O603" s="373"/>
      <c r="P603" s="373"/>
      <c r="Q603" s="373"/>
      <c r="R603" s="373"/>
      <c r="S603" s="373"/>
      <c r="T603" s="373"/>
      <c r="U603" s="373"/>
      <c r="V603" s="373"/>
      <c r="W603" s="373"/>
      <c r="X603" s="373"/>
    </row>
    <row r="604" spans="1:24" ht="18" x14ac:dyDescent="0.55000000000000004">
      <c r="A604" s="373"/>
      <c r="B604" s="373"/>
      <c r="C604" s="373"/>
      <c r="D604" s="373"/>
      <c r="E604" s="373"/>
      <c r="F604" s="373"/>
      <c r="G604" s="373"/>
      <c r="H604" s="373"/>
      <c r="I604" s="373"/>
      <c r="J604" s="373"/>
      <c r="K604" s="373"/>
      <c r="L604" s="373"/>
      <c r="M604" s="373"/>
      <c r="N604" s="373"/>
      <c r="O604" s="373"/>
      <c r="P604" s="373"/>
      <c r="Q604" s="373"/>
      <c r="R604" s="373"/>
      <c r="S604" s="373"/>
      <c r="T604" s="373"/>
      <c r="U604" s="373"/>
      <c r="V604" s="373"/>
      <c r="W604" s="373"/>
      <c r="X604" s="373"/>
    </row>
    <row r="605" spans="1:24" ht="18" x14ac:dyDescent="0.55000000000000004">
      <c r="A605" s="373"/>
      <c r="B605" s="373"/>
      <c r="C605" s="373"/>
      <c r="D605" s="373"/>
      <c r="E605" s="373"/>
      <c r="F605" s="373"/>
      <c r="G605" s="373"/>
      <c r="H605" s="373"/>
      <c r="I605" s="373"/>
      <c r="J605" s="373"/>
      <c r="K605" s="373"/>
      <c r="L605" s="373"/>
      <c r="M605" s="373"/>
      <c r="N605" s="373"/>
      <c r="O605" s="373"/>
      <c r="P605" s="373"/>
      <c r="Q605" s="373"/>
      <c r="R605" s="373"/>
      <c r="S605" s="373"/>
      <c r="T605" s="373"/>
      <c r="U605" s="373"/>
      <c r="V605" s="373"/>
      <c r="W605" s="373"/>
      <c r="X605" s="373"/>
    </row>
    <row r="606" spans="1:24" ht="18" x14ac:dyDescent="0.55000000000000004">
      <c r="A606" s="373"/>
      <c r="B606" s="373"/>
      <c r="C606" s="373"/>
      <c r="D606" s="373"/>
      <c r="E606" s="373"/>
      <c r="F606" s="373"/>
      <c r="G606" s="373"/>
      <c r="H606" s="373"/>
      <c r="I606" s="373"/>
      <c r="J606" s="373"/>
      <c r="K606" s="373"/>
      <c r="L606" s="373"/>
      <c r="M606" s="373"/>
      <c r="N606" s="373"/>
      <c r="O606" s="373"/>
      <c r="P606" s="373"/>
      <c r="Q606" s="373"/>
      <c r="R606" s="373"/>
      <c r="S606" s="373"/>
      <c r="T606" s="373"/>
      <c r="U606" s="373"/>
      <c r="V606" s="373"/>
      <c r="W606" s="373"/>
      <c r="X606" s="373"/>
    </row>
    <row r="607" spans="1:24" ht="18" x14ac:dyDescent="0.55000000000000004">
      <c r="A607" s="373"/>
      <c r="B607" s="373"/>
      <c r="C607" s="373"/>
      <c r="D607" s="373"/>
      <c r="E607" s="373"/>
      <c r="F607" s="373"/>
      <c r="G607" s="373"/>
      <c r="H607" s="373"/>
      <c r="I607" s="373"/>
      <c r="J607" s="373"/>
      <c r="K607" s="373"/>
      <c r="L607" s="373"/>
      <c r="M607" s="373"/>
      <c r="N607" s="373"/>
      <c r="O607" s="373"/>
      <c r="P607" s="373"/>
      <c r="Q607" s="373"/>
      <c r="R607" s="373"/>
      <c r="S607" s="373"/>
      <c r="T607" s="373"/>
      <c r="U607" s="373"/>
      <c r="V607" s="373"/>
      <c r="W607" s="373"/>
      <c r="X607" s="373"/>
    </row>
    <row r="608" spans="1:24" ht="18" x14ac:dyDescent="0.55000000000000004">
      <c r="A608" s="373"/>
      <c r="B608" s="373"/>
      <c r="C608" s="373"/>
      <c r="D608" s="373"/>
      <c r="E608" s="373"/>
      <c r="F608" s="373"/>
      <c r="G608" s="373"/>
      <c r="H608" s="373"/>
      <c r="I608" s="373"/>
      <c r="J608" s="373"/>
      <c r="K608" s="373"/>
      <c r="L608" s="373"/>
      <c r="M608" s="373"/>
      <c r="N608" s="373"/>
      <c r="O608" s="373"/>
      <c r="P608" s="373"/>
      <c r="Q608" s="373"/>
      <c r="R608" s="373"/>
      <c r="S608" s="373"/>
      <c r="T608" s="373"/>
      <c r="U608" s="373"/>
      <c r="V608" s="373"/>
      <c r="W608" s="373"/>
      <c r="X608" s="373"/>
    </row>
    <row r="609" spans="1:24" ht="18" x14ac:dyDescent="0.55000000000000004">
      <c r="A609" s="373"/>
      <c r="B609" s="373"/>
      <c r="C609" s="373"/>
      <c r="D609" s="373"/>
      <c r="E609" s="373"/>
      <c r="F609" s="373"/>
      <c r="G609" s="373"/>
      <c r="H609" s="373"/>
      <c r="I609" s="373"/>
      <c r="J609" s="373"/>
      <c r="K609" s="373"/>
      <c r="L609" s="373"/>
      <c r="M609" s="373"/>
      <c r="N609" s="373"/>
      <c r="O609" s="373"/>
      <c r="P609" s="373"/>
      <c r="Q609" s="373"/>
      <c r="R609" s="373"/>
      <c r="S609" s="373"/>
      <c r="T609" s="373"/>
      <c r="U609" s="373"/>
      <c r="V609" s="373"/>
      <c r="W609" s="373"/>
      <c r="X609" s="373"/>
    </row>
    <row r="610" spans="1:24" ht="18" x14ac:dyDescent="0.55000000000000004">
      <c r="A610" s="373"/>
      <c r="B610" s="373"/>
      <c r="C610" s="373"/>
      <c r="D610" s="373"/>
      <c r="E610" s="373"/>
      <c r="F610" s="373"/>
      <c r="G610" s="373"/>
      <c r="H610" s="373"/>
      <c r="I610" s="373"/>
      <c r="J610" s="373"/>
      <c r="K610" s="373"/>
      <c r="L610" s="373"/>
      <c r="M610" s="373"/>
      <c r="N610" s="373"/>
      <c r="O610" s="373"/>
      <c r="P610" s="373"/>
      <c r="Q610" s="373"/>
      <c r="R610" s="373"/>
      <c r="S610" s="373"/>
      <c r="T610" s="373"/>
      <c r="U610" s="373"/>
      <c r="V610" s="373"/>
      <c r="W610" s="373"/>
      <c r="X610" s="373"/>
    </row>
    <row r="611" spans="1:24" ht="18" x14ac:dyDescent="0.55000000000000004">
      <c r="A611" s="373"/>
      <c r="B611" s="373"/>
      <c r="C611" s="373"/>
      <c r="D611" s="373"/>
      <c r="E611" s="373"/>
      <c r="F611" s="373"/>
      <c r="G611" s="373"/>
      <c r="H611" s="373"/>
      <c r="I611" s="373"/>
      <c r="J611" s="373"/>
      <c r="K611" s="373"/>
      <c r="L611" s="373"/>
      <c r="M611" s="373"/>
      <c r="N611" s="373"/>
      <c r="O611" s="373"/>
      <c r="P611" s="373"/>
      <c r="Q611" s="373"/>
      <c r="R611" s="373"/>
      <c r="S611" s="373"/>
      <c r="T611" s="373"/>
      <c r="U611" s="373"/>
      <c r="V611" s="373"/>
      <c r="W611" s="373"/>
      <c r="X611" s="373"/>
    </row>
    <row r="612" spans="1:24" ht="18" x14ac:dyDescent="0.55000000000000004">
      <c r="A612" s="373"/>
      <c r="B612" s="373"/>
      <c r="C612" s="373"/>
      <c r="D612" s="373"/>
      <c r="E612" s="373"/>
      <c r="F612" s="373"/>
      <c r="G612" s="373"/>
      <c r="H612" s="373"/>
      <c r="I612" s="373"/>
      <c r="J612" s="373"/>
      <c r="K612" s="373"/>
      <c r="L612" s="373"/>
      <c r="M612" s="373"/>
      <c r="N612" s="373"/>
      <c r="O612" s="373"/>
      <c r="P612" s="373"/>
      <c r="Q612" s="373"/>
      <c r="R612" s="373"/>
      <c r="S612" s="373"/>
      <c r="T612" s="373"/>
      <c r="U612" s="373"/>
      <c r="V612" s="373"/>
      <c r="W612" s="373"/>
      <c r="X612" s="373"/>
    </row>
    <row r="613" spans="1:24" ht="18" x14ac:dyDescent="0.55000000000000004">
      <c r="A613" s="373"/>
      <c r="B613" s="373"/>
      <c r="C613" s="373"/>
      <c r="D613" s="373"/>
      <c r="E613" s="373"/>
      <c r="F613" s="373"/>
      <c r="G613" s="373"/>
      <c r="H613" s="373"/>
      <c r="I613" s="373"/>
      <c r="J613" s="373"/>
      <c r="K613" s="373"/>
      <c r="L613" s="373"/>
      <c r="M613" s="373"/>
      <c r="N613" s="373"/>
      <c r="O613" s="373"/>
      <c r="P613" s="373"/>
      <c r="Q613" s="373"/>
      <c r="R613" s="373"/>
      <c r="S613" s="373"/>
      <c r="T613" s="373"/>
      <c r="U613" s="373"/>
      <c r="V613" s="373"/>
      <c r="W613" s="373"/>
      <c r="X613" s="373"/>
    </row>
    <row r="614" spans="1:24" ht="18" x14ac:dyDescent="0.55000000000000004">
      <c r="A614" s="373"/>
      <c r="B614" s="373"/>
      <c r="C614" s="373"/>
      <c r="D614" s="373"/>
      <c r="E614" s="373"/>
      <c r="F614" s="373"/>
      <c r="G614" s="373"/>
      <c r="H614" s="373"/>
      <c r="I614" s="373"/>
      <c r="J614" s="373"/>
      <c r="K614" s="373"/>
      <c r="L614" s="373"/>
      <c r="M614" s="373"/>
      <c r="N614" s="373"/>
      <c r="O614" s="373"/>
      <c r="P614" s="373"/>
      <c r="Q614" s="373"/>
      <c r="R614" s="373"/>
      <c r="S614" s="373"/>
      <c r="T614" s="373"/>
      <c r="U614" s="373"/>
      <c r="V614" s="373"/>
      <c r="W614" s="373"/>
      <c r="X614" s="373"/>
    </row>
    <row r="615" spans="1:24" ht="18" x14ac:dyDescent="0.55000000000000004">
      <c r="A615" s="373"/>
      <c r="B615" s="373"/>
      <c r="C615" s="373"/>
      <c r="D615" s="373"/>
      <c r="E615" s="373"/>
      <c r="F615" s="373"/>
      <c r="G615" s="373"/>
      <c r="H615" s="373"/>
      <c r="I615" s="373"/>
      <c r="J615" s="373"/>
      <c r="K615" s="373"/>
      <c r="L615" s="373"/>
      <c r="M615" s="373"/>
      <c r="N615" s="373"/>
      <c r="O615" s="373"/>
      <c r="P615" s="373"/>
      <c r="Q615" s="373"/>
      <c r="R615" s="373"/>
      <c r="S615" s="373"/>
      <c r="T615" s="373"/>
      <c r="U615" s="373"/>
      <c r="V615" s="373"/>
      <c r="W615" s="373"/>
      <c r="X615" s="373"/>
    </row>
    <row r="616" spans="1:24" ht="18" x14ac:dyDescent="0.55000000000000004">
      <c r="A616" s="373"/>
      <c r="B616" s="373"/>
      <c r="C616" s="373"/>
      <c r="D616" s="373"/>
      <c r="E616" s="373"/>
      <c r="F616" s="373"/>
      <c r="G616" s="373"/>
      <c r="H616" s="373"/>
      <c r="I616" s="373"/>
      <c r="J616" s="373"/>
      <c r="K616" s="373"/>
      <c r="L616" s="373"/>
      <c r="M616" s="373"/>
      <c r="N616" s="373"/>
      <c r="O616" s="373"/>
      <c r="P616" s="373"/>
      <c r="Q616" s="373"/>
      <c r="R616" s="373"/>
      <c r="S616" s="373"/>
      <c r="T616" s="373"/>
      <c r="U616" s="373"/>
      <c r="V616" s="373"/>
      <c r="W616" s="373"/>
      <c r="X616" s="373"/>
    </row>
    <row r="617" spans="1:24" ht="18" x14ac:dyDescent="0.55000000000000004">
      <c r="A617" s="373"/>
      <c r="B617" s="373"/>
      <c r="C617" s="373"/>
      <c r="D617" s="373"/>
      <c r="E617" s="373"/>
      <c r="F617" s="373"/>
      <c r="G617" s="373"/>
      <c r="H617" s="373"/>
      <c r="I617" s="373"/>
      <c r="J617" s="373"/>
      <c r="K617" s="373"/>
      <c r="L617" s="373"/>
      <c r="M617" s="373"/>
      <c r="N617" s="373"/>
      <c r="O617" s="373"/>
      <c r="P617" s="373"/>
      <c r="Q617" s="373"/>
      <c r="R617" s="373"/>
      <c r="S617" s="373"/>
      <c r="T617" s="373"/>
      <c r="U617" s="373"/>
      <c r="V617" s="373"/>
      <c r="W617" s="373"/>
      <c r="X617" s="373"/>
    </row>
    <row r="618" spans="1:24" ht="18" x14ac:dyDescent="0.55000000000000004">
      <c r="A618" s="373"/>
      <c r="B618" s="373"/>
      <c r="C618" s="373"/>
      <c r="D618" s="373"/>
      <c r="E618" s="373"/>
      <c r="F618" s="373"/>
      <c r="G618" s="373"/>
      <c r="H618" s="373"/>
      <c r="I618" s="373"/>
      <c r="J618" s="373"/>
      <c r="K618" s="373"/>
      <c r="L618" s="373"/>
      <c r="M618" s="373"/>
      <c r="N618" s="373"/>
      <c r="O618" s="373"/>
      <c r="P618" s="373"/>
      <c r="Q618" s="373"/>
      <c r="R618" s="373"/>
      <c r="S618" s="373"/>
      <c r="T618" s="373"/>
      <c r="U618" s="373"/>
      <c r="V618" s="373"/>
      <c r="W618" s="373"/>
      <c r="X618" s="373"/>
    </row>
    <row r="619" spans="1:24" ht="18" x14ac:dyDescent="0.55000000000000004">
      <c r="A619" s="373"/>
      <c r="B619" s="373"/>
      <c r="C619" s="373"/>
      <c r="D619" s="373"/>
      <c r="E619" s="373"/>
      <c r="F619" s="373"/>
      <c r="G619" s="373"/>
      <c r="H619" s="373"/>
      <c r="I619" s="373"/>
      <c r="J619" s="373"/>
      <c r="K619" s="373"/>
      <c r="L619" s="373"/>
      <c r="M619" s="373"/>
      <c r="N619" s="373"/>
      <c r="O619" s="373"/>
      <c r="P619" s="373"/>
      <c r="Q619" s="373"/>
      <c r="R619" s="373"/>
      <c r="S619" s="373"/>
      <c r="T619" s="373"/>
      <c r="U619" s="373"/>
      <c r="V619" s="373"/>
      <c r="W619" s="373"/>
      <c r="X619" s="373"/>
    </row>
    <row r="620" spans="1:24" ht="18" x14ac:dyDescent="0.55000000000000004">
      <c r="A620" s="373"/>
      <c r="B620" s="373"/>
      <c r="C620" s="373"/>
      <c r="D620" s="373"/>
      <c r="E620" s="373"/>
      <c r="F620" s="373"/>
      <c r="G620" s="373"/>
      <c r="H620" s="373"/>
      <c r="I620" s="373"/>
      <c r="J620" s="373"/>
      <c r="K620" s="373"/>
      <c r="L620" s="373"/>
      <c r="M620" s="373"/>
      <c r="N620" s="373"/>
      <c r="O620" s="373"/>
      <c r="P620" s="373"/>
      <c r="Q620" s="373"/>
      <c r="R620" s="373"/>
      <c r="S620" s="373"/>
      <c r="T620" s="373"/>
      <c r="U620" s="373"/>
      <c r="V620" s="373"/>
      <c r="W620" s="373"/>
      <c r="X620" s="373"/>
    </row>
    <row r="621" spans="1:24" ht="18" x14ac:dyDescent="0.55000000000000004">
      <c r="A621" s="373"/>
      <c r="B621" s="373"/>
      <c r="C621" s="373"/>
      <c r="D621" s="373"/>
      <c r="E621" s="373"/>
      <c r="F621" s="373"/>
      <c r="G621" s="373"/>
      <c r="H621" s="373"/>
      <c r="I621" s="373"/>
      <c r="J621" s="373"/>
      <c r="K621" s="373"/>
      <c r="L621" s="373"/>
      <c r="M621" s="373"/>
      <c r="N621" s="373"/>
      <c r="O621" s="373"/>
      <c r="P621" s="373"/>
      <c r="Q621" s="373"/>
      <c r="R621" s="373"/>
      <c r="S621" s="373"/>
      <c r="T621" s="373"/>
      <c r="U621" s="373"/>
      <c r="V621" s="373"/>
      <c r="W621" s="373"/>
      <c r="X621" s="373"/>
    </row>
    <row r="622" spans="1:24" ht="18" x14ac:dyDescent="0.55000000000000004">
      <c r="A622" s="373"/>
      <c r="B622" s="373"/>
      <c r="C622" s="373"/>
      <c r="D622" s="373"/>
      <c r="E622" s="373"/>
      <c r="F622" s="373"/>
      <c r="G622" s="373"/>
      <c r="H622" s="373"/>
      <c r="I622" s="373"/>
      <c r="J622" s="373"/>
      <c r="K622" s="373"/>
      <c r="L622" s="373"/>
      <c r="M622" s="373"/>
      <c r="N622" s="373"/>
      <c r="O622" s="373"/>
      <c r="P622" s="373"/>
      <c r="Q622" s="373"/>
      <c r="R622" s="373"/>
      <c r="S622" s="373"/>
      <c r="T622" s="373"/>
      <c r="U622" s="373"/>
      <c r="V622" s="373"/>
      <c r="W622" s="373"/>
      <c r="X622" s="373"/>
    </row>
    <row r="623" spans="1:24" ht="18" x14ac:dyDescent="0.55000000000000004">
      <c r="A623" s="373"/>
      <c r="B623" s="373"/>
      <c r="C623" s="373"/>
      <c r="D623" s="373"/>
      <c r="E623" s="373"/>
      <c r="F623" s="373"/>
      <c r="G623" s="373"/>
      <c r="H623" s="373"/>
      <c r="I623" s="373"/>
      <c r="J623" s="373"/>
      <c r="K623" s="373"/>
      <c r="L623" s="373"/>
      <c r="M623" s="373"/>
      <c r="N623" s="373"/>
      <c r="O623" s="373"/>
      <c r="P623" s="373"/>
      <c r="Q623" s="373"/>
      <c r="R623" s="373"/>
      <c r="S623" s="373"/>
      <c r="T623" s="373"/>
      <c r="U623" s="373"/>
      <c r="V623" s="373"/>
      <c r="W623" s="373"/>
      <c r="X623" s="373"/>
    </row>
    <row r="624" spans="1:24" ht="18" x14ac:dyDescent="0.55000000000000004">
      <c r="A624" s="373"/>
      <c r="B624" s="373"/>
      <c r="C624" s="373"/>
      <c r="D624" s="373"/>
      <c r="E624" s="373"/>
      <c r="F624" s="373"/>
      <c r="G624" s="373"/>
      <c r="H624" s="373"/>
      <c r="I624" s="373"/>
      <c r="J624" s="373"/>
      <c r="K624" s="373"/>
      <c r="L624" s="373"/>
      <c r="M624" s="373"/>
      <c r="N624" s="373"/>
      <c r="O624" s="373"/>
      <c r="P624" s="373"/>
      <c r="Q624" s="373"/>
      <c r="R624" s="373"/>
      <c r="S624" s="373"/>
      <c r="T624" s="373"/>
      <c r="U624" s="373"/>
      <c r="V624" s="373"/>
      <c r="W624" s="373"/>
      <c r="X624" s="373"/>
    </row>
    <row r="625" spans="1:24" ht="18" x14ac:dyDescent="0.55000000000000004">
      <c r="A625" s="373"/>
      <c r="B625" s="373"/>
      <c r="C625" s="373"/>
      <c r="D625" s="373"/>
      <c r="E625" s="373"/>
      <c r="F625" s="373"/>
      <c r="G625" s="373"/>
      <c r="H625" s="373"/>
      <c r="I625" s="373"/>
      <c r="J625" s="373"/>
      <c r="K625" s="373"/>
      <c r="L625" s="373"/>
      <c r="M625" s="373"/>
      <c r="N625" s="373"/>
      <c r="O625" s="373"/>
      <c r="P625" s="373"/>
      <c r="Q625" s="373"/>
      <c r="R625" s="373"/>
      <c r="S625" s="373"/>
      <c r="T625" s="373"/>
      <c r="U625" s="373"/>
      <c r="V625" s="373"/>
      <c r="W625" s="373"/>
      <c r="X625" s="373"/>
    </row>
    <row r="626" spans="1:24" ht="18" x14ac:dyDescent="0.55000000000000004">
      <c r="A626" s="373"/>
      <c r="B626" s="373"/>
      <c r="C626" s="373"/>
      <c r="D626" s="373"/>
      <c r="E626" s="373"/>
      <c r="F626" s="373"/>
      <c r="G626" s="373"/>
      <c r="H626" s="373"/>
      <c r="I626" s="373"/>
      <c r="J626" s="373"/>
      <c r="K626" s="373"/>
      <c r="L626" s="373"/>
      <c r="M626" s="373"/>
      <c r="N626" s="373"/>
      <c r="O626" s="373"/>
      <c r="P626" s="373"/>
      <c r="Q626" s="373"/>
      <c r="R626" s="373"/>
      <c r="S626" s="373"/>
      <c r="T626" s="373"/>
      <c r="U626" s="373"/>
      <c r="V626" s="373"/>
      <c r="W626" s="373"/>
      <c r="X626" s="373"/>
    </row>
    <row r="627" spans="1:24" ht="18" x14ac:dyDescent="0.55000000000000004">
      <c r="A627" s="373"/>
      <c r="B627" s="373"/>
      <c r="C627" s="373"/>
      <c r="D627" s="373"/>
      <c r="E627" s="373"/>
      <c r="F627" s="373"/>
      <c r="G627" s="373"/>
      <c r="H627" s="373"/>
      <c r="I627" s="373"/>
      <c r="J627" s="373"/>
      <c r="K627" s="373"/>
      <c r="L627" s="373"/>
      <c r="M627" s="373"/>
      <c r="N627" s="373"/>
      <c r="O627" s="373"/>
      <c r="P627" s="373"/>
      <c r="Q627" s="373"/>
      <c r="R627" s="373"/>
      <c r="S627" s="373"/>
      <c r="T627" s="373"/>
      <c r="U627" s="373"/>
      <c r="V627" s="373"/>
      <c r="W627" s="373"/>
      <c r="X627" s="373"/>
    </row>
    <row r="628" spans="1:24" ht="18" x14ac:dyDescent="0.55000000000000004">
      <c r="A628" s="373"/>
      <c r="B628" s="373"/>
      <c r="C628" s="373"/>
      <c r="D628" s="373"/>
      <c r="E628" s="373"/>
      <c r="F628" s="373"/>
      <c r="G628" s="373"/>
      <c r="H628" s="373"/>
      <c r="I628" s="373"/>
      <c r="J628" s="373"/>
      <c r="K628" s="373"/>
      <c r="L628" s="373"/>
      <c r="M628" s="373"/>
      <c r="N628" s="373"/>
      <c r="O628" s="373"/>
      <c r="P628" s="373"/>
      <c r="Q628" s="373"/>
      <c r="R628" s="373"/>
      <c r="S628" s="373"/>
      <c r="T628" s="373"/>
      <c r="U628" s="373"/>
      <c r="V628" s="373"/>
      <c r="W628" s="373"/>
      <c r="X628" s="373"/>
    </row>
    <row r="629" spans="1:24" ht="18" x14ac:dyDescent="0.55000000000000004">
      <c r="A629" s="373"/>
      <c r="B629" s="373"/>
      <c r="C629" s="373"/>
      <c r="D629" s="373"/>
      <c r="E629" s="373"/>
      <c r="F629" s="373"/>
      <c r="G629" s="373"/>
      <c r="H629" s="373"/>
      <c r="I629" s="373"/>
      <c r="J629" s="373"/>
      <c r="K629" s="373"/>
      <c r="L629" s="373"/>
      <c r="M629" s="373"/>
      <c r="N629" s="373"/>
      <c r="O629" s="373"/>
      <c r="P629" s="373"/>
      <c r="Q629" s="373"/>
      <c r="R629" s="373"/>
      <c r="S629" s="373"/>
      <c r="T629" s="373"/>
      <c r="U629" s="373"/>
      <c r="V629" s="373"/>
      <c r="W629" s="373"/>
      <c r="X629" s="373"/>
    </row>
    <row r="630" spans="1:24" ht="18" x14ac:dyDescent="0.55000000000000004">
      <c r="A630" s="373"/>
      <c r="B630" s="373"/>
      <c r="C630" s="373"/>
      <c r="D630" s="373"/>
      <c r="E630" s="373"/>
      <c r="F630" s="373"/>
      <c r="G630" s="373"/>
      <c r="H630" s="373"/>
      <c r="I630" s="373"/>
      <c r="J630" s="373"/>
      <c r="K630" s="373"/>
      <c r="L630" s="373"/>
      <c r="M630" s="373"/>
      <c r="N630" s="373"/>
      <c r="O630" s="373"/>
      <c r="P630" s="373"/>
      <c r="Q630" s="373"/>
      <c r="R630" s="373"/>
      <c r="S630" s="373"/>
      <c r="T630" s="373"/>
      <c r="U630" s="373"/>
      <c r="V630" s="373"/>
      <c r="W630" s="373"/>
      <c r="X630" s="373"/>
    </row>
    <row r="631" spans="1:24" ht="18" x14ac:dyDescent="0.55000000000000004">
      <c r="A631" s="373"/>
      <c r="B631" s="373"/>
      <c r="C631" s="373"/>
      <c r="D631" s="373"/>
      <c r="E631" s="373"/>
      <c r="F631" s="373"/>
      <c r="G631" s="373"/>
      <c r="H631" s="373"/>
      <c r="I631" s="373"/>
      <c r="J631" s="373"/>
      <c r="K631" s="373"/>
      <c r="L631" s="373"/>
      <c r="M631" s="373"/>
      <c r="N631" s="373"/>
      <c r="O631" s="373"/>
      <c r="P631" s="373"/>
      <c r="Q631" s="373"/>
      <c r="R631" s="373"/>
      <c r="S631" s="373"/>
      <c r="T631" s="373"/>
      <c r="U631" s="373"/>
      <c r="V631" s="373"/>
      <c r="W631" s="373"/>
      <c r="X631" s="373"/>
    </row>
    <row r="632" spans="1:24" ht="18" x14ac:dyDescent="0.55000000000000004">
      <c r="A632" s="373"/>
      <c r="B632" s="373"/>
      <c r="C632" s="373"/>
      <c r="D632" s="373"/>
      <c r="E632" s="373"/>
      <c r="F632" s="373"/>
      <c r="G632" s="373"/>
      <c r="H632" s="373"/>
      <c r="I632" s="373"/>
      <c r="J632" s="373"/>
      <c r="K632" s="373"/>
      <c r="L632" s="373"/>
      <c r="M632" s="373"/>
      <c r="N632" s="373"/>
      <c r="O632" s="373"/>
      <c r="P632" s="373"/>
      <c r="Q632" s="373"/>
      <c r="R632" s="373"/>
      <c r="S632" s="373"/>
      <c r="T632" s="373"/>
      <c r="U632" s="373"/>
      <c r="V632" s="373"/>
      <c r="W632" s="373"/>
      <c r="X632" s="373"/>
    </row>
    <row r="633" spans="1:24" ht="18" x14ac:dyDescent="0.55000000000000004">
      <c r="A633" s="373"/>
      <c r="B633" s="373"/>
      <c r="C633" s="373"/>
      <c r="D633" s="373"/>
      <c r="E633" s="373"/>
      <c r="F633" s="373"/>
      <c r="G633" s="373"/>
      <c r="H633" s="373"/>
      <c r="I633" s="373"/>
      <c r="J633" s="373"/>
      <c r="K633" s="373"/>
      <c r="L633" s="373"/>
      <c r="M633" s="373"/>
      <c r="N633" s="373"/>
      <c r="O633" s="373"/>
      <c r="P633" s="373"/>
      <c r="Q633" s="373"/>
      <c r="R633" s="373"/>
      <c r="S633" s="373"/>
      <c r="T633" s="373"/>
      <c r="U633" s="373"/>
      <c r="V633" s="373"/>
      <c r="W633" s="373"/>
      <c r="X633" s="373"/>
    </row>
    <row r="634" spans="1:24" ht="18" x14ac:dyDescent="0.55000000000000004">
      <c r="A634" s="373"/>
      <c r="B634" s="373"/>
      <c r="C634" s="373"/>
      <c r="D634" s="373"/>
      <c r="E634" s="373"/>
      <c r="F634" s="373"/>
      <c r="G634" s="373"/>
      <c r="H634" s="373"/>
      <c r="I634" s="373"/>
      <c r="J634" s="373"/>
      <c r="K634" s="373"/>
      <c r="L634" s="373"/>
      <c r="M634" s="373"/>
      <c r="N634" s="373"/>
      <c r="O634" s="373"/>
      <c r="P634" s="373"/>
      <c r="Q634" s="373"/>
      <c r="R634" s="373"/>
      <c r="S634" s="373"/>
      <c r="T634" s="373"/>
      <c r="U634" s="373"/>
      <c r="V634" s="373"/>
      <c r="W634" s="373"/>
      <c r="X634" s="373"/>
    </row>
    <row r="635" spans="1:24" ht="18" x14ac:dyDescent="0.55000000000000004">
      <c r="A635" s="373"/>
      <c r="B635" s="373"/>
      <c r="C635" s="373"/>
      <c r="D635" s="373"/>
      <c r="E635" s="373"/>
      <c r="F635" s="373"/>
      <c r="G635" s="373"/>
      <c r="H635" s="373"/>
      <c r="I635" s="373"/>
      <c r="J635" s="373"/>
      <c r="K635" s="373"/>
      <c r="L635" s="373"/>
      <c r="M635" s="373"/>
      <c r="N635" s="373"/>
      <c r="O635" s="373"/>
      <c r="P635" s="373"/>
      <c r="Q635" s="373"/>
      <c r="R635" s="373"/>
      <c r="S635" s="373"/>
      <c r="T635" s="373"/>
      <c r="U635" s="373"/>
      <c r="V635" s="373"/>
      <c r="W635" s="373"/>
      <c r="X635" s="373"/>
    </row>
    <row r="636" spans="1:24" ht="18" x14ac:dyDescent="0.55000000000000004">
      <c r="A636" s="373"/>
      <c r="B636" s="373"/>
      <c r="C636" s="373"/>
      <c r="D636" s="373"/>
      <c r="E636" s="373"/>
      <c r="F636" s="373"/>
      <c r="G636" s="373"/>
      <c r="H636" s="373"/>
      <c r="I636" s="373"/>
      <c r="J636" s="373"/>
      <c r="K636" s="373"/>
      <c r="L636" s="373"/>
      <c r="M636" s="373"/>
      <c r="N636" s="373"/>
      <c r="O636" s="373"/>
      <c r="P636" s="373"/>
      <c r="Q636" s="373"/>
      <c r="R636" s="373"/>
      <c r="S636" s="373"/>
      <c r="T636" s="373"/>
      <c r="U636" s="373"/>
      <c r="V636" s="373"/>
      <c r="W636" s="373"/>
      <c r="X636" s="373"/>
    </row>
    <row r="637" spans="1:24" ht="18" x14ac:dyDescent="0.55000000000000004">
      <c r="A637" s="373"/>
      <c r="B637" s="373"/>
      <c r="C637" s="373"/>
      <c r="D637" s="373"/>
      <c r="E637" s="373"/>
      <c r="F637" s="373"/>
      <c r="G637" s="373"/>
      <c r="H637" s="373"/>
      <c r="I637" s="373"/>
      <c r="J637" s="373"/>
      <c r="K637" s="373"/>
      <c r="L637" s="373"/>
      <c r="M637" s="373"/>
      <c r="N637" s="373"/>
      <c r="O637" s="373"/>
      <c r="P637" s="373"/>
      <c r="Q637" s="373"/>
      <c r="R637" s="373"/>
      <c r="S637" s="373"/>
      <c r="T637" s="373"/>
      <c r="U637" s="373"/>
      <c r="V637" s="373"/>
      <c r="W637" s="373"/>
      <c r="X637" s="373"/>
    </row>
    <row r="638" spans="1:24" ht="18" x14ac:dyDescent="0.55000000000000004">
      <c r="A638" s="373"/>
      <c r="B638" s="373"/>
      <c r="C638" s="373"/>
      <c r="D638" s="373"/>
      <c r="E638" s="373"/>
      <c r="F638" s="373"/>
      <c r="G638" s="373"/>
      <c r="H638" s="373"/>
      <c r="I638" s="373"/>
      <c r="J638" s="373"/>
      <c r="K638" s="373"/>
      <c r="L638" s="373"/>
      <c r="M638" s="373"/>
      <c r="N638" s="373"/>
      <c r="O638" s="373"/>
      <c r="P638" s="373"/>
      <c r="Q638" s="373"/>
      <c r="R638" s="373"/>
      <c r="S638" s="373"/>
      <c r="T638" s="373"/>
      <c r="U638" s="373"/>
      <c r="V638" s="373"/>
      <c r="W638" s="373"/>
      <c r="X638" s="373"/>
    </row>
    <row r="639" spans="1:24" ht="18" x14ac:dyDescent="0.55000000000000004">
      <c r="A639" s="373"/>
      <c r="B639" s="373"/>
      <c r="C639" s="373"/>
      <c r="D639" s="373"/>
      <c r="E639" s="373"/>
      <c r="F639" s="373"/>
      <c r="G639" s="373"/>
      <c r="H639" s="373"/>
      <c r="I639" s="373"/>
      <c r="J639" s="373"/>
      <c r="K639" s="373"/>
      <c r="L639" s="373"/>
      <c r="M639" s="373"/>
      <c r="N639" s="373"/>
      <c r="O639" s="373"/>
      <c r="P639" s="373"/>
      <c r="Q639" s="373"/>
      <c r="R639" s="373"/>
      <c r="S639" s="373"/>
      <c r="T639" s="373"/>
      <c r="U639" s="373"/>
      <c r="V639" s="373"/>
      <c r="W639" s="373"/>
      <c r="X639" s="373"/>
    </row>
    <row r="640" spans="1:24" ht="18" x14ac:dyDescent="0.55000000000000004">
      <c r="A640" s="373"/>
      <c r="B640" s="373"/>
      <c r="C640" s="373"/>
      <c r="D640" s="373"/>
      <c r="E640" s="373"/>
      <c r="F640" s="373"/>
      <c r="G640" s="373"/>
      <c r="H640" s="373"/>
      <c r="I640" s="373"/>
      <c r="J640" s="373"/>
      <c r="K640" s="373"/>
      <c r="L640" s="373"/>
      <c r="M640" s="373"/>
      <c r="N640" s="373"/>
      <c r="O640" s="373"/>
      <c r="P640" s="373"/>
      <c r="Q640" s="373"/>
      <c r="R640" s="373"/>
      <c r="S640" s="373"/>
      <c r="T640" s="373"/>
      <c r="U640" s="373"/>
      <c r="V640" s="373"/>
      <c r="W640" s="373"/>
      <c r="X640" s="373"/>
    </row>
    <row r="641" spans="1:24" ht="18" x14ac:dyDescent="0.55000000000000004">
      <c r="A641" s="373"/>
      <c r="B641" s="373"/>
      <c r="C641" s="373"/>
      <c r="D641" s="373"/>
      <c r="E641" s="373"/>
      <c r="F641" s="373"/>
      <c r="G641" s="373"/>
      <c r="H641" s="373"/>
      <c r="I641" s="373"/>
      <c r="J641" s="373"/>
      <c r="K641" s="373"/>
      <c r="L641" s="373"/>
      <c r="M641" s="373"/>
      <c r="N641" s="373"/>
      <c r="O641" s="373"/>
      <c r="P641" s="373"/>
      <c r="Q641" s="373"/>
      <c r="R641" s="373"/>
      <c r="S641" s="373"/>
      <c r="T641" s="373"/>
      <c r="U641" s="373"/>
      <c r="V641" s="373"/>
      <c r="W641" s="373"/>
      <c r="X641" s="373"/>
    </row>
    <row r="642" spans="1:24" ht="18" x14ac:dyDescent="0.55000000000000004">
      <c r="A642" s="373"/>
      <c r="B642" s="373"/>
      <c r="C642" s="373"/>
      <c r="D642" s="373"/>
      <c r="E642" s="373"/>
      <c r="F642" s="373"/>
      <c r="G642" s="373"/>
      <c r="H642" s="373"/>
      <c r="I642" s="373"/>
      <c r="J642" s="373"/>
      <c r="K642" s="373"/>
      <c r="L642" s="373"/>
      <c r="M642" s="373"/>
      <c r="N642" s="373"/>
      <c r="O642" s="373"/>
      <c r="P642" s="373"/>
      <c r="Q642" s="373"/>
      <c r="R642" s="373"/>
      <c r="S642" s="373"/>
      <c r="T642" s="373"/>
      <c r="U642" s="373"/>
      <c r="V642" s="373"/>
      <c r="W642" s="373"/>
      <c r="X642" s="373"/>
    </row>
    <row r="643" spans="1:24" ht="18" x14ac:dyDescent="0.55000000000000004">
      <c r="A643" s="373"/>
      <c r="B643" s="373"/>
      <c r="C643" s="373"/>
      <c r="D643" s="373"/>
      <c r="E643" s="373"/>
      <c r="F643" s="373"/>
      <c r="G643" s="373"/>
      <c r="H643" s="373"/>
      <c r="I643" s="373"/>
      <c r="J643" s="373"/>
      <c r="K643" s="373"/>
      <c r="L643" s="373"/>
      <c r="M643" s="373"/>
      <c r="N643" s="373"/>
      <c r="O643" s="373"/>
      <c r="P643" s="373"/>
      <c r="Q643" s="373"/>
      <c r="R643" s="373"/>
      <c r="S643" s="373"/>
      <c r="T643" s="373"/>
      <c r="U643" s="373"/>
      <c r="V643" s="373"/>
      <c r="W643" s="373"/>
      <c r="X643" s="373"/>
    </row>
    <row r="644" spans="1:24" ht="18" x14ac:dyDescent="0.55000000000000004">
      <c r="A644" s="373"/>
      <c r="B644" s="373"/>
      <c r="C644" s="373"/>
      <c r="D644" s="373"/>
      <c r="E644" s="373"/>
      <c r="F644" s="373"/>
      <c r="G644" s="373"/>
      <c r="H644" s="373"/>
      <c r="I644" s="373"/>
      <c r="J644" s="373"/>
      <c r="K644" s="373"/>
      <c r="L644" s="373"/>
      <c r="M644" s="373"/>
      <c r="N644" s="373"/>
      <c r="O644" s="373"/>
      <c r="P644" s="373"/>
      <c r="Q644" s="373"/>
      <c r="R644" s="373"/>
      <c r="S644" s="373"/>
      <c r="T644" s="373"/>
      <c r="U644" s="373"/>
      <c r="V644" s="373"/>
      <c r="W644" s="373"/>
      <c r="X644" s="373"/>
    </row>
    <row r="645" spans="1:24" ht="18" x14ac:dyDescent="0.55000000000000004">
      <c r="A645" s="373"/>
      <c r="B645" s="373"/>
      <c r="C645" s="373"/>
      <c r="D645" s="373"/>
      <c r="E645" s="373"/>
      <c r="F645" s="373"/>
      <c r="G645" s="373"/>
      <c r="H645" s="373"/>
      <c r="I645" s="373"/>
      <c r="J645" s="373"/>
      <c r="K645" s="373"/>
      <c r="L645" s="373"/>
      <c r="M645" s="373"/>
      <c r="N645" s="373"/>
      <c r="O645" s="373"/>
      <c r="P645" s="373"/>
      <c r="Q645" s="373"/>
      <c r="R645" s="373"/>
      <c r="S645" s="373"/>
      <c r="T645" s="373"/>
      <c r="U645" s="373"/>
      <c r="V645" s="373"/>
      <c r="W645" s="373"/>
      <c r="X645" s="373"/>
    </row>
    <row r="646" spans="1:24" ht="18" x14ac:dyDescent="0.55000000000000004">
      <c r="A646" s="373"/>
      <c r="B646" s="373"/>
      <c r="C646" s="373"/>
      <c r="D646" s="373"/>
      <c r="E646" s="373"/>
      <c r="F646" s="373"/>
      <c r="G646" s="373"/>
      <c r="H646" s="373"/>
      <c r="I646" s="373"/>
      <c r="J646" s="373"/>
      <c r="K646" s="373"/>
      <c r="L646" s="373"/>
      <c r="M646" s="373"/>
      <c r="N646" s="373"/>
      <c r="O646" s="373"/>
      <c r="P646" s="373"/>
      <c r="Q646" s="373"/>
      <c r="R646" s="373"/>
      <c r="S646" s="373"/>
      <c r="T646" s="373"/>
      <c r="U646" s="373"/>
      <c r="V646" s="373"/>
      <c r="W646" s="373"/>
      <c r="X646" s="373"/>
    </row>
    <row r="647" spans="1:24" ht="18" x14ac:dyDescent="0.55000000000000004">
      <c r="A647" s="373"/>
      <c r="B647" s="373"/>
      <c r="C647" s="373"/>
      <c r="D647" s="373"/>
      <c r="E647" s="373"/>
      <c r="F647" s="373"/>
      <c r="G647" s="373"/>
      <c r="H647" s="373"/>
      <c r="I647" s="373"/>
      <c r="J647" s="373"/>
      <c r="K647" s="373"/>
      <c r="L647" s="373"/>
      <c r="M647" s="373"/>
      <c r="N647" s="373"/>
      <c r="O647" s="373"/>
      <c r="P647" s="373"/>
      <c r="Q647" s="373"/>
      <c r="R647" s="373"/>
      <c r="S647" s="373"/>
      <c r="T647" s="373"/>
      <c r="U647" s="373"/>
      <c r="V647" s="373"/>
      <c r="W647" s="373"/>
      <c r="X647" s="373"/>
    </row>
    <row r="648" spans="1:24" ht="18" x14ac:dyDescent="0.55000000000000004">
      <c r="A648" s="373"/>
      <c r="B648" s="373"/>
      <c r="C648" s="373"/>
      <c r="D648" s="373"/>
      <c r="E648" s="373"/>
      <c r="F648" s="373"/>
      <c r="G648" s="373"/>
      <c r="H648" s="373"/>
      <c r="I648" s="373"/>
      <c r="J648" s="373"/>
      <c r="K648" s="373"/>
      <c r="L648" s="373"/>
      <c r="M648" s="373"/>
      <c r="N648" s="373"/>
      <c r="O648" s="373"/>
      <c r="P648" s="373"/>
      <c r="Q648" s="373"/>
      <c r="R648" s="373"/>
      <c r="S648" s="373"/>
      <c r="T648" s="373"/>
      <c r="U648" s="373"/>
      <c r="V648" s="373"/>
      <c r="W648" s="373"/>
      <c r="X648" s="373"/>
    </row>
    <row r="649" spans="1:24" ht="18" x14ac:dyDescent="0.55000000000000004">
      <c r="A649" s="373"/>
      <c r="B649" s="373"/>
      <c r="C649" s="373"/>
      <c r="D649" s="373"/>
      <c r="E649" s="373"/>
      <c r="F649" s="373"/>
      <c r="G649" s="373"/>
      <c r="H649" s="373"/>
      <c r="I649" s="373"/>
      <c r="J649" s="373"/>
      <c r="K649" s="373"/>
      <c r="L649" s="373"/>
      <c r="M649" s="373"/>
      <c r="N649" s="373"/>
      <c r="O649" s="373"/>
      <c r="P649" s="373"/>
      <c r="Q649" s="373"/>
      <c r="R649" s="373"/>
      <c r="S649" s="373"/>
      <c r="T649" s="373"/>
      <c r="U649" s="373"/>
      <c r="V649" s="373"/>
      <c r="W649" s="373"/>
      <c r="X649" s="373"/>
    </row>
    <row r="650" spans="1:24" ht="18" x14ac:dyDescent="0.55000000000000004">
      <c r="A650" s="373"/>
      <c r="B650" s="373"/>
      <c r="C650" s="373"/>
      <c r="D650" s="373"/>
      <c r="E650" s="373"/>
      <c r="F650" s="373"/>
      <c r="G650" s="373"/>
      <c r="H650" s="373"/>
      <c r="I650" s="373"/>
      <c r="J650" s="373"/>
      <c r="K650" s="373"/>
      <c r="L650" s="373"/>
      <c r="M650" s="373"/>
      <c r="N650" s="373"/>
      <c r="O650" s="373"/>
      <c r="P650" s="373"/>
      <c r="Q650" s="373"/>
      <c r="R650" s="373"/>
      <c r="S650" s="373"/>
      <c r="T650" s="373"/>
      <c r="U650" s="373"/>
      <c r="V650" s="373"/>
      <c r="W650" s="373"/>
      <c r="X650" s="373"/>
    </row>
    <row r="651" spans="1:24" ht="18" x14ac:dyDescent="0.55000000000000004">
      <c r="A651" s="373"/>
      <c r="B651" s="373"/>
      <c r="C651" s="373"/>
      <c r="D651" s="373"/>
      <c r="E651" s="373"/>
      <c r="F651" s="373"/>
      <c r="G651" s="373"/>
      <c r="H651" s="373"/>
      <c r="I651" s="373"/>
      <c r="J651" s="373"/>
      <c r="K651" s="373"/>
      <c r="L651" s="373"/>
      <c r="M651" s="373"/>
      <c r="N651" s="373"/>
      <c r="O651" s="373"/>
      <c r="P651" s="373"/>
      <c r="Q651" s="373"/>
      <c r="R651" s="373"/>
      <c r="S651" s="373"/>
      <c r="T651" s="373"/>
      <c r="U651" s="373"/>
      <c r="V651" s="373"/>
      <c r="W651" s="373"/>
      <c r="X651" s="373"/>
    </row>
    <row r="652" spans="1:24" ht="18" x14ac:dyDescent="0.55000000000000004">
      <c r="A652" s="373"/>
      <c r="B652" s="373"/>
      <c r="C652" s="373"/>
      <c r="D652" s="373"/>
      <c r="E652" s="373"/>
      <c r="F652" s="373"/>
      <c r="G652" s="373"/>
      <c r="H652" s="373"/>
      <c r="I652" s="373"/>
      <c r="J652" s="373"/>
      <c r="K652" s="373"/>
      <c r="L652" s="373"/>
      <c r="M652" s="373"/>
      <c r="N652" s="373"/>
      <c r="O652" s="373"/>
      <c r="P652" s="373"/>
      <c r="Q652" s="373"/>
      <c r="R652" s="373"/>
      <c r="S652" s="373"/>
      <c r="T652" s="373"/>
      <c r="U652" s="373"/>
      <c r="V652" s="373"/>
      <c r="W652" s="373"/>
      <c r="X652" s="373"/>
    </row>
    <row r="653" spans="1:24" ht="18" x14ac:dyDescent="0.55000000000000004">
      <c r="A653" s="373"/>
      <c r="B653" s="373"/>
      <c r="C653" s="373"/>
      <c r="D653" s="373"/>
      <c r="E653" s="373"/>
      <c r="F653" s="373"/>
      <c r="G653" s="373"/>
      <c r="H653" s="373"/>
      <c r="I653" s="373"/>
      <c r="J653" s="373"/>
      <c r="K653" s="373"/>
      <c r="L653" s="373"/>
      <c r="M653" s="373"/>
      <c r="N653" s="373"/>
      <c r="O653" s="373"/>
      <c r="P653" s="373"/>
      <c r="Q653" s="373"/>
      <c r="R653" s="373"/>
      <c r="S653" s="373"/>
      <c r="T653" s="373"/>
      <c r="U653" s="373"/>
      <c r="V653" s="373"/>
      <c r="W653" s="373"/>
      <c r="X653" s="373"/>
    </row>
    <row r="654" spans="1:24" ht="18" x14ac:dyDescent="0.55000000000000004">
      <c r="A654" s="373"/>
      <c r="B654" s="373"/>
      <c r="C654" s="373"/>
      <c r="D654" s="373"/>
      <c r="E654" s="373"/>
      <c r="F654" s="373"/>
      <c r="G654" s="373"/>
      <c r="H654" s="373"/>
      <c r="I654" s="373"/>
      <c r="J654" s="373"/>
      <c r="K654" s="373"/>
      <c r="L654" s="373"/>
      <c r="M654" s="373"/>
      <c r="N654" s="373"/>
      <c r="O654" s="373"/>
      <c r="P654" s="373"/>
      <c r="Q654" s="373"/>
      <c r="R654" s="373"/>
      <c r="S654" s="373"/>
      <c r="T654" s="373"/>
      <c r="U654" s="373"/>
      <c r="V654" s="373"/>
      <c r="W654" s="373"/>
      <c r="X654" s="373"/>
    </row>
    <row r="655" spans="1:24" ht="18" x14ac:dyDescent="0.55000000000000004">
      <c r="A655" s="373"/>
      <c r="B655" s="373"/>
      <c r="C655" s="373"/>
      <c r="D655" s="373"/>
      <c r="E655" s="373"/>
      <c r="F655" s="373"/>
      <c r="G655" s="373"/>
      <c r="H655" s="373"/>
      <c r="I655" s="373"/>
      <c r="J655" s="373"/>
      <c r="K655" s="373"/>
      <c r="L655" s="373"/>
      <c r="M655" s="373"/>
      <c r="N655" s="373"/>
      <c r="O655" s="373"/>
      <c r="P655" s="373"/>
      <c r="Q655" s="373"/>
      <c r="R655" s="373"/>
      <c r="S655" s="373"/>
      <c r="T655" s="373"/>
      <c r="U655" s="373"/>
      <c r="V655" s="373"/>
      <c r="W655" s="373"/>
      <c r="X655" s="373"/>
    </row>
    <row r="656" spans="1:24" ht="18" x14ac:dyDescent="0.55000000000000004">
      <c r="A656" s="373"/>
      <c r="B656" s="373"/>
      <c r="C656" s="373"/>
      <c r="D656" s="373"/>
      <c r="E656" s="373"/>
      <c r="F656" s="373"/>
      <c r="G656" s="373"/>
      <c r="H656" s="373"/>
      <c r="I656" s="373"/>
      <c r="J656" s="373"/>
      <c r="K656" s="373"/>
      <c r="L656" s="373"/>
      <c r="M656" s="373"/>
      <c r="N656" s="373"/>
      <c r="O656" s="373"/>
      <c r="P656" s="373"/>
      <c r="Q656" s="373"/>
      <c r="R656" s="373"/>
      <c r="S656" s="373"/>
      <c r="T656" s="373"/>
      <c r="U656" s="373"/>
      <c r="V656" s="373"/>
      <c r="W656" s="373"/>
      <c r="X656" s="373"/>
    </row>
    <row r="657" spans="1:24" ht="18" x14ac:dyDescent="0.55000000000000004">
      <c r="A657" s="373"/>
      <c r="B657" s="373"/>
      <c r="C657" s="373"/>
      <c r="D657" s="373"/>
      <c r="E657" s="373"/>
      <c r="F657" s="373"/>
      <c r="G657" s="373"/>
      <c r="H657" s="373"/>
      <c r="I657" s="373"/>
      <c r="J657" s="373"/>
      <c r="K657" s="373"/>
      <c r="L657" s="373"/>
      <c r="M657" s="373"/>
      <c r="N657" s="373"/>
      <c r="O657" s="373"/>
      <c r="P657" s="373"/>
      <c r="Q657" s="373"/>
      <c r="R657" s="373"/>
      <c r="S657" s="373"/>
      <c r="T657" s="373"/>
      <c r="U657" s="373"/>
      <c r="V657" s="373"/>
      <c r="W657" s="373"/>
      <c r="X657" s="373"/>
    </row>
    <row r="658" spans="1:24" ht="18" x14ac:dyDescent="0.55000000000000004">
      <c r="A658" s="373"/>
      <c r="B658" s="373"/>
      <c r="C658" s="373"/>
      <c r="D658" s="373"/>
      <c r="E658" s="373"/>
      <c r="F658" s="373"/>
      <c r="G658" s="373"/>
      <c r="H658" s="373"/>
      <c r="I658" s="373"/>
      <c r="J658" s="373"/>
      <c r="K658" s="373"/>
      <c r="L658" s="373"/>
      <c r="M658" s="373"/>
      <c r="N658" s="373"/>
      <c r="O658" s="373"/>
      <c r="P658" s="373"/>
      <c r="Q658" s="373"/>
      <c r="R658" s="373"/>
      <c r="S658" s="373"/>
      <c r="T658" s="373"/>
      <c r="U658" s="373"/>
      <c r="V658" s="373"/>
      <c r="W658" s="373"/>
      <c r="X658" s="373"/>
    </row>
    <row r="659" spans="1:24" ht="18" x14ac:dyDescent="0.55000000000000004">
      <c r="A659" s="373"/>
      <c r="B659" s="373"/>
      <c r="C659" s="373"/>
      <c r="D659" s="373"/>
      <c r="E659" s="373"/>
      <c r="F659" s="373"/>
      <c r="G659" s="373"/>
      <c r="H659" s="373"/>
      <c r="I659" s="373"/>
      <c r="J659" s="373"/>
      <c r="K659" s="373"/>
      <c r="L659" s="373"/>
      <c r="M659" s="373"/>
      <c r="N659" s="373"/>
      <c r="O659" s="373"/>
      <c r="P659" s="373"/>
      <c r="Q659" s="373"/>
      <c r="R659" s="373"/>
      <c r="S659" s="373"/>
      <c r="T659" s="373"/>
      <c r="U659" s="373"/>
      <c r="V659" s="373"/>
      <c r="W659" s="373"/>
      <c r="X659" s="373"/>
    </row>
    <row r="660" spans="1:24" ht="18" x14ac:dyDescent="0.55000000000000004">
      <c r="A660" s="373"/>
      <c r="B660" s="373"/>
      <c r="C660" s="373"/>
      <c r="D660" s="373"/>
      <c r="E660" s="373"/>
      <c r="F660" s="373"/>
      <c r="G660" s="373"/>
      <c r="H660" s="373"/>
      <c r="I660" s="373"/>
      <c r="J660" s="373"/>
      <c r="K660" s="373"/>
      <c r="L660" s="373"/>
      <c r="M660" s="373"/>
      <c r="N660" s="373"/>
      <c r="O660" s="373"/>
      <c r="P660" s="373"/>
      <c r="Q660" s="373"/>
      <c r="R660" s="373"/>
      <c r="S660" s="373"/>
      <c r="T660" s="373"/>
      <c r="U660" s="373"/>
      <c r="V660" s="373"/>
      <c r="W660" s="373"/>
      <c r="X660" s="373"/>
    </row>
    <row r="661" spans="1:24" ht="18" x14ac:dyDescent="0.55000000000000004">
      <c r="A661" s="373"/>
      <c r="B661" s="373"/>
      <c r="C661" s="373"/>
      <c r="D661" s="373"/>
      <c r="E661" s="373"/>
      <c r="F661" s="373"/>
      <c r="G661" s="373"/>
      <c r="H661" s="373"/>
      <c r="I661" s="373"/>
      <c r="J661" s="373"/>
      <c r="K661" s="373"/>
      <c r="L661" s="373"/>
      <c r="M661" s="373"/>
      <c r="N661" s="373"/>
      <c r="O661" s="373"/>
      <c r="P661" s="373"/>
      <c r="Q661" s="373"/>
      <c r="R661" s="373"/>
      <c r="S661" s="373"/>
      <c r="T661" s="373"/>
      <c r="U661" s="373"/>
      <c r="V661" s="373"/>
      <c r="W661" s="373"/>
      <c r="X661" s="373"/>
    </row>
    <row r="662" spans="1:24" ht="18" x14ac:dyDescent="0.55000000000000004">
      <c r="A662" s="373"/>
      <c r="B662" s="373"/>
      <c r="C662" s="373"/>
      <c r="D662" s="373"/>
      <c r="E662" s="373"/>
      <c r="F662" s="373"/>
      <c r="G662" s="373"/>
      <c r="H662" s="373"/>
      <c r="I662" s="373"/>
      <c r="J662" s="373"/>
      <c r="K662" s="373"/>
      <c r="L662" s="373"/>
      <c r="M662" s="373"/>
      <c r="N662" s="373"/>
      <c r="O662" s="373"/>
      <c r="P662" s="373"/>
      <c r="Q662" s="373"/>
      <c r="R662" s="373"/>
      <c r="S662" s="373"/>
      <c r="T662" s="373"/>
      <c r="U662" s="373"/>
      <c r="V662" s="373"/>
      <c r="W662" s="373"/>
      <c r="X662" s="373"/>
    </row>
    <row r="663" spans="1:24" ht="18" x14ac:dyDescent="0.55000000000000004">
      <c r="A663" s="373"/>
      <c r="B663" s="373"/>
      <c r="C663" s="373"/>
      <c r="D663" s="373"/>
      <c r="E663" s="373"/>
      <c r="F663" s="373"/>
      <c r="G663" s="373"/>
      <c r="H663" s="373"/>
      <c r="I663" s="373"/>
      <c r="J663" s="373"/>
      <c r="K663" s="373"/>
      <c r="L663" s="373"/>
      <c r="M663" s="373"/>
      <c r="N663" s="373"/>
      <c r="O663" s="373"/>
      <c r="P663" s="373"/>
      <c r="Q663" s="373"/>
      <c r="R663" s="373"/>
      <c r="S663" s="373"/>
      <c r="T663" s="373"/>
      <c r="U663" s="373"/>
      <c r="V663" s="373"/>
      <c r="W663" s="373"/>
      <c r="X663" s="373"/>
    </row>
    <row r="664" spans="1:24" ht="18" x14ac:dyDescent="0.55000000000000004">
      <c r="A664" s="373"/>
      <c r="B664" s="373"/>
      <c r="C664" s="373"/>
      <c r="D664" s="373"/>
      <c r="E664" s="373"/>
      <c r="F664" s="373"/>
      <c r="G664" s="373"/>
      <c r="H664" s="373"/>
      <c r="I664" s="373"/>
      <c r="J664" s="373"/>
      <c r="K664" s="373"/>
      <c r="L664" s="373"/>
      <c r="M664" s="373"/>
      <c r="N664" s="373"/>
      <c r="O664" s="373"/>
      <c r="P664" s="373"/>
      <c r="Q664" s="373"/>
      <c r="R664" s="373"/>
      <c r="S664" s="373"/>
      <c r="T664" s="373"/>
      <c r="U664" s="373"/>
      <c r="V664" s="373"/>
      <c r="W664" s="373"/>
      <c r="X664" s="373"/>
    </row>
    <row r="665" spans="1:24" ht="18" x14ac:dyDescent="0.55000000000000004">
      <c r="A665" s="373"/>
      <c r="B665" s="373"/>
      <c r="C665" s="373"/>
      <c r="D665" s="373"/>
      <c r="E665" s="373"/>
      <c r="F665" s="373"/>
      <c r="G665" s="373"/>
      <c r="H665" s="373"/>
      <c r="I665" s="373"/>
      <c r="J665" s="373"/>
      <c r="K665" s="373"/>
      <c r="L665" s="373"/>
      <c r="M665" s="373"/>
      <c r="N665" s="373"/>
      <c r="O665" s="373"/>
      <c r="P665" s="373"/>
      <c r="Q665" s="373"/>
      <c r="R665" s="373"/>
      <c r="S665" s="373"/>
      <c r="T665" s="373"/>
      <c r="U665" s="373"/>
      <c r="V665" s="373"/>
      <c r="W665" s="373"/>
      <c r="X665" s="373"/>
    </row>
    <row r="666" spans="1:24" ht="18" x14ac:dyDescent="0.55000000000000004">
      <c r="A666" s="373"/>
      <c r="B666" s="373"/>
      <c r="C666" s="373"/>
      <c r="D666" s="373"/>
      <c r="E666" s="373"/>
      <c r="F666" s="373"/>
      <c r="G666" s="373"/>
      <c r="H666" s="373"/>
      <c r="I666" s="373"/>
      <c r="J666" s="373"/>
      <c r="K666" s="373"/>
      <c r="L666" s="373"/>
      <c r="M666" s="373"/>
      <c r="N666" s="373"/>
      <c r="O666" s="373"/>
      <c r="P666" s="373"/>
      <c r="Q666" s="373"/>
      <c r="R666" s="373"/>
      <c r="S666" s="373"/>
      <c r="T666" s="373"/>
      <c r="U666" s="373"/>
      <c r="V666" s="373"/>
      <c r="W666" s="373"/>
      <c r="X666" s="373"/>
    </row>
    <row r="667" spans="1:24" ht="18" x14ac:dyDescent="0.55000000000000004">
      <c r="A667" s="373"/>
      <c r="B667" s="373"/>
      <c r="C667" s="373"/>
      <c r="D667" s="373"/>
      <c r="E667" s="373"/>
      <c r="F667" s="373"/>
      <c r="G667" s="373"/>
      <c r="H667" s="373"/>
      <c r="I667" s="373"/>
      <c r="J667" s="373"/>
      <c r="K667" s="373"/>
      <c r="L667" s="373"/>
      <c r="M667" s="373"/>
      <c r="N667" s="373"/>
      <c r="O667" s="373"/>
      <c r="P667" s="373"/>
      <c r="Q667" s="373"/>
      <c r="R667" s="373"/>
      <c r="S667" s="373"/>
      <c r="T667" s="373"/>
      <c r="U667" s="373"/>
      <c r="V667" s="373"/>
      <c r="W667" s="373"/>
      <c r="X667" s="373"/>
    </row>
    <row r="668" spans="1:24" ht="18" x14ac:dyDescent="0.55000000000000004">
      <c r="A668" s="373"/>
      <c r="B668" s="373"/>
      <c r="C668" s="373"/>
      <c r="D668" s="373"/>
      <c r="E668" s="373"/>
      <c r="F668" s="373"/>
      <c r="G668" s="373"/>
      <c r="H668" s="373"/>
      <c r="I668" s="373"/>
      <c r="J668" s="373"/>
      <c r="K668" s="373"/>
      <c r="L668" s="373"/>
      <c r="M668" s="373"/>
      <c r="N668" s="373"/>
      <c r="O668" s="373"/>
      <c r="P668" s="373"/>
      <c r="Q668" s="373"/>
      <c r="R668" s="373"/>
      <c r="S668" s="373"/>
      <c r="T668" s="373"/>
      <c r="U668" s="373"/>
      <c r="V668" s="373"/>
      <c r="W668" s="373"/>
      <c r="X668" s="373"/>
    </row>
    <row r="669" spans="1:24" ht="18" x14ac:dyDescent="0.55000000000000004">
      <c r="A669" s="373"/>
      <c r="B669" s="373"/>
      <c r="C669" s="373"/>
      <c r="D669" s="373"/>
      <c r="E669" s="373"/>
      <c r="F669" s="373"/>
      <c r="G669" s="373"/>
      <c r="H669" s="373"/>
      <c r="I669" s="373"/>
      <c r="J669" s="373"/>
      <c r="K669" s="373"/>
      <c r="L669" s="373"/>
      <c r="M669" s="373"/>
      <c r="N669" s="373"/>
      <c r="O669" s="373"/>
      <c r="P669" s="373"/>
      <c r="Q669" s="373"/>
      <c r="R669" s="373"/>
      <c r="S669" s="373"/>
      <c r="T669" s="373"/>
      <c r="U669" s="373"/>
      <c r="V669" s="373"/>
      <c r="W669" s="373"/>
      <c r="X669" s="373"/>
    </row>
    <row r="670" spans="1:24" ht="18" x14ac:dyDescent="0.55000000000000004">
      <c r="A670" s="373"/>
      <c r="B670" s="373"/>
      <c r="C670" s="373"/>
      <c r="D670" s="373"/>
      <c r="E670" s="373"/>
      <c r="F670" s="373"/>
      <c r="G670" s="373"/>
      <c r="H670" s="373"/>
      <c r="I670" s="373"/>
      <c r="J670" s="373"/>
      <c r="K670" s="373"/>
      <c r="L670" s="373"/>
      <c r="M670" s="373"/>
      <c r="N670" s="373"/>
      <c r="O670" s="373"/>
      <c r="P670" s="373"/>
      <c r="Q670" s="373"/>
      <c r="R670" s="373"/>
      <c r="S670" s="373"/>
      <c r="T670" s="373"/>
      <c r="U670" s="373"/>
      <c r="V670" s="373"/>
      <c r="W670" s="373"/>
      <c r="X670" s="373"/>
    </row>
    <row r="671" spans="1:24" ht="18" x14ac:dyDescent="0.55000000000000004">
      <c r="A671" s="373"/>
      <c r="B671" s="373"/>
      <c r="C671" s="373"/>
      <c r="D671" s="373"/>
      <c r="E671" s="373"/>
      <c r="F671" s="373"/>
      <c r="G671" s="373"/>
      <c r="H671" s="373"/>
      <c r="I671" s="373"/>
      <c r="J671" s="373"/>
      <c r="K671" s="373"/>
      <c r="L671" s="373"/>
      <c r="M671" s="373"/>
      <c r="N671" s="373"/>
      <c r="O671" s="373"/>
      <c r="P671" s="373"/>
      <c r="Q671" s="373"/>
      <c r="R671" s="373"/>
      <c r="S671" s="373"/>
      <c r="T671" s="373"/>
      <c r="U671" s="373"/>
      <c r="V671" s="373"/>
      <c r="W671" s="373"/>
      <c r="X671" s="373"/>
    </row>
    <row r="672" spans="1:24" ht="18" x14ac:dyDescent="0.55000000000000004">
      <c r="A672" s="373"/>
      <c r="B672" s="373"/>
      <c r="C672" s="373"/>
      <c r="D672" s="373"/>
      <c r="E672" s="373"/>
      <c r="F672" s="373"/>
      <c r="G672" s="373"/>
      <c r="H672" s="373"/>
      <c r="I672" s="373"/>
      <c r="J672" s="373"/>
      <c r="K672" s="373"/>
      <c r="L672" s="373"/>
      <c r="M672" s="373"/>
      <c r="N672" s="373"/>
      <c r="O672" s="373"/>
      <c r="P672" s="373"/>
      <c r="Q672" s="373"/>
      <c r="R672" s="373"/>
      <c r="S672" s="373"/>
      <c r="T672" s="373"/>
      <c r="U672" s="373"/>
      <c r="V672" s="373"/>
      <c r="W672" s="373"/>
      <c r="X672" s="373"/>
    </row>
    <row r="673" spans="1:24" ht="18" x14ac:dyDescent="0.55000000000000004">
      <c r="A673" s="373"/>
      <c r="B673" s="373"/>
      <c r="C673" s="373"/>
      <c r="D673" s="373"/>
      <c r="E673" s="373"/>
      <c r="F673" s="373"/>
      <c r="G673" s="373"/>
      <c r="H673" s="373"/>
      <c r="I673" s="373"/>
      <c r="J673" s="373"/>
      <c r="K673" s="373"/>
      <c r="L673" s="373"/>
      <c r="M673" s="373"/>
      <c r="N673" s="373"/>
      <c r="O673" s="373"/>
      <c r="P673" s="373"/>
      <c r="Q673" s="373"/>
      <c r="R673" s="373"/>
      <c r="S673" s="373"/>
      <c r="T673" s="373"/>
      <c r="U673" s="373"/>
      <c r="V673" s="373"/>
      <c r="W673" s="373"/>
      <c r="X673" s="373"/>
    </row>
    <row r="674" spans="1:24" ht="18" x14ac:dyDescent="0.55000000000000004">
      <c r="A674" s="373"/>
      <c r="B674" s="373"/>
      <c r="C674" s="373"/>
      <c r="D674" s="373"/>
      <c r="E674" s="373"/>
      <c r="F674" s="373"/>
      <c r="G674" s="373"/>
      <c r="H674" s="373"/>
      <c r="I674" s="373"/>
      <c r="J674" s="373"/>
      <c r="K674" s="373"/>
      <c r="L674" s="373"/>
      <c r="M674" s="373"/>
      <c r="N674" s="373"/>
      <c r="O674" s="373"/>
      <c r="P674" s="373"/>
      <c r="Q674" s="373"/>
      <c r="R674" s="373"/>
      <c r="S674" s="373"/>
      <c r="T674" s="373"/>
      <c r="U674" s="373"/>
      <c r="V674" s="373"/>
      <c r="W674" s="373"/>
      <c r="X674" s="373"/>
    </row>
    <row r="675" spans="1:24" ht="18" x14ac:dyDescent="0.55000000000000004">
      <c r="A675" s="373"/>
      <c r="B675" s="373"/>
      <c r="C675" s="373"/>
      <c r="D675" s="373"/>
      <c r="E675" s="373"/>
      <c r="F675" s="373"/>
      <c r="G675" s="373"/>
      <c r="H675" s="373"/>
      <c r="I675" s="373"/>
      <c r="J675" s="373"/>
      <c r="K675" s="373"/>
      <c r="L675" s="373"/>
      <c r="M675" s="373"/>
      <c r="N675" s="373"/>
      <c r="O675" s="373"/>
      <c r="P675" s="373"/>
      <c r="Q675" s="373"/>
      <c r="R675" s="373"/>
      <c r="S675" s="373"/>
      <c r="T675" s="373"/>
      <c r="U675" s="373"/>
      <c r="V675" s="373"/>
      <c r="W675" s="373"/>
      <c r="X675" s="373"/>
    </row>
    <row r="676" spans="1:24" ht="18" x14ac:dyDescent="0.55000000000000004">
      <c r="A676" s="373"/>
      <c r="B676" s="373"/>
      <c r="C676" s="373"/>
      <c r="D676" s="373"/>
      <c r="E676" s="373"/>
      <c r="F676" s="373"/>
      <c r="G676" s="373"/>
      <c r="H676" s="373"/>
      <c r="I676" s="373"/>
      <c r="J676" s="373"/>
      <c r="K676" s="373"/>
      <c r="L676" s="373"/>
      <c r="M676" s="373"/>
      <c r="N676" s="373"/>
      <c r="O676" s="373"/>
      <c r="P676" s="373"/>
      <c r="Q676" s="373"/>
      <c r="R676" s="373"/>
      <c r="S676" s="373"/>
      <c r="T676" s="373"/>
      <c r="U676" s="373"/>
      <c r="V676" s="373"/>
      <c r="W676" s="373"/>
      <c r="X676" s="373"/>
    </row>
    <row r="677" spans="1:24" ht="18" x14ac:dyDescent="0.55000000000000004">
      <c r="A677" s="373"/>
      <c r="B677" s="373"/>
      <c r="C677" s="373"/>
      <c r="D677" s="373"/>
      <c r="E677" s="373"/>
      <c r="F677" s="373"/>
      <c r="G677" s="373"/>
      <c r="H677" s="373"/>
      <c r="I677" s="373"/>
      <c r="J677" s="373"/>
      <c r="K677" s="373"/>
      <c r="L677" s="373"/>
      <c r="M677" s="373"/>
      <c r="N677" s="373"/>
      <c r="O677" s="373"/>
      <c r="P677" s="373"/>
      <c r="Q677" s="373"/>
      <c r="R677" s="373"/>
      <c r="S677" s="373"/>
      <c r="T677" s="373"/>
      <c r="U677" s="373"/>
      <c r="V677" s="373"/>
      <c r="W677" s="373"/>
      <c r="X677" s="373"/>
    </row>
    <row r="678" spans="1:24" ht="18" x14ac:dyDescent="0.55000000000000004">
      <c r="A678" s="373"/>
      <c r="B678" s="373"/>
      <c r="C678" s="373"/>
      <c r="D678" s="373"/>
      <c r="E678" s="373"/>
      <c r="F678" s="373"/>
      <c r="G678" s="373"/>
      <c r="H678" s="373"/>
      <c r="I678" s="373"/>
      <c r="J678" s="373"/>
      <c r="K678" s="373"/>
      <c r="L678" s="373"/>
      <c r="M678" s="373"/>
      <c r="N678" s="373"/>
      <c r="O678" s="373"/>
      <c r="P678" s="373"/>
      <c r="Q678" s="373"/>
      <c r="R678" s="373"/>
      <c r="S678" s="373"/>
      <c r="T678" s="373"/>
      <c r="U678" s="373"/>
      <c r="V678" s="373"/>
      <c r="W678" s="373"/>
      <c r="X678" s="373"/>
    </row>
    <row r="679" spans="1:24" ht="18" x14ac:dyDescent="0.55000000000000004">
      <c r="A679" s="373"/>
      <c r="B679" s="373"/>
      <c r="C679" s="373"/>
      <c r="D679" s="373"/>
      <c r="E679" s="373"/>
      <c r="F679" s="373"/>
      <c r="G679" s="373"/>
      <c r="H679" s="373"/>
      <c r="I679" s="373"/>
      <c r="J679" s="373"/>
      <c r="K679" s="373"/>
      <c r="L679" s="373"/>
      <c r="M679" s="373"/>
      <c r="N679" s="373"/>
      <c r="O679" s="373"/>
      <c r="P679" s="373"/>
      <c r="Q679" s="373"/>
      <c r="R679" s="373"/>
      <c r="S679" s="373"/>
      <c r="T679" s="373"/>
      <c r="U679" s="373"/>
      <c r="V679" s="373"/>
      <c r="W679" s="373"/>
      <c r="X679" s="373"/>
    </row>
    <row r="680" spans="1:24" ht="18" x14ac:dyDescent="0.55000000000000004">
      <c r="A680" s="373"/>
      <c r="B680" s="373"/>
      <c r="C680" s="373"/>
      <c r="D680" s="373"/>
      <c r="E680" s="373"/>
      <c r="F680" s="373"/>
      <c r="G680" s="373"/>
      <c r="H680" s="373"/>
      <c r="I680" s="373"/>
      <c r="J680" s="373"/>
      <c r="K680" s="373"/>
      <c r="L680" s="373"/>
      <c r="M680" s="373"/>
      <c r="N680" s="373"/>
      <c r="O680" s="373"/>
      <c r="P680" s="373"/>
      <c r="Q680" s="373"/>
      <c r="R680" s="373"/>
      <c r="S680" s="373"/>
      <c r="T680" s="373"/>
      <c r="U680" s="373"/>
      <c r="V680" s="373"/>
      <c r="W680" s="373"/>
      <c r="X680" s="373"/>
    </row>
    <row r="681" spans="1:24" ht="18" x14ac:dyDescent="0.55000000000000004">
      <c r="A681" s="373"/>
      <c r="B681" s="373"/>
      <c r="C681" s="373"/>
      <c r="D681" s="373"/>
      <c r="E681" s="373"/>
      <c r="F681" s="373"/>
      <c r="G681" s="373"/>
      <c r="H681" s="373"/>
      <c r="I681" s="373"/>
      <c r="J681" s="373"/>
      <c r="K681" s="373"/>
      <c r="L681" s="373"/>
      <c r="M681" s="373"/>
      <c r="N681" s="373"/>
      <c r="O681" s="373"/>
      <c r="P681" s="373"/>
      <c r="Q681" s="373"/>
      <c r="R681" s="373"/>
      <c r="S681" s="373"/>
      <c r="T681" s="373"/>
      <c r="U681" s="373"/>
      <c r="V681" s="373"/>
      <c r="W681" s="373"/>
      <c r="X681" s="373"/>
    </row>
    <row r="682" spans="1:24" ht="18" x14ac:dyDescent="0.55000000000000004">
      <c r="A682" s="373"/>
      <c r="B682" s="373"/>
      <c r="C682" s="373"/>
      <c r="D682" s="373"/>
      <c r="E682" s="373"/>
      <c r="F682" s="373"/>
      <c r="G682" s="373"/>
      <c r="H682" s="373"/>
      <c r="I682" s="373"/>
      <c r="J682" s="373"/>
      <c r="K682" s="373"/>
      <c r="L682" s="373"/>
      <c r="M682" s="373"/>
      <c r="N682" s="373"/>
      <c r="O682" s="373"/>
      <c r="P682" s="373"/>
      <c r="Q682" s="373"/>
      <c r="R682" s="373"/>
      <c r="S682" s="373"/>
      <c r="T682" s="373"/>
      <c r="U682" s="373"/>
      <c r="V682" s="373"/>
      <c r="W682" s="373"/>
      <c r="X682" s="373"/>
    </row>
    <row r="683" spans="1:24" ht="18" x14ac:dyDescent="0.55000000000000004">
      <c r="A683" s="373"/>
      <c r="B683" s="373"/>
      <c r="C683" s="373"/>
      <c r="D683" s="373"/>
      <c r="E683" s="373"/>
      <c r="F683" s="373"/>
      <c r="G683" s="373"/>
      <c r="H683" s="373"/>
      <c r="I683" s="373"/>
      <c r="J683" s="373"/>
      <c r="K683" s="373"/>
      <c r="L683" s="373"/>
      <c r="M683" s="373"/>
      <c r="N683" s="373"/>
      <c r="O683" s="373"/>
      <c r="P683" s="373"/>
      <c r="Q683" s="373"/>
      <c r="R683" s="373"/>
      <c r="S683" s="373"/>
      <c r="T683" s="373"/>
      <c r="U683" s="373"/>
      <c r="V683" s="373"/>
      <c r="W683" s="373"/>
      <c r="X683" s="373"/>
    </row>
    <row r="684" spans="1:24" ht="18" x14ac:dyDescent="0.55000000000000004">
      <c r="A684" s="373"/>
      <c r="B684" s="373"/>
      <c r="C684" s="373"/>
      <c r="D684" s="373"/>
      <c r="E684" s="373"/>
      <c r="F684" s="373"/>
      <c r="G684" s="373"/>
      <c r="H684" s="373"/>
      <c r="I684" s="373"/>
      <c r="J684" s="373"/>
      <c r="K684" s="373"/>
      <c r="L684" s="373"/>
      <c r="M684" s="373"/>
      <c r="N684" s="373"/>
      <c r="O684" s="373"/>
      <c r="P684" s="373"/>
      <c r="Q684" s="373"/>
      <c r="R684" s="373"/>
      <c r="S684" s="373"/>
      <c r="T684" s="373"/>
      <c r="U684" s="373"/>
      <c r="V684" s="373"/>
      <c r="W684" s="373"/>
      <c r="X684" s="373"/>
    </row>
    <row r="685" spans="1:24" ht="18" x14ac:dyDescent="0.55000000000000004">
      <c r="A685" s="373"/>
      <c r="B685" s="373"/>
      <c r="C685" s="373"/>
      <c r="D685" s="373"/>
      <c r="E685" s="373"/>
      <c r="F685" s="373"/>
      <c r="G685" s="373"/>
      <c r="H685" s="373"/>
      <c r="I685" s="373"/>
      <c r="J685" s="373"/>
      <c r="K685" s="373"/>
      <c r="L685" s="373"/>
      <c r="M685" s="373"/>
      <c r="N685" s="373"/>
      <c r="O685" s="373"/>
      <c r="P685" s="373"/>
      <c r="Q685" s="373"/>
      <c r="R685" s="373"/>
      <c r="S685" s="373"/>
      <c r="T685" s="373"/>
      <c r="U685" s="373"/>
      <c r="V685" s="373"/>
      <c r="W685" s="373"/>
      <c r="X685" s="373"/>
    </row>
    <row r="686" spans="1:24" ht="18" x14ac:dyDescent="0.55000000000000004">
      <c r="A686" s="373"/>
      <c r="B686" s="373"/>
      <c r="C686" s="373"/>
      <c r="D686" s="373"/>
      <c r="E686" s="373"/>
      <c r="F686" s="373"/>
      <c r="G686" s="373"/>
      <c r="H686" s="373"/>
      <c r="I686" s="373"/>
      <c r="J686" s="373"/>
      <c r="K686" s="373"/>
      <c r="L686" s="373"/>
      <c r="M686" s="373"/>
      <c r="N686" s="373"/>
      <c r="O686" s="373"/>
      <c r="P686" s="373"/>
      <c r="Q686" s="373"/>
      <c r="R686" s="373"/>
      <c r="S686" s="373"/>
      <c r="T686" s="373"/>
      <c r="U686" s="373"/>
      <c r="V686" s="373"/>
      <c r="W686" s="373"/>
      <c r="X686" s="373"/>
    </row>
    <row r="687" spans="1:24" ht="18" x14ac:dyDescent="0.55000000000000004">
      <c r="A687" s="373"/>
      <c r="B687" s="373"/>
      <c r="C687" s="373"/>
      <c r="D687" s="373"/>
      <c r="E687" s="373"/>
      <c r="F687" s="373"/>
      <c r="G687" s="373"/>
      <c r="H687" s="373"/>
      <c r="I687" s="373"/>
      <c r="J687" s="373"/>
      <c r="K687" s="373"/>
      <c r="L687" s="373"/>
      <c r="M687" s="373"/>
      <c r="N687" s="373"/>
      <c r="O687" s="373"/>
      <c r="P687" s="373"/>
      <c r="Q687" s="373"/>
      <c r="R687" s="373"/>
      <c r="S687" s="373"/>
      <c r="T687" s="373"/>
      <c r="U687" s="373"/>
      <c r="V687" s="373"/>
      <c r="W687" s="373"/>
      <c r="X687" s="373"/>
    </row>
    <row r="688" spans="1:24" ht="18" x14ac:dyDescent="0.55000000000000004">
      <c r="A688" s="373"/>
      <c r="B688" s="373"/>
      <c r="C688" s="373"/>
      <c r="D688" s="373"/>
      <c r="E688" s="373"/>
      <c r="F688" s="373"/>
      <c r="G688" s="373"/>
      <c r="H688" s="373"/>
      <c r="I688" s="373"/>
      <c r="J688" s="373"/>
      <c r="K688" s="373"/>
      <c r="L688" s="373"/>
      <c r="M688" s="373"/>
      <c r="N688" s="373"/>
      <c r="O688" s="373"/>
      <c r="P688" s="373"/>
      <c r="Q688" s="373"/>
      <c r="R688" s="373"/>
      <c r="S688" s="373"/>
      <c r="T688" s="373"/>
      <c r="U688" s="373"/>
      <c r="V688" s="373"/>
      <c r="W688" s="373"/>
      <c r="X688" s="373"/>
    </row>
    <row r="689" spans="1:24" ht="18" x14ac:dyDescent="0.55000000000000004">
      <c r="A689" s="373"/>
      <c r="B689" s="373"/>
      <c r="C689" s="373"/>
      <c r="D689" s="373"/>
      <c r="E689" s="373"/>
      <c r="F689" s="373"/>
      <c r="G689" s="373"/>
      <c r="H689" s="373"/>
      <c r="I689" s="373"/>
      <c r="J689" s="373"/>
      <c r="K689" s="373"/>
      <c r="L689" s="373"/>
      <c r="M689" s="373"/>
      <c r="N689" s="373"/>
      <c r="O689" s="373"/>
      <c r="P689" s="373"/>
      <c r="Q689" s="373"/>
      <c r="R689" s="373"/>
      <c r="S689" s="373"/>
      <c r="T689" s="373"/>
      <c r="U689" s="373"/>
      <c r="V689" s="373"/>
      <c r="W689" s="373"/>
      <c r="X689" s="373"/>
    </row>
    <row r="690" spans="1:24" ht="18" x14ac:dyDescent="0.55000000000000004">
      <c r="A690" s="373"/>
      <c r="B690" s="373"/>
      <c r="C690" s="373"/>
      <c r="D690" s="373"/>
      <c r="E690" s="373"/>
      <c r="F690" s="373"/>
      <c r="G690" s="373"/>
      <c r="H690" s="373"/>
      <c r="I690" s="373"/>
      <c r="J690" s="373"/>
      <c r="K690" s="373"/>
      <c r="L690" s="373"/>
      <c r="M690" s="373"/>
      <c r="N690" s="373"/>
      <c r="O690" s="373"/>
      <c r="P690" s="373"/>
      <c r="Q690" s="373"/>
      <c r="R690" s="373"/>
      <c r="S690" s="373"/>
      <c r="T690" s="373"/>
      <c r="U690" s="373"/>
      <c r="V690" s="373"/>
      <c r="W690" s="373"/>
      <c r="X690" s="373"/>
    </row>
    <row r="691" spans="1:24" ht="18" x14ac:dyDescent="0.55000000000000004">
      <c r="A691" s="373"/>
      <c r="B691" s="373"/>
      <c r="C691" s="373"/>
      <c r="D691" s="373"/>
      <c r="E691" s="373"/>
      <c r="F691" s="373"/>
      <c r="G691" s="373"/>
      <c r="H691" s="373"/>
      <c r="I691" s="373"/>
      <c r="J691" s="373"/>
      <c r="K691" s="373"/>
      <c r="L691" s="373"/>
      <c r="M691" s="373"/>
      <c r="N691" s="373"/>
      <c r="O691" s="373"/>
      <c r="P691" s="373"/>
      <c r="Q691" s="373"/>
      <c r="R691" s="373"/>
      <c r="S691" s="373"/>
      <c r="T691" s="373"/>
      <c r="U691" s="373"/>
      <c r="V691" s="373"/>
      <c r="W691" s="373"/>
      <c r="X691" s="373"/>
    </row>
    <row r="692" spans="1:24" ht="18" x14ac:dyDescent="0.55000000000000004">
      <c r="A692" s="373"/>
      <c r="B692" s="373"/>
      <c r="C692" s="373"/>
      <c r="D692" s="373"/>
      <c r="E692" s="373"/>
      <c r="F692" s="373"/>
      <c r="G692" s="373"/>
      <c r="H692" s="373"/>
      <c r="I692" s="373"/>
      <c r="J692" s="373"/>
      <c r="K692" s="373"/>
      <c r="L692" s="373"/>
      <c r="M692" s="373"/>
      <c r="N692" s="373"/>
      <c r="O692" s="373"/>
      <c r="P692" s="373"/>
      <c r="Q692" s="373"/>
      <c r="R692" s="373"/>
      <c r="S692" s="373"/>
      <c r="T692" s="373"/>
      <c r="U692" s="373"/>
      <c r="V692" s="373"/>
      <c r="W692" s="373"/>
      <c r="X692" s="373"/>
    </row>
    <row r="693" spans="1:24" ht="18" x14ac:dyDescent="0.55000000000000004">
      <c r="A693" s="373"/>
      <c r="B693" s="373"/>
      <c r="C693" s="373"/>
      <c r="D693" s="373"/>
      <c r="E693" s="373"/>
      <c r="F693" s="373"/>
      <c r="G693" s="373"/>
      <c r="H693" s="373"/>
      <c r="I693" s="373"/>
      <c r="J693" s="373"/>
      <c r="K693" s="373"/>
      <c r="L693" s="373"/>
      <c r="M693" s="373"/>
      <c r="N693" s="373"/>
      <c r="O693" s="373"/>
      <c r="P693" s="373"/>
      <c r="Q693" s="373"/>
      <c r="R693" s="373"/>
      <c r="S693" s="373"/>
      <c r="T693" s="373"/>
      <c r="U693" s="373"/>
      <c r="V693" s="373"/>
      <c r="W693" s="373"/>
      <c r="X693" s="373"/>
    </row>
    <row r="694" spans="1:24" ht="18" x14ac:dyDescent="0.55000000000000004">
      <c r="A694" s="373"/>
      <c r="B694" s="373"/>
      <c r="C694" s="373"/>
      <c r="D694" s="373"/>
      <c r="E694" s="373"/>
      <c r="F694" s="373"/>
      <c r="G694" s="373"/>
      <c r="H694" s="373"/>
      <c r="I694" s="373"/>
      <c r="J694" s="373"/>
      <c r="K694" s="373"/>
      <c r="L694" s="373"/>
      <c r="M694" s="373"/>
      <c r="N694" s="373"/>
      <c r="O694" s="373"/>
      <c r="P694" s="373"/>
      <c r="Q694" s="373"/>
      <c r="R694" s="373"/>
      <c r="S694" s="373"/>
      <c r="T694" s="373"/>
      <c r="U694" s="373"/>
      <c r="V694" s="373"/>
      <c r="W694" s="373"/>
      <c r="X694" s="373"/>
    </row>
    <row r="695" spans="1:24" ht="18" x14ac:dyDescent="0.55000000000000004">
      <c r="A695" s="373"/>
      <c r="B695" s="373"/>
      <c r="C695" s="373"/>
      <c r="D695" s="373"/>
      <c r="E695" s="373"/>
      <c r="F695" s="373"/>
      <c r="G695" s="373"/>
      <c r="H695" s="373"/>
      <c r="I695" s="373"/>
      <c r="J695" s="373"/>
      <c r="K695" s="373"/>
      <c r="L695" s="373"/>
      <c r="M695" s="373"/>
      <c r="N695" s="373"/>
      <c r="O695" s="373"/>
      <c r="P695" s="373"/>
      <c r="Q695" s="373"/>
      <c r="R695" s="373"/>
      <c r="S695" s="373"/>
      <c r="T695" s="373"/>
      <c r="U695" s="373"/>
      <c r="V695" s="373"/>
      <c r="W695" s="373"/>
      <c r="X695" s="373"/>
    </row>
    <row r="696" spans="1:24" ht="18" x14ac:dyDescent="0.55000000000000004">
      <c r="A696" s="373"/>
      <c r="B696" s="373"/>
      <c r="C696" s="373"/>
      <c r="D696" s="373"/>
      <c r="E696" s="373"/>
      <c r="F696" s="373"/>
      <c r="G696" s="373"/>
      <c r="H696" s="373"/>
      <c r="I696" s="373"/>
      <c r="J696" s="373"/>
      <c r="K696" s="373"/>
      <c r="L696" s="373"/>
      <c r="M696" s="373"/>
      <c r="N696" s="373"/>
      <c r="O696" s="373"/>
      <c r="P696" s="373"/>
      <c r="Q696" s="373"/>
      <c r="R696" s="373"/>
      <c r="S696" s="373"/>
      <c r="T696" s="373"/>
      <c r="U696" s="373"/>
      <c r="V696" s="373"/>
      <c r="W696" s="373"/>
      <c r="X696" s="373"/>
    </row>
    <row r="697" spans="1:24" ht="18" x14ac:dyDescent="0.55000000000000004">
      <c r="A697" s="373"/>
      <c r="B697" s="373"/>
      <c r="C697" s="373"/>
      <c r="D697" s="373"/>
      <c r="E697" s="373"/>
      <c r="F697" s="373"/>
      <c r="G697" s="373"/>
      <c r="H697" s="373"/>
      <c r="I697" s="373"/>
      <c r="J697" s="373"/>
      <c r="K697" s="373"/>
      <c r="L697" s="373"/>
      <c r="M697" s="373"/>
      <c r="N697" s="373"/>
      <c r="O697" s="373"/>
      <c r="P697" s="373"/>
      <c r="Q697" s="373"/>
      <c r="R697" s="373"/>
      <c r="S697" s="373"/>
      <c r="T697" s="373"/>
      <c r="U697" s="373"/>
      <c r="V697" s="373"/>
      <c r="W697" s="373"/>
      <c r="X697" s="373"/>
    </row>
    <row r="698" spans="1:24" ht="18" x14ac:dyDescent="0.55000000000000004">
      <c r="A698" s="373"/>
      <c r="B698" s="373"/>
      <c r="C698" s="373"/>
      <c r="D698" s="373"/>
      <c r="E698" s="373"/>
      <c r="F698" s="373"/>
      <c r="G698" s="373"/>
      <c r="H698" s="373"/>
      <c r="I698" s="373"/>
      <c r="J698" s="373"/>
      <c r="K698" s="373"/>
      <c r="L698" s="373"/>
      <c r="M698" s="373"/>
      <c r="N698" s="373"/>
      <c r="O698" s="373"/>
      <c r="P698" s="373"/>
      <c r="Q698" s="373"/>
      <c r="R698" s="373"/>
      <c r="S698" s="373"/>
      <c r="T698" s="373"/>
      <c r="U698" s="373"/>
      <c r="V698" s="373"/>
      <c r="W698" s="373"/>
      <c r="X698" s="373"/>
    </row>
    <row r="699" spans="1:24" ht="18" x14ac:dyDescent="0.55000000000000004">
      <c r="A699" s="373"/>
      <c r="B699" s="373"/>
      <c r="C699" s="373"/>
      <c r="D699" s="373"/>
      <c r="E699" s="373"/>
      <c r="F699" s="373"/>
      <c r="G699" s="373"/>
      <c r="H699" s="373"/>
      <c r="I699" s="373"/>
      <c r="J699" s="373"/>
      <c r="K699" s="373"/>
      <c r="L699" s="373"/>
      <c r="M699" s="373"/>
      <c r="N699" s="373"/>
      <c r="O699" s="373"/>
      <c r="P699" s="373"/>
      <c r="Q699" s="373"/>
      <c r="R699" s="373"/>
      <c r="S699" s="373"/>
      <c r="T699" s="373"/>
      <c r="U699" s="373"/>
      <c r="V699" s="373"/>
      <c r="W699" s="373"/>
      <c r="X699" s="373"/>
    </row>
    <row r="700" spans="1:24" ht="18" x14ac:dyDescent="0.55000000000000004">
      <c r="A700" s="373"/>
      <c r="B700" s="373"/>
      <c r="C700" s="373"/>
      <c r="D700" s="373"/>
      <c r="E700" s="373"/>
      <c r="F700" s="373"/>
      <c r="G700" s="373"/>
      <c r="H700" s="373"/>
      <c r="I700" s="373"/>
      <c r="J700" s="373"/>
      <c r="K700" s="373"/>
      <c r="L700" s="373"/>
      <c r="M700" s="373"/>
      <c r="N700" s="373"/>
      <c r="O700" s="373"/>
      <c r="P700" s="373"/>
      <c r="Q700" s="373"/>
      <c r="R700" s="373"/>
      <c r="S700" s="373"/>
      <c r="T700" s="373"/>
      <c r="U700" s="373"/>
      <c r="V700" s="373"/>
      <c r="W700" s="373"/>
      <c r="X700" s="373"/>
    </row>
    <row r="701" spans="1:24" ht="18" x14ac:dyDescent="0.55000000000000004">
      <c r="A701" s="373"/>
      <c r="B701" s="373"/>
      <c r="C701" s="373"/>
      <c r="D701" s="373"/>
      <c r="E701" s="373"/>
      <c r="F701" s="373"/>
      <c r="G701" s="373"/>
      <c r="H701" s="373"/>
      <c r="I701" s="373"/>
      <c r="J701" s="373"/>
      <c r="K701" s="373"/>
      <c r="L701" s="373"/>
      <c r="M701" s="373"/>
      <c r="N701" s="373"/>
      <c r="O701" s="373"/>
      <c r="P701" s="373"/>
      <c r="Q701" s="373"/>
      <c r="R701" s="373"/>
      <c r="S701" s="373"/>
      <c r="T701" s="373"/>
      <c r="U701" s="373"/>
      <c r="V701" s="373"/>
      <c r="W701" s="373"/>
      <c r="X701" s="373"/>
    </row>
    <row r="702" spans="1:24" ht="18" x14ac:dyDescent="0.55000000000000004">
      <c r="A702" s="373"/>
      <c r="B702" s="373"/>
      <c r="C702" s="373"/>
      <c r="D702" s="373"/>
      <c r="E702" s="373"/>
      <c r="F702" s="373"/>
      <c r="G702" s="373"/>
      <c r="H702" s="373"/>
      <c r="I702" s="373"/>
      <c r="J702" s="373"/>
      <c r="K702" s="373"/>
      <c r="L702" s="373"/>
      <c r="M702" s="373"/>
      <c r="N702" s="373"/>
      <c r="O702" s="373"/>
      <c r="P702" s="373"/>
      <c r="Q702" s="373"/>
      <c r="R702" s="373"/>
      <c r="S702" s="373"/>
      <c r="T702" s="373"/>
      <c r="U702" s="373"/>
      <c r="V702" s="373"/>
      <c r="W702" s="373"/>
      <c r="X702" s="373"/>
    </row>
    <row r="703" spans="1:24" ht="18" x14ac:dyDescent="0.55000000000000004">
      <c r="A703" s="373"/>
      <c r="B703" s="373"/>
      <c r="C703" s="373"/>
      <c r="D703" s="373"/>
      <c r="E703" s="373"/>
      <c r="F703" s="373"/>
      <c r="G703" s="373"/>
      <c r="H703" s="373"/>
      <c r="I703" s="373"/>
      <c r="J703" s="373"/>
      <c r="K703" s="373"/>
      <c r="L703" s="373"/>
      <c r="M703" s="373"/>
      <c r="N703" s="373"/>
      <c r="O703" s="373"/>
      <c r="P703" s="373"/>
      <c r="Q703" s="373"/>
      <c r="R703" s="373"/>
      <c r="S703" s="373"/>
      <c r="T703" s="373"/>
      <c r="U703" s="373"/>
      <c r="V703" s="373"/>
      <c r="W703" s="373"/>
      <c r="X703" s="373"/>
    </row>
    <row r="704" spans="1:24" ht="18" x14ac:dyDescent="0.55000000000000004">
      <c r="A704" s="373"/>
      <c r="B704" s="373"/>
      <c r="C704" s="373"/>
      <c r="D704" s="373"/>
      <c r="E704" s="373"/>
      <c r="F704" s="373"/>
      <c r="G704" s="373"/>
      <c r="H704" s="373"/>
      <c r="I704" s="373"/>
      <c r="J704" s="373"/>
      <c r="K704" s="373"/>
      <c r="L704" s="373"/>
      <c r="M704" s="373"/>
      <c r="N704" s="373"/>
      <c r="O704" s="373"/>
      <c r="P704" s="373"/>
      <c r="Q704" s="373"/>
      <c r="R704" s="373"/>
      <c r="S704" s="373"/>
      <c r="T704" s="373"/>
      <c r="U704" s="373"/>
      <c r="V704" s="373"/>
      <c r="W704" s="373"/>
      <c r="X704" s="373"/>
    </row>
    <row r="705" spans="1:24" ht="18" x14ac:dyDescent="0.55000000000000004">
      <c r="A705" s="373"/>
      <c r="B705" s="373"/>
      <c r="C705" s="373"/>
      <c r="D705" s="373"/>
      <c r="E705" s="373"/>
      <c r="F705" s="373"/>
      <c r="G705" s="373"/>
      <c r="H705" s="373"/>
      <c r="I705" s="373"/>
      <c r="J705" s="373"/>
      <c r="K705" s="373"/>
      <c r="L705" s="373"/>
      <c r="M705" s="373"/>
      <c r="N705" s="373"/>
      <c r="O705" s="373"/>
      <c r="P705" s="373"/>
      <c r="Q705" s="373"/>
      <c r="R705" s="373"/>
      <c r="S705" s="373"/>
      <c r="T705" s="373"/>
      <c r="U705" s="373"/>
      <c r="V705" s="373"/>
      <c r="W705" s="373"/>
      <c r="X705" s="373"/>
    </row>
    <row r="706" spans="1:24" ht="18" x14ac:dyDescent="0.55000000000000004">
      <c r="A706" s="373"/>
      <c r="B706" s="373"/>
      <c r="C706" s="373"/>
      <c r="D706" s="373"/>
      <c r="E706" s="373"/>
      <c r="F706" s="373"/>
      <c r="G706" s="373"/>
      <c r="H706" s="373"/>
      <c r="I706" s="373"/>
      <c r="J706" s="373"/>
      <c r="K706" s="373"/>
      <c r="L706" s="373"/>
      <c r="M706" s="373"/>
      <c r="N706" s="373"/>
      <c r="O706" s="373"/>
      <c r="P706" s="373"/>
      <c r="Q706" s="373"/>
      <c r="R706" s="373"/>
      <c r="S706" s="373"/>
      <c r="T706" s="373"/>
      <c r="U706" s="373"/>
      <c r="V706" s="373"/>
      <c r="W706" s="373"/>
      <c r="X706" s="373"/>
    </row>
    <row r="707" spans="1:24" ht="18" x14ac:dyDescent="0.55000000000000004">
      <c r="A707" s="373"/>
      <c r="B707" s="373"/>
      <c r="C707" s="373"/>
      <c r="D707" s="373"/>
      <c r="E707" s="373"/>
      <c r="F707" s="373"/>
      <c r="G707" s="373"/>
      <c r="H707" s="373"/>
      <c r="I707" s="373"/>
      <c r="J707" s="373"/>
      <c r="K707" s="373"/>
      <c r="L707" s="373"/>
      <c r="M707" s="373"/>
      <c r="N707" s="373"/>
      <c r="O707" s="373"/>
      <c r="P707" s="373"/>
      <c r="Q707" s="373"/>
      <c r="R707" s="373"/>
      <c r="S707" s="373"/>
      <c r="T707" s="373"/>
      <c r="U707" s="373"/>
      <c r="V707" s="373"/>
      <c r="W707" s="373"/>
      <c r="X707" s="373"/>
    </row>
    <row r="708" spans="1:24" ht="18" x14ac:dyDescent="0.55000000000000004">
      <c r="A708" s="373"/>
      <c r="B708" s="373"/>
      <c r="C708" s="373"/>
      <c r="D708" s="373"/>
      <c r="E708" s="373"/>
      <c r="F708" s="373"/>
      <c r="G708" s="373"/>
      <c r="H708" s="373"/>
      <c r="I708" s="373"/>
      <c r="J708" s="373"/>
      <c r="K708" s="373"/>
      <c r="L708" s="373"/>
      <c r="M708" s="373"/>
      <c r="N708" s="373"/>
      <c r="O708" s="373"/>
      <c r="P708" s="373"/>
      <c r="Q708" s="373"/>
      <c r="R708" s="373"/>
      <c r="S708" s="373"/>
      <c r="T708" s="373"/>
      <c r="U708" s="373"/>
      <c r="V708" s="373"/>
      <c r="W708" s="373"/>
      <c r="X708" s="373"/>
    </row>
    <row r="709" spans="1:24" ht="18" x14ac:dyDescent="0.55000000000000004">
      <c r="A709" s="373"/>
      <c r="B709" s="373"/>
      <c r="C709" s="373"/>
      <c r="D709" s="373"/>
      <c r="E709" s="373"/>
      <c r="F709" s="373"/>
      <c r="G709" s="373"/>
      <c r="H709" s="373"/>
      <c r="I709" s="373"/>
      <c r="J709" s="373"/>
      <c r="K709" s="373"/>
      <c r="L709" s="373"/>
      <c r="M709" s="373"/>
      <c r="N709" s="373"/>
      <c r="O709" s="373"/>
      <c r="P709" s="373"/>
      <c r="Q709" s="373"/>
      <c r="R709" s="373"/>
      <c r="S709" s="373"/>
      <c r="T709" s="373"/>
      <c r="U709" s="373"/>
      <c r="V709" s="373"/>
      <c r="W709" s="373"/>
      <c r="X709" s="373"/>
    </row>
    <row r="710" spans="1:24" ht="18" x14ac:dyDescent="0.55000000000000004">
      <c r="A710" s="373"/>
      <c r="B710" s="373"/>
      <c r="C710" s="373"/>
      <c r="D710" s="373"/>
      <c r="E710" s="373"/>
      <c r="F710" s="373"/>
      <c r="G710" s="373"/>
      <c r="H710" s="373"/>
      <c r="I710" s="373"/>
      <c r="J710" s="373"/>
      <c r="K710" s="373"/>
      <c r="L710" s="373"/>
      <c r="M710" s="373"/>
      <c r="N710" s="373"/>
      <c r="O710" s="373"/>
      <c r="P710" s="373"/>
      <c r="Q710" s="373"/>
      <c r="R710" s="373"/>
      <c r="S710" s="373"/>
      <c r="T710" s="373"/>
      <c r="U710" s="373"/>
      <c r="V710" s="373"/>
      <c r="W710" s="373"/>
      <c r="X710" s="373"/>
    </row>
    <row r="711" spans="1:24" ht="18" x14ac:dyDescent="0.55000000000000004">
      <c r="A711" s="373"/>
      <c r="B711" s="373"/>
      <c r="C711" s="373"/>
      <c r="D711" s="373"/>
      <c r="E711" s="373"/>
      <c r="F711" s="373"/>
      <c r="G711" s="373"/>
      <c r="H711" s="373"/>
      <c r="I711" s="373"/>
      <c r="J711" s="373"/>
      <c r="K711" s="373"/>
      <c r="L711" s="373"/>
      <c r="M711" s="373"/>
      <c r="N711" s="373"/>
      <c r="O711" s="373"/>
      <c r="P711" s="373"/>
      <c r="Q711" s="373"/>
      <c r="R711" s="373"/>
      <c r="S711" s="373"/>
      <c r="T711" s="373"/>
      <c r="U711" s="373"/>
      <c r="V711" s="373"/>
      <c r="W711" s="373"/>
      <c r="X711" s="373"/>
    </row>
    <row r="712" spans="1:24" ht="18" x14ac:dyDescent="0.55000000000000004">
      <c r="A712" s="373"/>
      <c r="B712" s="373"/>
      <c r="C712" s="373"/>
      <c r="D712" s="373"/>
      <c r="E712" s="373"/>
      <c r="F712" s="373"/>
      <c r="G712" s="373"/>
      <c r="H712" s="373"/>
      <c r="I712" s="373"/>
      <c r="J712" s="373"/>
      <c r="K712" s="373"/>
      <c r="L712" s="373"/>
      <c r="M712" s="373"/>
      <c r="N712" s="373"/>
      <c r="O712" s="373"/>
      <c r="P712" s="373"/>
      <c r="Q712" s="373"/>
      <c r="R712" s="373"/>
      <c r="S712" s="373"/>
      <c r="T712" s="373"/>
      <c r="U712" s="373"/>
      <c r="V712" s="373"/>
      <c r="W712" s="373"/>
      <c r="X712" s="373"/>
    </row>
    <row r="713" spans="1:24" ht="18" x14ac:dyDescent="0.55000000000000004">
      <c r="A713" s="373"/>
      <c r="B713" s="373"/>
      <c r="C713" s="373"/>
      <c r="D713" s="373"/>
      <c r="E713" s="373"/>
      <c r="F713" s="373"/>
      <c r="G713" s="373"/>
      <c r="H713" s="373"/>
      <c r="I713" s="373"/>
      <c r="J713" s="373"/>
      <c r="K713" s="373"/>
      <c r="L713" s="373"/>
      <c r="M713" s="373"/>
      <c r="N713" s="373"/>
      <c r="O713" s="373"/>
      <c r="P713" s="373"/>
      <c r="Q713" s="373"/>
      <c r="R713" s="373"/>
      <c r="S713" s="373"/>
      <c r="T713" s="373"/>
      <c r="U713" s="373"/>
      <c r="V713" s="373"/>
      <c r="W713" s="373"/>
      <c r="X713" s="373"/>
    </row>
    <row r="714" spans="1:24" ht="18" x14ac:dyDescent="0.55000000000000004">
      <c r="A714" s="373"/>
      <c r="B714" s="373"/>
      <c r="C714" s="373"/>
      <c r="D714" s="373"/>
      <c r="E714" s="373"/>
      <c r="F714" s="373"/>
      <c r="G714" s="373"/>
      <c r="H714" s="373"/>
      <c r="I714" s="373"/>
      <c r="J714" s="373"/>
      <c r="K714" s="373"/>
      <c r="L714" s="373"/>
      <c r="M714" s="373"/>
      <c r="N714" s="373"/>
      <c r="O714" s="373"/>
      <c r="P714" s="373"/>
      <c r="Q714" s="373"/>
      <c r="R714" s="373"/>
      <c r="S714" s="373"/>
      <c r="T714" s="373"/>
      <c r="U714" s="373"/>
      <c r="V714" s="373"/>
      <c r="W714" s="373"/>
      <c r="X714" s="373"/>
    </row>
    <row r="715" spans="1:24" ht="18" x14ac:dyDescent="0.55000000000000004">
      <c r="A715" s="373"/>
      <c r="B715" s="373"/>
      <c r="C715" s="373"/>
      <c r="D715" s="373"/>
      <c r="E715" s="373"/>
      <c r="F715" s="373"/>
      <c r="G715" s="373"/>
      <c r="H715" s="373"/>
      <c r="I715" s="373"/>
      <c r="J715" s="373"/>
      <c r="K715" s="373"/>
      <c r="L715" s="373"/>
      <c r="M715" s="373"/>
      <c r="N715" s="373"/>
      <c r="O715" s="373"/>
      <c r="P715" s="373"/>
      <c r="Q715" s="373"/>
      <c r="R715" s="373"/>
      <c r="S715" s="373"/>
      <c r="T715" s="373"/>
      <c r="U715" s="373"/>
      <c r="V715" s="373"/>
      <c r="W715" s="373"/>
      <c r="X715" s="373"/>
    </row>
    <row r="716" spans="1:24" ht="18" x14ac:dyDescent="0.55000000000000004">
      <c r="A716" s="373"/>
      <c r="B716" s="373"/>
      <c r="C716" s="373"/>
      <c r="D716" s="373"/>
      <c r="E716" s="373"/>
      <c r="F716" s="373"/>
      <c r="G716" s="373"/>
      <c r="H716" s="373"/>
      <c r="I716" s="373"/>
      <c r="J716" s="373"/>
      <c r="K716" s="373"/>
      <c r="L716" s="373"/>
      <c r="M716" s="373"/>
      <c r="N716" s="373"/>
      <c r="O716" s="373"/>
      <c r="P716" s="373"/>
      <c r="Q716" s="373"/>
      <c r="R716" s="373"/>
      <c r="S716" s="373"/>
      <c r="T716" s="373"/>
      <c r="U716" s="373"/>
      <c r="V716" s="373"/>
      <c r="W716" s="373"/>
      <c r="X716" s="373"/>
    </row>
    <row r="717" spans="1:24" ht="18" x14ac:dyDescent="0.55000000000000004">
      <c r="A717" s="373"/>
      <c r="B717" s="373"/>
      <c r="C717" s="373"/>
      <c r="D717" s="373"/>
      <c r="E717" s="373"/>
      <c r="F717" s="373"/>
      <c r="G717" s="373"/>
      <c r="H717" s="373"/>
      <c r="I717" s="373"/>
      <c r="J717" s="373"/>
      <c r="K717" s="373"/>
      <c r="L717" s="373"/>
      <c r="M717" s="373"/>
      <c r="N717" s="373"/>
      <c r="O717" s="373"/>
      <c r="P717" s="373"/>
      <c r="Q717" s="373"/>
      <c r="R717" s="373"/>
      <c r="S717" s="373"/>
      <c r="T717" s="373"/>
      <c r="U717" s="373"/>
      <c r="V717" s="373"/>
      <c r="W717" s="373"/>
      <c r="X717" s="373"/>
    </row>
    <row r="718" spans="1:24" ht="18" x14ac:dyDescent="0.55000000000000004">
      <c r="A718" s="373"/>
      <c r="B718" s="373"/>
      <c r="C718" s="373"/>
      <c r="D718" s="373"/>
      <c r="E718" s="373"/>
      <c r="F718" s="373"/>
      <c r="G718" s="373"/>
      <c r="H718" s="373"/>
      <c r="I718" s="373"/>
      <c r="J718" s="373"/>
      <c r="K718" s="373"/>
      <c r="L718" s="373"/>
      <c r="M718" s="373"/>
      <c r="N718" s="373"/>
      <c r="O718" s="373"/>
      <c r="P718" s="373"/>
      <c r="Q718" s="373"/>
      <c r="R718" s="373"/>
      <c r="S718" s="373"/>
      <c r="T718" s="373"/>
      <c r="U718" s="373"/>
      <c r="V718" s="373"/>
      <c r="W718" s="373"/>
      <c r="X718" s="373"/>
    </row>
    <row r="719" spans="1:24" ht="18" x14ac:dyDescent="0.55000000000000004">
      <c r="A719" s="373"/>
      <c r="B719" s="373"/>
      <c r="C719" s="373"/>
      <c r="D719" s="373"/>
      <c r="E719" s="373"/>
      <c r="F719" s="373"/>
      <c r="G719" s="373"/>
      <c r="H719" s="373"/>
      <c r="I719" s="373"/>
      <c r="J719" s="373"/>
      <c r="K719" s="373"/>
      <c r="L719" s="373"/>
      <c r="M719" s="373"/>
      <c r="N719" s="373"/>
      <c r="O719" s="373"/>
      <c r="P719" s="373"/>
      <c r="Q719" s="373"/>
      <c r="R719" s="373"/>
      <c r="S719" s="373"/>
      <c r="T719" s="373"/>
      <c r="U719" s="373"/>
      <c r="V719" s="373"/>
      <c r="W719" s="373"/>
      <c r="X719" s="373"/>
    </row>
    <row r="720" spans="1:24" ht="18" x14ac:dyDescent="0.55000000000000004">
      <c r="A720" s="373"/>
      <c r="B720" s="373"/>
      <c r="C720" s="373"/>
      <c r="D720" s="373"/>
      <c r="E720" s="373"/>
      <c r="F720" s="373"/>
      <c r="G720" s="373"/>
      <c r="H720" s="373"/>
      <c r="I720" s="373"/>
      <c r="J720" s="373"/>
      <c r="K720" s="373"/>
      <c r="L720" s="373"/>
      <c r="M720" s="373"/>
      <c r="N720" s="373"/>
      <c r="O720" s="373"/>
      <c r="P720" s="373"/>
      <c r="Q720" s="373"/>
      <c r="R720" s="373"/>
      <c r="S720" s="373"/>
      <c r="T720" s="373"/>
      <c r="U720" s="373"/>
      <c r="V720" s="373"/>
      <c r="W720" s="373"/>
      <c r="X720" s="373"/>
    </row>
    <row r="721" spans="1:24" ht="18" x14ac:dyDescent="0.55000000000000004">
      <c r="A721" s="373"/>
      <c r="B721" s="373"/>
      <c r="C721" s="373"/>
      <c r="D721" s="373"/>
      <c r="E721" s="373"/>
      <c r="F721" s="373"/>
      <c r="G721" s="373"/>
      <c r="H721" s="373"/>
      <c r="I721" s="373"/>
      <c r="J721" s="373"/>
      <c r="K721" s="373"/>
      <c r="L721" s="373"/>
      <c r="M721" s="373"/>
      <c r="N721" s="373"/>
      <c r="O721" s="373"/>
      <c r="P721" s="373"/>
      <c r="Q721" s="373"/>
      <c r="R721" s="373"/>
      <c r="S721" s="373"/>
      <c r="T721" s="373"/>
      <c r="U721" s="373"/>
      <c r="V721" s="373"/>
      <c r="W721" s="373"/>
      <c r="X721" s="373"/>
    </row>
    <row r="722" spans="1:24" ht="18" x14ac:dyDescent="0.55000000000000004">
      <c r="A722" s="373"/>
      <c r="B722" s="373"/>
      <c r="C722" s="373"/>
      <c r="D722" s="373"/>
      <c r="E722" s="373"/>
      <c r="F722" s="373"/>
      <c r="G722" s="373"/>
      <c r="H722" s="373"/>
      <c r="I722" s="373"/>
      <c r="J722" s="373"/>
      <c r="K722" s="373"/>
      <c r="L722" s="373"/>
      <c r="M722" s="373"/>
      <c r="N722" s="373"/>
      <c r="O722" s="373"/>
      <c r="P722" s="373"/>
      <c r="Q722" s="373"/>
      <c r="R722" s="373"/>
      <c r="S722" s="373"/>
      <c r="T722" s="373"/>
      <c r="U722" s="373"/>
      <c r="V722" s="373"/>
      <c r="W722" s="373"/>
      <c r="X722" s="373"/>
    </row>
    <row r="723" spans="1:24" ht="18" x14ac:dyDescent="0.55000000000000004">
      <c r="A723" s="373"/>
      <c r="B723" s="373"/>
      <c r="C723" s="373"/>
      <c r="D723" s="373"/>
      <c r="E723" s="373"/>
      <c r="F723" s="373"/>
      <c r="G723" s="373"/>
      <c r="H723" s="373"/>
      <c r="I723" s="373"/>
      <c r="J723" s="373"/>
      <c r="K723" s="373"/>
      <c r="L723" s="373"/>
      <c r="M723" s="373"/>
      <c r="N723" s="373"/>
      <c r="O723" s="373"/>
      <c r="P723" s="373"/>
      <c r="Q723" s="373"/>
      <c r="R723" s="373"/>
      <c r="S723" s="373"/>
      <c r="T723" s="373"/>
      <c r="U723" s="373"/>
      <c r="V723" s="373"/>
      <c r="W723" s="373"/>
      <c r="X723" s="373"/>
    </row>
    <row r="724" spans="1:24" ht="18" x14ac:dyDescent="0.55000000000000004">
      <c r="A724" s="373"/>
      <c r="B724" s="373"/>
      <c r="C724" s="373"/>
      <c r="D724" s="373"/>
      <c r="E724" s="373"/>
      <c r="F724" s="373"/>
      <c r="G724" s="373"/>
      <c r="H724" s="373"/>
      <c r="I724" s="373"/>
      <c r="J724" s="373"/>
      <c r="K724" s="373"/>
      <c r="L724" s="373"/>
      <c r="M724" s="373"/>
      <c r="N724" s="373"/>
      <c r="O724" s="373"/>
      <c r="P724" s="373"/>
      <c r="Q724" s="373"/>
      <c r="R724" s="373"/>
      <c r="S724" s="373"/>
      <c r="T724" s="373"/>
      <c r="U724" s="373"/>
      <c r="V724" s="373"/>
      <c r="W724" s="373"/>
      <c r="X724" s="373"/>
    </row>
    <row r="725" spans="1:24" ht="18" x14ac:dyDescent="0.55000000000000004">
      <c r="A725" s="373"/>
      <c r="B725" s="373"/>
      <c r="C725" s="373"/>
      <c r="D725" s="373"/>
      <c r="E725" s="373"/>
      <c r="F725" s="373"/>
      <c r="G725" s="373"/>
      <c r="H725" s="373"/>
      <c r="I725" s="373"/>
      <c r="J725" s="373"/>
      <c r="K725" s="373"/>
      <c r="L725" s="373"/>
      <c r="M725" s="373"/>
      <c r="N725" s="373"/>
      <c r="O725" s="373"/>
      <c r="P725" s="373"/>
      <c r="Q725" s="373"/>
      <c r="R725" s="373"/>
      <c r="S725" s="373"/>
      <c r="T725" s="373"/>
      <c r="U725" s="373"/>
      <c r="V725" s="373"/>
      <c r="W725" s="373"/>
      <c r="X725" s="373"/>
    </row>
    <row r="726" spans="1:24" ht="18" x14ac:dyDescent="0.55000000000000004">
      <c r="A726" s="373"/>
      <c r="B726" s="373"/>
      <c r="C726" s="373"/>
      <c r="D726" s="373"/>
      <c r="E726" s="373"/>
      <c r="F726" s="373"/>
      <c r="G726" s="373"/>
      <c r="H726" s="373"/>
      <c r="I726" s="373"/>
      <c r="J726" s="373"/>
      <c r="K726" s="373"/>
      <c r="L726" s="373"/>
      <c r="M726" s="373"/>
      <c r="N726" s="373"/>
      <c r="O726" s="373"/>
      <c r="P726" s="373"/>
      <c r="Q726" s="373"/>
      <c r="R726" s="373"/>
      <c r="S726" s="373"/>
      <c r="T726" s="373"/>
      <c r="U726" s="373"/>
      <c r="V726" s="373"/>
      <c r="W726" s="373"/>
      <c r="X726" s="373"/>
    </row>
    <row r="727" spans="1:24" ht="18" x14ac:dyDescent="0.55000000000000004">
      <c r="A727" s="373"/>
      <c r="B727" s="373"/>
      <c r="C727" s="373"/>
      <c r="D727" s="373"/>
      <c r="E727" s="373"/>
      <c r="F727" s="373"/>
      <c r="G727" s="373"/>
      <c r="H727" s="373"/>
      <c r="I727" s="373"/>
      <c r="J727" s="373"/>
      <c r="K727" s="373"/>
      <c r="L727" s="373"/>
      <c r="M727" s="373"/>
      <c r="N727" s="373"/>
      <c r="O727" s="373"/>
      <c r="P727" s="373"/>
      <c r="Q727" s="373"/>
      <c r="R727" s="373"/>
      <c r="S727" s="373"/>
      <c r="T727" s="373"/>
      <c r="U727" s="373"/>
      <c r="V727" s="373"/>
      <c r="W727" s="373"/>
      <c r="X727" s="373"/>
    </row>
    <row r="728" spans="1:24" ht="18" x14ac:dyDescent="0.55000000000000004">
      <c r="A728" s="373"/>
      <c r="B728" s="373"/>
      <c r="C728" s="373"/>
      <c r="D728" s="373"/>
      <c r="E728" s="373"/>
      <c r="F728" s="373"/>
      <c r="G728" s="373"/>
      <c r="H728" s="373"/>
      <c r="I728" s="373"/>
      <c r="J728" s="373"/>
      <c r="K728" s="373"/>
      <c r="L728" s="373"/>
      <c r="M728" s="373"/>
      <c r="N728" s="373"/>
      <c r="O728" s="373"/>
      <c r="P728" s="373"/>
      <c r="Q728" s="373"/>
      <c r="R728" s="373"/>
      <c r="S728" s="373"/>
      <c r="T728" s="373"/>
      <c r="U728" s="373"/>
      <c r="V728" s="373"/>
      <c r="W728" s="373"/>
      <c r="X728" s="373"/>
    </row>
    <row r="729" spans="1:24" ht="18" x14ac:dyDescent="0.55000000000000004">
      <c r="A729" s="373"/>
      <c r="B729" s="373"/>
      <c r="C729" s="373"/>
      <c r="D729" s="373"/>
      <c r="E729" s="373"/>
      <c r="F729" s="373"/>
      <c r="G729" s="373"/>
      <c r="H729" s="373"/>
      <c r="I729" s="373"/>
      <c r="J729" s="373"/>
      <c r="K729" s="373"/>
      <c r="L729" s="373"/>
      <c r="M729" s="373"/>
      <c r="N729" s="373"/>
      <c r="O729" s="373"/>
      <c r="P729" s="373"/>
      <c r="Q729" s="373"/>
      <c r="R729" s="373"/>
      <c r="S729" s="373"/>
      <c r="T729" s="373"/>
      <c r="U729" s="373"/>
      <c r="V729" s="373"/>
      <c r="W729" s="373"/>
      <c r="X729" s="373"/>
    </row>
    <row r="730" spans="1:24" ht="18" x14ac:dyDescent="0.55000000000000004">
      <c r="A730" s="373"/>
      <c r="B730" s="373"/>
      <c r="C730" s="373"/>
      <c r="D730" s="373"/>
      <c r="E730" s="373"/>
      <c r="F730" s="373"/>
      <c r="G730" s="373"/>
      <c r="H730" s="373"/>
      <c r="I730" s="373"/>
      <c r="J730" s="373"/>
      <c r="K730" s="373"/>
      <c r="L730" s="373"/>
      <c r="M730" s="373"/>
      <c r="N730" s="373"/>
      <c r="O730" s="373"/>
      <c r="P730" s="373"/>
      <c r="Q730" s="373"/>
      <c r="R730" s="373"/>
      <c r="S730" s="373"/>
      <c r="T730" s="373"/>
      <c r="U730" s="373"/>
      <c r="V730" s="373"/>
      <c r="W730" s="373"/>
      <c r="X730" s="373"/>
    </row>
    <row r="731" spans="1:24" ht="18" x14ac:dyDescent="0.55000000000000004">
      <c r="A731" s="373"/>
      <c r="B731" s="373"/>
      <c r="C731" s="373"/>
      <c r="D731" s="373"/>
      <c r="E731" s="373"/>
      <c r="F731" s="373"/>
      <c r="G731" s="373"/>
      <c r="H731" s="373"/>
      <c r="I731" s="373"/>
      <c r="J731" s="373"/>
      <c r="K731" s="373"/>
      <c r="L731" s="373"/>
      <c r="M731" s="373"/>
      <c r="N731" s="373"/>
      <c r="O731" s="373"/>
      <c r="P731" s="373"/>
      <c r="Q731" s="373"/>
      <c r="R731" s="373"/>
      <c r="S731" s="373"/>
      <c r="T731" s="373"/>
      <c r="U731" s="373"/>
      <c r="V731" s="373"/>
      <c r="W731" s="373"/>
      <c r="X731" s="373"/>
    </row>
    <row r="732" spans="1:24" ht="18" x14ac:dyDescent="0.55000000000000004">
      <c r="A732" s="373"/>
      <c r="B732" s="373"/>
      <c r="C732" s="373"/>
      <c r="D732" s="373"/>
      <c r="E732" s="373"/>
      <c r="F732" s="373"/>
      <c r="G732" s="373"/>
      <c r="H732" s="373"/>
      <c r="I732" s="373"/>
      <c r="J732" s="373"/>
      <c r="K732" s="373"/>
      <c r="L732" s="373"/>
      <c r="M732" s="373"/>
      <c r="N732" s="373"/>
      <c r="O732" s="373"/>
      <c r="P732" s="373"/>
      <c r="Q732" s="373"/>
      <c r="R732" s="373"/>
      <c r="S732" s="373"/>
      <c r="T732" s="373"/>
      <c r="U732" s="373"/>
      <c r="V732" s="373"/>
      <c r="W732" s="373"/>
      <c r="X732" s="373"/>
    </row>
    <row r="733" spans="1:24" ht="18" x14ac:dyDescent="0.55000000000000004">
      <c r="A733" s="373"/>
      <c r="B733" s="373"/>
      <c r="C733" s="373"/>
      <c r="D733" s="373"/>
      <c r="E733" s="373"/>
      <c r="F733" s="373"/>
      <c r="G733" s="373"/>
      <c r="H733" s="373"/>
      <c r="I733" s="373"/>
      <c r="J733" s="373"/>
      <c r="K733" s="373"/>
      <c r="L733" s="373"/>
      <c r="M733" s="373"/>
      <c r="N733" s="373"/>
      <c r="O733" s="373"/>
      <c r="P733" s="373"/>
      <c r="Q733" s="373"/>
      <c r="R733" s="373"/>
      <c r="S733" s="373"/>
      <c r="T733" s="373"/>
      <c r="U733" s="373"/>
      <c r="V733" s="373"/>
      <c r="W733" s="373"/>
      <c r="X733" s="373"/>
    </row>
    <row r="734" spans="1:24" ht="18" x14ac:dyDescent="0.55000000000000004">
      <c r="A734" s="373"/>
      <c r="B734" s="373"/>
      <c r="C734" s="373"/>
      <c r="D734" s="373"/>
      <c r="E734" s="373"/>
      <c r="F734" s="373"/>
      <c r="G734" s="373"/>
      <c r="H734" s="373"/>
      <c r="I734" s="373"/>
      <c r="J734" s="373"/>
      <c r="K734" s="373"/>
      <c r="L734" s="373"/>
      <c r="M734" s="373"/>
      <c r="N734" s="373"/>
      <c r="O734" s="373"/>
      <c r="P734" s="373"/>
      <c r="Q734" s="373"/>
      <c r="R734" s="373"/>
      <c r="S734" s="373"/>
      <c r="T734" s="373"/>
      <c r="U734" s="373"/>
      <c r="V734" s="373"/>
      <c r="W734" s="373"/>
      <c r="X734" s="373"/>
    </row>
    <row r="735" spans="1:24" ht="18" x14ac:dyDescent="0.55000000000000004">
      <c r="A735" s="373"/>
      <c r="B735" s="373"/>
      <c r="C735" s="373"/>
      <c r="D735" s="373"/>
      <c r="E735" s="373"/>
      <c r="F735" s="373"/>
      <c r="G735" s="373"/>
      <c r="H735" s="373"/>
      <c r="I735" s="373"/>
      <c r="J735" s="373"/>
      <c r="K735" s="373"/>
      <c r="L735" s="373"/>
      <c r="M735" s="373"/>
      <c r="N735" s="373"/>
      <c r="O735" s="373"/>
      <c r="P735" s="373"/>
      <c r="Q735" s="373"/>
      <c r="R735" s="373"/>
      <c r="S735" s="373"/>
      <c r="T735" s="373"/>
      <c r="U735" s="373"/>
      <c r="V735" s="373"/>
      <c r="W735" s="373"/>
      <c r="X735" s="373"/>
    </row>
    <row r="736" spans="1:24" ht="18" x14ac:dyDescent="0.55000000000000004">
      <c r="A736" s="373"/>
      <c r="B736" s="373"/>
      <c r="C736" s="373"/>
      <c r="D736" s="373"/>
      <c r="E736" s="373"/>
      <c r="F736" s="373"/>
      <c r="G736" s="373"/>
      <c r="H736" s="373"/>
      <c r="I736" s="373"/>
      <c r="J736" s="373"/>
      <c r="K736" s="373"/>
      <c r="L736" s="373"/>
      <c r="M736" s="373"/>
      <c r="N736" s="373"/>
      <c r="O736" s="373"/>
      <c r="P736" s="373"/>
      <c r="Q736" s="373"/>
      <c r="R736" s="373"/>
      <c r="S736" s="373"/>
      <c r="T736" s="373"/>
      <c r="U736" s="373"/>
      <c r="V736" s="373"/>
      <c r="W736" s="373"/>
      <c r="X736" s="373"/>
    </row>
    <row r="737" spans="1:24" ht="18" x14ac:dyDescent="0.55000000000000004">
      <c r="A737" s="373"/>
      <c r="B737" s="373"/>
      <c r="C737" s="373"/>
      <c r="D737" s="373"/>
      <c r="E737" s="373"/>
      <c r="F737" s="373"/>
      <c r="G737" s="373"/>
      <c r="H737" s="373"/>
      <c r="I737" s="373"/>
      <c r="J737" s="373"/>
      <c r="K737" s="373"/>
      <c r="L737" s="373"/>
      <c r="M737" s="373"/>
      <c r="N737" s="373"/>
      <c r="O737" s="373"/>
      <c r="P737" s="373"/>
      <c r="Q737" s="373"/>
      <c r="R737" s="373"/>
      <c r="S737" s="373"/>
      <c r="T737" s="373"/>
      <c r="U737" s="373"/>
      <c r="V737" s="373"/>
      <c r="W737" s="373"/>
      <c r="X737" s="373"/>
    </row>
    <row r="738" spans="1:24" ht="18" x14ac:dyDescent="0.55000000000000004">
      <c r="A738" s="373"/>
      <c r="B738" s="373"/>
      <c r="C738" s="373"/>
      <c r="D738" s="373"/>
      <c r="E738" s="373"/>
      <c r="F738" s="373"/>
      <c r="G738" s="373"/>
      <c r="H738" s="373"/>
      <c r="I738" s="373"/>
      <c r="J738" s="373"/>
      <c r="K738" s="373"/>
      <c r="L738" s="373"/>
      <c r="M738" s="373"/>
      <c r="N738" s="373"/>
      <c r="O738" s="373"/>
      <c r="P738" s="373"/>
      <c r="Q738" s="373"/>
      <c r="R738" s="373"/>
      <c r="S738" s="373"/>
      <c r="T738" s="373"/>
      <c r="U738" s="373"/>
      <c r="V738" s="373"/>
      <c r="W738" s="373"/>
      <c r="X738" s="373"/>
    </row>
    <row r="739" spans="1:24" ht="18" x14ac:dyDescent="0.55000000000000004">
      <c r="A739" s="373"/>
      <c r="B739" s="373"/>
      <c r="C739" s="373"/>
      <c r="D739" s="373"/>
      <c r="E739" s="373"/>
      <c r="F739" s="373"/>
      <c r="G739" s="373"/>
      <c r="H739" s="373"/>
      <c r="I739" s="373"/>
      <c r="J739" s="373"/>
      <c r="K739" s="373"/>
      <c r="L739" s="373"/>
      <c r="M739" s="373"/>
      <c r="N739" s="373"/>
      <c r="O739" s="373"/>
      <c r="P739" s="373"/>
      <c r="Q739" s="373"/>
      <c r="R739" s="373"/>
      <c r="S739" s="373"/>
      <c r="T739" s="373"/>
      <c r="U739" s="373"/>
      <c r="V739" s="373"/>
      <c r="W739" s="373"/>
      <c r="X739" s="373"/>
    </row>
    <row r="740" spans="1:24" ht="18" x14ac:dyDescent="0.55000000000000004">
      <c r="A740" s="373"/>
      <c r="B740" s="373"/>
      <c r="C740" s="373"/>
      <c r="D740" s="373"/>
      <c r="E740" s="373"/>
      <c r="F740" s="373"/>
      <c r="G740" s="373"/>
      <c r="H740" s="373"/>
      <c r="I740" s="373"/>
      <c r="J740" s="373"/>
      <c r="K740" s="373"/>
      <c r="L740" s="373"/>
      <c r="M740" s="373"/>
      <c r="N740" s="373"/>
      <c r="O740" s="373"/>
      <c r="P740" s="373"/>
      <c r="Q740" s="373"/>
      <c r="R740" s="373"/>
      <c r="S740" s="373"/>
      <c r="T740" s="373"/>
      <c r="U740" s="373"/>
      <c r="V740" s="373"/>
      <c r="W740" s="373"/>
      <c r="X740" s="373"/>
    </row>
    <row r="741" spans="1:24" ht="18" x14ac:dyDescent="0.55000000000000004">
      <c r="A741" s="373"/>
      <c r="B741" s="373"/>
      <c r="C741" s="373"/>
      <c r="D741" s="373"/>
      <c r="E741" s="373"/>
      <c r="F741" s="373"/>
      <c r="G741" s="373"/>
      <c r="H741" s="373"/>
      <c r="I741" s="373"/>
      <c r="J741" s="373"/>
      <c r="K741" s="373"/>
      <c r="L741" s="373"/>
      <c r="M741" s="373"/>
      <c r="N741" s="373"/>
      <c r="O741" s="373"/>
      <c r="P741" s="373"/>
      <c r="Q741" s="373"/>
      <c r="R741" s="373"/>
      <c r="S741" s="373"/>
      <c r="T741" s="373"/>
      <c r="U741" s="373"/>
      <c r="V741" s="373"/>
      <c r="W741" s="373"/>
      <c r="X741" s="373"/>
    </row>
    <row r="742" spans="1:24" ht="18" x14ac:dyDescent="0.55000000000000004">
      <c r="A742" s="373"/>
      <c r="B742" s="373"/>
      <c r="C742" s="373"/>
      <c r="D742" s="373"/>
      <c r="E742" s="373"/>
      <c r="F742" s="373"/>
      <c r="G742" s="373"/>
      <c r="H742" s="373"/>
      <c r="I742" s="373"/>
      <c r="J742" s="373"/>
      <c r="K742" s="373"/>
      <c r="L742" s="373"/>
      <c r="M742" s="373"/>
      <c r="N742" s="373"/>
      <c r="O742" s="373"/>
      <c r="P742" s="373"/>
      <c r="Q742" s="373"/>
      <c r="R742" s="373"/>
      <c r="S742" s="373"/>
      <c r="T742" s="373"/>
      <c r="U742" s="373"/>
      <c r="V742" s="373"/>
      <c r="W742" s="373"/>
      <c r="X742" s="373"/>
    </row>
    <row r="743" spans="1:24" ht="18" x14ac:dyDescent="0.55000000000000004">
      <c r="A743" s="373"/>
      <c r="B743" s="373"/>
      <c r="C743" s="373"/>
      <c r="D743" s="373"/>
      <c r="E743" s="373"/>
      <c r="F743" s="373"/>
      <c r="G743" s="373"/>
      <c r="H743" s="373"/>
      <c r="I743" s="373"/>
      <c r="J743" s="373"/>
      <c r="K743" s="373"/>
      <c r="L743" s="373"/>
      <c r="M743" s="373"/>
      <c r="N743" s="373"/>
      <c r="O743" s="373"/>
      <c r="P743" s="373"/>
      <c r="Q743" s="373"/>
      <c r="R743" s="373"/>
      <c r="S743" s="373"/>
      <c r="T743" s="373"/>
      <c r="U743" s="373"/>
      <c r="V743" s="373"/>
      <c r="W743" s="373"/>
      <c r="X743" s="373"/>
    </row>
    <row r="744" spans="1:24" ht="18" x14ac:dyDescent="0.55000000000000004">
      <c r="A744" s="373"/>
      <c r="B744" s="373"/>
      <c r="C744" s="373"/>
      <c r="D744" s="373"/>
      <c r="E744" s="373"/>
      <c r="F744" s="373"/>
      <c r="G744" s="373"/>
      <c r="H744" s="373"/>
      <c r="I744" s="373"/>
      <c r="J744" s="373"/>
      <c r="K744" s="373"/>
      <c r="L744" s="373"/>
      <c r="M744" s="373"/>
      <c r="N744" s="373"/>
      <c r="O744" s="373"/>
      <c r="P744" s="373"/>
      <c r="Q744" s="373"/>
      <c r="R744" s="373"/>
      <c r="S744" s="373"/>
      <c r="T744" s="373"/>
      <c r="U744" s="373"/>
      <c r="V744" s="373"/>
      <c r="W744" s="373"/>
      <c r="X744" s="373"/>
    </row>
    <row r="745" spans="1:24" ht="18" x14ac:dyDescent="0.55000000000000004">
      <c r="A745" s="373"/>
      <c r="B745" s="373"/>
      <c r="C745" s="373"/>
      <c r="D745" s="373"/>
      <c r="E745" s="373"/>
      <c r="F745" s="373"/>
      <c r="G745" s="373"/>
      <c r="H745" s="373"/>
      <c r="I745" s="373"/>
      <c r="J745" s="373"/>
      <c r="K745" s="373"/>
      <c r="L745" s="373"/>
      <c r="M745" s="373"/>
      <c r="N745" s="373"/>
      <c r="O745" s="373"/>
      <c r="P745" s="373"/>
      <c r="Q745" s="373"/>
      <c r="R745" s="373"/>
      <c r="S745" s="373"/>
      <c r="T745" s="373"/>
      <c r="U745" s="373"/>
      <c r="V745" s="373"/>
      <c r="W745" s="373"/>
      <c r="X745" s="373"/>
    </row>
    <row r="746" spans="1:24" ht="18" x14ac:dyDescent="0.55000000000000004">
      <c r="A746" s="373"/>
      <c r="B746" s="373"/>
      <c r="C746" s="373"/>
      <c r="D746" s="373"/>
      <c r="E746" s="373"/>
      <c r="F746" s="373"/>
      <c r="G746" s="373"/>
      <c r="H746" s="373"/>
      <c r="I746" s="373"/>
      <c r="J746" s="373"/>
      <c r="K746" s="373"/>
      <c r="L746" s="373"/>
      <c r="M746" s="373"/>
      <c r="N746" s="373"/>
      <c r="O746" s="373"/>
      <c r="P746" s="373"/>
      <c r="Q746" s="373"/>
      <c r="R746" s="373"/>
      <c r="S746" s="373"/>
      <c r="T746" s="373"/>
      <c r="U746" s="373"/>
      <c r="V746" s="373"/>
      <c r="W746" s="373"/>
      <c r="X746" s="373"/>
    </row>
    <row r="747" spans="1:24" ht="18" x14ac:dyDescent="0.55000000000000004">
      <c r="A747" s="373"/>
      <c r="B747" s="373"/>
      <c r="C747" s="373"/>
      <c r="D747" s="373"/>
      <c r="E747" s="373"/>
      <c r="F747" s="373"/>
      <c r="G747" s="373"/>
      <c r="H747" s="373"/>
      <c r="I747" s="373"/>
      <c r="J747" s="373"/>
      <c r="K747" s="373"/>
      <c r="L747" s="373"/>
      <c r="M747" s="373"/>
      <c r="N747" s="373"/>
      <c r="O747" s="373"/>
      <c r="P747" s="373"/>
      <c r="Q747" s="373"/>
      <c r="R747" s="373"/>
      <c r="S747" s="373"/>
      <c r="T747" s="373"/>
      <c r="U747" s="373"/>
      <c r="V747" s="373"/>
      <c r="W747" s="373"/>
      <c r="X747" s="373"/>
    </row>
    <row r="748" spans="1:24" ht="18" x14ac:dyDescent="0.55000000000000004">
      <c r="A748" s="373"/>
      <c r="B748" s="373"/>
      <c r="C748" s="373"/>
      <c r="D748" s="373"/>
      <c r="E748" s="373"/>
      <c r="F748" s="373"/>
      <c r="G748" s="373"/>
      <c r="H748" s="373"/>
      <c r="I748" s="373"/>
      <c r="J748" s="373"/>
      <c r="K748" s="373"/>
      <c r="L748" s="373"/>
      <c r="M748" s="373"/>
      <c r="N748" s="373"/>
      <c r="O748" s="373"/>
      <c r="P748" s="373"/>
      <c r="Q748" s="373"/>
      <c r="R748" s="373"/>
      <c r="S748" s="373"/>
      <c r="T748" s="373"/>
      <c r="U748" s="373"/>
      <c r="V748" s="373"/>
      <c r="W748" s="373"/>
      <c r="X748" s="373"/>
    </row>
    <row r="749" spans="1:24" ht="18" x14ac:dyDescent="0.55000000000000004">
      <c r="A749" s="373"/>
      <c r="B749" s="373"/>
      <c r="C749" s="373"/>
      <c r="D749" s="373"/>
      <c r="E749" s="373"/>
      <c r="F749" s="373"/>
      <c r="G749" s="373"/>
      <c r="H749" s="373"/>
      <c r="I749" s="373"/>
      <c r="J749" s="373"/>
      <c r="K749" s="373"/>
      <c r="L749" s="373"/>
      <c r="M749" s="373"/>
      <c r="N749" s="373"/>
      <c r="O749" s="373"/>
      <c r="P749" s="373"/>
      <c r="Q749" s="373"/>
      <c r="R749" s="373"/>
      <c r="S749" s="373"/>
      <c r="T749" s="373"/>
      <c r="U749" s="373"/>
      <c r="V749" s="373"/>
      <c r="W749" s="373"/>
      <c r="X749" s="373"/>
    </row>
    <row r="750" spans="1:24" ht="18" x14ac:dyDescent="0.55000000000000004">
      <c r="A750" s="373"/>
      <c r="B750" s="373"/>
      <c r="C750" s="373"/>
      <c r="D750" s="373"/>
      <c r="E750" s="373"/>
      <c r="F750" s="373"/>
      <c r="G750" s="373"/>
      <c r="H750" s="373"/>
      <c r="I750" s="373"/>
      <c r="J750" s="373"/>
      <c r="K750" s="373"/>
      <c r="L750" s="373"/>
      <c r="M750" s="373"/>
      <c r="N750" s="373"/>
      <c r="O750" s="373"/>
      <c r="P750" s="373"/>
      <c r="Q750" s="373"/>
      <c r="R750" s="373"/>
      <c r="S750" s="373"/>
      <c r="T750" s="373"/>
      <c r="U750" s="373"/>
      <c r="V750" s="373"/>
      <c r="W750" s="373"/>
      <c r="X750" s="373"/>
    </row>
    <row r="751" spans="1:24" ht="18" x14ac:dyDescent="0.55000000000000004">
      <c r="A751" s="373"/>
      <c r="B751" s="373"/>
      <c r="C751" s="373"/>
      <c r="D751" s="373"/>
      <c r="E751" s="373"/>
      <c r="F751" s="373"/>
      <c r="G751" s="373"/>
      <c r="H751" s="373"/>
      <c r="I751" s="373"/>
      <c r="J751" s="373"/>
      <c r="K751" s="373"/>
      <c r="L751" s="373"/>
      <c r="M751" s="373"/>
      <c r="N751" s="373"/>
      <c r="O751" s="373"/>
      <c r="P751" s="373"/>
      <c r="Q751" s="373"/>
      <c r="R751" s="373"/>
      <c r="S751" s="373"/>
      <c r="T751" s="373"/>
      <c r="U751" s="373"/>
      <c r="V751" s="373"/>
      <c r="W751" s="373"/>
      <c r="X751" s="373"/>
    </row>
    <row r="752" spans="1:24" ht="18" x14ac:dyDescent="0.55000000000000004">
      <c r="A752" s="373"/>
      <c r="B752" s="373"/>
      <c r="C752" s="373"/>
      <c r="D752" s="373"/>
      <c r="E752" s="373"/>
      <c r="F752" s="373"/>
      <c r="G752" s="373"/>
      <c r="H752" s="373"/>
      <c r="I752" s="373"/>
      <c r="J752" s="373"/>
      <c r="K752" s="373"/>
      <c r="L752" s="373"/>
      <c r="M752" s="373"/>
      <c r="N752" s="373"/>
      <c r="O752" s="373"/>
      <c r="P752" s="373"/>
      <c r="Q752" s="373"/>
      <c r="R752" s="373"/>
      <c r="S752" s="373"/>
      <c r="T752" s="373"/>
      <c r="U752" s="373"/>
      <c r="V752" s="373"/>
      <c r="W752" s="373"/>
      <c r="X752" s="373"/>
    </row>
    <row r="753" spans="1:24" ht="18" x14ac:dyDescent="0.55000000000000004">
      <c r="A753" s="373"/>
      <c r="B753" s="373"/>
      <c r="C753" s="373"/>
      <c r="D753" s="373"/>
      <c r="E753" s="373"/>
      <c r="F753" s="373"/>
      <c r="G753" s="373"/>
      <c r="H753" s="373"/>
      <c r="I753" s="373"/>
      <c r="J753" s="373"/>
      <c r="K753" s="373"/>
      <c r="L753" s="373"/>
      <c r="M753" s="373"/>
      <c r="N753" s="373"/>
      <c r="O753" s="373"/>
      <c r="P753" s="373"/>
      <c r="Q753" s="373"/>
      <c r="R753" s="373"/>
      <c r="S753" s="373"/>
      <c r="T753" s="373"/>
      <c r="U753" s="373"/>
      <c r="V753" s="373"/>
      <c r="W753" s="373"/>
      <c r="X753" s="373"/>
    </row>
    <row r="754" spans="1:24" ht="18" x14ac:dyDescent="0.55000000000000004">
      <c r="A754" s="373"/>
      <c r="B754" s="373"/>
      <c r="C754" s="373"/>
      <c r="D754" s="373"/>
      <c r="E754" s="373"/>
      <c r="F754" s="373"/>
      <c r="G754" s="373"/>
      <c r="H754" s="373"/>
      <c r="I754" s="373"/>
      <c r="J754" s="373"/>
      <c r="K754" s="373"/>
      <c r="L754" s="373"/>
      <c r="M754" s="373"/>
      <c r="N754" s="373"/>
      <c r="O754" s="373"/>
      <c r="P754" s="373"/>
      <c r="Q754" s="373"/>
      <c r="R754" s="373"/>
      <c r="S754" s="373"/>
      <c r="T754" s="373"/>
      <c r="U754" s="373"/>
      <c r="V754" s="373"/>
      <c r="W754" s="373"/>
      <c r="X754" s="373"/>
    </row>
    <row r="755" spans="1:24" ht="18" x14ac:dyDescent="0.55000000000000004">
      <c r="A755" s="373"/>
      <c r="B755" s="373"/>
      <c r="C755" s="373"/>
      <c r="D755" s="373"/>
      <c r="E755" s="373"/>
      <c r="F755" s="373"/>
      <c r="G755" s="373"/>
      <c r="H755" s="373"/>
      <c r="I755" s="373"/>
      <c r="J755" s="373"/>
      <c r="K755" s="373"/>
      <c r="L755" s="373"/>
      <c r="M755" s="373"/>
      <c r="N755" s="373"/>
      <c r="O755" s="373"/>
      <c r="P755" s="373"/>
      <c r="Q755" s="373"/>
      <c r="R755" s="373"/>
      <c r="S755" s="373"/>
      <c r="T755" s="373"/>
      <c r="U755" s="373"/>
      <c r="V755" s="373"/>
      <c r="W755" s="373"/>
      <c r="X755" s="373"/>
    </row>
    <row r="756" spans="1:24" ht="18" x14ac:dyDescent="0.55000000000000004">
      <c r="A756" s="373"/>
      <c r="B756" s="373"/>
      <c r="C756" s="373"/>
      <c r="D756" s="373"/>
      <c r="E756" s="373"/>
      <c r="F756" s="373"/>
      <c r="G756" s="373"/>
      <c r="H756" s="373"/>
      <c r="I756" s="373"/>
      <c r="J756" s="373"/>
      <c r="K756" s="373"/>
      <c r="L756" s="373"/>
      <c r="M756" s="373"/>
      <c r="N756" s="373"/>
      <c r="O756" s="373"/>
      <c r="P756" s="373"/>
      <c r="Q756" s="373"/>
      <c r="R756" s="373"/>
      <c r="S756" s="373"/>
      <c r="T756" s="373"/>
      <c r="U756" s="373"/>
      <c r="V756" s="373"/>
      <c r="W756" s="373"/>
      <c r="X756" s="373"/>
    </row>
    <row r="757" spans="1:24" ht="18" x14ac:dyDescent="0.55000000000000004">
      <c r="A757" s="373"/>
      <c r="B757" s="373"/>
      <c r="C757" s="373"/>
      <c r="D757" s="373"/>
      <c r="E757" s="373"/>
      <c r="F757" s="373"/>
      <c r="G757" s="373"/>
      <c r="H757" s="373"/>
      <c r="I757" s="373"/>
      <c r="J757" s="373"/>
      <c r="K757" s="373"/>
      <c r="L757" s="373"/>
      <c r="M757" s="373"/>
      <c r="N757" s="373"/>
      <c r="O757" s="373"/>
      <c r="P757" s="373"/>
      <c r="Q757" s="373"/>
      <c r="R757" s="373"/>
      <c r="S757" s="373"/>
      <c r="T757" s="373"/>
      <c r="U757" s="373"/>
      <c r="V757" s="373"/>
      <c r="W757" s="373"/>
      <c r="X757" s="373"/>
    </row>
    <row r="758" spans="1:24" ht="18" x14ac:dyDescent="0.55000000000000004">
      <c r="A758" s="373"/>
      <c r="B758" s="373"/>
      <c r="C758" s="373"/>
      <c r="D758" s="373"/>
      <c r="E758" s="373"/>
      <c r="F758" s="373"/>
      <c r="G758" s="373"/>
      <c r="H758" s="373"/>
      <c r="I758" s="373"/>
      <c r="J758" s="373"/>
      <c r="K758" s="373"/>
      <c r="L758" s="373"/>
      <c r="M758" s="373"/>
      <c r="N758" s="373"/>
      <c r="O758" s="373"/>
      <c r="P758" s="373"/>
      <c r="Q758" s="373"/>
      <c r="R758" s="373"/>
      <c r="S758" s="373"/>
      <c r="T758" s="373"/>
      <c r="U758" s="373"/>
      <c r="V758" s="373"/>
      <c r="W758" s="373"/>
      <c r="X758" s="373"/>
    </row>
    <row r="759" spans="1:24" ht="18" x14ac:dyDescent="0.55000000000000004">
      <c r="A759" s="373"/>
      <c r="B759" s="373"/>
      <c r="C759" s="373"/>
      <c r="D759" s="373"/>
      <c r="E759" s="373"/>
      <c r="F759" s="373"/>
      <c r="G759" s="373"/>
      <c r="H759" s="373"/>
      <c r="I759" s="373"/>
      <c r="J759" s="373"/>
      <c r="K759" s="373"/>
      <c r="L759" s="373"/>
      <c r="M759" s="373"/>
      <c r="N759" s="373"/>
      <c r="O759" s="373"/>
      <c r="P759" s="373"/>
      <c r="Q759" s="373"/>
      <c r="R759" s="373"/>
      <c r="S759" s="373"/>
      <c r="T759" s="373"/>
      <c r="U759" s="373"/>
      <c r="V759" s="373"/>
      <c r="W759" s="373"/>
      <c r="X759" s="373"/>
    </row>
    <row r="760" spans="1:24" ht="18" x14ac:dyDescent="0.55000000000000004">
      <c r="A760" s="373"/>
      <c r="B760" s="373"/>
      <c r="C760" s="373"/>
      <c r="D760" s="373"/>
      <c r="E760" s="373"/>
      <c r="F760" s="373"/>
      <c r="G760" s="373"/>
      <c r="H760" s="373"/>
      <c r="I760" s="373"/>
      <c r="J760" s="373"/>
      <c r="K760" s="373"/>
      <c r="L760" s="373"/>
      <c r="M760" s="373"/>
      <c r="N760" s="373"/>
      <c r="O760" s="373"/>
      <c r="P760" s="373"/>
      <c r="Q760" s="373"/>
      <c r="R760" s="373"/>
      <c r="S760" s="373"/>
      <c r="T760" s="373"/>
      <c r="U760" s="373"/>
      <c r="V760" s="373"/>
      <c r="W760" s="373"/>
      <c r="X760" s="373"/>
    </row>
    <row r="761" spans="1:24" ht="18" x14ac:dyDescent="0.55000000000000004">
      <c r="A761" s="373"/>
      <c r="B761" s="373"/>
      <c r="C761" s="373"/>
      <c r="D761" s="373"/>
      <c r="E761" s="373"/>
      <c r="F761" s="373"/>
      <c r="G761" s="373"/>
      <c r="H761" s="373"/>
      <c r="I761" s="373"/>
      <c r="J761" s="373"/>
      <c r="K761" s="373"/>
      <c r="L761" s="373"/>
      <c r="M761" s="373"/>
      <c r="N761" s="373"/>
      <c r="O761" s="373"/>
      <c r="P761" s="373"/>
      <c r="Q761" s="373"/>
      <c r="R761" s="373"/>
      <c r="S761" s="373"/>
      <c r="T761" s="373"/>
      <c r="U761" s="373"/>
      <c r="V761" s="373"/>
      <c r="W761" s="373"/>
      <c r="X761" s="373"/>
    </row>
    <row r="762" spans="1:24" ht="18" x14ac:dyDescent="0.55000000000000004">
      <c r="A762" s="373"/>
      <c r="B762" s="373"/>
      <c r="C762" s="373"/>
      <c r="D762" s="373"/>
      <c r="E762" s="373"/>
      <c r="F762" s="373"/>
      <c r="G762" s="373"/>
      <c r="H762" s="373"/>
      <c r="I762" s="373"/>
      <c r="J762" s="373"/>
      <c r="K762" s="373"/>
      <c r="L762" s="373"/>
      <c r="M762" s="373"/>
      <c r="N762" s="373"/>
      <c r="O762" s="373"/>
      <c r="P762" s="373"/>
      <c r="Q762" s="373"/>
      <c r="R762" s="373"/>
      <c r="S762" s="373"/>
      <c r="T762" s="373"/>
      <c r="U762" s="373"/>
      <c r="V762" s="373"/>
      <c r="W762" s="373"/>
      <c r="X762" s="373"/>
    </row>
    <row r="763" spans="1:24" ht="18" x14ac:dyDescent="0.55000000000000004">
      <c r="A763" s="373"/>
      <c r="B763" s="373"/>
      <c r="C763" s="373"/>
      <c r="D763" s="373"/>
      <c r="E763" s="373"/>
      <c r="F763" s="373"/>
      <c r="G763" s="373"/>
      <c r="H763" s="373"/>
      <c r="I763" s="373"/>
      <c r="J763" s="373"/>
      <c r="K763" s="373"/>
      <c r="L763" s="373"/>
      <c r="M763" s="373"/>
      <c r="N763" s="373"/>
      <c r="O763" s="373"/>
      <c r="P763" s="373"/>
      <c r="Q763" s="373"/>
      <c r="R763" s="373"/>
      <c r="S763" s="373"/>
      <c r="T763" s="373"/>
      <c r="U763" s="373"/>
      <c r="V763" s="373"/>
      <c r="W763" s="373"/>
      <c r="X763" s="373"/>
    </row>
    <row r="764" spans="1:24" ht="18" x14ac:dyDescent="0.55000000000000004">
      <c r="A764" s="373"/>
      <c r="B764" s="373"/>
      <c r="C764" s="373"/>
      <c r="D764" s="373"/>
      <c r="E764" s="373"/>
      <c r="F764" s="373"/>
      <c r="G764" s="373"/>
      <c r="H764" s="373"/>
      <c r="I764" s="373"/>
      <c r="J764" s="373"/>
      <c r="K764" s="373"/>
      <c r="L764" s="373"/>
      <c r="M764" s="373"/>
      <c r="N764" s="373"/>
      <c r="O764" s="373"/>
      <c r="P764" s="373"/>
      <c r="Q764" s="373"/>
      <c r="R764" s="373"/>
      <c r="S764" s="373"/>
      <c r="T764" s="373"/>
      <c r="U764" s="373"/>
      <c r="V764" s="373"/>
      <c r="W764" s="373"/>
      <c r="X764" s="373"/>
    </row>
    <row r="765" spans="1:24" ht="18" x14ac:dyDescent="0.55000000000000004">
      <c r="A765" s="373"/>
      <c r="B765" s="373"/>
      <c r="C765" s="373"/>
      <c r="D765" s="373"/>
      <c r="E765" s="373"/>
      <c r="F765" s="373"/>
      <c r="G765" s="373"/>
      <c r="H765" s="373"/>
      <c r="I765" s="373"/>
      <c r="J765" s="373"/>
      <c r="K765" s="373"/>
      <c r="L765" s="373"/>
      <c r="M765" s="373"/>
      <c r="N765" s="373"/>
      <c r="O765" s="373"/>
      <c r="P765" s="373"/>
      <c r="Q765" s="373"/>
      <c r="R765" s="373"/>
      <c r="S765" s="373"/>
      <c r="T765" s="373"/>
      <c r="U765" s="373"/>
      <c r="V765" s="373"/>
      <c r="W765" s="373"/>
      <c r="X765" s="373"/>
    </row>
    <row r="766" spans="1:24" ht="18" x14ac:dyDescent="0.55000000000000004">
      <c r="A766" s="373"/>
      <c r="B766" s="373"/>
      <c r="C766" s="373"/>
      <c r="D766" s="373"/>
      <c r="E766" s="373"/>
      <c r="F766" s="373"/>
      <c r="G766" s="373"/>
      <c r="H766" s="373"/>
      <c r="I766" s="373"/>
      <c r="J766" s="373"/>
      <c r="K766" s="373"/>
      <c r="L766" s="373"/>
      <c r="M766" s="373"/>
      <c r="N766" s="373"/>
      <c r="O766" s="373"/>
      <c r="P766" s="373"/>
      <c r="Q766" s="373"/>
      <c r="R766" s="373"/>
      <c r="S766" s="373"/>
      <c r="T766" s="373"/>
      <c r="U766" s="373"/>
      <c r="V766" s="373"/>
      <c r="W766" s="373"/>
      <c r="X766" s="373"/>
    </row>
    <row r="767" spans="1:24" ht="18" x14ac:dyDescent="0.55000000000000004">
      <c r="A767" s="373"/>
      <c r="B767" s="373"/>
      <c r="C767" s="373"/>
      <c r="D767" s="373"/>
      <c r="E767" s="373"/>
      <c r="F767" s="373"/>
      <c r="G767" s="373"/>
      <c r="H767" s="373"/>
      <c r="I767" s="373"/>
      <c r="J767" s="373"/>
      <c r="K767" s="373"/>
      <c r="L767" s="373"/>
      <c r="M767" s="373"/>
      <c r="N767" s="373"/>
      <c r="O767" s="373"/>
      <c r="P767" s="373"/>
      <c r="Q767" s="373"/>
      <c r="R767" s="373"/>
      <c r="S767" s="373"/>
      <c r="T767" s="373"/>
      <c r="U767" s="373"/>
      <c r="V767" s="373"/>
      <c r="W767" s="373"/>
      <c r="X767" s="373"/>
    </row>
    <row r="768" spans="1:24" ht="18" x14ac:dyDescent="0.55000000000000004">
      <c r="A768" s="373"/>
      <c r="B768" s="373"/>
      <c r="C768" s="373"/>
      <c r="D768" s="373"/>
      <c r="E768" s="373"/>
      <c r="F768" s="373"/>
      <c r="G768" s="373"/>
      <c r="H768" s="373"/>
      <c r="I768" s="373"/>
      <c r="J768" s="373"/>
      <c r="K768" s="373"/>
      <c r="L768" s="373"/>
      <c r="M768" s="373"/>
      <c r="N768" s="373"/>
      <c r="O768" s="373"/>
      <c r="P768" s="373"/>
      <c r="Q768" s="373"/>
      <c r="R768" s="373"/>
      <c r="S768" s="373"/>
      <c r="T768" s="373"/>
      <c r="U768" s="373"/>
      <c r="V768" s="373"/>
      <c r="W768" s="373"/>
      <c r="X768" s="373"/>
    </row>
    <row r="769" spans="1:24" ht="18" x14ac:dyDescent="0.55000000000000004">
      <c r="A769" s="373"/>
      <c r="B769" s="373"/>
      <c r="C769" s="373"/>
      <c r="D769" s="373"/>
      <c r="E769" s="373"/>
      <c r="F769" s="373"/>
      <c r="G769" s="373"/>
      <c r="H769" s="373"/>
      <c r="I769" s="373"/>
      <c r="J769" s="373"/>
      <c r="K769" s="373"/>
      <c r="L769" s="373"/>
      <c r="M769" s="373"/>
      <c r="N769" s="373"/>
      <c r="O769" s="373"/>
      <c r="P769" s="373"/>
      <c r="Q769" s="373"/>
      <c r="R769" s="373"/>
      <c r="S769" s="373"/>
      <c r="T769" s="373"/>
      <c r="U769" s="373"/>
      <c r="V769" s="373"/>
      <c r="W769" s="373"/>
      <c r="X769" s="373"/>
    </row>
    <row r="770" spans="1:24" ht="18" x14ac:dyDescent="0.55000000000000004">
      <c r="A770" s="373"/>
      <c r="B770" s="373"/>
      <c r="C770" s="373"/>
      <c r="D770" s="373"/>
      <c r="E770" s="373"/>
      <c r="F770" s="373"/>
      <c r="G770" s="373"/>
      <c r="H770" s="373"/>
      <c r="I770" s="373"/>
      <c r="J770" s="373"/>
      <c r="K770" s="373"/>
      <c r="L770" s="373"/>
      <c r="M770" s="373"/>
      <c r="N770" s="373"/>
      <c r="O770" s="373"/>
      <c r="P770" s="373"/>
      <c r="Q770" s="373"/>
      <c r="R770" s="373"/>
      <c r="S770" s="373"/>
      <c r="T770" s="373"/>
      <c r="U770" s="373"/>
      <c r="V770" s="373"/>
      <c r="W770" s="373"/>
      <c r="X770" s="373"/>
    </row>
    <row r="771" spans="1:24" ht="18" x14ac:dyDescent="0.55000000000000004">
      <c r="A771" s="373"/>
      <c r="B771" s="373"/>
      <c r="C771" s="373"/>
      <c r="D771" s="373"/>
      <c r="E771" s="373"/>
      <c r="F771" s="373"/>
      <c r="G771" s="373"/>
      <c r="H771" s="373"/>
      <c r="I771" s="373"/>
      <c r="J771" s="373"/>
      <c r="K771" s="373"/>
      <c r="L771" s="373"/>
      <c r="M771" s="373"/>
      <c r="N771" s="373"/>
      <c r="O771" s="373"/>
      <c r="P771" s="373"/>
      <c r="Q771" s="373"/>
      <c r="R771" s="373"/>
      <c r="S771" s="373"/>
      <c r="T771" s="373"/>
      <c r="U771" s="373"/>
      <c r="V771" s="373"/>
      <c r="W771" s="373"/>
      <c r="X771" s="373"/>
    </row>
    <row r="772" spans="1:24" ht="18" x14ac:dyDescent="0.55000000000000004">
      <c r="A772" s="373"/>
      <c r="B772" s="373"/>
      <c r="C772" s="373"/>
      <c r="D772" s="373"/>
      <c r="E772" s="373"/>
      <c r="F772" s="373"/>
      <c r="G772" s="373"/>
      <c r="H772" s="373"/>
      <c r="I772" s="373"/>
      <c r="J772" s="373"/>
      <c r="K772" s="373"/>
      <c r="L772" s="373"/>
      <c r="M772" s="373"/>
      <c r="N772" s="373"/>
      <c r="O772" s="373"/>
      <c r="P772" s="373"/>
      <c r="Q772" s="373"/>
      <c r="R772" s="373"/>
      <c r="S772" s="373"/>
      <c r="T772" s="373"/>
      <c r="U772" s="373"/>
      <c r="V772" s="373"/>
      <c r="W772" s="373"/>
      <c r="X772" s="373"/>
    </row>
    <row r="773" spans="1:24" ht="18" x14ac:dyDescent="0.55000000000000004">
      <c r="A773" s="373"/>
      <c r="B773" s="373"/>
      <c r="C773" s="373"/>
      <c r="D773" s="373"/>
      <c r="E773" s="373"/>
      <c r="F773" s="373"/>
      <c r="G773" s="373"/>
      <c r="H773" s="373"/>
      <c r="I773" s="373"/>
      <c r="J773" s="373"/>
      <c r="K773" s="373"/>
      <c r="L773" s="373"/>
      <c r="M773" s="373"/>
      <c r="N773" s="373"/>
      <c r="O773" s="373"/>
      <c r="P773" s="373"/>
      <c r="Q773" s="373"/>
      <c r="R773" s="373"/>
      <c r="S773" s="373"/>
      <c r="T773" s="373"/>
      <c r="U773" s="373"/>
      <c r="V773" s="373"/>
      <c r="W773" s="373"/>
      <c r="X773" s="373"/>
    </row>
    <row r="774" spans="1:24" ht="18" x14ac:dyDescent="0.55000000000000004">
      <c r="A774" s="373"/>
      <c r="B774" s="373"/>
      <c r="C774" s="373"/>
      <c r="D774" s="373"/>
      <c r="E774" s="373"/>
      <c r="F774" s="373"/>
      <c r="G774" s="373"/>
      <c r="H774" s="373"/>
      <c r="I774" s="373"/>
      <c r="J774" s="373"/>
      <c r="K774" s="373"/>
      <c r="L774" s="373"/>
      <c r="M774" s="373"/>
      <c r="N774" s="373"/>
      <c r="O774" s="373"/>
      <c r="P774" s="373"/>
      <c r="Q774" s="373"/>
      <c r="R774" s="373"/>
      <c r="S774" s="373"/>
      <c r="T774" s="373"/>
      <c r="U774" s="373"/>
      <c r="V774" s="373"/>
      <c r="W774" s="373"/>
      <c r="X774" s="373"/>
    </row>
    <row r="775" spans="1:24" ht="18" x14ac:dyDescent="0.55000000000000004">
      <c r="A775" s="373"/>
      <c r="B775" s="373"/>
      <c r="C775" s="373"/>
      <c r="D775" s="373"/>
      <c r="E775" s="373"/>
      <c r="F775" s="373"/>
      <c r="G775" s="373"/>
      <c r="H775" s="373"/>
      <c r="I775" s="373"/>
      <c r="J775" s="373"/>
      <c r="K775" s="373"/>
      <c r="L775" s="373"/>
      <c r="M775" s="373"/>
      <c r="N775" s="373"/>
      <c r="O775" s="373"/>
      <c r="P775" s="373"/>
      <c r="Q775" s="373"/>
      <c r="R775" s="373"/>
      <c r="S775" s="373"/>
      <c r="T775" s="373"/>
      <c r="U775" s="373"/>
      <c r="V775" s="373"/>
      <c r="W775" s="373"/>
      <c r="X775" s="373"/>
    </row>
    <row r="776" spans="1:24" ht="18" x14ac:dyDescent="0.55000000000000004">
      <c r="A776" s="373"/>
      <c r="B776" s="373"/>
      <c r="C776" s="373"/>
      <c r="D776" s="373"/>
      <c r="E776" s="373"/>
      <c r="F776" s="373"/>
      <c r="G776" s="373"/>
      <c r="H776" s="373"/>
      <c r="I776" s="373"/>
      <c r="J776" s="373"/>
      <c r="K776" s="373"/>
      <c r="L776" s="373"/>
      <c r="M776" s="373"/>
      <c r="N776" s="373"/>
      <c r="O776" s="373"/>
      <c r="P776" s="373"/>
      <c r="Q776" s="373"/>
      <c r="R776" s="373"/>
      <c r="S776" s="373"/>
      <c r="T776" s="373"/>
      <c r="U776" s="373"/>
      <c r="V776" s="373"/>
      <c r="W776" s="373"/>
      <c r="X776" s="373"/>
    </row>
    <row r="777" spans="1:24" ht="18" x14ac:dyDescent="0.55000000000000004">
      <c r="A777" s="373"/>
      <c r="B777" s="373"/>
      <c r="C777" s="373"/>
      <c r="D777" s="373"/>
      <c r="E777" s="373"/>
      <c r="F777" s="373"/>
      <c r="G777" s="373"/>
      <c r="H777" s="373"/>
      <c r="I777" s="373"/>
      <c r="J777" s="373"/>
      <c r="K777" s="373"/>
      <c r="L777" s="373"/>
      <c r="M777" s="373"/>
      <c r="N777" s="373"/>
      <c r="O777" s="373"/>
      <c r="P777" s="373"/>
      <c r="Q777" s="373"/>
      <c r="R777" s="373"/>
      <c r="S777" s="373"/>
      <c r="T777" s="373"/>
      <c r="U777" s="373"/>
      <c r="V777" s="373"/>
      <c r="W777" s="373"/>
      <c r="X777" s="373"/>
    </row>
    <row r="778" spans="1:24" ht="18" x14ac:dyDescent="0.55000000000000004">
      <c r="A778" s="373"/>
      <c r="B778" s="373"/>
      <c r="C778" s="373"/>
      <c r="D778" s="373"/>
      <c r="E778" s="373"/>
      <c r="F778" s="373"/>
      <c r="G778" s="373"/>
      <c r="H778" s="373"/>
      <c r="I778" s="373"/>
      <c r="J778" s="373"/>
      <c r="K778" s="373"/>
      <c r="L778" s="373"/>
      <c r="M778" s="373"/>
      <c r="N778" s="373"/>
      <c r="O778" s="373"/>
      <c r="P778" s="373"/>
      <c r="Q778" s="373"/>
      <c r="R778" s="373"/>
      <c r="S778" s="373"/>
      <c r="T778" s="373"/>
      <c r="U778" s="373"/>
      <c r="V778" s="373"/>
      <c r="W778" s="373"/>
      <c r="X778" s="373"/>
    </row>
    <row r="779" spans="1:24" ht="18" x14ac:dyDescent="0.55000000000000004">
      <c r="A779" s="373"/>
      <c r="B779" s="373"/>
      <c r="C779" s="373"/>
      <c r="D779" s="373"/>
      <c r="E779" s="373"/>
      <c r="F779" s="373"/>
      <c r="G779" s="373"/>
      <c r="H779" s="373"/>
      <c r="I779" s="373"/>
      <c r="J779" s="373"/>
      <c r="K779" s="373"/>
      <c r="L779" s="373"/>
      <c r="M779" s="373"/>
      <c r="N779" s="373"/>
      <c r="O779" s="373"/>
      <c r="P779" s="373"/>
      <c r="Q779" s="373"/>
      <c r="R779" s="373"/>
      <c r="S779" s="373"/>
      <c r="T779" s="373"/>
      <c r="U779" s="373"/>
      <c r="V779" s="373"/>
      <c r="W779" s="373"/>
      <c r="X779" s="373"/>
    </row>
    <row r="780" spans="1:24" ht="18" x14ac:dyDescent="0.55000000000000004">
      <c r="A780" s="373"/>
      <c r="B780" s="373"/>
      <c r="C780" s="373"/>
      <c r="D780" s="373"/>
      <c r="E780" s="373"/>
      <c r="F780" s="373"/>
      <c r="G780" s="373"/>
      <c r="H780" s="373"/>
      <c r="I780" s="373"/>
      <c r="J780" s="373"/>
      <c r="K780" s="373"/>
      <c r="L780" s="373"/>
      <c r="M780" s="373"/>
      <c r="N780" s="373"/>
      <c r="O780" s="373"/>
      <c r="P780" s="373"/>
      <c r="Q780" s="373"/>
      <c r="R780" s="373"/>
      <c r="S780" s="373"/>
      <c r="T780" s="373"/>
      <c r="U780" s="373"/>
      <c r="V780" s="373"/>
      <c r="W780" s="373"/>
      <c r="X780" s="373"/>
    </row>
    <row r="781" spans="1:24" ht="18" x14ac:dyDescent="0.55000000000000004">
      <c r="A781" s="373"/>
      <c r="B781" s="373"/>
      <c r="C781" s="373"/>
      <c r="D781" s="373"/>
      <c r="E781" s="373"/>
      <c r="F781" s="373"/>
      <c r="G781" s="373"/>
      <c r="H781" s="373"/>
      <c r="I781" s="373"/>
      <c r="J781" s="373"/>
      <c r="K781" s="373"/>
      <c r="L781" s="373"/>
      <c r="M781" s="373"/>
      <c r="N781" s="373"/>
      <c r="O781" s="373"/>
      <c r="P781" s="373"/>
      <c r="Q781" s="373"/>
      <c r="R781" s="373"/>
      <c r="S781" s="373"/>
      <c r="T781" s="373"/>
      <c r="U781" s="373"/>
      <c r="V781" s="373"/>
      <c r="W781" s="373"/>
      <c r="X781" s="373"/>
    </row>
    <row r="782" spans="1:24" ht="18" x14ac:dyDescent="0.55000000000000004">
      <c r="A782" s="373"/>
      <c r="B782" s="373"/>
      <c r="C782" s="373"/>
      <c r="D782" s="373"/>
      <c r="E782" s="373"/>
      <c r="F782" s="373"/>
      <c r="G782" s="373"/>
      <c r="H782" s="373"/>
      <c r="I782" s="373"/>
      <c r="J782" s="373"/>
      <c r="K782" s="373"/>
      <c r="L782" s="373"/>
      <c r="M782" s="373"/>
      <c r="N782" s="373"/>
      <c r="O782" s="373"/>
      <c r="P782" s="373"/>
      <c r="Q782" s="373"/>
      <c r="R782" s="373"/>
      <c r="S782" s="373"/>
      <c r="T782" s="373"/>
      <c r="U782" s="373"/>
      <c r="V782" s="373"/>
      <c r="W782" s="373"/>
      <c r="X782" s="373"/>
    </row>
    <row r="783" spans="1:24" ht="18" x14ac:dyDescent="0.55000000000000004">
      <c r="A783" s="373"/>
      <c r="B783" s="373"/>
      <c r="C783" s="373"/>
      <c r="D783" s="373"/>
      <c r="E783" s="373"/>
      <c r="F783" s="373"/>
      <c r="G783" s="373"/>
      <c r="H783" s="373"/>
      <c r="I783" s="373"/>
      <c r="J783" s="373"/>
      <c r="K783" s="373"/>
      <c r="L783" s="373"/>
      <c r="M783" s="373"/>
      <c r="N783" s="373"/>
      <c r="O783" s="373"/>
      <c r="P783" s="373"/>
      <c r="Q783" s="373"/>
      <c r="R783" s="373"/>
      <c r="S783" s="373"/>
      <c r="T783" s="373"/>
      <c r="U783" s="373"/>
      <c r="V783" s="373"/>
      <c r="W783" s="373"/>
      <c r="X783" s="373"/>
    </row>
    <row r="784" spans="1:24" ht="18" x14ac:dyDescent="0.55000000000000004">
      <c r="A784" s="373"/>
      <c r="B784" s="373"/>
      <c r="C784" s="373"/>
      <c r="D784" s="373"/>
      <c r="E784" s="373"/>
      <c r="F784" s="373"/>
      <c r="G784" s="373"/>
      <c r="H784" s="373"/>
      <c r="I784" s="373"/>
      <c r="J784" s="373"/>
      <c r="K784" s="373"/>
      <c r="L784" s="373"/>
      <c r="M784" s="373"/>
      <c r="N784" s="373"/>
      <c r="O784" s="373"/>
      <c r="P784" s="373"/>
      <c r="Q784" s="373"/>
      <c r="R784" s="373"/>
      <c r="S784" s="373"/>
      <c r="T784" s="373"/>
      <c r="U784" s="373"/>
      <c r="V784" s="373"/>
      <c r="W784" s="373"/>
      <c r="X784" s="373"/>
    </row>
    <row r="785" spans="1:24" ht="18" x14ac:dyDescent="0.55000000000000004">
      <c r="A785" s="373"/>
      <c r="B785" s="373"/>
      <c r="C785" s="373"/>
      <c r="D785" s="373"/>
      <c r="E785" s="373"/>
      <c r="F785" s="373"/>
      <c r="G785" s="373"/>
      <c r="H785" s="373"/>
      <c r="I785" s="373"/>
      <c r="J785" s="373"/>
      <c r="K785" s="373"/>
      <c r="L785" s="373"/>
      <c r="M785" s="373"/>
      <c r="N785" s="373"/>
      <c r="O785" s="373"/>
      <c r="P785" s="373"/>
      <c r="Q785" s="373"/>
      <c r="R785" s="373"/>
      <c r="S785" s="373"/>
      <c r="T785" s="373"/>
      <c r="U785" s="373"/>
      <c r="V785" s="373"/>
      <c r="W785" s="373"/>
      <c r="X785" s="373"/>
    </row>
    <row r="786" spans="1:24" ht="18" x14ac:dyDescent="0.55000000000000004">
      <c r="A786" s="373"/>
      <c r="B786" s="373"/>
      <c r="C786" s="373"/>
      <c r="D786" s="373"/>
      <c r="E786" s="373"/>
      <c r="F786" s="373"/>
      <c r="G786" s="373"/>
      <c r="H786" s="373"/>
      <c r="I786" s="373"/>
      <c r="J786" s="373"/>
      <c r="K786" s="373"/>
      <c r="L786" s="373"/>
      <c r="M786" s="373"/>
      <c r="N786" s="373"/>
      <c r="O786" s="373"/>
      <c r="P786" s="373"/>
      <c r="Q786" s="373"/>
      <c r="R786" s="373"/>
      <c r="S786" s="373"/>
      <c r="T786" s="373"/>
      <c r="U786" s="373"/>
      <c r="V786" s="373"/>
      <c r="W786" s="373"/>
      <c r="X786" s="373"/>
    </row>
    <row r="787" spans="1:24" ht="18" x14ac:dyDescent="0.55000000000000004">
      <c r="A787" s="373"/>
      <c r="B787" s="373"/>
      <c r="C787" s="373"/>
      <c r="D787" s="373"/>
      <c r="E787" s="373"/>
      <c r="F787" s="373"/>
      <c r="G787" s="373"/>
      <c r="H787" s="373"/>
      <c r="I787" s="373"/>
      <c r="J787" s="373"/>
      <c r="K787" s="373"/>
      <c r="L787" s="373"/>
      <c r="M787" s="373"/>
      <c r="N787" s="373"/>
      <c r="O787" s="373"/>
      <c r="P787" s="373"/>
      <c r="Q787" s="373"/>
      <c r="R787" s="373"/>
      <c r="S787" s="373"/>
      <c r="T787" s="373"/>
      <c r="U787" s="373"/>
      <c r="V787" s="373"/>
      <c r="W787" s="373"/>
      <c r="X787" s="373"/>
    </row>
    <row r="788" spans="1:24" ht="18" x14ac:dyDescent="0.55000000000000004">
      <c r="A788" s="373"/>
      <c r="B788" s="373"/>
      <c r="C788" s="373"/>
      <c r="D788" s="373"/>
      <c r="E788" s="373"/>
      <c r="F788" s="373"/>
      <c r="G788" s="373"/>
      <c r="H788" s="373"/>
      <c r="I788" s="373"/>
      <c r="J788" s="373"/>
      <c r="K788" s="373"/>
      <c r="L788" s="373"/>
      <c r="M788" s="373"/>
      <c r="N788" s="373"/>
      <c r="O788" s="373"/>
      <c r="P788" s="373"/>
      <c r="Q788" s="373"/>
      <c r="R788" s="373"/>
      <c r="S788" s="373"/>
      <c r="T788" s="373"/>
      <c r="U788" s="373"/>
      <c r="V788" s="373"/>
      <c r="W788" s="373"/>
      <c r="X788" s="373"/>
    </row>
    <row r="789" spans="1:24" ht="18" x14ac:dyDescent="0.55000000000000004">
      <c r="A789" s="373"/>
      <c r="B789" s="373"/>
      <c r="C789" s="373"/>
      <c r="D789" s="373"/>
      <c r="E789" s="373"/>
      <c r="F789" s="373"/>
      <c r="G789" s="373"/>
      <c r="H789" s="373"/>
      <c r="I789" s="373"/>
      <c r="J789" s="373"/>
      <c r="K789" s="373"/>
      <c r="L789" s="373"/>
      <c r="M789" s="373"/>
      <c r="N789" s="373"/>
      <c r="O789" s="373"/>
      <c r="P789" s="373"/>
      <c r="Q789" s="373"/>
      <c r="R789" s="373"/>
      <c r="S789" s="373"/>
      <c r="T789" s="373"/>
      <c r="U789" s="373"/>
      <c r="V789" s="373"/>
      <c r="W789" s="373"/>
      <c r="X789" s="373"/>
    </row>
    <row r="790" spans="1:24" ht="18" x14ac:dyDescent="0.55000000000000004">
      <c r="A790" s="373"/>
      <c r="B790" s="373"/>
      <c r="C790" s="373"/>
      <c r="D790" s="373"/>
      <c r="E790" s="373"/>
      <c r="F790" s="373"/>
      <c r="G790" s="373"/>
      <c r="H790" s="373"/>
      <c r="I790" s="373"/>
      <c r="J790" s="373"/>
      <c r="K790" s="373"/>
      <c r="L790" s="373"/>
      <c r="M790" s="373"/>
      <c r="N790" s="373"/>
      <c r="O790" s="373"/>
      <c r="P790" s="373"/>
      <c r="Q790" s="373"/>
      <c r="R790" s="373"/>
      <c r="S790" s="373"/>
      <c r="T790" s="373"/>
      <c r="U790" s="373"/>
      <c r="V790" s="373"/>
      <c r="W790" s="373"/>
      <c r="X790" s="373"/>
    </row>
    <row r="791" spans="1:24" ht="18" x14ac:dyDescent="0.55000000000000004">
      <c r="A791" s="373"/>
      <c r="B791" s="373"/>
      <c r="C791" s="373"/>
      <c r="D791" s="373"/>
      <c r="E791" s="373"/>
      <c r="F791" s="373"/>
      <c r="G791" s="373"/>
      <c r="H791" s="373"/>
      <c r="I791" s="373"/>
      <c r="J791" s="373"/>
      <c r="K791" s="373"/>
      <c r="L791" s="373"/>
      <c r="M791" s="373"/>
      <c r="N791" s="373"/>
      <c r="O791" s="373"/>
      <c r="P791" s="373"/>
      <c r="Q791" s="373"/>
      <c r="R791" s="373"/>
      <c r="S791" s="373"/>
      <c r="T791" s="373"/>
      <c r="U791" s="373"/>
      <c r="V791" s="373"/>
      <c r="W791" s="373"/>
      <c r="X791" s="373"/>
    </row>
    <row r="792" spans="1:24" ht="18" x14ac:dyDescent="0.55000000000000004">
      <c r="A792" s="373"/>
      <c r="B792" s="373"/>
      <c r="C792" s="373"/>
      <c r="D792" s="373"/>
      <c r="E792" s="373"/>
      <c r="F792" s="373"/>
      <c r="G792" s="373"/>
      <c r="H792" s="373"/>
      <c r="I792" s="373"/>
      <c r="J792" s="373"/>
      <c r="K792" s="373"/>
      <c r="L792" s="373"/>
      <c r="M792" s="373"/>
      <c r="N792" s="373"/>
      <c r="O792" s="373"/>
      <c r="P792" s="373"/>
      <c r="Q792" s="373"/>
      <c r="R792" s="373"/>
      <c r="S792" s="373"/>
      <c r="T792" s="373"/>
      <c r="U792" s="373"/>
      <c r="V792" s="373"/>
      <c r="W792" s="373"/>
      <c r="X792" s="373"/>
    </row>
    <row r="793" spans="1:24" ht="18" x14ac:dyDescent="0.55000000000000004">
      <c r="A793" s="373"/>
      <c r="B793" s="373"/>
      <c r="C793" s="373"/>
      <c r="D793" s="373"/>
      <c r="E793" s="373"/>
      <c r="F793" s="373"/>
      <c r="G793" s="373"/>
      <c r="H793" s="373"/>
      <c r="I793" s="373"/>
      <c r="J793" s="373"/>
      <c r="K793" s="373"/>
      <c r="L793" s="373"/>
      <c r="M793" s="373"/>
      <c r="N793" s="373"/>
      <c r="O793" s="373"/>
      <c r="P793" s="373"/>
      <c r="Q793" s="373"/>
      <c r="R793" s="373"/>
      <c r="S793" s="373"/>
      <c r="T793" s="373"/>
      <c r="U793" s="373"/>
      <c r="V793" s="373"/>
      <c r="W793" s="373"/>
      <c r="X793" s="373"/>
    </row>
    <row r="794" spans="1:24" ht="18" x14ac:dyDescent="0.55000000000000004">
      <c r="A794" s="373"/>
      <c r="B794" s="373"/>
      <c r="C794" s="373"/>
      <c r="D794" s="373"/>
      <c r="E794" s="373"/>
      <c r="F794" s="373"/>
      <c r="G794" s="373"/>
      <c r="H794" s="373"/>
      <c r="I794" s="373"/>
      <c r="J794" s="373"/>
      <c r="K794" s="373"/>
      <c r="L794" s="373"/>
      <c r="M794" s="373"/>
      <c r="N794" s="373"/>
      <c r="O794" s="373"/>
      <c r="P794" s="373"/>
      <c r="Q794" s="373"/>
      <c r="R794" s="373"/>
      <c r="S794" s="373"/>
      <c r="T794" s="373"/>
      <c r="U794" s="373"/>
      <c r="V794" s="373"/>
      <c r="W794" s="373"/>
      <c r="X794" s="373"/>
    </row>
    <row r="795" spans="1:24" ht="18" x14ac:dyDescent="0.55000000000000004">
      <c r="A795" s="373"/>
      <c r="B795" s="373"/>
      <c r="C795" s="373"/>
      <c r="D795" s="373"/>
      <c r="E795" s="373"/>
      <c r="F795" s="373"/>
      <c r="G795" s="373"/>
      <c r="H795" s="373"/>
      <c r="I795" s="373"/>
      <c r="J795" s="373"/>
      <c r="K795" s="373"/>
      <c r="L795" s="373"/>
      <c r="M795" s="373"/>
      <c r="N795" s="373"/>
      <c r="O795" s="373"/>
      <c r="P795" s="373"/>
      <c r="Q795" s="373"/>
      <c r="R795" s="373"/>
      <c r="S795" s="373"/>
      <c r="T795" s="373"/>
      <c r="U795" s="373"/>
      <c r="V795" s="373"/>
      <c r="W795" s="373"/>
      <c r="X795" s="373"/>
    </row>
    <row r="796" spans="1:24" ht="18" x14ac:dyDescent="0.55000000000000004">
      <c r="A796" s="373"/>
      <c r="B796" s="373"/>
      <c r="C796" s="373"/>
      <c r="D796" s="373"/>
      <c r="E796" s="373"/>
      <c r="F796" s="373"/>
      <c r="G796" s="373"/>
      <c r="H796" s="373"/>
      <c r="I796" s="373"/>
      <c r="J796" s="373"/>
      <c r="K796" s="373"/>
      <c r="L796" s="373"/>
      <c r="M796" s="373"/>
      <c r="N796" s="373"/>
      <c r="O796" s="373"/>
      <c r="P796" s="373"/>
      <c r="Q796" s="373"/>
      <c r="R796" s="373"/>
      <c r="S796" s="373"/>
      <c r="T796" s="373"/>
      <c r="U796" s="373"/>
      <c r="V796" s="373"/>
      <c r="W796" s="373"/>
      <c r="X796" s="373"/>
    </row>
    <row r="797" spans="1:24" ht="18" x14ac:dyDescent="0.55000000000000004">
      <c r="A797" s="373"/>
      <c r="B797" s="373"/>
      <c r="C797" s="373"/>
      <c r="D797" s="373"/>
      <c r="E797" s="373"/>
      <c r="F797" s="373"/>
      <c r="G797" s="373"/>
      <c r="H797" s="373"/>
      <c r="I797" s="373"/>
      <c r="J797" s="373"/>
      <c r="K797" s="373"/>
      <c r="L797" s="373"/>
      <c r="M797" s="373"/>
      <c r="N797" s="373"/>
      <c r="O797" s="373"/>
      <c r="P797" s="373"/>
      <c r="Q797" s="373"/>
      <c r="R797" s="373"/>
      <c r="S797" s="373"/>
      <c r="T797" s="373"/>
      <c r="U797" s="373"/>
      <c r="V797" s="373"/>
      <c r="W797" s="373"/>
      <c r="X797" s="373"/>
    </row>
    <row r="798" spans="1:24" ht="18" x14ac:dyDescent="0.55000000000000004">
      <c r="A798" s="373"/>
      <c r="B798" s="373"/>
      <c r="C798" s="373"/>
      <c r="D798" s="373"/>
      <c r="E798" s="373"/>
      <c r="F798" s="373"/>
      <c r="G798" s="373"/>
      <c r="H798" s="373"/>
      <c r="I798" s="373"/>
      <c r="J798" s="373"/>
      <c r="K798" s="373"/>
      <c r="L798" s="373"/>
      <c r="M798" s="373"/>
      <c r="N798" s="373"/>
      <c r="O798" s="373"/>
      <c r="P798" s="373"/>
      <c r="Q798" s="373"/>
      <c r="R798" s="373"/>
      <c r="S798" s="373"/>
      <c r="T798" s="373"/>
      <c r="U798" s="373"/>
      <c r="V798" s="373"/>
      <c r="W798" s="373"/>
      <c r="X798" s="373"/>
    </row>
    <row r="799" spans="1:24" ht="18" x14ac:dyDescent="0.55000000000000004">
      <c r="A799" s="373"/>
      <c r="B799" s="373"/>
      <c r="C799" s="373"/>
      <c r="D799" s="373"/>
      <c r="E799" s="373"/>
      <c r="F799" s="373"/>
      <c r="G799" s="373"/>
      <c r="H799" s="373"/>
      <c r="I799" s="373"/>
      <c r="J799" s="373"/>
      <c r="K799" s="373"/>
      <c r="L799" s="373"/>
      <c r="M799" s="373"/>
      <c r="N799" s="373"/>
      <c r="O799" s="373"/>
      <c r="P799" s="373"/>
      <c r="Q799" s="373"/>
      <c r="R799" s="373"/>
      <c r="S799" s="373"/>
      <c r="T799" s="373"/>
      <c r="U799" s="373"/>
      <c r="V799" s="373"/>
      <c r="W799" s="373"/>
      <c r="X799" s="373"/>
    </row>
    <row r="800" spans="1:24" ht="18" x14ac:dyDescent="0.55000000000000004">
      <c r="A800" s="373"/>
      <c r="B800" s="373"/>
      <c r="C800" s="373"/>
      <c r="D800" s="373"/>
      <c r="E800" s="373"/>
      <c r="F800" s="373"/>
      <c r="G800" s="373"/>
      <c r="H800" s="373"/>
      <c r="I800" s="373"/>
      <c r="J800" s="373"/>
      <c r="K800" s="373"/>
      <c r="L800" s="373"/>
      <c r="M800" s="373"/>
      <c r="N800" s="373"/>
      <c r="O800" s="373"/>
      <c r="P800" s="373"/>
      <c r="Q800" s="373"/>
      <c r="R800" s="373"/>
      <c r="S800" s="373"/>
      <c r="T800" s="373"/>
      <c r="U800" s="373"/>
      <c r="V800" s="373"/>
      <c r="W800" s="373"/>
      <c r="X800" s="373"/>
    </row>
    <row r="801" spans="1:24" ht="18" x14ac:dyDescent="0.55000000000000004">
      <c r="A801" s="373"/>
      <c r="B801" s="373"/>
      <c r="C801" s="373"/>
      <c r="D801" s="373"/>
      <c r="E801" s="373"/>
      <c r="F801" s="373"/>
      <c r="G801" s="373"/>
      <c r="H801" s="373"/>
      <c r="I801" s="373"/>
      <c r="J801" s="373"/>
      <c r="K801" s="373"/>
      <c r="L801" s="373"/>
      <c r="M801" s="373"/>
      <c r="N801" s="373"/>
      <c r="O801" s="373"/>
      <c r="P801" s="373"/>
      <c r="Q801" s="373"/>
      <c r="R801" s="373"/>
      <c r="S801" s="373"/>
      <c r="T801" s="373"/>
      <c r="U801" s="373"/>
      <c r="V801" s="373"/>
      <c r="W801" s="373"/>
      <c r="X801" s="373"/>
    </row>
    <row r="802" spans="1:24" ht="18" x14ac:dyDescent="0.55000000000000004">
      <c r="A802" s="373"/>
      <c r="B802" s="373"/>
      <c r="C802" s="373"/>
      <c r="D802" s="373"/>
      <c r="E802" s="373"/>
      <c r="F802" s="373"/>
      <c r="G802" s="373"/>
      <c r="H802" s="373"/>
      <c r="I802" s="373"/>
      <c r="J802" s="373"/>
      <c r="K802" s="373"/>
      <c r="L802" s="373"/>
      <c r="M802" s="373"/>
      <c r="N802" s="373"/>
      <c r="O802" s="373"/>
      <c r="P802" s="373"/>
      <c r="Q802" s="373"/>
      <c r="R802" s="373"/>
      <c r="S802" s="373"/>
      <c r="T802" s="373"/>
      <c r="U802" s="373"/>
      <c r="V802" s="373"/>
      <c r="W802" s="373"/>
      <c r="X802" s="373"/>
    </row>
    <row r="803" spans="1:24" ht="18" x14ac:dyDescent="0.55000000000000004">
      <c r="A803" s="373"/>
      <c r="B803" s="373"/>
      <c r="C803" s="373"/>
      <c r="D803" s="373"/>
      <c r="E803" s="373"/>
      <c r="F803" s="373"/>
      <c r="G803" s="373"/>
      <c r="H803" s="373"/>
      <c r="I803" s="373"/>
      <c r="J803" s="373"/>
      <c r="K803" s="373"/>
      <c r="L803" s="373"/>
      <c r="M803" s="373"/>
      <c r="N803" s="373"/>
      <c r="O803" s="373"/>
      <c r="P803" s="373"/>
      <c r="Q803" s="373"/>
      <c r="R803" s="373"/>
      <c r="S803" s="373"/>
      <c r="T803" s="373"/>
      <c r="U803" s="373"/>
      <c r="V803" s="373"/>
      <c r="W803" s="373"/>
      <c r="X803" s="373"/>
    </row>
    <row r="804" spans="1:24" ht="18" x14ac:dyDescent="0.55000000000000004">
      <c r="A804" s="373"/>
      <c r="B804" s="373"/>
      <c r="C804" s="373"/>
      <c r="D804" s="373"/>
      <c r="E804" s="373"/>
      <c r="F804" s="373"/>
      <c r="G804" s="373"/>
      <c r="H804" s="373"/>
      <c r="I804" s="373"/>
      <c r="J804" s="373"/>
      <c r="K804" s="373"/>
      <c r="L804" s="373"/>
      <c r="M804" s="373"/>
      <c r="N804" s="373"/>
      <c r="O804" s="373"/>
      <c r="P804" s="373"/>
      <c r="Q804" s="373"/>
      <c r="R804" s="373"/>
      <c r="S804" s="373"/>
      <c r="T804" s="373"/>
      <c r="U804" s="373"/>
      <c r="V804" s="373"/>
      <c r="W804" s="373"/>
      <c r="X804" s="373"/>
    </row>
    <row r="805" spans="1:24" ht="18" x14ac:dyDescent="0.55000000000000004">
      <c r="A805" s="373"/>
      <c r="B805" s="373"/>
      <c r="C805" s="373"/>
      <c r="D805" s="373"/>
      <c r="E805" s="373"/>
      <c r="F805" s="373"/>
      <c r="G805" s="373"/>
      <c r="H805" s="373"/>
      <c r="I805" s="373"/>
      <c r="J805" s="373"/>
      <c r="K805" s="373"/>
      <c r="L805" s="373"/>
      <c r="M805" s="373"/>
      <c r="N805" s="373"/>
      <c r="O805" s="373"/>
      <c r="P805" s="373"/>
      <c r="Q805" s="373"/>
      <c r="R805" s="373"/>
      <c r="S805" s="373"/>
      <c r="T805" s="373"/>
      <c r="U805" s="373"/>
      <c r="V805" s="373"/>
      <c r="W805" s="373"/>
      <c r="X805" s="373"/>
    </row>
    <row r="806" spans="1:24" ht="18" x14ac:dyDescent="0.55000000000000004">
      <c r="A806" s="373"/>
      <c r="B806" s="373"/>
      <c r="C806" s="373"/>
      <c r="D806" s="373"/>
      <c r="E806" s="373"/>
      <c r="F806" s="373"/>
      <c r="G806" s="373"/>
      <c r="H806" s="373"/>
      <c r="I806" s="373"/>
      <c r="J806" s="373"/>
      <c r="K806" s="373"/>
      <c r="L806" s="373"/>
      <c r="M806" s="373"/>
      <c r="N806" s="373"/>
      <c r="O806" s="373"/>
      <c r="P806" s="373"/>
      <c r="Q806" s="373"/>
      <c r="R806" s="373"/>
      <c r="S806" s="373"/>
      <c r="T806" s="373"/>
      <c r="U806" s="373"/>
      <c r="V806" s="373"/>
      <c r="W806" s="373"/>
      <c r="X806" s="373"/>
    </row>
    <row r="807" spans="1:24" ht="18" x14ac:dyDescent="0.55000000000000004">
      <c r="A807" s="373"/>
      <c r="B807" s="373"/>
      <c r="C807" s="373"/>
      <c r="D807" s="373"/>
      <c r="E807" s="373"/>
      <c r="F807" s="373"/>
      <c r="G807" s="373"/>
      <c r="H807" s="373"/>
      <c r="I807" s="373"/>
      <c r="J807" s="373"/>
      <c r="K807" s="373"/>
      <c r="L807" s="373"/>
      <c r="M807" s="373"/>
      <c r="N807" s="373"/>
      <c r="O807" s="373"/>
      <c r="P807" s="373"/>
      <c r="Q807" s="373"/>
      <c r="R807" s="373"/>
      <c r="S807" s="373"/>
      <c r="T807" s="373"/>
      <c r="U807" s="373"/>
      <c r="V807" s="373"/>
      <c r="W807" s="373"/>
      <c r="X807" s="373"/>
    </row>
    <row r="808" spans="1:24" ht="18" x14ac:dyDescent="0.55000000000000004">
      <c r="A808" s="373"/>
      <c r="B808" s="373"/>
      <c r="C808" s="373"/>
      <c r="D808" s="373"/>
      <c r="E808" s="373"/>
      <c r="F808" s="373"/>
      <c r="G808" s="373"/>
      <c r="H808" s="373"/>
      <c r="I808" s="373"/>
      <c r="J808" s="373"/>
      <c r="K808" s="373"/>
      <c r="L808" s="373"/>
      <c r="M808" s="373"/>
      <c r="N808" s="373"/>
      <c r="O808" s="373"/>
      <c r="P808" s="373"/>
      <c r="Q808" s="373"/>
      <c r="R808" s="373"/>
      <c r="S808" s="373"/>
      <c r="T808" s="373"/>
      <c r="U808" s="373"/>
      <c r="V808" s="373"/>
      <c r="W808" s="373"/>
      <c r="X808" s="373"/>
    </row>
    <row r="809" spans="1:24" ht="18" x14ac:dyDescent="0.55000000000000004">
      <c r="A809" s="373"/>
      <c r="B809" s="373"/>
      <c r="C809" s="373"/>
      <c r="D809" s="373"/>
      <c r="E809" s="373"/>
      <c r="F809" s="373"/>
      <c r="G809" s="373"/>
      <c r="H809" s="373"/>
      <c r="I809" s="373"/>
      <c r="J809" s="373"/>
      <c r="K809" s="373"/>
      <c r="L809" s="373"/>
      <c r="M809" s="373"/>
      <c r="N809" s="373"/>
      <c r="O809" s="373"/>
      <c r="P809" s="373"/>
      <c r="Q809" s="373"/>
      <c r="R809" s="373"/>
      <c r="S809" s="373"/>
      <c r="T809" s="373"/>
      <c r="U809" s="373"/>
      <c r="V809" s="373"/>
      <c r="W809" s="373"/>
      <c r="X809" s="373"/>
    </row>
    <row r="810" spans="1:24" ht="18" x14ac:dyDescent="0.55000000000000004">
      <c r="A810" s="373"/>
      <c r="B810" s="373"/>
      <c r="C810" s="373"/>
      <c r="D810" s="373"/>
      <c r="E810" s="373"/>
      <c r="F810" s="373"/>
      <c r="G810" s="373"/>
      <c r="H810" s="373"/>
      <c r="I810" s="373"/>
      <c r="J810" s="373"/>
      <c r="K810" s="373"/>
      <c r="L810" s="373"/>
      <c r="M810" s="373"/>
      <c r="N810" s="373"/>
      <c r="O810" s="373"/>
      <c r="P810" s="373"/>
      <c r="Q810" s="373"/>
      <c r="R810" s="373"/>
      <c r="S810" s="373"/>
      <c r="T810" s="373"/>
      <c r="U810" s="373"/>
      <c r="V810" s="373"/>
      <c r="W810" s="373"/>
      <c r="X810" s="373"/>
    </row>
    <row r="811" spans="1:24" ht="18" x14ac:dyDescent="0.55000000000000004">
      <c r="A811" s="373"/>
      <c r="B811" s="373"/>
      <c r="C811" s="373"/>
      <c r="D811" s="373"/>
      <c r="E811" s="373"/>
      <c r="F811" s="373"/>
      <c r="G811" s="373"/>
      <c r="H811" s="373"/>
      <c r="I811" s="373"/>
      <c r="J811" s="373"/>
      <c r="K811" s="373"/>
      <c r="L811" s="373"/>
      <c r="M811" s="373"/>
      <c r="N811" s="373"/>
      <c r="O811" s="373"/>
      <c r="P811" s="373"/>
      <c r="Q811" s="373"/>
      <c r="R811" s="373"/>
      <c r="S811" s="373"/>
      <c r="T811" s="373"/>
      <c r="U811" s="373"/>
      <c r="V811" s="373"/>
      <c r="W811" s="373"/>
      <c r="X811" s="373"/>
    </row>
    <row r="812" spans="1:24" ht="18" x14ac:dyDescent="0.55000000000000004">
      <c r="A812" s="373"/>
      <c r="B812" s="373"/>
      <c r="C812" s="373"/>
      <c r="D812" s="373"/>
      <c r="E812" s="373"/>
      <c r="F812" s="373"/>
      <c r="G812" s="373"/>
      <c r="H812" s="373"/>
      <c r="I812" s="373"/>
      <c r="J812" s="373"/>
      <c r="K812" s="373"/>
      <c r="L812" s="373"/>
      <c r="M812" s="373"/>
      <c r="N812" s="373"/>
      <c r="O812" s="373"/>
      <c r="P812" s="373"/>
      <c r="Q812" s="373"/>
      <c r="R812" s="373"/>
      <c r="S812" s="373"/>
      <c r="T812" s="373"/>
      <c r="U812" s="373"/>
      <c r="V812" s="373"/>
      <c r="W812" s="373"/>
      <c r="X812" s="373"/>
    </row>
    <row r="813" spans="1:24" ht="18" x14ac:dyDescent="0.55000000000000004">
      <c r="A813" s="373"/>
      <c r="B813" s="373"/>
      <c r="C813" s="373"/>
      <c r="D813" s="373"/>
      <c r="E813" s="373"/>
      <c r="F813" s="373"/>
      <c r="G813" s="373"/>
      <c r="H813" s="373"/>
      <c r="I813" s="373"/>
      <c r="J813" s="373"/>
      <c r="K813" s="373"/>
      <c r="L813" s="373"/>
      <c r="M813" s="373"/>
      <c r="N813" s="373"/>
      <c r="O813" s="373"/>
      <c r="P813" s="373"/>
      <c r="Q813" s="373"/>
      <c r="R813" s="373"/>
      <c r="S813" s="373"/>
      <c r="T813" s="373"/>
      <c r="U813" s="373"/>
      <c r="V813" s="373"/>
      <c r="W813" s="373"/>
      <c r="X813" s="373"/>
    </row>
    <row r="814" spans="1:24" ht="18" x14ac:dyDescent="0.55000000000000004">
      <c r="A814" s="373"/>
      <c r="B814" s="373"/>
      <c r="C814" s="373"/>
      <c r="D814" s="373"/>
      <c r="E814" s="373"/>
      <c r="F814" s="373"/>
      <c r="G814" s="373"/>
      <c r="H814" s="373"/>
      <c r="I814" s="373"/>
      <c r="J814" s="373"/>
      <c r="K814" s="373"/>
      <c r="L814" s="373"/>
      <c r="M814" s="373"/>
      <c r="N814" s="373"/>
      <c r="O814" s="373"/>
      <c r="P814" s="373"/>
      <c r="Q814" s="373"/>
      <c r="R814" s="373"/>
      <c r="S814" s="373"/>
      <c r="T814" s="373"/>
      <c r="U814" s="373"/>
      <c r="V814" s="373"/>
      <c r="W814" s="373"/>
      <c r="X814" s="373"/>
    </row>
    <row r="815" spans="1:24" ht="18" x14ac:dyDescent="0.55000000000000004">
      <c r="A815" s="373"/>
      <c r="B815" s="373"/>
      <c r="C815" s="373"/>
      <c r="D815" s="373"/>
      <c r="E815" s="373"/>
      <c r="F815" s="373"/>
      <c r="G815" s="373"/>
      <c r="H815" s="373"/>
      <c r="I815" s="373"/>
      <c r="J815" s="373"/>
      <c r="K815" s="373"/>
      <c r="L815" s="373"/>
      <c r="M815" s="373"/>
      <c r="N815" s="373"/>
      <c r="O815" s="373"/>
      <c r="P815" s="373"/>
      <c r="Q815" s="373"/>
      <c r="R815" s="373"/>
      <c r="S815" s="373"/>
      <c r="T815" s="373"/>
      <c r="U815" s="373"/>
      <c r="V815" s="373"/>
      <c r="W815" s="373"/>
      <c r="X815" s="373"/>
    </row>
    <row r="816" spans="1:24" ht="18" x14ac:dyDescent="0.55000000000000004">
      <c r="A816" s="373"/>
      <c r="B816" s="373"/>
      <c r="C816" s="373"/>
      <c r="D816" s="373"/>
      <c r="E816" s="373"/>
      <c r="F816" s="373"/>
      <c r="G816" s="373"/>
      <c r="H816" s="373"/>
      <c r="I816" s="373"/>
      <c r="J816" s="373"/>
      <c r="K816" s="373"/>
      <c r="L816" s="373"/>
      <c r="M816" s="373"/>
      <c r="N816" s="373"/>
      <c r="O816" s="373"/>
      <c r="P816" s="373"/>
      <c r="Q816" s="373"/>
      <c r="R816" s="373"/>
      <c r="S816" s="373"/>
      <c r="T816" s="373"/>
      <c r="U816" s="373"/>
      <c r="V816" s="373"/>
      <c r="W816" s="373"/>
      <c r="X816" s="373"/>
    </row>
    <row r="817" spans="1:24" ht="18" x14ac:dyDescent="0.55000000000000004">
      <c r="A817" s="373"/>
      <c r="B817" s="373"/>
      <c r="C817" s="373"/>
      <c r="D817" s="373"/>
      <c r="E817" s="373"/>
      <c r="F817" s="373"/>
      <c r="G817" s="373"/>
      <c r="H817" s="373"/>
      <c r="I817" s="373"/>
      <c r="J817" s="373"/>
      <c r="K817" s="373"/>
      <c r="L817" s="373"/>
      <c r="M817" s="373"/>
      <c r="N817" s="373"/>
      <c r="O817" s="373"/>
      <c r="P817" s="373"/>
      <c r="Q817" s="373"/>
      <c r="R817" s="373"/>
      <c r="S817" s="373"/>
      <c r="T817" s="373"/>
      <c r="U817" s="373"/>
      <c r="V817" s="373"/>
      <c r="W817" s="373"/>
      <c r="X817" s="373"/>
    </row>
    <row r="818" spans="1:24" ht="18" x14ac:dyDescent="0.55000000000000004">
      <c r="A818" s="373"/>
      <c r="B818" s="373"/>
      <c r="C818" s="373"/>
      <c r="D818" s="373"/>
      <c r="E818" s="373"/>
      <c r="F818" s="373"/>
      <c r="G818" s="373"/>
      <c r="H818" s="373"/>
      <c r="I818" s="373"/>
      <c r="J818" s="373"/>
      <c r="K818" s="373"/>
      <c r="L818" s="373"/>
      <c r="M818" s="373"/>
      <c r="N818" s="373"/>
      <c r="O818" s="373"/>
      <c r="P818" s="373"/>
      <c r="Q818" s="373"/>
      <c r="R818" s="373"/>
      <c r="S818" s="373"/>
      <c r="T818" s="373"/>
      <c r="U818" s="373"/>
      <c r="V818" s="373"/>
      <c r="W818" s="373"/>
      <c r="X818" s="373"/>
    </row>
    <row r="819" spans="1:24" ht="18" x14ac:dyDescent="0.55000000000000004">
      <c r="A819" s="373"/>
      <c r="B819" s="373"/>
      <c r="C819" s="373"/>
      <c r="D819" s="373"/>
      <c r="E819" s="373"/>
      <c r="F819" s="373"/>
      <c r="G819" s="373"/>
      <c r="H819" s="373"/>
      <c r="I819" s="373"/>
      <c r="J819" s="373"/>
      <c r="K819" s="373"/>
      <c r="L819" s="373"/>
      <c r="M819" s="373"/>
      <c r="N819" s="373"/>
      <c r="O819" s="373"/>
      <c r="P819" s="373"/>
      <c r="Q819" s="373"/>
      <c r="R819" s="373"/>
      <c r="S819" s="373"/>
      <c r="T819" s="373"/>
      <c r="U819" s="373"/>
      <c r="V819" s="373"/>
      <c r="W819" s="373"/>
      <c r="X819" s="373"/>
    </row>
    <row r="820" spans="1:24" ht="18" x14ac:dyDescent="0.55000000000000004">
      <c r="A820" s="373"/>
      <c r="B820" s="373"/>
      <c r="C820" s="373"/>
      <c r="D820" s="373"/>
      <c r="E820" s="373"/>
      <c r="F820" s="373"/>
      <c r="G820" s="373"/>
      <c r="H820" s="373"/>
      <c r="I820" s="373"/>
      <c r="J820" s="373"/>
      <c r="K820" s="373"/>
      <c r="L820" s="373"/>
      <c r="M820" s="373"/>
      <c r="N820" s="373"/>
      <c r="O820" s="373"/>
      <c r="P820" s="373"/>
      <c r="Q820" s="373"/>
      <c r="R820" s="373"/>
      <c r="S820" s="373"/>
      <c r="T820" s="373"/>
      <c r="U820" s="373"/>
      <c r="V820" s="373"/>
      <c r="W820" s="373"/>
      <c r="X820" s="373"/>
    </row>
    <row r="821" spans="1:24" ht="18" x14ac:dyDescent="0.55000000000000004">
      <c r="A821" s="373"/>
      <c r="B821" s="373"/>
      <c r="C821" s="373"/>
      <c r="D821" s="373"/>
      <c r="E821" s="373"/>
      <c r="F821" s="373"/>
      <c r="G821" s="373"/>
      <c r="H821" s="373"/>
      <c r="I821" s="373"/>
      <c r="J821" s="373"/>
      <c r="K821" s="373"/>
      <c r="L821" s="373"/>
      <c r="M821" s="373"/>
      <c r="N821" s="373"/>
      <c r="O821" s="373"/>
      <c r="P821" s="373"/>
      <c r="Q821" s="373"/>
      <c r="R821" s="373"/>
      <c r="S821" s="373"/>
      <c r="T821" s="373"/>
      <c r="U821" s="373"/>
      <c r="V821" s="373"/>
      <c r="W821" s="373"/>
      <c r="X821" s="373"/>
    </row>
    <row r="822" spans="1:24" ht="18" x14ac:dyDescent="0.55000000000000004">
      <c r="A822" s="373"/>
      <c r="B822" s="373"/>
      <c r="C822" s="373"/>
      <c r="D822" s="373"/>
      <c r="E822" s="373"/>
      <c r="F822" s="373"/>
      <c r="G822" s="373"/>
      <c r="H822" s="373"/>
      <c r="I822" s="373"/>
      <c r="J822" s="373"/>
      <c r="K822" s="373"/>
      <c r="L822" s="373"/>
      <c r="M822" s="373"/>
      <c r="N822" s="373"/>
      <c r="O822" s="373"/>
      <c r="P822" s="373"/>
      <c r="Q822" s="373"/>
      <c r="R822" s="373"/>
      <c r="S822" s="373"/>
      <c r="T822" s="373"/>
      <c r="U822" s="373"/>
      <c r="V822" s="373"/>
      <c r="W822" s="373"/>
      <c r="X822" s="373"/>
    </row>
    <row r="823" spans="1:24" ht="18" x14ac:dyDescent="0.55000000000000004">
      <c r="A823" s="373"/>
      <c r="B823" s="373"/>
      <c r="C823" s="373"/>
      <c r="D823" s="373"/>
      <c r="E823" s="373"/>
      <c r="F823" s="373"/>
      <c r="G823" s="373"/>
      <c r="H823" s="373"/>
      <c r="I823" s="373"/>
      <c r="J823" s="373"/>
      <c r="K823" s="373"/>
      <c r="L823" s="373"/>
      <c r="M823" s="373"/>
      <c r="N823" s="373"/>
      <c r="O823" s="373"/>
      <c r="P823" s="373"/>
      <c r="Q823" s="373"/>
      <c r="R823" s="373"/>
      <c r="S823" s="373"/>
      <c r="T823" s="373"/>
      <c r="U823" s="373"/>
      <c r="V823" s="373"/>
      <c r="W823" s="373"/>
      <c r="X823" s="373"/>
    </row>
    <row r="824" spans="1:24" ht="18" x14ac:dyDescent="0.55000000000000004">
      <c r="A824" s="373"/>
      <c r="B824" s="373"/>
      <c r="C824" s="373"/>
      <c r="D824" s="373"/>
      <c r="E824" s="373"/>
      <c r="F824" s="373"/>
      <c r="G824" s="373"/>
      <c r="H824" s="373"/>
      <c r="I824" s="373"/>
      <c r="J824" s="373"/>
      <c r="K824" s="373"/>
      <c r="L824" s="373"/>
      <c r="M824" s="373"/>
      <c r="N824" s="373"/>
      <c r="O824" s="373"/>
      <c r="P824" s="373"/>
      <c r="Q824" s="373"/>
      <c r="R824" s="373"/>
      <c r="S824" s="373"/>
      <c r="T824" s="373"/>
      <c r="U824" s="373"/>
      <c r="V824" s="373"/>
      <c r="W824" s="373"/>
      <c r="X824" s="373"/>
    </row>
    <row r="825" spans="1:24" ht="18" x14ac:dyDescent="0.55000000000000004">
      <c r="A825" s="373"/>
      <c r="B825" s="373"/>
      <c r="C825" s="373"/>
      <c r="D825" s="373"/>
      <c r="E825" s="373"/>
      <c r="F825" s="373"/>
      <c r="G825" s="373"/>
      <c r="H825" s="373"/>
      <c r="I825" s="373"/>
      <c r="J825" s="373"/>
      <c r="K825" s="373"/>
      <c r="L825" s="373"/>
      <c r="M825" s="373"/>
      <c r="N825" s="373"/>
      <c r="O825" s="373"/>
      <c r="P825" s="373"/>
      <c r="Q825" s="373"/>
      <c r="R825" s="373"/>
      <c r="S825" s="373"/>
      <c r="T825" s="373"/>
      <c r="U825" s="373"/>
      <c r="V825" s="373"/>
      <c r="W825" s="373"/>
      <c r="X825" s="373"/>
    </row>
    <row r="826" spans="1:24" ht="18" x14ac:dyDescent="0.55000000000000004">
      <c r="A826" s="373"/>
      <c r="B826" s="373"/>
      <c r="C826" s="373"/>
      <c r="D826" s="373"/>
      <c r="E826" s="373"/>
      <c r="F826" s="373"/>
      <c r="G826" s="373"/>
      <c r="H826" s="373"/>
      <c r="I826" s="373"/>
      <c r="J826" s="373"/>
      <c r="K826" s="373"/>
      <c r="L826" s="373"/>
      <c r="M826" s="373"/>
      <c r="N826" s="373"/>
      <c r="O826" s="373"/>
      <c r="P826" s="373"/>
      <c r="Q826" s="373"/>
      <c r="R826" s="373"/>
      <c r="S826" s="373"/>
      <c r="T826" s="373"/>
      <c r="U826" s="373"/>
      <c r="V826" s="373"/>
      <c r="W826" s="373"/>
      <c r="X826" s="373"/>
    </row>
    <row r="827" spans="1:24" ht="18" x14ac:dyDescent="0.55000000000000004">
      <c r="A827" s="373"/>
      <c r="B827" s="373"/>
      <c r="C827" s="373"/>
      <c r="D827" s="373"/>
      <c r="E827" s="373"/>
      <c r="F827" s="373"/>
      <c r="G827" s="373"/>
      <c r="H827" s="373"/>
      <c r="I827" s="373"/>
      <c r="J827" s="373"/>
      <c r="K827" s="373"/>
      <c r="L827" s="373"/>
      <c r="M827" s="373"/>
      <c r="N827" s="373"/>
      <c r="O827" s="373"/>
      <c r="P827" s="373"/>
      <c r="Q827" s="373"/>
      <c r="R827" s="373"/>
      <c r="S827" s="373"/>
      <c r="T827" s="373"/>
      <c r="U827" s="373"/>
      <c r="V827" s="373"/>
      <c r="W827" s="373"/>
      <c r="X827" s="373"/>
    </row>
    <row r="828" spans="1:24" ht="18" x14ac:dyDescent="0.55000000000000004">
      <c r="A828" s="373"/>
      <c r="B828" s="373"/>
      <c r="C828" s="373"/>
      <c r="D828" s="373"/>
      <c r="E828" s="373"/>
      <c r="F828" s="373"/>
      <c r="G828" s="373"/>
      <c r="H828" s="373"/>
      <c r="I828" s="373"/>
      <c r="J828" s="373"/>
      <c r="K828" s="373"/>
      <c r="L828" s="373"/>
      <c r="M828" s="373"/>
      <c r="N828" s="373"/>
      <c r="O828" s="373"/>
      <c r="P828" s="373"/>
      <c r="Q828" s="373"/>
      <c r="R828" s="373"/>
      <c r="S828" s="373"/>
      <c r="T828" s="373"/>
      <c r="U828" s="373"/>
      <c r="V828" s="373"/>
      <c r="W828" s="373"/>
      <c r="X828" s="373"/>
    </row>
    <row r="829" spans="1:24" ht="18" x14ac:dyDescent="0.55000000000000004">
      <c r="A829" s="373"/>
      <c r="B829" s="373"/>
      <c r="C829" s="373"/>
      <c r="D829" s="373"/>
      <c r="E829" s="373"/>
      <c r="F829" s="373"/>
      <c r="G829" s="373"/>
      <c r="H829" s="373"/>
      <c r="I829" s="373"/>
      <c r="J829" s="373"/>
      <c r="K829" s="373"/>
      <c r="L829" s="373"/>
      <c r="M829" s="373"/>
      <c r="N829" s="373"/>
      <c r="O829" s="373"/>
      <c r="P829" s="373"/>
      <c r="Q829" s="373"/>
      <c r="R829" s="373"/>
      <c r="S829" s="373"/>
      <c r="T829" s="373"/>
      <c r="U829" s="373"/>
      <c r="V829" s="373"/>
      <c r="W829" s="373"/>
      <c r="X829" s="373"/>
    </row>
    <row r="830" spans="1:24" ht="18" x14ac:dyDescent="0.55000000000000004">
      <c r="A830" s="373"/>
      <c r="B830" s="373"/>
      <c r="C830" s="373"/>
      <c r="D830" s="373"/>
      <c r="E830" s="373"/>
      <c r="F830" s="373"/>
      <c r="G830" s="373"/>
      <c r="H830" s="373"/>
      <c r="I830" s="373"/>
      <c r="J830" s="373"/>
      <c r="K830" s="373"/>
      <c r="L830" s="373"/>
      <c r="M830" s="373"/>
      <c r="N830" s="373"/>
      <c r="O830" s="373"/>
      <c r="P830" s="373"/>
      <c r="Q830" s="373"/>
      <c r="R830" s="373"/>
      <c r="S830" s="373"/>
      <c r="T830" s="373"/>
      <c r="U830" s="373"/>
      <c r="V830" s="373"/>
      <c r="W830" s="373"/>
      <c r="X830" s="373"/>
    </row>
    <row r="831" spans="1:24" ht="18" x14ac:dyDescent="0.55000000000000004">
      <c r="A831" s="373"/>
      <c r="B831" s="373"/>
      <c r="C831" s="373"/>
      <c r="D831" s="373"/>
      <c r="E831" s="373"/>
      <c r="F831" s="373"/>
      <c r="G831" s="373"/>
      <c r="H831" s="373"/>
      <c r="I831" s="373"/>
      <c r="J831" s="373"/>
      <c r="K831" s="373"/>
      <c r="L831" s="373"/>
      <c r="M831" s="373"/>
      <c r="N831" s="373"/>
      <c r="O831" s="373"/>
      <c r="P831" s="373"/>
      <c r="Q831" s="373"/>
      <c r="R831" s="373"/>
      <c r="S831" s="373"/>
      <c r="T831" s="373"/>
      <c r="U831" s="373"/>
      <c r="V831" s="373"/>
      <c r="W831" s="373"/>
      <c r="X831" s="373"/>
    </row>
    <row r="832" spans="1:24" ht="18" x14ac:dyDescent="0.55000000000000004">
      <c r="A832" s="373"/>
      <c r="B832" s="373"/>
      <c r="C832" s="373"/>
      <c r="D832" s="373"/>
      <c r="E832" s="373"/>
      <c r="F832" s="373"/>
      <c r="G832" s="373"/>
      <c r="H832" s="373"/>
      <c r="I832" s="373"/>
      <c r="J832" s="373"/>
      <c r="K832" s="373"/>
      <c r="L832" s="373"/>
      <c r="M832" s="373"/>
      <c r="N832" s="373"/>
      <c r="O832" s="373"/>
      <c r="P832" s="373"/>
      <c r="Q832" s="373"/>
      <c r="R832" s="373"/>
      <c r="S832" s="373"/>
      <c r="T832" s="373"/>
      <c r="U832" s="373"/>
      <c r="V832" s="373"/>
      <c r="W832" s="373"/>
      <c r="X832" s="373"/>
    </row>
    <row r="833" spans="1:24" ht="18" x14ac:dyDescent="0.55000000000000004">
      <c r="A833" s="373"/>
      <c r="B833" s="373"/>
      <c r="C833" s="373"/>
      <c r="D833" s="373"/>
      <c r="E833" s="373"/>
      <c r="F833" s="373"/>
      <c r="G833" s="373"/>
      <c r="H833" s="373"/>
      <c r="I833" s="373"/>
      <c r="J833" s="373"/>
      <c r="K833" s="373"/>
      <c r="L833" s="373"/>
      <c r="M833" s="373"/>
      <c r="N833" s="373"/>
      <c r="O833" s="373"/>
      <c r="P833" s="373"/>
      <c r="Q833" s="373"/>
      <c r="R833" s="373"/>
      <c r="S833" s="373"/>
      <c r="T833" s="373"/>
      <c r="U833" s="373"/>
      <c r="V833" s="373"/>
      <c r="W833" s="373"/>
      <c r="X833" s="373"/>
    </row>
    <row r="834" spans="1:24" ht="18" x14ac:dyDescent="0.55000000000000004">
      <c r="A834" s="373"/>
      <c r="B834" s="373"/>
      <c r="C834" s="373"/>
      <c r="D834" s="373"/>
      <c r="E834" s="373"/>
      <c r="F834" s="373"/>
      <c r="G834" s="373"/>
      <c r="H834" s="373"/>
      <c r="I834" s="373"/>
      <c r="J834" s="373"/>
      <c r="K834" s="373"/>
      <c r="L834" s="373"/>
      <c r="M834" s="373"/>
      <c r="N834" s="373"/>
      <c r="O834" s="373"/>
      <c r="P834" s="373"/>
      <c r="Q834" s="373"/>
      <c r="R834" s="373"/>
      <c r="S834" s="373"/>
      <c r="T834" s="373"/>
      <c r="U834" s="373"/>
      <c r="V834" s="373"/>
      <c r="W834" s="373"/>
      <c r="X834" s="373"/>
    </row>
    <row r="835" spans="1:24" ht="18" x14ac:dyDescent="0.55000000000000004">
      <c r="A835" s="373"/>
      <c r="B835" s="373"/>
      <c r="C835" s="373"/>
      <c r="D835" s="373"/>
      <c r="E835" s="373"/>
      <c r="F835" s="373"/>
      <c r="G835" s="373"/>
      <c r="H835" s="373"/>
      <c r="I835" s="373"/>
      <c r="J835" s="373"/>
      <c r="K835" s="373"/>
      <c r="L835" s="373"/>
      <c r="M835" s="373"/>
      <c r="N835" s="373"/>
      <c r="O835" s="373"/>
      <c r="P835" s="373"/>
      <c r="Q835" s="373"/>
      <c r="R835" s="373"/>
      <c r="S835" s="373"/>
      <c r="T835" s="373"/>
      <c r="U835" s="373"/>
      <c r="V835" s="373"/>
      <c r="W835" s="373"/>
      <c r="X835" s="373"/>
    </row>
    <row r="836" spans="1:24" ht="18" x14ac:dyDescent="0.55000000000000004">
      <c r="A836" s="373"/>
      <c r="B836" s="373"/>
      <c r="C836" s="373"/>
      <c r="D836" s="373"/>
      <c r="E836" s="373"/>
      <c r="F836" s="373"/>
      <c r="G836" s="373"/>
      <c r="H836" s="373"/>
      <c r="I836" s="373"/>
      <c r="J836" s="373"/>
      <c r="K836" s="373"/>
      <c r="L836" s="373"/>
      <c r="M836" s="373"/>
      <c r="N836" s="373"/>
      <c r="O836" s="373"/>
      <c r="P836" s="373"/>
      <c r="Q836" s="373"/>
      <c r="R836" s="373"/>
      <c r="S836" s="373"/>
      <c r="T836" s="373"/>
      <c r="U836" s="373"/>
      <c r="V836" s="373"/>
      <c r="W836" s="373"/>
      <c r="X836" s="373"/>
    </row>
    <row r="837" spans="1:24" ht="18" x14ac:dyDescent="0.55000000000000004">
      <c r="A837" s="373"/>
      <c r="B837" s="373"/>
      <c r="C837" s="373"/>
      <c r="D837" s="373"/>
      <c r="E837" s="373"/>
      <c r="F837" s="373"/>
      <c r="G837" s="373"/>
      <c r="H837" s="373"/>
      <c r="I837" s="373"/>
      <c r="J837" s="373"/>
      <c r="K837" s="373"/>
      <c r="L837" s="373"/>
      <c r="M837" s="373"/>
      <c r="N837" s="373"/>
      <c r="O837" s="373"/>
      <c r="P837" s="373"/>
      <c r="Q837" s="373"/>
      <c r="R837" s="373"/>
      <c r="S837" s="373"/>
      <c r="T837" s="373"/>
      <c r="U837" s="373"/>
      <c r="V837" s="373"/>
      <c r="W837" s="373"/>
      <c r="X837" s="373"/>
    </row>
    <row r="838" spans="1:24" ht="18" x14ac:dyDescent="0.55000000000000004">
      <c r="A838" s="373"/>
      <c r="B838" s="373"/>
      <c r="C838" s="373"/>
      <c r="D838" s="373"/>
      <c r="E838" s="373"/>
      <c r="F838" s="373"/>
      <c r="G838" s="373"/>
      <c r="H838" s="373"/>
      <c r="I838" s="373"/>
      <c r="J838" s="373"/>
      <c r="K838" s="373"/>
      <c r="L838" s="373"/>
      <c r="M838" s="373"/>
      <c r="N838" s="373"/>
      <c r="O838" s="373"/>
      <c r="P838" s="373"/>
      <c r="Q838" s="373"/>
      <c r="R838" s="373"/>
      <c r="S838" s="373"/>
      <c r="T838" s="373"/>
      <c r="U838" s="373"/>
      <c r="V838" s="373"/>
      <c r="W838" s="373"/>
      <c r="X838" s="373"/>
    </row>
    <row r="839" spans="1:24" ht="18" x14ac:dyDescent="0.55000000000000004">
      <c r="A839" s="373"/>
      <c r="B839" s="373"/>
      <c r="C839" s="373"/>
      <c r="D839" s="373"/>
      <c r="E839" s="373"/>
      <c r="F839" s="373"/>
      <c r="G839" s="373"/>
      <c r="H839" s="373"/>
      <c r="I839" s="373"/>
      <c r="J839" s="373"/>
      <c r="K839" s="373"/>
      <c r="L839" s="373"/>
      <c r="M839" s="373"/>
      <c r="N839" s="373"/>
      <c r="O839" s="373"/>
      <c r="P839" s="373"/>
      <c r="Q839" s="373"/>
      <c r="R839" s="373"/>
      <c r="S839" s="373"/>
      <c r="T839" s="373"/>
      <c r="U839" s="373"/>
      <c r="V839" s="373"/>
      <c r="W839" s="373"/>
      <c r="X839" s="373"/>
    </row>
    <row r="840" spans="1:24" ht="18" x14ac:dyDescent="0.55000000000000004">
      <c r="A840" s="373"/>
      <c r="B840" s="373"/>
      <c r="C840" s="373"/>
      <c r="D840" s="373"/>
      <c r="E840" s="373"/>
      <c r="F840" s="373"/>
      <c r="G840" s="373"/>
      <c r="H840" s="373"/>
      <c r="I840" s="373"/>
      <c r="J840" s="373"/>
      <c r="K840" s="373"/>
      <c r="L840" s="373"/>
      <c r="M840" s="373"/>
      <c r="N840" s="373"/>
      <c r="O840" s="373"/>
      <c r="P840" s="373"/>
      <c r="Q840" s="373"/>
      <c r="R840" s="373"/>
      <c r="S840" s="373"/>
      <c r="T840" s="373"/>
      <c r="U840" s="373"/>
      <c r="V840" s="373"/>
      <c r="W840" s="373"/>
      <c r="X840" s="373"/>
    </row>
    <row r="841" spans="1:24" ht="18" x14ac:dyDescent="0.55000000000000004">
      <c r="A841" s="373"/>
      <c r="B841" s="373"/>
      <c r="C841" s="373"/>
      <c r="D841" s="373"/>
      <c r="E841" s="373"/>
      <c r="F841" s="373"/>
      <c r="G841" s="373"/>
      <c r="H841" s="373"/>
      <c r="I841" s="373"/>
      <c r="J841" s="373"/>
      <c r="K841" s="373"/>
      <c r="L841" s="373"/>
      <c r="M841" s="373"/>
      <c r="N841" s="373"/>
      <c r="O841" s="373"/>
      <c r="P841" s="373"/>
      <c r="Q841" s="373"/>
      <c r="R841" s="373"/>
      <c r="S841" s="373"/>
      <c r="T841" s="373"/>
      <c r="U841" s="373"/>
      <c r="V841" s="373"/>
      <c r="W841" s="373"/>
      <c r="X841" s="373"/>
    </row>
    <row r="842" spans="1:24" ht="18" x14ac:dyDescent="0.55000000000000004">
      <c r="A842" s="373"/>
      <c r="B842" s="373"/>
      <c r="C842" s="373"/>
      <c r="D842" s="373"/>
      <c r="E842" s="373"/>
      <c r="F842" s="373"/>
      <c r="G842" s="373"/>
      <c r="H842" s="373"/>
      <c r="I842" s="373"/>
      <c r="J842" s="373"/>
      <c r="K842" s="373"/>
      <c r="L842" s="373"/>
      <c r="M842" s="373"/>
      <c r="N842" s="373"/>
      <c r="O842" s="373"/>
      <c r="P842" s="373"/>
      <c r="Q842" s="373"/>
      <c r="R842" s="373"/>
      <c r="S842" s="373"/>
      <c r="T842" s="373"/>
      <c r="U842" s="373"/>
      <c r="V842" s="373"/>
      <c r="W842" s="373"/>
      <c r="X842" s="373"/>
    </row>
    <row r="843" spans="1:24" ht="18" x14ac:dyDescent="0.55000000000000004">
      <c r="A843" s="373"/>
      <c r="B843" s="373"/>
      <c r="C843" s="373"/>
      <c r="D843" s="373"/>
      <c r="E843" s="373"/>
      <c r="F843" s="373"/>
      <c r="G843" s="373"/>
      <c r="H843" s="373"/>
      <c r="I843" s="373"/>
      <c r="J843" s="373"/>
      <c r="K843" s="373"/>
      <c r="L843" s="373"/>
      <c r="M843" s="373"/>
      <c r="N843" s="373"/>
      <c r="O843" s="373"/>
      <c r="P843" s="373"/>
      <c r="Q843" s="373"/>
      <c r="R843" s="373"/>
      <c r="S843" s="373"/>
      <c r="T843" s="373"/>
      <c r="U843" s="373"/>
      <c r="V843" s="373"/>
      <c r="W843" s="373"/>
      <c r="X843" s="373"/>
    </row>
    <row r="844" spans="1:24" ht="18" x14ac:dyDescent="0.55000000000000004">
      <c r="A844" s="373"/>
      <c r="B844" s="373"/>
      <c r="C844" s="373"/>
      <c r="D844" s="373"/>
      <c r="E844" s="373"/>
      <c r="F844" s="373"/>
      <c r="G844" s="373"/>
      <c r="H844" s="373"/>
      <c r="I844" s="373"/>
      <c r="J844" s="373"/>
      <c r="K844" s="373"/>
      <c r="L844" s="373"/>
      <c r="M844" s="373"/>
      <c r="N844" s="373"/>
      <c r="O844" s="373"/>
      <c r="P844" s="373"/>
      <c r="Q844" s="373"/>
      <c r="R844" s="373"/>
      <c r="S844" s="373"/>
      <c r="T844" s="373"/>
      <c r="U844" s="373"/>
      <c r="V844" s="373"/>
      <c r="W844" s="373"/>
      <c r="X844" s="373"/>
    </row>
    <row r="845" spans="1:24" ht="18" x14ac:dyDescent="0.55000000000000004">
      <c r="A845" s="373"/>
      <c r="B845" s="373"/>
      <c r="C845" s="373"/>
      <c r="D845" s="373"/>
      <c r="E845" s="373"/>
      <c r="F845" s="373"/>
      <c r="G845" s="373"/>
      <c r="H845" s="373"/>
      <c r="I845" s="373"/>
      <c r="J845" s="373"/>
      <c r="K845" s="373"/>
      <c r="L845" s="373"/>
      <c r="M845" s="373"/>
      <c r="N845" s="373"/>
      <c r="O845" s="373"/>
      <c r="P845" s="373"/>
      <c r="Q845" s="373"/>
      <c r="R845" s="373"/>
      <c r="S845" s="373"/>
      <c r="T845" s="373"/>
      <c r="U845" s="373"/>
      <c r="V845" s="373"/>
      <c r="W845" s="373"/>
      <c r="X845" s="373"/>
    </row>
    <row r="846" spans="1:24" ht="18" x14ac:dyDescent="0.55000000000000004">
      <c r="A846" s="373"/>
      <c r="B846" s="373"/>
      <c r="C846" s="373"/>
      <c r="D846" s="373"/>
      <c r="E846" s="373"/>
      <c r="F846" s="373"/>
      <c r="G846" s="373"/>
      <c r="H846" s="373"/>
      <c r="I846" s="373"/>
      <c r="J846" s="373"/>
      <c r="K846" s="373"/>
      <c r="L846" s="373"/>
      <c r="M846" s="373"/>
      <c r="N846" s="373"/>
      <c r="O846" s="373"/>
      <c r="P846" s="373"/>
      <c r="Q846" s="373"/>
      <c r="R846" s="373"/>
      <c r="S846" s="373"/>
      <c r="T846" s="373"/>
      <c r="U846" s="373"/>
      <c r="V846" s="373"/>
      <c r="W846" s="373"/>
      <c r="X846" s="373"/>
    </row>
    <row r="847" spans="1:24" ht="18" x14ac:dyDescent="0.55000000000000004">
      <c r="A847" s="373"/>
      <c r="B847" s="373"/>
      <c r="C847" s="373"/>
      <c r="D847" s="373"/>
      <c r="E847" s="373"/>
      <c r="F847" s="373"/>
      <c r="G847" s="373"/>
      <c r="H847" s="373"/>
      <c r="I847" s="373"/>
      <c r="J847" s="373"/>
      <c r="K847" s="373"/>
      <c r="L847" s="373"/>
      <c r="M847" s="373"/>
      <c r="N847" s="373"/>
      <c r="O847" s="373"/>
      <c r="P847" s="373"/>
      <c r="Q847" s="373"/>
      <c r="R847" s="373"/>
      <c r="S847" s="373"/>
      <c r="T847" s="373"/>
      <c r="U847" s="373"/>
      <c r="V847" s="373"/>
      <c r="W847" s="373"/>
      <c r="X847" s="373"/>
    </row>
    <row r="848" spans="1:24" ht="18" x14ac:dyDescent="0.55000000000000004">
      <c r="A848" s="373"/>
      <c r="B848" s="373"/>
      <c r="C848" s="373"/>
      <c r="D848" s="373"/>
      <c r="E848" s="373"/>
      <c r="F848" s="373"/>
      <c r="G848" s="373"/>
      <c r="H848" s="373"/>
      <c r="I848" s="373"/>
      <c r="J848" s="373"/>
      <c r="K848" s="373"/>
      <c r="L848" s="373"/>
      <c r="M848" s="373"/>
      <c r="N848" s="373"/>
      <c r="O848" s="373"/>
      <c r="P848" s="373"/>
      <c r="Q848" s="373"/>
      <c r="R848" s="373"/>
      <c r="S848" s="373"/>
      <c r="T848" s="373"/>
      <c r="U848" s="373"/>
      <c r="V848" s="373"/>
      <c r="W848" s="373"/>
      <c r="X848" s="373"/>
    </row>
    <row r="849" spans="1:24" ht="18" x14ac:dyDescent="0.55000000000000004">
      <c r="A849" s="373"/>
      <c r="B849" s="373"/>
      <c r="C849" s="373"/>
      <c r="D849" s="373"/>
      <c r="E849" s="373"/>
      <c r="F849" s="373"/>
      <c r="G849" s="373"/>
      <c r="H849" s="373"/>
      <c r="I849" s="373"/>
      <c r="J849" s="373"/>
      <c r="K849" s="373"/>
      <c r="L849" s="373"/>
      <c r="M849" s="373"/>
      <c r="N849" s="373"/>
      <c r="O849" s="373"/>
      <c r="P849" s="373"/>
      <c r="Q849" s="373"/>
      <c r="R849" s="373"/>
      <c r="S849" s="373"/>
      <c r="T849" s="373"/>
      <c r="U849" s="373"/>
      <c r="V849" s="373"/>
      <c r="W849" s="373"/>
      <c r="X849" s="373"/>
    </row>
    <row r="850" spans="1:24" ht="18" x14ac:dyDescent="0.55000000000000004">
      <c r="A850" s="373"/>
      <c r="B850" s="373"/>
      <c r="C850" s="373"/>
      <c r="D850" s="373"/>
      <c r="E850" s="373"/>
      <c r="F850" s="373"/>
      <c r="G850" s="373"/>
      <c r="H850" s="373"/>
      <c r="I850" s="373"/>
      <c r="J850" s="373"/>
      <c r="K850" s="373"/>
      <c r="L850" s="373"/>
      <c r="M850" s="373"/>
      <c r="N850" s="373"/>
      <c r="O850" s="373"/>
      <c r="P850" s="373"/>
      <c r="Q850" s="373"/>
      <c r="R850" s="373"/>
      <c r="S850" s="373"/>
      <c r="T850" s="373"/>
      <c r="U850" s="373"/>
      <c r="V850" s="373"/>
      <c r="W850" s="373"/>
      <c r="X850" s="373"/>
    </row>
    <row r="851" spans="1:24" ht="18" x14ac:dyDescent="0.55000000000000004">
      <c r="A851" s="373"/>
      <c r="B851" s="373"/>
      <c r="C851" s="373"/>
      <c r="D851" s="373"/>
      <c r="E851" s="373"/>
      <c r="F851" s="373"/>
      <c r="G851" s="373"/>
      <c r="H851" s="373"/>
      <c r="I851" s="373"/>
      <c r="J851" s="373"/>
      <c r="K851" s="373"/>
      <c r="L851" s="373"/>
      <c r="M851" s="373"/>
      <c r="N851" s="373"/>
      <c r="O851" s="373"/>
      <c r="P851" s="373"/>
      <c r="Q851" s="373"/>
      <c r="R851" s="373"/>
      <c r="S851" s="373"/>
      <c r="T851" s="373"/>
      <c r="U851" s="373"/>
      <c r="V851" s="373"/>
      <c r="W851" s="373"/>
      <c r="X851" s="373"/>
    </row>
    <row r="852" spans="1:24" ht="18" x14ac:dyDescent="0.55000000000000004">
      <c r="A852" s="373"/>
      <c r="B852" s="373"/>
      <c r="C852" s="373"/>
      <c r="D852" s="373"/>
      <c r="E852" s="373"/>
      <c r="F852" s="373"/>
      <c r="G852" s="373"/>
      <c r="H852" s="373"/>
      <c r="I852" s="373"/>
      <c r="J852" s="373"/>
      <c r="K852" s="373"/>
      <c r="L852" s="373"/>
      <c r="M852" s="373"/>
      <c r="N852" s="373"/>
      <c r="O852" s="373"/>
      <c r="P852" s="373"/>
      <c r="Q852" s="373"/>
      <c r="R852" s="373"/>
      <c r="S852" s="373"/>
      <c r="T852" s="373"/>
      <c r="U852" s="373"/>
      <c r="V852" s="373"/>
      <c r="W852" s="373"/>
      <c r="X852" s="373"/>
    </row>
    <row r="853" spans="1:24" ht="18" x14ac:dyDescent="0.55000000000000004">
      <c r="A853" s="373"/>
      <c r="B853" s="373"/>
      <c r="C853" s="373"/>
      <c r="D853" s="373"/>
      <c r="E853" s="373"/>
      <c r="F853" s="373"/>
      <c r="G853" s="373"/>
      <c r="H853" s="373"/>
      <c r="I853" s="373"/>
      <c r="J853" s="373"/>
      <c r="K853" s="373"/>
      <c r="L853" s="373"/>
      <c r="M853" s="373"/>
      <c r="N853" s="373"/>
      <c r="O853" s="373"/>
      <c r="P853" s="373"/>
      <c r="Q853" s="373"/>
      <c r="R853" s="373"/>
      <c r="S853" s="373"/>
      <c r="T853" s="373"/>
      <c r="U853" s="373"/>
      <c r="V853" s="373"/>
      <c r="W853" s="373"/>
      <c r="X853" s="373"/>
    </row>
    <row r="854" spans="1:24" ht="18" x14ac:dyDescent="0.55000000000000004">
      <c r="A854" s="373"/>
      <c r="B854" s="373"/>
      <c r="C854" s="373"/>
      <c r="D854" s="373"/>
      <c r="E854" s="373"/>
      <c r="F854" s="373"/>
      <c r="G854" s="373"/>
      <c r="H854" s="373"/>
      <c r="I854" s="373"/>
      <c r="J854" s="373"/>
      <c r="K854" s="373"/>
      <c r="L854" s="373"/>
      <c r="M854" s="373"/>
      <c r="N854" s="373"/>
      <c r="O854" s="373"/>
      <c r="P854" s="373"/>
      <c r="Q854" s="373"/>
      <c r="R854" s="373"/>
      <c r="S854" s="373"/>
      <c r="T854" s="373"/>
      <c r="U854" s="373"/>
      <c r="V854" s="373"/>
      <c r="W854" s="373"/>
      <c r="X854" s="373"/>
    </row>
    <row r="855" spans="1:24" ht="18" x14ac:dyDescent="0.55000000000000004">
      <c r="A855" s="373"/>
      <c r="B855" s="373"/>
      <c r="C855" s="373"/>
      <c r="D855" s="373"/>
      <c r="E855" s="373"/>
      <c r="F855" s="373"/>
      <c r="G855" s="373"/>
      <c r="H855" s="373"/>
      <c r="I855" s="373"/>
      <c r="J855" s="373"/>
      <c r="K855" s="373"/>
      <c r="L855" s="373"/>
      <c r="M855" s="373"/>
      <c r="N855" s="373"/>
      <c r="O855" s="373"/>
      <c r="P855" s="373"/>
      <c r="Q855" s="373"/>
      <c r="R855" s="373"/>
      <c r="S855" s="373"/>
      <c r="T855" s="373"/>
      <c r="U855" s="373"/>
      <c r="V855" s="373"/>
      <c r="W855" s="373"/>
      <c r="X855" s="373"/>
    </row>
    <row r="856" spans="1:24" ht="18" x14ac:dyDescent="0.55000000000000004">
      <c r="A856" s="373"/>
      <c r="B856" s="373"/>
      <c r="C856" s="373"/>
      <c r="D856" s="373"/>
      <c r="E856" s="373"/>
      <c r="F856" s="373"/>
      <c r="G856" s="373"/>
      <c r="H856" s="373"/>
      <c r="I856" s="373"/>
      <c r="J856" s="373"/>
      <c r="K856" s="373"/>
      <c r="L856" s="373"/>
      <c r="M856" s="373"/>
      <c r="N856" s="373"/>
      <c r="O856" s="373"/>
      <c r="P856" s="373"/>
      <c r="Q856" s="373"/>
      <c r="R856" s="373"/>
      <c r="S856" s="373"/>
      <c r="T856" s="373"/>
      <c r="U856" s="373"/>
      <c r="V856" s="373"/>
      <c r="W856" s="373"/>
      <c r="X856" s="373"/>
    </row>
    <row r="857" spans="1:24" ht="18" x14ac:dyDescent="0.55000000000000004">
      <c r="A857" s="373"/>
      <c r="B857" s="373"/>
      <c r="C857" s="373"/>
      <c r="D857" s="373"/>
      <c r="E857" s="373"/>
      <c r="F857" s="373"/>
      <c r="G857" s="373"/>
      <c r="H857" s="373"/>
      <c r="I857" s="373"/>
      <c r="J857" s="373"/>
      <c r="K857" s="373"/>
      <c r="L857" s="373"/>
      <c r="M857" s="373"/>
      <c r="N857" s="373"/>
      <c r="O857" s="373"/>
      <c r="P857" s="373"/>
      <c r="Q857" s="373"/>
      <c r="R857" s="373"/>
      <c r="S857" s="373"/>
      <c r="T857" s="373"/>
      <c r="U857" s="373"/>
      <c r="V857" s="373"/>
      <c r="W857" s="373"/>
      <c r="X857" s="373"/>
    </row>
    <row r="858" spans="1:24" ht="18" x14ac:dyDescent="0.55000000000000004">
      <c r="A858" s="373"/>
      <c r="B858" s="373"/>
      <c r="C858" s="373"/>
      <c r="D858" s="373"/>
      <c r="E858" s="373"/>
      <c r="F858" s="373"/>
      <c r="G858" s="373"/>
      <c r="H858" s="373"/>
      <c r="I858" s="373"/>
      <c r="J858" s="373"/>
      <c r="K858" s="373"/>
      <c r="L858" s="373"/>
      <c r="M858" s="373"/>
      <c r="N858" s="373"/>
      <c r="O858" s="373"/>
      <c r="P858" s="373"/>
      <c r="Q858" s="373"/>
      <c r="R858" s="373"/>
      <c r="S858" s="373"/>
      <c r="T858" s="373"/>
      <c r="U858" s="373"/>
      <c r="V858" s="373"/>
      <c r="W858" s="373"/>
      <c r="X858" s="373"/>
    </row>
    <row r="859" spans="1:24" ht="18" x14ac:dyDescent="0.55000000000000004">
      <c r="A859" s="373"/>
      <c r="B859" s="373"/>
      <c r="C859" s="373"/>
      <c r="D859" s="373"/>
      <c r="E859" s="373"/>
      <c r="F859" s="373"/>
      <c r="G859" s="373"/>
      <c r="H859" s="373"/>
      <c r="I859" s="373"/>
      <c r="J859" s="373"/>
      <c r="K859" s="373"/>
      <c r="L859" s="373"/>
      <c r="M859" s="373"/>
      <c r="N859" s="373"/>
      <c r="O859" s="373"/>
      <c r="P859" s="373"/>
      <c r="Q859" s="373"/>
      <c r="R859" s="373"/>
      <c r="S859" s="373"/>
      <c r="T859" s="373"/>
      <c r="U859" s="373"/>
      <c r="V859" s="373"/>
      <c r="W859" s="373"/>
      <c r="X859" s="373"/>
    </row>
    <row r="860" spans="1:24" ht="18" x14ac:dyDescent="0.55000000000000004">
      <c r="A860" s="373"/>
      <c r="B860" s="373"/>
      <c r="C860" s="373"/>
      <c r="D860" s="373"/>
      <c r="E860" s="373"/>
      <c r="F860" s="373"/>
      <c r="G860" s="373"/>
      <c r="H860" s="373"/>
      <c r="I860" s="373"/>
      <c r="J860" s="373"/>
      <c r="K860" s="373"/>
      <c r="L860" s="373"/>
      <c r="M860" s="373"/>
      <c r="N860" s="373"/>
      <c r="O860" s="373"/>
      <c r="P860" s="373"/>
      <c r="Q860" s="373"/>
      <c r="R860" s="373"/>
      <c r="S860" s="373"/>
      <c r="T860" s="373"/>
      <c r="U860" s="373"/>
      <c r="V860" s="373"/>
      <c r="W860" s="373"/>
      <c r="X860" s="373"/>
    </row>
    <row r="861" spans="1:24" ht="18" x14ac:dyDescent="0.55000000000000004">
      <c r="A861" s="373"/>
      <c r="B861" s="373"/>
      <c r="C861" s="373"/>
      <c r="D861" s="373"/>
      <c r="E861" s="373"/>
      <c r="F861" s="373"/>
      <c r="G861" s="373"/>
      <c r="H861" s="373"/>
      <c r="I861" s="373"/>
      <c r="J861" s="373"/>
      <c r="K861" s="373"/>
      <c r="L861" s="373"/>
      <c r="M861" s="373"/>
      <c r="N861" s="373"/>
      <c r="O861" s="373"/>
      <c r="P861" s="373"/>
      <c r="Q861" s="373"/>
      <c r="R861" s="373"/>
      <c r="S861" s="373"/>
      <c r="T861" s="373"/>
      <c r="U861" s="373"/>
      <c r="V861" s="373"/>
      <c r="W861" s="373"/>
      <c r="X861" s="373"/>
    </row>
    <row r="862" spans="1:24" ht="18" x14ac:dyDescent="0.55000000000000004">
      <c r="A862" s="373"/>
      <c r="B862" s="373"/>
      <c r="C862" s="373"/>
      <c r="D862" s="373"/>
      <c r="E862" s="373"/>
      <c r="F862" s="373"/>
      <c r="G862" s="373"/>
      <c r="H862" s="373"/>
      <c r="I862" s="373"/>
      <c r="J862" s="373"/>
      <c r="K862" s="373"/>
      <c r="L862" s="373"/>
      <c r="M862" s="373"/>
      <c r="N862" s="373"/>
      <c r="O862" s="373"/>
      <c r="P862" s="373"/>
      <c r="Q862" s="373"/>
      <c r="R862" s="373"/>
      <c r="S862" s="373"/>
      <c r="T862" s="373"/>
      <c r="U862" s="373"/>
      <c r="V862" s="373"/>
      <c r="W862" s="373"/>
      <c r="X862" s="373"/>
    </row>
    <row r="863" spans="1:24" ht="18" x14ac:dyDescent="0.55000000000000004">
      <c r="A863" s="373"/>
      <c r="B863" s="373"/>
      <c r="C863" s="373"/>
      <c r="D863" s="373"/>
      <c r="E863" s="373"/>
      <c r="F863" s="373"/>
      <c r="G863" s="373"/>
      <c r="H863" s="373"/>
      <c r="I863" s="373"/>
      <c r="J863" s="373"/>
      <c r="K863" s="373"/>
      <c r="L863" s="373"/>
      <c r="M863" s="373"/>
      <c r="N863" s="373"/>
      <c r="O863" s="373"/>
      <c r="P863" s="373"/>
      <c r="Q863" s="373"/>
      <c r="R863" s="373"/>
      <c r="S863" s="373"/>
      <c r="T863" s="373"/>
      <c r="U863" s="373"/>
      <c r="V863" s="373"/>
      <c r="W863" s="373"/>
      <c r="X863" s="373"/>
    </row>
    <row r="864" spans="1:24" ht="18" x14ac:dyDescent="0.55000000000000004">
      <c r="A864" s="373"/>
      <c r="B864" s="373"/>
      <c r="C864" s="373"/>
      <c r="D864" s="373"/>
      <c r="E864" s="373"/>
      <c r="F864" s="373"/>
      <c r="G864" s="373"/>
      <c r="H864" s="373"/>
      <c r="I864" s="373"/>
      <c r="J864" s="373"/>
      <c r="K864" s="373"/>
      <c r="L864" s="373"/>
      <c r="M864" s="373"/>
      <c r="N864" s="373"/>
      <c r="O864" s="373"/>
      <c r="P864" s="373"/>
      <c r="Q864" s="373"/>
      <c r="R864" s="373"/>
      <c r="S864" s="373"/>
      <c r="T864" s="373"/>
      <c r="U864" s="373"/>
      <c r="V864" s="373"/>
      <c r="W864" s="373"/>
      <c r="X864" s="373"/>
    </row>
    <row r="865" spans="1:24" ht="18" x14ac:dyDescent="0.55000000000000004">
      <c r="A865" s="373"/>
      <c r="B865" s="373"/>
      <c r="C865" s="373"/>
      <c r="D865" s="373"/>
      <c r="E865" s="373"/>
      <c r="F865" s="373"/>
      <c r="G865" s="373"/>
      <c r="H865" s="373"/>
      <c r="I865" s="373"/>
      <c r="J865" s="373"/>
      <c r="K865" s="373"/>
      <c r="L865" s="373"/>
      <c r="M865" s="373"/>
      <c r="N865" s="373"/>
      <c r="O865" s="373"/>
      <c r="P865" s="373"/>
      <c r="Q865" s="373"/>
      <c r="R865" s="373"/>
      <c r="S865" s="373"/>
      <c r="T865" s="373"/>
      <c r="U865" s="373"/>
      <c r="V865" s="373"/>
      <c r="W865" s="373"/>
      <c r="X865" s="373"/>
    </row>
    <row r="866" spans="1:24" ht="18" x14ac:dyDescent="0.55000000000000004">
      <c r="A866" s="373"/>
      <c r="B866" s="373"/>
      <c r="C866" s="373"/>
      <c r="D866" s="373"/>
      <c r="E866" s="373"/>
      <c r="F866" s="373"/>
      <c r="G866" s="373"/>
      <c r="H866" s="373"/>
      <c r="I866" s="373"/>
      <c r="J866" s="373"/>
      <c r="K866" s="373"/>
      <c r="L866" s="373"/>
      <c r="M866" s="373"/>
      <c r="N866" s="373"/>
      <c r="O866" s="373"/>
      <c r="P866" s="373"/>
      <c r="Q866" s="373"/>
      <c r="R866" s="373"/>
      <c r="S866" s="373"/>
      <c r="T866" s="373"/>
      <c r="U866" s="373"/>
      <c r="V866" s="373"/>
      <c r="W866" s="373"/>
      <c r="X866" s="373"/>
    </row>
    <row r="867" spans="1:24" ht="18" x14ac:dyDescent="0.55000000000000004">
      <c r="A867" s="373"/>
      <c r="B867" s="373"/>
      <c r="C867" s="373"/>
      <c r="D867" s="373"/>
      <c r="E867" s="373"/>
      <c r="F867" s="373"/>
      <c r="G867" s="373"/>
      <c r="H867" s="373"/>
      <c r="I867" s="373"/>
      <c r="J867" s="373"/>
      <c r="K867" s="373"/>
      <c r="L867" s="373"/>
      <c r="M867" s="373"/>
      <c r="N867" s="373"/>
      <c r="O867" s="373"/>
      <c r="P867" s="373"/>
      <c r="Q867" s="373"/>
      <c r="R867" s="373"/>
      <c r="S867" s="373"/>
      <c r="T867" s="373"/>
      <c r="U867" s="373"/>
      <c r="V867" s="373"/>
      <c r="W867" s="373"/>
      <c r="X867" s="373"/>
    </row>
    <row r="868" spans="1:24" ht="18" x14ac:dyDescent="0.55000000000000004">
      <c r="A868" s="373"/>
      <c r="B868" s="373"/>
      <c r="C868" s="373"/>
      <c r="D868" s="373"/>
      <c r="E868" s="373"/>
      <c r="F868" s="373"/>
      <c r="G868" s="373"/>
      <c r="H868" s="373"/>
      <c r="I868" s="373"/>
      <c r="J868" s="373"/>
      <c r="K868" s="373"/>
      <c r="L868" s="373"/>
      <c r="M868" s="373"/>
      <c r="N868" s="373"/>
      <c r="O868" s="373"/>
      <c r="P868" s="373"/>
      <c r="Q868" s="373"/>
      <c r="R868" s="373"/>
      <c r="S868" s="373"/>
      <c r="T868" s="373"/>
      <c r="U868" s="373"/>
      <c r="V868" s="373"/>
      <c r="W868" s="373"/>
      <c r="X868" s="373"/>
    </row>
    <row r="869" spans="1:24" ht="18" x14ac:dyDescent="0.55000000000000004">
      <c r="A869" s="373"/>
      <c r="B869" s="373"/>
      <c r="C869" s="373"/>
      <c r="D869" s="373"/>
      <c r="E869" s="373"/>
      <c r="F869" s="373"/>
      <c r="G869" s="373"/>
      <c r="H869" s="373"/>
      <c r="I869" s="373"/>
      <c r="J869" s="373"/>
      <c r="K869" s="373"/>
      <c r="L869" s="373"/>
      <c r="M869" s="373"/>
      <c r="N869" s="373"/>
      <c r="O869" s="373"/>
      <c r="P869" s="373"/>
      <c r="Q869" s="373"/>
      <c r="R869" s="373"/>
      <c r="S869" s="373"/>
      <c r="T869" s="373"/>
      <c r="U869" s="373"/>
      <c r="V869" s="373"/>
      <c r="W869" s="373"/>
      <c r="X869" s="373"/>
    </row>
    <row r="870" spans="1:24" ht="18" x14ac:dyDescent="0.55000000000000004">
      <c r="A870" s="373"/>
      <c r="B870" s="373"/>
      <c r="C870" s="373"/>
      <c r="D870" s="373"/>
      <c r="E870" s="373"/>
      <c r="F870" s="373"/>
      <c r="G870" s="373"/>
      <c r="H870" s="373"/>
      <c r="I870" s="373"/>
      <c r="J870" s="373"/>
      <c r="K870" s="373"/>
      <c r="L870" s="373"/>
      <c r="M870" s="373"/>
      <c r="N870" s="373"/>
      <c r="O870" s="373"/>
      <c r="P870" s="373"/>
      <c r="Q870" s="373"/>
      <c r="R870" s="373"/>
      <c r="S870" s="373"/>
      <c r="T870" s="373"/>
      <c r="U870" s="373"/>
      <c r="V870" s="373"/>
      <c r="W870" s="373"/>
      <c r="X870" s="373"/>
    </row>
    <row r="871" spans="1:24" ht="18" x14ac:dyDescent="0.55000000000000004">
      <c r="A871" s="373"/>
      <c r="B871" s="373"/>
      <c r="C871" s="373"/>
      <c r="D871" s="373"/>
      <c r="E871" s="373"/>
      <c r="F871" s="373"/>
      <c r="G871" s="373"/>
      <c r="H871" s="373"/>
      <c r="I871" s="373"/>
      <c r="J871" s="373"/>
      <c r="K871" s="373"/>
      <c r="L871" s="373"/>
      <c r="M871" s="373"/>
      <c r="N871" s="373"/>
      <c r="O871" s="373"/>
      <c r="P871" s="373"/>
      <c r="Q871" s="373"/>
      <c r="R871" s="373"/>
      <c r="S871" s="373"/>
      <c r="T871" s="373"/>
      <c r="U871" s="373"/>
      <c r="V871" s="373"/>
      <c r="W871" s="373"/>
      <c r="X871" s="373"/>
    </row>
    <row r="872" spans="1:24" ht="18" x14ac:dyDescent="0.55000000000000004">
      <c r="A872" s="373"/>
      <c r="B872" s="373"/>
      <c r="C872" s="373"/>
      <c r="D872" s="373"/>
      <c r="E872" s="373"/>
      <c r="F872" s="373"/>
      <c r="G872" s="373"/>
      <c r="H872" s="373"/>
      <c r="I872" s="373"/>
      <c r="J872" s="373"/>
      <c r="K872" s="373"/>
      <c r="L872" s="373"/>
      <c r="M872" s="373"/>
      <c r="N872" s="373"/>
      <c r="O872" s="373"/>
      <c r="P872" s="373"/>
      <c r="Q872" s="373"/>
      <c r="R872" s="373"/>
      <c r="S872" s="373"/>
      <c r="T872" s="373"/>
      <c r="U872" s="373"/>
      <c r="V872" s="373"/>
      <c r="W872" s="373"/>
      <c r="X872" s="373"/>
    </row>
    <row r="873" spans="1:24" ht="18" x14ac:dyDescent="0.55000000000000004">
      <c r="A873" s="373"/>
      <c r="B873" s="373"/>
      <c r="C873" s="373"/>
      <c r="D873" s="373"/>
      <c r="E873" s="373"/>
      <c r="F873" s="373"/>
      <c r="G873" s="373"/>
      <c r="H873" s="373"/>
      <c r="I873" s="373"/>
      <c r="J873" s="373"/>
      <c r="K873" s="373"/>
      <c r="L873" s="373"/>
      <c r="M873" s="373"/>
      <c r="N873" s="373"/>
      <c r="O873" s="373"/>
      <c r="P873" s="373"/>
      <c r="Q873" s="373"/>
      <c r="R873" s="373"/>
      <c r="S873" s="373"/>
      <c r="T873" s="373"/>
      <c r="U873" s="373"/>
      <c r="V873" s="373"/>
      <c r="W873" s="373"/>
      <c r="X873" s="373"/>
    </row>
    <row r="874" spans="1:24" ht="18" x14ac:dyDescent="0.55000000000000004">
      <c r="A874" s="373"/>
      <c r="B874" s="373"/>
      <c r="C874" s="373"/>
      <c r="D874" s="373"/>
      <c r="E874" s="373"/>
      <c r="F874" s="373"/>
      <c r="G874" s="373"/>
      <c r="H874" s="373"/>
      <c r="I874" s="373"/>
      <c r="J874" s="373"/>
      <c r="K874" s="373"/>
      <c r="L874" s="373"/>
      <c r="M874" s="373"/>
      <c r="N874" s="373"/>
      <c r="O874" s="373"/>
      <c r="P874" s="373"/>
      <c r="Q874" s="373"/>
      <c r="R874" s="373"/>
      <c r="S874" s="373"/>
      <c r="T874" s="373"/>
      <c r="U874" s="373"/>
      <c r="V874" s="373"/>
      <c r="W874" s="373"/>
      <c r="X874" s="373"/>
    </row>
    <row r="875" spans="1:24" ht="18" x14ac:dyDescent="0.55000000000000004">
      <c r="A875" s="373"/>
      <c r="B875" s="373"/>
      <c r="C875" s="373"/>
      <c r="D875" s="373"/>
      <c r="E875" s="373"/>
      <c r="F875" s="373"/>
      <c r="G875" s="373"/>
      <c r="H875" s="373"/>
      <c r="I875" s="373"/>
      <c r="J875" s="373"/>
      <c r="K875" s="373"/>
      <c r="L875" s="373"/>
      <c r="M875" s="373"/>
      <c r="N875" s="373"/>
      <c r="O875" s="373"/>
      <c r="P875" s="373"/>
      <c r="Q875" s="373"/>
      <c r="R875" s="373"/>
      <c r="S875" s="373"/>
      <c r="T875" s="373"/>
      <c r="U875" s="373"/>
      <c r="V875" s="373"/>
      <c r="W875" s="373"/>
      <c r="X875" s="373"/>
    </row>
    <row r="876" spans="1:24" ht="18" x14ac:dyDescent="0.55000000000000004">
      <c r="A876" s="373"/>
      <c r="B876" s="373"/>
      <c r="C876" s="373"/>
      <c r="D876" s="373"/>
      <c r="E876" s="373"/>
      <c r="F876" s="373"/>
      <c r="G876" s="373"/>
      <c r="H876" s="373"/>
      <c r="I876" s="373"/>
      <c r="J876" s="373"/>
      <c r="K876" s="373"/>
      <c r="L876" s="373"/>
      <c r="M876" s="373"/>
      <c r="N876" s="373"/>
      <c r="O876" s="373"/>
      <c r="P876" s="373"/>
      <c r="Q876" s="373"/>
      <c r="R876" s="373"/>
      <c r="S876" s="373"/>
      <c r="T876" s="373"/>
      <c r="U876" s="373"/>
      <c r="V876" s="373"/>
      <c r="W876" s="373"/>
      <c r="X876" s="373"/>
    </row>
    <row r="877" spans="1:24" ht="18" x14ac:dyDescent="0.55000000000000004">
      <c r="A877" s="373"/>
      <c r="B877" s="373"/>
      <c r="C877" s="373"/>
      <c r="D877" s="373"/>
      <c r="E877" s="373"/>
      <c r="F877" s="373"/>
      <c r="G877" s="373"/>
      <c r="H877" s="373"/>
      <c r="I877" s="373"/>
      <c r="J877" s="373"/>
      <c r="K877" s="373"/>
      <c r="L877" s="373"/>
      <c r="M877" s="373"/>
      <c r="N877" s="373"/>
      <c r="O877" s="373"/>
      <c r="P877" s="373"/>
      <c r="Q877" s="373"/>
      <c r="R877" s="373"/>
      <c r="S877" s="373"/>
      <c r="T877" s="373"/>
      <c r="U877" s="373"/>
      <c r="V877" s="373"/>
      <c r="W877" s="373"/>
      <c r="X877" s="373"/>
    </row>
    <row r="878" spans="1:24" ht="18" x14ac:dyDescent="0.55000000000000004">
      <c r="A878" s="373"/>
      <c r="B878" s="373"/>
      <c r="C878" s="373"/>
      <c r="D878" s="373"/>
      <c r="E878" s="373"/>
      <c r="F878" s="373"/>
      <c r="G878" s="373"/>
      <c r="H878" s="373"/>
      <c r="I878" s="373"/>
      <c r="J878" s="373"/>
      <c r="K878" s="373"/>
      <c r="L878" s="373"/>
      <c r="M878" s="373"/>
      <c r="N878" s="373"/>
      <c r="O878" s="373"/>
      <c r="P878" s="373"/>
      <c r="Q878" s="373"/>
      <c r="R878" s="373"/>
      <c r="S878" s="373"/>
      <c r="T878" s="373"/>
      <c r="U878" s="373"/>
      <c r="V878" s="373"/>
      <c r="W878" s="373"/>
      <c r="X878" s="373"/>
    </row>
    <row r="879" spans="1:24" ht="18" x14ac:dyDescent="0.55000000000000004">
      <c r="A879" s="373"/>
      <c r="B879" s="373"/>
      <c r="C879" s="373"/>
      <c r="D879" s="373"/>
      <c r="E879" s="373"/>
      <c r="F879" s="373"/>
      <c r="G879" s="373"/>
      <c r="H879" s="373"/>
      <c r="I879" s="373"/>
      <c r="J879" s="373"/>
      <c r="K879" s="373"/>
      <c r="L879" s="373"/>
      <c r="M879" s="373"/>
      <c r="N879" s="373"/>
      <c r="O879" s="373"/>
      <c r="P879" s="373"/>
      <c r="Q879" s="373"/>
      <c r="R879" s="373"/>
      <c r="S879" s="373"/>
      <c r="T879" s="373"/>
      <c r="U879" s="373"/>
      <c r="V879" s="373"/>
      <c r="W879" s="373"/>
      <c r="X879" s="373"/>
    </row>
    <row r="880" spans="1:24" ht="18" x14ac:dyDescent="0.55000000000000004">
      <c r="A880" s="373"/>
      <c r="B880" s="373"/>
      <c r="C880" s="373"/>
      <c r="D880" s="373"/>
      <c r="E880" s="373"/>
      <c r="F880" s="373"/>
      <c r="G880" s="373"/>
      <c r="H880" s="373"/>
      <c r="I880" s="373"/>
      <c r="J880" s="373"/>
      <c r="K880" s="373"/>
      <c r="L880" s="373"/>
      <c r="M880" s="373"/>
      <c r="N880" s="373"/>
      <c r="O880" s="373"/>
      <c r="P880" s="373"/>
      <c r="Q880" s="373"/>
      <c r="R880" s="373"/>
      <c r="S880" s="373"/>
      <c r="T880" s="373"/>
      <c r="U880" s="373"/>
      <c r="V880" s="373"/>
      <c r="W880" s="373"/>
      <c r="X880" s="373"/>
    </row>
    <row r="881" spans="1:24" ht="18" x14ac:dyDescent="0.55000000000000004">
      <c r="A881" s="373"/>
      <c r="B881" s="373"/>
      <c r="C881" s="373"/>
      <c r="D881" s="373"/>
      <c r="E881" s="373"/>
      <c r="F881" s="373"/>
      <c r="G881" s="373"/>
      <c r="H881" s="373"/>
      <c r="I881" s="373"/>
      <c r="J881" s="373"/>
      <c r="K881" s="373"/>
      <c r="L881" s="373"/>
      <c r="M881" s="373"/>
      <c r="N881" s="373"/>
      <c r="O881" s="373"/>
      <c r="P881" s="373"/>
      <c r="Q881" s="373"/>
      <c r="R881" s="373"/>
      <c r="S881" s="373"/>
      <c r="T881" s="373"/>
      <c r="U881" s="373"/>
      <c r="V881" s="373"/>
      <c r="W881" s="373"/>
      <c r="X881" s="373"/>
    </row>
    <row r="882" spans="1:24" ht="18" x14ac:dyDescent="0.55000000000000004">
      <c r="A882" s="373"/>
      <c r="B882" s="373"/>
      <c r="C882" s="373"/>
      <c r="D882" s="373"/>
      <c r="E882" s="373"/>
      <c r="F882" s="373"/>
      <c r="G882" s="373"/>
      <c r="H882" s="373"/>
      <c r="I882" s="373"/>
      <c r="J882" s="373"/>
      <c r="K882" s="373"/>
      <c r="L882" s="373"/>
      <c r="M882" s="373"/>
      <c r="N882" s="373"/>
      <c r="O882" s="373"/>
      <c r="P882" s="373"/>
      <c r="Q882" s="373"/>
      <c r="R882" s="373"/>
      <c r="S882" s="373"/>
      <c r="T882" s="373"/>
      <c r="U882" s="373"/>
      <c r="V882" s="373"/>
      <c r="W882" s="373"/>
      <c r="X882" s="373"/>
    </row>
    <row r="883" spans="1:24" ht="18" x14ac:dyDescent="0.55000000000000004">
      <c r="A883" s="373"/>
      <c r="B883" s="373"/>
      <c r="C883" s="373"/>
      <c r="D883" s="373"/>
      <c r="E883" s="373"/>
      <c r="F883" s="373"/>
      <c r="G883" s="373"/>
      <c r="H883" s="373"/>
      <c r="I883" s="373"/>
      <c r="J883" s="373"/>
      <c r="K883" s="373"/>
      <c r="L883" s="373"/>
      <c r="M883" s="373"/>
      <c r="N883" s="373"/>
      <c r="O883" s="373"/>
      <c r="P883" s="373"/>
      <c r="Q883" s="373"/>
      <c r="R883" s="373"/>
      <c r="S883" s="373"/>
      <c r="T883" s="373"/>
      <c r="U883" s="373"/>
      <c r="V883" s="373"/>
      <c r="W883" s="373"/>
      <c r="X883" s="373"/>
    </row>
    <row r="884" spans="1:24" ht="18" x14ac:dyDescent="0.55000000000000004">
      <c r="A884" s="373"/>
      <c r="B884" s="373"/>
      <c r="C884" s="373"/>
      <c r="D884" s="373"/>
      <c r="E884" s="373"/>
      <c r="F884" s="373"/>
      <c r="G884" s="373"/>
      <c r="H884" s="373"/>
      <c r="I884" s="373"/>
      <c r="J884" s="373"/>
      <c r="K884" s="373"/>
      <c r="L884" s="373"/>
      <c r="M884" s="373"/>
      <c r="N884" s="373"/>
      <c r="O884" s="373"/>
      <c r="P884" s="373"/>
      <c r="Q884" s="373"/>
      <c r="R884" s="373"/>
      <c r="S884" s="373"/>
      <c r="T884" s="373"/>
      <c r="U884" s="373"/>
      <c r="V884" s="373"/>
      <c r="W884" s="373"/>
      <c r="X884" s="373"/>
    </row>
    <row r="885" spans="1:24" ht="18" x14ac:dyDescent="0.55000000000000004">
      <c r="A885" s="373"/>
      <c r="B885" s="373"/>
      <c r="C885" s="373"/>
      <c r="D885" s="373"/>
      <c r="E885" s="373"/>
      <c r="F885" s="373"/>
      <c r="G885" s="373"/>
      <c r="H885" s="373"/>
      <c r="I885" s="373"/>
      <c r="J885" s="373"/>
      <c r="K885" s="373"/>
      <c r="L885" s="373"/>
      <c r="M885" s="373"/>
      <c r="N885" s="373"/>
      <c r="O885" s="373"/>
      <c r="P885" s="373"/>
      <c r="Q885" s="373"/>
      <c r="R885" s="373"/>
      <c r="S885" s="373"/>
      <c r="T885" s="373"/>
      <c r="U885" s="373"/>
      <c r="V885" s="373"/>
      <c r="W885" s="373"/>
      <c r="X885" s="373"/>
    </row>
    <row r="886" spans="1:24" ht="18" x14ac:dyDescent="0.55000000000000004">
      <c r="A886" s="373"/>
      <c r="B886" s="373"/>
      <c r="C886" s="373"/>
      <c r="D886" s="373"/>
      <c r="E886" s="373"/>
      <c r="F886" s="373"/>
      <c r="G886" s="373"/>
      <c r="H886" s="373"/>
      <c r="I886" s="373"/>
      <c r="J886" s="373"/>
      <c r="K886" s="373"/>
      <c r="L886" s="373"/>
      <c r="M886" s="373"/>
      <c r="N886" s="373"/>
      <c r="O886" s="373"/>
      <c r="P886" s="373"/>
      <c r="Q886" s="373"/>
      <c r="R886" s="373"/>
      <c r="S886" s="373"/>
      <c r="T886" s="373"/>
      <c r="U886" s="373"/>
      <c r="V886" s="373"/>
      <c r="W886" s="373"/>
      <c r="X886" s="373"/>
    </row>
    <row r="887" spans="1:24" ht="18" x14ac:dyDescent="0.55000000000000004">
      <c r="A887" s="373"/>
      <c r="B887" s="373"/>
      <c r="C887" s="373"/>
      <c r="D887" s="373"/>
      <c r="E887" s="373"/>
      <c r="F887" s="373"/>
      <c r="G887" s="373"/>
      <c r="H887" s="373"/>
      <c r="I887" s="373"/>
      <c r="J887" s="373"/>
      <c r="K887" s="373"/>
      <c r="L887" s="373"/>
      <c r="M887" s="373"/>
      <c r="N887" s="373"/>
      <c r="O887" s="373"/>
      <c r="P887" s="373"/>
      <c r="Q887" s="373"/>
      <c r="R887" s="373"/>
      <c r="S887" s="373"/>
      <c r="T887" s="373"/>
      <c r="U887" s="373"/>
      <c r="V887" s="373"/>
      <c r="W887" s="373"/>
      <c r="X887" s="373"/>
    </row>
    <row r="888" spans="1:24" ht="18" x14ac:dyDescent="0.55000000000000004">
      <c r="A888" s="373"/>
      <c r="B888" s="373"/>
      <c r="C888" s="373"/>
      <c r="D888" s="373"/>
      <c r="E888" s="373"/>
      <c r="F888" s="373"/>
      <c r="G888" s="373"/>
      <c r="H888" s="373"/>
      <c r="I888" s="373"/>
      <c r="J888" s="373"/>
      <c r="K888" s="373"/>
      <c r="L888" s="373"/>
      <c r="M888" s="373"/>
      <c r="N888" s="373"/>
      <c r="O888" s="373"/>
      <c r="P888" s="373"/>
      <c r="Q888" s="373"/>
      <c r="R888" s="373"/>
      <c r="S888" s="373"/>
      <c r="T888" s="373"/>
      <c r="U888" s="373"/>
      <c r="V888" s="373"/>
      <c r="W888" s="373"/>
      <c r="X888" s="373"/>
    </row>
    <row r="889" spans="1:24" ht="18" x14ac:dyDescent="0.55000000000000004">
      <c r="A889" s="373"/>
      <c r="B889" s="373"/>
      <c r="C889" s="373"/>
      <c r="D889" s="373"/>
      <c r="E889" s="373"/>
      <c r="F889" s="373"/>
      <c r="G889" s="373"/>
      <c r="H889" s="373"/>
      <c r="I889" s="373"/>
      <c r="J889" s="373"/>
      <c r="K889" s="373"/>
      <c r="L889" s="373"/>
      <c r="M889" s="373"/>
      <c r="N889" s="373"/>
      <c r="O889" s="373"/>
      <c r="P889" s="373"/>
      <c r="Q889" s="373"/>
      <c r="R889" s="373"/>
      <c r="S889" s="373"/>
      <c r="T889" s="373"/>
      <c r="U889" s="373"/>
      <c r="V889" s="373"/>
      <c r="W889" s="373"/>
      <c r="X889" s="373"/>
    </row>
    <row r="890" spans="1:24" ht="18" x14ac:dyDescent="0.55000000000000004">
      <c r="A890" s="373"/>
      <c r="B890" s="373"/>
      <c r="C890" s="373"/>
      <c r="D890" s="373"/>
      <c r="E890" s="373"/>
      <c r="F890" s="373"/>
      <c r="G890" s="373"/>
      <c r="H890" s="373"/>
      <c r="I890" s="373"/>
      <c r="J890" s="373"/>
      <c r="K890" s="373"/>
      <c r="L890" s="373"/>
      <c r="M890" s="373"/>
      <c r="N890" s="373"/>
      <c r="O890" s="373"/>
      <c r="P890" s="373"/>
      <c r="Q890" s="373"/>
      <c r="R890" s="373"/>
      <c r="S890" s="373"/>
      <c r="T890" s="373"/>
      <c r="U890" s="373"/>
      <c r="V890" s="373"/>
      <c r="W890" s="373"/>
      <c r="X890" s="373"/>
    </row>
    <row r="891" spans="1:24" ht="18" x14ac:dyDescent="0.55000000000000004">
      <c r="A891" s="373"/>
      <c r="B891" s="373"/>
      <c r="C891" s="373"/>
      <c r="D891" s="373"/>
      <c r="E891" s="373"/>
      <c r="F891" s="373"/>
      <c r="G891" s="373"/>
      <c r="H891" s="373"/>
      <c r="I891" s="373"/>
      <c r="J891" s="373"/>
      <c r="K891" s="373"/>
      <c r="L891" s="373"/>
      <c r="M891" s="373"/>
      <c r="N891" s="373"/>
      <c r="O891" s="373"/>
      <c r="P891" s="373"/>
      <c r="Q891" s="373"/>
      <c r="R891" s="373"/>
      <c r="S891" s="373"/>
      <c r="T891" s="373"/>
      <c r="U891" s="373"/>
      <c r="V891" s="373"/>
      <c r="W891" s="373"/>
      <c r="X891" s="373"/>
    </row>
    <row r="892" spans="1:24" ht="18" x14ac:dyDescent="0.55000000000000004">
      <c r="A892" s="373"/>
      <c r="B892" s="373"/>
      <c r="C892" s="373"/>
      <c r="D892" s="373"/>
      <c r="E892" s="373"/>
      <c r="F892" s="373"/>
      <c r="G892" s="373"/>
      <c r="H892" s="373"/>
      <c r="I892" s="373"/>
      <c r="J892" s="373"/>
      <c r="K892" s="373"/>
      <c r="L892" s="373"/>
      <c r="M892" s="373"/>
      <c r="N892" s="373"/>
      <c r="O892" s="373"/>
      <c r="P892" s="373"/>
      <c r="Q892" s="373"/>
      <c r="R892" s="373"/>
      <c r="S892" s="373"/>
      <c r="T892" s="373"/>
      <c r="U892" s="373"/>
      <c r="V892" s="373"/>
      <c r="W892" s="373"/>
      <c r="X892" s="373"/>
    </row>
    <row r="893" spans="1:24" ht="18" x14ac:dyDescent="0.55000000000000004">
      <c r="A893" s="373"/>
      <c r="B893" s="373"/>
      <c r="C893" s="373"/>
      <c r="D893" s="373"/>
      <c r="E893" s="373"/>
      <c r="F893" s="373"/>
      <c r="G893" s="373"/>
      <c r="H893" s="373"/>
      <c r="I893" s="373"/>
      <c r="J893" s="373"/>
      <c r="K893" s="373"/>
      <c r="L893" s="373"/>
      <c r="M893" s="373"/>
      <c r="N893" s="373"/>
      <c r="O893" s="373"/>
      <c r="P893" s="373"/>
      <c r="Q893" s="373"/>
      <c r="R893" s="373"/>
      <c r="S893" s="373"/>
      <c r="T893" s="373"/>
      <c r="U893" s="373"/>
      <c r="V893" s="373"/>
      <c r="W893" s="373"/>
      <c r="X893" s="373"/>
    </row>
    <row r="894" spans="1:24" ht="18" x14ac:dyDescent="0.55000000000000004">
      <c r="A894" s="373"/>
      <c r="B894" s="373"/>
      <c r="C894" s="373"/>
      <c r="D894" s="373"/>
      <c r="E894" s="373"/>
      <c r="F894" s="373"/>
      <c r="G894" s="373"/>
      <c r="H894" s="373"/>
      <c r="I894" s="373"/>
      <c r="J894" s="373"/>
      <c r="K894" s="373"/>
      <c r="L894" s="373"/>
      <c r="M894" s="373"/>
      <c r="N894" s="373"/>
      <c r="O894" s="373"/>
      <c r="P894" s="373"/>
      <c r="Q894" s="373"/>
      <c r="R894" s="373"/>
      <c r="S894" s="373"/>
      <c r="T894" s="373"/>
      <c r="U894" s="373"/>
      <c r="V894" s="373"/>
      <c r="W894" s="373"/>
      <c r="X894" s="373"/>
    </row>
    <row r="895" spans="1:24" ht="18" x14ac:dyDescent="0.55000000000000004">
      <c r="A895" s="373"/>
      <c r="B895" s="373"/>
      <c r="C895" s="373"/>
      <c r="D895" s="373"/>
      <c r="E895" s="373"/>
      <c r="F895" s="373"/>
      <c r="G895" s="373"/>
      <c r="H895" s="373"/>
      <c r="I895" s="373"/>
      <c r="J895" s="373"/>
      <c r="K895" s="373"/>
      <c r="L895" s="373"/>
      <c r="M895" s="373"/>
      <c r="N895" s="373"/>
      <c r="O895" s="373"/>
      <c r="P895" s="373"/>
      <c r="Q895" s="373"/>
      <c r="R895" s="373"/>
      <c r="S895" s="373"/>
      <c r="T895" s="373"/>
      <c r="U895" s="373"/>
      <c r="V895" s="373"/>
      <c r="W895" s="373"/>
      <c r="X895" s="373"/>
    </row>
    <row r="896" spans="1:24" ht="18" x14ac:dyDescent="0.55000000000000004">
      <c r="A896" s="373"/>
      <c r="B896" s="373"/>
      <c r="C896" s="373"/>
      <c r="D896" s="373"/>
      <c r="E896" s="373"/>
      <c r="F896" s="373"/>
      <c r="G896" s="373"/>
      <c r="H896" s="373"/>
      <c r="I896" s="373"/>
      <c r="J896" s="373"/>
      <c r="K896" s="373"/>
      <c r="L896" s="373"/>
      <c r="M896" s="373"/>
      <c r="N896" s="373"/>
      <c r="O896" s="373"/>
      <c r="P896" s="373"/>
      <c r="Q896" s="373"/>
      <c r="R896" s="373"/>
      <c r="S896" s="373"/>
      <c r="T896" s="373"/>
      <c r="U896" s="373"/>
      <c r="V896" s="373"/>
      <c r="W896" s="373"/>
      <c r="X896" s="373"/>
    </row>
    <row r="897" spans="1:24" ht="18" x14ac:dyDescent="0.55000000000000004">
      <c r="A897" s="373"/>
      <c r="B897" s="373"/>
      <c r="C897" s="373"/>
      <c r="D897" s="373"/>
      <c r="E897" s="373"/>
      <c r="F897" s="373"/>
      <c r="G897" s="373"/>
      <c r="H897" s="373"/>
      <c r="I897" s="373"/>
      <c r="J897" s="373"/>
      <c r="K897" s="373"/>
      <c r="L897" s="373"/>
      <c r="M897" s="373"/>
      <c r="N897" s="373"/>
      <c r="O897" s="373"/>
      <c r="P897" s="373"/>
      <c r="Q897" s="373"/>
      <c r="R897" s="373"/>
      <c r="S897" s="373"/>
      <c r="T897" s="373"/>
      <c r="U897" s="373"/>
      <c r="V897" s="373"/>
      <c r="W897" s="373"/>
      <c r="X897" s="373"/>
    </row>
    <row r="898" spans="1:24" ht="18" x14ac:dyDescent="0.55000000000000004">
      <c r="A898" s="373"/>
      <c r="B898" s="373"/>
      <c r="C898" s="373"/>
      <c r="D898" s="373"/>
      <c r="E898" s="373"/>
      <c r="F898" s="373"/>
      <c r="G898" s="373"/>
      <c r="H898" s="373"/>
      <c r="I898" s="373"/>
      <c r="J898" s="373"/>
      <c r="K898" s="373"/>
      <c r="L898" s="373"/>
      <c r="M898" s="373"/>
      <c r="N898" s="373"/>
      <c r="O898" s="373"/>
      <c r="P898" s="373"/>
      <c r="Q898" s="373"/>
      <c r="R898" s="373"/>
      <c r="S898" s="373"/>
      <c r="T898" s="373"/>
      <c r="U898" s="373"/>
      <c r="V898" s="373"/>
      <c r="W898" s="373"/>
      <c r="X898" s="373"/>
    </row>
    <row r="899" spans="1:24" ht="18" x14ac:dyDescent="0.55000000000000004">
      <c r="A899" s="373"/>
      <c r="B899" s="373"/>
      <c r="C899" s="373"/>
      <c r="D899" s="373"/>
      <c r="E899" s="373"/>
      <c r="F899" s="373"/>
      <c r="G899" s="373"/>
      <c r="H899" s="373"/>
      <c r="I899" s="373"/>
      <c r="J899" s="373"/>
      <c r="K899" s="373"/>
      <c r="L899" s="373"/>
      <c r="M899" s="373"/>
      <c r="N899" s="373"/>
      <c r="O899" s="373"/>
      <c r="P899" s="373"/>
      <c r="Q899" s="373"/>
      <c r="R899" s="373"/>
      <c r="S899" s="373"/>
      <c r="T899" s="373"/>
      <c r="U899" s="373"/>
      <c r="V899" s="373"/>
      <c r="W899" s="373"/>
      <c r="X899" s="373"/>
    </row>
    <row r="900" spans="1:24" ht="18" x14ac:dyDescent="0.55000000000000004">
      <c r="A900" s="373"/>
      <c r="B900" s="373"/>
      <c r="C900" s="373"/>
      <c r="D900" s="373"/>
      <c r="E900" s="373"/>
      <c r="F900" s="373"/>
      <c r="G900" s="373"/>
      <c r="H900" s="373"/>
      <c r="I900" s="373"/>
      <c r="J900" s="373"/>
      <c r="K900" s="373"/>
      <c r="L900" s="373"/>
      <c r="M900" s="373"/>
      <c r="N900" s="373"/>
      <c r="O900" s="373"/>
      <c r="P900" s="373"/>
      <c r="Q900" s="373"/>
      <c r="R900" s="373"/>
      <c r="S900" s="373"/>
      <c r="T900" s="373"/>
      <c r="U900" s="373"/>
      <c r="V900" s="373"/>
      <c r="W900" s="373"/>
      <c r="X900" s="373"/>
    </row>
    <row r="901" spans="1:24" ht="18" x14ac:dyDescent="0.55000000000000004">
      <c r="A901" s="373"/>
      <c r="B901" s="373"/>
      <c r="C901" s="373"/>
      <c r="D901" s="373"/>
      <c r="E901" s="373"/>
      <c r="F901" s="373"/>
      <c r="G901" s="373"/>
      <c r="H901" s="373"/>
      <c r="I901" s="373"/>
      <c r="J901" s="373"/>
      <c r="K901" s="373"/>
      <c r="L901" s="373"/>
      <c r="M901" s="373"/>
      <c r="N901" s="373"/>
      <c r="O901" s="373"/>
      <c r="P901" s="373"/>
      <c r="Q901" s="373"/>
      <c r="R901" s="373"/>
      <c r="S901" s="373"/>
      <c r="T901" s="373"/>
      <c r="U901" s="373"/>
      <c r="V901" s="373"/>
      <c r="W901" s="373"/>
      <c r="X901" s="373"/>
    </row>
    <row r="902" spans="1:24" ht="18" x14ac:dyDescent="0.55000000000000004">
      <c r="A902" s="373"/>
      <c r="B902" s="373"/>
      <c r="C902" s="373"/>
      <c r="D902" s="373"/>
      <c r="E902" s="373"/>
      <c r="F902" s="373"/>
      <c r="G902" s="373"/>
      <c r="H902" s="373"/>
      <c r="I902" s="373"/>
      <c r="J902" s="373"/>
      <c r="K902" s="373"/>
      <c r="L902" s="373"/>
      <c r="M902" s="373"/>
      <c r="N902" s="373"/>
      <c r="O902" s="373"/>
      <c r="P902" s="373"/>
      <c r="Q902" s="373"/>
      <c r="R902" s="373"/>
      <c r="S902" s="373"/>
      <c r="T902" s="373"/>
      <c r="U902" s="373"/>
      <c r="V902" s="373"/>
      <c r="W902" s="373"/>
      <c r="X902" s="373"/>
    </row>
    <row r="903" spans="1:24" ht="18" x14ac:dyDescent="0.55000000000000004">
      <c r="A903" s="373"/>
      <c r="B903" s="373"/>
      <c r="C903" s="373"/>
      <c r="D903" s="373"/>
      <c r="E903" s="373"/>
      <c r="F903" s="373"/>
      <c r="G903" s="373"/>
      <c r="H903" s="373"/>
      <c r="I903" s="373"/>
      <c r="J903" s="373"/>
      <c r="K903" s="373"/>
      <c r="L903" s="373"/>
      <c r="M903" s="373"/>
      <c r="N903" s="373"/>
      <c r="O903" s="373"/>
      <c r="P903" s="373"/>
      <c r="Q903" s="373"/>
      <c r="R903" s="373"/>
      <c r="S903" s="373"/>
      <c r="T903" s="373"/>
      <c r="U903" s="373"/>
      <c r="V903" s="373"/>
      <c r="W903" s="373"/>
      <c r="X903" s="373"/>
    </row>
    <row r="904" spans="1:24" ht="18" x14ac:dyDescent="0.55000000000000004">
      <c r="A904" s="373"/>
      <c r="B904" s="373"/>
      <c r="C904" s="373"/>
      <c r="D904" s="373"/>
      <c r="E904" s="373"/>
      <c r="F904" s="373"/>
      <c r="G904" s="373"/>
      <c r="H904" s="373"/>
      <c r="I904" s="373"/>
      <c r="J904" s="373"/>
      <c r="K904" s="373"/>
      <c r="L904" s="373"/>
      <c r="M904" s="373"/>
      <c r="N904" s="373"/>
      <c r="O904" s="373"/>
      <c r="P904" s="373"/>
      <c r="Q904" s="373"/>
      <c r="R904" s="373"/>
      <c r="S904" s="373"/>
      <c r="T904" s="373"/>
      <c r="U904" s="373"/>
      <c r="V904" s="373"/>
      <c r="W904" s="373"/>
      <c r="X904" s="373"/>
    </row>
    <row r="905" spans="1:24" ht="18" x14ac:dyDescent="0.55000000000000004">
      <c r="A905" s="373"/>
      <c r="B905" s="373"/>
      <c r="C905" s="373"/>
      <c r="D905" s="373"/>
      <c r="E905" s="373"/>
      <c r="F905" s="373"/>
      <c r="G905" s="373"/>
      <c r="H905" s="373"/>
      <c r="I905" s="373"/>
      <c r="J905" s="373"/>
      <c r="K905" s="373"/>
      <c r="L905" s="373"/>
      <c r="M905" s="373"/>
      <c r="N905" s="373"/>
      <c r="O905" s="373"/>
      <c r="P905" s="373"/>
      <c r="Q905" s="373"/>
      <c r="R905" s="373"/>
      <c r="S905" s="373"/>
      <c r="T905" s="373"/>
      <c r="U905" s="373"/>
      <c r="V905" s="373"/>
      <c r="W905" s="373"/>
      <c r="X905" s="373"/>
    </row>
    <row r="906" spans="1:24" ht="18" x14ac:dyDescent="0.55000000000000004">
      <c r="A906" s="373"/>
      <c r="B906" s="373"/>
      <c r="C906" s="373"/>
      <c r="D906" s="373"/>
      <c r="E906" s="373"/>
      <c r="F906" s="373"/>
      <c r="G906" s="373"/>
      <c r="H906" s="373"/>
      <c r="I906" s="373"/>
      <c r="J906" s="373"/>
      <c r="K906" s="373"/>
      <c r="L906" s="373"/>
      <c r="M906" s="373"/>
      <c r="N906" s="373"/>
      <c r="O906" s="373"/>
      <c r="P906" s="373"/>
      <c r="Q906" s="373"/>
      <c r="R906" s="373"/>
      <c r="S906" s="373"/>
      <c r="T906" s="373"/>
      <c r="U906" s="373"/>
      <c r="V906" s="373"/>
      <c r="W906" s="373"/>
      <c r="X906" s="373"/>
    </row>
    <row r="907" spans="1:24" ht="18" x14ac:dyDescent="0.55000000000000004">
      <c r="A907" s="373"/>
      <c r="B907" s="373"/>
      <c r="C907" s="373"/>
      <c r="D907" s="373"/>
      <c r="E907" s="373"/>
      <c r="F907" s="373"/>
      <c r="G907" s="373"/>
      <c r="H907" s="373"/>
      <c r="I907" s="373"/>
      <c r="J907" s="373"/>
      <c r="K907" s="373"/>
      <c r="L907" s="373"/>
      <c r="M907" s="373"/>
      <c r="N907" s="373"/>
      <c r="O907" s="373"/>
      <c r="P907" s="373"/>
      <c r="Q907" s="373"/>
      <c r="R907" s="373"/>
      <c r="S907" s="373"/>
      <c r="T907" s="373"/>
      <c r="U907" s="373"/>
      <c r="V907" s="373"/>
      <c r="W907" s="373"/>
      <c r="X907" s="373"/>
    </row>
    <row r="908" spans="1:24" ht="18" x14ac:dyDescent="0.55000000000000004">
      <c r="A908" s="373"/>
      <c r="B908" s="373"/>
      <c r="C908" s="373"/>
      <c r="D908" s="373"/>
      <c r="E908" s="373"/>
      <c r="F908" s="373"/>
      <c r="G908" s="373"/>
      <c r="H908" s="373"/>
      <c r="I908" s="373"/>
      <c r="J908" s="373"/>
      <c r="K908" s="373"/>
      <c r="L908" s="373"/>
      <c r="M908" s="373"/>
      <c r="N908" s="373"/>
      <c r="O908" s="373"/>
      <c r="P908" s="373"/>
      <c r="Q908" s="373"/>
      <c r="R908" s="373"/>
      <c r="S908" s="373"/>
      <c r="T908" s="373"/>
      <c r="U908" s="373"/>
      <c r="V908" s="373"/>
      <c r="W908" s="373"/>
      <c r="X908" s="373"/>
    </row>
    <row r="909" spans="1:24" ht="18" x14ac:dyDescent="0.55000000000000004">
      <c r="A909" s="373"/>
      <c r="B909" s="373"/>
      <c r="C909" s="373"/>
      <c r="D909" s="373"/>
      <c r="E909" s="373"/>
      <c r="F909" s="373"/>
      <c r="G909" s="373"/>
      <c r="H909" s="373"/>
      <c r="I909" s="373"/>
      <c r="J909" s="373"/>
      <c r="K909" s="373"/>
      <c r="L909" s="373"/>
      <c r="M909" s="373"/>
      <c r="N909" s="373"/>
      <c r="O909" s="373"/>
      <c r="P909" s="373"/>
      <c r="Q909" s="373"/>
      <c r="R909" s="373"/>
      <c r="S909" s="373"/>
      <c r="T909" s="373"/>
      <c r="U909" s="373"/>
      <c r="V909" s="373"/>
      <c r="W909" s="373"/>
      <c r="X909" s="373"/>
    </row>
    <row r="910" spans="1:24" ht="18" x14ac:dyDescent="0.55000000000000004">
      <c r="A910" s="373"/>
      <c r="B910" s="373"/>
      <c r="C910" s="373"/>
      <c r="D910" s="373"/>
      <c r="E910" s="373"/>
      <c r="F910" s="373"/>
      <c r="G910" s="373"/>
      <c r="H910" s="373"/>
      <c r="I910" s="373"/>
      <c r="J910" s="373"/>
      <c r="K910" s="373"/>
      <c r="L910" s="373"/>
      <c r="M910" s="373"/>
      <c r="N910" s="373"/>
      <c r="O910" s="373"/>
      <c r="P910" s="373"/>
      <c r="Q910" s="373"/>
      <c r="R910" s="373"/>
      <c r="S910" s="373"/>
      <c r="T910" s="373"/>
      <c r="U910" s="373"/>
      <c r="V910" s="373"/>
      <c r="W910" s="373"/>
      <c r="X910" s="373"/>
    </row>
    <row r="911" spans="1:24" ht="18" x14ac:dyDescent="0.55000000000000004">
      <c r="A911" s="373"/>
      <c r="B911" s="373"/>
      <c r="C911" s="373"/>
      <c r="D911" s="373"/>
      <c r="E911" s="373"/>
      <c r="F911" s="373"/>
      <c r="G911" s="373"/>
      <c r="H911" s="373"/>
      <c r="I911" s="373"/>
      <c r="J911" s="373"/>
      <c r="K911" s="373"/>
      <c r="L911" s="373"/>
      <c r="M911" s="373"/>
      <c r="N911" s="373"/>
      <c r="O911" s="373"/>
      <c r="P911" s="373"/>
      <c r="Q911" s="373"/>
      <c r="R911" s="373"/>
      <c r="S911" s="373"/>
      <c r="T911" s="373"/>
      <c r="U911" s="373"/>
      <c r="V911" s="373"/>
      <c r="W911" s="373"/>
      <c r="X911" s="373"/>
    </row>
    <row r="912" spans="1:24" ht="18" x14ac:dyDescent="0.55000000000000004">
      <c r="A912" s="373"/>
      <c r="B912" s="373"/>
      <c r="C912" s="373"/>
      <c r="D912" s="373"/>
      <c r="E912" s="373"/>
      <c r="F912" s="373"/>
      <c r="G912" s="373"/>
      <c r="H912" s="373"/>
      <c r="I912" s="373"/>
      <c r="J912" s="373"/>
      <c r="K912" s="373"/>
      <c r="L912" s="373"/>
      <c r="M912" s="373"/>
      <c r="N912" s="373"/>
      <c r="O912" s="373"/>
      <c r="P912" s="373"/>
      <c r="Q912" s="373"/>
      <c r="R912" s="373"/>
      <c r="S912" s="373"/>
      <c r="T912" s="373"/>
      <c r="U912" s="373"/>
      <c r="V912" s="373"/>
      <c r="W912" s="373"/>
      <c r="X912" s="373"/>
    </row>
    <row r="913" spans="1:24" ht="18" x14ac:dyDescent="0.55000000000000004">
      <c r="A913" s="373"/>
      <c r="B913" s="373"/>
      <c r="C913" s="373"/>
      <c r="D913" s="373"/>
      <c r="E913" s="373"/>
      <c r="F913" s="373"/>
      <c r="G913" s="373"/>
      <c r="H913" s="373"/>
      <c r="I913" s="373"/>
      <c r="J913" s="373"/>
      <c r="K913" s="373"/>
      <c r="L913" s="373"/>
      <c r="M913" s="373"/>
      <c r="N913" s="373"/>
      <c r="O913" s="373"/>
      <c r="P913" s="373"/>
      <c r="Q913" s="373"/>
      <c r="R913" s="373"/>
      <c r="S913" s="373"/>
      <c r="T913" s="373"/>
      <c r="U913" s="373"/>
      <c r="V913" s="373"/>
      <c r="W913" s="373"/>
      <c r="X913" s="373"/>
    </row>
    <row r="914" spans="1:24" ht="18" x14ac:dyDescent="0.55000000000000004">
      <c r="A914" s="373"/>
      <c r="B914" s="373"/>
      <c r="C914" s="373"/>
      <c r="D914" s="373"/>
      <c r="E914" s="373"/>
      <c r="F914" s="373"/>
      <c r="G914" s="373"/>
      <c r="H914" s="373"/>
      <c r="I914" s="373"/>
      <c r="J914" s="373"/>
      <c r="K914" s="373"/>
      <c r="L914" s="373"/>
      <c r="M914" s="373"/>
      <c r="N914" s="373"/>
      <c r="O914" s="373"/>
      <c r="P914" s="373"/>
      <c r="Q914" s="373"/>
      <c r="R914" s="373"/>
      <c r="S914" s="373"/>
      <c r="T914" s="373"/>
      <c r="U914" s="373"/>
      <c r="V914" s="373"/>
      <c r="W914" s="373"/>
      <c r="X914" s="373"/>
    </row>
    <row r="915" spans="1:24" ht="18" x14ac:dyDescent="0.55000000000000004">
      <c r="A915" s="373"/>
      <c r="B915" s="373"/>
      <c r="C915" s="373"/>
      <c r="D915" s="373"/>
      <c r="E915" s="373"/>
      <c r="F915" s="373"/>
      <c r="G915" s="373"/>
      <c r="H915" s="373"/>
      <c r="I915" s="373"/>
      <c r="J915" s="373"/>
      <c r="K915" s="373"/>
      <c r="L915" s="373"/>
      <c r="M915" s="373"/>
      <c r="N915" s="373"/>
      <c r="O915" s="373"/>
      <c r="P915" s="373"/>
      <c r="Q915" s="373"/>
      <c r="R915" s="373"/>
      <c r="S915" s="373"/>
      <c r="T915" s="373"/>
      <c r="U915" s="373"/>
      <c r="V915" s="373"/>
      <c r="W915" s="373"/>
      <c r="X915" s="373"/>
    </row>
    <row r="916" spans="1:24" ht="18" x14ac:dyDescent="0.55000000000000004">
      <c r="A916" s="373"/>
      <c r="B916" s="373"/>
      <c r="C916" s="373"/>
      <c r="D916" s="373"/>
      <c r="E916" s="373"/>
      <c r="F916" s="373"/>
      <c r="G916" s="373"/>
      <c r="H916" s="373"/>
      <c r="I916" s="373"/>
      <c r="J916" s="373"/>
      <c r="K916" s="373"/>
      <c r="L916" s="373"/>
      <c r="M916" s="373"/>
      <c r="N916" s="373"/>
      <c r="O916" s="373"/>
      <c r="P916" s="373"/>
      <c r="Q916" s="373"/>
      <c r="R916" s="373"/>
      <c r="S916" s="373"/>
      <c r="T916" s="373"/>
      <c r="U916" s="373"/>
      <c r="V916" s="373"/>
      <c r="W916" s="373"/>
      <c r="X916" s="373"/>
    </row>
    <row r="917" spans="1:24" ht="18" x14ac:dyDescent="0.55000000000000004">
      <c r="A917" s="373"/>
      <c r="B917" s="373"/>
      <c r="C917" s="373"/>
      <c r="D917" s="373"/>
      <c r="E917" s="373"/>
      <c r="F917" s="373"/>
      <c r="G917" s="373"/>
      <c r="H917" s="373"/>
      <c r="I917" s="373"/>
      <c r="J917" s="373"/>
      <c r="K917" s="373"/>
      <c r="L917" s="373"/>
      <c r="M917" s="373"/>
      <c r="N917" s="373"/>
      <c r="O917" s="373"/>
      <c r="P917" s="373"/>
      <c r="Q917" s="373"/>
      <c r="R917" s="373"/>
      <c r="S917" s="373"/>
      <c r="T917" s="373"/>
      <c r="U917" s="373"/>
      <c r="V917" s="373"/>
      <c r="W917" s="373"/>
      <c r="X917" s="373"/>
    </row>
    <row r="918" spans="1:24" ht="18" x14ac:dyDescent="0.55000000000000004">
      <c r="A918" s="373"/>
      <c r="B918" s="373"/>
      <c r="C918" s="373"/>
      <c r="D918" s="373"/>
      <c r="E918" s="373"/>
      <c r="F918" s="373"/>
      <c r="G918" s="373"/>
      <c r="H918" s="373"/>
      <c r="I918" s="373"/>
      <c r="J918" s="373"/>
      <c r="K918" s="373"/>
      <c r="L918" s="373"/>
      <c r="M918" s="373"/>
      <c r="N918" s="373"/>
      <c r="O918" s="373"/>
      <c r="P918" s="373"/>
      <c r="Q918" s="373"/>
      <c r="R918" s="373"/>
      <c r="S918" s="373"/>
      <c r="T918" s="373"/>
      <c r="U918" s="373"/>
      <c r="V918" s="373"/>
      <c r="W918" s="373"/>
      <c r="X918" s="373"/>
    </row>
    <row r="919" spans="1:24" ht="18" x14ac:dyDescent="0.55000000000000004">
      <c r="A919" s="373"/>
      <c r="B919" s="373"/>
      <c r="C919" s="373"/>
      <c r="D919" s="373"/>
      <c r="E919" s="373"/>
      <c r="F919" s="373"/>
      <c r="G919" s="373"/>
      <c r="H919" s="373"/>
      <c r="I919" s="373"/>
      <c r="J919" s="373"/>
      <c r="K919" s="373"/>
      <c r="L919" s="373"/>
      <c r="M919" s="373"/>
      <c r="N919" s="373"/>
      <c r="O919" s="373"/>
      <c r="P919" s="373"/>
      <c r="Q919" s="373"/>
      <c r="R919" s="373"/>
      <c r="S919" s="373"/>
      <c r="T919" s="373"/>
      <c r="U919" s="373"/>
      <c r="V919" s="373"/>
      <c r="W919" s="373"/>
      <c r="X919" s="373"/>
    </row>
    <row r="920" spans="1:24" ht="18" x14ac:dyDescent="0.55000000000000004">
      <c r="A920" s="373"/>
      <c r="B920" s="373"/>
      <c r="C920" s="373"/>
      <c r="D920" s="373"/>
      <c r="E920" s="373"/>
      <c r="F920" s="373"/>
      <c r="G920" s="373"/>
      <c r="H920" s="373"/>
      <c r="I920" s="373"/>
      <c r="J920" s="373"/>
      <c r="K920" s="373"/>
      <c r="L920" s="373"/>
      <c r="M920" s="373"/>
      <c r="N920" s="373"/>
      <c r="O920" s="373"/>
      <c r="P920" s="373"/>
      <c r="Q920" s="373"/>
      <c r="R920" s="373"/>
      <c r="S920" s="373"/>
      <c r="T920" s="373"/>
      <c r="U920" s="373"/>
      <c r="V920" s="373"/>
      <c r="W920" s="373"/>
      <c r="X920" s="373"/>
    </row>
    <row r="921" spans="1:24" ht="18" x14ac:dyDescent="0.55000000000000004">
      <c r="A921" s="373"/>
      <c r="B921" s="373"/>
      <c r="C921" s="373"/>
      <c r="D921" s="373"/>
      <c r="E921" s="373"/>
      <c r="F921" s="373"/>
      <c r="G921" s="373"/>
      <c r="H921" s="373"/>
      <c r="I921" s="373"/>
      <c r="J921" s="373"/>
      <c r="K921" s="373"/>
      <c r="L921" s="373"/>
      <c r="M921" s="373"/>
      <c r="N921" s="373"/>
      <c r="O921" s="373"/>
      <c r="P921" s="373"/>
      <c r="Q921" s="373"/>
      <c r="R921" s="373"/>
      <c r="S921" s="373"/>
      <c r="T921" s="373"/>
      <c r="U921" s="373"/>
      <c r="V921" s="373"/>
      <c r="W921" s="373"/>
      <c r="X921" s="373"/>
    </row>
    <row r="922" spans="1:24" ht="18" x14ac:dyDescent="0.55000000000000004">
      <c r="A922" s="373"/>
      <c r="B922" s="373"/>
      <c r="C922" s="373"/>
      <c r="D922" s="373"/>
      <c r="E922" s="373"/>
      <c r="F922" s="373"/>
      <c r="G922" s="373"/>
      <c r="H922" s="373"/>
      <c r="I922" s="373"/>
      <c r="J922" s="373"/>
      <c r="K922" s="373"/>
      <c r="L922" s="373"/>
      <c r="M922" s="373"/>
      <c r="N922" s="373"/>
      <c r="O922" s="373"/>
      <c r="P922" s="373"/>
      <c r="Q922" s="373"/>
      <c r="R922" s="373"/>
      <c r="S922" s="373"/>
      <c r="T922" s="373"/>
      <c r="U922" s="373"/>
      <c r="V922" s="373"/>
      <c r="W922" s="373"/>
      <c r="X922" s="373"/>
    </row>
    <row r="923" spans="1:24" ht="18" x14ac:dyDescent="0.55000000000000004">
      <c r="A923" s="373"/>
      <c r="B923" s="373"/>
      <c r="C923" s="373"/>
      <c r="D923" s="373"/>
      <c r="E923" s="373"/>
      <c r="F923" s="373"/>
      <c r="G923" s="373"/>
      <c r="H923" s="373"/>
      <c r="I923" s="373"/>
      <c r="J923" s="373"/>
      <c r="K923" s="373"/>
      <c r="L923" s="373"/>
      <c r="M923" s="373"/>
      <c r="N923" s="373"/>
      <c r="O923" s="373"/>
      <c r="P923" s="373"/>
      <c r="Q923" s="373"/>
      <c r="R923" s="373"/>
      <c r="S923" s="373"/>
      <c r="T923" s="373"/>
      <c r="U923" s="373"/>
      <c r="V923" s="373"/>
      <c r="W923" s="373"/>
      <c r="X923" s="373"/>
    </row>
    <row r="924" spans="1:24" ht="18" x14ac:dyDescent="0.55000000000000004">
      <c r="A924" s="373"/>
      <c r="B924" s="373"/>
      <c r="C924" s="373"/>
      <c r="D924" s="373"/>
      <c r="E924" s="373"/>
      <c r="F924" s="373"/>
      <c r="G924" s="373"/>
      <c r="H924" s="373"/>
      <c r="I924" s="373"/>
      <c r="J924" s="373"/>
      <c r="K924" s="373"/>
      <c r="L924" s="373"/>
      <c r="M924" s="373"/>
      <c r="N924" s="373"/>
      <c r="O924" s="373"/>
      <c r="P924" s="373"/>
      <c r="Q924" s="373"/>
      <c r="R924" s="373"/>
      <c r="S924" s="373"/>
      <c r="T924" s="373"/>
      <c r="U924" s="373"/>
      <c r="V924" s="373"/>
      <c r="W924" s="373"/>
      <c r="X924" s="373"/>
    </row>
    <row r="925" spans="1:24" ht="18" x14ac:dyDescent="0.55000000000000004">
      <c r="A925" s="373"/>
      <c r="B925" s="373"/>
      <c r="C925" s="373"/>
      <c r="D925" s="373"/>
      <c r="E925" s="373"/>
      <c r="F925" s="373"/>
      <c r="G925" s="373"/>
      <c r="H925" s="373"/>
      <c r="I925" s="373"/>
      <c r="J925" s="373"/>
      <c r="K925" s="373"/>
      <c r="L925" s="373"/>
      <c r="M925" s="373"/>
      <c r="N925" s="373"/>
      <c r="O925" s="373"/>
      <c r="P925" s="373"/>
      <c r="Q925" s="373"/>
      <c r="R925" s="373"/>
      <c r="S925" s="373"/>
      <c r="T925" s="373"/>
      <c r="U925" s="373"/>
      <c r="V925" s="373"/>
      <c r="W925" s="373"/>
      <c r="X925" s="373"/>
    </row>
    <row r="926" spans="1:24" ht="18" x14ac:dyDescent="0.55000000000000004">
      <c r="A926" s="373"/>
      <c r="B926" s="373"/>
      <c r="C926" s="373"/>
      <c r="D926" s="373"/>
      <c r="E926" s="373"/>
      <c r="F926" s="373"/>
      <c r="G926" s="373"/>
      <c r="H926" s="373"/>
      <c r="I926" s="373"/>
      <c r="J926" s="373"/>
      <c r="K926" s="373"/>
      <c r="L926" s="373"/>
      <c r="M926" s="373"/>
      <c r="N926" s="373"/>
      <c r="O926" s="373"/>
      <c r="P926" s="373"/>
      <c r="Q926" s="373"/>
      <c r="R926" s="373"/>
      <c r="S926" s="373"/>
      <c r="T926" s="373"/>
      <c r="U926" s="373"/>
      <c r="V926" s="373"/>
      <c r="W926" s="373"/>
      <c r="X926" s="373"/>
    </row>
    <row r="927" spans="1:24" ht="18" x14ac:dyDescent="0.55000000000000004">
      <c r="A927" s="373"/>
      <c r="B927" s="373"/>
      <c r="C927" s="373"/>
      <c r="D927" s="373"/>
      <c r="E927" s="373"/>
      <c r="F927" s="373"/>
      <c r="G927" s="373"/>
      <c r="H927" s="373"/>
      <c r="I927" s="373"/>
      <c r="J927" s="373"/>
      <c r="K927" s="373"/>
      <c r="L927" s="373"/>
      <c r="M927" s="373"/>
      <c r="N927" s="373"/>
      <c r="O927" s="373"/>
      <c r="P927" s="373"/>
      <c r="Q927" s="373"/>
      <c r="R927" s="373"/>
      <c r="S927" s="373"/>
      <c r="T927" s="373"/>
      <c r="U927" s="373"/>
      <c r="V927" s="373"/>
      <c r="W927" s="373"/>
      <c r="X927" s="373"/>
    </row>
    <row r="928" spans="1:24" ht="18" x14ac:dyDescent="0.55000000000000004">
      <c r="A928" s="373"/>
      <c r="B928" s="373"/>
      <c r="C928" s="373"/>
      <c r="D928" s="373"/>
      <c r="E928" s="373"/>
      <c r="F928" s="373"/>
      <c r="G928" s="373"/>
      <c r="H928" s="373"/>
      <c r="I928" s="373"/>
      <c r="J928" s="373"/>
      <c r="K928" s="373"/>
      <c r="L928" s="373"/>
      <c r="M928" s="373"/>
      <c r="N928" s="373"/>
      <c r="O928" s="373"/>
      <c r="P928" s="373"/>
      <c r="Q928" s="373"/>
      <c r="R928" s="373"/>
      <c r="S928" s="373"/>
      <c r="T928" s="373"/>
      <c r="U928" s="373"/>
      <c r="V928" s="373"/>
      <c r="W928" s="373"/>
      <c r="X928" s="373"/>
    </row>
    <row r="929" spans="1:24" ht="18" x14ac:dyDescent="0.55000000000000004">
      <c r="A929" s="373"/>
      <c r="B929" s="373"/>
      <c r="C929" s="373"/>
      <c r="D929" s="373"/>
      <c r="E929" s="373"/>
      <c r="F929" s="373"/>
      <c r="G929" s="373"/>
      <c r="H929" s="373"/>
      <c r="I929" s="373"/>
      <c r="J929" s="373"/>
      <c r="K929" s="373"/>
      <c r="L929" s="373"/>
      <c r="M929" s="373"/>
      <c r="N929" s="373"/>
      <c r="O929" s="373"/>
      <c r="P929" s="373"/>
      <c r="Q929" s="373"/>
      <c r="R929" s="373"/>
      <c r="S929" s="373"/>
      <c r="T929" s="373"/>
      <c r="U929" s="373"/>
      <c r="V929" s="373"/>
      <c r="W929" s="373"/>
      <c r="X929" s="373"/>
    </row>
    <row r="930" spans="1:24" ht="18" x14ac:dyDescent="0.55000000000000004">
      <c r="A930" s="373"/>
      <c r="B930" s="373"/>
      <c r="C930" s="373"/>
      <c r="D930" s="373"/>
      <c r="E930" s="373"/>
      <c r="F930" s="373"/>
      <c r="G930" s="373"/>
      <c r="H930" s="373"/>
      <c r="I930" s="373"/>
      <c r="J930" s="373"/>
      <c r="K930" s="373"/>
      <c r="L930" s="373"/>
      <c r="M930" s="373"/>
      <c r="N930" s="373"/>
      <c r="O930" s="373"/>
      <c r="P930" s="373"/>
      <c r="Q930" s="373"/>
      <c r="R930" s="373"/>
      <c r="S930" s="373"/>
      <c r="T930" s="373"/>
      <c r="U930" s="373"/>
      <c r="V930" s="373"/>
      <c r="W930" s="373"/>
      <c r="X930" s="373"/>
    </row>
    <row r="931" spans="1:24" ht="18" x14ac:dyDescent="0.55000000000000004">
      <c r="A931" s="373"/>
      <c r="B931" s="373"/>
      <c r="C931" s="373"/>
      <c r="D931" s="373"/>
      <c r="E931" s="373"/>
      <c r="F931" s="373"/>
      <c r="G931" s="373"/>
      <c r="H931" s="373"/>
      <c r="I931" s="373"/>
      <c r="J931" s="373"/>
      <c r="K931" s="373"/>
      <c r="L931" s="373"/>
      <c r="M931" s="373"/>
      <c r="N931" s="373"/>
      <c r="O931" s="373"/>
      <c r="P931" s="373"/>
      <c r="Q931" s="373"/>
      <c r="R931" s="373"/>
      <c r="S931" s="373"/>
      <c r="T931" s="373"/>
      <c r="U931" s="373"/>
      <c r="V931" s="373"/>
      <c r="W931" s="373"/>
      <c r="X931" s="373"/>
    </row>
    <row r="932" spans="1:24" ht="18" x14ac:dyDescent="0.55000000000000004">
      <c r="A932" s="373"/>
      <c r="B932" s="373"/>
      <c r="C932" s="373"/>
      <c r="D932" s="373"/>
      <c r="E932" s="373"/>
      <c r="F932" s="373"/>
      <c r="G932" s="373"/>
      <c r="H932" s="373"/>
      <c r="I932" s="373"/>
      <c r="J932" s="373"/>
      <c r="K932" s="373"/>
      <c r="L932" s="373"/>
      <c r="M932" s="373"/>
      <c r="N932" s="373"/>
      <c r="O932" s="373"/>
      <c r="P932" s="373"/>
      <c r="Q932" s="373"/>
      <c r="R932" s="373"/>
      <c r="S932" s="373"/>
      <c r="T932" s="373"/>
      <c r="U932" s="373"/>
      <c r="V932" s="373"/>
      <c r="W932" s="373"/>
      <c r="X932" s="373"/>
    </row>
    <row r="933" spans="1:24" ht="18" x14ac:dyDescent="0.55000000000000004">
      <c r="A933" s="373"/>
      <c r="B933" s="373"/>
      <c r="C933" s="373"/>
      <c r="D933" s="373"/>
      <c r="E933" s="373"/>
      <c r="F933" s="373"/>
      <c r="G933" s="373"/>
      <c r="H933" s="373"/>
      <c r="I933" s="373"/>
      <c r="J933" s="373"/>
      <c r="K933" s="373"/>
      <c r="L933" s="373"/>
      <c r="M933" s="373"/>
      <c r="N933" s="373"/>
      <c r="O933" s="373"/>
      <c r="P933" s="373"/>
      <c r="Q933" s="373"/>
      <c r="R933" s="373"/>
      <c r="S933" s="373"/>
      <c r="T933" s="373"/>
      <c r="U933" s="373"/>
      <c r="V933" s="373"/>
      <c r="W933" s="373"/>
      <c r="X933" s="373"/>
    </row>
    <row r="934" spans="1:24" ht="18" x14ac:dyDescent="0.55000000000000004">
      <c r="A934" s="373"/>
      <c r="B934" s="373"/>
      <c r="C934" s="373"/>
      <c r="D934" s="373"/>
      <c r="E934" s="373"/>
      <c r="F934" s="373"/>
      <c r="G934" s="373"/>
      <c r="H934" s="373"/>
      <c r="I934" s="373"/>
      <c r="J934" s="373"/>
      <c r="K934" s="373"/>
      <c r="L934" s="373"/>
      <c r="M934" s="373"/>
      <c r="N934" s="373"/>
      <c r="O934" s="373"/>
      <c r="P934" s="373"/>
      <c r="Q934" s="373"/>
      <c r="R934" s="373"/>
      <c r="S934" s="373"/>
      <c r="T934" s="373"/>
      <c r="U934" s="373"/>
      <c r="V934" s="373"/>
      <c r="W934" s="373"/>
      <c r="X934" s="373"/>
    </row>
    <row r="935" spans="1:24" ht="18" x14ac:dyDescent="0.55000000000000004">
      <c r="A935" s="373"/>
      <c r="B935" s="373"/>
      <c r="C935" s="373"/>
      <c r="D935" s="373"/>
      <c r="E935" s="373"/>
      <c r="F935" s="373"/>
      <c r="G935" s="373"/>
      <c r="H935" s="373"/>
      <c r="I935" s="373"/>
      <c r="J935" s="373"/>
      <c r="K935" s="373"/>
      <c r="L935" s="373"/>
      <c r="M935" s="373"/>
      <c r="N935" s="373"/>
      <c r="O935" s="373"/>
      <c r="P935" s="373"/>
      <c r="Q935" s="373"/>
      <c r="R935" s="373"/>
      <c r="S935" s="373"/>
      <c r="T935" s="373"/>
      <c r="U935" s="373"/>
      <c r="V935" s="373"/>
      <c r="W935" s="373"/>
      <c r="X935" s="373"/>
    </row>
    <row r="936" spans="1:24" ht="18" x14ac:dyDescent="0.55000000000000004">
      <c r="A936" s="373"/>
      <c r="B936" s="373"/>
      <c r="C936" s="373"/>
      <c r="D936" s="373"/>
      <c r="E936" s="373"/>
      <c r="F936" s="373"/>
      <c r="G936" s="373"/>
      <c r="H936" s="373"/>
      <c r="I936" s="373"/>
      <c r="J936" s="373"/>
      <c r="K936" s="373"/>
      <c r="L936" s="373"/>
      <c r="M936" s="373"/>
      <c r="N936" s="373"/>
      <c r="O936" s="373"/>
      <c r="P936" s="373"/>
      <c r="Q936" s="373"/>
      <c r="R936" s="373"/>
      <c r="S936" s="373"/>
      <c r="T936" s="373"/>
      <c r="U936" s="373"/>
      <c r="V936" s="373"/>
      <c r="W936" s="373"/>
      <c r="X936" s="373"/>
    </row>
    <row r="937" spans="1:24" ht="18" x14ac:dyDescent="0.55000000000000004">
      <c r="A937" s="373"/>
      <c r="B937" s="373"/>
      <c r="C937" s="373"/>
      <c r="D937" s="373"/>
      <c r="E937" s="373"/>
      <c r="F937" s="373"/>
      <c r="G937" s="373"/>
      <c r="H937" s="373"/>
      <c r="I937" s="373"/>
      <c r="J937" s="373"/>
      <c r="K937" s="373"/>
      <c r="L937" s="373"/>
      <c r="M937" s="373"/>
      <c r="N937" s="373"/>
      <c r="O937" s="373"/>
      <c r="P937" s="373"/>
      <c r="Q937" s="373"/>
      <c r="R937" s="373"/>
      <c r="S937" s="373"/>
      <c r="T937" s="373"/>
      <c r="U937" s="373"/>
      <c r="V937" s="373"/>
      <c r="W937" s="373"/>
      <c r="X937" s="373"/>
    </row>
    <row r="938" spans="1:24" ht="18" x14ac:dyDescent="0.55000000000000004">
      <c r="A938" s="373"/>
      <c r="B938" s="373"/>
      <c r="C938" s="373"/>
      <c r="D938" s="373"/>
      <c r="E938" s="373"/>
      <c r="F938" s="373"/>
      <c r="G938" s="373"/>
      <c r="H938" s="373"/>
      <c r="I938" s="373"/>
      <c r="J938" s="373"/>
      <c r="K938" s="373"/>
      <c r="L938" s="373"/>
      <c r="M938" s="373"/>
      <c r="N938" s="373"/>
      <c r="O938" s="373"/>
      <c r="P938" s="373"/>
      <c r="Q938" s="373"/>
      <c r="R938" s="373"/>
      <c r="S938" s="373"/>
      <c r="T938" s="373"/>
      <c r="U938" s="373"/>
      <c r="V938" s="373"/>
      <c r="W938" s="373"/>
      <c r="X938" s="373"/>
    </row>
    <row r="939" spans="1:24" ht="18" x14ac:dyDescent="0.55000000000000004">
      <c r="A939" s="373"/>
      <c r="B939" s="373"/>
      <c r="C939" s="373"/>
      <c r="D939" s="373"/>
      <c r="E939" s="373"/>
      <c r="F939" s="373"/>
      <c r="G939" s="373"/>
      <c r="H939" s="373"/>
      <c r="I939" s="373"/>
      <c r="J939" s="373"/>
      <c r="K939" s="373"/>
      <c r="L939" s="373"/>
      <c r="M939" s="373"/>
      <c r="N939" s="373"/>
      <c r="O939" s="373"/>
      <c r="P939" s="373"/>
      <c r="Q939" s="373"/>
      <c r="R939" s="373"/>
      <c r="S939" s="373"/>
      <c r="T939" s="373"/>
      <c r="U939" s="373"/>
      <c r="V939" s="373"/>
      <c r="W939" s="373"/>
      <c r="X939" s="373"/>
    </row>
    <row r="940" spans="1:24" ht="18" x14ac:dyDescent="0.55000000000000004">
      <c r="A940" s="373"/>
      <c r="B940" s="373"/>
      <c r="C940" s="373"/>
      <c r="D940" s="373"/>
      <c r="E940" s="373"/>
      <c r="F940" s="373"/>
      <c r="G940" s="373"/>
      <c r="H940" s="373"/>
      <c r="I940" s="373"/>
      <c r="J940" s="373"/>
      <c r="K940" s="373"/>
      <c r="L940" s="373"/>
      <c r="M940" s="373"/>
      <c r="N940" s="373"/>
      <c r="O940" s="373"/>
      <c r="P940" s="373"/>
      <c r="Q940" s="373"/>
      <c r="R940" s="373"/>
      <c r="S940" s="373"/>
      <c r="T940" s="373"/>
      <c r="U940" s="373"/>
      <c r="V940" s="373"/>
      <c r="W940" s="373"/>
      <c r="X940" s="373"/>
    </row>
    <row r="941" spans="1:24" ht="18" x14ac:dyDescent="0.55000000000000004">
      <c r="A941" s="373"/>
      <c r="B941" s="373"/>
      <c r="C941" s="373"/>
      <c r="D941" s="373"/>
      <c r="E941" s="373"/>
      <c r="F941" s="373"/>
      <c r="G941" s="373"/>
      <c r="H941" s="373"/>
      <c r="I941" s="373"/>
      <c r="J941" s="373"/>
      <c r="K941" s="373"/>
      <c r="L941" s="373"/>
      <c r="M941" s="373"/>
      <c r="N941" s="373"/>
      <c r="O941" s="373"/>
      <c r="P941" s="373"/>
      <c r="Q941" s="373"/>
      <c r="R941" s="373"/>
      <c r="S941" s="373"/>
      <c r="T941" s="373"/>
      <c r="U941" s="373"/>
      <c r="V941" s="373"/>
      <c r="W941" s="373"/>
      <c r="X941" s="373"/>
    </row>
    <row r="942" spans="1:24" ht="18" x14ac:dyDescent="0.55000000000000004">
      <c r="A942" s="373"/>
      <c r="B942" s="373"/>
      <c r="C942" s="373"/>
      <c r="D942" s="373"/>
      <c r="E942" s="373"/>
      <c r="F942" s="373"/>
      <c r="G942" s="373"/>
      <c r="H942" s="373"/>
      <c r="I942" s="373"/>
      <c r="J942" s="373"/>
      <c r="K942" s="373"/>
      <c r="L942" s="373"/>
      <c r="M942" s="373"/>
      <c r="N942" s="373"/>
      <c r="O942" s="373"/>
      <c r="P942" s="373"/>
      <c r="Q942" s="373"/>
      <c r="R942" s="373"/>
      <c r="S942" s="373"/>
      <c r="T942" s="373"/>
      <c r="U942" s="373"/>
      <c r="V942" s="373"/>
      <c r="W942" s="373"/>
      <c r="X942" s="373"/>
    </row>
    <row r="943" spans="1:24" ht="18" x14ac:dyDescent="0.55000000000000004">
      <c r="A943" s="373"/>
      <c r="B943" s="373"/>
      <c r="C943" s="373"/>
      <c r="D943" s="373"/>
      <c r="E943" s="373"/>
      <c r="F943" s="373"/>
      <c r="G943" s="373"/>
      <c r="H943" s="373"/>
      <c r="I943" s="373"/>
      <c r="J943" s="373"/>
      <c r="K943" s="373"/>
      <c r="L943" s="373"/>
      <c r="M943" s="373"/>
      <c r="N943" s="373"/>
      <c r="O943" s="373"/>
      <c r="P943" s="373"/>
      <c r="Q943" s="373"/>
      <c r="R943" s="373"/>
      <c r="S943" s="373"/>
      <c r="T943" s="373"/>
      <c r="U943" s="373"/>
      <c r="V943" s="373"/>
      <c r="W943" s="373"/>
      <c r="X943" s="373"/>
    </row>
    <row r="944" spans="1:24" ht="18" x14ac:dyDescent="0.55000000000000004">
      <c r="A944" s="373"/>
      <c r="B944" s="373"/>
      <c r="C944" s="373"/>
      <c r="D944" s="373"/>
      <c r="E944" s="373"/>
      <c r="F944" s="373"/>
      <c r="G944" s="373"/>
      <c r="H944" s="373"/>
      <c r="I944" s="373"/>
      <c r="J944" s="373"/>
      <c r="K944" s="373"/>
      <c r="L944" s="373"/>
      <c r="M944" s="373"/>
      <c r="N944" s="373"/>
      <c r="O944" s="373"/>
      <c r="P944" s="373"/>
      <c r="Q944" s="373"/>
      <c r="R944" s="373"/>
      <c r="S944" s="373"/>
      <c r="T944" s="373"/>
      <c r="U944" s="373"/>
      <c r="V944" s="373"/>
      <c r="W944" s="373"/>
      <c r="X944" s="373"/>
    </row>
    <row r="945" spans="1:24" ht="18" x14ac:dyDescent="0.55000000000000004">
      <c r="A945" s="373"/>
      <c r="B945" s="373"/>
      <c r="C945" s="373"/>
      <c r="D945" s="373"/>
      <c r="E945" s="373"/>
      <c r="F945" s="373"/>
      <c r="G945" s="373"/>
      <c r="H945" s="373"/>
      <c r="I945" s="373"/>
      <c r="J945" s="373"/>
      <c r="K945" s="373"/>
      <c r="L945" s="373"/>
      <c r="M945" s="373"/>
      <c r="N945" s="373"/>
      <c r="O945" s="373"/>
      <c r="P945" s="373"/>
      <c r="Q945" s="373"/>
      <c r="R945" s="373"/>
      <c r="S945" s="373"/>
      <c r="T945" s="373"/>
      <c r="U945" s="373"/>
      <c r="V945" s="373"/>
      <c r="W945" s="373"/>
      <c r="X945" s="373"/>
    </row>
    <row r="946" spans="1:24" ht="18" x14ac:dyDescent="0.55000000000000004">
      <c r="A946" s="373"/>
      <c r="B946" s="373"/>
      <c r="C946" s="373"/>
      <c r="D946" s="373"/>
      <c r="E946" s="373"/>
      <c r="F946" s="373"/>
      <c r="G946" s="373"/>
      <c r="H946" s="373"/>
      <c r="I946" s="373"/>
      <c r="J946" s="373"/>
      <c r="K946" s="373"/>
      <c r="L946" s="373"/>
      <c r="M946" s="373"/>
      <c r="N946" s="373"/>
      <c r="O946" s="373"/>
      <c r="P946" s="373"/>
      <c r="Q946" s="373"/>
      <c r="R946" s="373"/>
      <c r="S946" s="373"/>
      <c r="T946" s="373"/>
      <c r="U946" s="373"/>
      <c r="V946" s="373"/>
      <c r="W946" s="373"/>
      <c r="X946" s="373"/>
    </row>
    <row r="947" spans="1:24" ht="18" x14ac:dyDescent="0.55000000000000004">
      <c r="A947" s="373"/>
      <c r="B947" s="373"/>
      <c r="C947" s="373"/>
      <c r="D947" s="373"/>
      <c r="E947" s="373"/>
      <c r="F947" s="373"/>
      <c r="G947" s="373"/>
      <c r="H947" s="373"/>
      <c r="I947" s="373"/>
      <c r="J947" s="373"/>
      <c r="K947" s="373"/>
      <c r="L947" s="373"/>
      <c r="M947" s="373"/>
      <c r="N947" s="373"/>
      <c r="O947" s="373"/>
      <c r="P947" s="373"/>
      <c r="Q947" s="373"/>
      <c r="R947" s="373"/>
      <c r="S947" s="373"/>
      <c r="T947" s="373"/>
      <c r="U947" s="373"/>
      <c r="V947" s="373"/>
      <c r="W947" s="373"/>
      <c r="X947" s="373"/>
    </row>
    <row r="948" spans="1:24" ht="18" x14ac:dyDescent="0.55000000000000004">
      <c r="A948" s="373"/>
      <c r="B948" s="373"/>
      <c r="C948" s="373"/>
      <c r="D948" s="373"/>
      <c r="E948" s="373"/>
      <c r="F948" s="373"/>
      <c r="G948" s="373"/>
      <c r="H948" s="373"/>
      <c r="I948" s="373"/>
      <c r="J948" s="373"/>
      <c r="K948" s="373"/>
      <c r="L948" s="373"/>
      <c r="M948" s="373"/>
      <c r="N948" s="373"/>
      <c r="O948" s="373"/>
      <c r="P948" s="373"/>
      <c r="Q948" s="373"/>
      <c r="R948" s="373"/>
      <c r="S948" s="373"/>
      <c r="T948" s="373"/>
      <c r="U948" s="373"/>
      <c r="V948" s="373"/>
      <c r="W948" s="373"/>
      <c r="X948" s="373"/>
    </row>
    <row r="949" spans="1:24" ht="18" x14ac:dyDescent="0.55000000000000004">
      <c r="A949" s="373"/>
      <c r="B949" s="373"/>
      <c r="C949" s="373"/>
      <c r="D949" s="373"/>
      <c r="E949" s="373"/>
      <c r="F949" s="373"/>
      <c r="G949" s="373"/>
      <c r="H949" s="373"/>
      <c r="I949" s="373"/>
      <c r="J949" s="373"/>
      <c r="K949" s="373"/>
      <c r="L949" s="373"/>
      <c r="M949" s="373"/>
      <c r="N949" s="373"/>
      <c r="O949" s="373"/>
      <c r="P949" s="373"/>
      <c r="Q949" s="373"/>
      <c r="R949" s="373"/>
      <c r="S949" s="373"/>
      <c r="T949" s="373"/>
      <c r="U949" s="373"/>
      <c r="V949" s="373"/>
      <c r="W949" s="373"/>
      <c r="X949" s="373"/>
    </row>
    <row r="950" spans="1:24" ht="18" x14ac:dyDescent="0.55000000000000004">
      <c r="A950" s="373"/>
      <c r="B950" s="373"/>
      <c r="C950" s="373"/>
      <c r="D950" s="373"/>
      <c r="E950" s="373"/>
      <c r="F950" s="373"/>
      <c r="G950" s="373"/>
      <c r="H950" s="373"/>
      <c r="I950" s="373"/>
      <c r="J950" s="373"/>
      <c r="K950" s="373"/>
      <c r="L950" s="373"/>
      <c r="M950" s="373"/>
      <c r="N950" s="373"/>
      <c r="O950" s="373"/>
      <c r="P950" s="373"/>
      <c r="Q950" s="373"/>
      <c r="R950" s="373"/>
      <c r="S950" s="373"/>
      <c r="T950" s="373"/>
      <c r="U950" s="373"/>
      <c r="V950" s="373"/>
      <c r="W950" s="373"/>
      <c r="X950" s="373"/>
    </row>
    <row r="951" spans="1:24" ht="18" x14ac:dyDescent="0.55000000000000004">
      <c r="A951" s="373"/>
      <c r="B951" s="373"/>
      <c r="C951" s="373"/>
      <c r="D951" s="373"/>
      <c r="E951" s="373"/>
      <c r="F951" s="373"/>
      <c r="G951" s="373"/>
      <c r="H951" s="373"/>
      <c r="I951" s="373"/>
      <c r="J951" s="373"/>
      <c r="K951" s="373"/>
      <c r="L951" s="373"/>
      <c r="M951" s="373"/>
      <c r="N951" s="373"/>
      <c r="O951" s="373"/>
      <c r="P951" s="373"/>
      <c r="Q951" s="373"/>
      <c r="R951" s="373"/>
      <c r="S951" s="373"/>
      <c r="T951" s="373"/>
      <c r="U951" s="373"/>
      <c r="V951" s="373"/>
      <c r="W951" s="373"/>
      <c r="X951" s="373"/>
    </row>
    <row r="952" spans="1:24" ht="18" x14ac:dyDescent="0.55000000000000004">
      <c r="A952" s="373"/>
      <c r="B952" s="373"/>
      <c r="C952" s="373"/>
      <c r="D952" s="373"/>
      <c r="E952" s="373"/>
      <c r="F952" s="373"/>
      <c r="G952" s="373"/>
      <c r="H952" s="373"/>
      <c r="I952" s="373"/>
      <c r="J952" s="373"/>
      <c r="K952" s="373"/>
      <c r="L952" s="373"/>
      <c r="M952" s="373"/>
      <c r="N952" s="373"/>
      <c r="O952" s="373"/>
      <c r="P952" s="373"/>
      <c r="Q952" s="373"/>
      <c r="R952" s="373"/>
      <c r="S952" s="373"/>
      <c r="T952" s="373"/>
      <c r="U952" s="373"/>
      <c r="V952" s="373"/>
      <c r="W952" s="373"/>
      <c r="X952" s="373"/>
    </row>
    <row r="953" spans="1:24" ht="18" x14ac:dyDescent="0.55000000000000004">
      <c r="A953" s="373"/>
      <c r="B953" s="373"/>
      <c r="C953" s="373"/>
      <c r="D953" s="373"/>
      <c r="E953" s="373"/>
      <c r="F953" s="373"/>
      <c r="G953" s="373"/>
      <c r="H953" s="373"/>
      <c r="I953" s="373"/>
      <c r="J953" s="373"/>
      <c r="K953" s="373"/>
      <c r="L953" s="373"/>
      <c r="M953" s="373"/>
      <c r="N953" s="373"/>
      <c r="O953" s="373"/>
      <c r="P953" s="373"/>
      <c r="Q953" s="373"/>
      <c r="R953" s="373"/>
      <c r="S953" s="373"/>
      <c r="T953" s="373"/>
      <c r="U953" s="373"/>
      <c r="V953" s="373"/>
      <c r="W953" s="373"/>
      <c r="X953" s="373"/>
    </row>
    <row r="954" spans="1:24" ht="18" x14ac:dyDescent="0.55000000000000004">
      <c r="A954" s="373"/>
      <c r="B954" s="373"/>
      <c r="C954" s="373"/>
      <c r="D954" s="373"/>
      <c r="E954" s="373"/>
      <c r="F954" s="373"/>
      <c r="G954" s="373"/>
      <c r="H954" s="373"/>
      <c r="I954" s="373"/>
      <c r="J954" s="373"/>
      <c r="K954" s="373"/>
      <c r="L954" s="373"/>
      <c r="M954" s="373"/>
      <c r="N954" s="373"/>
      <c r="O954" s="373"/>
      <c r="P954" s="373"/>
      <c r="Q954" s="373"/>
      <c r="R954" s="373"/>
      <c r="S954" s="373"/>
      <c r="T954" s="373"/>
      <c r="U954" s="373"/>
      <c r="V954" s="373"/>
      <c r="W954" s="373"/>
      <c r="X954" s="373"/>
    </row>
    <row r="955" spans="1:24" ht="18" x14ac:dyDescent="0.55000000000000004">
      <c r="A955" s="373"/>
      <c r="B955" s="373"/>
      <c r="C955" s="373"/>
      <c r="D955" s="373"/>
      <c r="E955" s="373"/>
      <c r="F955" s="373"/>
      <c r="G955" s="373"/>
      <c r="H955" s="373"/>
      <c r="I955" s="373"/>
      <c r="J955" s="373"/>
      <c r="K955" s="373"/>
      <c r="L955" s="373"/>
      <c r="M955" s="373"/>
      <c r="N955" s="373"/>
      <c r="O955" s="373"/>
      <c r="P955" s="373"/>
      <c r="Q955" s="373"/>
      <c r="R955" s="373"/>
      <c r="S955" s="373"/>
      <c r="T955" s="373"/>
      <c r="U955" s="373"/>
      <c r="V955" s="373"/>
      <c r="W955" s="373"/>
      <c r="X955" s="373"/>
    </row>
    <row r="956" spans="1:24" ht="18" x14ac:dyDescent="0.55000000000000004">
      <c r="A956" s="373"/>
      <c r="B956" s="373"/>
      <c r="C956" s="373"/>
      <c r="D956" s="373"/>
      <c r="E956" s="373"/>
      <c r="F956" s="373"/>
      <c r="G956" s="373"/>
      <c r="H956" s="373"/>
      <c r="I956" s="373"/>
      <c r="J956" s="373"/>
      <c r="K956" s="373"/>
      <c r="L956" s="373"/>
      <c r="M956" s="373"/>
      <c r="N956" s="373"/>
      <c r="O956" s="373"/>
      <c r="P956" s="373"/>
      <c r="Q956" s="373"/>
      <c r="R956" s="373"/>
      <c r="S956" s="373"/>
      <c r="T956" s="373"/>
      <c r="U956" s="373"/>
      <c r="V956" s="373"/>
      <c r="W956" s="373"/>
      <c r="X956" s="373"/>
    </row>
    <row r="957" spans="1:24" ht="18" x14ac:dyDescent="0.55000000000000004">
      <c r="A957" s="373"/>
      <c r="B957" s="373"/>
      <c r="C957" s="373"/>
      <c r="D957" s="373"/>
      <c r="E957" s="373"/>
      <c r="F957" s="373"/>
      <c r="G957" s="373"/>
      <c r="H957" s="373"/>
      <c r="I957" s="373"/>
      <c r="J957" s="373"/>
      <c r="K957" s="373"/>
      <c r="L957" s="373"/>
      <c r="M957" s="373"/>
      <c r="N957" s="373"/>
      <c r="O957" s="373"/>
      <c r="P957" s="373"/>
      <c r="Q957" s="373"/>
      <c r="R957" s="373"/>
      <c r="S957" s="373"/>
      <c r="T957" s="373"/>
      <c r="U957" s="373"/>
      <c r="V957" s="373"/>
      <c r="W957" s="373"/>
      <c r="X957" s="373"/>
    </row>
    <row r="958" spans="1:24" ht="18" x14ac:dyDescent="0.55000000000000004">
      <c r="A958" s="373"/>
      <c r="B958" s="373"/>
      <c r="C958" s="373"/>
      <c r="D958" s="373"/>
      <c r="E958" s="373"/>
      <c r="F958" s="373"/>
      <c r="G958" s="373"/>
      <c r="H958" s="373"/>
      <c r="I958" s="373"/>
      <c r="J958" s="373"/>
      <c r="K958" s="373"/>
      <c r="L958" s="373"/>
      <c r="M958" s="373"/>
      <c r="N958" s="373"/>
      <c r="O958" s="373"/>
      <c r="P958" s="373"/>
      <c r="Q958" s="373"/>
      <c r="R958" s="373"/>
      <c r="S958" s="373"/>
      <c r="T958" s="373"/>
      <c r="U958" s="373"/>
      <c r="V958" s="373"/>
      <c r="W958" s="373"/>
      <c r="X958" s="373"/>
    </row>
    <row r="959" spans="1:24" ht="18" x14ac:dyDescent="0.55000000000000004">
      <c r="A959" s="373"/>
      <c r="B959" s="373"/>
      <c r="C959" s="373"/>
      <c r="D959" s="373"/>
      <c r="E959" s="373"/>
      <c r="F959" s="373"/>
      <c r="G959" s="373"/>
      <c r="H959" s="373"/>
      <c r="I959" s="373"/>
      <c r="J959" s="373"/>
      <c r="K959" s="373"/>
      <c r="L959" s="373"/>
      <c r="M959" s="373"/>
      <c r="N959" s="373"/>
      <c r="O959" s="373"/>
      <c r="P959" s="373"/>
      <c r="Q959" s="373"/>
      <c r="R959" s="373"/>
      <c r="S959" s="373"/>
      <c r="T959" s="373"/>
      <c r="U959" s="373"/>
      <c r="V959" s="373"/>
      <c r="W959" s="373"/>
      <c r="X959" s="373"/>
    </row>
    <row r="960" spans="1:24" ht="18" x14ac:dyDescent="0.55000000000000004">
      <c r="A960" s="373"/>
      <c r="B960" s="373"/>
      <c r="C960" s="373"/>
      <c r="D960" s="373"/>
      <c r="E960" s="373"/>
      <c r="F960" s="373"/>
      <c r="G960" s="373"/>
      <c r="H960" s="373"/>
      <c r="I960" s="373"/>
      <c r="J960" s="373"/>
      <c r="K960" s="373"/>
      <c r="L960" s="373"/>
      <c r="M960" s="373"/>
      <c r="N960" s="373"/>
      <c r="O960" s="373"/>
      <c r="P960" s="373"/>
      <c r="Q960" s="373"/>
      <c r="R960" s="373"/>
      <c r="S960" s="373"/>
      <c r="T960" s="373"/>
      <c r="U960" s="373"/>
      <c r="V960" s="373"/>
      <c r="W960" s="373"/>
      <c r="X960" s="373"/>
    </row>
    <row r="961" spans="1:24" ht="18" x14ac:dyDescent="0.55000000000000004">
      <c r="A961" s="373"/>
      <c r="B961" s="373"/>
      <c r="C961" s="373"/>
      <c r="D961" s="373"/>
      <c r="E961" s="373"/>
      <c r="F961" s="373"/>
      <c r="G961" s="373"/>
      <c r="H961" s="373"/>
      <c r="I961" s="373"/>
      <c r="J961" s="373"/>
      <c r="K961" s="373"/>
      <c r="L961" s="373"/>
      <c r="M961" s="373"/>
      <c r="N961" s="373"/>
      <c r="O961" s="373"/>
      <c r="P961" s="373"/>
      <c r="Q961" s="373"/>
      <c r="R961" s="373"/>
      <c r="S961" s="373"/>
      <c r="T961" s="373"/>
      <c r="U961" s="373"/>
      <c r="V961" s="373"/>
      <c r="W961" s="373"/>
      <c r="X961" s="373"/>
    </row>
    <row r="962" spans="1:24" ht="18" x14ac:dyDescent="0.55000000000000004">
      <c r="A962" s="373"/>
      <c r="B962" s="373"/>
      <c r="C962" s="373"/>
      <c r="D962" s="373"/>
      <c r="E962" s="373"/>
      <c r="F962" s="373"/>
      <c r="G962" s="373"/>
      <c r="H962" s="373"/>
      <c r="I962" s="373"/>
      <c r="J962" s="373"/>
      <c r="K962" s="373"/>
      <c r="L962" s="373"/>
      <c r="M962" s="373"/>
      <c r="N962" s="373"/>
      <c r="O962" s="373"/>
      <c r="P962" s="373"/>
      <c r="Q962" s="373"/>
      <c r="R962" s="373"/>
      <c r="S962" s="373"/>
      <c r="T962" s="373"/>
      <c r="U962" s="373"/>
      <c r="V962" s="373"/>
      <c r="W962" s="373"/>
      <c r="X962" s="373"/>
    </row>
    <row r="963" spans="1:24" ht="18" x14ac:dyDescent="0.55000000000000004">
      <c r="A963" s="373"/>
      <c r="B963" s="373"/>
      <c r="C963" s="373"/>
      <c r="D963" s="373"/>
      <c r="E963" s="373"/>
      <c r="F963" s="373"/>
      <c r="G963" s="373"/>
      <c r="H963" s="373"/>
      <c r="I963" s="373"/>
      <c r="J963" s="373"/>
      <c r="K963" s="373"/>
      <c r="L963" s="373"/>
      <c r="M963" s="373"/>
      <c r="N963" s="373"/>
      <c r="O963" s="373"/>
      <c r="P963" s="373"/>
      <c r="Q963" s="373"/>
      <c r="R963" s="373"/>
      <c r="S963" s="373"/>
      <c r="T963" s="373"/>
      <c r="U963" s="373"/>
      <c r="V963" s="373"/>
      <c r="W963" s="373"/>
      <c r="X963" s="373"/>
    </row>
    <row r="964" spans="1:24" ht="18" x14ac:dyDescent="0.55000000000000004">
      <c r="A964" s="373"/>
      <c r="B964" s="373"/>
      <c r="C964" s="373"/>
      <c r="D964" s="373"/>
      <c r="E964" s="373"/>
      <c r="F964" s="373"/>
      <c r="G964" s="373"/>
      <c r="H964" s="373"/>
      <c r="I964" s="373"/>
      <c r="J964" s="373"/>
      <c r="K964" s="373"/>
      <c r="L964" s="373"/>
      <c r="M964" s="373"/>
      <c r="N964" s="373"/>
      <c r="O964" s="373"/>
      <c r="P964" s="373"/>
      <c r="Q964" s="373"/>
      <c r="R964" s="373"/>
      <c r="S964" s="373"/>
      <c r="T964" s="373"/>
      <c r="U964" s="373"/>
      <c r="V964" s="373"/>
      <c r="W964" s="373"/>
      <c r="X964" s="373"/>
    </row>
    <row r="965" spans="1:24" ht="18" x14ac:dyDescent="0.55000000000000004">
      <c r="A965" s="373"/>
      <c r="B965" s="373"/>
      <c r="C965" s="373"/>
      <c r="D965" s="373"/>
      <c r="E965" s="373"/>
      <c r="F965" s="373"/>
      <c r="G965" s="373"/>
      <c r="H965" s="373"/>
      <c r="I965" s="373"/>
      <c r="J965" s="373"/>
      <c r="K965" s="373"/>
      <c r="L965" s="373"/>
      <c r="M965" s="373"/>
      <c r="N965" s="373"/>
      <c r="O965" s="373"/>
      <c r="P965" s="373"/>
      <c r="Q965" s="373"/>
      <c r="R965" s="373"/>
      <c r="S965" s="373"/>
      <c r="T965" s="373"/>
      <c r="U965" s="373"/>
      <c r="V965" s="373"/>
      <c r="W965" s="373"/>
      <c r="X965" s="373"/>
    </row>
    <row r="966" spans="1:24" ht="18" x14ac:dyDescent="0.55000000000000004">
      <c r="A966" s="373"/>
      <c r="B966" s="373"/>
      <c r="C966" s="373"/>
      <c r="D966" s="373"/>
      <c r="E966" s="373"/>
      <c r="F966" s="373"/>
      <c r="G966" s="373"/>
      <c r="H966" s="373"/>
      <c r="I966" s="373"/>
      <c r="J966" s="373"/>
      <c r="K966" s="373"/>
      <c r="L966" s="373"/>
      <c r="M966" s="373"/>
      <c r="N966" s="373"/>
      <c r="O966" s="373"/>
      <c r="P966" s="373"/>
      <c r="Q966" s="373"/>
      <c r="R966" s="373"/>
      <c r="S966" s="373"/>
      <c r="T966" s="373"/>
      <c r="U966" s="373"/>
      <c r="V966" s="373"/>
      <c r="W966" s="373"/>
      <c r="X966" s="373"/>
    </row>
    <row r="967" spans="1:24" ht="18" x14ac:dyDescent="0.55000000000000004">
      <c r="A967" s="373"/>
      <c r="B967" s="373"/>
      <c r="C967" s="373"/>
      <c r="D967" s="373"/>
      <c r="E967" s="373"/>
      <c r="F967" s="373"/>
      <c r="G967" s="373"/>
      <c r="H967" s="373"/>
      <c r="I967" s="373"/>
      <c r="J967" s="373"/>
      <c r="K967" s="373"/>
      <c r="L967" s="373"/>
      <c r="M967" s="373"/>
      <c r="N967" s="373"/>
      <c r="O967" s="373"/>
      <c r="P967" s="373"/>
      <c r="Q967" s="373"/>
      <c r="R967" s="373"/>
      <c r="S967" s="373"/>
      <c r="T967" s="373"/>
      <c r="U967" s="373"/>
      <c r="V967" s="373"/>
      <c r="W967" s="373"/>
      <c r="X967" s="373"/>
    </row>
    <row r="968" spans="1:24" ht="18" x14ac:dyDescent="0.55000000000000004">
      <c r="A968" s="373"/>
      <c r="B968" s="373"/>
      <c r="C968" s="373"/>
      <c r="D968" s="373"/>
      <c r="E968" s="373"/>
      <c r="F968" s="373"/>
      <c r="G968" s="373"/>
      <c r="H968" s="373"/>
      <c r="I968" s="373"/>
      <c r="J968" s="373"/>
      <c r="K968" s="373"/>
      <c r="L968" s="373"/>
      <c r="M968" s="373"/>
      <c r="N968" s="373"/>
      <c r="O968" s="373"/>
      <c r="P968" s="373"/>
      <c r="Q968" s="373"/>
      <c r="R968" s="373"/>
      <c r="S968" s="373"/>
      <c r="T968" s="373"/>
      <c r="U968" s="373"/>
      <c r="V968" s="373"/>
      <c r="W968" s="373"/>
      <c r="X968" s="373"/>
    </row>
    <row r="969" spans="1:24" ht="18" x14ac:dyDescent="0.55000000000000004">
      <c r="A969" s="373"/>
      <c r="B969" s="373"/>
      <c r="C969" s="373"/>
      <c r="D969" s="373"/>
      <c r="E969" s="373"/>
      <c r="F969" s="373"/>
      <c r="G969" s="373"/>
      <c r="H969" s="373"/>
      <c r="I969" s="373"/>
      <c r="J969" s="373"/>
      <c r="K969" s="373"/>
      <c r="L969" s="373"/>
      <c r="M969" s="373"/>
      <c r="N969" s="373"/>
      <c r="O969" s="373"/>
      <c r="P969" s="373"/>
      <c r="Q969" s="373"/>
      <c r="R969" s="373"/>
      <c r="S969" s="373"/>
      <c r="T969" s="373"/>
      <c r="U969" s="373"/>
      <c r="V969" s="373"/>
      <c r="W969" s="373"/>
      <c r="X969" s="373"/>
    </row>
    <row r="970" spans="1:24" ht="18" x14ac:dyDescent="0.55000000000000004">
      <c r="A970" s="373"/>
      <c r="B970" s="373"/>
      <c r="C970" s="373"/>
      <c r="D970" s="373"/>
      <c r="E970" s="373"/>
      <c r="F970" s="373"/>
      <c r="G970" s="373"/>
      <c r="H970" s="373"/>
      <c r="I970" s="373"/>
      <c r="J970" s="373"/>
      <c r="K970" s="373"/>
      <c r="L970" s="373"/>
      <c r="M970" s="373"/>
      <c r="N970" s="373"/>
      <c r="O970" s="373"/>
      <c r="P970" s="373"/>
      <c r="Q970" s="373"/>
      <c r="R970" s="373"/>
      <c r="S970" s="373"/>
      <c r="T970" s="373"/>
      <c r="U970" s="373"/>
      <c r="V970" s="373"/>
      <c r="W970" s="373"/>
      <c r="X970" s="373"/>
    </row>
    <row r="971" spans="1:24" ht="18" x14ac:dyDescent="0.55000000000000004">
      <c r="A971" s="373"/>
      <c r="B971" s="373"/>
      <c r="C971" s="373"/>
      <c r="D971" s="373"/>
      <c r="E971" s="373"/>
      <c r="F971" s="373"/>
      <c r="G971" s="373"/>
      <c r="H971" s="373"/>
      <c r="I971" s="373"/>
      <c r="J971" s="373"/>
      <c r="K971" s="373"/>
      <c r="L971" s="373"/>
      <c r="M971" s="373"/>
      <c r="N971" s="373"/>
      <c r="O971" s="373"/>
      <c r="P971" s="373"/>
      <c r="Q971" s="373"/>
      <c r="R971" s="373"/>
      <c r="S971" s="373"/>
      <c r="T971" s="373"/>
      <c r="U971" s="373"/>
      <c r="V971" s="373"/>
      <c r="W971" s="373"/>
      <c r="X971" s="373"/>
    </row>
    <row r="972" spans="1:24" ht="18" x14ac:dyDescent="0.55000000000000004">
      <c r="A972" s="373"/>
      <c r="B972" s="373"/>
      <c r="C972" s="373"/>
      <c r="D972" s="373"/>
      <c r="E972" s="373"/>
      <c r="F972" s="373"/>
      <c r="G972" s="373"/>
      <c r="H972" s="373"/>
      <c r="I972" s="373"/>
      <c r="J972" s="373"/>
      <c r="K972" s="373"/>
      <c r="L972" s="373"/>
      <c r="M972" s="373"/>
      <c r="N972" s="373"/>
      <c r="O972" s="373"/>
      <c r="P972" s="373"/>
      <c r="Q972" s="373"/>
      <c r="R972" s="373"/>
      <c r="S972" s="373"/>
      <c r="T972" s="373"/>
      <c r="U972" s="373"/>
      <c r="V972" s="373"/>
      <c r="W972" s="373"/>
      <c r="X972" s="373"/>
    </row>
    <row r="973" spans="1:24" ht="18" x14ac:dyDescent="0.55000000000000004">
      <c r="A973" s="373"/>
      <c r="B973" s="373"/>
      <c r="C973" s="373"/>
      <c r="D973" s="373"/>
      <c r="E973" s="373"/>
      <c r="F973" s="373"/>
      <c r="G973" s="373"/>
      <c r="H973" s="373"/>
      <c r="I973" s="373"/>
      <c r="J973" s="373"/>
      <c r="K973" s="373"/>
      <c r="L973" s="373"/>
      <c r="M973" s="373"/>
      <c r="N973" s="373"/>
      <c r="O973" s="373"/>
      <c r="P973" s="373"/>
      <c r="Q973" s="373"/>
      <c r="R973" s="373"/>
      <c r="S973" s="373"/>
      <c r="T973" s="373"/>
      <c r="U973" s="373"/>
      <c r="V973" s="373"/>
      <c r="W973" s="373"/>
      <c r="X973" s="373"/>
    </row>
    <row r="974" spans="1:24" ht="18" x14ac:dyDescent="0.55000000000000004">
      <c r="A974" s="373"/>
      <c r="B974" s="373"/>
      <c r="C974" s="373"/>
      <c r="D974" s="373"/>
      <c r="E974" s="373"/>
      <c r="F974" s="373"/>
      <c r="G974" s="373"/>
      <c r="H974" s="373"/>
      <c r="I974" s="373"/>
      <c r="J974" s="373"/>
      <c r="K974" s="373"/>
      <c r="L974" s="373"/>
      <c r="M974" s="373"/>
      <c r="N974" s="373"/>
      <c r="O974" s="373"/>
      <c r="P974" s="373"/>
      <c r="Q974" s="373"/>
      <c r="R974" s="373"/>
      <c r="S974" s="373"/>
      <c r="T974" s="373"/>
      <c r="U974" s="373"/>
      <c r="V974" s="373"/>
      <c r="W974" s="373"/>
      <c r="X974" s="373"/>
    </row>
    <row r="975" spans="1:24" ht="18" x14ac:dyDescent="0.55000000000000004">
      <c r="A975" s="373"/>
      <c r="B975" s="373"/>
      <c r="C975" s="373"/>
      <c r="D975" s="373"/>
      <c r="E975" s="373"/>
      <c r="F975" s="373"/>
      <c r="G975" s="373"/>
      <c r="H975" s="373"/>
      <c r="I975" s="373"/>
      <c r="J975" s="373"/>
      <c r="K975" s="373"/>
      <c r="L975" s="373"/>
      <c r="M975" s="373"/>
      <c r="N975" s="373"/>
      <c r="O975" s="373"/>
      <c r="P975" s="373"/>
      <c r="Q975" s="373"/>
      <c r="R975" s="373"/>
      <c r="S975" s="373"/>
      <c r="T975" s="373"/>
      <c r="U975" s="373"/>
      <c r="V975" s="373"/>
      <c r="W975" s="373"/>
      <c r="X975" s="373"/>
    </row>
    <row r="976" spans="1:24" ht="18" x14ac:dyDescent="0.55000000000000004">
      <c r="A976" s="373"/>
      <c r="B976" s="373"/>
      <c r="C976" s="373"/>
      <c r="D976" s="373"/>
      <c r="E976" s="373"/>
      <c r="F976" s="373"/>
      <c r="G976" s="373"/>
      <c r="H976" s="373"/>
      <c r="I976" s="373"/>
      <c r="J976" s="373"/>
      <c r="K976" s="373"/>
      <c r="L976" s="373"/>
      <c r="M976" s="373"/>
      <c r="N976" s="373"/>
      <c r="O976" s="373"/>
      <c r="P976" s="373"/>
      <c r="Q976" s="373"/>
      <c r="R976" s="373"/>
      <c r="S976" s="373"/>
      <c r="T976" s="373"/>
      <c r="U976" s="373"/>
      <c r="V976" s="373"/>
      <c r="W976" s="373"/>
      <c r="X976" s="373"/>
    </row>
    <row r="977" spans="1:24" ht="18" x14ac:dyDescent="0.55000000000000004">
      <c r="A977" s="373"/>
      <c r="B977" s="373"/>
      <c r="C977" s="373"/>
      <c r="D977" s="373"/>
      <c r="E977" s="373"/>
      <c r="F977" s="373"/>
      <c r="G977" s="373"/>
      <c r="H977" s="373"/>
      <c r="I977" s="373"/>
      <c r="J977" s="373"/>
      <c r="K977" s="373"/>
      <c r="L977" s="373"/>
      <c r="M977" s="373"/>
      <c r="N977" s="373"/>
      <c r="O977" s="373"/>
      <c r="P977" s="373"/>
      <c r="Q977" s="373"/>
      <c r="R977" s="373"/>
      <c r="S977" s="373"/>
      <c r="T977" s="373"/>
      <c r="U977" s="373"/>
      <c r="V977" s="373"/>
      <c r="W977" s="373"/>
      <c r="X977" s="373"/>
    </row>
    <row r="978" spans="1:24" ht="18" x14ac:dyDescent="0.55000000000000004">
      <c r="A978" s="373"/>
      <c r="B978" s="373"/>
      <c r="C978" s="373"/>
      <c r="D978" s="373"/>
      <c r="E978" s="373"/>
      <c r="F978" s="373"/>
      <c r="G978" s="373"/>
      <c r="H978" s="373"/>
      <c r="I978" s="373"/>
      <c r="J978" s="373"/>
      <c r="K978" s="373"/>
      <c r="L978" s="373"/>
      <c r="M978" s="373"/>
      <c r="N978" s="373"/>
      <c r="O978" s="373"/>
      <c r="P978" s="373"/>
      <c r="Q978" s="373"/>
      <c r="R978" s="373"/>
      <c r="S978" s="373"/>
      <c r="T978" s="373"/>
      <c r="U978" s="373"/>
      <c r="V978" s="373"/>
      <c r="W978" s="373"/>
      <c r="X978" s="373"/>
    </row>
    <row r="979" spans="1:24" ht="18" x14ac:dyDescent="0.55000000000000004">
      <c r="A979" s="373"/>
      <c r="B979" s="373"/>
      <c r="C979" s="373"/>
      <c r="D979" s="373"/>
      <c r="E979" s="373"/>
      <c r="F979" s="373"/>
      <c r="G979" s="373"/>
      <c r="H979" s="373"/>
      <c r="I979" s="373"/>
      <c r="J979" s="373"/>
      <c r="K979" s="373"/>
      <c r="L979" s="373"/>
      <c r="M979" s="373"/>
      <c r="N979" s="373"/>
      <c r="O979" s="373"/>
      <c r="P979" s="373"/>
      <c r="Q979" s="373"/>
      <c r="R979" s="373"/>
      <c r="S979" s="373"/>
      <c r="T979" s="373"/>
      <c r="U979" s="373"/>
      <c r="V979" s="373"/>
      <c r="W979" s="373"/>
      <c r="X979" s="373"/>
    </row>
    <row r="980" spans="1:24" ht="18" x14ac:dyDescent="0.55000000000000004">
      <c r="A980" s="373"/>
      <c r="B980" s="373"/>
      <c r="C980" s="373"/>
      <c r="D980" s="373"/>
      <c r="E980" s="373"/>
      <c r="F980" s="373"/>
      <c r="G980" s="373"/>
      <c r="H980" s="373"/>
      <c r="I980" s="373"/>
      <c r="J980" s="373"/>
      <c r="K980" s="373"/>
      <c r="L980" s="373"/>
      <c r="M980" s="373"/>
      <c r="N980" s="373"/>
      <c r="O980" s="373"/>
      <c r="P980" s="373"/>
      <c r="Q980" s="373"/>
      <c r="R980" s="373"/>
      <c r="S980" s="373"/>
      <c r="T980" s="373"/>
      <c r="U980" s="373"/>
      <c r="V980" s="373"/>
      <c r="W980" s="373"/>
      <c r="X980" s="373"/>
    </row>
    <row r="981" spans="1:24" ht="18" x14ac:dyDescent="0.55000000000000004">
      <c r="A981" s="373"/>
      <c r="B981" s="373"/>
      <c r="C981" s="373"/>
      <c r="D981" s="373"/>
      <c r="E981" s="373"/>
      <c r="F981" s="373"/>
      <c r="G981" s="373"/>
      <c r="H981" s="373"/>
      <c r="I981" s="373"/>
      <c r="J981" s="373"/>
      <c r="K981" s="373"/>
      <c r="L981" s="373"/>
      <c r="M981" s="373"/>
      <c r="N981" s="373"/>
      <c r="O981" s="373"/>
      <c r="P981" s="373"/>
      <c r="Q981" s="373"/>
      <c r="R981" s="373"/>
      <c r="S981" s="373"/>
      <c r="T981" s="373"/>
      <c r="U981" s="373"/>
      <c r="V981" s="373"/>
      <c r="W981" s="373"/>
      <c r="X981" s="373"/>
    </row>
    <row r="982" spans="1:24" ht="18" x14ac:dyDescent="0.55000000000000004">
      <c r="A982" s="373"/>
      <c r="B982" s="373"/>
      <c r="C982" s="373"/>
      <c r="D982" s="373"/>
      <c r="E982" s="373"/>
      <c r="F982" s="373"/>
      <c r="G982" s="373"/>
      <c r="H982" s="373"/>
      <c r="I982" s="373"/>
      <c r="J982" s="373"/>
      <c r="K982" s="373"/>
      <c r="L982" s="373"/>
      <c r="M982" s="373"/>
      <c r="N982" s="373"/>
      <c r="O982" s="373"/>
      <c r="P982" s="373"/>
      <c r="Q982" s="373"/>
      <c r="R982" s="373"/>
      <c r="S982" s="373"/>
      <c r="T982" s="373"/>
      <c r="U982" s="373"/>
      <c r="V982" s="373"/>
      <c r="W982" s="373"/>
      <c r="X982" s="373"/>
    </row>
    <row r="983" spans="1:24" ht="18" x14ac:dyDescent="0.55000000000000004">
      <c r="A983" s="373"/>
      <c r="B983" s="373"/>
      <c r="C983" s="373"/>
      <c r="D983" s="373"/>
      <c r="E983" s="373"/>
      <c r="F983" s="373"/>
      <c r="G983" s="373"/>
      <c r="H983" s="373"/>
      <c r="I983" s="373"/>
      <c r="J983" s="373"/>
      <c r="K983" s="373"/>
      <c r="L983" s="373"/>
      <c r="M983" s="373"/>
      <c r="N983" s="373"/>
      <c r="O983" s="373"/>
      <c r="P983" s="373"/>
      <c r="Q983" s="373"/>
      <c r="R983" s="373"/>
      <c r="S983" s="373"/>
      <c r="T983" s="373"/>
      <c r="U983" s="373"/>
      <c r="V983" s="373"/>
      <c r="W983" s="373"/>
      <c r="X983" s="373"/>
    </row>
    <row r="984" spans="1:24" ht="18" x14ac:dyDescent="0.55000000000000004">
      <c r="A984" s="373"/>
      <c r="B984" s="373"/>
      <c r="C984" s="373"/>
      <c r="D984" s="373"/>
      <c r="E984" s="373"/>
      <c r="F984" s="373"/>
      <c r="G984" s="373"/>
      <c r="H984" s="373"/>
      <c r="I984" s="373"/>
      <c r="J984" s="373"/>
      <c r="K984" s="373"/>
      <c r="L984" s="373"/>
      <c r="M984" s="373"/>
      <c r="N984" s="373"/>
      <c r="O984" s="373"/>
      <c r="P984" s="373"/>
      <c r="Q984" s="373"/>
      <c r="R984" s="373"/>
      <c r="S984" s="373"/>
      <c r="T984" s="373"/>
      <c r="U984" s="373"/>
      <c r="V984" s="373"/>
      <c r="W984" s="373"/>
      <c r="X984" s="373"/>
    </row>
    <row r="985" spans="1:24" ht="18" x14ac:dyDescent="0.55000000000000004">
      <c r="A985" s="373"/>
      <c r="B985" s="373"/>
      <c r="C985" s="373"/>
      <c r="D985" s="373"/>
      <c r="E985" s="373"/>
      <c r="F985" s="373"/>
      <c r="G985" s="373"/>
      <c r="H985" s="373"/>
      <c r="I985" s="373"/>
      <c r="J985" s="373"/>
      <c r="K985" s="373"/>
      <c r="L985" s="373"/>
      <c r="M985" s="373"/>
      <c r="N985" s="373"/>
      <c r="O985" s="373"/>
      <c r="P985" s="373"/>
      <c r="Q985" s="373"/>
      <c r="R985" s="373"/>
      <c r="S985" s="373"/>
      <c r="T985" s="373"/>
      <c r="U985" s="373"/>
      <c r="V985" s="373"/>
      <c r="W985" s="373"/>
      <c r="X985" s="373"/>
    </row>
    <row r="986" spans="1:24" ht="18" x14ac:dyDescent="0.55000000000000004">
      <c r="A986" s="373"/>
      <c r="B986" s="373"/>
      <c r="C986" s="373"/>
      <c r="D986" s="373"/>
      <c r="E986" s="373"/>
      <c r="F986" s="373"/>
      <c r="G986" s="373"/>
      <c r="H986" s="373"/>
      <c r="I986" s="373"/>
      <c r="J986" s="373"/>
      <c r="K986" s="373"/>
      <c r="L986" s="373"/>
      <c r="M986" s="373"/>
      <c r="N986" s="373"/>
      <c r="O986" s="373"/>
      <c r="P986" s="373"/>
      <c r="Q986" s="373"/>
      <c r="R986" s="373"/>
      <c r="S986" s="373"/>
      <c r="T986" s="373"/>
      <c r="U986" s="373"/>
      <c r="V986" s="373"/>
      <c r="W986" s="373"/>
      <c r="X986" s="373"/>
    </row>
    <row r="987" spans="1:24" ht="18" x14ac:dyDescent="0.55000000000000004">
      <c r="A987" s="373"/>
      <c r="B987" s="373"/>
      <c r="C987" s="373"/>
      <c r="D987" s="373"/>
      <c r="E987" s="373"/>
      <c r="F987" s="373"/>
      <c r="G987" s="373"/>
      <c r="H987" s="373"/>
      <c r="I987" s="373"/>
      <c r="J987" s="373"/>
      <c r="K987" s="373"/>
      <c r="L987" s="373"/>
      <c r="M987" s="373"/>
      <c r="N987" s="373"/>
      <c r="O987" s="373"/>
      <c r="P987" s="373"/>
      <c r="Q987" s="373"/>
      <c r="R987" s="373"/>
      <c r="S987" s="373"/>
      <c r="T987" s="373"/>
      <c r="U987" s="373"/>
      <c r="V987" s="373"/>
      <c r="W987" s="373"/>
      <c r="X987" s="373"/>
    </row>
    <row r="988" spans="1:24" ht="18" x14ac:dyDescent="0.55000000000000004">
      <c r="A988" s="373"/>
      <c r="B988" s="373"/>
      <c r="C988" s="373"/>
      <c r="D988" s="373"/>
      <c r="E988" s="373"/>
      <c r="F988" s="373"/>
      <c r="G988" s="373"/>
      <c r="H988" s="373"/>
      <c r="I988" s="373"/>
      <c r="J988" s="373"/>
      <c r="K988" s="373"/>
      <c r="L988" s="373"/>
      <c r="M988" s="373"/>
      <c r="N988" s="373"/>
      <c r="O988" s="373"/>
      <c r="P988" s="373"/>
      <c r="Q988" s="373"/>
      <c r="R988" s="373"/>
      <c r="S988" s="373"/>
      <c r="T988" s="373"/>
      <c r="U988" s="373"/>
      <c r="V988" s="373"/>
      <c r="W988" s="373"/>
      <c r="X988" s="373"/>
    </row>
    <row r="989" spans="1:24" ht="18" x14ac:dyDescent="0.55000000000000004">
      <c r="A989" s="373"/>
      <c r="B989" s="373"/>
      <c r="C989" s="373"/>
      <c r="D989" s="373"/>
      <c r="E989" s="373"/>
      <c r="F989" s="373"/>
      <c r="G989" s="373"/>
      <c r="H989" s="373"/>
      <c r="I989" s="373"/>
      <c r="J989" s="373"/>
      <c r="K989" s="373"/>
      <c r="L989" s="373"/>
      <c r="M989" s="373"/>
      <c r="N989" s="373"/>
      <c r="O989" s="373"/>
      <c r="P989" s="373"/>
      <c r="Q989" s="373"/>
      <c r="R989" s="373"/>
      <c r="S989" s="373"/>
      <c r="T989" s="373"/>
      <c r="U989" s="373"/>
      <c r="V989" s="373"/>
      <c r="W989" s="373"/>
      <c r="X989" s="373"/>
    </row>
    <row r="990" spans="1:24" ht="18" x14ac:dyDescent="0.55000000000000004">
      <c r="A990" s="373"/>
      <c r="B990" s="373"/>
      <c r="C990" s="373"/>
      <c r="D990" s="373"/>
      <c r="E990" s="373"/>
      <c r="F990" s="373"/>
      <c r="G990" s="373"/>
      <c r="H990" s="373"/>
      <c r="I990" s="373"/>
      <c r="J990" s="373"/>
      <c r="K990" s="373"/>
      <c r="L990" s="373"/>
      <c r="M990" s="373"/>
      <c r="N990" s="373"/>
      <c r="O990" s="373"/>
      <c r="P990" s="373"/>
      <c r="Q990" s="373"/>
      <c r="R990" s="373"/>
      <c r="S990" s="373"/>
      <c r="T990" s="373"/>
      <c r="U990" s="373"/>
      <c r="V990" s="373"/>
      <c r="W990" s="373"/>
      <c r="X990" s="373"/>
    </row>
    <row r="991" spans="1:24" ht="18" x14ac:dyDescent="0.55000000000000004">
      <c r="A991" s="373"/>
      <c r="B991" s="373"/>
      <c r="C991" s="373"/>
      <c r="D991" s="373"/>
      <c r="E991" s="373"/>
      <c r="F991" s="373"/>
      <c r="G991" s="373"/>
      <c r="H991" s="373"/>
      <c r="I991" s="373"/>
      <c r="J991" s="373"/>
      <c r="K991" s="373"/>
      <c r="L991" s="373"/>
      <c r="M991" s="373"/>
      <c r="N991" s="373"/>
      <c r="O991" s="373"/>
      <c r="P991" s="373"/>
      <c r="Q991" s="373"/>
      <c r="R991" s="373"/>
      <c r="S991" s="373"/>
      <c r="T991" s="373"/>
      <c r="U991" s="373"/>
      <c r="V991" s="373"/>
      <c r="W991" s="373"/>
      <c r="X991" s="373"/>
    </row>
    <row r="992" spans="1:24" ht="18" x14ac:dyDescent="0.55000000000000004">
      <c r="A992" s="373"/>
      <c r="B992" s="373"/>
      <c r="C992" s="373"/>
      <c r="D992" s="373"/>
      <c r="E992" s="373"/>
      <c r="F992" s="373"/>
      <c r="G992" s="373"/>
      <c r="H992" s="373"/>
      <c r="I992" s="373"/>
      <c r="J992" s="373"/>
      <c r="K992" s="373"/>
      <c r="L992" s="373"/>
      <c r="M992" s="373"/>
      <c r="N992" s="373"/>
      <c r="O992" s="373"/>
      <c r="P992" s="373"/>
      <c r="Q992" s="373"/>
      <c r="R992" s="373"/>
      <c r="S992" s="373"/>
      <c r="T992" s="373"/>
      <c r="U992" s="373"/>
      <c r="V992" s="373"/>
      <c r="W992" s="373"/>
      <c r="X992" s="373"/>
    </row>
    <row r="993" spans="1:24" ht="18" x14ac:dyDescent="0.55000000000000004">
      <c r="A993" s="373"/>
      <c r="B993" s="373"/>
      <c r="C993" s="373"/>
      <c r="D993" s="373"/>
      <c r="E993" s="373"/>
      <c r="F993" s="373"/>
      <c r="G993" s="373"/>
      <c r="H993" s="373"/>
      <c r="I993" s="373"/>
      <c r="J993" s="373"/>
      <c r="K993" s="373"/>
      <c r="L993" s="373"/>
      <c r="M993" s="373"/>
      <c r="N993" s="373"/>
      <c r="O993" s="373"/>
      <c r="P993" s="373"/>
      <c r="Q993" s="373"/>
      <c r="R993" s="373"/>
      <c r="S993" s="373"/>
      <c r="T993" s="373"/>
      <c r="U993" s="373"/>
      <c r="V993" s="373"/>
      <c r="W993" s="373"/>
      <c r="X993" s="373"/>
    </row>
    <row r="994" spans="1:24" ht="18" x14ac:dyDescent="0.55000000000000004">
      <c r="A994" s="373"/>
      <c r="B994" s="373"/>
      <c r="C994" s="373"/>
      <c r="D994" s="373"/>
      <c r="E994" s="373"/>
      <c r="F994" s="373"/>
      <c r="G994" s="373"/>
      <c r="H994" s="373"/>
      <c r="I994" s="373"/>
      <c r="J994" s="373"/>
      <c r="K994" s="373"/>
      <c r="L994" s="373"/>
      <c r="M994" s="373"/>
      <c r="N994" s="373"/>
      <c r="O994" s="373"/>
      <c r="P994" s="373"/>
      <c r="Q994" s="373"/>
      <c r="R994" s="373"/>
      <c r="S994" s="373"/>
      <c r="T994" s="373"/>
      <c r="U994" s="373"/>
      <c r="V994" s="373"/>
      <c r="W994" s="373"/>
      <c r="X994" s="373"/>
    </row>
    <row r="995" spans="1:24" ht="18" x14ac:dyDescent="0.55000000000000004">
      <c r="A995" s="373"/>
      <c r="B995" s="373"/>
      <c r="C995" s="373"/>
      <c r="D995" s="373"/>
      <c r="E995" s="373"/>
      <c r="F995" s="373"/>
      <c r="G995" s="373"/>
      <c r="H995" s="373"/>
      <c r="I995" s="373"/>
      <c r="J995" s="373"/>
      <c r="K995" s="373"/>
      <c r="L995" s="373"/>
      <c r="M995" s="373"/>
      <c r="N995" s="373"/>
      <c r="O995" s="373"/>
      <c r="P995" s="373"/>
      <c r="Q995" s="373"/>
      <c r="R995" s="373"/>
      <c r="S995" s="373"/>
      <c r="T995" s="373"/>
      <c r="U995" s="373"/>
      <c r="V995" s="373"/>
      <c r="W995" s="373"/>
      <c r="X995" s="373"/>
    </row>
    <row r="996" spans="1:24" ht="18" x14ac:dyDescent="0.55000000000000004">
      <c r="A996" s="373"/>
      <c r="B996" s="373"/>
      <c r="C996" s="373"/>
      <c r="D996" s="373"/>
      <c r="E996" s="373"/>
      <c r="F996" s="373"/>
      <c r="G996" s="373"/>
      <c r="H996" s="373"/>
      <c r="I996" s="373"/>
      <c r="J996" s="373"/>
      <c r="K996" s="373"/>
      <c r="L996" s="373"/>
      <c r="M996" s="373"/>
      <c r="N996" s="373"/>
      <c r="O996" s="373"/>
      <c r="P996" s="373"/>
      <c r="Q996" s="373"/>
      <c r="R996" s="373"/>
      <c r="S996" s="373"/>
      <c r="T996" s="373"/>
      <c r="U996" s="373"/>
      <c r="V996" s="373"/>
      <c r="W996" s="373"/>
      <c r="X996" s="373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outlinePr summaryBelow="0" summaryRight="0"/>
  </sheetPr>
  <dimension ref="A1:Z1000"/>
  <sheetViews>
    <sheetView workbookViewId="0"/>
  </sheetViews>
  <sheetFormatPr defaultColWidth="14.42578125" defaultRowHeight="15.75" customHeight="1" x14ac:dyDescent="0.4"/>
  <cols>
    <col min="1" max="1" width="11.5703125" customWidth="1"/>
    <col min="2" max="2" width="11.7109375" customWidth="1"/>
    <col min="3" max="3" width="13.5703125" customWidth="1"/>
    <col min="4" max="4" width="13.85546875" customWidth="1"/>
    <col min="5" max="5" width="11.5703125" customWidth="1"/>
    <col min="6" max="6" width="10.140625" customWidth="1"/>
  </cols>
  <sheetData>
    <row r="1" spans="1:26" ht="15.75" customHeight="1" x14ac:dyDescent="0.4">
      <c r="A1" s="1" t="s">
        <v>2705</v>
      </c>
      <c r="B1" s="1" t="s">
        <v>467</v>
      </c>
      <c r="C1" s="1" t="s">
        <v>2706</v>
      </c>
      <c r="D1" s="405" t="s">
        <v>468</v>
      </c>
      <c r="E1" s="1" t="s">
        <v>2707</v>
      </c>
      <c r="F1" s="1" t="s">
        <v>2708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4">
      <c r="A2" s="406">
        <v>44652</v>
      </c>
      <c r="B2" s="19" t="e">
        <f>SUM(#REF!)</f>
        <v>#REF!</v>
      </c>
      <c r="C2" s="19" t="e">
        <f>SUM(E2:F2)</f>
        <v>#REF!</v>
      </c>
      <c r="D2" s="407" t="e">
        <f>C2/B2</f>
        <v>#REF!</v>
      </c>
      <c r="E2" s="19" t="e">
        <f>SUM(#REF!)</f>
        <v>#REF!</v>
      </c>
      <c r="F2" s="19" t="e">
        <f>SUM(#REF!)</f>
        <v>#REF!</v>
      </c>
    </row>
    <row r="3" spans="1:26" ht="15.75" customHeight="1" x14ac:dyDescent="0.4">
      <c r="D3" s="266"/>
    </row>
    <row r="4" spans="1:26" ht="15.75" customHeight="1" x14ac:dyDescent="0.4">
      <c r="D4" s="266"/>
    </row>
    <row r="5" spans="1:26" ht="15.75" customHeight="1" x14ac:dyDescent="0.4">
      <c r="D5" s="266"/>
    </row>
    <row r="6" spans="1:26" ht="15.75" customHeight="1" x14ac:dyDescent="0.4">
      <c r="D6" s="266"/>
    </row>
    <row r="7" spans="1:26" ht="15.75" customHeight="1" x14ac:dyDescent="0.4">
      <c r="D7" s="266"/>
    </row>
    <row r="8" spans="1:26" ht="15.75" customHeight="1" x14ac:dyDescent="0.4">
      <c r="D8" s="266"/>
    </row>
    <row r="9" spans="1:26" ht="15.75" customHeight="1" x14ac:dyDescent="0.4">
      <c r="D9" s="266"/>
    </row>
    <row r="10" spans="1:26" ht="15.75" customHeight="1" x14ac:dyDescent="0.4">
      <c r="D10" s="266"/>
    </row>
    <row r="11" spans="1:26" ht="15.75" customHeight="1" x14ac:dyDescent="0.4">
      <c r="D11" s="266"/>
    </row>
    <row r="12" spans="1:26" ht="15.75" customHeight="1" x14ac:dyDescent="0.4">
      <c r="D12" s="266"/>
    </row>
    <row r="13" spans="1:26" ht="15.75" customHeight="1" x14ac:dyDescent="0.4">
      <c r="D13" s="266"/>
    </row>
    <row r="14" spans="1:26" ht="15.75" customHeight="1" x14ac:dyDescent="0.4">
      <c r="D14" s="266"/>
    </row>
    <row r="15" spans="1:26" ht="15.75" customHeight="1" x14ac:dyDescent="0.4">
      <c r="D15" s="266"/>
    </row>
    <row r="16" spans="1:26" ht="15.75" customHeight="1" x14ac:dyDescent="0.4">
      <c r="D16" s="266"/>
    </row>
    <row r="17" spans="4:4" ht="15.75" customHeight="1" x14ac:dyDescent="0.4">
      <c r="D17" s="266"/>
    </row>
    <row r="18" spans="4:4" ht="15.75" customHeight="1" x14ac:dyDescent="0.4">
      <c r="D18" s="266"/>
    </row>
    <row r="19" spans="4:4" ht="15.75" customHeight="1" x14ac:dyDescent="0.4">
      <c r="D19" s="266"/>
    </row>
    <row r="20" spans="4:4" ht="15.75" customHeight="1" x14ac:dyDescent="0.4">
      <c r="D20" s="266"/>
    </row>
    <row r="21" spans="4:4" ht="15.75" customHeight="1" x14ac:dyDescent="0.4">
      <c r="D21" s="266"/>
    </row>
    <row r="22" spans="4:4" ht="15.75" customHeight="1" x14ac:dyDescent="0.4">
      <c r="D22" s="266"/>
    </row>
    <row r="23" spans="4:4" ht="15.75" customHeight="1" x14ac:dyDescent="0.4">
      <c r="D23" s="266"/>
    </row>
    <row r="24" spans="4:4" ht="15.75" customHeight="1" x14ac:dyDescent="0.4">
      <c r="D24" s="266"/>
    </row>
    <row r="25" spans="4:4" ht="15.75" customHeight="1" x14ac:dyDescent="0.4">
      <c r="D25" s="266"/>
    </row>
    <row r="26" spans="4:4" ht="15.75" customHeight="1" x14ac:dyDescent="0.4">
      <c r="D26" s="266"/>
    </row>
    <row r="27" spans="4:4" ht="15.75" customHeight="1" x14ac:dyDescent="0.4">
      <c r="D27" s="266"/>
    </row>
    <row r="28" spans="4:4" ht="15.75" customHeight="1" x14ac:dyDescent="0.4">
      <c r="D28" s="266"/>
    </row>
    <row r="29" spans="4:4" ht="15.75" customHeight="1" x14ac:dyDescent="0.4">
      <c r="D29" s="266"/>
    </row>
    <row r="30" spans="4:4" ht="13.15" x14ac:dyDescent="0.4">
      <c r="D30" s="266"/>
    </row>
    <row r="31" spans="4:4" ht="13.15" x14ac:dyDescent="0.4">
      <c r="D31" s="266"/>
    </row>
    <row r="32" spans="4:4" ht="13.15" x14ac:dyDescent="0.4">
      <c r="D32" s="266"/>
    </row>
    <row r="33" spans="4:4" ht="13.15" x14ac:dyDescent="0.4">
      <c r="D33" s="266"/>
    </row>
    <row r="34" spans="4:4" ht="13.15" x14ac:dyDescent="0.4">
      <c r="D34" s="266"/>
    </row>
    <row r="35" spans="4:4" ht="13.15" x14ac:dyDescent="0.4">
      <c r="D35" s="266"/>
    </row>
    <row r="36" spans="4:4" ht="13.15" x14ac:dyDescent="0.4">
      <c r="D36" s="266"/>
    </row>
    <row r="37" spans="4:4" ht="13.15" x14ac:dyDescent="0.4">
      <c r="D37" s="266"/>
    </row>
    <row r="38" spans="4:4" ht="13.15" x14ac:dyDescent="0.4">
      <c r="D38" s="266"/>
    </row>
    <row r="39" spans="4:4" ht="13.15" x14ac:dyDescent="0.4">
      <c r="D39" s="266"/>
    </row>
    <row r="40" spans="4:4" ht="13.15" x14ac:dyDescent="0.4">
      <c r="D40" s="266"/>
    </row>
    <row r="41" spans="4:4" ht="13.15" x14ac:dyDescent="0.4">
      <c r="D41" s="266"/>
    </row>
    <row r="42" spans="4:4" ht="13.15" x14ac:dyDescent="0.4">
      <c r="D42" s="266"/>
    </row>
    <row r="43" spans="4:4" ht="13.15" x14ac:dyDescent="0.4">
      <c r="D43" s="266"/>
    </row>
    <row r="44" spans="4:4" ht="13.15" x14ac:dyDescent="0.4">
      <c r="D44" s="266"/>
    </row>
    <row r="45" spans="4:4" ht="13.15" x14ac:dyDescent="0.4">
      <c r="D45" s="266"/>
    </row>
    <row r="46" spans="4:4" ht="13.15" x14ac:dyDescent="0.4">
      <c r="D46" s="266"/>
    </row>
    <row r="47" spans="4:4" ht="13.15" x14ac:dyDescent="0.4">
      <c r="D47" s="266"/>
    </row>
    <row r="48" spans="4:4" ht="13.15" x14ac:dyDescent="0.4">
      <c r="D48" s="266"/>
    </row>
    <row r="49" spans="4:4" ht="13.15" x14ac:dyDescent="0.4">
      <c r="D49" s="266"/>
    </row>
    <row r="50" spans="4:4" ht="13.15" x14ac:dyDescent="0.4">
      <c r="D50" s="266"/>
    </row>
    <row r="51" spans="4:4" ht="13.15" x14ac:dyDescent="0.4">
      <c r="D51" s="266"/>
    </row>
    <row r="52" spans="4:4" ht="13.15" x14ac:dyDescent="0.4">
      <c r="D52" s="266"/>
    </row>
    <row r="53" spans="4:4" ht="13.15" x14ac:dyDescent="0.4">
      <c r="D53" s="266"/>
    </row>
    <row r="54" spans="4:4" ht="13.15" x14ac:dyDescent="0.4">
      <c r="D54" s="266"/>
    </row>
    <row r="55" spans="4:4" ht="13.15" x14ac:dyDescent="0.4">
      <c r="D55" s="266"/>
    </row>
    <row r="56" spans="4:4" ht="13.15" x14ac:dyDescent="0.4">
      <c r="D56" s="266"/>
    </row>
    <row r="57" spans="4:4" ht="13.15" x14ac:dyDescent="0.4">
      <c r="D57" s="266"/>
    </row>
    <row r="58" spans="4:4" ht="13.15" x14ac:dyDescent="0.4">
      <c r="D58" s="266"/>
    </row>
    <row r="59" spans="4:4" ht="13.15" x14ac:dyDescent="0.4">
      <c r="D59" s="266"/>
    </row>
    <row r="60" spans="4:4" ht="13.15" x14ac:dyDescent="0.4">
      <c r="D60" s="266"/>
    </row>
    <row r="61" spans="4:4" ht="13.15" x14ac:dyDescent="0.4">
      <c r="D61" s="266"/>
    </row>
    <row r="62" spans="4:4" ht="13.15" x14ac:dyDescent="0.4">
      <c r="D62" s="266"/>
    </row>
    <row r="63" spans="4:4" ht="13.15" x14ac:dyDescent="0.4">
      <c r="D63" s="266"/>
    </row>
    <row r="64" spans="4:4" ht="13.15" x14ac:dyDescent="0.4">
      <c r="D64" s="266"/>
    </row>
    <row r="65" spans="4:4" ht="13.15" x14ac:dyDescent="0.4">
      <c r="D65" s="266"/>
    </row>
    <row r="66" spans="4:4" ht="13.15" x14ac:dyDescent="0.4">
      <c r="D66" s="266"/>
    </row>
    <row r="67" spans="4:4" ht="13.15" x14ac:dyDescent="0.4">
      <c r="D67" s="266"/>
    </row>
    <row r="68" spans="4:4" ht="13.15" x14ac:dyDescent="0.4">
      <c r="D68" s="266"/>
    </row>
    <row r="69" spans="4:4" ht="13.15" x14ac:dyDescent="0.4">
      <c r="D69" s="266"/>
    </row>
    <row r="70" spans="4:4" ht="13.15" x14ac:dyDescent="0.4">
      <c r="D70" s="266"/>
    </row>
    <row r="71" spans="4:4" ht="13.15" x14ac:dyDescent="0.4">
      <c r="D71" s="266"/>
    </row>
    <row r="72" spans="4:4" ht="13.15" x14ac:dyDescent="0.4">
      <c r="D72" s="266"/>
    </row>
    <row r="73" spans="4:4" ht="13.15" x14ac:dyDescent="0.4">
      <c r="D73" s="266"/>
    </row>
    <row r="74" spans="4:4" ht="13.15" x14ac:dyDescent="0.4">
      <c r="D74" s="266"/>
    </row>
    <row r="75" spans="4:4" ht="13.15" x14ac:dyDescent="0.4">
      <c r="D75" s="266"/>
    </row>
    <row r="76" spans="4:4" ht="13.15" x14ac:dyDescent="0.4">
      <c r="D76" s="266"/>
    </row>
    <row r="77" spans="4:4" ht="13.15" x14ac:dyDescent="0.4">
      <c r="D77" s="266"/>
    </row>
    <row r="78" spans="4:4" ht="13.15" x14ac:dyDescent="0.4">
      <c r="D78" s="266"/>
    </row>
    <row r="79" spans="4:4" ht="13.15" x14ac:dyDescent="0.4">
      <c r="D79" s="266"/>
    </row>
    <row r="80" spans="4:4" ht="13.15" x14ac:dyDescent="0.4">
      <c r="D80" s="266"/>
    </row>
    <row r="81" spans="4:4" ht="13.15" x14ac:dyDescent="0.4">
      <c r="D81" s="266"/>
    </row>
    <row r="82" spans="4:4" ht="13.15" x14ac:dyDescent="0.4">
      <c r="D82" s="266"/>
    </row>
    <row r="83" spans="4:4" ht="13.15" x14ac:dyDescent="0.4">
      <c r="D83" s="266"/>
    </row>
    <row r="84" spans="4:4" ht="13.15" x14ac:dyDescent="0.4">
      <c r="D84" s="266"/>
    </row>
    <row r="85" spans="4:4" ht="13.15" x14ac:dyDescent="0.4">
      <c r="D85" s="266"/>
    </row>
    <row r="86" spans="4:4" ht="13.15" x14ac:dyDescent="0.4">
      <c r="D86" s="266"/>
    </row>
    <row r="87" spans="4:4" ht="13.15" x14ac:dyDescent="0.4">
      <c r="D87" s="266"/>
    </row>
    <row r="88" spans="4:4" ht="13.15" x14ac:dyDescent="0.4">
      <c r="D88" s="266"/>
    </row>
    <row r="89" spans="4:4" ht="13.15" x14ac:dyDescent="0.4">
      <c r="D89" s="266"/>
    </row>
    <row r="90" spans="4:4" ht="13.15" x14ac:dyDescent="0.4">
      <c r="D90" s="266"/>
    </row>
    <row r="91" spans="4:4" ht="13.15" x14ac:dyDescent="0.4">
      <c r="D91" s="266"/>
    </row>
    <row r="92" spans="4:4" ht="13.15" x14ac:dyDescent="0.4">
      <c r="D92" s="266"/>
    </row>
    <row r="93" spans="4:4" ht="13.15" x14ac:dyDescent="0.4">
      <c r="D93" s="266"/>
    </row>
    <row r="94" spans="4:4" ht="13.15" x14ac:dyDescent="0.4">
      <c r="D94" s="266"/>
    </row>
    <row r="95" spans="4:4" ht="13.15" x14ac:dyDescent="0.4">
      <c r="D95" s="266"/>
    </row>
    <row r="96" spans="4:4" ht="13.15" x14ac:dyDescent="0.4">
      <c r="D96" s="266"/>
    </row>
    <row r="97" spans="4:4" ht="13.15" x14ac:dyDescent="0.4">
      <c r="D97" s="266"/>
    </row>
    <row r="98" spans="4:4" ht="13.15" x14ac:dyDescent="0.4">
      <c r="D98" s="266"/>
    </row>
    <row r="99" spans="4:4" ht="13.15" x14ac:dyDescent="0.4">
      <c r="D99" s="266"/>
    </row>
    <row r="100" spans="4:4" ht="13.15" x14ac:dyDescent="0.4">
      <c r="D100" s="266"/>
    </row>
    <row r="101" spans="4:4" ht="13.15" x14ac:dyDescent="0.4">
      <c r="D101" s="266"/>
    </row>
    <row r="102" spans="4:4" ht="13.15" x14ac:dyDescent="0.4">
      <c r="D102" s="266"/>
    </row>
    <row r="103" spans="4:4" ht="13.15" x14ac:dyDescent="0.4">
      <c r="D103" s="266"/>
    </row>
    <row r="104" spans="4:4" ht="13.15" x14ac:dyDescent="0.4">
      <c r="D104" s="266"/>
    </row>
    <row r="105" spans="4:4" ht="13.15" x14ac:dyDescent="0.4">
      <c r="D105" s="266"/>
    </row>
    <row r="106" spans="4:4" ht="13.15" x14ac:dyDescent="0.4">
      <c r="D106" s="266"/>
    </row>
    <row r="107" spans="4:4" ht="13.15" x14ac:dyDescent="0.4">
      <c r="D107" s="266"/>
    </row>
    <row r="108" spans="4:4" ht="13.15" x14ac:dyDescent="0.4">
      <c r="D108" s="266"/>
    </row>
    <row r="109" spans="4:4" ht="13.15" x14ac:dyDescent="0.4">
      <c r="D109" s="266"/>
    </row>
    <row r="110" spans="4:4" ht="13.15" x14ac:dyDescent="0.4">
      <c r="D110" s="266"/>
    </row>
    <row r="111" spans="4:4" ht="13.15" x14ac:dyDescent="0.4">
      <c r="D111" s="266"/>
    </row>
    <row r="112" spans="4:4" ht="13.15" x14ac:dyDescent="0.4">
      <c r="D112" s="266"/>
    </row>
    <row r="113" spans="4:4" ht="13.15" x14ac:dyDescent="0.4">
      <c r="D113" s="266"/>
    </row>
    <row r="114" spans="4:4" ht="13.15" x14ac:dyDescent="0.4">
      <c r="D114" s="266"/>
    </row>
    <row r="115" spans="4:4" ht="13.15" x14ac:dyDescent="0.4">
      <c r="D115" s="266"/>
    </row>
    <row r="116" spans="4:4" ht="13.15" x14ac:dyDescent="0.4">
      <c r="D116" s="266"/>
    </row>
    <row r="117" spans="4:4" ht="13.15" x14ac:dyDescent="0.4">
      <c r="D117" s="266"/>
    </row>
    <row r="118" spans="4:4" ht="13.15" x14ac:dyDescent="0.4">
      <c r="D118" s="266"/>
    </row>
    <row r="119" spans="4:4" ht="13.15" x14ac:dyDescent="0.4">
      <c r="D119" s="266"/>
    </row>
    <row r="120" spans="4:4" ht="13.15" x14ac:dyDescent="0.4">
      <c r="D120" s="266"/>
    </row>
    <row r="121" spans="4:4" ht="13.15" x14ac:dyDescent="0.4">
      <c r="D121" s="266"/>
    </row>
    <row r="122" spans="4:4" ht="13.15" x14ac:dyDescent="0.4">
      <c r="D122" s="266"/>
    </row>
    <row r="123" spans="4:4" ht="13.15" x14ac:dyDescent="0.4">
      <c r="D123" s="266"/>
    </row>
    <row r="124" spans="4:4" ht="13.15" x14ac:dyDescent="0.4">
      <c r="D124" s="266"/>
    </row>
    <row r="125" spans="4:4" ht="13.15" x14ac:dyDescent="0.4">
      <c r="D125" s="266"/>
    </row>
    <row r="126" spans="4:4" ht="13.15" x14ac:dyDescent="0.4">
      <c r="D126" s="266"/>
    </row>
    <row r="127" spans="4:4" ht="13.15" x14ac:dyDescent="0.4">
      <c r="D127" s="266"/>
    </row>
    <row r="128" spans="4:4" ht="13.15" x14ac:dyDescent="0.4">
      <c r="D128" s="266"/>
    </row>
    <row r="129" spans="4:4" ht="13.15" x14ac:dyDescent="0.4">
      <c r="D129" s="266"/>
    </row>
    <row r="130" spans="4:4" ht="13.15" x14ac:dyDescent="0.4">
      <c r="D130" s="266"/>
    </row>
    <row r="131" spans="4:4" ht="13.15" x14ac:dyDescent="0.4">
      <c r="D131" s="266"/>
    </row>
    <row r="132" spans="4:4" ht="13.15" x14ac:dyDescent="0.4">
      <c r="D132" s="266"/>
    </row>
    <row r="133" spans="4:4" ht="13.15" x14ac:dyDescent="0.4">
      <c r="D133" s="266"/>
    </row>
    <row r="134" spans="4:4" ht="13.15" x14ac:dyDescent="0.4">
      <c r="D134" s="266"/>
    </row>
    <row r="135" spans="4:4" ht="13.15" x14ac:dyDescent="0.4">
      <c r="D135" s="266"/>
    </row>
    <row r="136" spans="4:4" ht="13.15" x14ac:dyDescent="0.4">
      <c r="D136" s="266"/>
    </row>
    <row r="137" spans="4:4" ht="13.15" x14ac:dyDescent="0.4">
      <c r="D137" s="266"/>
    </row>
    <row r="138" spans="4:4" ht="13.15" x14ac:dyDescent="0.4">
      <c r="D138" s="266"/>
    </row>
    <row r="139" spans="4:4" ht="13.15" x14ac:dyDescent="0.4">
      <c r="D139" s="266"/>
    </row>
    <row r="140" spans="4:4" ht="13.15" x14ac:dyDescent="0.4">
      <c r="D140" s="266"/>
    </row>
    <row r="141" spans="4:4" ht="13.15" x14ac:dyDescent="0.4">
      <c r="D141" s="266"/>
    </row>
    <row r="142" spans="4:4" ht="13.15" x14ac:dyDescent="0.4">
      <c r="D142" s="266"/>
    </row>
    <row r="143" spans="4:4" ht="13.15" x14ac:dyDescent="0.4">
      <c r="D143" s="266"/>
    </row>
    <row r="144" spans="4:4" ht="13.15" x14ac:dyDescent="0.4">
      <c r="D144" s="266"/>
    </row>
    <row r="145" spans="4:4" ht="13.15" x14ac:dyDescent="0.4">
      <c r="D145" s="266"/>
    </row>
    <row r="146" spans="4:4" ht="13.15" x14ac:dyDescent="0.4">
      <c r="D146" s="266"/>
    </row>
    <row r="147" spans="4:4" ht="13.15" x14ac:dyDescent="0.4">
      <c r="D147" s="266"/>
    </row>
    <row r="148" spans="4:4" ht="13.15" x14ac:dyDescent="0.4">
      <c r="D148" s="266"/>
    </row>
    <row r="149" spans="4:4" ht="13.15" x14ac:dyDescent="0.4">
      <c r="D149" s="266"/>
    </row>
    <row r="150" spans="4:4" ht="13.15" x14ac:dyDescent="0.4">
      <c r="D150" s="266"/>
    </row>
    <row r="151" spans="4:4" ht="13.15" x14ac:dyDescent="0.4">
      <c r="D151" s="266"/>
    </row>
    <row r="152" spans="4:4" ht="13.15" x14ac:dyDescent="0.4">
      <c r="D152" s="266"/>
    </row>
    <row r="153" spans="4:4" ht="13.15" x14ac:dyDescent="0.4">
      <c r="D153" s="266"/>
    </row>
    <row r="154" spans="4:4" ht="13.15" x14ac:dyDescent="0.4">
      <c r="D154" s="266"/>
    </row>
    <row r="155" spans="4:4" ht="13.15" x14ac:dyDescent="0.4">
      <c r="D155" s="266"/>
    </row>
    <row r="156" spans="4:4" ht="13.15" x14ac:dyDescent="0.4">
      <c r="D156" s="266"/>
    </row>
    <row r="157" spans="4:4" ht="13.15" x14ac:dyDescent="0.4">
      <c r="D157" s="266"/>
    </row>
    <row r="158" spans="4:4" ht="13.15" x14ac:dyDescent="0.4">
      <c r="D158" s="266"/>
    </row>
    <row r="159" spans="4:4" ht="13.15" x14ac:dyDescent="0.4">
      <c r="D159" s="266"/>
    </row>
    <row r="160" spans="4:4" ht="13.15" x14ac:dyDescent="0.4">
      <c r="D160" s="266"/>
    </row>
    <row r="161" spans="4:4" ht="13.15" x14ac:dyDescent="0.4">
      <c r="D161" s="266"/>
    </row>
    <row r="162" spans="4:4" ht="13.15" x14ac:dyDescent="0.4">
      <c r="D162" s="266"/>
    </row>
    <row r="163" spans="4:4" ht="13.15" x14ac:dyDescent="0.4">
      <c r="D163" s="266"/>
    </row>
    <row r="164" spans="4:4" ht="13.15" x14ac:dyDescent="0.4">
      <c r="D164" s="266"/>
    </row>
    <row r="165" spans="4:4" ht="13.15" x14ac:dyDescent="0.4">
      <c r="D165" s="266"/>
    </row>
    <row r="166" spans="4:4" ht="13.15" x14ac:dyDescent="0.4">
      <c r="D166" s="266"/>
    </row>
    <row r="167" spans="4:4" ht="13.15" x14ac:dyDescent="0.4">
      <c r="D167" s="266"/>
    </row>
    <row r="168" spans="4:4" ht="13.15" x14ac:dyDescent="0.4">
      <c r="D168" s="266"/>
    </row>
    <row r="169" spans="4:4" ht="13.15" x14ac:dyDescent="0.4">
      <c r="D169" s="266"/>
    </row>
    <row r="170" spans="4:4" ht="13.15" x14ac:dyDescent="0.4">
      <c r="D170" s="266"/>
    </row>
    <row r="171" spans="4:4" ht="13.15" x14ac:dyDescent="0.4">
      <c r="D171" s="266"/>
    </row>
    <row r="172" spans="4:4" ht="13.15" x14ac:dyDescent="0.4">
      <c r="D172" s="266"/>
    </row>
    <row r="173" spans="4:4" ht="13.15" x14ac:dyDescent="0.4">
      <c r="D173" s="266"/>
    </row>
    <row r="174" spans="4:4" ht="13.15" x14ac:dyDescent="0.4">
      <c r="D174" s="266"/>
    </row>
    <row r="175" spans="4:4" ht="13.15" x14ac:dyDescent="0.4">
      <c r="D175" s="266"/>
    </row>
    <row r="176" spans="4:4" ht="13.15" x14ac:dyDescent="0.4">
      <c r="D176" s="266"/>
    </row>
    <row r="177" spans="4:4" ht="13.15" x14ac:dyDescent="0.4">
      <c r="D177" s="266"/>
    </row>
    <row r="178" spans="4:4" ht="13.15" x14ac:dyDescent="0.4">
      <c r="D178" s="266"/>
    </row>
    <row r="179" spans="4:4" ht="13.15" x14ac:dyDescent="0.4">
      <c r="D179" s="266"/>
    </row>
    <row r="180" spans="4:4" ht="13.15" x14ac:dyDescent="0.4">
      <c r="D180" s="266"/>
    </row>
    <row r="181" spans="4:4" ht="13.15" x14ac:dyDescent="0.4">
      <c r="D181" s="266"/>
    </row>
    <row r="182" spans="4:4" ht="13.15" x14ac:dyDescent="0.4">
      <c r="D182" s="266"/>
    </row>
    <row r="183" spans="4:4" ht="13.15" x14ac:dyDescent="0.4">
      <c r="D183" s="266"/>
    </row>
    <row r="184" spans="4:4" ht="13.15" x14ac:dyDescent="0.4">
      <c r="D184" s="266"/>
    </row>
    <row r="185" spans="4:4" ht="13.15" x14ac:dyDescent="0.4">
      <c r="D185" s="266"/>
    </row>
    <row r="186" spans="4:4" ht="13.15" x14ac:dyDescent="0.4">
      <c r="D186" s="266"/>
    </row>
    <row r="187" spans="4:4" ht="13.15" x14ac:dyDescent="0.4">
      <c r="D187" s="266"/>
    </row>
    <row r="188" spans="4:4" ht="13.15" x14ac:dyDescent="0.4">
      <c r="D188" s="266"/>
    </row>
    <row r="189" spans="4:4" ht="13.15" x14ac:dyDescent="0.4">
      <c r="D189" s="266"/>
    </row>
    <row r="190" spans="4:4" ht="13.15" x14ac:dyDescent="0.4">
      <c r="D190" s="266"/>
    </row>
    <row r="191" spans="4:4" ht="13.15" x14ac:dyDescent="0.4">
      <c r="D191" s="266"/>
    </row>
    <row r="192" spans="4:4" ht="13.15" x14ac:dyDescent="0.4">
      <c r="D192" s="266"/>
    </row>
    <row r="193" spans="4:4" ht="13.15" x14ac:dyDescent="0.4">
      <c r="D193" s="266"/>
    </row>
    <row r="194" spans="4:4" ht="13.15" x14ac:dyDescent="0.4">
      <c r="D194" s="266"/>
    </row>
    <row r="195" spans="4:4" ht="13.15" x14ac:dyDescent="0.4">
      <c r="D195" s="266"/>
    </row>
    <row r="196" spans="4:4" ht="13.15" x14ac:dyDescent="0.4">
      <c r="D196" s="266"/>
    </row>
    <row r="197" spans="4:4" ht="13.15" x14ac:dyDescent="0.4">
      <c r="D197" s="266"/>
    </row>
    <row r="198" spans="4:4" ht="13.15" x14ac:dyDescent="0.4">
      <c r="D198" s="266"/>
    </row>
    <row r="199" spans="4:4" ht="13.15" x14ac:dyDescent="0.4">
      <c r="D199" s="266"/>
    </row>
    <row r="200" spans="4:4" ht="13.15" x14ac:dyDescent="0.4">
      <c r="D200" s="266"/>
    </row>
    <row r="201" spans="4:4" ht="13.15" x14ac:dyDescent="0.4">
      <c r="D201" s="266"/>
    </row>
    <row r="202" spans="4:4" ht="13.15" x14ac:dyDescent="0.4">
      <c r="D202" s="266"/>
    </row>
    <row r="203" spans="4:4" ht="13.15" x14ac:dyDescent="0.4">
      <c r="D203" s="266"/>
    </row>
    <row r="204" spans="4:4" ht="13.15" x14ac:dyDescent="0.4">
      <c r="D204" s="266"/>
    </row>
    <row r="205" spans="4:4" ht="13.15" x14ac:dyDescent="0.4">
      <c r="D205" s="266"/>
    </row>
    <row r="206" spans="4:4" ht="13.15" x14ac:dyDescent="0.4">
      <c r="D206" s="266"/>
    </row>
    <row r="207" spans="4:4" ht="13.15" x14ac:dyDescent="0.4">
      <c r="D207" s="266"/>
    </row>
    <row r="208" spans="4:4" ht="13.15" x14ac:dyDescent="0.4">
      <c r="D208" s="266"/>
    </row>
    <row r="209" spans="4:4" ht="13.15" x14ac:dyDescent="0.4">
      <c r="D209" s="266"/>
    </row>
    <row r="210" spans="4:4" ht="13.15" x14ac:dyDescent="0.4">
      <c r="D210" s="266"/>
    </row>
    <row r="211" spans="4:4" ht="13.15" x14ac:dyDescent="0.4">
      <c r="D211" s="266"/>
    </row>
    <row r="212" spans="4:4" ht="13.15" x14ac:dyDescent="0.4">
      <c r="D212" s="266"/>
    </row>
    <row r="213" spans="4:4" ht="13.15" x14ac:dyDescent="0.4">
      <c r="D213" s="266"/>
    </row>
    <row r="214" spans="4:4" ht="13.15" x14ac:dyDescent="0.4">
      <c r="D214" s="266"/>
    </row>
    <row r="215" spans="4:4" ht="13.15" x14ac:dyDescent="0.4">
      <c r="D215" s="266"/>
    </row>
    <row r="216" spans="4:4" ht="13.15" x14ac:dyDescent="0.4">
      <c r="D216" s="266"/>
    </row>
    <row r="217" spans="4:4" ht="13.15" x14ac:dyDescent="0.4">
      <c r="D217" s="266"/>
    </row>
    <row r="218" spans="4:4" ht="13.15" x14ac:dyDescent="0.4">
      <c r="D218" s="266"/>
    </row>
    <row r="219" spans="4:4" ht="13.15" x14ac:dyDescent="0.4">
      <c r="D219" s="266"/>
    </row>
    <row r="220" spans="4:4" ht="13.15" x14ac:dyDescent="0.4">
      <c r="D220" s="266"/>
    </row>
    <row r="221" spans="4:4" ht="13.15" x14ac:dyDescent="0.4">
      <c r="D221" s="266"/>
    </row>
    <row r="222" spans="4:4" ht="13.15" x14ac:dyDescent="0.4">
      <c r="D222" s="266"/>
    </row>
    <row r="223" spans="4:4" ht="13.15" x14ac:dyDescent="0.4">
      <c r="D223" s="266"/>
    </row>
    <row r="224" spans="4:4" ht="13.15" x14ac:dyDescent="0.4">
      <c r="D224" s="266"/>
    </row>
    <row r="225" spans="4:4" ht="13.15" x14ac:dyDescent="0.4">
      <c r="D225" s="266"/>
    </row>
    <row r="226" spans="4:4" ht="13.15" x14ac:dyDescent="0.4">
      <c r="D226" s="266"/>
    </row>
    <row r="227" spans="4:4" ht="13.15" x14ac:dyDescent="0.4">
      <c r="D227" s="266"/>
    </row>
    <row r="228" spans="4:4" ht="13.15" x14ac:dyDescent="0.4">
      <c r="D228" s="266"/>
    </row>
    <row r="229" spans="4:4" ht="13.15" x14ac:dyDescent="0.4">
      <c r="D229" s="266"/>
    </row>
    <row r="230" spans="4:4" ht="13.15" x14ac:dyDescent="0.4">
      <c r="D230" s="266"/>
    </row>
    <row r="231" spans="4:4" ht="13.15" x14ac:dyDescent="0.4">
      <c r="D231" s="266"/>
    </row>
    <row r="232" spans="4:4" ht="13.15" x14ac:dyDescent="0.4">
      <c r="D232" s="266"/>
    </row>
    <row r="233" spans="4:4" ht="13.15" x14ac:dyDescent="0.4">
      <c r="D233" s="266"/>
    </row>
    <row r="234" spans="4:4" ht="13.15" x14ac:dyDescent="0.4">
      <c r="D234" s="266"/>
    </row>
    <row r="235" spans="4:4" ht="13.15" x14ac:dyDescent="0.4">
      <c r="D235" s="266"/>
    </row>
    <row r="236" spans="4:4" ht="13.15" x14ac:dyDescent="0.4">
      <c r="D236" s="266"/>
    </row>
    <row r="237" spans="4:4" ht="13.15" x14ac:dyDescent="0.4">
      <c r="D237" s="266"/>
    </row>
    <row r="238" spans="4:4" ht="13.15" x14ac:dyDescent="0.4">
      <c r="D238" s="266"/>
    </row>
    <row r="239" spans="4:4" ht="13.15" x14ac:dyDescent="0.4">
      <c r="D239" s="266"/>
    </row>
    <row r="240" spans="4:4" ht="13.15" x14ac:dyDescent="0.4">
      <c r="D240" s="266"/>
    </row>
    <row r="241" spans="4:4" ht="13.15" x14ac:dyDescent="0.4">
      <c r="D241" s="266"/>
    </row>
    <row r="242" spans="4:4" ht="13.15" x14ac:dyDescent="0.4">
      <c r="D242" s="266"/>
    </row>
    <row r="243" spans="4:4" ht="13.15" x14ac:dyDescent="0.4">
      <c r="D243" s="266"/>
    </row>
    <row r="244" spans="4:4" ht="13.15" x14ac:dyDescent="0.4">
      <c r="D244" s="266"/>
    </row>
    <row r="245" spans="4:4" ht="13.15" x14ac:dyDescent="0.4">
      <c r="D245" s="266"/>
    </row>
    <row r="246" spans="4:4" ht="13.15" x14ac:dyDescent="0.4">
      <c r="D246" s="266"/>
    </row>
    <row r="247" spans="4:4" ht="13.15" x14ac:dyDescent="0.4">
      <c r="D247" s="266"/>
    </row>
    <row r="248" spans="4:4" ht="13.15" x14ac:dyDescent="0.4">
      <c r="D248" s="266"/>
    </row>
    <row r="249" spans="4:4" ht="13.15" x14ac:dyDescent="0.4">
      <c r="D249" s="266"/>
    </row>
    <row r="250" spans="4:4" ht="13.15" x14ac:dyDescent="0.4">
      <c r="D250" s="266"/>
    </row>
    <row r="251" spans="4:4" ht="13.15" x14ac:dyDescent="0.4">
      <c r="D251" s="266"/>
    </row>
    <row r="252" spans="4:4" ht="13.15" x14ac:dyDescent="0.4">
      <c r="D252" s="266"/>
    </row>
    <row r="253" spans="4:4" ht="13.15" x14ac:dyDescent="0.4">
      <c r="D253" s="266"/>
    </row>
    <row r="254" spans="4:4" ht="13.15" x14ac:dyDescent="0.4">
      <c r="D254" s="266"/>
    </row>
    <row r="255" spans="4:4" ht="13.15" x14ac:dyDescent="0.4">
      <c r="D255" s="266"/>
    </row>
    <row r="256" spans="4:4" ht="13.15" x14ac:dyDescent="0.4">
      <c r="D256" s="266"/>
    </row>
    <row r="257" spans="4:4" ht="13.15" x14ac:dyDescent="0.4">
      <c r="D257" s="266"/>
    </row>
    <row r="258" spans="4:4" ht="13.15" x14ac:dyDescent="0.4">
      <c r="D258" s="266"/>
    </row>
    <row r="259" spans="4:4" ht="13.15" x14ac:dyDescent="0.4">
      <c r="D259" s="266"/>
    </row>
    <row r="260" spans="4:4" ht="13.15" x14ac:dyDescent="0.4">
      <c r="D260" s="266"/>
    </row>
    <row r="261" spans="4:4" ht="13.15" x14ac:dyDescent="0.4">
      <c r="D261" s="266"/>
    </row>
    <row r="262" spans="4:4" ht="13.15" x14ac:dyDescent="0.4">
      <c r="D262" s="266"/>
    </row>
    <row r="263" spans="4:4" ht="13.15" x14ac:dyDescent="0.4">
      <c r="D263" s="266"/>
    </row>
    <row r="264" spans="4:4" ht="13.15" x14ac:dyDescent="0.4">
      <c r="D264" s="266"/>
    </row>
    <row r="265" spans="4:4" ht="13.15" x14ac:dyDescent="0.4">
      <c r="D265" s="266"/>
    </row>
    <row r="266" spans="4:4" ht="13.15" x14ac:dyDescent="0.4">
      <c r="D266" s="266"/>
    </row>
    <row r="267" spans="4:4" ht="13.15" x14ac:dyDescent="0.4">
      <c r="D267" s="266"/>
    </row>
    <row r="268" spans="4:4" ht="13.15" x14ac:dyDescent="0.4">
      <c r="D268" s="266"/>
    </row>
    <row r="269" spans="4:4" ht="13.15" x14ac:dyDescent="0.4">
      <c r="D269" s="266"/>
    </row>
    <row r="270" spans="4:4" ht="13.15" x14ac:dyDescent="0.4">
      <c r="D270" s="266"/>
    </row>
    <row r="271" spans="4:4" ht="13.15" x14ac:dyDescent="0.4">
      <c r="D271" s="266"/>
    </row>
    <row r="272" spans="4:4" ht="13.15" x14ac:dyDescent="0.4">
      <c r="D272" s="266"/>
    </row>
    <row r="273" spans="4:4" ht="13.15" x14ac:dyDescent="0.4">
      <c r="D273" s="266"/>
    </row>
    <row r="274" spans="4:4" ht="13.15" x14ac:dyDescent="0.4">
      <c r="D274" s="266"/>
    </row>
    <row r="275" spans="4:4" ht="13.15" x14ac:dyDescent="0.4">
      <c r="D275" s="266"/>
    </row>
    <row r="276" spans="4:4" ht="13.15" x14ac:dyDescent="0.4">
      <c r="D276" s="266"/>
    </row>
    <row r="277" spans="4:4" ht="13.15" x14ac:dyDescent="0.4">
      <c r="D277" s="266"/>
    </row>
    <row r="278" spans="4:4" ht="13.15" x14ac:dyDescent="0.4">
      <c r="D278" s="266"/>
    </row>
    <row r="279" spans="4:4" ht="13.15" x14ac:dyDescent="0.4">
      <c r="D279" s="266"/>
    </row>
    <row r="280" spans="4:4" ht="13.15" x14ac:dyDescent="0.4">
      <c r="D280" s="266"/>
    </row>
    <row r="281" spans="4:4" ht="13.15" x14ac:dyDescent="0.4">
      <c r="D281" s="266"/>
    </row>
    <row r="282" spans="4:4" ht="13.15" x14ac:dyDescent="0.4">
      <c r="D282" s="266"/>
    </row>
    <row r="283" spans="4:4" ht="13.15" x14ac:dyDescent="0.4">
      <c r="D283" s="266"/>
    </row>
    <row r="284" spans="4:4" ht="13.15" x14ac:dyDescent="0.4">
      <c r="D284" s="266"/>
    </row>
    <row r="285" spans="4:4" ht="13.15" x14ac:dyDescent="0.4">
      <c r="D285" s="266"/>
    </row>
    <row r="286" spans="4:4" ht="13.15" x14ac:dyDescent="0.4">
      <c r="D286" s="266"/>
    </row>
    <row r="287" spans="4:4" ht="13.15" x14ac:dyDescent="0.4">
      <c r="D287" s="266"/>
    </row>
    <row r="288" spans="4:4" ht="13.15" x14ac:dyDescent="0.4">
      <c r="D288" s="266"/>
    </row>
    <row r="289" spans="4:4" ht="13.15" x14ac:dyDescent="0.4">
      <c r="D289" s="266"/>
    </row>
    <row r="290" spans="4:4" ht="13.15" x14ac:dyDescent="0.4">
      <c r="D290" s="266"/>
    </row>
    <row r="291" spans="4:4" ht="13.15" x14ac:dyDescent="0.4">
      <c r="D291" s="266"/>
    </row>
    <row r="292" spans="4:4" ht="13.15" x14ac:dyDescent="0.4">
      <c r="D292" s="266"/>
    </row>
    <row r="293" spans="4:4" ht="13.15" x14ac:dyDescent="0.4">
      <c r="D293" s="266"/>
    </row>
    <row r="294" spans="4:4" ht="13.15" x14ac:dyDescent="0.4">
      <c r="D294" s="266"/>
    </row>
    <row r="295" spans="4:4" ht="13.15" x14ac:dyDescent="0.4">
      <c r="D295" s="266"/>
    </row>
    <row r="296" spans="4:4" ht="13.15" x14ac:dyDescent="0.4">
      <c r="D296" s="266"/>
    </row>
    <row r="297" spans="4:4" ht="13.15" x14ac:dyDescent="0.4">
      <c r="D297" s="266"/>
    </row>
    <row r="298" spans="4:4" ht="13.15" x14ac:dyDescent="0.4">
      <c r="D298" s="266"/>
    </row>
    <row r="299" spans="4:4" ht="13.15" x14ac:dyDescent="0.4">
      <c r="D299" s="266"/>
    </row>
    <row r="300" spans="4:4" ht="13.15" x14ac:dyDescent="0.4">
      <c r="D300" s="266"/>
    </row>
    <row r="301" spans="4:4" ht="13.15" x14ac:dyDescent="0.4">
      <c r="D301" s="266"/>
    </row>
    <row r="302" spans="4:4" ht="13.15" x14ac:dyDescent="0.4">
      <c r="D302" s="266"/>
    </row>
    <row r="303" spans="4:4" ht="13.15" x14ac:dyDescent="0.4">
      <c r="D303" s="266"/>
    </row>
    <row r="304" spans="4:4" ht="13.15" x14ac:dyDescent="0.4">
      <c r="D304" s="266"/>
    </row>
    <row r="305" spans="4:4" ht="13.15" x14ac:dyDescent="0.4">
      <c r="D305" s="266"/>
    </row>
    <row r="306" spans="4:4" ht="13.15" x14ac:dyDescent="0.4">
      <c r="D306" s="266"/>
    </row>
    <row r="307" spans="4:4" ht="13.15" x14ac:dyDescent="0.4">
      <c r="D307" s="266"/>
    </row>
    <row r="308" spans="4:4" ht="13.15" x14ac:dyDescent="0.4">
      <c r="D308" s="266"/>
    </row>
    <row r="309" spans="4:4" ht="13.15" x14ac:dyDescent="0.4">
      <c r="D309" s="266"/>
    </row>
    <row r="310" spans="4:4" ht="13.15" x14ac:dyDescent="0.4">
      <c r="D310" s="266"/>
    </row>
    <row r="311" spans="4:4" ht="13.15" x14ac:dyDescent="0.4">
      <c r="D311" s="266"/>
    </row>
    <row r="312" spans="4:4" ht="13.15" x14ac:dyDescent="0.4">
      <c r="D312" s="266"/>
    </row>
    <row r="313" spans="4:4" ht="13.15" x14ac:dyDescent="0.4">
      <c r="D313" s="266"/>
    </row>
    <row r="314" spans="4:4" ht="13.15" x14ac:dyDescent="0.4">
      <c r="D314" s="266"/>
    </row>
    <row r="315" spans="4:4" ht="13.15" x14ac:dyDescent="0.4">
      <c r="D315" s="266"/>
    </row>
    <row r="316" spans="4:4" ht="13.15" x14ac:dyDescent="0.4">
      <c r="D316" s="266"/>
    </row>
    <row r="317" spans="4:4" ht="13.15" x14ac:dyDescent="0.4">
      <c r="D317" s="266"/>
    </row>
    <row r="318" spans="4:4" ht="13.15" x14ac:dyDescent="0.4">
      <c r="D318" s="266"/>
    </row>
    <row r="319" spans="4:4" ht="13.15" x14ac:dyDescent="0.4">
      <c r="D319" s="266"/>
    </row>
    <row r="320" spans="4:4" ht="13.15" x14ac:dyDescent="0.4">
      <c r="D320" s="266"/>
    </row>
    <row r="321" spans="4:4" ht="13.15" x14ac:dyDescent="0.4">
      <c r="D321" s="266"/>
    </row>
    <row r="322" spans="4:4" ht="13.15" x14ac:dyDescent="0.4">
      <c r="D322" s="266"/>
    </row>
    <row r="323" spans="4:4" ht="13.15" x14ac:dyDescent="0.4">
      <c r="D323" s="266"/>
    </row>
    <row r="324" spans="4:4" ht="13.15" x14ac:dyDescent="0.4">
      <c r="D324" s="266"/>
    </row>
    <row r="325" spans="4:4" ht="13.15" x14ac:dyDescent="0.4">
      <c r="D325" s="266"/>
    </row>
    <row r="326" spans="4:4" ht="13.15" x14ac:dyDescent="0.4">
      <c r="D326" s="266"/>
    </row>
    <row r="327" spans="4:4" ht="13.15" x14ac:dyDescent="0.4">
      <c r="D327" s="266"/>
    </row>
    <row r="328" spans="4:4" ht="13.15" x14ac:dyDescent="0.4">
      <c r="D328" s="266"/>
    </row>
    <row r="329" spans="4:4" ht="13.15" x14ac:dyDescent="0.4">
      <c r="D329" s="266"/>
    </row>
    <row r="330" spans="4:4" ht="13.15" x14ac:dyDescent="0.4">
      <c r="D330" s="266"/>
    </row>
    <row r="331" spans="4:4" ht="13.15" x14ac:dyDescent="0.4">
      <c r="D331" s="266"/>
    </row>
    <row r="332" spans="4:4" ht="13.15" x14ac:dyDescent="0.4">
      <c r="D332" s="266"/>
    </row>
    <row r="333" spans="4:4" ht="13.15" x14ac:dyDescent="0.4">
      <c r="D333" s="266"/>
    </row>
    <row r="334" spans="4:4" ht="13.15" x14ac:dyDescent="0.4">
      <c r="D334" s="266"/>
    </row>
    <row r="335" spans="4:4" ht="13.15" x14ac:dyDescent="0.4">
      <c r="D335" s="266"/>
    </row>
    <row r="336" spans="4:4" ht="13.15" x14ac:dyDescent="0.4">
      <c r="D336" s="266"/>
    </row>
    <row r="337" spans="4:4" ht="13.15" x14ac:dyDescent="0.4">
      <c r="D337" s="266"/>
    </row>
    <row r="338" spans="4:4" ht="13.15" x14ac:dyDescent="0.4">
      <c r="D338" s="266"/>
    </row>
    <row r="339" spans="4:4" ht="13.15" x14ac:dyDescent="0.4">
      <c r="D339" s="266"/>
    </row>
    <row r="340" spans="4:4" ht="13.15" x14ac:dyDescent="0.4">
      <c r="D340" s="266"/>
    </row>
    <row r="341" spans="4:4" ht="13.15" x14ac:dyDescent="0.4">
      <c r="D341" s="266"/>
    </row>
    <row r="342" spans="4:4" ht="13.15" x14ac:dyDescent="0.4">
      <c r="D342" s="266"/>
    </row>
    <row r="343" spans="4:4" ht="13.15" x14ac:dyDescent="0.4">
      <c r="D343" s="266"/>
    </row>
    <row r="344" spans="4:4" ht="13.15" x14ac:dyDescent="0.4">
      <c r="D344" s="266"/>
    </row>
    <row r="345" spans="4:4" ht="13.15" x14ac:dyDescent="0.4">
      <c r="D345" s="266"/>
    </row>
    <row r="346" spans="4:4" ht="13.15" x14ac:dyDescent="0.4">
      <c r="D346" s="266"/>
    </row>
    <row r="347" spans="4:4" ht="13.15" x14ac:dyDescent="0.4">
      <c r="D347" s="266"/>
    </row>
    <row r="348" spans="4:4" ht="13.15" x14ac:dyDescent="0.4">
      <c r="D348" s="266"/>
    </row>
    <row r="349" spans="4:4" ht="13.15" x14ac:dyDescent="0.4">
      <c r="D349" s="266"/>
    </row>
    <row r="350" spans="4:4" ht="13.15" x14ac:dyDescent="0.4">
      <c r="D350" s="266"/>
    </row>
    <row r="351" spans="4:4" ht="13.15" x14ac:dyDescent="0.4">
      <c r="D351" s="266"/>
    </row>
    <row r="352" spans="4:4" ht="13.15" x14ac:dyDescent="0.4">
      <c r="D352" s="266"/>
    </row>
    <row r="353" spans="4:4" ht="13.15" x14ac:dyDescent="0.4">
      <c r="D353" s="266"/>
    </row>
    <row r="354" spans="4:4" ht="13.15" x14ac:dyDescent="0.4">
      <c r="D354" s="266"/>
    </row>
    <row r="355" spans="4:4" ht="13.15" x14ac:dyDescent="0.4">
      <c r="D355" s="266"/>
    </row>
    <row r="356" spans="4:4" ht="13.15" x14ac:dyDescent="0.4">
      <c r="D356" s="266"/>
    </row>
    <row r="357" spans="4:4" ht="13.15" x14ac:dyDescent="0.4">
      <c r="D357" s="266"/>
    </row>
    <row r="358" spans="4:4" ht="13.15" x14ac:dyDescent="0.4">
      <c r="D358" s="266"/>
    </row>
    <row r="359" spans="4:4" ht="13.15" x14ac:dyDescent="0.4">
      <c r="D359" s="266"/>
    </row>
    <row r="360" spans="4:4" ht="13.15" x14ac:dyDescent="0.4">
      <c r="D360" s="266"/>
    </row>
    <row r="361" spans="4:4" ht="13.15" x14ac:dyDescent="0.4">
      <c r="D361" s="266"/>
    </row>
    <row r="362" spans="4:4" ht="13.15" x14ac:dyDescent="0.4">
      <c r="D362" s="266"/>
    </row>
    <row r="363" spans="4:4" ht="13.15" x14ac:dyDescent="0.4">
      <c r="D363" s="266"/>
    </row>
    <row r="364" spans="4:4" ht="13.15" x14ac:dyDescent="0.4">
      <c r="D364" s="266"/>
    </row>
    <row r="365" spans="4:4" ht="13.15" x14ac:dyDescent="0.4">
      <c r="D365" s="266"/>
    </row>
    <row r="366" spans="4:4" ht="13.15" x14ac:dyDescent="0.4">
      <c r="D366" s="266"/>
    </row>
    <row r="367" spans="4:4" ht="13.15" x14ac:dyDescent="0.4">
      <c r="D367" s="266"/>
    </row>
    <row r="368" spans="4:4" ht="13.15" x14ac:dyDescent="0.4">
      <c r="D368" s="266"/>
    </row>
    <row r="369" spans="4:4" ht="13.15" x14ac:dyDescent="0.4">
      <c r="D369" s="266"/>
    </row>
    <row r="370" spans="4:4" ht="13.15" x14ac:dyDescent="0.4">
      <c r="D370" s="266"/>
    </row>
    <row r="371" spans="4:4" ht="13.15" x14ac:dyDescent="0.4">
      <c r="D371" s="266"/>
    </row>
    <row r="372" spans="4:4" ht="13.15" x14ac:dyDescent="0.4">
      <c r="D372" s="266"/>
    </row>
    <row r="373" spans="4:4" ht="13.15" x14ac:dyDescent="0.4">
      <c r="D373" s="266"/>
    </row>
    <row r="374" spans="4:4" ht="13.15" x14ac:dyDescent="0.4">
      <c r="D374" s="266"/>
    </row>
    <row r="375" spans="4:4" ht="13.15" x14ac:dyDescent="0.4">
      <c r="D375" s="266"/>
    </row>
    <row r="376" spans="4:4" ht="13.15" x14ac:dyDescent="0.4">
      <c r="D376" s="266"/>
    </row>
    <row r="377" spans="4:4" ht="13.15" x14ac:dyDescent="0.4">
      <c r="D377" s="266"/>
    </row>
    <row r="378" spans="4:4" ht="13.15" x14ac:dyDescent="0.4">
      <c r="D378" s="266"/>
    </row>
    <row r="379" spans="4:4" ht="13.15" x14ac:dyDescent="0.4">
      <c r="D379" s="266"/>
    </row>
    <row r="380" spans="4:4" ht="13.15" x14ac:dyDescent="0.4">
      <c r="D380" s="266"/>
    </row>
    <row r="381" spans="4:4" ht="13.15" x14ac:dyDescent="0.4">
      <c r="D381" s="266"/>
    </row>
    <row r="382" spans="4:4" ht="13.15" x14ac:dyDescent="0.4">
      <c r="D382" s="266"/>
    </row>
    <row r="383" spans="4:4" ht="13.15" x14ac:dyDescent="0.4">
      <c r="D383" s="266"/>
    </row>
    <row r="384" spans="4:4" ht="13.15" x14ac:dyDescent="0.4">
      <c r="D384" s="266"/>
    </row>
    <row r="385" spans="4:4" ht="13.15" x14ac:dyDescent="0.4">
      <c r="D385" s="266"/>
    </row>
    <row r="386" spans="4:4" ht="13.15" x14ac:dyDescent="0.4">
      <c r="D386" s="266"/>
    </row>
    <row r="387" spans="4:4" ht="13.15" x14ac:dyDescent="0.4">
      <c r="D387" s="266"/>
    </row>
    <row r="388" spans="4:4" ht="13.15" x14ac:dyDescent="0.4">
      <c r="D388" s="266"/>
    </row>
    <row r="389" spans="4:4" ht="13.15" x14ac:dyDescent="0.4">
      <c r="D389" s="266"/>
    </row>
    <row r="390" spans="4:4" ht="13.15" x14ac:dyDescent="0.4">
      <c r="D390" s="266"/>
    </row>
    <row r="391" spans="4:4" ht="13.15" x14ac:dyDescent="0.4">
      <c r="D391" s="266"/>
    </row>
    <row r="392" spans="4:4" ht="13.15" x14ac:dyDescent="0.4">
      <c r="D392" s="266"/>
    </row>
    <row r="393" spans="4:4" ht="13.15" x14ac:dyDescent="0.4">
      <c r="D393" s="266"/>
    </row>
    <row r="394" spans="4:4" ht="13.15" x14ac:dyDescent="0.4">
      <c r="D394" s="266"/>
    </row>
    <row r="395" spans="4:4" ht="13.15" x14ac:dyDescent="0.4">
      <c r="D395" s="266"/>
    </row>
    <row r="396" spans="4:4" ht="13.15" x14ac:dyDescent="0.4">
      <c r="D396" s="266"/>
    </row>
    <row r="397" spans="4:4" ht="13.15" x14ac:dyDescent="0.4">
      <c r="D397" s="266"/>
    </row>
    <row r="398" spans="4:4" ht="13.15" x14ac:dyDescent="0.4">
      <c r="D398" s="266"/>
    </row>
    <row r="399" spans="4:4" ht="13.15" x14ac:dyDescent="0.4">
      <c r="D399" s="266"/>
    </row>
    <row r="400" spans="4:4" ht="13.15" x14ac:dyDescent="0.4">
      <c r="D400" s="266"/>
    </row>
    <row r="401" spans="4:4" ht="13.15" x14ac:dyDescent="0.4">
      <c r="D401" s="266"/>
    </row>
    <row r="402" spans="4:4" ht="13.15" x14ac:dyDescent="0.4">
      <c r="D402" s="266"/>
    </row>
    <row r="403" spans="4:4" ht="13.15" x14ac:dyDescent="0.4">
      <c r="D403" s="266"/>
    </row>
    <row r="404" spans="4:4" ht="13.15" x14ac:dyDescent="0.4">
      <c r="D404" s="266"/>
    </row>
    <row r="405" spans="4:4" ht="13.15" x14ac:dyDescent="0.4">
      <c r="D405" s="266"/>
    </row>
    <row r="406" spans="4:4" ht="13.15" x14ac:dyDescent="0.4">
      <c r="D406" s="266"/>
    </row>
    <row r="407" spans="4:4" ht="13.15" x14ac:dyDescent="0.4">
      <c r="D407" s="266"/>
    </row>
    <row r="408" spans="4:4" ht="13.15" x14ac:dyDescent="0.4">
      <c r="D408" s="266"/>
    </row>
    <row r="409" spans="4:4" ht="13.15" x14ac:dyDescent="0.4">
      <c r="D409" s="266"/>
    </row>
    <row r="410" spans="4:4" ht="13.15" x14ac:dyDescent="0.4">
      <c r="D410" s="266"/>
    </row>
    <row r="411" spans="4:4" ht="13.15" x14ac:dyDescent="0.4">
      <c r="D411" s="266"/>
    </row>
    <row r="412" spans="4:4" ht="13.15" x14ac:dyDescent="0.4">
      <c r="D412" s="266"/>
    </row>
    <row r="413" spans="4:4" ht="13.15" x14ac:dyDescent="0.4">
      <c r="D413" s="266"/>
    </row>
    <row r="414" spans="4:4" ht="13.15" x14ac:dyDescent="0.4">
      <c r="D414" s="266"/>
    </row>
    <row r="415" spans="4:4" ht="13.15" x14ac:dyDescent="0.4">
      <c r="D415" s="266"/>
    </row>
    <row r="416" spans="4:4" ht="13.15" x14ac:dyDescent="0.4">
      <c r="D416" s="266"/>
    </row>
    <row r="417" spans="4:4" ht="13.15" x14ac:dyDescent="0.4">
      <c r="D417" s="266"/>
    </row>
    <row r="418" spans="4:4" ht="13.15" x14ac:dyDescent="0.4">
      <c r="D418" s="266"/>
    </row>
    <row r="419" spans="4:4" ht="13.15" x14ac:dyDescent="0.4">
      <c r="D419" s="266"/>
    </row>
    <row r="420" spans="4:4" ht="13.15" x14ac:dyDescent="0.4">
      <c r="D420" s="266"/>
    </row>
    <row r="421" spans="4:4" ht="13.15" x14ac:dyDescent="0.4">
      <c r="D421" s="266"/>
    </row>
    <row r="422" spans="4:4" ht="13.15" x14ac:dyDescent="0.4">
      <c r="D422" s="266"/>
    </row>
    <row r="423" spans="4:4" ht="13.15" x14ac:dyDescent="0.4">
      <c r="D423" s="266"/>
    </row>
    <row r="424" spans="4:4" ht="13.15" x14ac:dyDescent="0.4">
      <c r="D424" s="266"/>
    </row>
    <row r="425" spans="4:4" ht="13.15" x14ac:dyDescent="0.4">
      <c r="D425" s="266"/>
    </row>
    <row r="426" spans="4:4" ht="13.15" x14ac:dyDescent="0.4">
      <c r="D426" s="266"/>
    </row>
    <row r="427" spans="4:4" ht="13.15" x14ac:dyDescent="0.4">
      <c r="D427" s="266"/>
    </row>
    <row r="428" spans="4:4" ht="13.15" x14ac:dyDescent="0.4">
      <c r="D428" s="266"/>
    </row>
    <row r="429" spans="4:4" ht="13.15" x14ac:dyDescent="0.4">
      <c r="D429" s="266"/>
    </row>
    <row r="430" spans="4:4" ht="13.15" x14ac:dyDescent="0.4">
      <c r="D430" s="266"/>
    </row>
    <row r="431" spans="4:4" ht="13.15" x14ac:dyDescent="0.4">
      <c r="D431" s="266"/>
    </row>
    <row r="432" spans="4:4" ht="13.15" x14ac:dyDescent="0.4">
      <c r="D432" s="266"/>
    </row>
    <row r="433" spans="4:4" ht="13.15" x14ac:dyDescent="0.4">
      <c r="D433" s="266"/>
    </row>
    <row r="434" spans="4:4" ht="13.15" x14ac:dyDescent="0.4">
      <c r="D434" s="266"/>
    </row>
    <row r="435" spans="4:4" ht="13.15" x14ac:dyDescent="0.4">
      <c r="D435" s="266"/>
    </row>
    <row r="436" spans="4:4" ht="13.15" x14ac:dyDescent="0.4">
      <c r="D436" s="266"/>
    </row>
    <row r="437" spans="4:4" ht="13.15" x14ac:dyDescent="0.4">
      <c r="D437" s="266"/>
    </row>
    <row r="438" spans="4:4" ht="13.15" x14ac:dyDescent="0.4">
      <c r="D438" s="266"/>
    </row>
    <row r="439" spans="4:4" ht="13.15" x14ac:dyDescent="0.4">
      <c r="D439" s="266"/>
    </row>
    <row r="440" spans="4:4" ht="13.15" x14ac:dyDescent="0.4">
      <c r="D440" s="266"/>
    </row>
    <row r="441" spans="4:4" ht="13.15" x14ac:dyDescent="0.4">
      <c r="D441" s="266"/>
    </row>
    <row r="442" spans="4:4" ht="13.15" x14ac:dyDescent="0.4">
      <c r="D442" s="266"/>
    </row>
    <row r="443" spans="4:4" ht="13.15" x14ac:dyDescent="0.4">
      <c r="D443" s="266"/>
    </row>
    <row r="444" spans="4:4" ht="13.15" x14ac:dyDescent="0.4">
      <c r="D444" s="266"/>
    </row>
    <row r="445" spans="4:4" ht="13.15" x14ac:dyDescent="0.4">
      <c r="D445" s="266"/>
    </row>
    <row r="446" spans="4:4" ht="13.15" x14ac:dyDescent="0.4">
      <c r="D446" s="266"/>
    </row>
    <row r="447" spans="4:4" ht="13.15" x14ac:dyDescent="0.4">
      <c r="D447" s="266"/>
    </row>
    <row r="448" spans="4:4" ht="13.15" x14ac:dyDescent="0.4">
      <c r="D448" s="266"/>
    </row>
    <row r="449" spans="4:4" ht="13.15" x14ac:dyDescent="0.4">
      <c r="D449" s="266"/>
    </row>
    <row r="450" spans="4:4" ht="13.15" x14ac:dyDescent="0.4">
      <c r="D450" s="266"/>
    </row>
    <row r="451" spans="4:4" ht="13.15" x14ac:dyDescent="0.4">
      <c r="D451" s="266"/>
    </row>
    <row r="452" spans="4:4" ht="13.15" x14ac:dyDescent="0.4">
      <c r="D452" s="266"/>
    </row>
    <row r="453" spans="4:4" ht="13.15" x14ac:dyDescent="0.4">
      <c r="D453" s="266"/>
    </row>
    <row r="454" spans="4:4" ht="13.15" x14ac:dyDescent="0.4">
      <c r="D454" s="266"/>
    </row>
    <row r="455" spans="4:4" ht="13.15" x14ac:dyDescent="0.4">
      <c r="D455" s="266"/>
    </row>
    <row r="456" spans="4:4" ht="13.15" x14ac:dyDescent="0.4">
      <c r="D456" s="266"/>
    </row>
    <row r="457" spans="4:4" ht="13.15" x14ac:dyDescent="0.4">
      <c r="D457" s="266"/>
    </row>
    <row r="458" spans="4:4" ht="13.15" x14ac:dyDescent="0.4">
      <c r="D458" s="266"/>
    </row>
    <row r="459" spans="4:4" ht="13.15" x14ac:dyDescent="0.4">
      <c r="D459" s="266"/>
    </row>
    <row r="460" spans="4:4" ht="13.15" x14ac:dyDescent="0.4">
      <c r="D460" s="266"/>
    </row>
    <row r="461" spans="4:4" ht="13.15" x14ac:dyDescent="0.4">
      <c r="D461" s="266"/>
    </row>
    <row r="462" spans="4:4" ht="13.15" x14ac:dyDescent="0.4">
      <c r="D462" s="266"/>
    </row>
    <row r="463" spans="4:4" ht="13.15" x14ac:dyDescent="0.4">
      <c r="D463" s="266"/>
    </row>
    <row r="464" spans="4:4" ht="13.15" x14ac:dyDescent="0.4">
      <c r="D464" s="266"/>
    </row>
    <row r="465" spans="4:4" ht="13.15" x14ac:dyDescent="0.4">
      <c r="D465" s="266"/>
    </row>
    <row r="466" spans="4:4" ht="13.15" x14ac:dyDescent="0.4">
      <c r="D466" s="266"/>
    </row>
    <row r="467" spans="4:4" ht="13.15" x14ac:dyDescent="0.4">
      <c r="D467" s="266"/>
    </row>
    <row r="468" spans="4:4" ht="13.15" x14ac:dyDescent="0.4">
      <c r="D468" s="266"/>
    </row>
    <row r="469" spans="4:4" ht="13.15" x14ac:dyDescent="0.4">
      <c r="D469" s="266"/>
    </row>
    <row r="470" spans="4:4" ht="13.15" x14ac:dyDescent="0.4">
      <c r="D470" s="266"/>
    </row>
    <row r="471" spans="4:4" ht="13.15" x14ac:dyDescent="0.4">
      <c r="D471" s="266"/>
    </row>
    <row r="472" spans="4:4" ht="13.15" x14ac:dyDescent="0.4">
      <c r="D472" s="266"/>
    </row>
    <row r="473" spans="4:4" ht="13.15" x14ac:dyDescent="0.4">
      <c r="D473" s="266"/>
    </row>
    <row r="474" spans="4:4" ht="13.15" x14ac:dyDescent="0.4">
      <c r="D474" s="266"/>
    </row>
    <row r="475" spans="4:4" ht="13.15" x14ac:dyDescent="0.4">
      <c r="D475" s="266"/>
    </row>
    <row r="476" spans="4:4" ht="13.15" x14ac:dyDescent="0.4">
      <c r="D476" s="266"/>
    </row>
    <row r="477" spans="4:4" ht="13.15" x14ac:dyDescent="0.4">
      <c r="D477" s="266"/>
    </row>
    <row r="478" spans="4:4" ht="13.15" x14ac:dyDescent="0.4">
      <c r="D478" s="266"/>
    </row>
    <row r="479" spans="4:4" ht="13.15" x14ac:dyDescent="0.4">
      <c r="D479" s="266"/>
    </row>
    <row r="480" spans="4:4" ht="13.15" x14ac:dyDescent="0.4">
      <c r="D480" s="266"/>
    </row>
    <row r="481" spans="4:4" ht="13.15" x14ac:dyDescent="0.4">
      <c r="D481" s="266"/>
    </row>
    <row r="482" spans="4:4" ht="13.15" x14ac:dyDescent="0.4">
      <c r="D482" s="266"/>
    </row>
    <row r="483" spans="4:4" ht="13.15" x14ac:dyDescent="0.4">
      <c r="D483" s="266"/>
    </row>
    <row r="484" spans="4:4" ht="13.15" x14ac:dyDescent="0.4">
      <c r="D484" s="266"/>
    </row>
    <row r="485" spans="4:4" ht="13.15" x14ac:dyDescent="0.4">
      <c r="D485" s="266"/>
    </row>
    <row r="486" spans="4:4" ht="13.15" x14ac:dyDescent="0.4">
      <c r="D486" s="266"/>
    </row>
    <row r="487" spans="4:4" ht="13.15" x14ac:dyDescent="0.4">
      <c r="D487" s="266"/>
    </row>
    <row r="488" spans="4:4" ht="13.15" x14ac:dyDescent="0.4">
      <c r="D488" s="266"/>
    </row>
    <row r="489" spans="4:4" ht="13.15" x14ac:dyDescent="0.4">
      <c r="D489" s="266"/>
    </row>
    <row r="490" spans="4:4" ht="13.15" x14ac:dyDescent="0.4">
      <c r="D490" s="266"/>
    </row>
    <row r="491" spans="4:4" ht="13.15" x14ac:dyDescent="0.4">
      <c r="D491" s="266"/>
    </row>
    <row r="492" spans="4:4" ht="13.15" x14ac:dyDescent="0.4">
      <c r="D492" s="266"/>
    </row>
    <row r="493" spans="4:4" ht="13.15" x14ac:dyDescent="0.4">
      <c r="D493" s="266"/>
    </row>
    <row r="494" spans="4:4" ht="13.15" x14ac:dyDescent="0.4">
      <c r="D494" s="266"/>
    </row>
    <row r="495" spans="4:4" ht="13.15" x14ac:dyDescent="0.4">
      <c r="D495" s="266"/>
    </row>
    <row r="496" spans="4:4" ht="13.15" x14ac:dyDescent="0.4">
      <c r="D496" s="266"/>
    </row>
    <row r="497" spans="4:4" ht="13.15" x14ac:dyDescent="0.4">
      <c r="D497" s="266"/>
    </row>
    <row r="498" spans="4:4" ht="13.15" x14ac:dyDescent="0.4">
      <c r="D498" s="266"/>
    </row>
    <row r="499" spans="4:4" ht="13.15" x14ac:dyDescent="0.4">
      <c r="D499" s="266"/>
    </row>
    <row r="500" spans="4:4" ht="13.15" x14ac:dyDescent="0.4">
      <c r="D500" s="266"/>
    </row>
    <row r="501" spans="4:4" ht="13.15" x14ac:dyDescent="0.4">
      <c r="D501" s="266"/>
    </row>
    <row r="502" spans="4:4" ht="13.15" x14ac:dyDescent="0.4">
      <c r="D502" s="266"/>
    </row>
    <row r="503" spans="4:4" ht="13.15" x14ac:dyDescent="0.4">
      <c r="D503" s="266"/>
    </row>
    <row r="504" spans="4:4" ht="13.15" x14ac:dyDescent="0.4">
      <c r="D504" s="266"/>
    </row>
    <row r="505" spans="4:4" ht="13.15" x14ac:dyDescent="0.4">
      <c r="D505" s="266"/>
    </row>
    <row r="506" spans="4:4" ht="13.15" x14ac:dyDescent="0.4">
      <c r="D506" s="266"/>
    </row>
    <row r="507" spans="4:4" ht="13.15" x14ac:dyDescent="0.4">
      <c r="D507" s="266"/>
    </row>
    <row r="508" spans="4:4" ht="13.15" x14ac:dyDescent="0.4">
      <c r="D508" s="266"/>
    </row>
    <row r="509" spans="4:4" ht="13.15" x14ac:dyDescent="0.4">
      <c r="D509" s="266"/>
    </row>
    <row r="510" spans="4:4" ht="13.15" x14ac:dyDescent="0.4">
      <c r="D510" s="266"/>
    </row>
    <row r="511" spans="4:4" ht="13.15" x14ac:dyDescent="0.4">
      <c r="D511" s="266"/>
    </row>
    <row r="512" spans="4:4" ht="13.15" x14ac:dyDescent="0.4">
      <c r="D512" s="266"/>
    </row>
    <row r="513" spans="4:4" ht="13.15" x14ac:dyDescent="0.4">
      <c r="D513" s="266"/>
    </row>
    <row r="514" spans="4:4" ht="13.15" x14ac:dyDescent="0.4">
      <c r="D514" s="266"/>
    </row>
    <row r="515" spans="4:4" ht="13.15" x14ac:dyDescent="0.4">
      <c r="D515" s="266"/>
    </row>
    <row r="516" spans="4:4" ht="13.15" x14ac:dyDescent="0.4">
      <c r="D516" s="266"/>
    </row>
    <row r="517" spans="4:4" ht="13.15" x14ac:dyDescent="0.4">
      <c r="D517" s="266"/>
    </row>
    <row r="518" spans="4:4" ht="13.15" x14ac:dyDescent="0.4">
      <c r="D518" s="266"/>
    </row>
    <row r="519" spans="4:4" ht="13.15" x14ac:dyDescent="0.4">
      <c r="D519" s="266"/>
    </row>
    <row r="520" spans="4:4" ht="13.15" x14ac:dyDescent="0.4">
      <c r="D520" s="266"/>
    </row>
    <row r="521" spans="4:4" ht="13.15" x14ac:dyDescent="0.4">
      <c r="D521" s="266"/>
    </row>
    <row r="522" spans="4:4" ht="13.15" x14ac:dyDescent="0.4">
      <c r="D522" s="266"/>
    </row>
    <row r="523" spans="4:4" ht="13.15" x14ac:dyDescent="0.4">
      <c r="D523" s="266"/>
    </row>
    <row r="524" spans="4:4" ht="13.15" x14ac:dyDescent="0.4">
      <c r="D524" s="266"/>
    </row>
    <row r="525" spans="4:4" ht="13.15" x14ac:dyDescent="0.4">
      <c r="D525" s="266"/>
    </row>
    <row r="526" spans="4:4" ht="13.15" x14ac:dyDescent="0.4">
      <c r="D526" s="266"/>
    </row>
    <row r="527" spans="4:4" ht="13.15" x14ac:dyDescent="0.4">
      <c r="D527" s="266"/>
    </row>
    <row r="528" spans="4:4" ht="13.15" x14ac:dyDescent="0.4">
      <c r="D528" s="266"/>
    </row>
    <row r="529" spans="4:4" ht="13.15" x14ac:dyDescent="0.4">
      <c r="D529" s="266"/>
    </row>
    <row r="530" spans="4:4" ht="13.15" x14ac:dyDescent="0.4">
      <c r="D530" s="266"/>
    </row>
    <row r="531" spans="4:4" ht="13.15" x14ac:dyDescent="0.4">
      <c r="D531" s="266"/>
    </row>
    <row r="532" spans="4:4" ht="13.15" x14ac:dyDescent="0.4">
      <c r="D532" s="266"/>
    </row>
    <row r="533" spans="4:4" ht="13.15" x14ac:dyDescent="0.4">
      <c r="D533" s="266"/>
    </row>
    <row r="534" spans="4:4" ht="13.15" x14ac:dyDescent="0.4">
      <c r="D534" s="266"/>
    </row>
    <row r="535" spans="4:4" ht="13.15" x14ac:dyDescent="0.4">
      <c r="D535" s="266"/>
    </row>
    <row r="536" spans="4:4" ht="13.15" x14ac:dyDescent="0.4">
      <c r="D536" s="266"/>
    </row>
    <row r="537" spans="4:4" ht="13.15" x14ac:dyDescent="0.4">
      <c r="D537" s="266"/>
    </row>
    <row r="538" spans="4:4" ht="13.15" x14ac:dyDescent="0.4">
      <c r="D538" s="266"/>
    </row>
    <row r="539" spans="4:4" ht="13.15" x14ac:dyDescent="0.4">
      <c r="D539" s="266"/>
    </row>
    <row r="540" spans="4:4" ht="13.15" x14ac:dyDescent="0.4">
      <c r="D540" s="266"/>
    </row>
    <row r="541" spans="4:4" ht="13.15" x14ac:dyDescent="0.4">
      <c r="D541" s="266"/>
    </row>
    <row r="542" spans="4:4" ht="13.15" x14ac:dyDescent="0.4">
      <c r="D542" s="266"/>
    </row>
    <row r="543" spans="4:4" ht="13.15" x14ac:dyDescent="0.4">
      <c r="D543" s="266"/>
    </row>
    <row r="544" spans="4:4" ht="13.15" x14ac:dyDescent="0.4">
      <c r="D544" s="266"/>
    </row>
    <row r="545" spans="4:4" ht="13.15" x14ac:dyDescent="0.4">
      <c r="D545" s="266"/>
    </row>
    <row r="546" spans="4:4" ht="13.15" x14ac:dyDescent="0.4">
      <c r="D546" s="266"/>
    </row>
    <row r="547" spans="4:4" ht="13.15" x14ac:dyDescent="0.4">
      <c r="D547" s="266"/>
    </row>
    <row r="548" spans="4:4" ht="13.15" x14ac:dyDescent="0.4">
      <c r="D548" s="266"/>
    </row>
    <row r="549" spans="4:4" ht="13.15" x14ac:dyDescent="0.4">
      <c r="D549" s="266"/>
    </row>
    <row r="550" spans="4:4" ht="13.15" x14ac:dyDescent="0.4">
      <c r="D550" s="266"/>
    </row>
    <row r="551" spans="4:4" ht="13.15" x14ac:dyDescent="0.4">
      <c r="D551" s="266"/>
    </row>
    <row r="552" spans="4:4" ht="13.15" x14ac:dyDescent="0.4">
      <c r="D552" s="266"/>
    </row>
    <row r="553" spans="4:4" ht="13.15" x14ac:dyDescent="0.4">
      <c r="D553" s="266"/>
    </row>
    <row r="554" spans="4:4" ht="13.15" x14ac:dyDescent="0.4">
      <c r="D554" s="266"/>
    </row>
    <row r="555" spans="4:4" ht="13.15" x14ac:dyDescent="0.4">
      <c r="D555" s="266"/>
    </row>
    <row r="556" spans="4:4" ht="13.15" x14ac:dyDescent="0.4">
      <c r="D556" s="266"/>
    </row>
    <row r="557" spans="4:4" ht="13.15" x14ac:dyDescent="0.4">
      <c r="D557" s="266"/>
    </row>
    <row r="558" spans="4:4" ht="13.15" x14ac:dyDescent="0.4">
      <c r="D558" s="266"/>
    </row>
    <row r="559" spans="4:4" ht="13.15" x14ac:dyDescent="0.4">
      <c r="D559" s="266"/>
    </row>
    <row r="560" spans="4:4" ht="13.15" x14ac:dyDescent="0.4">
      <c r="D560" s="266"/>
    </row>
    <row r="561" spans="4:4" ht="13.15" x14ac:dyDescent="0.4">
      <c r="D561" s="266"/>
    </row>
    <row r="562" spans="4:4" ht="13.15" x14ac:dyDescent="0.4">
      <c r="D562" s="266"/>
    </row>
    <row r="563" spans="4:4" ht="13.15" x14ac:dyDescent="0.4">
      <c r="D563" s="266"/>
    </row>
    <row r="564" spans="4:4" ht="13.15" x14ac:dyDescent="0.4">
      <c r="D564" s="266"/>
    </row>
    <row r="565" spans="4:4" ht="13.15" x14ac:dyDescent="0.4">
      <c r="D565" s="266"/>
    </row>
    <row r="566" spans="4:4" ht="13.15" x14ac:dyDescent="0.4">
      <c r="D566" s="266"/>
    </row>
    <row r="567" spans="4:4" ht="13.15" x14ac:dyDescent="0.4">
      <c r="D567" s="266"/>
    </row>
    <row r="568" spans="4:4" ht="13.15" x14ac:dyDescent="0.4">
      <c r="D568" s="266"/>
    </row>
    <row r="569" spans="4:4" ht="13.15" x14ac:dyDescent="0.4">
      <c r="D569" s="266"/>
    </row>
    <row r="570" spans="4:4" ht="13.15" x14ac:dyDescent="0.4">
      <c r="D570" s="266"/>
    </row>
    <row r="571" spans="4:4" ht="13.15" x14ac:dyDescent="0.4">
      <c r="D571" s="266"/>
    </row>
    <row r="572" spans="4:4" ht="13.15" x14ac:dyDescent="0.4">
      <c r="D572" s="266"/>
    </row>
    <row r="573" spans="4:4" ht="13.15" x14ac:dyDescent="0.4">
      <c r="D573" s="266"/>
    </row>
    <row r="574" spans="4:4" ht="13.15" x14ac:dyDescent="0.4">
      <c r="D574" s="266"/>
    </row>
    <row r="575" spans="4:4" ht="13.15" x14ac:dyDescent="0.4">
      <c r="D575" s="266"/>
    </row>
    <row r="576" spans="4:4" ht="13.15" x14ac:dyDescent="0.4">
      <c r="D576" s="266"/>
    </row>
    <row r="577" spans="4:4" ht="13.15" x14ac:dyDescent="0.4">
      <c r="D577" s="266"/>
    </row>
    <row r="578" spans="4:4" ht="13.15" x14ac:dyDescent="0.4">
      <c r="D578" s="266"/>
    </row>
    <row r="579" spans="4:4" ht="13.15" x14ac:dyDescent="0.4">
      <c r="D579" s="266"/>
    </row>
    <row r="580" spans="4:4" ht="13.15" x14ac:dyDescent="0.4">
      <c r="D580" s="266"/>
    </row>
    <row r="581" spans="4:4" ht="13.15" x14ac:dyDescent="0.4">
      <c r="D581" s="266"/>
    </row>
    <row r="582" spans="4:4" ht="13.15" x14ac:dyDescent="0.4">
      <c r="D582" s="266"/>
    </row>
    <row r="583" spans="4:4" ht="13.15" x14ac:dyDescent="0.4">
      <c r="D583" s="266"/>
    </row>
    <row r="584" spans="4:4" ht="13.15" x14ac:dyDescent="0.4">
      <c r="D584" s="266"/>
    </row>
    <row r="585" spans="4:4" ht="13.15" x14ac:dyDescent="0.4">
      <c r="D585" s="266"/>
    </row>
    <row r="586" spans="4:4" ht="13.15" x14ac:dyDescent="0.4">
      <c r="D586" s="266"/>
    </row>
    <row r="587" spans="4:4" ht="13.15" x14ac:dyDescent="0.4">
      <c r="D587" s="266"/>
    </row>
    <row r="588" spans="4:4" ht="13.15" x14ac:dyDescent="0.4">
      <c r="D588" s="266"/>
    </row>
    <row r="589" spans="4:4" ht="13.15" x14ac:dyDescent="0.4">
      <c r="D589" s="266"/>
    </row>
    <row r="590" spans="4:4" ht="13.15" x14ac:dyDescent="0.4">
      <c r="D590" s="266"/>
    </row>
    <row r="591" spans="4:4" ht="13.15" x14ac:dyDescent="0.4">
      <c r="D591" s="266"/>
    </row>
    <row r="592" spans="4:4" ht="13.15" x14ac:dyDescent="0.4">
      <c r="D592" s="266"/>
    </row>
    <row r="593" spans="4:4" ht="13.15" x14ac:dyDescent="0.4">
      <c r="D593" s="266"/>
    </row>
    <row r="594" spans="4:4" ht="13.15" x14ac:dyDescent="0.4">
      <c r="D594" s="266"/>
    </row>
    <row r="595" spans="4:4" ht="13.15" x14ac:dyDescent="0.4">
      <c r="D595" s="266"/>
    </row>
    <row r="596" spans="4:4" ht="13.15" x14ac:dyDescent="0.4">
      <c r="D596" s="266"/>
    </row>
    <row r="597" spans="4:4" ht="13.15" x14ac:dyDescent="0.4">
      <c r="D597" s="266"/>
    </row>
    <row r="598" spans="4:4" ht="13.15" x14ac:dyDescent="0.4">
      <c r="D598" s="266"/>
    </row>
    <row r="599" spans="4:4" ht="13.15" x14ac:dyDescent="0.4">
      <c r="D599" s="266"/>
    </row>
    <row r="600" spans="4:4" ht="13.15" x14ac:dyDescent="0.4">
      <c r="D600" s="266"/>
    </row>
    <row r="601" spans="4:4" ht="13.15" x14ac:dyDescent="0.4">
      <c r="D601" s="266"/>
    </row>
    <row r="602" spans="4:4" ht="13.15" x14ac:dyDescent="0.4">
      <c r="D602" s="266"/>
    </row>
    <row r="603" spans="4:4" ht="13.15" x14ac:dyDescent="0.4">
      <c r="D603" s="266"/>
    </row>
    <row r="604" spans="4:4" ht="13.15" x14ac:dyDescent="0.4">
      <c r="D604" s="266"/>
    </row>
    <row r="605" spans="4:4" ht="13.15" x14ac:dyDescent="0.4">
      <c r="D605" s="266"/>
    </row>
    <row r="606" spans="4:4" ht="13.15" x14ac:dyDescent="0.4">
      <c r="D606" s="266"/>
    </row>
    <row r="607" spans="4:4" ht="13.15" x14ac:dyDescent="0.4">
      <c r="D607" s="266"/>
    </row>
    <row r="608" spans="4:4" ht="13.15" x14ac:dyDescent="0.4">
      <c r="D608" s="266"/>
    </row>
    <row r="609" spans="4:4" ht="13.15" x14ac:dyDescent="0.4">
      <c r="D609" s="266"/>
    </row>
    <row r="610" spans="4:4" ht="13.15" x14ac:dyDescent="0.4">
      <c r="D610" s="266"/>
    </row>
    <row r="611" spans="4:4" ht="13.15" x14ac:dyDescent="0.4">
      <c r="D611" s="266"/>
    </row>
    <row r="612" spans="4:4" ht="13.15" x14ac:dyDescent="0.4">
      <c r="D612" s="266"/>
    </row>
    <row r="613" spans="4:4" ht="13.15" x14ac:dyDescent="0.4">
      <c r="D613" s="266"/>
    </row>
    <row r="614" spans="4:4" ht="13.15" x14ac:dyDescent="0.4">
      <c r="D614" s="266"/>
    </row>
    <row r="615" spans="4:4" ht="13.15" x14ac:dyDescent="0.4">
      <c r="D615" s="266"/>
    </row>
    <row r="616" spans="4:4" ht="13.15" x14ac:dyDescent="0.4">
      <c r="D616" s="266"/>
    </row>
    <row r="617" spans="4:4" ht="13.15" x14ac:dyDescent="0.4">
      <c r="D617" s="266"/>
    </row>
    <row r="618" spans="4:4" ht="13.15" x14ac:dyDescent="0.4">
      <c r="D618" s="266"/>
    </row>
    <row r="619" spans="4:4" ht="13.15" x14ac:dyDescent="0.4">
      <c r="D619" s="266"/>
    </row>
    <row r="620" spans="4:4" ht="13.15" x14ac:dyDescent="0.4">
      <c r="D620" s="266"/>
    </row>
    <row r="621" spans="4:4" ht="13.15" x14ac:dyDescent="0.4">
      <c r="D621" s="266"/>
    </row>
    <row r="622" spans="4:4" ht="13.15" x14ac:dyDescent="0.4">
      <c r="D622" s="266"/>
    </row>
    <row r="623" spans="4:4" ht="13.15" x14ac:dyDescent="0.4">
      <c r="D623" s="266"/>
    </row>
    <row r="624" spans="4:4" ht="13.15" x14ac:dyDescent="0.4">
      <c r="D624" s="266"/>
    </row>
    <row r="625" spans="4:4" ht="13.15" x14ac:dyDescent="0.4">
      <c r="D625" s="266"/>
    </row>
    <row r="626" spans="4:4" ht="13.15" x14ac:dyDescent="0.4">
      <c r="D626" s="266"/>
    </row>
    <row r="627" spans="4:4" ht="13.15" x14ac:dyDescent="0.4">
      <c r="D627" s="266"/>
    </row>
    <row r="628" spans="4:4" ht="13.15" x14ac:dyDescent="0.4">
      <c r="D628" s="266"/>
    </row>
    <row r="629" spans="4:4" ht="13.15" x14ac:dyDescent="0.4">
      <c r="D629" s="266"/>
    </row>
    <row r="630" spans="4:4" ht="13.15" x14ac:dyDescent="0.4">
      <c r="D630" s="266"/>
    </row>
    <row r="631" spans="4:4" ht="13.15" x14ac:dyDescent="0.4">
      <c r="D631" s="266"/>
    </row>
    <row r="632" spans="4:4" ht="13.15" x14ac:dyDescent="0.4">
      <c r="D632" s="266"/>
    </row>
    <row r="633" spans="4:4" ht="13.15" x14ac:dyDescent="0.4">
      <c r="D633" s="266"/>
    </row>
    <row r="634" spans="4:4" ht="13.15" x14ac:dyDescent="0.4">
      <c r="D634" s="266"/>
    </row>
    <row r="635" spans="4:4" ht="13.15" x14ac:dyDescent="0.4">
      <c r="D635" s="266"/>
    </row>
    <row r="636" spans="4:4" ht="13.15" x14ac:dyDescent="0.4">
      <c r="D636" s="266"/>
    </row>
    <row r="637" spans="4:4" ht="13.15" x14ac:dyDescent="0.4">
      <c r="D637" s="266"/>
    </row>
    <row r="638" spans="4:4" ht="13.15" x14ac:dyDescent="0.4">
      <c r="D638" s="266"/>
    </row>
    <row r="639" spans="4:4" ht="13.15" x14ac:dyDescent="0.4">
      <c r="D639" s="266"/>
    </row>
    <row r="640" spans="4:4" ht="13.15" x14ac:dyDescent="0.4">
      <c r="D640" s="266"/>
    </row>
    <row r="641" spans="4:4" ht="13.15" x14ac:dyDescent="0.4">
      <c r="D641" s="266"/>
    </row>
    <row r="642" spans="4:4" ht="13.15" x14ac:dyDescent="0.4">
      <c r="D642" s="266"/>
    </row>
    <row r="643" spans="4:4" ht="13.15" x14ac:dyDescent="0.4">
      <c r="D643" s="266"/>
    </row>
    <row r="644" spans="4:4" ht="13.15" x14ac:dyDescent="0.4">
      <c r="D644" s="266"/>
    </row>
    <row r="645" spans="4:4" ht="13.15" x14ac:dyDescent="0.4">
      <c r="D645" s="266"/>
    </row>
    <row r="646" spans="4:4" ht="13.15" x14ac:dyDescent="0.4">
      <c r="D646" s="266"/>
    </row>
    <row r="647" spans="4:4" ht="13.15" x14ac:dyDescent="0.4">
      <c r="D647" s="266"/>
    </row>
    <row r="648" spans="4:4" ht="13.15" x14ac:dyDescent="0.4">
      <c r="D648" s="266"/>
    </row>
    <row r="649" spans="4:4" ht="13.15" x14ac:dyDescent="0.4">
      <c r="D649" s="266"/>
    </row>
    <row r="650" spans="4:4" ht="13.15" x14ac:dyDescent="0.4">
      <c r="D650" s="266"/>
    </row>
    <row r="651" spans="4:4" ht="13.15" x14ac:dyDescent="0.4">
      <c r="D651" s="266"/>
    </row>
    <row r="652" spans="4:4" ht="13.15" x14ac:dyDescent="0.4">
      <c r="D652" s="266"/>
    </row>
    <row r="653" spans="4:4" ht="13.15" x14ac:dyDescent="0.4">
      <c r="D653" s="266"/>
    </row>
    <row r="654" spans="4:4" ht="13.15" x14ac:dyDescent="0.4">
      <c r="D654" s="266"/>
    </row>
    <row r="655" spans="4:4" ht="13.15" x14ac:dyDescent="0.4">
      <c r="D655" s="266"/>
    </row>
    <row r="656" spans="4:4" ht="13.15" x14ac:dyDescent="0.4">
      <c r="D656" s="266"/>
    </row>
    <row r="657" spans="4:4" ht="13.15" x14ac:dyDescent="0.4">
      <c r="D657" s="266"/>
    </row>
    <row r="658" spans="4:4" ht="13.15" x14ac:dyDescent="0.4">
      <c r="D658" s="266"/>
    </row>
    <row r="659" spans="4:4" ht="13.15" x14ac:dyDescent="0.4">
      <c r="D659" s="266"/>
    </row>
    <row r="660" spans="4:4" ht="13.15" x14ac:dyDescent="0.4">
      <c r="D660" s="266"/>
    </row>
    <row r="661" spans="4:4" ht="13.15" x14ac:dyDescent="0.4">
      <c r="D661" s="266"/>
    </row>
    <row r="662" spans="4:4" ht="13.15" x14ac:dyDescent="0.4">
      <c r="D662" s="266"/>
    </row>
    <row r="663" spans="4:4" ht="13.15" x14ac:dyDescent="0.4">
      <c r="D663" s="266"/>
    </row>
    <row r="664" spans="4:4" ht="13.15" x14ac:dyDescent="0.4">
      <c r="D664" s="266"/>
    </row>
    <row r="665" spans="4:4" ht="13.15" x14ac:dyDescent="0.4">
      <c r="D665" s="266"/>
    </row>
    <row r="666" spans="4:4" ht="13.15" x14ac:dyDescent="0.4">
      <c r="D666" s="266"/>
    </row>
    <row r="667" spans="4:4" ht="13.15" x14ac:dyDescent="0.4">
      <c r="D667" s="266"/>
    </row>
    <row r="668" spans="4:4" ht="13.15" x14ac:dyDescent="0.4">
      <c r="D668" s="266"/>
    </row>
    <row r="669" spans="4:4" ht="13.15" x14ac:dyDescent="0.4">
      <c r="D669" s="266"/>
    </row>
    <row r="670" spans="4:4" ht="13.15" x14ac:dyDescent="0.4">
      <c r="D670" s="266"/>
    </row>
    <row r="671" spans="4:4" ht="13.15" x14ac:dyDescent="0.4">
      <c r="D671" s="266"/>
    </row>
    <row r="672" spans="4:4" ht="13.15" x14ac:dyDescent="0.4">
      <c r="D672" s="266"/>
    </row>
    <row r="673" spans="4:4" ht="13.15" x14ac:dyDescent="0.4">
      <c r="D673" s="266"/>
    </row>
    <row r="674" spans="4:4" ht="13.15" x14ac:dyDescent="0.4">
      <c r="D674" s="266"/>
    </row>
    <row r="675" spans="4:4" ht="13.15" x14ac:dyDescent="0.4">
      <c r="D675" s="266"/>
    </row>
    <row r="676" spans="4:4" ht="13.15" x14ac:dyDescent="0.4">
      <c r="D676" s="266"/>
    </row>
    <row r="677" spans="4:4" ht="13.15" x14ac:dyDescent="0.4">
      <c r="D677" s="266"/>
    </row>
    <row r="678" spans="4:4" ht="13.15" x14ac:dyDescent="0.4">
      <c r="D678" s="266"/>
    </row>
    <row r="679" spans="4:4" ht="13.15" x14ac:dyDescent="0.4">
      <c r="D679" s="266"/>
    </row>
    <row r="680" spans="4:4" ht="13.15" x14ac:dyDescent="0.4">
      <c r="D680" s="266"/>
    </row>
    <row r="681" spans="4:4" ht="13.15" x14ac:dyDescent="0.4">
      <c r="D681" s="266"/>
    </row>
    <row r="682" spans="4:4" ht="13.15" x14ac:dyDescent="0.4">
      <c r="D682" s="266"/>
    </row>
    <row r="683" spans="4:4" ht="13.15" x14ac:dyDescent="0.4">
      <c r="D683" s="266"/>
    </row>
    <row r="684" spans="4:4" ht="13.15" x14ac:dyDescent="0.4">
      <c r="D684" s="266"/>
    </row>
    <row r="685" spans="4:4" ht="13.15" x14ac:dyDescent="0.4">
      <c r="D685" s="266"/>
    </row>
    <row r="686" spans="4:4" ht="13.15" x14ac:dyDescent="0.4">
      <c r="D686" s="266"/>
    </row>
    <row r="687" spans="4:4" ht="13.15" x14ac:dyDescent="0.4">
      <c r="D687" s="266"/>
    </row>
    <row r="688" spans="4:4" ht="13.15" x14ac:dyDescent="0.4">
      <c r="D688" s="266"/>
    </row>
    <row r="689" spans="4:4" ht="13.15" x14ac:dyDescent="0.4">
      <c r="D689" s="266"/>
    </row>
    <row r="690" spans="4:4" ht="13.15" x14ac:dyDescent="0.4">
      <c r="D690" s="266"/>
    </row>
    <row r="691" spans="4:4" ht="13.15" x14ac:dyDescent="0.4">
      <c r="D691" s="266"/>
    </row>
    <row r="692" spans="4:4" ht="13.15" x14ac:dyDescent="0.4">
      <c r="D692" s="266"/>
    </row>
    <row r="693" spans="4:4" ht="13.15" x14ac:dyDescent="0.4">
      <c r="D693" s="266"/>
    </row>
    <row r="694" spans="4:4" ht="13.15" x14ac:dyDescent="0.4">
      <c r="D694" s="266"/>
    </row>
    <row r="695" spans="4:4" ht="13.15" x14ac:dyDescent="0.4">
      <c r="D695" s="266"/>
    </row>
    <row r="696" spans="4:4" ht="13.15" x14ac:dyDescent="0.4">
      <c r="D696" s="266"/>
    </row>
    <row r="697" spans="4:4" ht="13.15" x14ac:dyDescent="0.4">
      <c r="D697" s="266"/>
    </row>
    <row r="698" spans="4:4" ht="13.15" x14ac:dyDescent="0.4">
      <c r="D698" s="266"/>
    </row>
    <row r="699" spans="4:4" ht="13.15" x14ac:dyDescent="0.4">
      <c r="D699" s="266"/>
    </row>
    <row r="700" spans="4:4" ht="13.15" x14ac:dyDescent="0.4">
      <c r="D700" s="266"/>
    </row>
    <row r="701" spans="4:4" ht="13.15" x14ac:dyDescent="0.4">
      <c r="D701" s="266"/>
    </row>
    <row r="702" spans="4:4" ht="13.15" x14ac:dyDescent="0.4">
      <c r="D702" s="266"/>
    </row>
    <row r="703" spans="4:4" ht="13.15" x14ac:dyDescent="0.4">
      <c r="D703" s="266"/>
    </row>
    <row r="704" spans="4:4" ht="13.15" x14ac:dyDescent="0.4">
      <c r="D704" s="266"/>
    </row>
    <row r="705" spans="4:4" ht="13.15" x14ac:dyDescent="0.4">
      <c r="D705" s="266"/>
    </row>
    <row r="706" spans="4:4" ht="13.15" x14ac:dyDescent="0.4">
      <c r="D706" s="266"/>
    </row>
    <row r="707" spans="4:4" ht="13.15" x14ac:dyDescent="0.4">
      <c r="D707" s="266"/>
    </row>
    <row r="708" spans="4:4" ht="13.15" x14ac:dyDescent="0.4">
      <c r="D708" s="266"/>
    </row>
    <row r="709" spans="4:4" ht="13.15" x14ac:dyDescent="0.4">
      <c r="D709" s="266"/>
    </row>
    <row r="710" spans="4:4" ht="13.15" x14ac:dyDescent="0.4">
      <c r="D710" s="266"/>
    </row>
    <row r="711" spans="4:4" ht="13.15" x14ac:dyDescent="0.4">
      <c r="D711" s="266"/>
    </row>
    <row r="712" spans="4:4" ht="13.15" x14ac:dyDescent="0.4">
      <c r="D712" s="266"/>
    </row>
    <row r="713" spans="4:4" ht="13.15" x14ac:dyDescent="0.4">
      <c r="D713" s="266"/>
    </row>
    <row r="714" spans="4:4" ht="13.15" x14ac:dyDescent="0.4">
      <c r="D714" s="266"/>
    </row>
    <row r="715" spans="4:4" ht="13.15" x14ac:dyDescent="0.4">
      <c r="D715" s="266"/>
    </row>
    <row r="716" spans="4:4" ht="13.15" x14ac:dyDescent="0.4">
      <c r="D716" s="266"/>
    </row>
    <row r="717" spans="4:4" ht="13.15" x14ac:dyDescent="0.4">
      <c r="D717" s="266"/>
    </row>
    <row r="718" spans="4:4" ht="13.15" x14ac:dyDescent="0.4">
      <c r="D718" s="266"/>
    </row>
    <row r="719" spans="4:4" ht="13.15" x14ac:dyDescent="0.4">
      <c r="D719" s="266"/>
    </row>
    <row r="720" spans="4:4" ht="13.15" x14ac:dyDescent="0.4">
      <c r="D720" s="266"/>
    </row>
    <row r="721" spans="4:4" ht="13.15" x14ac:dyDescent="0.4">
      <c r="D721" s="266"/>
    </row>
    <row r="722" spans="4:4" ht="13.15" x14ac:dyDescent="0.4">
      <c r="D722" s="266"/>
    </row>
    <row r="723" spans="4:4" ht="13.15" x14ac:dyDescent="0.4">
      <c r="D723" s="266"/>
    </row>
    <row r="724" spans="4:4" ht="13.15" x14ac:dyDescent="0.4">
      <c r="D724" s="266"/>
    </row>
    <row r="725" spans="4:4" ht="13.15" x14ac:dyDescent="0.4">
      <c r="D725" s="266"/>
    </row>
    <row r="726" spans="4:4" ht="13.15" x14ac:dyDescent="0.4">
      <c r="D726" s="266"/>
    </row>
    <row r="727" spans="4:4" ht="13.15" x14ac:dyDescent="0.4">
      <c r="D727" s="266"/>
    </row>
    <row r="728" spans="4:4" ht="13.15" x14ac:dyDescent="0.4">
      <c r="D728" s="266"/>
    </row>
    <row r="729" spans="4:4" ht="13.15" x14ac:dyDescent="0.4">
      <c r="D729" s="266"/>
    </row>
    <row r="730" spans="4:4" ht="13.15" x14ac:dyDescent="0.4">
      <c r="D730" s="266"/>
    </row>
    <row r="731" spans="4:4" ht="13.15" x14ac:dyDescent="0.4">
      <c r="D731" s="266"/>
    </row>
    <row r="732" spans="4:4" ht="13.15" x14ac:dyDescent="0.4">
      <c r="D732" s="266"/>
    </row>
    <row r="733" spans="4:4" ht="13.15" x14ac:dyDescent="0.4">
      <c r="D733" s="266"/>
    </row>
    <row r="734" spans="4:4" ht="13.15" x14ac:dyDescent="0.4">
      <c r="D734" s="266"/>
    </row>
    <row r="735" spans="4:4" ht="13.15" x14ac:dyDescent="0.4">
      <c r="D735" s="266"/>
    </row>
    <row r="736" spans="4:4" ht="13.15" x14ac:dyDescent="0.4">
      <c r="D736" s="266"/>
    </row>
    <row r="737" spans="4:4" ht="13.15" x14ac:dyDescent="0.4">
      <c r="D737" s="266"/>
    </row>
    <row r="738" spans="4:4" ht="13.15" x14ac:dyDescent="0.4">
      <c r="D738" s="266"/>
    </row>
    <row r="739" spans="4:4" ht="13.15" x14ac:dyDescent="0.4">
      <c r="D739" s="266"/>
    </row>
    <row r="740" spans="4:4" ht="13.15" x14ac:dyDescent="0.4">
      <c r="D740" s="266"/>
    </row>
    <row r="741" spans="4:4" ht="13.15" x14ac:dyDescent="0.4">
      <c r="D741" s="266"/>
    </row>
    <row r="742" spans="4:4" ht="13.15" x14ac:dyDescent="0.4">
      <c r="D742" s="266"/>
    </row>
    <row r="743" spans="4:4" ht="13.15" x14ac:dyDescent="0.4">
      <c r="D743" s="266"/>
    </row>
    <row r="744" spans="4:4" ht="13.15" x14ac:dyDescent="0.4">
      <c r="D744" s="266"/>
    </row>
    <row r="745" spans="4:4" ht="13.15" x14ac:dyDescent="0.4">
      <c r="D745" s="266"/>
    </row>
    <row r="746" spans="4:4" ht="13.15" x14ac:dyDescent="0.4">
      <c r="D746" s="266"/>
    </row>
    <row r="747" spans="4:4" ht="13.15" x14ac:dyDescent="0.4">
      <c r="D747" s="266"/>
    </row>
    <row r="748" spans="4:4" ht="13.15" x14ac:dyDescent="0.4">
      <c r="D748" s="266"/>
    </row>
    <row r="749" spans="4:4" ht="13.15" x14ac:dyDescent="0.4">
      <c r="D749" s="266"/>
    </row>
    <row r="750" spans="4:4" ht="13.15" x14ac:dyDescent="0.4">
      <c r="D750" s="266"/>
    </row>
    <row r="751" spans="4:4" ht="13.15" x14ac:dyDescent="0.4">
      <c r="D751" s="266"/>
    </row>
    <row r="752" spans="4:4" ht="13.15" x14ac:dyDescent="0.4">
      <c r="D752" s="266"/>
    </row>
    <row r="753" spans="4:4" ht="13.15" x14ac:dyDescent="0.4">
      <c r="D753" s="266"/>
    </row>
    <row r="754" spans="4:4" ht="13.15" x14ac:dyDescent="0.4">
      <c r="D754" s="266"/>
    </row>
    <row r="755" spans="4:4" ht="13.15" x14ac:dyDescent="0.4">
      <c r="D755" s="266"/>
    </row>
    <row r="756" spans="4:4" ht="13.15" x14ac:dyDescent="0.4">
      <c r="D756" s="266"/>
    </row>
    <row r="757" spans="4:4" ht="13.15" x14ac:dyDescent="0.4">
      <c r="D757" s="266"/>
    </row>
    <row r="758" spans="4:4" ht="13.15" x14ac:dyDescent="0.4">
      <c r="D758" s="266"/>
    </row>
    <row r="759" spans="4:4" ht="13.15" x14ac:dyDescent="0.4">
      <c r="D759" s="266"/>
    </row>
    <row r="760" spans="4:4" ht="13.15" x14ac:dyDescent="0.4">
      <c r="D760" s="266"/>
    </row>
    <row r="761" spans="4:4" ht="13.15" x14ac:dyDescent="0.4">
      <c r="D761" s="266"/>
    </row>
    <row r="762" spans="4:4" ht="13.15" x14ac:dyDescent="0.4">
      <c r="D762" s="266"/>
    </row>
    <row r="763" spans="4:4" ht="13.15" x14ac:dyDescent="0.4">
      <c r="D763" s="266"/>
    </row>
    <row r="764" spans="4:4" ht="13.15" x14ac:dyDescent="0.4">
      <c r="D764" s="266"/>
    </row>
    <row r="765" spans="4:4" ht="13.15" x14ac:dyDescent="0.4">
      <c r="D765" s="266"/>
    </row>
    <row r="766" spans="4:4" ht="13.15" x14ac:dyDescent="0.4">
      <c r="D766" s="266"/>
    </row>
    <row r="767" spans="4:4" ht="13.15" x14ac:dyDescent="0.4">
      <c r="D767" s="266"/>
    </row>
    <row r="768" spans="4:4" ht="13.15" x14ac:dyDescent="0.4">
      <c r="D768" s="266"/>
    </row>
    <row r="769" spans="4:4" ht="13.15" x14ac:dyDescent="0.4">
      <c r="D769" s="266"/>
    </row>
    <row r="770" spans="4:4" ht="13.15" x14ac:dyDescent="0.4">
      <c r="D770" s="266"/>
    </row>
    <row r="771" spans="4:4" ht="13.15" x14ac:dyDescent="0.4">
      <c r="D771" s="266"/>
    </row>
    <row r="772" spans="4:4" ht="13.15" x14ac:dyDescent="0.4">
      <c r="D772" s="266"/>
    </row>
    <row r="773" spans="4:4" ht="13.15" x14ac:dyDescent="0.4">
      <c r="D773" s="266"/>
    </row>
    <row r="774" spans="4:4" ht="13.15" x14ac:dyDescent="0.4">
      <c r="D774" s="266"/>
    </row>
    <row r="775" spans="4:4" ht="13.15" x14ac:dyDescent="0.4">
      <c r="D775" s="266"/>
    </row>
    <row r="776" spans="4:4" ht="13.15" x14ac:dyDescent="0.4">
      <c r="D776" s="266"/>
    </row>
    <row r="777" spans="4:4" ht="13.15" x14ac:dyDescent="0.4">
      <c r="D777" s="266"/>
    </row>
    <row r="778" spans="4:4" ht="13.15" x14ac:dyDescent="0.4">
      <c r="D778" s="266"/>
    </row>
    <row r="779" spans="4:4" ht="13.15" x14ac:dyDescent="0.4">
      <c r="D779" s="266"/>
    </row>
    <row r="780" spans="4:4" ht="13.15" x14ac:dyDescent="0.4">
      <c r="D780" s="266"/>
    </row>
    <row r="781" spans="4:4" ht="13.15" x14ac:dyDescent="0.4">
      <c r="D781" s="266"/>
    </row>
    <row r="782" spans="4:4" ht="13.15" x14ac:dyDescent="0.4">
      <c r="D782" s="266"/>
    </row>
    <row r="783" spans="4:4" ht="13.15" x14ac:dyDescent="0.4">
      <c r="D783" s="266"/>
    </row>
    <row r="784" spans="4:4" ht="13.15" x14ac:dyDescent="0.4">
      <c r="D784" s="266"/>
    </row>
    <row r="785" spans="4:4" ht="13.15" x14ac:dyDescent="0.4">
      <c r="D785" s="266"/>
    </row>
    <row r="786" spans="4:4" ht="13.15" x14ac:dyDescent="0.4">
      <c r="D786" s="266"/>
    </row>
    <row r="787" spans="4:4" ht="13.15" x14ac:dyDescent="0.4">
      <c r="D787" s="266"/>
    </row>
    <row r="788" spans="4:4" ht="13.15" x14ac:dyDescent="0.4">
      <c r="D788" s="266"/>
    </row>
    <row r="789" spans="4:4" ht="13.15" x14ac:dyDescent="0.4">
      <c r="D789" s="266"/>
    </row>
    <row r="790" spans="4:4" ht="13.15" x14ac:dyDescent="0.4">
      <c r="D790" s="266"/>
    </row>
    <row r="791" spans="4:4" ht="13.15" x14ac:dyDescent="0.4">
      <c r="D791" s="266"/>
    </row>
    <row r="792" spans="4:4" ht="13.15" x14ac:dyDescent="0.4">
      <c r="D792" s="266"/>
    </row>
    <row r="793" spans="4:4" ht="13.15" x14ac:dyDescent="0.4">
      <c r="D793" s="266"/>
    </row>
    <row r="794" spans="4:4" ht="13.15" x14ac:dyDescent="0.4">
      <c r="D794" s="266"/>
    </row>
    <row r="795" spans="4:4" ht="13.15" x14ac:dyDescent="0.4">
      <c r="D795" s="266"/>
    </row>
    <row r="796" spans="4:4" ht="13.15" x14ac:dyDescent="0.4">
      <c r="D796" s="266"/>
    </row>
    <row r="797" spans="4:4" ht="13.15" x14ac:dyDescent="0.4">
      <c r="D797" s="266"/>
    </row>
    <row r="798" spans="4:4" ht="13.15" x14ac:dyDescent="0.4">
      <c r="D798" s="266"/>
    </row>
    <row r="799" spans="4:4" ht="13.15" x14ac:dyDescent="0.4">
      <c r="D799" s="266"/>
    </row>
    <row r="800" spans="4:4" ht="13.15" x14ac:dyDescent="0.4">
      <c r="D800" s="266"/>
    </row>
    <row r="801" spans="4:4" ht="13.15" x14ac:dyDescent="0.4">
      <c r="D801" s="266"/>
    </row>
    <row r="802" spans="4:4" ht="13.15" x14ac:dyDescent="0.4">
      <c r="D802" s="266"/>
    </row>
    <row r="803" spans="4:4" ht="13.15" x14ac:dyDescent="0.4">
      <c r="D803" s="266"/>
    </row>
    <row r="804" spans="4:4" ht="13.15" x14ac:dyDescent="0.4">
      <c r="D804" s="266"/>
    </row>
    <row r="805" spans="4:4" ht="13.15" x14ac:dyDescent="0.4">
      <c r="D805" s="266"/>
    </row>
    <row r="806" spans="4:4" ht="13.15" x14ac:dyDescent="0.4">
      <c r="D806" s="266"/>
    </row>
    <row r="807" spans="4:4" ht="13.15" x14ac:dyDescent="0.4">
      <c r="D807" s="266"/>
    </row>
    <row r="808" spans="4:4" ht="13.15" x14ac:dyDescent="0.4">
      <c r="D808" s="266"/>
    </row>
    <row r="809" spans="4:4" ht="13.15" x14ac:dyDescent="0.4">
      <c r="D809" s="266"/>
    </row>
    <row r="810" spans="4:4" ht="13.15" x14ac:dyDescent="0.4">
      <c r="D810" s="266"/>
    </row>
    <row r="811" spans="4:4" ht="13.15" x14ac:dyDescent="0.4">
      <c r="D811" s="266"/>
    </row>
    <row r="812" spans="4:4" ht="13.15" x14ac:dyDescent="0.4">
      <c r="D812" s="266"/>
    </row>
    <row r="813" spans="4:4" ht="13.15" x14ac:dyDescent="0.4">
      <c r="D813" s="266"/>
    </row>
    <row r="814" spans="4:4" ht="13.15" x14ac:dyDescent="0.4">
      <c r="D814" s="266"/>
    </row>
    <row r="815" spans="4:4" ht="13.15" x14ac:dyDescent="0.4">
      <c r="D815" s="266"/>
    </row>
    <row r="816" spans="4:4" ht="13.15" x14ac:dyDescent="0.4">
      <c r="D816" s="266"/>
    </row>
    <row r="817" spans="4:4" ht="13.15" x14ac:dyDescent="0.4">
      <c r="D817" s="266"/>
    </row>
    <row r="818" spans="4:4" ht="13.15" x14ac:dyDescent="0.4">
      <c r="D818" s="266"/>
    </row>
    <row r="819" spans="4:4" ht="13.15" x14ac:dyDescent="0.4">
      <c r="D819" s="266"/>
    </row>
    <row r="820" spans="4:4" ht="13.15" x14ac:dyDescent="0.4">
      <c r="D820" s="266"/>
    </row>
    <row r="821" spans="4:4" ht="13.15" x14ac:dyDescent="0.4">
      <c r="D821" s="266"/>
    </row>
    <row r="822" spans="4:4" ht="13.15" x14ac:dyDescent="0.4">
      <c r="D822" s="266"/>
    </row>
    <row r="823" spans="4:4" ht="13.15" x14ac:dyDescent="0.4">
      <c r="D823" s="266"/>
    </row>
    <row r="824" spans="4:4" ht="13.15" x14ac:dyDescent="0.4">
      <c r="D824" s="266"/>
    </row>
    <row r="825" spans="4:4" ht="13.15" x14ac:dyDescent="0.4">
      <c r="D825" s="266"/>
    </row>
    <row r="826" spans="4:4" ht="13.15" x14ac:dyDescent="0.4">
      <c r="D826" s="266"/>
    </row>
    <row r="827" spans="4:4" ht="13.15" x14ac:dyDescent="0.4">
      <c r="D827" s="266"/>
    </row>
    <row r="828" spans="4:4" ht="13.15" x14ac:dyDescent="0.4">
      <c r="D828" s="266"/>
    </row>
    <row r="829" spans="4:4" ht="13.15" x14ac:dyDescent="0.4">
      <c r="D829" s="266"/>
    </row>
    <row r="830" spans="4:4" ht="13.15" x14ac:dyDescent="0.4">
      <c r="D830" s="266"/>
    </row>
    <row r="831" spans="4:4" ht="13.15" x14ac:dyDescent="0.4">
      <c r="D831" s="266"/>
    </row>
    <row r="832" spans="4:4" ht="13.15" x14ac:dyDescent="0.4">
      <c r="D832" s="266"/>
    </row>
    <row r="833" spans="4:4" ht="13.15" x14ac:dyDescent="0.4">
      <c r="D833" s="266"/>
    </row>
    <row r="834" spans="4:4" ht="13.15" x14ac:dyDescent="0.4">
      <c r="D834" s="266"/>
    </row>
    <row r="835" spans="4:4" ht="13.15" x14ac:dyDescent="0.4">
      <c r="D835" s="266"/>
    </row>
    <row r="836" spans="4:4" ht="13.15" x14ac:dyDescent="0.4">
      <c r="D836" s="266"/>
    </row>
    <row r="837" spans="4:4" ht="13.15" x14ac:dyDescent="0.4">
      <c r="D837" s="266"/>
    </row>
    <row r="838" spans="4:4" ht="13.15" x14ac:dyDescent="0.4">
      <c r="D838" s="266"/>
    </row>
    <row r="839" spans="4:4" ht="13.15" x14ac:dyDescent="0.4">
      <c r="D839" s="266"/>
    </row>
    <row r="840" spans="4:4" ht="13.15" x14ac:dyDescent="0.4">
      <c r="D840" s="266"/>
    </row>
    <row r="841" spans="4:4" ht="13.15" x14ac:dyDescent="0.4">
      <c r="D841" s="266"/>
    </row>
    <row r="842" spans="4:4" ht="13.15" x14ac:dyDescent="0.4">
      <c r="D842" s="266"/>
    </row>
    <row r="843" spans="4:4" ht="13.15" x14ac:dyDescent="0.4">
      <c r="D843" s="266"/>
    </row>
    <row r="844" spans="4:4" ht="13.15" x14ac:dyDescent="0.4">
      <c r="D844" s="266"/>
    </row>
    <row r="845" spans="4:4" ht="13.15" x14ac:dyDescent="0.4">
      <c r="D845" s="266"/>
    </row>
    <row r="846" spans="4:4" ht="13.15" x14ac:dyDescent="0.4">
      <c r="D846" s="266"/>
    </row>
    <row r="847" spans="4:4" ht="13.15" x14ac:dyDescent="0.4">
      <c r="D847" s="266"/>
    </row>
    <row r="848" spans="4:4" ht="13.15" x14ac:dyDescent="0.4">
      <c r="D848" s="266"/>
    </row>
    <row r="849" spans="4:4" ht="13.15" x14ac:dyDescent="0.4">
      <c r="D849" s="266"/>
    </row>
    <row r="850" spans="4:4" ht="13.15" x14ac:dyDescent="0.4">
      <c r="D850" s="266"/>
    </row>
    <row r="851" spans="4:4" ht="13.15" x14ac:dyDescent="0.4">
      <c r="D851" s="266"/>
    </row>
    <row r="852" spans="4:4" ht="13.15" x14ac:dyDescent="0.4">
      <c r="D852" s="266"/>
    </row>
    <row r="853" spans="4:4" ht="13.15" x14ac:dyDescent="0.4">
      <c r="D853" s="266"/>
    </row>
    <row r="854" spans="4:4" ht="13.15" x14ac:dyDescent="0.4">
      <c r="D854" s="266"/>
    </row>
    <row r="855" spans="4:4" ht="13.15" x14ac:dyDescent="0.4">
      <c r="D855" s="266"/>
    </row>
    <row r="856" spans="4:4" ht="13.15" x14ac:dyDescent="0.4">
      <c r="D856" s="266"/>
    </row>
    <row r="857" spans="4:4" ht="13.15" x14ac:dyDescent="0.4">
      <c r="D857" s="266"/>
    </row>
    <row r="858" spans="4:4" ht="13.15" x14ac:dyDescent="0.4">
      <c r="D858" s="266"/>
    </row>
    <row r="859" spans="4:4" ht="13.15" x14ac:dyDescent="0.4">
      <c r="D859" s="266"/>
    </row>
    <row r="860" spans="4:4" ht="13.15" x14ac:dyDescent="0.4">
      <c r="D860" s="266"/>
    </row>
    <row r="861" spans="4:4" ht="13.15" x14ac:dyDescent="0.4">
      <c r="D861" s="266"/>
    </row>
    <row r="862" spans="4:4" ht="13.15" x14ac:dyDescent="0.4">
      <c r="D862" s="266"/>
    </row>
    <row r="863" spans="4:4" ht="13.15" x14ac:dyDescent="0.4">
      <c r="D863" s="266"/>
    </row>
    <row r="864" spans="4:4" ht="13.15" x14ac:dyDescent="0.4">
      <c r="D864" s="266"/>
    </row>
    <row r="865" spans="4:4" ht="13.15" x14ac:dyDescent="0.4">
      <c r="D865" s="266"/>
    </row>
    <row r="866" spans="4:4" ht="13.15" x14ac:dyDescent="0.4">
      <c r="D866" s="266"/>
    </row>
    <row r="867" spans="4:4" ht="13.15" x14ac:dyDescent="0.4">
      <c r="D867" s="266"/>
    </row>
    <row r="868" spans="4:4" ht="13.15" x14ac:dyDescent="0.4">
      <c r="D868" s="266"/>
    </row>
    <row r="869" spans="4:4" ht="13.15" x14ac:dyDescent="0.4">
      <c r="D869" s="266"/>
    </row>
    <row r="870" spans="4:4" ht="13.15" x14ac:dyDescent="0.4">
      <c r="D870" s="266"/>
    </row>
    <row r="871" spans="4:4" ht="13.15" x14ac:dyDescent="0.4">
      <c r="D871" s="266"/>
    </row>
    <row r="872" spans="4:4" ht="13.15" x14ac:dyDescent="0.4">
      <c r="D872" s="266"/>
    </row>
    <row r="873" spans="4:4" ht="13.15" x14ac:dyDescent="0.4">
      <c r="D873" s="266"/>
    </row>
    <row r="874" spans="4:4" ht="13.15" x14ac:dyDescent="0.4">
      <c r="D874" s="266"/>
    </row>
    <row r="875" spans="4:4" ht="13.15" x14ac:dyDescent="0.4">
      <c r="D875" s="266"/>
    </row>
    <row r="876" spans="4:4" ht="13.15" x14ac:dyDescent="0.4">
      <c r="D876" s="266"/>
    </row>
    <row r="877" spans="4:4" ht="13.15" x14ac:dyDescent="0.4">
      <c r="D877" s="266"/>
    </row>
    <row r="878" spans="4:4" ht="13.15" x14ac:dyDescent="0.4">
      <c r="D878" s="266"/>
    </row>
    <row r="879" spans="4:4" ht="13.15" x14ac:dyDescent="0.4">
      <c r="D879" s="266"/>
    </row>
    <row r="880" spans="4:4" ht="13.15" x14ac:dyDescent="0.4">
      <c r="D880" s="266"/>
    </row>
    <row r="881" spans="4:4" ht="13.15" x14ac:dyDescent="0.4">
      <c r="D881" s="266"/>
    </row>
    <row r="882" spans="4:4" ht="13.15" x14ac:dyDescent="0.4">
      <c r="D882" s="266"/>
    </row>
    <row r="883" spans="4:4" ht="13.15" x14ac:dyDescent="0.4">
      <c r="D883" s="266"/>
    </row>
    <row r="884" spans="4:4" ht="13.15" x14ac:dyDescent="0.4">
      <c r="D884" s="266"/>
    </row>
    <row r="885" spans="4:4" ht="13.15" x14ac:dyDescent="0.4">
      <c r="D885" s="266"/>
    </row>
    <row r="886" spans="4:4" ht="13.15" x14ac:dyDescent="0.4">
      <c r="D886" s="266"/>
    </row>
    <row r="887" spans="4:4" ht="13.15" x14ac:dyDescent="0.4">
      <c r="D887" s="266"/>
    </row>
    <row r="888" spans="4:4" ht="13.15" x14ac:dyDescent="0.4">
      <c r="D888" s="266"/>
    </row>
    <row r="889" spans="4:4" ht="13.15" x14ac:dyDescent="0.4">
      <c r="D889" s="266"/>
    </row>
    <row r="890" spans="4:4" ht="13.15" x14ac:dyDescent="0.4">
      <c r="D890" s="266"/>
    </row>
    <row r="891" spans="4:4" ht="13.15" x14ac:dyDescent="0.4">
      <c r="D891" s="266"/>
    </row>
    <row r="892" spans="4:4" ht="13.15" x14ac:dyDescent="0.4">
      <c r="D892" s="266"/>
    </row>
    <row r="893" spans="4:4" ht="13.15" x14ac:dyDescent="0.4">
      <c r="D893" s="266"/>
    </row>
    <row r="894" spans="4:4" ht="13.15" x14ac:dyDescent="0.4">
      <c r="D894" s="266"/>
    </row>
    <row r="895" spans="4:4" ht="13.15" x14ac:dyDescent="0.4">
      <c r="D895" s="266"/>
    </row>
    <row r="896" spans="4:4" ht="13.15" x14ac:dyDescent="0.4">
      <c r="D896" s="266"/>
    </row>
    <row r="897" spans="4:4" ht="13.15" x14ac:dyDescent="0.4">
      <c r="D897" s="266"/>
    </row>
    <row r="898" spans="4:4" ht="13.15" x14ac:dyDescent="0.4">
      <c r="D898" s="266"/>
    </row>
    <row r="899" spans="4:4" ht="13.15" x14ac:dyDescent="0.4">
      <c r="D899" s="266"/>
    </row>
    <row r="900" spans="4:4" ht="13.15" x14ac:dyDescent="0.4">
      <c r="D900" s="266"/>
    </row>
    <row r="901" spans="4:4" ht="13.15" x14ac:dyDescent="0.4">
      <c r="D901" s="266"/>
    </row>
    <row r="902" spans="4:4" ht="13.15" x14ac:dyDescent="0.4">
      <c r="D902" s="266"/>
    </row>
    <row r="903" spans="4:4" ht="13.15" x14ac:dyDescent="0.4">
      <c r="D903" s="266"/>
    </row>
    <row r="904" spans="4:4" ht="13.15" x14ac:dyDescent="0.4">
      <c r="D904" s="266"/>
    </row>
    <row r="905" spans="4:4" ht="13.15" x14ac:dyDescent="0.4">
      <c r="D905" s="266"/>
    </row>
    <row r="906" spans="4:4" ht="13.15" x14ac:dyDescent="0.4">
      <c r="D906" s="266"/>
    </row>
    <row r="907" spans="4:4" ht="13.15" x14ac:dyDescent="0.4">
      <c r="D907" s="266"/>
    </row>
    <row r="908" spans="4:4" ht="13.15" x14ac:dyDescent="0.4">
      <c r="D908" s="266"/>
    </row>
    <row r="909" spans="4:4" ht="13.15" x14ac:dyDescent="0.4">
      <c r="D909" s="266"/>
    </row>
    <row r="910" spans="4:4" ht="13.15" x14ac:dyDescent="0.4">
      <c r="D910" s="266"/>
    </row>
    <row r="911" spans="4:4" ht="13.15" x14ac:dyDescent="0.4">
      <c r="D911" s="266"/>
    </row>
    <row r="912" spans="4:4" ht="13.15" x14ac:dyDescent="0.4">
      <c r="D912" s="266"/>
    </row>
    <row r="913" spans="4:4" ht="13.15" x14ac:dyDescent="0.4">
      <c r="D913" s="266"/>
    </row>
    <row r="914" spans="4:4" ht="13.15" x14ac:dyDescent="0.4">
      <c r="D914" s="266"/>
    </row>
    <row r="915" spans="4:4" ht="13.15" x14ac:dyDescent="0.4">
      <c r="D915" s="266"/>
    </row>
    <row r="916" spans="4:4" ht="13.15" x14ac:dyDescent="0.4">
      <c r="D916" s="266"/>
    </row>
    <row r="917" spans="4:4" ht="13.15" x14ac:dyDescent="0.4">
      <c r="D917" s="266"/>
    </row>
    <row r="918" spans="4:4" ht="13.15" x14ac:dyDescent="0.4">
      <c r="D918" s="266"/>
    </row>
    <row r="919" spans="4:4" ht="13.15" x14ac:dyDescent="0.4">
      <c r="D919" s="266"/>
    </row>
    <row r="920" spans="4:4" ht="13.15" x14ac:dyDescent="0.4">
      <c r="D920" s="266"/>
    </row>
    <row r="921" spans="4:4" ht="13.15" x14ac:dyDescent="0.4">
      <c r="D921" s="266"/>
    </row>
    <row r="922" spans="4:4" ht="13.15" x14ac:dyDescent="0.4">
      <c r="D922" s="266"/>
    </row>
    <row r="923" spans="4:4" ht="13.15" x14ac:dyDescent="0.4">
      <c r="D923" s="266"/>
    </row>
    <row r="924" spans="4:4" ht="13.15" x14ac:dyDescent="0.4">
      <c r="D924" s="266"/>
    </row>
    <row r="925" spans="4:4" ht="13.15" x14ac:dyDescent="0.4">
      <c r="D925" s="266"/>
    </row>
    <row r="926" spans="4:4" ht="13.15" x14ac:dyDescent="0.4">
      <c r="D926" s="266"/>
    </row>
    <row r="927" spans="4:4" ht="13.15" x14ac:dyDescent="0.4">
      <c r="D927" s="266"/>
    </row>
    <row r="928" spans="4:4" ht="13.15" x14ac:dyDescent="0.4">
      <c r="D928" s="266"/>
    </row>
    <row r="929" spans="4:4" ht="13.15" x14ac:dyDescent="0.4">
      <c r="D929" s="266"/>
    </row>
    <row r="930" spans="4:4" ht="13.15" x14ac:dyDescent="0.4">
      <c r="D930" s="266"/>
    </row>
    <row r="931" spans="4:4" ht="13.15" x14ac:dyDescent="0.4">
      <c r="D931" s="266"/>
    </row>
    <row r="932" spans="4:4" ht="13.15" x14ac:dyDescent="0.4">
      <c r="D932" s="266"/>
    </row>
    <row r="933" spans="4:4" ht="13.15" x14ac:dyDescent="0.4">
      <c r="D933" s="266"/>
    </row>
    <row r="934" spans="4:4" ht="13.15" x14ac:dyDescent="0.4">
      <c r="D934" s="266"/>
    </row>
    <row r="935" spans="4:4" ht="13.15" x14ac:dyDescent="0.4">
      <c r="D935" s="266"/>
    </row>
    <row r="936" spans="4:4" ht="13.15" x14ac:dyDescent="0.4">
      <c r="D936" s="266"/>
    </row>
    <row r="937" spans="4:4" ht="13.15" x14ac:dyDescent="0.4">
      <c r="D937" s="266"/>
    </row>
    <row r="938" spans="4:4" ht="13.15" x14ac:dyDescent="0.4">
      <c r="D938" s="266"/>
    </row>
    <row r="939" spans="4:4" ht="13.15" x14ac:dyDescent="0.4">
      <c r="D939" s="266"/>
    </row>
    <row r="940" spans="4:4" ht="13.15" x14ac:dyDescent="0.4">
      <c r="D940" s="266"/>
    </row>
    <row r="941" spans="4:4" ht="13.15" x14ac:dyDescent="0.4">
      <c r="D941" s="266"/>
    </row>
    <row r="942" spans="4:4" ht="13.15" x14ac:dyDescent="0.4">
      <c r="D942" s="266"/>
    </row>
    <row r="943" spans="4:4" ht="13.15" x14ac:dyDescent="0.4">
      <c r="D943" s="266"/>
    </row>
    <row r="944" spans="4:4" ht="13.15" x14ac:dyDescent="0.4">
      <c r="D944" s="266"/>
    </row>
    <row r="945" spans="4:4" ht="13.15" x14ac:dyDescent="0.4">
      <c r="D945" s="266"/>
    </row>
    <row r="946" spans="4:4" ht="13.15" x14ac:dyDescent="0.4">
      <c r="D946" s="266"/>
    </row>
    <row r="947" spans="4:4" ht="13.15" x14ac:dyDescent="0.4">
      <c r="D947" s="266"/>
    </row>
    <row r="948" spans="4:4" ht="13.15" x14ac:dyDescent="0.4">
      <c r="D948" s="266"/>
    </row>
    <row r="949" spans="4:4" ht="13.15" x14ac:dyDescent="0.4">
      <c r="D949" s="266"/>
    </row>
    <row r="950" spans="4:4" ht="13.15" x14ac:dyDescent="0.4">
      <c r="D950" s="266"/>
    </row>
    <row r="951" spans="4:4" ht="13.15" x14ac:dyDescent="0.4">
      <c r="D951" s="266"/>
    </row>
    <row r="952" spans="4:4" ht="13.15" x14ac:dyDescent="0.4">
      <c r="D952" s="266"/>
    </row>
    <row r="953" spans="4:4" ht="13.15" x14ac:dyDescent="0.4">
      <c r="D953" s="266"/>
    </row>
    <row r="954" spans="4:4" ht="13.15" x14ac:dyDescent="0.4">
      <c r="D954" s="266"/>
    </row>
    <row r="955" spans="4:4" ht="13.15" x14ac:dyDescent="0.4">
      <c r="D955" s="266"/>
    </row>
    <row r="956" spans="4:4" ht="13.15" x14ac:dyDescent="0.4">
      <c r="D956" s="266"/>
    </row>
    <row r="957" spans="4:4" ht="13.15" x14ac:dyDescent="0.4">
      <c r="D957" s="266"/>
    </row>
    <row r="958" spans="4:4" ht="13.15" x14ac:dyDescent="0.4">
      <c r="D958" s="266"/>
    </row>
    <row r="959" spans="4:4" ht="13.15" x14ac:dyDescent="0.4">
      <c r="D959" s="266"/>
    </row>
    <row r="960" spans="4:4" ht="13.15" x14ac:dyDescent="0.4">
      <c r="D960" s="266"/>
    </row>
    <row r="961" spans="4:4" ht="13.15" x14ac:dyDescent="0.4">
      <c r="D961" s="266"/>
    </row>
    <row r="962" spans="4:4" ht="13.15" x14ac:dyDescent="0.4">
      <c r="D962" s="266"/>
    </row>
    <row r="963" spans="4:4" ht="13.15" x14ac:dyDescent="0.4">
      <c r="D963" s="266"/>
    </row>
    <row r="964" spans="4:4" ht="13.15" x14ac:dyDescent="0.4">
      <c r="D964" s="266"/>
    </row>
    <row r="965" spans="4:4" ht="13.15" x14ac:dyDescent="0.4">
      <c r="D965" s="266"/>
    </row>
    <row r="966" spans="4:4" ht="13.15" x14ac:dyDescent="0.4">
      <c r="D966" s="266"/>
    </row>
    <row r="967" spans="4:4" ht="13.15" x14ac:dyDescent="0.4">
      <c r="D967" s="266"/>
    </row>
    <row r="968" spans="4:4" ht="13.15" x14ac:dyDescent="0.4">
      <c r="D968" s="266"/>
    </row>
    <row r="969" spans="4:4" ht="13.15" x14ac:dyDescent="0.4">
      <c r="D969" s="266"/>
    </row>
    <row r="970" spans="4:4" ht="13.15" x14ac:dyDescent="0.4">
      <c r="D970" s="266"/>
    </row>
    <row r="971" spans="4:4" ht="13.15" x14ac:dyDescent="0.4">
      <c r="D971" s="266"/>
    </row>
    <row r="972" spans="4:4" ht="13.15" x14ac:dyDescent="0.4">
      <c r="D972" s="266"/>
    </row>
    <row r="973" spans="4:4" ht="13.15" x14ac:dyDescent="0.4">
      <c r="D973" s="266"/>
    </row>
    <row r="974" spans="4:4" ht="13.15" x14ac:dyDescent="0.4">
      <c r="D974" s="266"/>
    </row>
    <row r="975" spans="4:4" ht="13.15" x14ac:dyDescent="0.4">
      <c r="D975" s="266"/>
    </row>
    <row r="976" spans="4:4" ht="13.15" x14ac:dyDescent="0.4">
      <c r="D976" s="266"/>
    </row>
    <row r="977" spans="4:4" ht="13.15" x14ac:dyDescent="0.4">
      <c r="D977" s="266"/>
    </row>
    <row r="978" spans="4:4" ht="13.15" x14ac:dyDescent="0.4">
      <c r="D978" s="266"/>
    </row>
    <row r="979" spans="4:4" ht="13.15" x14ac:dyDescent="0.4">
      <c r="D979" s="266"/>
    </row>
    <row r="980" spans="4:4" ht="13.15" x14ac:dyDescent="0.4">
      <c r="D980" s="266"/>
    </row>
    <row r="981" spans="4:4" ht="13.15" x14ac:dyDescent="0.4">
      <c r="D981" s="266"/>
    </row>
    <row r="982" spans="4:4" ht="13.15" x14ac:dyDescent="0.4">
      <c r="D982" s="266"/>
    </row>
    <row r="983" spans="4:4" ht="13.15" x14ac:dyDescent="0.4">
      <c r="D983" s="266"/>
    </row>
    <row r="984" spans="4:4" ht="13.15" x14ac:dyDescent="0.4">
      <c r="D984" s="266"/>
    </row>
    <row r="985" spans="4:4" ht="13.15" x14ac:dyDescent="0.4">
      <c r="D985" s="266"/>
    </row>
    <row r="986" spans="4:4" ht="13.15" x14ac:dyDescent="0.4">
      <c r="D986" s="266"/>
    </row>
    <row r="987" spans="4:4" ht="13.15" x14ac:dyDescent="0.4">
      <c r="D987" s="266"/>
    </row>
    <row r="988" spans="4:4" ht="13.15" x14ac:dyDescent="0.4">
      <c r="D988" s="266"/>
    </row>
    <row r="989" spans="4:4" ht="13.15" x14ac:dyDescent="0.4">
      <c r="D989" s="266"/>
    </row>
    <row r="990" spans="4:4" ht="13.15" x14ac:dyDescent="0.4">
      <c r="D990" s="266"/>
    </row>
    <row r="991" spans="4:4" ht="13.15" x14ac:dyDescent="0.4">
      <c r="D991" s="266"/>
    </row>
    <row r="992" spans="4:4" ht="13.15" x14ac:dyDescent="0.4">
      <c r="D992" s="266"/>
    </row>
    <row r="993" spans="4:4" ht="13.15" x14ac:dyDescent="0.4">
      <c r="D993" s="266"/>
    </row>
    <row r="994" spans="4:4" ht="13.15" x14ac:dyDescent="0.4">
      <c r="D994" s="266"/>
    </row>
    <row r="995" spans="4:4" ht="13.15" x14ac:dyDescent="0.4">
      <c r="D995" s="266"/>
    </row>
    <row r="996" spans="4:4" ht="13.15" x14ac:dyDescent="0.4">
      <c r="D996" s="266"/>
    </row>
    <row r="997" spans="4:4" ht="13.15" x14ac:dyDescent="0.4">
      <c r="D997" s="266"/>
    </row>
    <row r="998" spans="4:4" ht="13.15" x14ac:dyDescent="0.4">
      <c r="D998" s="266"/>
    </row>
    <row r="999" spans="4:4" ht="13.15" x14ac:dyDescent="0.4">
      <c r="D999" s="266"/>
    </row>
    <row r="1000" spans="4:4" ht="13.15" x14ac:dyDescent="0.4">
      <c r="D1000" s="266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outlinePr summaryBelow="0" summaryRight="0"/>
    <pageSetUpPr fitToPage="1"/>
  </sheetPr>
  <dimension ref="A1:BI923"/>
  <sheetViews>
    <sheetView workbookViewId="0">
      <pane xSplit="5" ySplit="5" topLeftCell="F6" activePane="bottomRight" state="frozen"/>
      <selection pane="topRight" activeCell="F1" sqref="F1"/>
      <selection pane="bottomLeft" activeCell="A6" sqref="A6"/>
      <selection pane="bottomRight" activeCell="F6" sqref="F6"/>
    </sheetView>
  </sheetViews>
  <sheetFormatPr defaultColWidth="14.42578125" defaultRowHeight="15.75" customHeight="1" x14ac:dyDescent="0.4"/>
  <cols>
    <col min="1" max="1" width="23.28515625" customWidth="1"/>
    <col min="2" max="2" width="24.7109375" customWidth="1"/>
    <col min="3" max="4" width="10.85546875" customWidth="1"/>
    <col min="5" max="5" width="16.42578125" customWidth="1"/>
    <col min="6" max="7" width="4.85546875" customWidth="1"/>
    <col min="8" max="9" width="9" customWidth="1"/>
    <col min="10" max="10" width="10.85546875" customWidth="1"/>
    <col min="11" max="11" width="10.7109375" customWidth="1"/>
    <col min="12" max="12" width="9.7109375" customWidth="1"/>
    <col min="13" max="13" width="10.5703125" customWidth="1"/>
    <col min="14" max="14" width="5.140625" customWidth="1"/>
    <col min="15" max="15" width="10.42578125" customWidth="1"/>
    <col min="16" max="16" width="12.140625" customWidth="1"/>
    <col min="17" max="17" width="9.85546875" customWidth="1"/>
    <col min="18" max="18" width="12.28515625" customWidth="1"/>
    <col min="19" max="19" width="10.140625" customWidth="1"/>
    <col min="20" max="22" width="6.5703125" customWidth="1"/>
    <col min="23" max="23" width="8.42578125" customWidth="1"/>
    <col min="24" max="24" width="5.7109375" customWidth="1"/>
    <col min="25" max="25" width="12.42578125" customWidth="1"/>
    <col min="26" max="26" width="12.85546875" customWidth="1"/>
    <col min="27" max="27" width="8.140625" customWidth="1"/>
    <col min="28" max="28" width="6.85546875" customWidth="1"/>
    <col min="29" max="29" width="17.85546875" customWidth="1"/>
    <col min="30" max="30" width="12.28515625" customWidth="1"/>
    <col min="31" max="31" width="17.85546875" customWidth="1"/>
    <col min="32" max="32" width="8" customWidth="1"/>
    <col min="33" max="33" width="8.28515625" customWidth="1"/>
    <col min="34" max="34" width="8" customWidth="1"/>
    <col min="35" max="35" width="13.140625" customWidth="1"/>
    <col min="36" max="36" width="5.85546875" customWidth="1"/>
    <col min="37" max="37" width="8.28515625" customWidth="1"/>
    <col min="38" max="38" width="5.85546875" customWidth="1"/>
    <col min="39" max="39" width="8.42578125" customWidth="1"/>
    <col min="40" max="42" width="5.85546875" customWidth="1"/>
    <col min="43" max="43" width="5.7109375" customWidth="1"/>
    <col min="44" max="44" width="5.85546875" customWidth="1"/>
    <col min="45" max="45" width="10.140625" customWidth="1"/>
    <col min="46" max="46" width="5.85546875" customWidth="1"/>
    <col min="47" max="47" width="8" customWidth="1"/>
    <col min="48" max="48" width="11.42578125" customWidth="1"/>
    <col min="49" max="49" width="13.85546875" customWidth="1"/>
    <col min="50" max="50" width="11.140625" customWidth="1"/>
    <col min="51" max="51" width="14" customWidth="1"/>
    <col min="52" max="52" width="16" customWidth="1"/>
    <col min="53" max="53" width="8" customWidth="1"/>
    <col min="54" max="54" width="13.7109375" customWidth="1"/>
    <col min="55" max="55" width="13.140625" customWidth="1"/>
    <col min="56" max="56" width="12.140625" customWidth="1"/>
    <col min="57" max="57" width="11.7109375" customWidth="1"/>
    <col min="58" max="58" width="12.42578125" customWidth="1"/>
    <col min="59" max="59" width="12.85546875" customWidth="1"/>
    <col min="60" max="60" width="10.7109375" customWidth="1"/>
    <col min="61" max="61" width="6.7109375" customWidth="1"/>
  </cols>
  <sheetData>
    <row r="1" spans="1:61" x14ac:dyDescent="0.45">
      <c r="A1" s="3" t="s">
        <v>2709</v>
      </c>
      <c r="B1" s="84"/>
      <c r="C1" s="3" t="s">
        <v>105</v>
      </c>
      <c r="D1" s="84"/>
      <c r="E1" s="79"/>
      <c r="F1" s="408"/>
      <c r="G1" s="408"/>
      <c r="H1" s="3"/>
      <c r="I1" s="2"/>
      <c r="J1" s="2"/>
      <c r="K1" s="79"/>
      <c r="L1" s="7" t="s">
        <v>105</v>
      </c>
      <c r="M1" s="79" t="s">
        <v>105</v>
      </c>
      <c r="N1" s="2" t="s">
        <v>105</v>
      </c>
      <c r="O1" s="409" t="s">
        <v>105</v>
      </c>
      <c r="P1" s="11" t="s">
        <v>105</v>
      </c>
      <c r="Q1" s="10" t="s">
        <v>105</v>
      </c>
      <c r="R1" s="11"/>
      <c r="S1" s="11"/>
      <c r="T1" s="11"/>
      <c r="U1" s="11"/>
      <c r="V1" s="11"/>
      <c r="W1" s="80">
        <f>AVERAGE(W6:W923)</f>
        <v>1.8813856788891063</v>
      </c>
      <c r="X1" s="80"/>
      <c r="Y1" s="81"/>
      <c r="Z1" s="81"/>
      <c r="AA1" s="82" t="e">
        <f t="shared" ref="AA1:AB1" si="0">AVERAGE(AA6:AA923)</f>
        <v>#REF!</v>
      </c>
      <c r="AB1" s="83" t="e">
        <f t="shared" si="0"/>
        <v>#REF!</v>
      </c>
      <c r="AC1" s="11"/>
      <c r="AD1" s="11"/>
      <c r="AE1" s="11"/>
      <c r="AF1" s="11"/>
      <c r="AG1" s="10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0"/>
      <c r="AV1" s="11"/>
      <c r="AW1" s="11"/>
      <c r="AX1" s="11"/>
      <c r="AY1" s="3"/>
      <c r="AZ1" s="3" t="s">
        <v>14</v>
      </c>
      <c r="BA1" s="3" t="s">
        <v>6</v>
      </c>
      <c r="BB1" s="3" t="s">
        <v>24</v>
      </c>
      <c r="BC1" s="7" t="s">
        <v>19</v>
      </c>
      <c r="BE1" s="7"/>
      <c r="BF1" s="7"/>
      <c r="BG1" s="7"/>
      <c r="BH1" s="7"/>
      <c r="BI1" s="7"/>
    </row>
    <row r="2" spans="1:61" x14ac:dyDescent="0.45">
      <c r="A2" s="3" t="s">
        <v>470</v>
      </c>
      <c r="B2" s="84"/>
      <c r="C2" s="84"/>
      <c r="D2" s="84"/>
      <c r="E2" s="79"/>
      <c r="F2" s="408"/>
      <c r="G2" s="408"/>
      <c r="H2" s="3"/>
      <c r="I2" s="2"/>
      <c r="J2" s="2"/>
      <c r="K2" s="79"/>
      <c r="L2" s="7"/>
      <c r="M2" s="79"/>
      <c r="N2" s="2"/>
      <c r="O2" s="409"/>
      <c r="P2" s="11"/>
      <c r="Q2" s="10"/>
      <c r="R2" s="11"/>
      <c r="S2" s="11"/>
      <c r="T2" s="11"/>
      <c r="U2" s="11"/>
      <c r="V2" s="11"/>
      <c r="W2" s="11"/>
      <c r="X2" s="11"/>
      <c r="Y2" s="85"/>
      <c r="Z2" s="85"/>
      <c r="AA2" s="410"/>
      <c r="AB2" s="86"/>
      <c r="AC2" s="11"/>
      <c r="AD2" s="11"/>
      <c r="AE2" s="11"/>
      <c r="AF2" s="11"/>
      <c r="AG2" s="10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0"/>
      <c r="AV2" s="11"/>
      <c r="AW2" s="11"/>
      <c r="AX2" s="11"/>
      <c r="AY2" s="17"/>
      <c r="AZ2" s="17" t="s">
        <v>553</v>
      </c>
      <c r="BA2" s="15">
        <v>15.77</v>
      </c>
      <c r="BB2" s="17"/>
      <c r="BC2" s="102"/>
      <c r="BE2" s="102"/>
      <c r="BF2" s="102"/>
      <c r="BG2" s="102"/>
      <c r="BH2" s="102"/>
      <c r="BI2" s="102"/>
    </row>
    <row r="3" spans="1:61" x14ac:dyDescent="0.45">
      <c r="A3" s="3"/>
      <c r="B3" s="3"/>
      <c r="C3" s="3"/>
      <c r="D3" s="3"/>
      <c r="E3" s="78"/>
      <c r="F3" s="3"/>
      <c r="G3" s="3"/>
      <c r="H3" s="3"/>
      <c r="I3" s="2"/>
      <c r="J3" s="2"/>
      <c r="K3" s="78"/>
      <c r="L3" s="7"/>
      <c r="M3" s="79"/>
      <c r="N3" s="2"/>
      <c r="O3" s="411"/>
      <c r="P3" s="11"/>
      <c r="Q3" s="10"/>
      <c r="R3" s="11"/>
      <c r="S3" s="11"/>
      <c r="T3" s="11"/>
      <c r="U3" s="11"/>
      <c r="V3" s="11"/>
      <c r="W3" s="11"/>
      <c r="X3" s="11"/>
      <c r="Y3" s="85"/>
      <c r="Z3" s="85"/>
      <c r="AA3" s="410"/>
      <c r="AB3" s="86"/>
      <c r="AC3" s="11"/>
      <c r="AD3" s="11"/>
      <c r="AE3" s="11"/>
      <c r="AF3" s="11"/>
      <c r="AG3" s="10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0"/>
      <c r="AV3" s="11"/>
      <c r="AW3" s="11"/>
      <c r="AX3" s="11"/>
      <c r="AY3" s="17"/>
      <c r="AZ3" s="17" t="s">
        <v>489</v>
      </c>
      <c r="BA3" s="15">
        <v>132</v>
      </c>
      <c r="BB3" s="17" t="s">
        <v>490</v>
      </c>
      <c r="BC3" s="102">
        <v>123</v>
      </c>
      <c r="BE3" s="102"/>
      <c r="BF3" s="102"/>
      <c r="BG3" s="102"/>
      <c r="BH3" s="102"/>
      <c r="BI3" s="102"/>
    </row>
    <row r="4" spans="1:61" x14ac:dyDescent="0.45">
      <c r="A4" s="3"/>
      <c r="B4" s="2"/>
      <c r="C4" s="2"/>
      <c r="D4" s="2"/>
      <c r="E4" s="78"/>
      <c r="F4" s="2"/>
      <c r="G4" s="2"/>
      <c r="H4" s="2"/>
      <c r="I4" s="2"/>
      <c r="J4" s="2"/>
      <c r="K4" s="78"/>
      <c r="L4" s="7"/>
      <c r="M4" s="79"/>
      <c r="N4" s="2"/>
      <c r="O4" s="9"/>
      <c r="P4" s="11"/>
      <c r="Q4" s="10"/>
      <c r="R4" s="11"/>
      <c r="S4" s="11"/>
      <c r="T4" s="11"/>
      <c r="U4" s="11"/>
      <c r="V4" s="11"/>
      <c r="W4" s="11"/>
      <c r="X4" s="11"/>
      <c r="Y4" s="85"/>
      <c r="Z4" s="85"/>
      <c r="AA4" s="410"/>
      <c r="AB4" s="86"/>
      <c r="AC4" s="11"/>
      <c r="AD4" s="11"/>
      <c r="AE4" s="11"/>
      <c r="AF4" s="11"/>
      <c r="AG4" s="10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0"/>
      <c r="AV4" s="11"/>
      <c r="AW4" s="11"/>
      <c r="AX4" s="11"/>
      <c r="AY4" s="17"/>
      <c r="AZ4" s="17" t="s">
        <v>492</v>
      </c>
      <c r="BA4" s="15">
        <v>255</v>
      </c>
      <c r="BB4" s="17" t="s">
        <v>493</v>
      </c>
      <c r="BC4" s="102">
        <v>164</v>
      </c>
      <c r="BE4" s="102"/>
      <c r="BF4" s="102"/>
      <c r="BG4" s="102"/>
      <c r="BH4" s="102"/>
      <c r="BI4" s="102"/>
    </row>
    <row r="5" spans="1:61" x14ac:dyDescent="0.45">
      <c r="A5" s="3" t="s">
        <v>3</v>
      </c>
      <c r="B5" s="3" t="s">
        <v>2</v>
      </c>
      <c r="C5" s="3" t="s">
        <v>12</v>
      </c>
      <c r="D5" s="3" t="s">
        <v>7</v>
      </c>
      <c r="E5" s="4" t="s">
        <v>11</v>
      </c>
      <c r="F5" s="3" t="s">
        <v>8</v>
      </c>
      <c r="G5" s="3" t="s">
        <v>10</v>
      </c>
      <c r="H5" s="3" t="s">
        <v>17</v>
      </c>
      <c r="I5" s="2" t="s">
        <v>14</v>
      </c>
      <c r="J5" s="2" t="s">
        <v>13</v>
      </c>
      <c r="K5" s="4" t="s">
        <v>4</v>
      </c>
      <c r="L5" s="7" t="s">
        <v>18</v>
      </c>
      <c r="M5" s="4" t="s">
        <v>16</v>
      </c>
      <c r="N5" s="2" t="s">
        <v>15</v>
      </c>
      <c r="O5" s="411" t="s">
        <v>20</v>
      </c>
      <c r="P5" s="11" t="s">
        <v>957</v>
      </c>
      <c r="Q5" s="10" t="s">
        <v>23</v>
      </c>
      <c r="R5" s="11" t="s">
        <v>24</v>
      </c>
      <c r="S5" s="11" t="s">
        <v>10</v>
      </c>
      <c r="T5" s="11" t="s">
        <v>8</v>
      </c>
      <c r="U5" s="11" t="s">
        <v>970</v>
      </c>
      <c r="V5" s="11" t="s">
        <v>19</v>
      </c>
      <c r="W5" s="11" t="s">
        <v>27</v>
      </c>
      <c r="X5" s="11" t="s">
        <v>28</v>
      </c>
      <c r="Y5" s="412" t="s">
        <v>2710</v>
      </c>
      <c r="Z5" s="412" t="s">
        <v>2711</v>
      </c>
      <c r="AA5" s="410" t="s">
        <v>2712</v>
      </c>
      <c r="AB5" s="86" t="s">
        <v>469</v>
      </c>
      <c r="AC5" s="11" t="s">
        <v>2713</v>
      </c>
      <c r="AD5" s="11" t="s">
        <v>2714</v>
      </c>
      <c r="AE5" s="11" t="s">
        <v>2715</v>
      </c>
      <c r="AF5" s="11" t="s">
        <v>2716</v>
      </c>
      <c r="AG5" s="10" t="s">
        <v>2717</v>
      </c>
      <c r="AH5" s="11" t="s">
        <v>11</v>
      </c>
      <c r="AI5" s="11" t="s">
        <v>2718</v>
      </c>
      <c r="AJ5" s="11" t="s">
        <v>2719</v>
      </c>
      <c r="AK5" s="11" t="s">
        <v>2720</v>
      </c>
      <c r="AL5" s="11" t="s">
        <v>2719</v>
      </c>
      <c r="AM5" s="11" t="s">
        <v>2721</v>
      </c>
      <c r="AN5" s="11" t="s">
        <v>2719</v>
      </c>
      <c r="AO5" s="11" t="s">
        <v>2722</v>
      </c>
      <c r="AP5" s="11" t="s">
        <v>2719</v>
      </c>
      <c r="AQ5" s="11" t="s">
        <v>2723</v>
      </c>
      <c r="AR5" s="11" t="s">
        <v>2719</v>
      </c>
      <c r="AS5" s="11" t="s">
        <v>2724</v>
      </c>
      <c r="AT5" s="11" t="s">
        <v>2719</v>
      </c>
      <c r="AU5" s="10" t="s">
        <v>2725</v>
      </c>
      <c r="AV5" s="11" t="s">
        <v>30</v>
      </c>
      <c r="AW5" s="11" t="s">
        <v>31</v>
      </c>
      <c r="AX5" s="11" t="s">
        <v>2726</v>
      </c>
      <c r="AY5" s="17"/>
      <c r="AZ5" s="17" t="s">
        <v>502</v>
      </c>
      <c r="BA5" s="15">
        <v>59</v>
      </c>
      <c r="BB5" s="17" t="s">
        <v>503</v>
      </c>
      <c r="BC5" s="102">
        <v>81</v>
      </c>
      <c r="BE5" s="102"/>
      <c r="BF5" s="102"/>
      <c r="BG5" s="102"/>
      <c r="BH5" s="102"/>
      <c r="BI5" s="102"/>
    </row>
    <row r="6" spans="1:61" x14ac:dyDescent="0.45">
      <c r="A6" s="103" t="s">
        <v>416</v>
      </c>
      <c r="B6" s="17" t="s">
        <v>1193</v>
      </c>
      <c r="C6" s="16">
        <v>44550</v>
      </c>
      <c r="D6" s="17" t="s">
        <v>66</v>
      </c>
      <c r="E6" s="15" t="s">
        <v>558</v>
      </c>
      <c r="F6" s="17">
        <v>18</v>
      </c>
      <c r="G6" s="17">
        <v>23</v>
      </c>
      <c r="H6" s="3" t="s">
        <v>43</v>
      </c>
      <c r="I6" s="88" t="s">
        <v>84</v>
      </c>
      <c r="J6" s="87">
        <v>44561</v>
      </c>
      <c r="K6" s="15">
        <v>264</v>
      </c>
      <c r="L6" s="96">
        <v>15</v>
      </c>
      <c r="M6" s="89">
        <v>9.23</v>
      </c>
      <c r="N6" s="88">
        <v>1</v>
      </c>
      <c r="O6" s="413" t="str">
        <f t="shared" ref="O6:O224" si="1">F6&amp;" x "&amp;G6</f>
        <v>18 x 23</v>
      </c>
      <c r="P6" s="18" t="str">
        <f t="shared" ref="P6:P224" si="2">IF(E6="Roll","N/A",IF(E6="Stretched",O6,IF(E6="KoF",F6+6&amp;" x "&amp;G6+6,F6+2&amp;" x "&amp;G6+2)))</f>
        <v>N/A</v>
      </c>
      <c r="Q6" s="91">
        <f t="shared" ref="Q6:Q224" si="3">VLOOKUP(I6,AZ:BD,2,FALSE)</f>
        <v>2.85</v>
      </c>
      <c r="R6" s="18" t="str">
        <f t="shared" ref="R6:R224" si="4">IF(I6="CNC",IF(E6="Stretched",G6+6&amp;" x "&amp;F6+6&amp;" x "&amp;6,G6+8&amp;" x "&amp;F6+9&amp;" x "&amp;6),IF(I6="S-11251",IF(G6&lt;44,"48 x 38 x 6",G6+4&amp;" x 48 x 6"),VLOOKUP(I6,AZ:BD,3,FALSE)))</f>
        <v>37 x 3 x 3</v>
      </c>
      <c r="S6" s="18">
        <v>37</v>
      </c>
      <c r="T6" s="18">
        <v>3</v>
      </c>
      <c r="U6" s="18">
        <v>3</v>
      </c>
      <c r="V6" s="90">
        <f t="shared" ref="V6:V68" si="5">IF(I6="S-11251",(G6+6)+96+12, VLOOKUP(Q6,BA:BJ,3,FALSE))</f>
        <v>49</v>
      </c>
      <c r="W6" s="287">
        <f t="shared" ref="W6:W21" si="6">IF(M6=0,"",IF(L6=0,"",M6/L6))</f>
        <v>0.6153333333333334</v>
      </c>
      <c r="X6" s="287" t="str">
        <f t="shared" ref="X6:X21" si="7">IF(D6="3 Canv","Yes",IF(D6="2 3D","Yes",""))</f>
        <v>Yes</v>
      </c>
      <c r="Y6" s="93" t="e">
        <f t="shared" ref="Y6:Y21" si="8">IF(D6="1 Orig","",IF(K6=0,"",SUM(AA6,M6)))</f>
        <v>#REF!</v>
      </c>
      <c r="Z6" s="288" t="e">
        <f t="shared" ref="Z6:Z21" si="9">IF(AA6="","",IF(AA6=0,0,IF(K6=0,0,Y6/SUM(K6:L6))))</f>
        <v>#REF!</v>
      </c>
      <c r="AA6" s="94" t="e">
        <f t="shared" ref="AA6:AA21" si="10">IF(D6="1 Orig","",IF(K6=0,"",SUM(AC6:AH6,AJ6,AL6,AN6,AP6,AR6,AT6:AX6)))</f>
        <v>#REF!</v>
      </c>
      <c r="AB6" s="288" t="e">
        <f t="shared" ref="AB6:AB21" si="11">IF(AA6="","",IF(AA6=0,0,IF(K6=0,0,AA6/K6)))</f>
        <v>#REF!</v>
      </c>
      <c r="AC6" s="91" t="e">
        <f>IF(X6="","",IF(D6="2 3D",((F6-0.5)*2+(G6-0.5)*2)*VLOOKUP("3D base",#REF!,2,FALSE),IF(D6="3 Canv", IF(E6="Roll",0,ROUND(SUM(F6:G6)*2,0)),0)*VLOOKUP("Stretcher Bar",#REF!,2,FALSE)))</f>
        <v>#REF!</v>
      </c>
      <c r="AD6" s="91">
        <f>IF(X6="","",IF(E6="Roll",0,IF(D6="2 3D",(SUM(F6:G6)*2)*VLOOKUP("3D epoxy",#REF!,2,FALSE),IF(D6="3 Canv",VLOOKUP("Wood glue",#REF!,2,FALSE),""))))</f>
        <v>0</v>
      </c>
      <c r="AE6" s="91" t="e">
        <f>IF(D6="3 Canv",(((F6+5)*(G6+5)))*VLOOKUP("Canvas",#REF!,2,FALSE),IF(D6="2 3D",(((F6)*(G6)))*VLOOKUP("Dibond",#REF!,2,FALSE),""))</f>
        <v>#REF!</v>
      </c>
      <c r="AF6" s="91" t="e">
        <f>IF(D6="2 3D",F6*G6*VLOOKUP("3D ink",#REF!,2,FALSE),IF(D6="3 Canv",F6*G6*VLOOKUP("Canvas ink",#REF!,2,FALSE),""))</f>
        <v>#REF!</v>
      </c>
      <c r="AG6" s="91" t="str">
        <f>IF(D6="3 Canv",IF(E6="Roll","",ROUNDUP((SUM(F6:G6)*2)/3,"")*VLOOKUP("Staples",#REF!,2,FALSE)),"")</f>
        <v/>
      </c>
      <c r="AH6" s="91" t="e">
        <f>IF(AF6="","",(SUM(F6:G6)*2)*VLOOKUP(E6,#REF!,2,FALSE))</f>
        <v>#REF!</v>
      </c>
      <c r="AI6" s="18" t="str">
        <f t="shared" ref="AI6:AI21" si="12">IF(D6="2 3D",44,IF(D6="3 Canv",IF(E6="Roll","",IF(E6="Stretched",16,44)),""))</f>
        <v/>
      </c>
      <c r="AJ6" s="91" t="str">
        <f>IF(AI6="","",AI6*VLOOKUP("Staples",#REF!,2,FALSE))</f>
        <v/>
      </c>
      <c r="AK6" s="18" t="str">
        <f t="shared" ref="AK6:AK21" si="13">IF(AJ6="","",IF(E6="Roll","",IF(E6="Stretched","",IF(G6&gt;54,10,8))))</f>
        <v/>
      </c>
      <c r="AL6" s="91" t="str">
        <f>IF(AK6="","",AK6*VLOOKUP("Frame screw",#REF!,2,FALSE))</f>
        <v/>
      </c>
      <c r="AM6" s="18" t="e">
        <f t="shared" ref="AM6:AM21" si="14">IF(AC6="","",IF(E6="Roll",0,IF(G6&gt;44,4,2)))</f>
        <v>#REF!</v>
      </c>
      <c r="AN6" s="91" t="e">
        <f>IF(AM6="","",AM6*VLOOKUP("D ring",#REF!,2,FALSE))</f>
        <v>#REF!</v>
      </c>
      <c r="AO6" s="18" t="e">
        <f t="shared" ref="AO6:AO21" si="15">IF(AN6="","",IF(E6="Roll","",G6+16))</f>
        <v>#REF!</v>
      </c>
      <c r="AP6" s="18" t="e">
        <f>IF(AO6="","",IF(G6&gt;59,AO6* VLOOKUP("8 wire",#REF!,2,FALSE)*2,IF(G6&gt;39,AO6* VLOOKUP("8 wire",#REF!,2,FALSE),AO6* VLOOKUP("6 wire",#REF!,2,FALSE))))</f>
        <v>#REF!</v>
      </c>
      <c r="AQ6" s="18" t="str">
        <f t="shared" ref="AQ6:AQ21" si="16">IF(D6="1 Orig","",IF(D6="4 Free","",IF(E6="Roll","",4)))</f>
        <v/>
      </c>
      <c r="AR6" s="18" t="str">
        <f>IF(AQ6="","",AQ6*VLOOKUP("Pads",#REF!,2,FALSE))</f>
        <v/>
      </c>
      <c r="AS6" s="18" t="str">
        <f t="shared" ref="AS6:AS21" si="17">IF(X6="","",IF(E6="Roll","",1))</f>
        <v/>
      </c>
      <c r="AT6" s="18" t="str">
        <f>IF(AS6="","",AS6*VLOOKUP("4 mil bag",#REF!,2,FALSE))</f>
        <v/>
      </c>
      <c r="AU6" s="91" t="e">
        <f>IF(X6="","",IF(I6="N/A","",IF(I6="CNC",IF(G6&gt;37,20,10),VLOOKUP(I6,#REF!,2,FALSE))))</f>
        <v>#REF!</v>
      </c>
      <c r="AV6" s="18" t="str">
        <f>IF(X6="","",IF(I6="CNC",VLOOKUP("Glue stick",#REF!,2,FALSE),""))</f>
        <v/>
      </c>
      <c r="AW6" s="18" t="str">
        <f>IF(X6="","",IF(I6="CNC",16*VLOOKUP("Box staples",#REF!,2,FALSE),""))</f>
        <v/>
      </c>
      <c r="AX6" s="91" t="e">
        <f>IF(X6="","",IF(I6="CNC",((((G6+6)+(F6+6))*2)+24)*VLOOKUP("sealing tape",#REF!,2,FALSE),VLOOKUP("Strapping tape",#REF!,2,FALSE)))</f>
        <v>#REF!</v>
      </c>
      <c r="AY6" s="17"/>
      <c r="AZ6" s="17" t="s">
        <v>77</v>
      </c>
      <c r="BA6" s="15">
        <v>2.73</v>
      </c>
      <c r="BB6" s="17" t="s">
        <v>80</v>
      </c>
      <c r="BC6" s="102">
        <v>37</v>
      </c>
      <c r="BE6" s="102"/>
      <c r="BF6" s="102"/>
      <c r="BG6" s="102"/>
      <c r="BH6" s="102"/>
      <c r="BI6" s="102"/>
    </row>
    <row r="7" spans="1:61" x14ac:dyDescent="0.45">
      <c r="A7" s="103" t="s">
        <v>664</v>
      </c>
      <c r="B7" s="17" t="s">
        <v>1087</v>
      </c>
      <c r="C7" s="16">
        <v>44551</v>
      </c>
      <c r="D7" s="17" t="s">
        <v>66</v>
      </c>
      <c r="E7" s="15" t="s">
        <v>558</v>
      </c>
      <c r="F7" s="17">
        <v>15</v>
      </c>
      <c r="G7" s="17">
        <v>25</v>
      </c>
      <c r="H7" s="3" t="s">
        <v>43</v>
      </c>
      <c r="I7" s="88" t="s">
        <v>84</v>
      </c>
      <c r="J7" s="87">
        <v>44561</v>
      </c>
      <c r="K7" s="15">
        <v>244</v>
      </c>
      <c r="L7" s="96">
        <v>15</v>
      </c>
      <c r="M7" s="89">
        <v>10.96</v>
      </c>
      <c r="N7" s="88">
        <v>1</v>
      </c>
      <c r="O7" s="413" t="str">
        <f t="shared" si="1"/>
        <v>15 x 25</v>
      </c>
      <c r="P7" s="18" t="str">
        <f t="shared" si="2"/>
        <v>N/A</v>
      </c>
      <c r="Q7" s="91">
        <f t="shared" si="3"/>
        <v>2.85</v>
      </c>
      <c r="R7" s="18" t="str">
        <f t="shared" si="4"/>
        <v>37 x 3 x 3</v>
      </c>
      <c r="S7" s="18">
        <v>37</v>
      </c>
      <c r="T7" s="18">
        <v>3</v>
      </c>
      <c r="U7" s="18">
        <v>3</v>
      </c>
      <c r="V7" s="90">
        <f t="shared" si="5"/>
        <v>49</v>
      </c>
      <c r="W7" s="287">
        <f t="shared" si="6"/>
        <v>0.73066666666666669</v>
      </c>
      <c r="X7" s="287" t="str">
        <f t="shared" si="7"/>
        <v>Yes</v>
      </c>
      <c r="Y7" s="93" t="e">
        <f t="shared" si="8"/>
        <v>#REF!</v>
      </c>
      <c r="Z7" s="288" t="e">
        <f t="shared" si="9"/>
        <v>#REF!</v>
      </c>
      <c r="AA7" s="94" t="e">
        <f t="shared" si="10"/>
        <v>#REF!</v>
      </c>
      <c r="AB7" s="288" t="e">
        <f t="shared" si="11"/>
        <v>#REF!</v>
      </c>
      <c r="AC7" s="91" t="e">
        <f>IF(X7="","",IF(D7="2 3D",((F7-0.5)*2+(G7-0.5)*2)*VLOOKUP("3D base",#REF!,2,FALSE),IF(D7="3 Canv", IF(E7="Roll",0,ROUND(SUM(F7:G7)*2,0)),0)*VLOOKUP("Stretcher Bar",#REF!,2,FALSE)))</f>
        <v>#REF!</v>
      </c>
      <c r="AD7" s="91">
        <f>IF(X7="","",IF(E7="Roll",0,IF(D7="2 3D",(SUM(F7:G7)*2)*VLOOKUP("3D epoxy",#REF!,2,FALSE),IF(D7="3 Canv",VLOOKUP("Wood glue",#REF!,2,FALSE),""))))</f>
        <v>0</v>
      </c>
      <c r="AE7" s="91" t="e">
        <f>IF(D7="3 Canv",(((F7+5)*(G7+5)))*VLOOKUP("Canvas",#REF!,2,FALSE),IF(D7="2 3D",(((F7)*(G7)))*VLOOKUP("Dibond",#REF!,2,FALSE),""))</f>
        <v>#REF!</v>
      </c>
      <c r="AF7" s="91" t="e">
        <f>IF(D7="2 3D",F7*G7*VLOOKUP("3D ink",#REF!,2,FALSE),IF(D7="3 Canv",F7*G7*VLOOKUP("Canvas ink",#REF!,2,FALSE),""))</f>
        <v>#REF!</v>
      </c>
      <c r="AG7" s="91" t="str">
        <f>IF(D7="3 Canv",IF(E7="Roll","",ROUNDUP((SUM(F7:G7)*2)/3,"")*VLOOKUP("Staples",#REF!,2,FALSE)),"")</f>
        <v/>
      </c>
      <c r="AH7" s="91" t="e">
        <f>IF(AF7="","",(SUM(F7:G7)*2)*VLOOKUP(E7,#REF!,2,FALSE))</f>
        <v>#REF!</v>
      </c>
      <c r="AI7" s="18" t="str">
        <f t="shared" si="12"/>
        <v/>
      </c>
      <c r="AJ7" s="91" t="str">
        <f>IF(AI7="","",AI7*VLOOKUP("Staples",#REF!,2,FALSE))</f>
        <v/>
      </c>
      <c r="AK7" s="18" t="str">
        <f t="shared" si="13"/>
        <v/>
      </c>
      <c r="AL7" s="91" t="str">
        <f>IF(AK7="","",AK7*VLOOKUP("Frame screw",#REF!,2,FALSE))</f>
        <v/>
      </c>
      <c r="AM7" s="18" t="e">
        <f t="shared" si="14"/>
        <v>#REF!</v>
      </c>
      <c r="AN7" s="91" t="e">
        <f>IF(AM7="","",AM7*VLOOKUP("D ring",#REF!,2,FALSE))</f>
        <v>#REF!</v>
      </c>
      <c r="AO7" s="18" t="e">
        <f t="shared" si="15"/>
        <v>#REF!</v>
      </c>
      <c r="AP7" s="18" t="e">
        <f>IF(AO7="","",IF(G7&gt;59,AO7* VLOOKUP("8 wire",#REF!,2,FALSE)*2,IF(G7&gt;39,AO7* VLOOKUP("8 wire",#REF!,2,FALSE),AO7* VLOOKUP("6 wire",#REF!,2,FALSE))))</f>
        <v>#REF!</v>
      </c>
      <c r="AQ7" s="18" t="str">
        <f t="shared" si="16"/>
        <v/>
      </c>
      <c r="AR7" s="18" t="str">
        <f>IF(AQ7="","",AQ7*VLOOKUP("Pads",#REF!,2,FALSE))</f>
        <v/>
      </c>
      <c r="AS7" s="18" t="str">
        <f t="shared" si="17"/>
        <v/>
      </c>
      <c r="AT7" s="18" t="str">
        <f>IF(AS7="","",AS7*VLOOKUP("4 mil bag",#REF!,2,FALSE))</f>
        <v/>
      </c>
      <c r="AU7" s="91" t="e">
        <f>IF(X7="","",IF(I7="N/A","",IF(I7="CNC",IF(G7&gt;37,20,10),VLOOKUP(I7,#REF!,2,FALSE))))</f>
        <v>#REF!</v>
      </c>
      <c r="AV7" s="18" t="str">
        <f>IF(X7="","",IF(I7="CNC",VLOOKUP("Glue stick",#REF!,2,FALSE),""))</f>
        <v/>
      </c>
      <c r="AW7" s="18" t="str">
        <f>IF(X7="","",IF(I7="CNC",16*VLOOKUP("Box staples",#REF!,2,FALSE),""))</f>
        <v/>
      </c>
      <c r="AX7" s="91" t="e">
        <f>IF(X7="","",IF(I7="CNC",((((G7+6)+(F7+6))*2)+24)*VLOOKUP("sealing tape",#REF!,2,FALSE),VLOOKUP("Strapping tape",#REF!,2,FALSE)))</f>
        <v>#REF!</v>
      </c>
      <c r="AY7" s="17"/>
      <c r="AZ7" s="17" t="s">
        <v>84</v>
      </c>
      <c r="BA7" s="15">
        <v>2.85</v>
      </c>
      <c r="BB7" s="17" t="s">
        <v>85</v>
      </c>
      <c r="BC7" s="102">
        <v>49</v>
      </c>
      <c r="BE7" s="102"/>
      <c r="BF7" s="102"/>
      <c r="BG7" s="102"/>
      <c r="BH7" s="102"/>
      <c r="BI7" s="102"/>
    </row>
    <row r="8" spans="1:61" x14ac:dyDescent="0.45">
      <c r="A8" s="103" t="s">
        <v>1086</v>
      </c>
      <c r="B8" s="17" t="s">
        <v>1085</v>
      </c>
      <c r="C8" s="16">
        <v>44537</v>
      </c>
      <c r="D8" s="17" t="s">
        <v>66</v>
      </c>
      <c r="E8" s="15" t="s">
        <v>51</v>
      </c>
      <c r="F8" s="17">
        <v>31</v>
      </c>
      <c r="G8" s="17">
        <v>40</v>
      </c>
      <c r="H8" s="3" t="s">
        <v>43</v>
      </c>
      <c r="I8" s="88" t="s">
        <v>553</v>
      </c>
      <c r="J8" s="87">
        <v>44561</v>
      </c>
      <c r="K8" s="15">
        <v>872</v>
      </c>
      <c r="L8" s="96">
        <v>45</v>
      </c>
      <c r="M8" s="89">
        <v>171.62</v>
      </c>
      <c r="N8" s="88">
        <v>30</v>
      </c>
      <c r="O8" s="413" t="str">
        <f t="shared" si="1"/>
        <v>31 x 40</v>
      </c>
      <c r="P8" s="18" t="str">
        <f t="shared" si="2"/>
        <v>33 x 42</v>
      </c>
      <c r="Q8" s="91">
        <f t="shared" si="3"/>
        <v>15.77</v>
      </c>
      <c r="R8" s="18" t="str">
        <f t="shared" si="4"/>
        <v>48 x 38 x 6</v>
      </c>
      <c r="S8" s="18">
        <v>48</v>
      </c>
      <c r="T8" s="18">
        <v>38</v>
      </c>
      <c r="U8" s="18">
        <v>6</v>
      </c>
      <c r="V8" s="18">
        <f t="shared" si="5"/>
        <v>154</v>
      </c>
      <c r="W8" s="287">
        <f t="shared" si="6"/>
        <v>3.8137777777777777</v>
      </c>
      <c r="X8" s="287" t="str">
        <f t="shared" si="7"/>
        <v>Yes</v>
      </c>
      <c r="Y8" s="93" t="e">
        <f t="shared" si="8"/>
        <v>#REF!</v>
      </c>
      <c r="Z8" s="288" t="e">
        <f t="shared" si="9"/>
        <v>#REF!</v>
      </c>
      <c r="AA8" s="94" t="e">
        <f t="shared" si="10"/>
        <v>#REF!</v>
      </c>
      <c r="AB8" s="288" t="e">
        <f t="shared" si="11"/>
        <v>#REF!</v>
      </c>
      <c r="AC8" s="91" t="e">
        <f>IF(X8="","",IF(D8="2 3D",((F8-0.5)*2+(G8-0.5)*2)*VLOOKUP("3D base",#REF!,2,FALSE),IF(D8="3 Canv", IF(E8="Roll",0,ROUND(SUM(F8:G8)*2,0)),0)*VLOOKUP("Stretcher Bar",#REF!,2,FALSE)))</f>
        <v>#REF!</v>
      </c>
      <c r="AD8" s="91" t="e">
        <f>IF(X8="","",IF(E8="Roll",0,IF(D8="2 3D",(SUM(F8:G8)*2)*VLOOKUP("3D epoxy",#REF!,2,FALSE),IF(D8="3 Canv",VLOOKUP("Wood glue",#REF!,2,FALSE),""))))</f>
        <v>#REF!</v>
      </c>
      <c r="AE8" s="91" t="e">
        <f>IF(D8="3 Canv",(((F8+5)*(G8+5)))*VLOOKUP("Canvas",#REF!,2,FALSE),IF(D8="2 3D",(((F8)*(G8)))*VLOOKUP("Dibond",#REF!,2,FALSE),""))</f>
        <v>#REF!</v>
      </c>
      <c r="AF8" s="91" t="e">
        <f>IF(D8="2 3D",F8*G8*VLOOKUP("3D ink",#REF!,2,FALSE),IF(D8="3 Canv",F8*G8*VLOOKUP("Canvas ink",#REF!,2,FALSE),""))</f>
        <v>#REF!</v>
      </c>
      <c r="AG8" s="91" t="e">
        <f>IF(D8="3 Canv",IF(E8="Roll","",ROUNDUP((SUM(F8:G8)*2)/3,"")*VLOOKUP("Staples",#REF!,2,FALSE)),"")</f>
        <v>#VALUE!</v>
      </c>
      <c r="AH8" s="91" t="e">
        <f>IF(AF8="","",(SUM(F8:G8)*2)*VLOOKUP(E8,#REF!,2,FALSE))</f>
        <v>#REF!</v>
      </c>
      <c r="AI8" s="18">
        <f t="shared" si="12"/>
        <v>44</v>
      </c>
      <c r="AJ8" s="91" t="e">
        <f>IF(AI8="","",AI8*VLOOKUP("Staples",#REF!,2,FALSE))</f>
        <v>#REF!</v>
      </c>
      <c r="AK8" s="18" t="e">
        <f t="shared" si="13"/>
        <v>#REF!</v>
      </c>
      <c r="AL8" s="91" t="e">
        <f>IF(AK8="","",AK8*VLOOKUP("Frame screw",#REF!,2,FALSE))</f>
        <v>#REF!</v>
      </c>
      <c r="AM8" s="18" t="e">
        <f t="shared" si="14"/>
        <v>#REF!</v>
      </c>
      <c r="AN8" s="91" t="e">
        <f>IF(AM8="","",AM8*VLOOKUP("D ring",#REF!,2,FALSE))</f>
        <v>#REF!</v>
      </c>
      <c r="AO8" s="18" t="e">
        <f t="shared" si="15"/>
        <v>#REF!</v>
      </c>
      <c r="AP8" s="91" t="e">
        <f>IF(AO8="","",IF(G8&gt;59,AO8* VLOOKUP("8 wire",#REF!,2,FALSE)*2,IF(G8&gt;39,AO8* VLOOKUP("8 wire",#REF!,2,FALSE),AO8* VLOOKUP("6 wire",#REF!,2,FALSE))))</f>
        <v>#REF!</v>
      </c>
      <c r="AQ8" s="18">
        <f t="shared" si="16"/>
        <v>4</v>
      </c>
      <c r="AR8" s="18" t="e">
        <f>IF(AQ8="","",AQ8*VLOOKUP("Pads",#REF!,2,FALSE))</f>
        <v>#REF!</v>
      </c>
      <c r="AS8" s="18">
        <f t="shared" si="17"/>
        <v>1</v>
      </c>
      <c r="AT8" s="91" t="e">
        <f>IF(AS8="","",AS8*VLOOKUP("4 mil bag",#REF!,2,FALSE))</f>
        <v>#REF!</v>
      </c>
      <c r="AU8" s="91" t="e">
        <f>IF(X8="","",IF(I8="N/A","",IF(I8="CNC",IF(G8&gt;37,20,10),VLOOKUP(I8,#REF!,2,FALSE))))</f>
        <v>#REF!</v>
      </c>
      <c r="AV8" s="18" t="str">
        <f>IF(X8="","",IF(I8="CNC",VLOOKUP("Glue stick",#REF!,2,FALSE),""))</f>
        <v/>
      </c>
      <c r="AW8" s="18" t="str">
        <f>IF(X8="","",IF(I8="CNC",16*VLOOKUP("Box staples",#REF!,2,FALSE),""))</f>
        <v/>
      </c>
      <c r="AX8" s="91" t="e">
        <f>IF(X8="","",IF(I8="CNC",((((G8+6)+(F8+6))*2)+24)*VLOOKUP("sealing tape",#REF!,2,FALSE),VLOOKUP("Strapping tape",#REF!,2,FALSE)))</f>
        <v>#REF!</v>
      </c>
      <c r="AY8" s="17"/>
      <c r="AZ8" s="17" t="s">
        <v>474</v>
      </c>
      <c r="BA8" s="15">
        <v>114</v>
      </c>
      <c r="BB8" s="17" t="s">
        <v>475</v>
      </c>
      <c r="BC8" s="102">
        <v>123</v>
      </c>
      <c r="BE8" s="102"/>
      <c r="BF8" s="102"/>
      <c r="BG8" s="102"/>
      <c r="BH8" s="102"/>
      <c r="BI8" s="102"/>
    </row>
    <row r="9" spans="1:61" x14ac:dyDescent="0.45">
      <c r="A9" s="103" t="s">
        <v>1084</v>
      </c>
      <c r="B9" s="17" t="s">
        <v>1083</v>
      </c>
      <c r="C9" s="16">
        <v>44544</v>
      </c>
      <c r="D9" s="17" t="s">
        <v>66</v>
      </c>
      <c r="E9" s="15" t="s">
        <v>558</v>
      </c>
      <c r="F9" s="17">
        <v>24</v>
      </c>
      <c r="G9" s="17">
        <v>32</v>
      </c>
      <c r="H9" s="3" t="s">
        <v>43</v>
      </c>
      <c r="I9" s="88" t="s">
        <v>84</v>
      </c>
      <c r="J9" s="87">
        <v>44561</v>
      </c>
      <c r="K9" s="15">
        <v>330</v>
      </c>
      <c r="L9" s="96">
        <v>20</v>
      </c>
      <c r="M9" s="89">
        <v>9.23</v>
      </c>
      <c r="N9" s="88">
        <v>2</v>
      </c>
      <c r="O9" s="413" t="str">
        <f t="shared" si="1"/>
        <v>24 x 32</v>
      </c>
      <c r="P9" s="18" t="str">
        <f t="shared" si="2"/>
        <v>N/A</v>
      </c>
      <c r="Q9" s="91">
        <f t="shared" si="3"/>
        <v>2.85</v>
      </c>
      <c r="R9" s="18" t="str">
        <f t="shared" si="4"/>
        <v>37 x 3 x 3</v>
      </c>
      <c r="S9" s="18">
        <v>37</v>
      </c>
      <c r="T9" s="18">
        <v>3</v>
      </c>
      <c r="U9" s="18">
        <v>3</v>
      </c>
      <c r="V9" s="90">
        <f t="shared" si="5"/>
        <v>49</v>
      </c>
      <c r="W9" s="287">
        <f t="shared" si="6"/>
        <v>0.46150000000000002</v>
      </c>
      <c r="X9" s="287" t="str">
        <f t="shared" si="7"/>
        <v>Yes</v>
      </c>
      <c r="Y9" s="93" t="e">
        <f t="shared" si="8"/>
        <v>#REF!</v>
      </c>
      <c r="Z9" s="288" t="e">
        <f t="shared" si="9"/>
        <v>#REF!</v>
      </c>
      <c r="AA9" s="94" t="e">
        <f t="shared" si="10"/>
        <v>#REF!</v>
      </c>
      <c r="AB9" s="288" t="e">
        <f t="shared" si="11"/>
        <v>#REF!</v>
      </c>
      <c r="AC9" s="91" t="e">
        <f>IF(X9="","",IF(D9="2 3D",((F9-0.5)*2+(G9-0.5)*2)*VLOOKUP("3D base",#REF!,2,FALSE),IF(D9="3 Canv", IF(E9="Roll",0,ROUND(SUM(F9:G9)*2,0)),0)*VLOOKUP("Stretcher Bar",#REF!,2,FALSE)))</f>
        <v>#REF!</v>
      </c>
      <c r="AD9" s="91">
        <f>IF(X9="","",IF(E9="Roll",0,IF(D9="2 3D",(SUM(F9:G9)*2)*VLOOKUP("3D epoxy",#REF!,2,FALSE),IF(D9="3 Canv",VLOOKUP("Wood glue",#REF!,2,FALSE),""))))</f>
        <v>0</v>
      </c>
      <c r="AE9" s="91" t="e">
        <f>IF(D9="3 Canv",(((F9+5)*(G9+5)))*VLOOKUP("Canvas",#REF!,2,FALSE),IF(D9="2 3D",(((F9)*(G9)))*VLOOKUP("Dibond",#REF!,2,FALSE),""))</f>
        <v>#REF!</v>
      </c>
      <c r="AF9" s="91" t="e">
        <f>IF(D9="2 3D",F9*G9*VLOOKUP("3D ink",#REF!,2,FALSE),IF(D9="3 Canv",F9*G9*VLOOKUP("Canvas ink",#REF!,2,FALSE),""))</f>
        <v>#REF!</v>
      </c>
      <c r="AG9" s="91" t="str">
        <f>IF(D9="3 Canv",IF(E9="Roll","",ROUNDUP((SUM(F9:G9)*2)/3,"")*VLOOKUP("Staples",#REF!,2,FALSE)),"")</f>
        <v/>
      </c>
      <c r="AH9" s="91" t="e">
        <f>IF(AF9="","",(SUM(F9:G9)*2)*VLOOKUP(E9,#REF!,2,FALSE))</f>
        <v>#REF!</v>
      </c>
      <c r="AI9" s="18" t="str">
        <f t="shared" si="12"/>
        <v/>
      </c>
      <c r="AJ9" s="91" t="str">
        <f>IF(AI9="","",AI9*VLOOKUP("Staples",#REF!,2,FALSE))</f>
        <v/>
      </c>
      <c r="AK9" s="18" t="str">
        <f t="shared" si="13"/>
        <v/>
      </c>
      <c r="AL9" s="91" t="str">
        <f>IF(AK9="","",AK9*VLOOKUP("Frame screw",#REF!,2,FALSE))</f>
        <v/>
      </c>
      <c r="AM9" s="18" t="e">
        <f t="shared" si="14"/>
        <v>#REF!</v>
      </c>
      <c r="AN9" s="91" t="e">
        <f>IF(AM9="","",AM9*VLOOKUP("D ring",#REF!,2,FALSE))</f>
        <v>#REF!</v>
      </c>
      <c r="AO9" s="18" t="e">
        <f t="shared" si="15"/>
        <v>#REF!</v>
      </c>
      <c r="AP9" s="18" t="e">
        <f>IF(AO9="","",IF(G9&gt;59,AO9* VLOOKUP("8 wire",#REF!,2,FALSE)*2,IF(G9&gt;39,AO9* VLOOKUP("8 wire",#REF!,2,FALSE),AO9* VLOOKUP("6 wire",#REF!,2,FALSE))))</f>
        <v>#REF!</v>
      </c>
      <c r="AQ9" s="18" t="str">
        <f t="shared" si="16"/>
        <v/>
      </c>
      <c r="AR9" s="18" t="str">
        <f>IF(AQ9="","",AQ9*VLOOKUP("Pads",#REF!,2,FALSE))</f>
        <v/>
      </c>
      <c r="AS9" s="18" t="str">
        <f t="shared" si="17"/>
        <v/>
      </c>
      <c r="AT9" s="18" t="str">
        <f>IF(AS9="","",AS9*VLOOKUP("4 mil bag",#REF!,2,FALSE))</f>
        <v/>
      </c>
      <c r="AU9" s="91" t="e">
        <f>IF(X9="","",IF(I9="N/A","",IF(I9="CNC",IF(G9&gt;37,20,10),VLOOKUP(I9,#REF!,2,FALSE))))</f>
        <v>#REF!</v>
      </c>
      <c r="AV9" s="18" t="str">
        <f>IF(X9="","",IF(I9="CNC",VLOOKUP("Glue stick",#REF!,2,FALSE),""))</f>
        <v/>
      </c>
      <c r="AW9" s="18" t="str">
        <f>IF(X9="","",IF(I9="CNC",16*VLOOKUP("Box staples",#REF!,2,FALSE),""))</f>
        <v/>
      </c>
      <c r="AX9" s="91" t="e">
        <f>IF(X9="","",IF(I9="CNC",((((G9+6)+(F9+6))*2)+24)*VLOOKUP("sealing tape",#REF!,2,FALSE),VLOOKUP("Strapping tape",#REF!,2,FALSE)))</f>
        <v>#REF!</v>
      </c>
      <c r="AY9" s="17"/>
      <c r="AZ9" s="17" t="s">
        <v>562</v>
      </c>
      <c r="BA9" s="15">
        <v>152</v>
      </c>
      <c r="BB9" s="17"/>
      <c r="BC9" s="102"/>
      <c r="BE9" s="102"/>
      <c r="BF9" s="102"/>
      <c r="BG9" s="102"/>
      <c r="BH9" s="102"/>
      <c r="BI9" s="102"/>
    </row>
    <row r="10" spans="1:61" x14ac:dyDescent="0.45">
      <c r="A10" s="103" t="s">
        <v>441</v>
      </c>
      <c r="B10" s="17" t="s">
        <v>1082</v>
      </c>
      <c r="C10" s="16">
        <v>44539</v>
      </c>
      <c r="D10" s="17" t="s">
        <v>66</v>
      </c>
      <c r="E10" s="15" t="s">
        <v>558</v>
      </c>
      <c r="F10" s="17">
        <v>34</v>
      </c>
      <c r="G10" s="17">
        <v>51</v>
      </c>
      <c r="H10" s="3" t="s">
        <v>43</v>
      </c>
      <c r="I10" s="88" t="s">
        <v>595</v>
      </c>
      <c r="J10" s="87">
        <v>44561</v>
      </c>
      <c r="K10" s="15">
        <v>553</v>
      </c>
      <c r="L10" s="96">
        <v>30</v>
      </c>
      <c r="M10" s="89">
        <v>10.96</v>
      </c>
      <c r="N10" s="88">
        <v>3</v>
      </c>
      <c r="O10" s="413" t="str">
        <f t="shared" si="1"/>
        <v>34 x 51</v>
      </c>
      <c r="P10" s="18" t="str">
        <f t="shared" si="2"/>
        <v>N/A</v>
      </c>
      <c r="Q10" s="91">
        <f t="shared" si="3"/>
        <v>4.32</v>
      </c>
      <c r="R10" s="18" t="str">
        <f t="shared" si="4"/>
        <v>57 x 3 x 3</v>
      </c>
      <c r="S10" s="18">
        <v>57</v>
      </c>
      <c r="T10" s="18">
        <v>3</v>
      </c>
      <c r="U10" s="18">
        <v>3</v>
      </c>
      <c r="V10" s="90">
        <f t="shared" si="5"/>
        <v>69</v>
      </c>
      <c r="W10" s="287">
        <f t="shared" si="6"/>
        <v>0.36533333333333334</v>
      </c>
      <c r="X10" s="287" t="str">
        <f t="shared" si="7"/>
        <v>Yes</v>
      </c>
      <c r="Y10" s="93" t="e">
        <f t="shared" si="8"/>
        <v>#REF!</v>
      </c>
      <c r="Z10" s="288" t="e">
        <f t="shared" si="9"/>
        <v>#REF!</v>
      </c>
      <c r="AA10" s="94" t="e">
        <f t="shared" si="10"/>
        <v>#REF!</v>
      </c>
      <c r="AB10" s="288" t="e">
        <f t="shared" si="11"/>
        <v>#REF!</v>
      </c>
      <c r="AC10" s="91" t="e">
        <f>IF(X10="","",IF(D10="2 3D",((F10-0.5)*2+(G10-0.5)*2)*VLOOKUP("3D base",#REF!,2,FALSE),IF(D10="3 Canv", IF(E10="Roll",0,ROUND(SUM(F10:G10)*2,0)),0)*VLOOKUP("Stretcher Bar",#REF!,2,FALSE)))</f>
        <v>#REF!</v>
      </c>
      <c r="AD10" s="91">
        <f>IF(X10="","",IF(E10="Roll",0,IF(D10="2 3D",(SUM(F10:G10)*2)*VLOOKUP("3D epoxy",#REF!,2,FALSE),IF(D10="3 Canv",VLOOKUP("Wood glue",#REF!,2,FALSE),""))))</f>
        <v>0</v>
      </c>
      <c r="AE10" s="91" t="e">
        <f>IF(D10="3 Canv",(((F10+5)*(G10+5)))*VLOOKUP("Canvas",#REF!,2,FALSE),IF(D10="2 3D",(((F10)*(G10)))*VLOOKUP("Dibond",#REF!,2,FALSE),""))</f>
        <v>#REF!</v>
      </c>
      <c r="AF10" s="91" t="e">
        <f>IF(D10="2 3D",F10*G10*VLOOKUP("3D ink",#REF!,2,FALSE),IF(D10="3 Canv",F10*G10*VLOOKUP("Canvas ink",#REF!,2,FALSE),""))</f>
        <v>#REF!</v>
      </c>
      <c r="AG10" s="91" t="str">
        <f>IF(D10="3 Canv",IF(E10="Roll","",ROUNDUP((SUM(F10:G10)*2)/3,"")*VLOOKUP("Staples",#REF!,2,FALSE)),"")</f>
        <v/>
      </c>
      <c r="AH10" s="91" t="e">
        <f>IF(AF10="","",(SUM(F10:G10)*2)*VLOOKUP(E10,#REF!,2,FALSE))</f>
        <v>#REF!</v>
      </c>
      <c r="AI10" s="18" t="str">
        <f t="shared" si="12"/>
        <v/>
      </c>
      <c r="AJ10" s="91" t="str">
        <f>IF(AI10="","",AI10*VLOOKUP("Staples",#REF!,2,FALSE))</f>
        <v/>
      </c>
      <c r="AK10" s="18" t="str">
        <f t="shared" si="13"/>
        <v/>
      </c>
      <c r="AL10" s="91" t="str">
        <f>IF(AK10="","",AK10*VLOOKUP("Frame screw",#REF!,2,FALSE))</f>
        <v/>
      </c>
      <c r="AM10" s="18" t="e">
        <f t="shared" si="14"/>
        <v>#REF!</v>
      </c>
      <c r="AN10" s="91" t="e">
        <f>IF(AM10="","",AM10*VLOOKUP("D ring",#REF!,2,FALSE))</f>
        <v>#REF!</v>
      </c>
      <c r="AO10" s="18" t="e">
        <f t="shared" si="15"/>
        <v>#REF!</v>
      </c>
      <c r="AP10" s="18" t="e">
        <f>IF(AO10="","",IF(G10&gt;59,AO10* VLOOKUP("8 wire",#REF!,2,FALSE)*2,IF(G10&gt;39,AO10* VLOOKUP("8 wire",#REF!,2,FALSE),AO10* VLOOKUP("6 wire",#REF!,2,FALSE))))</f>
        <v>#REF!</v>
      </c>
      <c r="AQ10" s="18" t="str">
        <f t="shared" si="16"/>
        <v/>
      </c>
      <c r="AR10" s="18" t="str">
        <f>IF(AQ10="","",AQ10*VLOOKUP("Pads",#REF!,2,FALSE))</f>
        <v/>
      </c>
      <c r="AS10" s="18" t="str">
        <f t="shared" si="17"/>
        <v/>
      </c>
      <c r="AT10" s="18" t="str">
        <f>IF(AS10="","",AS10*VLOOKUP("4 mil bag",#REF!,2,FALSE))</f>
        <v/>
      </c>
      <c r="AU10" s="91" t="e">
        <f>IF(X10="","",IF(I10="N/A","",IF(I10="CNC",IF(G10&gt;37,20,10),VLOOKUP(I10,#REF!,2,FALSE))))</f>
        <v>#REF!</v>
      </c>
      <c r="AV10" s="18" t="str">
        <f>IF(X10="","",IF(I10="CNC",VLOOKUP("Glue stick",#REF!,2,FALSE),""))</f>
        <v/>
      </c>
      <c r="AW10" s="18" t="str">
        <f>IF(X10="","",IF(I10="CNC",16*VLOOKUP("Box staples",#REF!,2,FALSE),""))</f>
        <v/>
      </c>
      <c r="AX10" s="91" t="e">
        <f>IF(X10="","",IF(I10="CNC",((((G10+6)+(F10+6))*2)+24)*VLOOKUP("sealing tape",#REF!,2,FALSE),VLOOKUP("Strapping tape",#REF!,2,FALSE)))</f>
        <v>#REF!</v>
      </c>
      <c r="AY10" s="17"/>
      <c r="AZ10" s="17" t="s">
        <v>523</v>
      </c>
      <c r="BA10" s="15">
        <v>166</v>
      </c>
      <c r="BB10" s="17" t="s">
        <v>524</v>
      </c>
      <c r="BC10" s="102">
        <v>132</v>
      </c>
      <c r="BE10" s="102"/>
      <c r="BF10" s="102"/>
      <c r="BG10" s="102"/>
      <c r="BH10" s="102"/>
      <c r="BI10" s="102"/>
    </row>
    <row r="11" spans="1:61" x14ac:dyDescent="0.45">
      <c r="A11" s="103" t="s">
        <v>1080</v>
      </c>
      <c r="B11" s="17" t="s">
        <v>1079</v>
      </c>
      <c r="C11" s="16">
        <v>44537</v>
      </c>
      <c r="D11" s="17" t="s">
        <v>66</v>
      </c>
      <c r="E11" s="15" t="s">
        <v>558</v>
      </c>
      <c r="F11" s="17">
        <v>32</v>
      </c>
      <c r="G11" s="17">
        <v>43</v>
      </c>
      <c r="H11" s="3" t="s">
        <v>43</v>
      </c>
      <c r="I11" s="88" t="s">
        <v>84</v>
      </c>
      <c r="J11" s="87">
        <v>44561</v>
      </c>
      <c r="K11" s="15">
        <f t="shared" ref="K11:K14" si="18">1444/4</f>
        <v>361</v>
      </c>
      <c r="L11" s="96">
        <f t="shared" ref="L11:L14" si="19">95/4</f>
        <v>23.75</v>
      </c>
      <c r="M11" s="89">
        <f t="shared" ref="M11:M14" si="20">9.23/4</f>
        <v>2.3075000000000001</v>
      </c>
      <c r="N11" s="88">
        <v>7</v>
      </c>
      <c r="O11" s="413" t="str">
        <f t="shared" si="1"/>
        <v>32 x 43</v>
      </c>
      <c r="P11" s="18" t="str">
        <f t="shared" si="2"/>
        <v>N/A</v>
      </c>
      <c r="Q11" s="91">
        <f t="shared" si="3"/>
        <v>2.85</v>
      </c>
      <c r="R11" s="18" t="str">
        <f t="shared" si="4"/>
        <v>37 x 3 x 3</v>
      </c>
      <c r="S11" s="18">
        <v>37</v>
      </c>
      <c r="T11" s="18">
        <v>3</v>
      </c>
      <c r="U11" s="18">
        <v>3</v>
      </c>
      <c r="V11" s="90">
        <f t="shared" si="5"/>
        <v>49</v>
      </c>
      <c r="W11" s="287">
        <f t="shared" si="6"/>
        <v>9.715789473684211E-2</v>
      </c>
      <c r="X11" s="287" t="str">
        <f t="shared" si="7"/>
        <v>Yes</v>
      </c>
      <c r="Y11" s="93" t="e">
        <f t="shared" si="8"/>
        <v>#REF!</v>
      </c>
      <c r="Z11" s="288" t="e">
        <f t="shared" si="9"/>
        <v>#REF!</v>
      </c>
      <c r="AA11" s="94" t="e">
        <f t="shared" si="10"/>
        <v>#REF!</v>
      </c>
      <c r="AB11" s="288" t="e">
        <f t="shared" si="11"/>
        <v>#REF!</v>
      </c>
      <c r="AC11" s="91" t="e">
        <f>IF(X11="","",IF(D11="2 3D",((F11-0.5)*2+(G11-0.5)*2)*VLOOKUP("3D base",#REF!,2,FALSE),IF(D11="3 Canv", IF(E11="Roll",0,ROUND(SUM(F11:G11)*2,0)),0)*VLOOKUP("Stretcher Bar",#REF!,2,FALSE)))</f>
        <v>#REF!</v>
      </c>
      <c r="AD11" s="91">
        <f>IF(X11="","",IF(E11="Roll",0,IF(D11="2 3D",(SUM(F11:G11)*2)*VLOOKUP("3D epoxy",#REF!,2,FALSE),IF(D11="3 Canv",VLOOKUP("Wood glue",#REF!,2,FALSE),""))))</f>
        <v>0</v>
      </c>
      <c r="AE11" s="91" t="e">
        <f>IF(D11="3 Canv",(((F11+5)*(G11+5)))*VLOOKUP("Canvas",#REF!,2,FALSE),IF(D11="2 3D",(((F11)*(G11)))*VLOOKUP("Dibond",#REF!,2,FALSE),""))</f>
        <v>#REF!</v>
      </c>
      <c r="AF11" s="91" t="e">
        <f>IF(D11="2 3D",F11*G11*VLOOKUP("3D ink",#REF!,2,FALSE),IF(D11="3 Canv",F11*G11*VLOOKUP("Canvas ink",#REF!,2,FALSE),""))</f>
        <v>#REF!</v>
      </c>
      <c r="AG11" s="91" t="str">
        <f>IF(D11="3 Canv",IF(E11="Roll","",ROUNDUP((SUM(F11:G11)*2)/3,"")*VLOOKUP("Staples",#REF!,2,FALSE)),"")</f>
        <v/>
      </c>
      <c r="AH11" s="91" t="e">
        <f>IF(AF11="","",(SUM(F11:G11)*2)*VLOOKUP(E11,#REF!,2,FALSE))</f>
        <v>#REF!</v>
      </c>
      <c r="AI11" s="18" t="str">
        <f t="shared" si="12"/>
        <v/>
      </c>
      <c r="AJ11" s="91" t="str">
        <f>IF(AI11="","",AI11*VLOOKUP("Staples",#REF!,2,FALSE))</f>
        <v/>
      </c>
      <c r="AK11" s="18" t="str">
        <f t="shared" si="13"/>
        <v/>
      </c>
      <c r="AL11" s="91" t="str">
        <f>IF(AK11="","",AK11*VLOOKUP("Frame screw",#REF!,2,FALSE))</f>
        <v/>
      </c>
      <c r="AM11" s="18" t="e">
        <f t="shared" si="14"/>
        <v>#REF!</v>
      </c>
      <c r="AN11" s="91" t="e">
        <f>IF(AM11="","",AM11*VLOOKUP("D ring",#REF!,2,FALSE))</f>
        <v>#REF!</v>
      </c>
      <c r="AO11" s="18" t="e">
        <f t="shared" si="15"/>
        <v>#REF!</v>
      </c>
      <c r="AP11" s="18" t="e">
        <f>IF(AO11="","",IF(G11&gt;59,AO11* VLOOKUP("8 wire",#REF!,2,FALSE)*2,IF(G11&gt;39,AO11* VLOOKUP("8 wire",#REF!,2,FALSE),AO11* VLOOKUP("6 wire",#REF!,2,FALSE))))</f>
        <v>#REF!</v>
      </c>
      <c r="AQ11" s="18" t="str">
        <f t="shared" si="16"/>
        <v/>
      </c>
      <c r="AR11" s="18" t="str">
        <f>IF(AQ11="","",AQ11*VLOOKUP("Pads",#REF!,2,FALSE))</f>
        <v/>
      </c>
      <c r="AS11" s="18" t="str">
        <f t="shared" si="17"/>
        <v/>
      </c>
      <c r="AT11" s="18" t="str">
        <f>IF(AS11="","",AS11*VLOOKUP("4 mil bag",#REF!,2,FALSE))</f>
        <v/>
      </c>
      <c r="AU11" s="91" t="e">
        <f>IF(X11="","",IF(I11="N/A","",IF(I11="CNC",IF(G11&gt;37,20,10),VLOOKUP(I11,#REF!,2,FALSE))))</f>
        <v>#REF!</v>
      </c>
      <c r="AV11" s="18" t="str">
        <f>IF(X11="","",IF(I11="CNC",VLOOKUP("Glue stick",#REF!,2,FALSE),""))</f>
        <v/>
      </c>
      <c r="AW11" s="18" t="str">
        <f>IF(X11="","",IF(I11="CNC",16*VLOOKUP("Box staples",#REF!,2,FALSE),""))</f>
        <v/>
      </c>
      <c r="AX11" s="91" t="e">
        <f>IF(X11="","",IF(I11="CNC",((((G11+6)+(F11+6))*2)+24)*VLOOKUP("sealing tape",#REF!,2,FALSE),VLOOKUP("Strapping tape",#REF!,2,FALSE)))</f>
        <v>#REF!</v>
      </c>
      <c r="AY11" s="17"/>
      <c r="AZ11" s="17" t="s">
        <v>498</v>
      </c>
      <c r="BA11" s="15">
        <v>201</v>
      </c>
      <c r="BB11" s="17"/>
      <c r="BC11" s="102"/>
      <c r="BE11" s="102"/>
      <c r="BF11" s="102"/>
      <c r="BG11" s="102"/>
      <c r="BH11" s="102"/>
      <c r="BI11" s="102"/>
    </row>
    <row r="12" spans="1:61" x14ac:dyDescent="0.45">
      <c r="A12" s="103" t="s">
        <v>969</v>
      </c>
      <c r="B12" s="17" t="s">
        <v>1079</v>
      </c>
      <c r="C12" s="16">
        <v>44537</v>
      </c>
      <c r="D12" s="17" t="s">
        <v>66</v>
      </c>
      <c r="E12" s="15" t="s">
        <v>558</v>
      </c>
      <c r="F12" s="17">
        <v>32</v>
      </c>
      <c r="G12" s="17">
        <v>40</v>
      </c>
      <c r="H12" s="3" t="s">
        <v>43</v>
      </c>
      <c r="I12" s="88" t="s">
        <v>602</v>
      </c>
      <c r="J12" s="87">
        <v>44561</v>
      </c>
      <c r="K12" s="15">
        <f t="shared" si="18"/>
        <v>361</v>
      </c>
      <c r="L12" s="96">
        <f t="shared" si="19"/>
        <v>23.75</v>
      </c>
      <c r="M12" s="89">
        <f t="shared" si="20"/>
        <v>2.3075000000000001</v>
      </c>
      <c r="N12" s="88"/>
      <c r="O12" s="413" t="str">
        <f t="shared" si="1"/>
        <v>32 x 40</v>
      </c>
      <c r="P12" s="18" t="str">
        <f t="shared" si="2"/>
        <v>N/A</v>
      </c>
      <c r="Q12" s="91" t="str">
        <f t="shared" si="3"/>
        <v>""</v>
      </c>
      <c r="R12" s="18" t="str">
        <f t="shared" si="4"/>
        <v>""</v>
      </c>
      <c r="S12" s="18" t="s">
        <v>602</v>
      </c>
      <c r="T12" s="18"/>
      <c r="U12" s="18"/>
      <c r="V12" s="91" t="str">
        <f t="shared" si="5"/>
        <v>""</v>
      </c>
      <c r="W12" s="287">
        <f t="shared" si="6"/>
        <v>9.715789473684211E-2</v>
      </c>
      <c r="X12" s="287" t="str">
        <f t="shared" si="7"/>
        <v>Yes</v>
      </c>
      <c r="Y12" s="93" t="e">
        <f t="shared" si="8"/>
        <v>#REF!</v>
      </c>
      <c r="Z12" s="288" t="e">
        <f t="shared" si="9"/>
        <v>#REF!</v>
      </c>
      <c r="AA12" s="94" t="e">
        <f t="shared" si="10"/>
        <v>#REF!</v>
      </c>
      <c r="AB12" s="288" t="e">
        <f t="shared" si="11"/>
        <v>#REF!</v>
      </c>
      <c r="AC12" s="91" t="e">
        <f>IF(X12="","",IF(D12="2 3D",((F12-0.5)*2+(G12-0.5)*2)*VLOOKUP("3D base",#REF!,2,FALSE),IF(D12="3 Canv", IF(E12="Roll",0,ROUND(SUM(F12:G12)*2,0)),0)*VLOOKUP("Stretcher Bar",#REF!,2,FALSE)))</f>
        <v>#REF!</v>
      </c>
      <c r="AD12" s="91">
        <f>IF(X12="","",IF(E12="Roll",0,IF(D12="2 3D",(SUM(F12:G12)*2)*VLOOKUP("3D epoxy",#REF!,2,FALSE),IF(D12="3 Canv",VLOOKUP("Wood glue",#REF!,2,FALSE),""))))</f>
        <v>0</v>
      </c>
      <c r="AE12" s="91" t="e">
        <f>IF(D12="3 Canv",(((F12+5)*(G12+5)))*VLOOKUP("Canvas",#REF!,2,FALSE),IF(D12="2 3D",(((F12)*(G12)))*VLOOKUP("Dibond",#REF!,2,FALSE),""))</f>
        <v>#REF!</v>
      </c>
      <c r="AF12" s="91" t="e">
        <f>IF(D12="2 3D",F12*G12*VLOOKUP("3D ink",#REF!,2,FALSE),IF(D12="3 Canv",F12*G12*VLOOKUP("Canvas ink",#REF!,2,FALSE),""))</f>
        <v>#REF!</v>
      </c>
      <c r="AG12" s="91" t="str">
        <f>IF(D12="3 Canv",IF(E12="Roll","",ROUNDUP((SUM(F12:G12)*2)/3,"")*VLOOKUP("Staples",#REF!,2,FALSE)),"")</f>
        <v/>
      </c>
      <c r="AH12" s="91" t="e">
        <f>IF(AF12="","",(SUM(F12:G12)*2)*VLOOKUP(E12,#REF!,2,FALSE))</f>
        <v>#REF!</v>
      </c>
      <c r="AI12" s="18" t="str">
        <f t="shared" si="12"/>
        <v/>
      </c>
      <c r="AJ12" s="91" t="str">
        <f>IF(AI12="","",AI12*VLOOKUP("Staples",#REF!,2,FALSE))</f>
        <v/>
      </c>
      <c r="AK12" s="18" t="str">
        <f t="shared" si="13"/>
        <v/>
      </c>
      <c r="AL12" s="91" t="str">
        <f>IF(AK12="","",AK12*VLOOKUP("Frame screw",#REF!,2,FALSE))</f>
        <v/>
      </c>
      <c r="AM12" s="18" t="e">
        <f t="shared" si="14"/>
        <v>#REF!</v>
      </c>
      <c r="AN12" s="91" t="e">
        <f>IF(AM12="","",AM12*VLOOKUP("D ring",#REF!,2,FALSE))</f>
        <v>#REF!</v>
      </c>
      <c r="AO12" s="18" t="e">
        <f t="shared" si="15"/>
        <v>#REF!</v>
      </c>
      <c r="AP12" s="18" t="e">
        <f>IF(AO12="","",IF(G12&gt;59,AO12* VLOOKUP("8 wire",#REF!,2,FALSE)*2,IF(G12&gt;39,AO12* VLOOKUP("8 wire",#REF!,2,FALSE),AO12* VLOOKUP("6 wire",#REF!,2,FALSE))))</f>
        <v>#REF!</v>
      </c>
      <c r="AQ12" s="18" t="str">
        <f t="shared" si="16"/>
        <v/>
      </c>
      <c r="AR12" s="18" t="str">
        <f>IF(AQ12="","",AQ12*VLOOKUP("Pads",#REF!,2,FALSE))</f>
        <v/>
      </c>
      <c r="AS12" s="18" t="str">
        <f t="shared" si="17"/>
        <v/>
      </c>
      <c r="AT12" s="18" t="str">
        <f>IF(AS12="","",AS12*VLOOKUP("4 mil bag",#REF!,2,FALSE))</f>
        <v/>
      </c>
      <c r="AU12" s="91" t="e">
        <f>IF(X12="","",IF(I12="N/A","",IF(I12="CNC",IF(G12&gt;37,20,10),VLOOKUP(I12,#REF!,2,FALSE))))</f>
        <v>#REF!</v>
      </c>
      <c r="AV12" s="18" t="str">
        <f>IF(X12="","",IF(I12="CNC",VLOOKUP("Glue stick",#REF!,2,FALSE),""))</f>
        <v/>
      </c>
      <c r="AW12" s="18" t="str">
        <f>IF(X12="","",IF(I12="CNC",16*VLOOKUP("Box staples",#REF!,2,FALSE),""))</f>
        <v/>
      </c>
      <c r="AX12" s="91" t="e">
        <f>IF(X12="","",IF(I12="CNC",((((G12+6)+(F12+6))*2)+24)*VLOOKUP("sealing tape",#REF!,2,FALSE),VLOOKUP("Strapping tape",#REF!,2,FALSE)))</f>
        <v>#REF!</v>
      </c>
      <c r="AY12" s="17"/>
      <c r="AZ12" s="17" t="s">
        <v>484</v>
      </c>
      <c r="BA12" s="15">
        <v>256</v>
      </c>
      <c r="BB12" s="17" t="s">
        <v>485</v>
      </c>
      <c r="BC12" s="102">
        <v>182</v>
      </c>
      <c r="BE12" s="102"/>
      <c r="BF12" s="102"/>
      <c r="BG12" s="102"/>
      <c r="BH12" s="102"/>
      <c r="BI12" s="102"/>
    </row>
    <row r="13" spans="1:61" x14ac:dyDescent="0.45">
      <c r="A13" s="103" t="s">
        <v>1081</v>
      </c>
      <c r="B13" s="17" t="s">
        <v>1079</v>
      </c>
      <c r="C13" s="16">
        <v>44537</v>
      </c>
      <c r="D13" s="17" t="s">
        <v>66</v>
      </c>
      <c r="E13" s="15" t="s">
        <v>558</v>
      </c>
      <c r="F13" s="17">
        <v>32</v>
      </c>
      <c r="G13" s="17">
        <v>45</v>
      </c>
      <c r="H13" s="3" t="s">
        <v>43</v>
      </c>
      <c r="I13" s="88" t="s">
        <v>602</v>
      </c>
      <c r="J13" s="87">
        <v>44561</v>
      </c>
      <c r="K13" s="15">
        <f t="shared" si="18"/>
        <v>361</v>
      </c>
      <c r="L13" s="96">
        <f t="shared" si="19"/>
        <v>23.75</v>
      </c>
      <c r="M13" s="89">
        <f t="shared" si="20"/>
        <v>2.3075000000000001</v>
      </c>
      <c r="N13" s="88"/>
      <c r="O13" s="413" t="str">
        <f t="shared" si="1"/>
        <v>32 x 45</v>
      </c>
      <c r="P13" s="18" t="str">
        <f t="shared" si="2"/>
        <v>N/A</v>
      </c>
      <c r="Q13" s="91" t="str">
        <f t="shared" si="3"/>
        <v>""</v>
      </c>
      <c r="R13" s="18" t="str">
        <f t="shared" si="4"/>
        <v>""</v>
      </c>
      <c r="S13" s="18" t="s">
        <v>602</v>
      </c>
      <c r="T13" s="18"/>
      <c r="U13" s="18"/>
      <c r="V13" s="91" t="str">
        <f t="shared" si="5"/>
        <v>""</v>
      </c>
      <c r="W13" s="287">
        <f t="shared" si="6"/>
        <v>9.715789473684211E-2</v>
      </c>
      <c r="X13" s="287" t="str">
        <f t="shared" si="7"/>
        <v>Yes</v>
      </c>
      <c r="Y13" s="93" t="e">
        <f t="shared" si="8"/>
        <v>#REF!</v>
      </c>
      <c r="Z13" s="288" t="e">
        <f t="shared" si="9"/>
        <v>#REF!</v>
      </c>
      <c r="AA13" s="94" t="e">
        <f t="shared" si="10"/>
        <v>#REF!</v>
      </c>
      <c r="AB13" s="288" t="e">
        <f t="shared" si="11"/>
        <v>#REF!</v>
      </c>
      <c r="AC13" s="91" t="e">
        <f>IF(X13="","",IF(D13="2 3D",((F13-0.5)*2+(G13-0.5)*2)*VLOOKUP("3D base",#REF!,2,FALSE),IF(D13="3 Canv", IF(E13="Roll",0,ROUND(SUM(F13:G13)*2,0)),0)*VLOOKUP("Stretcher Bar",#REF!,2,FALSE)))</f>
        <v>#REF!</v>
      </c>
      <c r="AD13" s="91">
        <f>IF(X13="","",IF(E13="Roll",0,IF(D13="2 3D",(SUM(F13:G13)*2)*VLOOKUP("3D epoxy",#REF!,2,FALSE),IF(D13="3 Canv",VLOOKUP("Wood glue",#REF!,2,FALSE),""))))</f>
        <v>0</v>
      </c>
      <c r="AE13" s="91" t="e">
        <f>IF(D13="3 Canv",(((F13+5)*(G13+5)))*VLOOKUP("Canvas",#REF!,2,FALSE),IF(D13="2 3D",(((F13)*(G13)))*VLOOKUP("Dibond",#REF!,2,FALSE),""))</f>
        <v>#REF!</v>
      </c>
      <c r="AF13" s="91" t="e">
        <f>IF(D13="2 3D",F13*G13*VLOOKUP("3D ink",#REF!,2,FALSE),IF(D13="3 Canv",F13*G13*VLOOKUP("Canvas ink",#REF!,2,FALSE),""))</f>
        <v>#REF!</v>
      </c>
      <c r="AG13" s="91" t="str">
        <f>IF(D13="3 Canv",IF(E13="Roll","",ROUNDUP((SUM(F13:G13)*2)/3,"")*VLOOKUP("Staples",#REF!,2,FALSE)),"")</f>
        <v/>
      </c>
      <c r="AH13" s="91" t="e">
        <f>IF(AF13="","",(SUM(F13:G13)*2)*VLOOKUP(E13,#REF!,2,FALSE))</f>
        <v>#REF!</v>
      </c>
      <c r="AI13" s="18" t="str">
        <f t="shared" si="12"/>
        <v/>
      </c>
      <c r="AJ13" s="91" t="str">
        <f>IF(AI13="","",AI13*VLOOKUP("Staples",#REF!,2,FALSE))</f>
        <v/>
      </c>
      <c r="AK13" s="18" t="str">
        <f t="shared" si="13"/>
        <v/>
      </c>
      <c r="AL13" s="91" t="str">
        <f>IF(AK13="","",AK13*VLOOKUP("Frame screw",#REF!,2,FALSE))</f>
        <v/>
      </c>
      <c r="AM13" s="18" t="e">
        <f t="shared" si="14"/>
        <v>#REF!</v>
      </c>
      <c r="AN13" s="91" t="e">
        <f>IF(AM13="","",AM13*VLOOKUP("D ring",#REF!,2,FALSE))</f>
        <v>#REF!</v>
      </c>
      <c r="AO13" s="18" t="e">
        <f t="shared" si="15"/>
        <v>#REF!</v>
      </c>
      <c r="AP13" s="18" t="e">
        <f>IF(AO13="","",IF(G13&gt;59,AO13* VLOOKUP("8 wire",#REF!,2,FALSE)*2,IF(G13&gt;39,AO13* VLOOKUP("8 wire",#REF!,2,FALSE),AO13* VLOOKUP("6 wire",#REF!,2,FALSE))))</f>
        <v>#REF!</v>
      </c>
      <c r="AQ13" s="18" t="str">
        <f t="shared" si="16"/>
        <v/>
      </c>
      <c r="AR13" s="18" t="str">
        <f>IF(AQ13="","",AQ13*VLOOKUP("Pads",#REF!,2,FALSE))</f>
        <v/>
      </c>
      <c r="AS13" s="18" t="str">
        <f t="shared" si="17"/>
        <v/>
      </c>
      <c r="AT13" s="18" t="str">
        <f>IF(AS13="","",AS13*VLOOKUP("4 mil bag",#REF!,2,FALSE))</f>
        <v/>
      </c>
      <c r="AU13" s="91" t="e">
        <f>IF(X13="","",IF(I13="N/A","",IF(I13="CNC",IF(G13&gt;37,20,10),VLOOKUP(I13,#REF!,2,FALSE))))</f>
        <v>#REF!</v>
      </c>
      <c r="AV13" s="18" t="str">
        <f>IF(X13="","",IF(I13="CNC",VLOOKUP("Glue stick",#REF!,2,FALSE),""))</f>
        <v/>
      </c>
      <c r="AW13" s="18" t="str">
        <f>IF(X13="","",IF(I13="CNC",16*VLOOKUP("Box staples",#REF!,2,FALSE),""))</f>
        <v/>
      </c>
      <c r="AX13" s="91" t="e">
        <f>IF(X13="","",IF(I13="CNC",((((G13+6)+(F13+6))*2)+24)*VLOOKUP("sealing tape",#REF!,2,FALSE),VLOOKUP("Strapping tape",#REF!,2,FALSE)))</f>
        <v>#REF!</v>
      </c>
      <c r="AY13" s="17"/>
      <c r="AZ13" s="17" t="s">
        <v>565</v>
      </c>
      <c r="BA13" s="15">
        <v>49</v>
      </c>
      <c r="BB13" s="17"/>
      <c r="BC13" s="102"/>
      <c r="BE13" s="102"/>
      <c r="BF13" s="102"/>
      <c r="BG13" s="102"/>
      <c r="BH13" s="102"/>
      <c r="BI13" s="102"/>
    </row>
    <row r="14" spans="1:61" x14ac:dyDescent="0.45">
      <c r="A14" s="103" t="s">
        <v>459</v>
      </c>
      <c r="B14" s="17" t="s">
        <v>1079</v>
      </c>
      <c r="C14" s="16">
        <v>44537</v>
      </c>
      <c r="D14" s="17" t="s">
        <v>66</v>
      </c>
      <c r="E14" s="15" t="s">
        <v>558</v>
      </c>
      <c r="F14" s="17">
        <v>32</v>
      </c>
      <c r="G14" s="17">
        <v>52</v>
      </c>
      <c r="H14" s="3" t="s">
        <v>43</v>
      </c>
      <c r="I14" s="88" t="s">
        <v>602</v>
      </c>
      <c r="J14" s="87">
        <v>44561</v>
      </c>
      <c r="K14" s="15">
        <f t="shared" si="18"/>
        <v>361</v>
      </c>
      <c r="L14" s="96">
        <f t="shared" si="19"/>
        <v>23.75</v>
      </c>
      <c r="M14" s="89">
        <f t="shared" si="20"/>
        <v>2.3075000000000001</v>
      </c>
      <c r="N14" s="88"/>
      <c r="O14" s="413" t="str">
        <f t="shared" si="1"/>
        <v>32 x 52</v>
      </c>
      <c r="P14" s="18" t="str">
        <f t="shared" si="2"/>
        <v>N/A</v>
      </c>
      <c r="Q14" s="91" t="str">
        <f t="shared" si="3"/>
        <v>""</v>
      </c>
      <c r="R14" s="18" t="str">
        <f t="shared" si="4"/>
        <v>""</v>
      </c>
      <c r="S14" s="18" t="s">
        <v>602</v>
      </c>
      <c r="T14" s="18"/>
      <c r="U14" s="18"/>
      <c r="V14" s="91" t="str">
        <f t="shared" si="5"/>
        <v>""</v>
      </c>
      <c r="W14" s="287">
        <f t="shared" si="6"/>
        <v>9.715789473684211E-2</v>
      </c>
      <c r="X14" s="287" t="str">
        <f t="shared" si="7"/>
        <v>Yes</v>
      </c>
      <c r="Y14" s="93" t="e">
        <f t="shared" si="8"/>
        <v>#REF!</v>
      </c>
      <c r="Z14" s="288" t="e">
        <f t="shared" si="9"/>
        <v>#REF!</v>
      </c>
      <c r="AA14" s="94" t="e">
        <f t="shared" si="10"/>
        <v>#REF!</v>
      </c>
      <c r="AB14" s="288" t="e">
        <f t="shared" si="11"/>
        <v>#REF!</v>
      </c>
      <c r="AC14" s="91" t="e">
        <f>IF(X14="","",IF(D14="2 3D",((F14-0.5)*2+(G14-0.5)*2)*VLOOKUP("3D base",#REF!,2,FALSE),IF(D14="3 Canv", IF(E14="Roll",0,ROUND(SUM(F14:G14)*2,0)),0)*VLOOKUP("Stretcher Bar",#REF!,2,FALSE)))</f>
        <v>#REF!</v>
      </c>
      <c r="AD14" s="91">
        <f>IF(X14="","",IF(E14="Roll",0,IF(D14="2 3D",(SUM(F14:G14)*2)*VLOOKUP("3D epoxy",#REF!,2,FALSE),IF(D14="3 Canv",VLOOKUP("Wood glue",#REF!,2,FALSE),""))))</f>
        <v>0</v>
      </c>
      <c r="AE14" s="91" t="e">
        <f>IF(D14="3 Canv",(((F14+5)*(G14+5)))*VLOOKUP("Canvas",#REF!,2,FALSE),IF(D14="2 3D",(((F14)*(G14)))*VLOOKUP("Dibond",#REF!,2,FALSE),""))</f>
        <v>#REF!</v>
      </c>
      <c r="AF14" s="91" t="e">
        <f>IF(D14="2 3D",F14*G14*VLOOKUP("3D ink",#REF!,2,FALSE),IF(D14="3 Canv",F14*G14*VLOOKUP("Canvas ink",#REF!,2,FALSE),""))</f>
        <v>#REF!</v>
      </c>
      <c r="AG14" s="91" t="str">
        <f>IF(D14="3 Canv",IF(E14="Roll","",ROUNDUP((SUM(F14:G14)*2)/3,"")*VLOOKUP("Staples",#REF!,2,FALSE)),"")</f>
        <v/>
      </c>
      <c r="AH14" s="91" t="e">
        <f>IF(AF14="","",(SUM(F14:G14)*2)*VLOOKUP(E14,#REF!,2,FALSE))</f>
        <v>#REF!</v>
      </c>
      <c r="AI14" s="18" t="str">
        <f t="shared" si="12"/>
        <v/>
      </c>
      <c r="AJ14" s="91" t="str">
        <f>IF(AI14="","",AI14*VLOOKUP("Staples",#REF!,2,FALSE))</f>
        <v/>
      </c>
      <c r="AK14" s="18" t="str">
        <f t="shared" si="13"/>
        <v/>
      </c>
      <c r="AL14" s="91" t="str">
        <f>IF(AK14="","",AK14*VLOOKUP("Frame screw",#REF!,2,FALSE))</f>
        <v/>
      </c>
      <c r="AM14" s="18" t="e">
        <f t="shared" si="14"/>
        <v>#REF!</v>
      </c>
      <c r="AN14" s="91" t="e">
        <f>IF(AM14="","",AM14*VLOOKUP("D ring",#REF!,2,FALSE))</f>
        <v>#REF!</v>
      </c>
      <c r="AO14" s="18" t="e">
        <f t="shared" si="15"/>
        <v>#REF!</v>
      </c>
      <c r="AP14" s="18" t="e">
        <f>IF(AO14="","",IF(G14&gt;59,AO14* VLOOKUP("8 wire",#REF!,2,FALSE)*2,IF(G14&gt;39,AO14* VLOOKUP("8 wire",#REF!,2,FALSE),AO14* VLOOKUP("6 wire",#REF!,2,FALSE))))</f>
        <v>#REF!</v>
      </c>
      <c r="AQ14" s="18" t="str">
        <f t="shared" si="16"/>
        <v/>
      </c>
      <c r="AR14" s="18" t="str">
        <f>IF(AQ14="","",AQ14*VLOOKUP("Pads",#REF!,2,FALSE))</f>
        <v/>
      </c>
      <c r="AS14" s="18" t="str">
        <f t="shared" si="17"/>
        <v/>
      </c>
      <c r="AT14" s="18" t="str">
        <f>IF(AS14="","",AS14*VLOOKUP("4 mil bag",#REF!,2,FALSE))</f>
        <v/>
      </c>
      <c r="AU14" s="91" t="e">
        <f>IF(X14="","",IF(I14="N/A","",IF(I14="CNC",IF(G14&gt;37,20,10),VLOOKUP(I14,#REF!,2,FALSE))))</f>
        <v>#REF!</v>
      </c>
      <c r="AV14" s="18" t="str">
        <f>IF(X14="","",IF(I14="CNC",VLOOKUP("Glue stick",#REF!,2,FALSE),""))</f>
        <v/>
      </c>
      <c r="AW14" s="18" t="str">
        <f>IF(X14="","",IF(I14="CNC",16*VLOOKUP("Box staples",#REF!,2,FALSE),""))</f>
        <v/>
      </c>
      <c r="AX14" s="91" t="e">
        <f>IF(X14="","",IF(I14="CNC",((((G14+6)+(F14+6))*2)+24)*VLOOKUP("sealing tape",#REF!,2,FALSE),VLOOKUP("Strapping tape",#REF!,2,FALSE)))</f>
        <v>#REF!</v>
      </c>
      <c r="AY14" s="17"/>
      <c r="AZ14" s="17" t="s">
        <v>568</v>
      </c>
      <c r="BA14" s="15">
        <v>112</v>
      </c>
      <c r="BB14" s="17" t="s">
        <v>569</v>
      </c>
      <c r="BC14" s="102">
        <f>29+46+10</f>
        <v>85</v>
      </c>
      <c r="BE14" s="102"/>
      <c r="BF14" s="102"/>
      <c r="BG14" s="102"/>
      <c r="BH14" s="102"/>
      <c r="BI14" s="102"/>
    </row>
    <row r="15" spans="1:61" x14ac:dyDescent="0.45">
      <c r="A15" s="103" t="s">
        <v>984</v>
      </c>
      <c r="B15" s="17" t="s">
        <v>1078</v>
      </c>
      <c r="C15" s="16">
        <v>44535</v>
      </c>
      <c r="D15" s="17" t="s">
        <v>66</v>
      </c>
      <c r="E15" s="15" t="s">
        <v>51</v>
      </c>
      <c r="F15" s="17">
        <v>40</v>
      </c>
      <c r="G15" s="17">
        <v>40</v>
      </c>
      <c r="H15" s="3" t="s">
        <v>43</v>
      </c>
      <c r="I15" s="88" t="s">
        <v>553</v>
      </c>
      <c r="J15" s="87">
        <v>44561</v>
      </c>
      <c r="K15" s="15">
        <v>478</v>
      </c>
      <c r="L15" s="96">
        <v>0</v>
      </c>
      <c r="M15" s="89">
        <v>176.44</v>
      </c>
      <c r="N15" s="88">
        <v>36</v>
      </c>
      <c r="O15" s="413" t="str">
        <f t="shared" si="1"/>
        <v>40 x 40</v>
      </c>
      <c r="P15" s="18" t="str">
        <f t="shared" si="2"/>
        <v>42 x 42</v>
      </c>
      <c r="Q15" s="91">
        <f t="shared" si="3"/>
        <v>15.77</v>
      </c>
      <c r="R15" s="18" t="str">
        <f t="shared" si="4"/>
        <v>48 x 38 x 6</v>
      </c>
      <c r="S15" s="18">
        <v>48</v>
      </c>
      <c r="T15" s="18">
        <v>38</v>
      </c>
      <c r="U15" s="18">
        <v>6</v>
      </c>
      <c r="V15" s="18">
        <f t="shared" si="5"/>
        <v>154</v>
      </c>
      <c r="W15" s="287" t="str">
        <f t="shared" si="6"/>
        <v/>
      </c>
      <c r="X15" s="287" t="str">
        <f t="shared" si="7"/>
        <v>Yes</v>
      </c>
      <c r="Y15" s="93" t="e">
        <f t="shared" si="8"/>
        <v>#REF!</v>
      </c>
      <c r="Z15" s="288" t="e">
        <f t="shared" si="9"/>
        <v>#REF!</v>
      </c>
      <c r="AA15" s="94" t="e">
        <f t="shared" si="10"/>
        <v>#REF!</v>
      </c>
      <c r="AB15" s="288" t="e">
        <f t="shared" si="11"/>
        <v>#REF!</v>
      </c>
      <c r="AC15" s="91" t="e">
        <f>IF(X15="","",IF(D15="2 3D",((F15-0.5)*2+(G15-0.5)*2)*VLOOKUP("3D base",#REF!,2,FALSE),IF(D15="3 Canv", IF(E15="Roll",0,ROUND(SUM(F15:G15)*2,0)),0)*VLOOKUP("Stretcher Bar",#REF!,2,FALSE)))</f>
        <v>#REF!</v>
      </c>
      <c r="AD15" s="91" t="e">
        <f>IF(X15="","",IF(E15="Roll",0,IF(D15="2 3D",(SUM(F15:G15)*2)*VLOOKUP("3D epoxy",#REF!,2,FALSE),IF(D15="3 Canv",VLOOKUP("Wood glue",#REF!,2,FALSE),""))))</f>
        <v>#REF!</v>
      </c>
      <c r="AE15" s="91" t="e">
        <f>IF(D15="3 Canv",(((F15+5)*(G15+5)))*VLOOKUP("Canvas",#REF!,2,FALSE),IF(D15="2 3D",(((F15)*(G15)))*VLOOKUP("Dibond",#REF!,2,FALSE),""))</f>
        <v>#REF!</v>
      </c>
      <c r="AF15" s="91" t="e">
        <f>IF(D15="2 3D",F15*G15*VLOOKUP("3D ink",#REF!,2,FALSE),IF(D15="3 Canv",F15*G15*VLOOKUP("Canvas ink",#REF!,2,FALSE),""))</f>
        <v>#REF!</v>
      </c>
      <c r="AG15" s="91" t="e">
        <f>IF(D15="3 Canv",IF(E15="Roll","",ROUNDUP((SUM(F15:G15)*2)/3,"")*VLOOKUP("Staples",#REF!,2,FALSE)),"")</f>
        <v>#VALUE!</v>
      </c>
      <c r="AH15" s="91" t="e">
        <f>IF(AF15="","",(SUM(F15:G15)*2)*VLOOKUP(E15,#REF!,2,FALSE))</f>
        <v>#REF!</v>
      </c>
      <c r="AI15" s="18">
        <f t="shared" si="12"/>
        <v>44</v>
      </c>
      <c r="AJ15" s="91" t="e">
        <f>IF(AI15="","",AI15*VLOOKUP("Staples",#REF!,2,FALSE))</f>
        <v>#REF!</v>
      </c>
      <c r="AK15" s="18" t="e">
        <f t="shared" si="13"/>
        <v>#REF!</v>
      </c>
      <c r="AL15" s="91" t="e">
        <f>IF(AK15="","",AK15*VLOOKUP("Frame screw",#REF!,2,FALSE))</f>
        <v>#REF!</v>
      </c>
      <c r="AM15" s="18" t="e">
        <f t="shared" si="14"/>
        <v>#REF!</v>
      </c>
      <c r="AN15" s="91" t="e">
        <f>IF(AM15="","",AM15*VLOOKUP("D ring",#REF!,2,FALSE))</f>
        <v>#REF!</v>
      </c>
      <c r="AO15" s="18" t="e">
        <f t="shared" si="15"/>
        <v>#REF!</v>
      </c>
      <c r="AP15" s="91" t="e">
        <f>IF(AO15="","",IF(G15&gt;59,AO15* VLOOKUP("8 wire",#REF!,2,FALSE)*2,IF(G15&gt;39,AO15* VLOOKUP("8 wire",#REF!,2,FALSE),AO15* VLOOKUP("6 wire",#REF!,2,FALSE))))</f>
        <v>#REF!</v>
      </c>
      <c r="AQ15" s="18">
        <f t="shared" si="16"/>
        <v>4</v>
      </c>
      <c r="AR15" s="18" t="e">
        <f>IF(AQ15="","",AQ15*VLOOKUP("Pads",#REF!,2,FALSE))</f>
        <v>#REF!</v>
      </c>
      <c r="AS15" s="18">
        <f t="shared" si="17"/>
        <v>1</v>
      </c>
      <c r="AT15" s="91" t="e">
        <f>IF(AS15="","",AS15*VLOOKUP("4 mil bag",#REF!,2,FALSE))</f>
        <v>#REF!</v>
      </c>
      <c r="AU15" s="91" t="e">
        <f>IF(X15="","",IF(I15="N/A","",IF(I15="CNC",IF(G15&gt;37,20,10),VLOOKUP(I15,#REF!,2,FALSE))))</f>
        <v>#REF!</v>
      </c>
      <c r="AV15" s="18" t="str">
        <f>IF(X15="","",IF(I15="CNC",VLOOKUP("Glue stick",#REF!,2,FALSE),""))</f>
        <v/>
      </c>
      <c r="AW15" s="18" t="str">
        <f>IF(X15="","",IF(I15="CNC",16*VLOOKUP("Box staples",#REF!,2,FALSE),""))</f>
        <v/>
      </c>
      <c r="AX15" s="91" t="e">
        <f>IF(X15="","",IF(I15="CNC",((((G15+6)+(F15+6))*2)+24)*VLOOKUP("sealing tape",#REF!,2,FALSE),VLOOKUP("Strapping tape",#REF!,2,FALSE)))</f>
        <v>#REF!</v>
      </c>
      <c r="AY15" s="17"/>
      <c r="AZ15" s="17" t="s">
        <v>480</v>
      </c>
      <c r="BA15" s="15">
        <v>150</v>
      </c>
      <c r="BB15" s="17" t="s">
        <v>481</v>
      </c>
      <c r="BC15" s="102">
        <v>124</v>
      </c>
      <c r="BE15" s="102"/>
      <c r="BF15" s="102"/>
      <c r="BG15" s="102"/>
      <c r="BH15" s="102"/>
      <c r="BI15" s="102"/>
    </row>
    <row r="16" spans="1:61" x14ac:dyDescent="0.45">
      <c r="A16" s="103" t="s">
        <v>437</v>
      </c>
      <c r="B16" s="17" t="s">
        <v>1077</v>
      </c>
      <c r="C16" s="16">
        <v>44539</v>
      </c>
      <c r="D16" s="17" t="s">
        <v>66</v>
      </c>
      <c r="E16" s="15" t="s">
        <v>50</v>
      </c>
      <c r="F16" s="17">
        <v>32</v>
      </c>
      <c r="G16" s="17">
        <v>46</v>
      </c>
      <c r="H16" s="3" t="s">
        <v>43</v>
      </c>
      <c r="I16" s="88" t="s">
        <v>553</v>
      </c>
      <c r="J16" s="87">
        <v>44561</v>
      </c>
      <c r="K16" s="15">
        <v>788</v>
      </c>
      <c r="L16" s="96">
        <v>40</v>
      </c>
      <c r="M16" s="89">
        <v>168.47</v>
      </c>
      <c r="N16" s="88">
        <v>26</v>
      </c>
      <c r="O16" s="413" t="str">
        <f t="shared" si="1"/>
        <v>32 x 46</v>
      </c>
      <c r="P16" s="18" t="str">
        <f t="shared" si="2"/>
        <v>32 x 46</v>
      </c>
      <c r="Q16" s="91">
        <f t="shared" si="3"/>
        <v>15.77</v>
      </c>
      <c r="R16" s="18" t="str">
        <f t="shared" si="4"/>
        <v>50 x 48 x 6</v>
      </c>
      <c r="S16" s="18">
        <v>50</v>
      </c>
      <c r="T16" s="18">
        <v>48</v>
      </c>
      <c r="U16" s="18">
        <v>6</v>
      </c>
      <c r="V16" s="18">
        <f t="shared" si="5"/>
        <v>160</v>
      </c>
      <c r="W16" s="287">
        <f t="shared" si="6"/>
        <v>4.2117500000000003</v>
      </c>
      <c r="X16" s="287" t="str">
        <f t="shared" si="7"/>
        <v>Yes</v>
      </c>
      <c r="Y16" s="93" t="e">
        <f t="shared" si="8"/>
        <v>#REF!</v>
      </c>
      <c r="Z16" s="288" t="e">
        <f t="shared" si="9"/>
        <v>#REF!</v>
      </c>
      <c r="AA16" s="94" t="e">
        <f t="shared" si="10"/>
        <v>#REF!</v>
      </c>
      <c r="AB16" s="288" t="e">
        <f t="shared" si="11"/>
        <v>#REF!</v>
      </c>
      <c r="AC16" s="91" t="e">
        <f>IF(X16="","",IF(D16="2 3D",((F16-0.5)*2+(G16-0.5)*2)*VLOOKUP("3D base",#REF!,2,FALSE),IF(D16="3 Canv", IF(E16="Roll",0,ROUND(SUM(F16:G16)*2,0)),0)*VLOOKUP("Stretcher Bar",#REF!,2,FALSE)))</f>
        <v>#REF!</v>
      </c>
      <c r="AD16" s="91" t="e">
        <f>IF(X16="","",IF(E16="Roll",0,IF(D16="2 3D",(SUM(F16:G16)*2)*VLOOKUP("3D epoxy",#REF!,2,FALSE),IF(D16="3 Canv",VLOOKUP("Wood glue",#REF!,2,FALSE),""))))</f>
        <v>#REF!</v>
      </c>
      <c r="AE16" s="91" t="e">
        <f>IF(D16="3 Canv",(((F16+5)*(G16+5)))*VLOOKUP("Canvas",#REF!,2,FALSE),IF(D16="2 3D",(((F16)*(G16)))*VLOOKUP("Dibond",#REF!,2,FALSE),""))</f>
        <v>#REF!</v>
      </c>
      <c r="AF16" s="91" t="e">
        <f>IF(D16="2 3D",F16*G16*VLOOKUP("3D ink",#REF!,2,FALSE),IF(D16="3 Canv",F16*G16*VLOOKUP("Canvas ink",#REF!,2,FALSE),""))</f>
        <v>#REF!</v>
      </c>
      <c r="AG16" s="91" t="e">
        <f>IF(D16="3 Canv",IF(E16="Roll","",ROUNDUP((SUM(F16:G16)*2)/3,"")*VLOOKUP("Staples",#REF!,2,FALSE)),"")</f>
        <v>#VALUE!</v>
      </c>
      <c r="AH16" s="91" t="e">
        <f>IF(AF16="","",(SUM(F16:G16)*2)*VLOOKUP(E16,#REF!,2,FALSE))</f>
        <v>#REF!</v>
      </c>
      <c r="AI16" s="18">
        <f t="shared" si="12"/>
        <v>16</v>
      </c>
      <c r="AJ16" s="91" t="e">
        <f>IF(AI16="","",AI16*VLOOKUP("Staples",#REF!,2,FALSE))</f>
        <v>#REF!</v>
      </c>
      <c r="AK16" s="18" t="e">
        <f t="shared" si="13"/>
        <v>#REF!</v>
      </c>
      <c r="AL16" s="91" t="e">
        <f>IF(AK16="","",AK16*VLOOKUP("Frame screw",#REF!,2,FALSE))</f>
        <v>#REF!</v>
      </c>
      <c r="AM16" s="18" t="e">
        <f t="shared" si="14"/>
        <v>#REF!</v>
      </c>
      <c r="AN16" s="91" t="e">
        <f>IF(AM16="","",AM16*VLOOKUP("D ring",#REF!,2,FALSE))</f>
        <v>#REF!</v>
      </c>
      <c r="AO16" s="18" t="e">
        <f t="shared" si="15"/>
        <v>#REF!</v>
      </c>
      <c r="AP16" s="91" t="e">
        <f>IF(AO16="","",IF(G16&gt;59,AO16* VLOOKUP("8 wire",#REF!,2,FALSE)*2,IF(G16&gt;39,AO16* VLOOKUP("8 wire",#REF!,2,FALSE),AO16* VLOOKUP("6 wire",#REF!,2,FALSE))))</f>
        <v>#REF!</v>
      </c>
      <c r="AQ16" s="18">
        <f t="shared" si="16"/>
        <v>4</v>
      </c>
      <c r="AR16" s="18" t="e">
        <f>IF(AQ16="","",AQ16*VLOOKUP("Pads",#REF!,2,FALSE))</f>
        <v>#REF!</v>
      </c>
      <c r="AS16" s="18">
        <f t="shared" si="17"/>
        <v>1</v>
      </c>
      <c r="AT16" s="91" t="e">
        <f>IF(AS16="","",AS16*VLOOKUP("4 mil bag",#REF!,2,FALSE))</f>
        <v>#REF!</v>
      </c>
      <c r="AU16" s="91" t="e">
        <f>IF(X16="","",IF(I16="N/A","",IF(I16="CNC",IF(G16&gt;37,20,10),VLOOKUP(I16,#REF!,2,FALSE))))</f>
        <v>#REF!</v>
      </c>
      <c r="AV16" s="18" t="str">
        <f>IF(X16="","",IF(I16="CNC",VLOOKUP("Glue stick",#REF!,2,FALSE),""))</f>
        <v/>
      </c>
      <c r="AW16" s="18" t="str">
        <f>IF(X16="","",IF(I16="CNC",16*VLOOKUP("Box staples",#REF!,2,FALSE),""))</f>
        <v/>
      </c>
      <c r="AX16" s="91" t="e">
        <f>IF(X16="","",IF(I16="CNC",((((G16+6)+(F16+6))*2)+24)*VLOOKUP("sealing tape",#REF!,2,FALSE),VLOOKUP("Strapping tape",#REF!,2,FALSE)))</f>
        <v>#REF!</v>
      </c>
      <c r="AY16" s="17"/>
      <c r="AZ16" s="17" t="s">
        <v>509</v>
      </c>
      <c r="BA16" s="15">
        <v>227</v>
      </c>
      <c r="BB16" s="17" t="s">
        <v>510</v>
      </c>
      <c r="BC16" s="102">
        <v>152</v>
      </c>
      <c r="BE16" s="102"/>
      <c r="BF16" s="102"/>
      <c r="BG16" s="102"/>
      <c r="BH16" s="102"/>
      <c r="BI16" s="102"/>
    </row>
    <row r="17" spans="1:61" x14ac:dyDescent="0.45">
      <c r="A17" s="103" t="s">
        <v>1076</v>
      </c>
      <c r="B17" s="17" t="s">
        <v>1075</v>
      </c>
      <c r="C17" s="16">
        <v>44530</v>
      </c>
      <c r="D17" s="17" t="s">
        <v>66</v>
      </c>
      <c r="E17" s="15" t="s">
        <v>50</v>
      </c>
      <c r="F17" s="17">
        <v>36</v>
      </c>
      <c r="G17" s="17">
        <v>44</v>
      </c>
      <c r="H17" s="3" t="s">
        <v>43</v>
      </c>
      <c r="I17" s="88" t="s">
        <v>553</v>
      </c>
      <c r="J17" s="87">
        <v>44562</v>
      </c>
      <c r="K17" s="15">
        <v>857.6</v>
      </c>
      <c r="L17" s="96">
        <v>55</v>
      </c>
      <c r="M17" s="89">
        <v>184.25</v>
      </c>
      <c r="N17" s="88">
        <v>30</v>
      </c>
      <c r="O17" s="413" t="str">
        <f t="shared" si="1"/>
        <v>36 x 44</v>
      </c>
      <c r="P17" s="18" t="str">
        <f t="shared" si="2"/>
        <v>36 x 44</v>
      </c>
      <c r="Q17" s="91">
        <f t="shared" si="3"/>
        <v>15.77</v>
      </c>
      <c r="R17" s="18" t="str">
        <f t="shared" si="4"/>
        <v>48 x 48 x 6</v>
      </c>
      <c r="S17" s="18">
        <v>48</v>
      </c>
      <c r="T17" s="18">
        <v>48</v>
      </c>
      <c r="U17" s="18">
        <v>6</v>
      </c>
      <c r="V17" s="18">
        <f t="shared" si="5"/>
        <v>158</v>
      </c>
      <c r="W17" s="287">
        <f t="shared" si="6"/>
        <v>3.35</v>
      </c>
      <c r="X17" s="287" t="str">
        <f t="shared" si="7"/>
        <v>Yes</v>
      </c>
      <c r="Y17" s="93" t="e">
        <f t="shared" si="8"/>
        <v>#REF!</v>
      </c>
      <c r="Z17" s="288" t="e">
        <f t="shared" si="9"/>
        <v>#REF!</v>
      </c>
      <c r="AA17" s="94" t="e">
        <f t="shared" si="10"/>
        <v>#REF!</v>
      </c>
      <c r="AB17" s="288" t="e">
        <f t="shared" si="11"/>
        <v>#REF!</v>
      </c>
      <c r="AC17" s="91" t="e">
        <f>IF(X17="","",IF(D17="2 3D",((F17-0.5)*2+(G17-0.5)*2)*VLOOKUP("3D base",#REF!,2,FALSE),IF(D17="3 Canv", IF(E17="Roll",0,ROUND(SUM(F17:G17)*2,0)),0)*VLOOKUP("Stretcher Bar",#REF!,2,FALSE)))</f>
        <v>#REF!</v>
      </c>
      <c r="AD17" s="91" t="e">
        <f>IF(X17="","",IF(E17="Roll",0,IF(D17="2 3D",(SUM(F17:G17)*2)*VLOOKUP("3D epoxy",#REF!,2,FALSE),IF(D17="3 Canv",VLOOKUP("Wood glue",#REF!,2,FALSE),""))))</f>
        <v>#REF!</v>
      </c>
      <c r="AE17" s="91" t="e">
        <f>IF(D17="3 Canv",(((F17+5)*(G17+5)))*VLOOKUP("Canvas",#REF!,2,FALSE),IF(D17="2 3D",(((F17)*(G17)))*VLOOKUP("Dibond",#REF!,2,FALSE),""))</f>
        <v>#REF!</v>
      </c>
      <c r="AF17" s="91" t="e">
        <f>IF(D17="2 3D",F17*G17*VLOOKUP("3D ink",#REF!,2,FALSE),IF(D17="3 Canv",F17*G17*VLOOKUP("Canvas ink",#REF!,2,FALSE),""))</f>
        <v>#REF!</v>
      </c>
      <c r="AG17" s="91" t="e">
        <f>IF(D17="3 Canv",IF(E17="Roll","",ROUNDUP((SUM(F17:G17)*2)/3,"")*VLOOKUP("Staples",#REF!,2,FALSE)),"")</f>
        <v>#VALUE!</v>
      </c>
      <c r="AH17" s="91" t="e">
        <f>IF(AF17="","",(SUM(F17:G17)*2)*VLOOKUP(E17,#REF!,2,FALSE))</f>
        <v>#REF!</v>
      </c>
      <c r="AI17" s="18">
        <f t="shared" si="12"/>
        <v>16</v>
      </c>
      <c r="AJ17" s="91" t="e">
        <f>IF(AI17="","",AI17*VLOOKUP("Staples",#REF!,2,FALSE))</f>
        <v>#REF!</v>
      </c>
      <c r="AK17" s="18" t="e">
        <f t="shared" si="13"/>
        <v>#REF!</v>
      </c>
      <c r="AL17" s="91" t="e">
        <f>IF(AK17="","",AK17*VLOOKUP("Frame screw",#REF!,2,FALSE))</f>
        <v>#REF!</v>
      </c>
      <c r="AM17" s="18" t="e">
        <f t="shared" si="14"/>
        <v>#REF!</v>
      </c>
      <c r="AN17" s="91" t="e">
        <f>IF(AM17="","",AM17*VLOOKUP("D ring",#REF!,2,FALSE))</f>
        <v>#REF!</v>
      </c>
      <c r="AO17" s="18" t="e">
        <f t="shared" si="15"/>
        <v>#REF!</v>
      </c>
      <c r="AP17" s="91" t="e">
        <f>IF(AO17="","",IF(G17&gt;59,AO17* VLOOKUP("8 wire",#REF!,2,FALSE)*2,IF(G17&gt;39,AO17* VLOOKUP("8 wire",#REF!,2,FALSE),AO17* VLOOKUP("6 wire",#REF!,2,FALSE))))</f>
        <v>#REF!</v>
      </c>
      <c r="AQ17" s="18">
        <f t="shared" si="16"/>
        <v>4</v>
      </c>
      <c r="AR17" s="18" t="e">
        <f>IF(AQ17="","",AQ17*VLOOKUP("Pads",#REF!,2,FALSE))</f>
        <v>#REF!</v>
      </c>
      <c r="AS17" s="18">
        <f t="shared" si="17"/>
        <v>1</v>
      </c>
      <c r="AT17" s="91" t="e">
        <f>IF(AS17="","",AS17*VLOOKUP("4 mil bag",#REF!,2,FALSE))</f>
        <v>#REF!</v>
      </c>
      <c r="AU17" s="91" t="e">
        <f>IF(X17="","",IF(I17="N/A","",IF(I17="CNC",IF(G17&gt;37,20,10),VLOOKUP(I17,#REF!,2,FALSE))))</f>
        <v>#REF!</v>
      </c>
      <c r="AV17" s="18" t="str">
        <f>IF(X17="","",IF(I17="CNC",VLOOKUP("Glue stick",#REF!,2,FALSE),""))</f>
        <v/>
      </c>
      <c r="AW17" s="18" t="str">
        <f>IF(X17="","",IF(I17="CNC",16*VLOOKUP("Box staples",#REF!,2,FALSE),""))</f>
        <v/>
      </c>
      <c r="AX17" s="91" t="e">
        <f>IF(X17="","",IF(I17="CNC",((((G17+6)+(F17+6))*2)+24)*VLOOKUP("sealing tape",#REF!,2,FALSE),VLOOKUP("Strapping tape",#REF!,2,FALSE)))</f>
        <v>#REF!</v>
      </c>
      <c r="AY17" s="17"/>
      <c r="AZ17" s="17" t="s">
        <v>573</v>
      </c>
      <c r="BA17" s="15">
        <v>342</v>
      </c>
      <c r="BB17" s="17"/>
      <c r="BC17" s="102"/>
      <c r="BE17" s="102"/>
      <c r="BF17" s="102"/>
      <c r="BG17" s="102"/>
      <c r="BH17" s="102"/>
      <c r="BI17" s="102"/>
    </row>
    <row r="18" spans="1:61" x14ac:dyDescent="0.45">
      <c r="A18" s="103" t="s">
        <v>495</v>
      </c>
      <c r="B18" s="17" t="s">
        <v>1074</v>
      </c>
      <c r="C18" s="16">
        <v>44534</v>
      </c>
      <c r="D18" s="17" t="s">
        <v>66</v>
      </c>
      <c r="E18" s="15" t="s">
        <v>50</v>
      </c>
      <c r="F18" s="17">
        <v>20</v>
      </c>
      <c r="G18" s="17">
        <v>25</v>
      </c>
      <c r="H18" s="3" t="s">
        <v>43</v>
      </c>
      <c r="I18" s="88" t="s">
        <v>580</v>
      </c>
      <c r="J18" s="87">
        <v>44562</v>
      </c>
      <c r="K18" s="15">
        <v>465</v>
      </c>
      <c r="L18" s="96">
        <v>25</v>
      </c>
      <c r="M18" s="89">
        <v>24.63</v>
      </c>
      <c r="N18" s="88">
        <v>9</v>
      </c>
      <c r="O18" s="413" t="str">
        <f t="shared" si="1"/>
        <v>20 x 25</v>
      </c>
      <c r="P18" s="18" t="str">
        <f t="shared" si="2"/>
        <v>20 x 25</v>
      </c>
      <c r="Q18" s="91">
        <f t="shared" si="3"/>
        <v>3.31</v>
      </c>
      <c r="R18" s="18" t="str">
        <f t="shared" si="4"/>
        <v>36 x 30 x 5</v>
      </c>
      <c r="S18" s="18">
        <v>36</v>
      </c>
      <c r="T18" s="18">
        <v>30</v>
      </c>
      <c r="U18" s="18">
        <v>5</v>
      </c>
      <c r="V18" s="90">
        <f t="shared" si="5"/>
        <v>106</v>
      </c>
      <c r="W18" s="287">
        <f t="shared" si="6"/>
        <v>0.98519999999999996</v>
      </c>
      <c r="X18" s="287" t="str">
        <f t="shared" si="7"/>
        <v>Yes</v>
      </c>
      <c r="Y18" s="93" t="e">
        <f t="shared" si="8"/>
        <v>#REF!</v>
      </c>
      <c r="Z18" s="288" t="e">
        <f t="shared" si="9"/>
        <v>#REF!</v>
      </c>
      <c r="AA18" s="94" t="e">
        <f t="shared" si="10"/>
        <v>#REF!</v>
      </c>
      <c r="AB18" s="288" t="e">
        <f t="shared" si="11"/>
        <v>#REF!</v>
      </c>
      <c r="AC18" s="91" t="e">
        <f>IF(X18="","",IF(D18="2 3D",((F18-0.5)*2+(G18-0.5)*2)*VLOOKUP("3D base",#REF!,2,FALSE),IF(D18="3 Canv", IF(E18="Roll",0,ROUND(SUM(F18:G18)*2,0)),0)*VLOOKUP("Stretcher Bar",#REF!,2,FALSE)))</f>
        <v>#REF!</v>
      </c>
      <c r="AD18" s="91" t="e">
        <f>IF(X18="","",IF(E18="Roll",0,IF(D18="2 3D",(SUM(F18:G18)*2)*VLOOKUP("3D epoxy",#REF!,2,FALSE),IF(D18="3 Canv",VLOOKUP("Wood glue",#REF!,2,FALSE),""))))</f>
        <v>#REF!</v>
      </c>
      <c r="AE18" s="91" t="e">
        <f>IF(D18="3 Canv",(((F18+5)*(G18+5)))*VLOOKUP("Canvas",#REF!,2,FALSE),IF(D18="2 3D",(((F18)*(G18)))*VLOOKUP("Dibond",#REF!,2,FALSE),""))</f>
        <v>#REF!</v>
      </c>
      <c r="AF18" s="91" t="e">
        <f>IF(D18="2 3D",F18*G18*VLOOKUP("3D ink",#REF!,2,FALSE),IF(D18="3 Canv",F18*G18*VLOOKUP("Canvas ink",#REF!,2,FALSE),""))</f>
        <v>#REF!</v>
      </c>
      <c r="AG18" s="91" t="e">
        <f>IF(D18="3 Canv",IF(E18="Roll","",ROUNDUP((SUM(F18:G18)*2)/3,"")*VLOOKUP("Staples",#REF!,2,FALSE)),"")</f>
        <v>#VALUE!</v>
      </c>
      <c r="AH18" s="91" t="e">
        <f>IF(AF18="","",(SUM(F18:G18)*2)*VLOOKUP(E18,#REF!,2,FALSE))</f>
        <v>#REF!</v>
      </c>
      <c r="AI18" s="18">
        <f t="shared" si="12"/>
        <v>16</v>
      </c>
      <c r="AJ18" s="91" t="e">
        <f>IF(AI18="","",AI18*VLOOKUP("Staples",#REF!,2,FALSE))</f>
        <v>#REF!</v>
      </c>
      <c r="AK18" s="18" t="e">
        <f t="shared" si="13"/>
        <v>#REF!</v>
      </c>
      <c r="AL18" s="91" t="e">
        <f>IF(AK18="","",AK18*VLOOKUP("Frame screw",#REF!,2,FALSE))</f>
        <v>#REF!</v>
      </c>
      <c r="AM18" s="18" t="e">
        <f t="shared" si="14"/>
        <v>#REF!</v>
      </c>
      <c r="AN18" s="91" t="e">
        <f>IF(AM18="","",AM18*VLOOKUP("D ring",#REF!,2,FALSE))</f>
        <v>#REF!</v>
      </c>
      <c r="AO18" s="18" t="e">
        <f t="shared" si="15"/>
        <v>#REF!</v>
      </c>
      <c r="AP18" s="91" t="e">
        <f>IF(AO18="","",IF(G18&gt;59,AO18* VLOOKUP("8 wire",#REF!,2,FALSE)*2,IF(G18&gt;39,AO18* VLOOKUP("8 wire",#REF!,2,FALSE),AO18* VLOOKUP("6 wire",#REF!,2,FALSE))))</f>
        <v>#REF!</v>
      </c>
      <c r="AQ18" s="18">
        <f t="shared" si="16"/>
        <v>4</v>
      </c>
      <c r="AR18" s="18" t="e">
        <f>IF(AQ18="","",AQ18*VLOOKUP("Pads",#REF!,2,FALSE))</f>
        <v>#REF!</v>
      </c>
      <c r="AS18" s="18">
        <f t="shared" si="17"/>
        <v>1</v>
      </c>
      <c r="AT18" s="91" t="e">
        <f>IF(AS18="","",AS18*VLOOKUP("4 mil bag",#REF!,2,FALSE))</f>
        <v>#REF!</v>
      </c>
      <c r="AU18" s="91" t="e">
        <f>IF(X18="","",IF(I18="N/A","",IF(I18="CNC",IF(G18&gt;37,20,10),VLOOKUP(I18,#REF!,2,FALSE))))</f>
        <v>#REF!</v>
      </c>
      <c r="AV18" s="18" t="str">
        <f>IF(X18="","",IF(I18="CNC",VLOOKUP("Glue stick",#REF!,2,FALSE),""))</f>
        <v/>
      </c>
      <c r="AW18" s="18" t="str">
        <f>IF(X18="","",IF(I18="CNC",16*VLOOKUP("Box staples",#REF!,2,FALSE),""))</f>
        <v/>
      </c>
      <c r="AX18" s="91" t="e">
        <f>IF(X18="","",IF(I18="CNC",((((G18+6)+(F18+6))*2)+24)*VLOOKUP("sealing tape",#REF!,2,FALSE),VLOOKUP("Strapping tape",#REF!,2,FALSE)))</f>
        <v>#REF!</v>
      </c>
      <c r="AY18" s="17"/>
      <c r="AZ18" s="17" t="s">
        <v>575</v>
      </c>
      <c r="BA18" s="15">
        <v>1.84</v>
      </c>
      <c r="BB18" s="17" t="s">
        <v>576</v>
      </c>
      <c r="BC18" s="102">
        <v>52</v>
      </c>
      <c r="BE18" s="102"/>
      <c r="BF18" s="102"/>
      <c r="BG18" s="102"/>
      <c r="BH18" s="102"/>
      <c r="BI18" s="102"/>
    </row>
    <row r="19" spans="1:61" x14ac:dyDescent="0.45">
      <c r="A19" s="103" t="s">
        <v>1073</v>
      </c>
      <c r="B19" s="17" t="s">
        <v>1072</v>
      </c>
      <c r="C19" s="16">
        <v>44550</v>
      </c>
      <c r="D19" s="17" t="s">
        <v>66</v>
      </c>
      <c r="E19" s="15" t="s">
        <v>50</v>
      </c>
      <c r="F19" s="17">
        <v>17</v>
      </c>
      <c r="G19" s="17">
        <v>17</v>
      </c>
      <c r="H19" s="3" t="s">
        <v>43</v>
      </c>
      <c r="I19" s="88" t="s">
        <v>577</v>
      </c>
      <c r="J19" s="87">
        <v>44562</v>
      </c>
      <c r="K19" s="15">
        <v>326</v>
      </c>
      <c r="L19" s="96">
        <v>20</v>
      </c>
      <c r="M19" s="89">
        <v>19.190000000000001</v>
      </c>
      <c r="N19" s="88">
        <v>6</v>
      </c>
      <c r="O19" s="413" t="str">
        <f t="shared" si="1"/>
        <v>17 x 17</v>
      </c>
      <c r="P19" s="18" t="str">
        <f t="shared" si="2"/>
        <v>17 x 17</v>
      </c>
      <c r="Q19" s="91">
        <f t="shared" si="3"/>
        <v>2.23</v>
      </c>
      <c r="R19" s="18" t="str">
        <f t="shared" si="4"/>
        <v>30 x 24 x 5</v>
      </c>
      <c r="S19" s="18">
        <v>30</v>
      </c>
      <c r="T19" s="18">
        <v>24</v>
      </c>
      <c r="U19" s="18">
        <v>5</v>
      </c>
      <c r="V19" s="90">
        <f t="shared" si="5"/>
        <v>88</v>
      </c>
      <c r="W19" s="287">
        <f t="shared" si="6"/>
        <v>0.95950000000000002</v>
      </c>
      <c r="X19" s="287" t="str">
        <f t="shared" si="7"/>
        <v>Yes</v>
      </c>
      <c r="Y19" s="93" t="e">
        <f t="shared" si="8"/>
        <v>#REF!</v>
      </c>
      <c r="Z19" s="288" t="e">
        <f t="shared" si="9"/>
        <v>#REF!</v>
      </c>
      <c r="AA19" s="94" t="e">
        <f t="shared" si="10"/>
        <v>#REF!</v>
      </c>
      <c r="AB19" s="288" t="e">
        <f t="shared" si="11"/>
        <v>#REF!</v>
      </c>
      <c r="AC19" s="91" t="e">
        <f>IF(X19="","",IF(D19="2 3D",((F19-0.5)*2+(G19-0.5)*2)*VLOOKUP("3D base",#REF!,2,FALSE),IF(D19="3 Canv", IF(E19="Roll",0,ROUND(SUM(F19:G19)*2,0)),0)*VLOOKUP("Stretcher Bar",#REF!,2,FALSE)))</f>
        <v>#REF!</v>
      </c>
      <c r="AD19" s="91" t="e">
        <f>IF(X19="","",IF(E19="Roll",0,IF(D19="2 3D",(SUM(F19:G19)*2)*VLOOKUP("3D epoxy",#REF!,2,FALSE),IF(D19="3 Canv",VLOOKUP("Wood glue",#REF!,2,FALSE),""))))</f>
        <v>#REF!</v>
      </c>
      <c r="AE19" s="91" t="e">
        <f>IF(D19="3 Canv",(((F19+5)*(G19+5)))*VLOOKUP("Canvas",#REF!,2,FALSE),IF(D19="2 3D",(((F19)*(G19)))*VLOOKUP("Dibond",#REF!,2,FALSE),""))</f>
        <v>#REF!</v>
      </c>
      <c r="AF19" s="91" t="e">
        <f>IF(D19="2 3D",F19*G19*VLOOKUP("3D ink",#REF!,2,FALSE),IF(D19="3 Canv",F19*G19*VLOOKUP("Canvas ink",#REF!,2,FALSE),""))</f>
        <v>#REF!</v>
      </c>
      <c r="AG19" s="91" t="e">
        <f>IF(D19="3 Canv",IF(E19="Roll","",ROUNDUP((SUM(F19:G19)*2)/3,"")*VLOOKUP("Staples",#REF!,2,FALSE)),"")</f>
        <v>#VALUE!</v>
      </c>
      <c r="AH19" s="91" t="e">
        <f>IF(AF19="","",(SUM(F19:G19)*2)*VLOOKUP(E19,#REF!,2,FALSE))</f>
        <v>#REF!</v>
      </c>
      <c r="AI19" s="18">
        <f t="shared" si="12"/>
        <v>16</v>
      </c>
      <c r="AJ19" s="91" t="e">
        <f>IF(AI19="","",AI19*VLOOKUP("Staples",#REF!,2,FALSE))</f>
        <v>#REF!</v>
      </c>
      <c r="AK19" s="18" t="e">
        <f t="shared" si="13"/>
        <v>#REF!</v>
      </c>
      <c r="AL19" s="91" t="e">
        <f>IF(AK19="","",AK19*VLOOKUP("Frame screw",#REF!,2,FALSE))</f>
        <v>#REF!</v>
      </c>
      <c r="AM19" s="18" t="e">
        <f t="shared" si="14"/>
        <v>#REF!</v>
      </c>
      <c r="AN19" s="91" t="e">
        <f>IF(AM19="","",AM19*VLOOKUP("D ring",#REF!,2,FALSE))</f>
        <v>#REF!</v>
      </c>
      <c r="AO19" s="18" t="e">
        <f t="shared" si="15"/>
        <v>#REF!</v>
      </c>
      <c r="AP19" s="91" t="e">
        <f>IF(AO19="","",IF(G19&gt;59,AO19* VLOOKUP("8 wire",#REF!,2,FALSE)*2,IF(G19&gt;39,AO19* VLOOKUP("8 wire",#REF!,2,FALSE),AO19* VLOOKUP("6 wire",#REF!,2,FALSE))))</f>
        <v>#REF!</v>
      </c>
      <c r="AQ19" s="18">
        <f t="shared" si="16"/>
        <v>4</v>
      </c>
      <c r="AR19" s="18" t="e">
        <f>IF(AQ19="","",AQ19*VLOOKUP("Pads",#REF!,2,FALSE))</f>
        <v>#REF!</v>
      </c>
      <c r="AS19" s="18">
        <f t="shared" si="17"/>
        <v>1</v>
      </c>
      <c r="AT19" s="91" t="e">
        <f>IF(AS19="","",AS19*VLOOKUP("4 mil bag",#REF!,2,FALSE))</f>
        <v>#REF!</v>
      </c>
      <c r="AU19" s="91" t="e">
        <f>IF(X19="","",IF(I19="N/A","",IF(I19="CNC",IF(G19&gt;37,20,10),VLOOKUP(I19,#REF!,2,FALSE))))</f>
        <v>#REF!</v>
      </c>
      <c r="AV19" s="18" t="str">
        <f>IF(X19="","",IF(I19="CNC",VLOOKUP("Glue stick",#REF!,2,FALSE),""))</f>
        <v/>
      </c>
      <c r="AW19" s="18" t="str">
        <f>IF(X19="","",IF(I19="CNC",16*VLOOKUP("Box staples",#REF!,2,FALSE),""))</f>
        <v/>
      </c>
      <c r="AX19" s="91" t="e">
        <f>IF(X19="","",IF(I19="CNC",((((G19+6)+(F19+6))*2)+24)*VLOOKUP("sealing tape",#REF!,2,FALSE),VLOOKUP("Strapping tape",#REF!,2,FALSE)))</f>
        <v>#REF!</v>
      </c>
      <c r="AY19" s="17"/>
      <c r="AZ19" s="17" t="s">
        <v>577</v>
      </c>
      <c r="BA19" s="15">
        <v>2.23</v>
      </c>
      <c r="BB19" s="17" t="s">
        <v>578</v>
      </c>
      <c r="BC19" s="102">
        <v>88</v>
      </c>
      <c r="BE19" s="102"/>
      <c r="BF19" s="102"/>
      <c r="BG19" s="102"/>
      <c r="BH19" s="102"/>
      <c r="BI19" s="102"/>
    </row>
    <row r="20" spans="1:61" x14ac:dyDescent="0.45">
      <c r="A20" s="103" t="s">
        <v>511</v>
      </c>
      <c r="B20" s="17" t="s">
        <v>1203</v>
      </c>
      <c r="C20" s="16">
        <v>44546</v>
      </c>
      <c r="D20" s="17" t="s">
        <v>66</v>
      </c>
      <c r="E20" s="15" t="s">
        <v>5</v>
      </c>
      <c r="F20" s="17">
        <v>30</v>
      </c>
      <c r="G20" s="17">
        <v>38</v>
      </c>
      <c r="H20" s="3" t="s">
        <v>43</v>
      </c>
      <c r="I20" s="88" t="s">
        <v>586</v>
      </c>
      <c r="J20" s="87">
        <v>44567</v>
      </c>
      <c r="K20" s="15">
        <v>943.04</v>
      </c>
      <c r="L20" s="96">
        <v>45</v>
      </c>
      <c r="M20" s="89">
        <v>176.07</v>
      </c>
      <c r="N20" s="88">
        <v>20</v>
      </c>
      <c r="O20" s="413" t="str">
        <f t="shared" si="1"/>
        <v>30 x 38</v>
      </c>
      <c r="P20" s="18" t="str">
        <f t="shared" si="2"/>
        <v>32 x 40</v>
      </c>
      <c r="Q20" s="91">
        <f t="shared" si="3"/>
        <v>12.5</v>
      </c>
      <c r="R20" s="18" t="str">
        <f t="shared" si="4"/>
        <v>45 x 40 x 5</v>
      </c>
      <c r="S20" s="18">
        <v>45</v>
      </c>
      <c r="T20" s="18">
        <v>40</v>
      </c>
      <c r="U20" s="18">
        <v>5</v>
      </c>
      <c r="V20" s="90">
        <f t="shared" si="5"/>
        <v>135</v>
      </c>
      <c r="W20" s="287">
        <f t="shared" si="6"/>
        <v>3.9126666666666665</v>
      </c>
      <c r="X20" s="287" t="str">
        <f t="shared" si="7"/>
        <v>Yes</v>
      </c>
      <c r="Y20" s="93" t="e">
        <f t="shared" si="8"/>
        <v>#REF!</v>
      </c>
      <c r="Z20" s="288" t="e">
        <f t="shared" si="9"/>
        <v>#REF!</v>
      </c>
      <c r="AA20" s="94" t="e">
        <f t="shared" si="10"/>
        <v>#REF!</v>
      </c>
      <c r="AB20" s="288" t="e">
        <f t="shared" si="11"/>
        <v>#REF!</v>
      </c>
      <c r="AC20" s="91" t="e">
        <f>IF(X20="","",IF(D20="2 3D",((F20-0.5)*2+(G20-0.5)*2)*VLOOKUP("3D base",#REF!,2,FALSE),IF(D20="3 Canv", IF(E20="Roll",0,ROUND(SUM(F20:G20)*2,0)),0)*VLOOKUP("Stretcher Bar",#REF!,2,FALSE)))</f>
        <v>#REF!</v>
      </c>
      <c r="AD20" s="91" t="e">
        <f>IF(X20="","",IF(E20="Roll",0,IF(D20="2 3D",(SUM(F20:G20)*2)*VLOOKUP("3D epoxy",#REF!,2,FALSE),IF(D20="3 Canv",VLOOKUP("Wood glue",#REF!,2,FALSE),""))))</f>
        <v>#REF!</v>
      </c>
      <c r="AE20" s="91" t="e">
        <f>IF(D20="3 Canv",(((F20+5)*(G20+5)))*VLOOKUP("Canvas",#REF!,2,FALSE),IF(D20="2 3D",(((F20)*(G20)))*VLOOKUP("Dibond",#REF!,2,FALSE),""))</f>
        <v>#REF!</v>
      </c>
      <c r="AF20" s="91" t="e">
        <f>IF(D20="2 3D",F20*G20*VLOOKUP("3D ink",#REF!,2,FALSE),IF(D20="3 Canv",F20*G20*VLOOKUP("Canvas ink",#REF!,2,FALSE),""))</f>
        <v>#REF!</v>
      </c>
      <c r="AG20" s="91" t="e">
        <f>IF(D20="3 Canv",IF(E20="Roll","",ROUNDUP((SUM(F20:G20)*2)/3,"")*VLOOKUP("Staples",#REF!,2,FALSE)),"")</f>
        <v>#VALUE!</v>
      </c>
      <c r="AH20" s="91" t="e">
        <f>IF(AF20="","",(SUM(F20:G20)*2)*VLOOKUP(E20,#REF!,2,FALSE))</f>
        <v>#REF!</v>
      </c>
      <c r="AI20" s="18">
        <f t="shared" si="12"/>
        <v>44</v>
      </c>
      <c r="AJ20" s="91" t="e">
        <f>IF(AI20="","",AI20*VLOOKUP("Staples",#REF!,2,FALSE))</f>
        <v>#REF!</v>
      </c>
      <c r="AK20" s="18" t="e">
        <f t="shared" si="13"/>
        <v>#REF!</v>
      </c>
      <c r="AL20" s="91" t="e">
        <f>IF(AK20="","",AK20*VLOOKUP("Frame screw",#REF!,2,FALSE))</f>
        <v>#REF!</v>
      </c>
      <c r="AM20" s="18" t="e">
        <f t="shared" si="14"/>
        <v>#REF!</v>
      </c>
      <c r="AN20" s="91" t="e">
        <f>IF(AM20="","",AM20*VLOOKUP("D ring",#REF!,2,FALSE))</f>
        <v>#REF!</v>
      </c>
      <c r="AO20" s="18" t="e">
        <f t="shared" si="15"/>
        <v>#REF!</v>
      </c>
      <c r="AP20" s="91" t="e">
        <f>IF(AO20="","",IF(G20&gt;59,AO20* VLOOKUP("8 wire",#REF!,2,FALSE)*2,IF(G20&gt;39,AO20* VLOOKUP("8 wire",#REF!,2,FALSE),AO20* VLOOKUP("6 wire",#REF!,2,FALSE))))</f>
        <v>#REF!</v>
      </c>
      <c r="AQ20" s="18">
        <f t="shared" si="16"/>
        <v>4</v>
      </c>
      <c r="AR20" s="18" t="e">
        <f>IF(AQ20="","",AQ20*VLOOKUP("Pads",#REF!,2,FALSE))</f>
        <v>#REF!</v>
      </c>
      <c r="AS20" s="18">
        <f t="shared" si="17"/>
        <v>1</v>
      </c>
      <c r="AT20" s="91" t="e">
        <f>IF(AS20="","",AS20*VLOOKUP("4 mil bag",#REF!,2,FALSE))</f>
        <v>#REF!</v>
      </c>
      <c r="AU20" s="91" t="e">
        <f>IF(X20="","",IF(I20="N/A","",IF(I20="CNC",IF(G20&gt;37,20,10),VLOOKUP(I20,#REF!,2,FALSE))))</f>
        <v>#REF!</v>
      </c>
      <c r="AV20" s="18" t="str">
        <f>IF(X20="","",IF(I20="CNC",VLOOKUP("Glue stick",#REF!,2,FALSE),""))</f>
        <v/>
      </c>
      <c r="AW20" s="18" t="str">
        <f>IF(X20="","",IF(I20="CNC",16*VLOOKUP("Box staples",#REF!,2,FALSE),""))</f>
        <v/>
      </c>
      <c r="AX20" s="91" t="e">
        <f>IF(X20="","",IF(I20="CNC",((((G20+6)+(F20+6))*2)+24)*VLOOKUP("sealing tape",#REF!,2,FALSE),VLOOKUP("Strapping tape",#REF!,2,FALSE)))</f>
        <v>#REF!</v>
      </c>
      <c r="AY20" s="17"/>
      <c r="AZ20" s="17" t="s">
        <v>580</v>
      </c>
      <c r="BA20" s="15">
        <v>3.31</v>
      </c>
      <c r="BB20" s="17" t="s">
        <v>581</v>
      </c>
      <c r="BC20" s="102">
        <v>106</v>
      </c>
      <c r="BE20" s="102"/>
      <c r="BF20" s="102"/>
      <c r="BG20" s="102"/>
      <c r="BH20" s="102"/>
      <c r="BI20" s="102"/>
    </row>
    <row r="21" spans="1:61" x14ac:dyDescent="0.45">
      <c r="A21" s="103" t="s">
        <v>1090</v>
      </c>
      <c r="B21" s="17" t="s">
        <v>1089</v>
      </c>
      <c r="C21" s="16">
        <v>44547</v>
      </c>
      <c r="D21" s="17" t="s">
        <v>66</v>
      </c>
      <c r="E21" s="15" t="s">
        <v>558</v>
      </c>
      <c r="F21" s="17">
        <v>26</v>
      </c>
      <c r="G21" s="17">
        <v>26</v>
      </c>
      <c r="H21" s="3" t="s">
        <v>43</v>
      </c>
      <c r="I21" s="88" t="s">
        <v>84</v>
      </c>
      <c r="J21" s="87">
        <v>44566</v>
      </c>
      <c r="K21" s="15">
        <v>316</v>
      </c>
      <c r="L21" s="96">
        <v>20</v>
      </c>
      <c r="M21" s="89">
        <v>9.9</v>
      </c>
      <c r="N21" s="88">
        <v>1</v>
      </c>
      <c r="O21" s="413" t="str">
        <f t="shared" si="1"/>
        <v>26 x 26</v>
      </c>
      <c r="P21" s="18" t="str">
        <f t="shared" si="2"/>
        <v>N/A</v>
      </c>
      <c r="Q21" s="91">
        <f t="shared" si="3"/>
        <v>2.85</v>
      </c>
      <c r="R21" s="18" t="str">
        <f t="shared" si="4"/>
        <v>37 x 3 x 3</v>
      </c>
      <c r="S21" s="18">
        <v>37</v>
      </c>
      <c r="T21" s="18">
        <v>3</v>
      </c>
      <c r="U21" s="18">
        <v>3</v>
      </c>
      <c r="V21" s="90">
        <f t="shared" si="5"/>
        <v>49</v>
      </c>
      <c r="W21" s="287">
        <f t="shared" si="6"/>
        <v>0.495</v>
      </c>
      <c r="X21" s="287" t="str">
        <f t="shared" si="7"/>
        <v>Yes</v>
      </c>
      <c r="Y21" s="93" t="e">
        <f t="shared" si="8"/>
        <v>#REF!</v>
      </c>
      <c r="Z21" s="288" t="e">
        <f t="shared" si="9"/>
        <v>#REF!</v>
      </c>
      <c r="AA21" s="94" t="e">
        <f t="shared" si="10"/>
        <v>#REF!</v>
      </c>
      <c r="AB21" s="288" t="e">
        <f t="shared" si="11"/>
        <v>#REF!</v>
      </c>
      <c r="AC21" s="91" t="e">
        <f>IF(X21="","",IF(D21="2 3D",((F21-0.5)*2+(G21-0.5)*2)*VLOOKUP("3D base",#REF!,2,FALSE),IF(D21="3 Canv", IF(E21="Roll",0,ROUND(SUM(F21:G21)*2,0)),0)*VLOOKUP("Stretcher Bar",#REF!,2,FALSE)))</f>
        <v>#REF!</v>
      </c>
      <c r="AD21" s="91">
        <f>IF(X21="","",IF(E21="Roll",0,IF(D21="2 3D",(SUM(F21:G21)*2)*VLOOKUP("3D epoxy",#REF!,2,FALSE),IF(D21="3 Canv",VLOOKUP("Wood glue",#REF!,2,FALSE),""))))</f>
        <v>0</v>
      </c>
      <c r="AE21" s="91" t="e">
        <f>IF(D21="3 Canv",(((F21+5)*(G21+5)))*VLOOKUP("Canvas",#REF!,2,FALSE),IF(D21="2 3D",(((F21)*(G21)))*VLOOKUP("Dibond",#REF!,2,FALSE),""))</f>
        <v>#REF!</v>
      </c>
      <c r="AF21" s="91" t="e">
        <f>IF(D21="2 3D",F21*G21*VLOOKUP("3D ink",#REF!,2,FALSE),IF(D21="3 Canv",F21*G21*VLOOKUP("Canvas ink",#REF!,2,FALSE),""))</f>
        <v>#REF!</v>
      </c>
      <c r="AG21" s="91" t="str">
        <f>IF(D21="3 Canv",IF(E21="Roll","",ROUNDUP((SUM(F21:G21)*2)/3,"")*VLOOKUP("Staples",#REF!,2,FALSE)),"")</f>
        <v/>
      </c>
      <c r="AH21" s="91" t="e">
        <f>IF(AF21="","",(SUM(F21:G21)*2)*VLOOKUP(E21,#REF!,2,FALSE))</f>
        <v>#REF!</v>
      </c>
      <c r="AI21" s="18" t="str">
        <f t="shared" si="12"/>
        <v/>
      </c>
      <c r="AJ21" s="91" t="str">
        <f>IF(AI21="","",AI21*VLOOKUP("Staples",#REF!,2,FALSE))</f>
        <v/>
      </c>
      <c r="AK21" s="18" t="str">
        <f t="shared" si="13"/>
        <v/>
      </c>
      <c r="AL21" s="91" t="str">
        <f>IF(AK21="","",AK21*VLOOKUP("Frame screw",#REF!,2,FALSE))</f>
        <v/>
      </c>
      <c r="AM21" s="18" t="e">
        <f t="shared" si="14"/>
        <v>#REF!</v>
      </c>
      <c r="AN21" s="91" t="e">
        <f>IF(AM21="","",AM21*VLOOKUP("D ring",#REF!,2,FALSE))</f>
        <v>#REF!</v>
      </c>
      <c r="AO21" s="18" t="e">
        <f t="shared" si="15"/>
        <v>#REF!</v>
      </c>
      <c r="AP21" s="18" t="e">
        <f>IF(AO21="","",IF(G21&gt;59,AO21* VLOOKUP("8 wire",#REF!,2,FALSE)*2,IF(G21&gt;39,AO21* VLOOKUP("8 wire",#REF!,2,FALSE),AO21* VLOOKUP("6 wire",#REF!,2,FALSE))))</f>
        <v>#REF!</v>
      </c>
      <c r="AQ21" s="18" t="str">
        <f t="shared" si="16"/>
        <v/>
      </c>
      <c r="AR21" s="18" t="str">
        <f>IF(AQ21="","",AQ21*VLOOKUP("Pads",#REF!,2,FALSE))</f>
        <v/>
      </c>
      <c r="AS21" s="18" t="str">
        <f t="shared" si="17"/>
        <v/>
      </c>
      <c r="AT21" s="18" t="str">
        <f>IF(AS21="","",AS21*VLOOKUP("4 mil bag",#REF!,2,FALSE))</f>
        <v/>
      </c>
      <c r="AU21" s="91" t="e">
        <f>IF(X21="","",IF(I21="N/A","",IF(I21="CNC",IF(G21&gt;37,20,10),VLOOKUP(I21,#REF!,2,FALSE))))</f>
        <v>#REF!</v>
      </c>
      <c r="AV21" s="18" t="str">
        <f>IF(X21="","",IF(I21="CNC",VLOOKUP("Glue stick",#REF!,2,FALSE),""))</f>
        <v/>
      </c>
      <c r="AW21" s="18" t="str">
        <f>IF(X21="","",IF(I21="CNC",16*VLOOKUP("Box staples",#REF!,2,FALSE),""))</f>
        <v/>
      </c>
      <c r="AX21" s="91" t="e">
        <f>IF(X21="","",IF(I21="CNC",((((G21+6)+(F21+6))*2)+24)*VLOOKUP("sealing tape",#REF!,2,FALSE),VLOOKUP("Strapping tape",#REF!,2,FALSE)))</f>
        <v>#REF!</v>
      </c>
      <c r="AY21" s="17"/>
      <c r="AZ21" s="17" t="s">
        <v>583</v>
      </c>
      <c r="BA21" s="15">
        <v>6.49</v>
      </c>
      <c r="BB21" s="17" t="s">
        <v>584</v>
      </c>
      <c r="BC21" s="102">
        <v>126</v>
      </c>
      <c r="BE21" s="102"/>
      <c r="BF21" s="102"/>
      <c r="BG21" s="102"/>
      <c r="BH21" s="102"/>
      <c r="BI21" s="102"/>
    </row>
    <row r="22" spans="1:61" x14ac:dyDescent="0.45">
      <c r="A22" s="261" t="s">
        <v>446</v>
      </c>
      <c r="B22" s="101" t="s">
        <v>1091</v>
      </c>
      <c r="C22" s="263">
        <v>44541</v>
      </c>
      <c r="D22" s="101" t="s">
        <v>66</v>
      </c>
      <c r="E22" s="262" t="s">
        <v>558</v>
      </c>
      <c r="F22" s="101">
        <v>15</v>
      </c>
      <c r="G22" s="101">
        <v>15</v>
      </c>
      <c r="H22" s="264" t="s">
        <v>43</v>
      </c>
      <c r="I22" s="98" t="s">
        <v>84</v>
      </c>
      <c r="J22" s="97">
        <v>44565</v>
      </c>
      <c r="K22" s="262">
        <v>147</v>
      </c>
      <c r="L22" s="265"/>
      <c r="M22" s="99"/>
      <c r="N22" s="98">
        <v>1</v>
      </c>
      <c r="O22" s="414" t="str">
        <f t="shared" si="1"/>
        <v>15 x 15</v>
      </c>
      <c r="P22" s="100" t="str">
        <f t="shared" si="2"/>
        <v>N/A</v>
      </c>
      <c r="Q22" s="274">
        <f t="shared" si="3"/>
        <v>2.85</v>
      </c>
      <c r="R22" s="100" t="str">
        <f t="shared" si="4"/>
        <v>37 x 3 x 3</v>
      </c>
      <c r="S22" s="100">
        <v>37</v>
      </c>
      <c r="T22" s="100">
        <v>3</v>
      </c>
      <c r="U22" s="100">
        <v>3</v>
      </c>
      <c r="V22" s="415">
        <f t="shared" si="5"/>
        <v>49</v>
      </c>
      <c r="W22" s="289"/>
      <c r="X22" s="289"/>
      <c r="Y22" s="275"/>
      <c r="Z22" s="308"/>
      <c r="AA22" s="276"/>
      <c r="AB22" s="308"/>
      <c r="AC22" s="274"/>
      <c r="AD22" s="274"/>
      <c r="AE22" s="274"/>
      <c r="AF22" s="274"/>
      <c r="AG22" s="274"/>
      <c r="AH22" s="274"/>
      <c r="AI22" s="100"/>
      <c r="AJ22" s="274"/>
      <c r="AK22" s="100"/>
      <c r="AL22" s="274"/>
      <c r="AM22" s="100"/>
      <c r="AN22" s="274"/>
      <c r="AO22" s="100"/>
      <c r="AP22" s="100"/>
      <c r="AQ22" s="100"/>
      <c r="AR22" s="100"/>
      <c r="AS22" s="100"/>
      <c r="AT22" s="100"/>
      <c r="AU22" s="274"/>
      <c r="AV22" s="100"/>
      <c r="AW22" s="100"/>
      <c r="AX22" s="100"/>
      <c r="AY22" s="17"/>
      <c r="AZ22" s="17" t="s">
        <v>586</v>
      </c>
      <c r="BA22" s="15">
        <v>12.5</v>
      </c>
      <c r="BB22" s="17" t="s">
        <v>587</v>
      </c>
      <c r="BC22" s="102">
        <v>135</v>
      </c>
      <c r="BE22" s="102"/>
      <c r="BF22" s="102"/>
      <c r="BG22" s="102"/>
      <c r="BH22" s="102"/>
      <c r="BI22" s="102"/>
    </row>
    <row r="23" spans="1:61" x14ac:dyDescent="0.45">
      <c r="A23" s="103" t="s">
        <v>582</v>
      </c>
      <c r="B23" s="17" t="s">
        <v>1095</v>
      </c>
      <c r="C23" s="16">
        <v>44543</v>
      </c>
      <c r="D23" s="17" t="s">
        <v>66</v>
      </c>
      <c r="E23" s="15" t="s">
        <v>50</v>
      </c>
      <c r="F23" s="17">
        <v>30</v>
      </c>
      <c r="G23" s="17">
        <v>37</v>
      </c>
      <c r="H23" s="3" t="s">
        <v>43</v>
      </c>
      <c r="I23" s="88" t="s">
        <v>583</v>
      </c>
      <c r="J23" s="87">
        <v>44567</v>
      </c>
      <c r="K23" s="15">
        <v>630</v>
      </c>
      <c r="L23" s="96">
        <v>35</v>
      </c>
      <c r="M23" s="89">
        <v>49.73</v>
      </c>
      <c r="N23" s="88">
        <v>16</v>
      </c>
      <c r="O23" s="413" t="str">
        <f t="shared" si="1"/>
        <v>30 x 37</v>
      </c>
      <c r="P23" s="18" t="str">
        <f t="shared" si="2"/>
        <v>30 x 37</v>
      </c>
      <c r="Q23" s="91">
        <f t="shared" si="3"/>
        <v>6.49</v>
      </c>
      <c r="R23" s="18" t="str">
        <f t="shared" si="4"/>
        <v>42 x 36 x 6</v>
      </c>
      <c r="S23" s="18">
        <v>42</v>
      </c>
      <c r="T23" s="18">
        <v>36</v>
      </c>
      <c r="U23" s="18">
        <v>6</v>
      </c>
      <c r="V23" s="90">
        <f t="shared" si="5"/>
        <v>126</v>
      </c>
      <c r="W23" s="287">
        <f t="shared" ref="W23:W102" si="21">IF(M23=0,"",IF(L23=0,"",M23/L23))</f>
        <v>1.4208571428571428</v>
      </c>
      <c r="X23" s="287" t="str">
        <f t="shared" ref="X23:X102" si="22">IF(D23="3 Canv","Yes",IF(D23="2 3D","Yes",""))</f>
        <v>Yes</v>
      </c>
      <c r="Y23" s="93" t="e">
        <f t="shared" ref="Y23:Y102" si="23">IF(D23="1 Orig","",IF(K23=0,"",SUM(AA23,M23)))</f>
        <v>#REF!</v>
      </c>
      <c r="Z23" s="288" t="e">
        <f t="shared" ref="Z23:Z102" si="24">IF(AA23="","",IF(AA23=0,0,IF(K23=0,0,Y23/SUM(K23:L23))))</f>
        <v>#REF!</v>
      </c>
      <c r="AA23" s="94" t="e">
        <f t="shared" ref="AA23:AA102" si="25">IF(D23="1 Orig","",IF(K23=0,"",SUM(AC23:AH23,AJ23,AL23,AN23,AP23,AR23,AT23:AX23)))</f>
        <v>#REF!</v>
      </c>
      <c r="AB23" s="288" t="e">
        <f t="shared" ref="AB23:AB102" si="26">IF(AA23="","",IF(AA23=0,0,IF(K23=0,0,AA23/K23)))</f>
        <v>#REF!</v>
      </c>
      <c r="AC23" s="91" t="e">
        <f>IF(X23="","",IF(D23="2 3D",((F23-0.5)*2+(G23-0.5)*2)*VLOOKUP("3D base",#REF!,2,FALSE),IF(D23="3 Canv", IF(E23="Roll",0,ROUND(SUM(F23:G23)*2,0)),0)*VLOOKUP("Stretcher Bar",#REF!,2,FALSE)))</f>
        <v>#REF!</v>
      </c>
      <c r="AD23" s="91" t="e">
        <f>IF(X23="","",IF(E23="Roll",0,IF(D23="2 3D",(SUM(F23:G23)*2)*VLOOKUP("3D epoxy",#REF!,2,FALSE),IF(D23="3 Canv",VLOOKUP("Wood glue",#REF!,2,FALSE),""))))</f>
        <v>#REF!</v>
      </c>
      <c r="AE23" s="91" t="e">
        <f>IF(D23="3 Canv",(((F23+5)*(G23+5)))*VLOOKUP("Canvas",#REF!,2,FALSE),IF(D23="2 3D",(((F23)*(G23)))*VLOOKUP("Dibond",#REF!,2,FALSE),""))</f>
        <v>#REF!</v>
      </c>
      <c r="AF23" s="91" t="e">
        <f>IF(D23="2 3D",F23*G23*VLOOKUP("3D ink",#REF!,2,FALSE),IF(D23="3 Canv",F23*G23*VLOOKUP("Canvas ink",#REF!,2,FALSE),""))</f>
        <v>#REF!</v>
      </c>
      <c r="AG23" s="91" t="e">
        <f>IF(D23="3 Canv",IF(E23="Roll","",ROUNDUP((SUM(F23:G23)*2)/3,"")*VLOOKUP("Staples",#REF!,2,FALSE)),"")</f>
        <v>#VALUE!</v>
      </c>
      <c r="AH23" s="91" t="e">
        <f>IF(AF23="","",(SUM(F23:G23)*2)*VLOOKUP(E23,#REF!,2,FALSE))</f>
        <v>#REF!</v>
      </c>
      <c r="AI23" s="18">
        <f t="shared" ref="AI23:AI102" si="27">IF(D23="2 3D",44,IF(D23="3 Canv",IF(E23="Roll","",IF(E23="Stretched",16,44)),""))</f>
        <v>16</v>
      </c>
      <c r="AJ23" s="91" t="e">
        <f>IF(AI23="","",AI23*VLOOKUP("Staples",#REF!,2,FALSE))</f>
        <v>#REF!</v>
      </c>
      <c r="AK23" s="18" t="e">
        <f t="shared" ref="AK23:AK102" si="28">IF(AJ23="","",IF(E23="Roll","",IF(E23="Stretched","",IF(G23&gt;54,10,8))))</f>
        <v>#REF!</v>
      </c>
      <c r="AL23" s="91" t="e">
        <f>IF(AK23="","",AK23*VLOOKUP("Frame screw",#REF!,2,FALSE))</f>
        <v>#REF!</v>
      </c>
      <c r="AM23" s="18" t="e">
        <f t="shared" ref="AM23:AM102" si="29">IF(AC23="","",IF(E23="Roll",0,IF(G23&gt;44,4,2)))</f>
        <v>#REF!</v>
      </c>
      <c r="AN23" s="91" t="e">
        <f>IF(AM23="","",AM23*VLOOKUP("D ring",#REF!,2,FALSE))</f>
        <v>#REF!</v>
      </c>
      <c r="AO23" s="18" t="e">
        <f t="shared" ref="AO23:AO102" si="30">IF(AN23="","",IF(E23="Roll","",G23+16))</f>
        <v>#REF!</v>
      </c>
      <c r="AP23" s="91" t="e">
        <f>IF(AO23="","",IF(G23&gt;59,AO23* VLOOKUP("8 wire",#REF!,2,FALSE)*2,IF(G23&gt;39,AO23* VLOOKUP("8 wire",#REF!,2,FALSE),AO23* VLOOKUP("6 wire",#REF!,2,FALSE))))</f>
        <v>#REF!</v>
      </c>
      <c r="AQ23" s="18">
        <f t="shared" ref="AQ23:AQ102" si="31">IF(D23="1 Orig","",IF(D23="4 Free","",IF(E23="Roll","",4)))</f>
        <v>4</v>
      </c>
      <c r="AR23" s="18" t="e">
        <f>IF(AQ23="","",AQ23*VLOOKUP("Pads",#REF!,2,FALSE))</f>
        <v>#REF!</v>
      </c>
      <c r="AS23" s="18">
        <f t="shared" ref="AS23:AS102" si="32">IF(X23="","",IF(E23="Roll","",1))</f>
        <v>1</v>
      </c>
      <c r="AT23" s="91" t="e">
        <f>IF(AS23="","",AS23*VLOOKUP("4 mil bag",#REF!,2,FALSE))</f>
        <v>#REF!</v>
      </c>
      <c r="AU23" s="91" t="e">
        <f>IF(X23="","",IF(I23="N/A","",IF(I23="CNC",IF(G23&gt;37,20,10),VLOOKUP(I23,#REF!,2,FALSE))))</f>
        <v>#REF!</v>
      </c>
      <c r="AV23" s="18" t="str">
        <f>IF(X23="","",IF(I23="CNC",VLOOKUP("Glue stick",#REF!,2,FALSE),""))</f>
        <v/>
      </c>
      <c r="AW23" s="18" t="str">
        <f>IF(X23="","",IF(I23="CNC",16*VLOOKUP("Box staples",#REF!,2,FALSE),""))</f>
        <v/>
      </c>
      <c r="AX23" s="91" t="e">
        <f>IF(X23="","",IF(I23="CNC",((((G23+6)+(F23+6))*2)+24)*VLOOKUP("sealing tape",#REF!,2,FALSE),VLOOKUP("Strapping tape",#REF!,2,FALSE)))</f>
        <v>#REF!</v>
      </c>
      <c r="AY23" s="17"/>
      <c r="AZ23" s="17" t="s">
        <v>589</v>
      </c>
      <c r="BA23" s="15">
        <v>3.31</v>
      </c>
      <c r="BB23" s="17" t="s">
        <v>590</v>
      </c>
      <c r="BC23" s="102">
        <v>94</v>
      </c>
      <c r="BE23" s="102"/>
      <c r="BF23" s="102"/>
      <c r="BG23" s="102"/>
      <c r="BH23" s="102"/>
      <c r="BI23" s="102"/>
    </row>
    <row r="24" spans="1:61" x14ac:dyDescent="0.45">
      <c r="A24" s="103" t="s">
        <v>1094</v>
      </c>
      <c r="B24" s="17" t="s">
        <v>1093</v>
      </c>
      <c r="C24" s="16">
        <v>44550</v>
      </c>
      <c r="D24" s="17" t="s">
        <v>66</v>
      </c>
      <c r="E24" s="15" t="s">
        <v>5</v>
      </c>
      <c r="F24" s="17">
        <v>18</v>
      </c>
      <c r="G24" s="17">
        <v>22</v>
      </c>
      <c r="H24" s="3" t="s">
        <v>43</v>
      </c>
      <c r="I24" s="88" t="s">
        <v>577</v>
      </c>
      <c r="J24" s="87">
        <v>44567</v>
      </c>
      <c r="K24" s="15">
        <v>594</v>
      </c>
      <c r="L24" s="96">
        <v>30</v>
      </c>
      <c r="M24" s="89">
        <v>17.46</v>
      </c>
      <c r="N24" s="88">
        <v>9</v>
      </c>
      <c r="O24" s="413" t="str">
        <f t="shared" si="1"/>
        <v>18 x 22</v>
      </c>
      <c r="P24" s="18" t="str">
        <f t="shared" si="2"/>
        <v>20 x 24</v>
      </c>
      <c r="Q24" s="91">
        <f t="shared" si="3"/>
        <v>2.23</v>
      </c>
      <c r="R24" s="18" t="str">
        <f t="shared" si="4"/>
        <v>30 x 24 x 5</v>
      </c>
      <c r="S24" s="18">
        <v>30</v>
      </c>
      <c r="T24" s="18">
        <v>24</v>
      </c>
      <c r="U24" s="18">
        <v>5</v>
      </c>
      <c r="V24" s="90">
        <f t="shared" si="5"/>
        <v>88</v>
      </c>
      <c r="W24" s="287">
        <f t="shared" si="21"/>
        <v>0.58200000000000007</v>
      </c>
      <c r="X24" s="287" t="str">
        <f t="shared" si="22"/>
        <v>Yes</v>
      </c>
      <c r="Y24" s="93" t="e">
        <f t="shared" si="23"/>
        <v>#REF!</v>
      </c>
      <c r="Z24" s="288" t="e">
        <f t="shared" si="24"/>
        <v>#REF!</v>
      </c>
      <c r="AA24" s="94" t="e">
        <f t="shared" si="25"/>
        <v>#REF!</v>
      </c>
      <c r="AB24" s="288" t="e">
        <f t="shared" si="26"/>
        <v>#REF!</v>
      </c>
      <c r="AC24" s="91" t="e">
        <f>IF(X24="","",IF(D24="2 3D",((F24-0.5)*2+(G24-0.5)*2)*VLOOKUP("3D base",#REF!,2,FALSE),IF(D24="3 Canv", IF(E24="Roll",0,ROUND(SUM(F24:G24)*2,0)),0)*VLOOKUP("Stretcher Bar",#REF!,2,FALSE)))</f>
        <v>#REF!</v>
      </c>
      <c r="AD24" s="91" t="e">
        <f>IF(X24="","",IF(E24="Roll",0,IF(D24="2 3D",(SUM(F24:G24)*2)*VLOOKUP("3D epoxy",#REF!,2,FALSE),IF(D24="3 Canv",VLOOKUP("Wood glue",#REF!,2,FALSE),""))))</f>
        <v>#REF!</v>
      </c>
      <c r="AE24" s="91" t="e">
        <f>IF(D24="3 Canv",(((F24+5)*(G24+5)))*VLOOKUP("Canvas",#REF!,2,FALSE),IF(D24="2 3D",(((F24)*(G24)))*VLOOKUP("Dibond",#REF!,2,FALSE),""))</f>
        <v>#REF!</v>
      </c>
      <c r="AF24" s="91" t="e">
        <f>IF(D24="2 3D",F24*G24*VLOOKUP("3D ink",#REF!,2,FALSE),IF(D24="3 Canv",F24*G24*VLOOKUP("Canvas ink",#REF!,2,FALSE),""))</f>
        <v>#REF!</v>
      </c>
      <c r="AG24" s="91" t="e">
        <f>IF(D24="3 Canv",IF(E24="Roll","",ROUNDUP((SUM(F24:G24)*2)/3,"")*VLOOKUP("Staples",#REF!,2,FALSE)),"")</f>
        <v>#VALUE!</v>
      </c>
      <c r="AH24" s="91" t="e">
        <f>IF(AF24="","",(SUM(F24:G24)*2)*VLOOKUP(E24,#REF!,2,FALSE))</f>
        <v>#REF!</v>
      </c>
      <c r="AI24" s="18">
        <f t="shared" si="27"/>
        <v>44</v>
      </c>
      <c r="AJ24" s="91" t="e">
        <f>IF(AI24="","",AI24*VLOOKUP("Staples",#REF!,2,FALSE))</f>
        <v>#REF!</v>
      </c>
      <c r="AK24" s="18" t="e">
        <f t="shared" si="28"/>
        <v>#REF!</v>
      </c>
      <c r="AL24" s="91" t="e">
        <f>IF(AK24="","",AK24*VLOOKUP("Frame screw",#REF!,2,FALSE))</f>
        <v>#REF!</v>
      </c>
      <c r="AM24" s="18" t="e">
        <f t="shared" si="29"/>
        <v>#REF!</v>
      </c>
      <c r="AN24" s="91" t="e">
        <f>IF(AM24="","",AM24*VLOOKUP("D ring",#REF!,2,FALSE))</f>
        <v>#REF!</v>
      </c>
      <c r="AO24" s="18" t="e">
        <f t="shared" si="30"/>
        <v>#REF!</v>
      </c>
      <c r="AP24" s="91" t="e">
        <f>IF(AO24="","",IF(G24&gt;59,AO24* VLOOKUP("8 wire",#REF!,2,FALSE)*2,IF(G24&gt;39,AO24* VLOOKUP("8 wire",#REF!,2,FALSE),AO24* VLOOKUP("6 wire",#REF!,2,FALSE))))</f>
        <v>#REF!</v>
      </c>
      <c r="AQ24" s="18">
        <f t="shared" si="31"/>
        <v>4</v>
      </c>
      <c r="AR24" s="18" t="e">
        <f>IF(AQ24="","",AQ24*VLOOKUP("Pads",#REF!,2,FALSE))</f>
        <v>#REF!</v>
      </c>
      <c r="AS24" s="18">
        <f t="shared" si="32"/>
        <v>1</v>
      </c>
      <c r="AT24" s="91" t="e">
        <f>IF(AS24="","",AS24*VLOOKUP("4 mil bag",#REF!,2,FALSE))</f>
        <v>#REF!</v>
      </c>
      <c r="AU24" s="91" t="e">
        <f>IF(X24="","",IF(I24="N/A","",IF(I24="CNC",IF(G24&gt;37,20,10),VLOOKUP(I24,#REF!,2,FALSE))))</f>
        <v>#REF!</v>
      </c>
      <c r="AV24" s="18" t="str">
        <f>IF(X24="","",IF(I24="CNC",VLOOKUP("Glue stick",#REF!,2,FALSE),""))</f>
        <v/>
      </c>
      <c r="AW24" s="18" t="str">
        <f>IF(X24="","",IF(I24="CNC",16*VLOOKUP("Box staples",#REF!,2,FALSE),""))</f>
        <v/>
      </c>
      <c r="AX24" s="91" t="e">
        <f>IF(X24="","",IF(I24="CNC",((((G24+6)+(F24+6))*2)+24)*VLOOKUP("sealing tape",#REF!,2,FALSE),VLOOKUP("Strapping tape",#REF!,2,FALSE)))</f>
        <v>#REF!</v>
      </c>
      <c r="AY24" s="17"/>
      <c r="AZ24" s="17" t="s">
        <v>595</v>
      </c>
      <c r="BA24" s="15">
        <v>4.32</v>
      </c>
      <c r="BB24" s="17" t="s">
        <v>596</v>
      </c>
      <c r="BC24" s="102">
        <v>69</v>
      </c>
      <c r="BE24" s="102"/>
      <c r="BF24" s="102"/>
      <c r="BG24" s="102"/>
      <c r="BH24" s="102"/>
      <c r="BI24" s="102"/>
    </row>
    <row r="25" spans="1:61" x14ac:dyDescent="0.45">
      <c r="A25" s="103" t="s">
        <v>981</v>
      </c>
      <c r="B25" s="17" t="s">
        <v>1096</v>
      </c>
      <c r="C25" s="16">
        <v>44548</v>
      </c>
      <c r="D25" s="17" t="s">
        <v>66</v>
      </c>
      <c r="E25" s="15" t="s">
        <v>50</v>
      </c>
      <c r="F25" s="17">
        <v>37</v>
      </c>
      <c r="G25" s="17">
        <v>46</v>
      </c>
      <c r="H25" s="3" t="s">
        <v>43</v>
      </c>
      <c r="I25" s="88" t="s">
        <v>553</v>
      </c>
      <c r="J25" s="87">
        <v>44567</v>
      </c>
      <c r="K25" s="15">
        <v>902</v>
      </c>
      <c r="L25" s="96">
        <v>0</v>
      </c>
      <c r="M25" s="89">
        <v>11.82</v>
      </c>
      <c r="N25" s="88">
        <v>26</v>
      </c>
      <c r="O25" s="413" t="str">
        <f t="shared" si="1"/>
        <v>37 x 46</v>
      </c>
      <c r="P25" s="18" t="str">
        <f t="shared" si="2"/>
        <v>37 x 46</v>
      </c>
      <c r="Q25" s="91">
        <f t="shared" si="3"/>
        <v>15.77</v>
      </c>
      <c r="R25" s="18" t="str">
        <f t="shared" si="4"/>
        <v>50 x 48 x 6</v>
      </c>
      <c r="S25" s="18">
        <v>50</v>
      </c>
      <c r="T25" s="18">
        <v>48</v>
      </c>
      <c r="U25" s="18">
        <v>6</v>
      </c>
      <c r="V25" s="18">
        <f t="shared" si="5"/>
        <v>160</v>
      </c>
      <c r="W25" s="287" t="str">
        <f t="shared" si="21"/>
        <v/>
      </c>
      <c r="X25" s="287" t="str">
        <f t="shared" si="22"/>
        <v>Yes</v>
      </c>
      <c r="Y25" s="93" t="e">
        <f t="shared" si="23"/>
        <v>#REF!</v>
      </c>
      <c r="Z25" s="288" t="e">
        <f t="shared" si="24"/>
        <v>#REF!</v>
      </c>
      <c r="AA25" s="94" t="e">
        <f t="shared" si="25"/>
        <v>#REF!</v>
      </c>
      <c r="AB25" s="288" t="e">
        <f t="shared" si="26"/>
        <v>#REF!</v>
      </c>
      <c r="AC25" s="91" t="e">
        <f>IF(X25="","",IF(D25="2 3D",((F25-0.5)*2+(G25-0.5)*2)*VLOOKUP("3D base",#REF!,2,FALSE),IF(D25="3 Canv", IF(E25="Roll",0,ROUND(SUM(F25:G25)*2,0)),0)*VLOOKUP("Stretcher Bar",#REF!,2,FALSE)))</f>
        <v>#REF!</v>
      </c>
      <c r="AD25" s="91" t="e">
        <f>IF(X25="","",IF(E25="Roll",0,IF(D25="2 3D",(SUM(F25:G25)*2)*VLOOKUP("3D epoxy",#REF!,2,FALSE),IF(D25="3 Canv",VLOOKUP("Wood glue",#REF!,2,FALSE),""))))</f>
        <v>#REF!</v>
      </c>
      <c r="AE25" s="91" t="e">
        <f>IF(D25="3 Canv",(((F25+5)*(G25+5)))*VLOOKUP("Canvas",#REF!,2,FALSE),IF(D25="2 3D",(((F25)*(G25)))*VLOOKUP("Dibond",#REF!,2,FALSE),""))</f>
        <v>#REF!</v>
      </c>
      <c r="AF25" s="91" t="e">
        <f>IF(D25="2 3D",F25*G25*VLOOKUP("3D ink",#REF!,2,FALSE),IF(D25="3 Canv",F25*G25*VLOOKUP("Canvas ink",#REF!,2,FALSE),""))</f>
        <v>#REF!</v>
      </c>
      <c r="AG25" s="91" t="e">
        <f>IF(D25="3 Canv",IF(E25="Roll","",ROUNDUP((SUM(F25:G25)*2)/3,"")*VLOOKUP("Staples",#REF!,2,FALSE)),"")</f>
        <v>#VALUE!</v>
      </c>
      <c r="AH25" s="91" t="e">
        <f>IF(AF25="","",(SUM(F25:G25)*2)*VLOOKUP(E25,#REF!,2,FALSE))</f>
        <v>#REF!</v>
      </c>
      <c r="AI25" s="18">
        <f t="shared" si="27"/>
        <v>16</v>
      </c>
      <c r="AJ25" s="91" t="e">
        <f>IF(AI25="","",AI25*VLOOKUP("Staples",#REF!,2,FALSE))</f>
        <v>#REF!</v>
      </c>
      <c r="AK25" s="18" t="e">
        <f t="shared" si="28"/>
        <v>#REF!</v>
      </c>
      <c r="AL25" s="91" t="e">
        <f>IF(AK25="","",AK25*VLOOKUP("Frame screw",#REF!,2,FALSE))</f>
        <v>#REF!</v>
      </c>
      <c r="AM25" s="18" t="e">
        <f t="shared" si="29"/>
        <v>#REF!</v>
      </c>
      <c r="AN25" s="91" t="e">
        <f>IF(AM25="","",AM25*VLOOKUP("D ring",#REF!,2,FALSE))</f>
        <v>#REF!</v>
      </c>
      <c r="AO25" s="18" t="e">
        <f t="shared" si="30"/>
        <v>#REF!</v>
      </c>
      <c r="AP25" s="91" t="e">
        <f>IF(AO25="","",IF(G25&gt;59,AO25* VLOOKUP("8 wire",#REF!,2,FALSE)*2,IF(G25&gt;39,AO25* VLOOKUP("8 wire",#REF!,2,FALSE),AO25* VLOOKUP("6 wire",#REF!,2,FALSE))))</f>
        <v>#REF!</v>
      </c>
      <c r="AQ25" s="18">
        <f t="shared" si="31"/>
        <v>4</v>
      </c>
      <c r="AR25" s="18" t="e">
        <f>IF(AQ25="","",AQ25*VLOOKUP("Pads",#REF!,2,FALSE))</f>
        <v>#REF!</v>
      </c>
      <c r="AS25" s="18">
        <f t="shared" si="32"/>
        <v>1</v>
      </c>
      <c r="AT25" s="91" t="e">
        <f>IF(AS25="","",AS25*VLOOKUP("4 mil bag",#REF!,2,FALSE))</f>
        <v>#REF!</v>
      </c>
      <c r="AU25" s="91" t="e">
        <f>IF(X25="","",IF(I25="N/A","",IF(I25="CNC",IF(G25&gt;37,20,10),VLOOKUP(I25,#REF!,2,FALSE))))</f>
        <v>#REF!</v>
      </c>
      <c r="AV25" s="18" t="str">
        <f>IF(X25="","",IF(I25="CNC",VLOOKUP("Glue stick",#REF!,2,FALSE),""))</f>
        <v/>
      </c>
      <c r="AW25" s="18" t="str">
        <f>IF(X25="","",IF(I25="CNC",16*VLOOKUP("Box staples",#REF!,2,FALSE),""))</f>
        <v/>
      </c>
      <c r="AX25" s="91" t="e">
        <f>IF(X25="","",IF(I25="CNC",((((G25+6)+(F25+6))*2)+24)*VLOOKUP("sealing tape",#REF!,2,FALSE),VLOOKUP("Strapping tape",#REF!,2,FALSE)))</f>
        <v>#REF!</v>
      </c>
      <c r="AY25" s="17"/>
      <c r="AZ25" s="17" t="s">
        <v>477</v>
      </c>
      <c r="BA25" s="15">
        <v>203</v>
      </c>
      <c r="BB25" s="17" t="s">
        <v>478</v>
      </c>
      <c r="BC25" s="102">
        <v>156</v>
      </c>
      <c r="BE25" s="102"/>
      <c r="BF25" s="102"/>
      <c r="BG25" s="102"/>
      <c r="BH25" s="102"/>
      <c r="BI25" s="102"/>
    </row>
    <row r="26" spans="1:61" x14ac:dyDescent="0.45">
      <c r="A26" s="103" t="s">
        <v>438</v>
      </c>
      <c r="B26" s="17" t="s">
        <v>1213</v>
      </c>
      <c r="C26" s="16">
        <v>44546</v>
      </c>
      <c r="D26" s="17" t="s">
        <v>66</v>
      </c>
      <c r="E26" s="15" t="s">
        <v>50</v>
      </c>
      <c r="F26" s="17">
        <v>35</v>
      </c>
      <c r="G26" s="17">
        <v>47</v>
      </c>
      <c r="H26" s="3" t="s">
        <v>43</v>
      </c>
      <c r="I26" s="88" t="s">
        <v>553</v>
      </c>
      <c r="J26" s="87">
        <v>44567</v>
      </c>
      <c r="K26" s="15">
        <v>874</v>
      </c>
      <c r="L26" s="96">
        <v>45</v>
      </c>
      <c r="M26" s="89">
        <v>190.61</v>
      </c>
      <c r="N26" s="88">
        <v>26</v>
      </c>
      <c r="O26" s="413" t="str">
        <f t="shared" si="1"/>
        <v>35 x 47</v>
      </c>
      <c r="P26" s="18" t="str">
        <f t="shared" si="2"/>
        <v>35 x 47</v>
      </c>
      <c r="Q26" s="91">
        <f t="shared" si="3"/>
        <v>15.77</v>
      </c>
      <c r="R26" s="18" t="str">
        <f t="shared" si="4"/>
        <v>51 x 48 x 6</v>
      </c>
      <c r="S26" s="18">
        <v>51</v>
      </c>
      <c r="T26" s="18">
        <v>48</v>
      </c>
      <c r="U26" s="18">
        <v>6</v>
      </c>
      <c r="V26" s="18">
        <f t="shared" si="5"/>
        <v>161</v>
      </c>
      <c r="W26" s="287">
        <f t="shared" si="21"/>
        <v>4.2357777777777779</v>
      </c>
      <c r="X26" s="287" t="str">
        <f t="shared" si="22"/>
        <v>Yes</v>
      </c>
      <c r="Y26" s="93" t="e">
        <f t="shared" si="23"/>
        <v>#REF!</v>
      </c>
      <c r="Z26" s="288" t="e">
        <f t="shared" si="24"/>
        <v>#REF!</v>
      </c>
      <c r="AA26" s="94" t="e">
        <f t="shared" si="25"/>
        <v>#REF!</v>
      </c>
      <c r="AB26" s="288" t="e">
        <f t="shared" si="26"/>
        <v>#REF!</v>
      </c>
      <c r="AC26" s="91" t="e">
        <f>IF(X26="","",IF(D26="2 3D",((F26-0.5)*2+(G26-0.5)*2)*VLOOKUP("3D base",#REF!,2,FALSE),IF(D26="3 Canv", IF(E26="Roll",0,ROUND(SUM(F26:G26)*2,0)),0)*VLOOKUP("Stretcher Bar",#REF!,2,FALSE)))</f>
        <v>#REF!</v>
      </c>
      <c r="AD26" s="91" t="e">
        <f>IF(X26="","",IF(E26="Roll",0,IF(D26="2 3D",(SUM(F26:G26)*2)*VLOOKUP("3D epoxy",#REF!,2,FALSE),IF(D26="3 Canv",VLOOKUP("Wood glue",#REF!,2,FALSE),""))))</f>
        <v>#REF!</v>
      </c>
      <c r="AE26" s="91" t="e">
        <f>IF(D26="3 Canv",(((F26+5)*(G26+5)))*VLOOKUP("Canvas",#REF!,2,FALSE),IF(D26="2 3D",(((F26)*(G26)))*VLOOKUP("Dibond",#REF!,2,FALSE),""))</f>
        <v>#REF!</v>
      </c>
      <c r="AF26" s="91" t="e">
        <f>IF(D26="2 3D",F26*G26*VLOOKUP("3D ink",#REF!,2,FALSE),IF(D26="3 Canv",F26*G26*VLOOKUP("Canvas ink",#REF!,2,FALSE),""))</f>
        <v>#REF!</v>
      </c>
      <c r="AG26" s="91" t="e">
        <f>IF(D26="3 Canv",IF(E26="Roll","",ROUNDUP((SUM(F26:G26)*2)/3,"")*VLOOKUP("Staples",#REF!,2,FALSE)),"")</f>
        <v>#VALUE!</v>
      </c>
      <c r="AH26" s="91" t="e">
        <f>IF(AF26="","",(SUM(F26:G26)*2)*VLOOKUP(E26,#REF!,2,FALSE))</f>
        <v>#REF!</v>
      </c>
      <c r="AI26" s="18">
        <f t="shared" si="27"/>
        <v>16</v>
      </c>
      <c r="AJ26" s="91" t="e">
        <f>IF(AI26="","",AI26*VLOOKUP("Staples",#REF!,2,FALSE))</f>
        <v>#REF!</v>
      </c>
      <c r="AK26" s="18" t="e">
        <f t="shared" si="28"/>
        <v>#REF!</v>
      </c>
      <c r="AL26" s="91" t="e">
        <f>IF(AK26="","",AK26*VLOOKUP("Frame screw",#REF!,2,FALSE))</f>
        <v>#REF!</v>
      </c>
      <c r="AM26" s="18" t="e">
        <f t="shared" si="29"/>
        <v>#REF!</v>
      </c>
      <c r="AN26" s="91" t="e">
        <f>IF(AM26="","",AM26*VLOOKUP("D ring",#REF!,2,FALSE))</f>
        <v>#REF!</v>
      </c>
      <c r="AO26" s="18" t="e">
        <f t="shared" si="30"/>
        <v>#REF!</v>
      </c>
      <c r="AP26" s="91" t="e">
        <f>IF(AO26="","",IF(G26&gt;59,AO26* VLOOKUP("8 wire",#REF!,2,FALSE)*2,IF(G26&gt;39,AO26* VLOOKUP("8 wire",#REF!,2,FALSE),AO26* VLOOKUP("6 wire",#REF!,2,FALSE))))</f>
        <v>#REF!</v>
      </c>
      <c r="AQ26" s="18">
        <f t="shared" si="31"/>
        <v>4</v>
      </c>
      <c r="AR26" s="18" t="e">
        <f>IF(AQ26="","",AQ26*VLOOKUP("Pads",#REF!,2,FALSE))</f>
        <v>#REF!</v>
      </c>
      <c r="AS26" s="18">
        <f t="shared" si="32"/>
        <v>1</v>
      </c>
      <c r="AT26" s="91" t="e">
        <f>IF(AS26="","",AS26*VLOOKUP("4 mil bag",#REF!,2,FALSE))</f>
        <v>#REF!</v>
      </c>
      <c r="AU26" s="91" t="e">
        <f>IF(X26="","",IF(I26="N/A","",IF(I26="CNC",IF(G26&gt;37,20,10),VLOOKUP(I26,#REF!,2,FALSE))))</f>
        <v>#REF!</v>
      </c>
      <c r="AV26" s="18" t="str">
        <f>IF(X26="","",IF(I26="CNC",VLOOKUP("Glue stick",#REF!,2,FALSE),""))</f>
        <v/>
      </c>
      <c r="AW26" s="18" t="str">
        <f>IF(X26="","",IF(I26="CNC",16*VLOOKUP("Box staples",#REF!,2,FALSE),""))</f>
        <v/>
      </c>
      <c r="AX26" s="91" t="e">
        <f>IF(X26="","",IF(I26="CNC",((((G26+6)+(F26+6))*2)+24)*VLOOKUP("sealing tape",#REF!,2,FALSE),VLOOKUP("Strapping tape",#REF!,2,FALSE)))</f>
        <v>#REF!</v>
      </c>
      <c r="AY26" s="17"/>
      <c r="AZ26" s="17" t="s">
        <v>600</v>
      </c>
      <c r="BA26" s="15">
        <v>10.3</v>
      </c>
      <c r="BB26" s="17" t="s">
        <v>265</v>
      </c>
      <c r="BC26" s="102">
        <f>44+70+12</f>
        <v>126</v>
      </c>
      <c r="BE26" s="102"/>
      <c r="BF26" s="102"/>
      <c r="BG26" s="102"/>
      <c r="BH26" s="102"/>
      <c r="BI26" s="102"/>
    </row>
    <row r="27" spans="1:61" x14ac:dyDescent="0.45">
      <c r="A27" s="103" t="s">
        <v>947</v>
      </c>
      <c r="B27" s="17" t="s">
        <v>1038</v>
      </c>
      <c r="C27" s="16">
        <v>44534</v>
      </c>
      <c r="D27" s="17" t="s">
        <v>66</v>
      </c>
      <c r="E27" s="15" t="s">
        <v>50</v>
      </c>
      <c r="F27" s="17">
        <v>35</v>
      </c>
      <c r="G27" s="17">
        <v>61</v>
      </c>
      <c r="H27" s="3" t="s">
        <v>43</v>
      </c>
      <c r="I27" s="88" t="s">
        <v>553</v>
      </c>
      <c r="J27" s="87">
        <v>44568</v>
      </c>
      <c r="K27" s="15">
        <v>806.23</v>
      </c>
      <c r="L27" s="96"/>
      <c r="M27" s="89"/>
      <c r="N27" s="88">
        <v>29</v>
      </c>
      <c r="O27" s="413" t="str">
        <f t="shared" si="1"/>
        <v>35 x 61</v>
      </c>
      <c r="P27" s="18" t="str">
        <f t="shared" si="2"/>
        <v>35 x 61</v>
      </c>
      <c r="Q27" s="91">
        <f t="shared" si="3"/>
        <v>15.77</v>
      </c>
      <c r="R27" s="18" t="str">
        <f t="shared" si="4"/>
        <v>65 x 48 x 6</v>
      </c>
      <c r="S27" s="18">
        <v>65</v>
      </c>
      <c r="T27" s="18">
        <v>48</v>
      </c>
      <c r="U27" s="18">
        <v>6</v>
      </c>
      <c r="V27" s="18">
        <f t="shared" si="5"/>
        <v>175</v>
      </c>
      <c r="W27" s="287" t="str">
        <f t="shared" si="21"/>
        <v/>
      </c>
      <c r="X27" s="287" t="str">
        <f t="shared" si="22"/>
        <v>Yes</v>
      </c>
      <c r="Y27" s="93" t="e">
        <f t="shared" si="23"/>
        <v>#REF!</v>
      </c>
      <c r="Z27" s="288" t="e">
        <f t="shared" si="24"/>
        <v>#REF!</v>
      </c>
      <c r="AA27" s="94" t="e">
        <f t="shared" si="25"/>
        <v>#REF!</v>
      </c>
      <c r="AB27" s="288" t="e">
        <f t="shared" si="26"/>
        <v>#REF!</v>
      </c>
      <c r="AC27" s="91" t="e">
        <f>IF(X27="","",IF(D27="2 3D",((F27-0.5)*2+(G27-0.5)*2)*VLOOKUP("3D base",#REF!,2,FALSE),IF(D27="3 Canv", IF(E27="Roll",0,ROUND(SUM(F27:G27)*2,0)),0)*VLOOKUP("Stretcher Bar",#REF!,2,FALSE)))</f>
        <v>#REF!</v>
      </c>
      <c r="AD27" s="91" t="e">
        <f>IF(X27="","",IF(E27="Roll",0,IF(D27="2 3D",(SUM(F27:G27)*2)*VLOOKUP("3D epoxy",#REF!,2,FALSE),IF(D27="3 Canv",VLOOKUP("Wood glue",#REF!,2,FALSE),""))))</f>
        <v>#REF!</v>
      </c>
      <c r="AE27" s="91" t="e">
        <f>IF(D27="3 Canv",(((F27+5)*(G27+5)))*VLOOKUP("Canvas",#REF!,2,FALSE),IF(D27="2 3D",(((F27)*(G27)))*VLOOKUP("Dibond",#REF!,2,FALSE),""))</f>
        <v>#REF!</v>
      </c>
      <c r="AF27" s="91" t="e">
        <f>IF(D27="2 3D",F27*G27*VLOOKUP("3D ink",#REF!,2,FALSE),IF(D27="3 Canv",F27*G27*VLOOKUP("Canvas ink",#REF!,2,FALSE),""))</f>
        <v>#REF!</v>
      </c>
      <c r="AG27" s="91" t="e">
        <f>IF(D27="3 Canv",IF(E27="Roll","",ROUNDUP((SUM(F27:G27)*2)/3,"")*VLOOKUP("Staples",#REF!,2,FALSE)),"")</f>
        <v>#VALUE!</v>
      </c>
      <c r="AH27" s="91" t="e">
        <f>IF(AF27="","",(SUM(F27:G27)*2)*VLOOKUP(E27,#REF!,2,FALSE))</f>
        <v>#REF!</v>
      </c>
      <c r="AI27" s="18">
        <f t="shared" si="27"/>
        <v>16</v>
      </c>
      <c r="AJ27" s="91" t="e">
        <f>IF(AI27="","",AI27*VLOOKUP("Staples",#REF!,2,FALSE))</f>
        <v>#REF!</v>
      </c>
      <c r="AK27" s="18" t="e">
        <f t="shared" si="28"/>
        <v>#REF!</v>
      </c>
      <c r="AL27" s="91" t="e">
        <f>IF(AK27="","",AK27*VLOOKUP("Frame screw",#REF!,2,FALSE))</f>
        <v>#REF!</v>
      </c>
      <c r="AM27" s="18" t="e">
        <f t="shared" si="29"/>
        <v>#REF!</v>
      </c>
      <c r="AN27" s="91" t="e">
        <f>IF(AM27="","",AM27*VLOOKUP("D ring",#REF!,2,FALSE))</f>
        <v>#REF!</v>
      </c>
      <c r="AO27" s="18" t="e">
        <f t="shared" si="30"/>
        <v>#REF!</v>
      </c>
      <c r="AP27" s="91" t="e">
        <f>IF(AO27="","",IF(G27&gt;59,AO27* VLOOKUP("8 wire",#REF!,2,FALSE)*2,IF(G27&gt;39,AO27* VLOOKUP("8 wire",#REF!,2,FALSE),AO27* VLOOKUP("6 wire",#REF!,2,FALSE))))</f>
        <v>#REF!</v>
      </c>
      <c r="AQ27" s="18">
        <f t="shared" si="31"/>
        <v>4</v>
      </c>
      <c r="AR27" s="18" t="e">
        <f>IF(AQ27="","",AQ27*VLOOKUP("Pads",#REF!,2,FALSE))</f>
        <v>#REF!</v>
      </c>
      <c r="AS27" s="18">
        <f t="shared" si="32"/>
        <v>1</v>
      </c>
      <c r="AT27" s="91" t="e">
        <f>IF(AS27="","",AS27*VLOOKUP("4 mil bag",#REF!,2,FALSE))</f>
        <v>#REF!</v>
      </c>
      <c r="AU27" s="91" t="e">
        <f>IF(X27="","",IF(I27="N/A","",IF(I27="CNC",IF(G27&gt;37,20,10),VLOOKUP(I27,#REF!,2,FALSE))))</f>
        <v>#REF!</v>
      </c>
      <c r="AV27" s="18" t="str">
        <f>IF(X27="","",IF(I27="CNC",VLOOKUP("Glue stick",#REF!,2,FALSE),""))</f>
        <v/>
      </c>
      <c r="AW27" s="18" t="str">
        <f>IF(X27="","",IF(I27="CNC",16*VLOOKUP("Box staples",#REF!,2,FALSE),""))</f>
        <v/>
      </c>
      <c r="AX27" s="91" t="e">
        <f>IF(X27="","",IF(I27="CNC",((((G27+6)+(F27+6))*2)+24)*VLOOKUP("sealing tape",#REF!,2,FALSE),VLOOKUP("Strapping tape",#REF!,2,FALSE)))</f>
        <v>#REF!</v>
      </c>
      <c r="AY27" s="17"/>
      <c r="AZ27" s="17" t="s">
        <v>45</v>
      </c>
      <c r="BA27" s="17" t="s">
        <v>45</v>
      </c>
      <c r="BB27" s="17" t="s">
        <v>45</v>
      </c>
      <c r="BC27" s="96" t="s">
        <v>45</v>
      </c>
      <c r="BE27" s="96"/>
      <c r="BF27" s="96"/>
      <c r="BG27" s="96"/>
      <c r="BH27" s="96"/>
      <c r="BI27" s="96"/>
    </row>
    <row r="28" spans="1:61" x14ac:dyDescent="0.45">
      <c r="A28" s="103" t="s">
        <v>912</v>
      </c>
      <c r="B28" s="17" t="s">
        <v>999</v>
      </c>
      <c r="C28" s="16">
        <v>44552</v>
      </c>
      <c r="D28" s="17" t="s">
        <v>66</v>
      </c>
      <c r="E28" s="15" t="s">
        <v>50</v>
      </c>
      <c r="F28" s="17">
        <v>16</v>
      </c>
      <c r="G28" s="17">
        <v>20</v>
      </c>
      <c r="H28" s="3" t="s">
        <v>43</v>
      </c>
      <c r="I28" s="88" t="s">
        <v>577</v>
      </c>
      <c r="J28" s="87">
        <v>44568</v>
      </c>
      <c r="K28" s="15">
        <v>341.12</v>
      </c>
      <c r="L28" s="96">
        <v>0</v>
      </c>
      <c r="M28" s="89">
        <v>17.46</v>
      </c>
      <c r="N28" s="88">
        <v>6</v>
      </c>
      <c r="O28" s="413" t="str">
        <f t="shared" si="1"/>
        <v>16 x 20</v>
      </c>
      <c r="P28" s="18" t="str">
        <f t="shared" si="2"/>
        <v>16 x 20</v>
      </c>
      <c r="Q28" s="91">
        <f t="shared" si="3"/>
        <v>2.23</v>
      </c>
      <c r="R28" s="18" t="str">
        <f t="shared" si="4"/>
        <v>30 x 24 x 5</v>
      </c>
      <c r="S28" s="18">
        <v>30</v>
      </c>
      <c r="T28" s="18">
        <v>24</v>
      </c>
      <c r="U28" s="18">
        <v>5</v>
      </c>
      <c r="V28" s="90">
        <f t="shared" si="5"/>
        <v>88</v>
      </c>
      <c r="W28" s="287" t="str">
        <f t="shared" si="21"/>
        <v/>
      </c>
      <c r="X28" s="287" t="str">
        <f t="shared" si="22"/>
        <v>Yes</v>
      </c>
      <c r="Y28" s="93" t="e">
        <f t="shared" si="23"/>
        <v>#REF!</v>
      </c>
      <c r="Z28" s="288" t="e">
        <f t="shared" si="24"/>
        <v>#REF!</v>
      </c>
      <c r="AA28" s="94" t="e">
        <f t="shared" si="25"/>
        <v>#REF!</v>
      </c>
      <c r="AB28" s="288" t="e">
        <f t="shared" si="26"/>
        <v>#REF!</v>
      </c>
      <c r="AC28" s="91" t="e">
        <f>IF(X28="","",IF(D28="2 3D",((F28-0.5)*2+(G28-0.5)*2)*VLOOKUP("3D base",#REF!,2,FALSE),IF(D28="3 Canv", IF(E28="Roll",0,ROUND(SUM(F28:G28)*2,0)),0)*VLOOKUP("Stretcher Bar",#REF!,2,FALSE)))</f>
        <v>#REF!</v>
      </c>
      <c r="AD28" s="91" t="e">
        <f>IF(X28="","",IF(E28="Roll",0,IF(D28="2 3D",(SUM(F28:G28)*2)*VLOOKUP("3D epoxy",#REF!,2,FALSE),IF(D28="3 Canv",VLOOKUP("Wood glue",#REF!,2,FALSE),""))))</f>
        <v>#REF!</v>
      </c>
      <c r="AE28" s="91" t="e">
        <f>IF(D28="3 Canv",(((F28+5)*(G28+5)))*VLOOKUP("Canvas",#REF!,2,FALSE),IF(D28="2 3D",(((F28)*(G28)))*VLOOKUP("Dibond",#REF!,2,FALSE),""))</f>
        <v>#REF!</v>
      </c>
      <c r="AF28" s="91" t="e">
        <f>IF(D28="2 3D",F28*G28*VLOOKUP("3D ink",#REF!,2,FALSE),IF(D28="3 Canv",F28*G28*VLOOKUP("Canvas ink",#REF!,2,FALSE),""))</f>
        <v>#REF!</v>
      </c>
      <c r="AG28" s="91" t="e">
        <f>IF(D28="3 Canv",IF(E28="Roll","",ROUNDUP((SUM(F28:G28)*2)/3,"")*VLOOKUP("Staples",#REF!,2,FALSE)),"")</f>
        <v>#VALUE!</v>
      </c>
      <c r="AH28" s="91" t="e">
        <f>IF(AF28="","",(SUM(F28:G28)*2)*VLOOKUP(E28,#REF!,2,FALSE))</f>
        <v>#REF!</v>
      </c>
      <c r="AI28" s="18">
        <f t="shared" si="27"/>
        <v>16</v>
      </c>
      <c r="AJ28" s="91" t="e">
        <f>IF(AI28="","",AI28*VLOOKUP("Staples",#REF!,2,FALSE))</f>
        <v>#REF!</v>
      </c>
      <c r="AK28" s="18" t="e">
        <f t="shared" si="28"/>
        <v>#REF!</v>
      </c>
      <c r="AL28" s="91" t="e">
        <f>IF(AK28="","",AK28*VLOOKUP("Frame screw",#REF!,2,FALSE))</f>
        <v>#REF!</v>
      </c>
      <c r="AM28" s="18" t="e">
        <f t="shared" si="29"/>
        <v>#REF!</v>
      </c>
      <c r="AN28" s="91" t="e">
        <f>IF(AM28="","",AM28*VLOOKUP("D ring",#REF!,2,FALSE))</f>
        <v>#REF!</v>
      </c>
      <c r="AO28" s="18" t="e">
        <f t="shared" si="30"/>
        <v>#REF!</v>
      </c>
      <c r="AP28" s="91" t="e">
        <f>IF(AO28="","",IF(G28&gt;59,AO28* VLOOKUP("8 wire",#REF!,2,FALSE)*2,IF(G28&gt;39,AO28* VLOOKUP("8 wire",#REF!,2,FALSE),AO28* VLOOKUP("6 wire",#REF!,2,FALSE))))</f>
        <v>#REF!</v>
      </c>
      <c r="AQ28" s="18">
        <f t="shared" si="31"/>
        <v>4</v>
      </c>
      <c r="AR28" s="18" t="e">
        <f>IF(AQ28="","",AQ28*VLOOKUP("Pads",#REF!,2,FALSE))</f>
        <v>#REF!</v>
      </c>
      <c r="AS28" s="18">
        <f t="shared" si="32"/>
        <v>1</v>
      </c>
      <c r="AT28" s="91" t="e">
        <f>IF(AS28="","",AS28*VLOOKUP("4 mil bag",#REF!,2,FALSE))</f>
        <v>#REF!</v>
      </c>
      <c r="AU28" s="91" t="e">
        <f>IF(X28="","",IF(I28="N/A","",IF(I28="CNC",IF(G28&gt;37,20,10),VLOOKUP(I28,#REF!,2,FALSE))))</f>
        <v>#REF!</v>
      </c>
      <c r="AV28" s="18" t="str">
        <f>IF(X28="","",IF(I28="CNC",VLOOKUP("Glue stick",#REF!,2,FALSE),""))</f>
        <v/>
      </c>
      <c r="AW28" s="18" t="str">
        <f>IF(X28="","",IF(I28="CNC",16*VLOOKUP("Box staples",#REF!,2,FALSE),""))</f>
        <v/>
      </c>
      <c r="AX28" s="91" t="e">
        <f>IF(X28="","",IF(I28="CNC",((((G28+6)+(F28+6))*2)+24)*VLOOKUP("sealing tape",#REF!,2,FALSE),VLOOKUP("Strapping tape",#REF!,2,FALSE)))</f>
        <v>#REF!</v>
      </c>
      <c r="AY28" s="17"/>
      <c r="AZ28" s="17" t="s">
        <v>602</v>
      </c>
      <c r="BA28" s="17" t="s">
        <v>602</v>
      </c>
      <c r="BB28" s="17" t="s">
        <v>602</v>
      </c>
      <c r="BC28" s="96" t="s">
        <v>602</v>
      </c>
      <c r="BE28" s="96"/>
      <c r="BF28" s="96"/>
      <c r="BG28" s="96"/>
      <c r="BH28" s="96"/>
      <c r="BI28" s="96"/>
    </row>
    <row r="29" spans="1:61" x14ac:dyDescent="0.45">
      <c r="A29" s="103" t="s">
        <v>543</v>
      </c>
      <c r="B29" s="17" t="s">
        <v>1099</v>
      </c>
      <c r="C29" s="16">
        <v>44566</v>
      </c>
      <c r="D29" s="17" t="s">
        <v>66</v>
      </c>
      <c r="E29" s="15" t="s">
        <v>558</v>
      </c>
      <c r="F29" s="17">
        <v>25</v>
      </c>
      <c r="G29" s="17">
        <v>42</v>
      </c>
      <c r="H29" s="3" t="s">
        <v>43</v>
      </c>
      <c r="I29" s="88" t="s">
        <v>595</v>
      </c>
      <c r="J29" s="87">
        <v>44569</v>
      </c>
      <c r="K29" s="15">
        <v>295.2</v>
      </c>
      <c r="L29" s="96">
        <v>20</v>
      </c>
      <c r="M29" s="89">
        <f t="shared" ref="M29:M30" si="33">9.9/2</f>
        <v>4.95</v>
      </c>
      <c r="N29" s="88">
        <v>4</v>
      </c>
      <c r="O29" s="413" t="str">
        <f t="shared" si="1"/>
        <v>25 x 42</v>
      </c>
      <c r="P29" s="18" t="str">
        <f t="shared" si="2"/>
        <v>N/A</v>
      </c>
      <c r="Q29" s="91">
        <f t="shared" si="3"/>
        <v>4.32</v>
      </c>
      <c r="R29" s="18" t="str">
        <f t="shared" si="4"/>
        <v>57 x 3 x 3</v>
      </c>
      <c r="S29" s="18">
        <v>57</v>
      </c>
      <c r="T29" s="18">
        <v>3</v>
      </c>
      <c r="U29" s="18">
        <v>3</v>
      </c>
      <c r="V29" s="90">
        <f t="shared" si="5"/>
        <v>69</v>
      </c>
      <c r="W29" s="287">
        <f t="shared" si="21"/>
        <v>0.2475</v>
      </c>
      <c r="X29" s="287" t="str">
        <f t="shared" si="22"/>
        <v>Yes</v>
      </c>
      <c r="Y29" s="93" t="e">
        <f t="shared" si="23"/>
        <v>#REF!</v>
      </c>
      <c r="Z29" s="288" t="e">
        <f t="shared" si="24"/>
        <v>#REF!</v>
      </c>
      <c r="AA29" s="94" t="e">
        <f t="shared" si="25"/>
        <v>#REF!</v>
      </c>
      <c r="AB29" s="288" t="e">
        <f t="shared" si="26"/>
        <v>#REF!</v>
      </c>
      <c r="AC29" s="91" t="e">
        <f>IF(X29="","",IF(D29="2 3D",((F29-0.5)*2+(G29-0.5)*2)*VLOOKUP("3D base",#REF!,2,FALSE),IF(D29="3 Canv", IF(E29="Roll",0,ROUND(SUM(F29:G29)*2,0)),0)*VLOOKUP("Stretcher Bar",#REF!,2,FALSE)))</f>
        <v>#REF!</v>
      </c>
      <c r="AD29" s="91">
        <f>IF(X29="","",IF(E29="Roll",0,IF(D29="2 3D",(SUM(F29:G29)*2)*VLOOKUP("3D epoxy",#REF!,2,FALSE),IF(D29="3 Canv",VLOOKUP("Wood glue",#REF!,2,FALSE),""))))</f>
        <v>0</v>
      </c>
      <c r="AE29" s="91" t="e">
        <f>IF(D29="3 Canv",(((F29+5)*(G29+5)))*VLOOKUP("Canvas",#REF!,2,FALSE),IF(D29="2 3D",(((F29)*(G29)))*VLOOKUP("Dibond",#REF!,2,FALSE),""))</f>
        <v>#REF!</v>
      </c>
      <c r="AF29" s="91" t="e">
        <f>IF(D29="2 3D",F29*G29*VLOOKUP("3D ink",#REF!,2,FALSE),IF(D29="3 Canv",F29*G29*VLOOKUP("Canvas ink",#REF!,2,FALSE),""))</f>
        <v>#REF!</v>
      </c>
      <c r="AG29" s="91" t="str">
        <f>IF(D29="3 Canv",IF(E29="Roll","",ROUNDUP((SUM(F29:G29)*2)/3,"")*VLOOKUP("Staples",#REF!,2,FALSE)),"")</f>
        <v/>
      </c>
      <c r="AH29" s="91" t="e">
        <f>IF(AF29="","",(SUM(F29:G29)*2)*VLOOKUP(E29,#REF!,2,FALSE))</f>
        <v>#REF!</v>
      </c>
      <c r="AI29" s="18" t="str">
        <f t="shared" si="27"/>
        <v/>
      </c>
      <c r="AJ29" s="91" t="str">
        <f>IF(AI29="","",AI29*VLOOKUP("Staples",#REF!,2,FALSE))</f>
        <v/>
      </c>
      <c r="AK29" s="18" t="str">
        <f t="shared" si="28"/>
        <v/>
      </c>
      <c r="AL29" s="91" t="str">
        <f>IF(AK29="","",AK29*VLOOKUP("Frame screw",#REF!,2,FALSE))</f>
        <v/>
      </c>
      <c r="AM29" s="18" t="e">
        <f t="shared" si="29"/>
        <v>#REF!</v>
      </c>
      <c r="AN29" s="91" t="e">
        <f>IF(AM29="","",AM29*VLOOKUP("D ring",#REF!,2,FALSE))</f>
        <v>#REF!</v>
      </c>
      <c r="AO29" s="18" t="e">
        <f t="shared" si="30"/>
        <v>#REF!</v>
      </c>
      <c r="AP29" s="18" t="e">
        <f>IF(AO29="","",IF(G29&gt;59,AO29* VLOOKUP("8 wire",#REF!,2,FALSE)*2,IF(G29&gt;39,AO29* VLOOKUP("8 wire",#REF!,2,FALSE),AO29* VLOOKUP("6 wire",#REF!,2,FALSE))))</f>
        <v>#REF!</v>
      </c>
      <c r="AQ29" s="18" t="str">
        <f t="shared" si="31"/>
        <v/>
      </c>
      <c r="AR29" s="18" t="str">
        <f>IF(AQ29="","",AQ29*VLOOKUP("Pads",#REF!,2,FALSE))</f>
        <v/>
      </c>
      <c r="AS29" s="18" t="str">
        <f t="shared" si="32"/>
        <v/>
      </c>
      <c r="AT29" s="18" t="str">
        <f>IF(AS29="","",AS29*VLOOKUP("4 mil bag",#REF!,2,FALSE))</f>
        <v/>
      </c>
      <c r="AU29" s="91" t="e">
        <f>IF(X29="","",IF(I29="N/A","",IF(I29="CNC",IF(G29&gt;37,20,10),VLOOKUP(I29,#REF!,2,FALSE))))</f>
        <v>#REF!</v>
      </c>
      <c r="AV29" s="18" t="str">
        <f>IF(X29="","",IF(I29="CNC",VLOOKUP("Glue stick",#REF!,2,FALSE),""))</f>
        <v/>
      </c>
      <c r="AW29" s="18" t="str">
        <f>IF(X29="","",IF(I29="CNC",16*VLOOKUP("Box staples",#REF!,2,FALSE),""))</f>
        <v/>
      </c>
      <c r="AX29" s="91" t="e">
        <f>IF(X29="","",IF(I29="CNC",((((G29+6)+(F29+6))*2)+24)*VLOOKUP("sealing tape",#REF!,2,FALSE),VLOOKUP("Strapping tape",#REF!,2,FALSE)))</f>
        <v>#REF!</v>
      </c>
      <c r="AY29" s="17"/>
      <c r="AZ29" s="17" t="s">
        <v>384</v>
      </c>
      <c r="BA29" s="17" t="s">
        <v>45</v>
      </c>
      <c r="BB29" s="17" t="s">
        <v>45</v>
      </c>
      <c r="BC29" s="96" t="s">
        <v>45</v>
      </c>
      <c r="BE29" s="96"/>
      <c r="BF29" s="96"/>
      <c r="BG29" s="96"/>
      <c r="BH29" s="96"/>
      <c r="BI29" s="96"/>
    </row>
    <row r="30" spans="1:61" x14ac:dyDescent="0.45">
      <c r="A30" s="103" t="s">
        <v>759</v>
      </c>
      <c r="B30" s="17" t="s">
        <v>1099</v>
      </c>
      <c r="C30" s="16">
        <v>44566</v>
      </c>
      <c r="D30" s="17" t="s">
        <v>66</v>
      </c>
      <c r="E30" s="15" t="s">
        <v>558</v>
      </c>
      <c r="F30" s="17">
        <v>31</v>
      </c>
      <c r="G30" s="17">
        <v>39</v>
      </c>
      <c r="H30" s="3" t="s">
        <v>43</v>
      </c>
      <c r="I30" s="88" t="s">
        <v>602</v>
      </c>
      <c r="J30" s="87">
        <v>44569</v>
      </c>
      <c r="K30" s="15">
        <v>312</v>
      </c>
      <c r="L30" s="96">
        <v>20</v>
      </c>
      <c r="M30" s="89">
        <f t="shared" si="33"/>
        <v>4.95</v>
      </c>
      <c r="N30" s="88"/>
      <c r="O30" s="413" t="str">
        <f t="shared" si="1"/>
        <v>31 x 39</v>
      </c>
      <c r="P30" s="18" t="str">
        <f t="shared" si="2"/>
        <v>N/A</v>
      </c>
      <c r="Q30" s="91" t="str">
        <f t="shared" si="3"/>
        <v>""</v>
      </c>
      <c r="R30" s="18" t="str">
        <f t="shared" si="4"/>
        <v>""</v>
      </c>
      <c r="S30" s="18" t="s">
        <v>602</v>
      </c>
      <c r="T30" s="18"/>
      <c r="U30" s="18"/>
      <c r="V30" s="91" t="str">
        <f t="shared" si="5"/>
        <v>""</v>
      </c>
      <c r="W30" s="287">
        <f t="shared" si="21"/>
        <v>0.2475</v>
      </c>
      <c r="X30" s="287" t="str">
        <f t="shared" si="22"/>
        <v>Yes</v>
      </c>
      <c r="Y30" s="93" t="e">
        <f t="shared" si="23"/>
        <v>#REF!</v>
      </c>
      <c r="Z30" s="288" t="e">
        <f t="shared" si="24"/>
        <v>#REF!</v>
      </c>
      <c r="AA30" s="94" t="e">
        <f t="shared" si="25"/>
        <v>#REF!</v>
      </c>
      <c r="AB30" s="288" t="e">
        <f t="shared" si="26"/>
        <v>#REF!</v>
      </c>
      <c r="AC30" s="91" t="e">
        <f>IF(X30="","",IF(D30="2 3D",((F30-0.5)*2+(G30-0.5)*2)*VLOOKUP("3D base",#REF!,2,FALSE),IF(D30="3 Canv", IF(E30="Roll",0,ROUND(SUM(F30:G30)*2,0)),0)*VLOOKUP("Stretcher Bar",#REF!,2,FALSE)))</f>
        <v>#REF!</v>
      </c>
      <c r="AD30" s="91">
        <f>IF(X30="","",IF(E30="Roll",0,IF(D30="2 3D",(SUM(F30:G30)*2)*VLOOKUP("3D epoxy",#REF!,2,FALSE),IF(D30="3 Canv",VLOOKUP("Wood glue",#REF!,2,FALSE),""))))</f>
        <v>0</v>
      </c>
      <c r="AE30" s="91" t="e">
        <f>IF(D30="3 Canv",(((F30+5)*(G30+5)))*VLOOKUP("Canvas",#REF!,2,FALSE),IF(D30="2 3D",(((F30)*(G30)))*VLOOKUP("Dibond",#REF!,2,FALSE),""))</f>
        <v>#REF!</v>
      </c>
      <c r="AF30" s="91" t="e">
        <f>IF(D30="2 3D",F30*G30*VLOOKUP("3D ink",#REF!,2,FALSE),IF(D30="3 Canv",F30*G30*VLOOKUP("Canvas ink",#REF!,2,FALSE),""))</f>
        <v>#REF!</v>
      </c>
      <c r="AG30" s="91" t="str">
        <f>IF(D30="3 Canv",IF(E30="Roll","",ROUNDUP((SUM(F30:G30)*2)/3,"")*VLOOKUP("Staples",#REF!,2,FALSE)),"")</f>
        <v/>
      </c>
      <c r="AH30" s="91" t="e">
        <f>IF(AF30="","",(SUM(F30:G30)*2)*VLOOKUP(E30,#REF!,2,FALSE))</f>
        <v>#REF!</v>
      </c>
      <c r="AI30" s="18" t="str">
        <f t="shared" si="27"/>
        <v/>
      </c>
      <c r="AJ30" s="91" t="str">
        <f>IF(AI30="","",AI30*VLOOKUP("Staples",#REF!,2,FALSE))</f>
        <v/>
      </c>
      <c r="AK30" s="18" t="str">
        <f t="shared" si="28"/>
        <v/>
      </c>
      <c r="AL30" s="91" t="str">
        <f>IF(AK30="","",AK30*VLOOKUP("Frame screw",#REF!,2,FALSE))</f>
        <v/>
      </c>
      <c r="AM30" s="18" t="e">
        <f t="shared" si="29"/>
        <v>#REF!</v>
      </c>
      <c r="AN30" s="91" t="e">
        <f>IF(AM30="","",AM30*VLOOKUP("D ring",#REF!,2,FALSE))</f>
        <v>#REF!</v>
      </c>
      <c r="AO30" s="18" t="e">
        <f t="shared" si="30"/>
        <v>#REF!</v>
      </c>
      <c r="AP30" s="18" t="e">
        <f>IF(AO30="","",IF(G30&gt;59,AO30* VLOOKUP("8 wire",#REF!,2,FALSE)*2,IF(G30&gt;39,AO30* VLOOKUP("8 wire",#REF!,2,FALSE),AO30* VLOOKUP("6 wire",#REF!,2,FALSE))))</f>
        <v>#REF!</v>
      </c>
      <c r="AQ30" s="18" t="str">
        <f t="shared" si="31"/>
        <v/>
      </c>
      <c r="AR30" s="18" t="str">
        <f>IF(AQ30="","",AQ30*VLOOKUP("Pads",#REF!,2,FALSE))</f>
        <v/>
      </c>
      <c r="AS30" s="18" t="str">
        <f t="shared" si="32"/>
        <v/>
      </c>
      <c r="AT30" s="18" t="str">
        <f>IF(AS30="","",AS30*VLOOKUP("4 mil bag",#REF!,2,FALSE))</f>
        <v/>
      </c>
      <c r="AU30" s="91" t="e">
        <f>IF(X30="","",IF(I30="N/A","",IF(I30="CNC",IF(G30&gt;37,20,10),VLOOKUP(I30,#REF!,2,FALSE))))</f>
        <v>#REF!</v>
      </c>
      <c r="AV30" s="18" t="str">
        <f>IF(X30="","",IF(I30="CNC",VLOOKUP("Glue stick",#REF!,2,FALSE),""))</f>
        <v/>
      </c>
      <c r="AW30" s="18" t="str">
        <f>IF(X30="","",IF(I30="CNC",16*VLOOKUP("Box staples",#REF!,2,FALSE),""))</f>
        <v/>
      </c>
      <c r="AX30" s="91" t="e">
        <f>IF(X30="","",IF(I30="CNC",((((G30+6)+(F30+6))*2)+24)*VLOOKUP("sealing tape",#REF!,2,FALSE),VLOOKUP("Strapping tape",#REF!,2,FALSE)))</f>
        <v>#REF!</v>
      </c>
      <c r="AY30" s="17"/>
      <c r="AZ30" s="17" t="s">
        <v>65</v>
      </c>
      <c r="BA30" s="15">
        <v>4.79</v>
      </c>
      <c r="BB30" s="17" t="s">
        <v>67</v>
      </c>
      <c r="BC30" s="102">
        <f>61+6+6</f>
        <v>73</v>
      </c>
      <c r="BE30" s="102"/>
      <c r="BF30" s="102"/>
      <c r="BG30" s="102"/>
      <c r="BH30" s="102"/>
      <c r="BI30" s="102"/>
    </row>
    <row r="31" spans="1:61" x14ac:dyDescent="0.45">
      <c r="A31" s="103" t="s">
        <v>437</v>
      </c>
      <c r="B31" s="17" t="s">
        <v>1098</v>
      </c>
      <c r="C31" s="16">
        <v>44564</v>
      </c>
      <c r="D31" s="17" t="s">
        <v>66</v>
      </c>
      <c r="E31" s="15" t="s">
        <v>558</v>
      </c>
      <c r="F31" s="17">
        <v>26</v>
      </c>
      <c r="G31" s="17">
        <v>38</v>
      </c>
      <c r="H31" s="3" t="s">
        <v>43</v>
      </c>
      <c r="I31" s="88" t="s">
        <v>84</v>
      </c>
      <c r="J31" s="87">
        <v>44569</v>
      </c>
      <c r="K31" s="15">
        <v>362</v>
      </c>
      <c r="L31" s="96">
        <v>20</v>
      </c>
      <c r="M31" s="89">
        <v>9.9</v>
      </c>
      <c r="N31" s="88">
        <v>2</v>
      </c>
      <c r="O31" s="413" t="str">
        <f t="shared" si="1"/>
        <v>26 x 38</v>
      </c>
      <c r="P31" s="18" t="str">
        <f t="shared" si="2"/>
        <v>N/A</v>
      </c>
      <c r="Q31" s="91">
        <f t="shared" si="3"/>
        <v>2.85</v>
      </c>
      <c r="R31" s="18" t="str">
        <f t="shared" si="4"/>
        <v>37 x 3 x 3</v>
      </c>
      <c r="S31" s="18">
        <v>37</v>
      </c>
      <c r="T31" s="18">
        <v>3</v>
      </c>
      <c r="U31" s="18">
        <v>3</v>
      </c>
      <c r="V31" s="90">
        <f t="shared" si="5"/>
        <v>49</v>
      </c>
      <c r="W31" s="287">
        <f t="shared" si="21"/>
        <v>0.495</v>
      </c>
      <c r="X31" s="287" t="str">
        <f t="shared" si="22"/>
        <v>Yes</v>
      </c>
      <c r="Y31" s="93" t="e">
        <f t="shared" si="23"/>
        <v>#REF!</v>
      </c>
      <c r="Z31" s="288" t="e">
        <f t="shared" si="24"/>
        <v>#REF!</v>
      </c>
      <c r="AA31" s="94" t="e">
        <f t="shared" si="25"/>
        <v>#REF!</v>
      </c>
      <c r="AB31" s="288" t="e">
        <f t="shared" si="26"/>
        <v>#REF!</v>
      </c>
      <c r="AC31" s="91" t="e">
        <f>IF(X31="","",IF(D31="2 3D",((F31-0.5)*2+(G31-0.5)*2)*VLOOKUP("3D base",#REF!,2,FALSE),IF(D31="3 Canv", IF(E31="Roll",0,ROUND(SUM(F31:G31)*2,0)),0)*VLOOKUP("Stretcher Bar",#REF!,2,FALSE)))</f>
        <v>#REF!</v>
      </c>
      <c r="AD31" s="91">
        <f>IF(X31="","",IF(E31="Roll",0,IF(D31="2 3D",(SUM(F31:G31)*2)*VLOOKUP("3D epoxy",#REF!,2,FALSE),IF(D31="3 Canv",VLOOKUP("Wood glue",#REF!,2,FALSE),""))))</f>
        <v>0</v>
      </c>
      <c r="AE31" s="91" t="e">
        <f>IF(D31="3 Canv",(((F31+5)*(G31+5)))*VLOOKUP("Canvas",#REF!,2,FALSE),IF(D31="2 3D",(((F31)*(G31)))*VLOOKUP("Dibond",#REF!,2,FALSE),""))</f>
        <v>#REF!</v>
      </c>
      <c r="AF31" s="91" t="e">
        <f>IF(D31="2 3D",F31*G31*VLOOKUP("3D ink",#REF!,2,FALSE),IF(D31="3 Canv",F31*G31*VLOOKUP("Canvas ink",#REF!,2,FALSE),""))</f>
        <v>#REF!</v>
      </c>
      <c r="AG31" s="91" t="str">
        <f>IF(D31="3 Canv",IF(E31="Roll","",ROUNDUP((SUM(F31:G31)*2)/3,"")*VLOOKUP("Staples",#REF!,2,FALSE)),"")</f>
        <v/>
      </c>
      <c r="AH31" s="91" t="e">
        <f>IF(AF31="","",(SUM(F31:G31)*2)*VLOOKUP(E31,#REF!,2,FALSE))</f>
        <v>#REF!</v>
      </c>
      <c r="AI31" s="18" t="str">
        <f t="shared" si="27"/>
        <v/>
      </c>
      <c r="AJ31" s="91" t="str">
        <f>IF(AI31="","",AI31*VLOOKUP("Staples",#REF!,2,FALSE))</f>
        <v/>
      </c>
      <c r="AK31" s="18" t="str">
        <f t="shared" si="28"/>
        <v/>
      </c>
      <c r="AL31" s="91" t="str">
        <f>IF(AK31="","",AK31*VLOOKUP("Frame screw",#REF!,2,FALSE))</f>
        <v/>
      </c>
      <c r="AM31" s="18" t="e">
        <f t="shared" si="29"/>
        <v>#REF!</v>
      </c>
      <c r="AN31" s="91" t="e">
        <f>IF(AM31="","",AM31*VLOOKUP("D ring",#REF!,2,FALSE))</f>
        <v>#REF!</v>
      </c>
      <c r="AO31" s="18" t="e">
        <f t="shared" si="30"/>
        <v>#REF!</v>
      </c>
      <c r="AP31" s="18" t="e">
        <f>IF(AO31="","",IF(G31&gt;59,AO31* VLOOKUP("8 wire",#REF!,2,FALSE)*2,IF(G31&gt;39,AO31* VLOOKUP("8 wire",#REF!,2,FALSE),AO31* VLOOKUP("6 wire",#REF!,2,FALSE))))</f>
        <v>#REF!</v>
      </c>
      <c r="AQ31" s="18" t="str">
        <f t="shared" si="31"/>
        <v/>
      </c>
      <c r="AR31" s="18" t="str">
        <f>IF(AQ31="","",AQ31*VLOOKUP("Pads",#REF!,2,FALSE))</f>
        <v/>
      </c>
      <c r="AS31" s="18" t="str">
        <f t="shared" si="32"/>
        <v/>
      </c>
      <c r="AT31" s="18" t="str">
        <f>IF(AS31="","",AS31*VLOOKUP("4 mil bag",#REF!,2,FALSE))</f>
        <v/>
      </c>
      <c r="AU31" s="91" t="e">
        <f>IF(X31="","",IF(I31="N/A","",IF(I31="CNC",IF(G31&gt;37,20,10),VLOOKUP(I31,#REF!,2,FALSE))))</f>
        <v>#REF!</v>
      </c>
      <c r="AV31" s="18" t="str">
        <f>IF(X31="","",IF(I31="CNC",VLOOKUP("Glue stick",#REF!,2,FALSE),""))</f>
        <v/>
      </c>
      <c r="AW31" s="18" t="str">
        <f>IF(X31="","",IF(I31="CNC",16*VLOOKUP("Box staples",#REF!,2,FALSE),""))</f>
        <v/>
      </c>
      <c r="AX31" s="91" t="e">
        <f>IF(X31="","",IF(I31="CNC",((((G31+6)+(F31+6))*2)+24)*VLOOKUP("sealing tape",#REF!,2,FALSE),VLOOKUP("Strapping tape",#REF!,2,FALSE)))</f>
        <v>#REF!</v>
      </c>
      <c r="AY31" s="17"/>
      <c r="AZ31" s="17" t="s">
        <v>607</v>
      </c>
      <c r="BA31" s="15">
        <v>237</v>
      </c>
      <c r="BB31" s="17" t="s">
        <v>608</v>
      </c>
      <c r="BC31" s="102">
        <f>48+86+16</f>
        <v>150</v>
      </c>
      <c r="BE31" s="102"/>
      <c r="BF31" s="102"/>
      <c r="BG31" s="102"/>
      <c r="BH31" s="102"/>
      <c r="BI31" s="102"/>
    </row>
    <row r="32" spans="1:61" x14ac:dyDescent="0.45">
      <c r="A32" s="103" t="s">
        <v>1097</v>
      </c>
      <c r="B32" s="17" t="s">
        <v>1092</v>
      </c>
      <c r="C32" s="16">
        <v>44556</v>
      </c>
      <c r="D32" s="17" t="s">
        <v>66</v>
      </c>
      <c r="E32" s="15" t="s">
        <v>558</v>
      </c>
      <c r="F32" s="17">
        <v>25</v>
      </c>
      <c r="G32" s="17">
        <v>31</v>
      </c>
      <c r="H32" s="3" t="s">
        <v>43</v>
      </c>
      <c r="I32" s="88" t="s">
        <v>84</v>
      </c>
      <c r="J32" s="87">
        <v>44569</v>
      </c>
      <c r="K32" s="15">
        <v>331</v>
      </c>
      <c r="L32" s="96">
        <f>45/2</f>
        <v>22.5</v>
      </c>
      <c r="M32" s="89">
        <v>37.229999999999997</v>
      </c>
      <c r="N32" s="88">
        <v>2</v>
      </c>
      <c r="O32" s="413" t="str">
        <f t="shared" si="1"/>
        <v>25 x 31</v>
      </c>
      <c r="P32" s="18" t="str">
        <f t="shared" si="2"/>
        <v>N/A</v>
      </c>
      <c r="Q32" s="91">
        <f t="shared" si="3"/>
        <v>2.85</v>
      </c>
      <c r="R32" s="18" t="str">
        <f t="shared" si="4"/>
        <v>37 x 3 x 3</v>
      </c>
      <c r="S32" s="18">
        <v>37</v>
      </c>
      <c r="T32" s="18">
        <v>3</v>
      </c>
      <c r="U32" s="18">
        <v>3</v>
      </c>
      <c r="V32" s="90">
        <f t="shared" si="5"/>
        <v>49</v>
      </c>
      <c r="W32" s="287">
        <f t="shared" si="21"/>
        <v>1.6546666666666665</v>
      </c>
      <c r="X32" s="287" t="str">
        <f t="shared" si="22"/>
        <v>Yes</v>
      </c>
      <c r="Y32" s="93" t="e">
        <f t="shared" si="23"/>
        <v>#REF!</v>
      </c>
      <c r="Z32" s="288" t="e">
        <f t="shared" si="24"/>
        <v>#REF!</v>
      </c>
      <c r="AA32" s="94" t="e">
        <f t="shared" si="25"/>
        <v>#REF!</v>
      </c>
      <c r="AB32" s="288" t="e">
        <f t="shared" si="26"/>
        <v>#REF!</v>
      </c>
      <c r="AC32" s="91" t="e">
        <f>IF(X32="","",IF(D32="2 3D",((F32-0.5)*2+(G32-0.5)*2)*VLOOKUP("3D base",#REF!,2,FALSE),IF(D32="3 Canv", IF(E32="Roll",0,ROUND(SUM(F32:G32)*2,0)),0)*VLOOKUP("Stretcher Bar",#REF!,2,FALSE)))</f>
        <v>#REF!</v>
      </c>
      <c r="AD32" s="91">
        <f>IF(X32="","",IF(E32="Roll",0,IF(D32="2 3D",(SUM(F32:G32)*2)*VLOOKUP("3D epoxy",#REF!,2,FALSE),IF(D32="3 Canv",VLOOKUP("Wood glue",#REF!,2,FALSE),""))))</f>
        <v>0</v>
      </c>
      <c r="AE32" s="91" t="e">
        <f>IF(D32="3 Canv",(((F32+5)*(G32+5)))*VLOOKUP("Canvas",#REF!,2,FALSE),IF(D32="2 3D",(((F32)*(G32)))*VLOOKUP("Dibond",#REF!,2,FALSE),""))</f>
        <v>#REF!</v>
      </c>
      <c r="AF32" s="91" t="e">
        <f>IF(D32="2 3D",F32*G32*VLOOKUP("3D ink",#REF!,2,FALSE),IF(D32="3 Canv",F32*G32*VLOOKUP("Canvas ink",#REF!,2,FALSE),""))</f>
        <v>#REF!</v>
      </c>
      <c r="AG32" s="91" t="str">
        <f>IF(D32="3 Canv",IF(E32="Roll","",ROUNDUP((SUM(F32:G32)*2)/3,"")*VLOOKUP("Staples",#REF!,2,FALSE)),"")</f>
        <v/>
      </c>
      <c r="AH32" s="91" t="e">
        <f>IF(AF32="","",(SUM(F32:G32)*2)*VLOOKUP(E32,#REF!,2,FALSE))</f>
        <v>#REF!</v>
      </c>
      <c r="AI32" s="18" t="str">
        <f t="shared" si="27"/>
        <v/>
      </c>
      <c r="AJ32" s="91" t="str">
        <f>IF(AI32="","",AI32*VLOOKUP("Staples",#REF!,2,FALSE))</f>
        <v/>
      </c>
      <c r="AK32" s="18" t="str">
        <f t="shared" si="28"/>
        <v/>
      </c>
      <c r="AL32" s="91" t="str">
        <f>IF(AK32="","",AK32*VLOOKUP("Frame screw",#REF!,2,FALSE))</f>
        <v/>
      </c>
      <c r="AM32" s="18" t="e">
        <f t="shared" si="29"/>
        <v>#REF!</v>
      </c>
      <c r="AN32" s="91" t="e">
        <f>IF(AM32="","",AM32*VLOOKUP("D ring",#REF!,2,FALSE))</f>
        <v>#REF!</v>
      </c>
      <c r="AO32" s="18" t="e">
        <f t="shared" si="30"/>
        <v>#REF!</v>
      </c>
      <c r="AP32" s="18" t="e">
        <f>IF(AO32="","",IF(G32&gt;59,AO32* VLOOKUP("8 wire",#REF!,2,FALSE)*2,IF(G32&gt;39,AO32* VLOOKUP("8 wire",#REF!,2,FALSE),AO32* VLOOKUP("6 wire",#REF!,2,FALSE))))</f>
        <v>#REF!</v>
      </c>
      <c r="AQ32" s="18" t="str">
        <f t="shared" si="31"/>
        <v/>
      </c>
      <c r="AR32" s="18" t="str">
        <f>IF(AQ32="","",AQ32*VLOOKUP("Pads",#REF!,2,FALSE))</f>
        <v/>
      </c>
      <c r="AS32" s="18" t="str">
        <f t="shared" si="32"/>
        <v/>
      </c>
      <c r="AT32" s="18" t="str">
        <f>IF(AS32="","",AS32*VLOOKUP("4 mil bag",#REF!,2,FALSE))</f>
        <v/>
      </c>
      <c r="AU32" s="91" t="e">
        <f>IF(X32="","",IF(I32="N/A","",IF(I32="CNC",IF(G32&gt;37,20,10),VLOOKUP(I32,#REF!,2,FALSE))))</f>
        <v>#REF!</v>
      </c>
      <c r="AV32" s="18" t="str">
        <f>IF(X32="","",IF(I32="CNC",VLOOKUP("Glue stick",#REF!,2,FALSE),""))</f>
        <v/>
      </c>
      <c r="AW32" s="18" t="str">
        <f>IF(X32="","",IF(I32="CNC",16*VLOOKUP("Box staples",#REF!,2,FALSE),""))</f>
        <v/>
      </c>
      <c r="AX32" s="91" t="e">
        <f>IF(X32="","",IF(I32="CNC",((((G32+6)+(F32+6))*2)+24)*VLOOKUP("sealing tape",#REF!,2,FALSE),VLOOKUP("Strapping tape",#REF!,2,FALSE)))</f>
        <v>#REF!</v>
      </c>
      <c r="AY32" s="17"/>
      <c r="AZ32" s="17" t="s">
        <v>532</v>
      </c>
      <c r="BA32" s="15">
        <v>109</v>
      </c>
      <c r="BB32" s="17" t="s">
        <v>533</v>
      </c>
      <c r="BC32" s="102">
        <v>105</v>
      </c>
      <c r="BE32" s="102"/>
      <c r="BF32" s="102"/>
      <c r="BG32" s="102"/>
      <c r="BH32" s="102"/>
      <c r="BI32" s="102"/>
    </row>
    <row r="33" spans="1:61" x14ac:dyDescent="0.45">
      <c r="A33" s="103" t="s">
        <v>393</v>
      </c>
      <c r="B33" s="17" t="s">
        <v>1000</v>
      </c>
      <c r="C33" s="16">
        <v>44557</v>
      </c>
      <c r="D33" s="17" t="s">
        <v>66</v>
      </c>
      <c r="E33" s="15" t="s">
        <v>51</v>
      </c>
      <c r="F33" s="17">
        <v>25</v>
      </c>
      <c r="G33" s="17">
        <v>38</v>
      </c>
      <c r="H33" s="3" t="s">
        <v>43</v>
      </c>
      <c r="I33" s="88" t="s">
        <v>600</v>
      </c>
      <c r="J33" s="87">
        <v>44572</v>
      </c>
      <c r="K33" s="15">
        <v>726</v>
      </c>
      <c r="L33" s="96">
        <f>145/4</f>
        <v>36.25</v>
      </c>
      <c r="M33" s="89">
        <v>46.78</v>
      </c>
      <c r="N33" s="88">
        <v>19</v>
      </c>
      <c r="O33" s="413" t="str">
        <f t="shared" si="1"/>
        <v>25 x 38</v>
      </c>
      <c r="P33" s="18" t="str">
        <f t="shared" si="2"/>
        <v>27 x 40</v>
      </c>
      <c r="Q33" s="91">
        <f t="shared" si="3"/>
        <v>10.3</v>
      </c>
      <c r="R33" s="18" t="str">
        <f t="shared" si="4"/>
        <v>44 x 35 x 6</v>
      </c>
      <c r="S33" s="18">
        <v>44</v>
      </c>
      <c r="T33" s="18">
        <v>35</v>
      </c>
      <c r="U33" s="18">
        <v>6</v>
      </c>
      <c r="V33" s="90">
        <f t="shared" si="5"/>
        <v>126</v>
      </c>
      <c r="W33" s="287">
        <f t="shared" si="21"/>
        <v>1.2904827586206897</v>
      </c>
      <c r="X33" s="287" t="str">
        <f t="shared" si="22"/>
        <v>Yes</v>
      </c>
      <c r="Y33" s="93" t="e">
        <f t="shared" si="23"/>
        <v>#REF!</v>
      </c>
      <c r="Z33" s="288" t="e">
        <f t="shared" si="24"/>
        <v>#REF!</v>
      </c>
      <c r="AA33" s="94" t="e">
        <f t="shared" si="25"/>
        <v>#REF!</v>
      </c>
      <c r="AB33" s="288" t="e">
        <f t="shared" si="26"/>
        <v>#REF!</v>
      </c>
      <c r="AC33" s="91" t="e">
        <f>IF(X33="","",IF(D33="2 3D",((F33-0.5)*2+(G33-0.5)*2)*VLOOKUP("3D base",#REF!,2,FALSE),IF(D33="3 Canv", IF(E33="Roll",0,ROUND(SUM(F33:G33)*2,0)),0)*VLOOKUP("Stretcher Bar",#REF!,2,FALSE)))</f>
        <v>#REF!</v>
      </c>
      <c r="AD33" s="91" t="e">
        <f>IF(X33="","",IF(E33="Roll",0,IF(D33="2 3D",(SUM(F33:G33)*2)*VLOOKUP("3D epoxy",#REF!,2,FALSE),IF(D33="3 Canv",VLOOKUP("Wood glue",#REF!,2,FALSE),""))))</f>
        <v>#REF!</v>
      </c>
      <c r="AE33" s="91" t="e">
        <f>IF(D33="3 Canv",(((F33+5)*(G33+5)))*VLOOKUP("Canvas",#REF!,2,FALSE),IF(D33="2 3D",(((F33)*(G33)))*VLOOKUP("Dibond",#REF!,2,FALSE),""))</f>
        <v>#REF!</v>
      </c>
      <c r="AF33" s="91" t="e">
        <f>IF(D33="2 3D",F33*G33*VLOOKUP("3D ink",#REF!,2,FALSE),IF(D33="3 Canv",F33*G33*VLOOKUP("Canvas ink",#REF!,2,FALSE),""))</f>
        <v>#REF!</v>
      </c>
      <c r="AG33" s="91" t="e">
        <f>IF(D33="3 Canv",IF(E33="Roll","",ROUNDUP((SUM(F33:G33)*2)/3,"")*VLOOKUP("Staples",#REF!,2,FALSE)),"")</f>
        <v>#VALUE!</v>
      </c>
      <c r="AH33" s="91" t="e">
        <f>IF(AF33="","",(SUM(F33:G33)*2)*VLOOKUP(E33,#REF!,2,FALSE))</f>
        <v>#REF!</v>
      </c>
      <c r="AI33" s="18">
        <f t="shared" si="27"/>
        <v>44</v>
      </c>
      <c r="AJ33" s="91" t="e">
        <f>IF(AI33="","",AI33*VLOOKUP("Staples",#REF!,2,FALSE))</f>
        <v>#REF!</v>
      </c>
      <c r="AK33" s="18" t="e">
        <f t="shared" si="28"/>
        <v>#REF!</v>
      </c>
      <c r="AL33" s="91" t="e">
        <f>IF(AK33="","",AK33*VLOOKUP("Frame screw",#REF!,2,FALSE))</f>
        <v>#REF!</v>
      </c>
      <c r="AM33" s="18" t="e">
        <f t="shared" si="29"/>
        <v>#REF!</v>
      </c>
      <c r="AN33" s="91" t="e">
        <f>IF(AM33="","",AM33*VLOOKUP("D ring",#REF!,2,FALSE))</f>
        <v>#REF!</v>
      </c>
      <c r="AO33" s="18" t="e">
        <f t="shared" si="30"/>
        <v>#REF!</v>
      </c>
      <c r="AP33" s="91" t="e">
        <f>IF(AO33="","",IF(G33&gt;59,AO33* VLOOKUP("8 wire",#REF!,2,FALSE)*2,IF(G33&gt;39,AO33* VLOOKUP("8 wire",#REF!,2,FALSE),AO33* VLOOKUP("6 wire",#REF!,2,FALSE))))</f>
        <v>#REF!</v>
      </c>
      <c r="AQ33" s="18">
        <f t="shared" si="31"/>
        <v>4</v>
      </c>
      <c r="AR33" s="18" t="e">
        <f>IF(AQ33="","",AQ33*VLOOKUP("Pads",#REF!,2,FALSE))</f>
        <v>#REF!</v>
      </c>
      <c r="AS33" s="18">
        <f t="shared" si="32"/>
        <v>1</v>
      </c>
      <c r="AT33" s="91" t="e">
        <f>IF(AS33="","",AS33*VLOOKUP("4 mil bag",#REF!,2,FALSE))</f>
        <v>#REF!</v>
      </c>
      <c r="AU33" s="91" t="e">
        <f>IF(X33="","",IF(I33="N/A","",IF(I33="CNC",IF(G33&gt;37,20,10),VLOOKUP(I33,#REF!,2,FALSE))))</f>
        <v>#REF!</v>
      </c>
      <c r="AV33" s="18" t="str">
        <f>IF(X33="","",IF(I33="CNC",VLOOKUP("Glue stick",#REF!,2,FALSE),""))</f>
        <v/>
      </c>
      <c r="AW33" s="18" t="str">
        <f>IF(X33="","",IF(I33="CNC",16*VLOOKUP("Box staples",#REF!,2,FALSE),""))</f>
        <v/>
      </c>
      <c r="AX33" s="91" t="e">
        <f>IF(X33="","",IF(I33="CNC",((((G33+6)+(F33+6))*2)+24)*VLOOKUP("sealing tape",#REF!,2,FALSE),VLOOKUP("Strapping tape",#REF!,2,FALSE)))</f>
        <v>#REF!</v>
      </c>
      <c r="AY33" s="17"/>
      <c r="AZ33" s="17" t="s">
        <v>41</v>
      </c>
      <c r="BA33" s="17" t="s">
        <v>45</v>
      </c>
      <c r="BB33" s="17"/>
      <c r="BC33" s="96"/>
      <c r="BD33" s="96"/>
      <c r="BE33" s="96"/>
      <c r="BF33" s="96"/>
      <c r="BG33" s="96"/>
      <c r="BH33" s="96"/>
      <c r="BI33" s="96"/>
    </row>
    <row r="34" spans="1:61" x14ac:dyDescent="0.45">
      <c r="A34" s="103" t="s">
        <v>939</v>
      </c>
      <c r="B34" s="17" t="s">
        <v>1092</v>
      </c>
      <c r="C34" s="16">
        <v>44556</v>
      </c>
      <c r="D34" s="17" t="s">
        <v>66</v>
      </c>
      <c r="E34" s="15" t="s">
        <v>50</v>
      </c>
      <c r="F34" s="17">
        <v>20</v>
      </c>
      <c r="G34" s="17">
        <v>30</v>
      </c>
      <c r="H34" s="3" t="s">
        <v>43</v>
      </c>
      <c r="I34" s="88" t="s">
        <v>583</v>
      </c>
      <c r="J34" s="87">
        <v>44572</v>
      </c>
      <c r="K34" s="15">
        <v>481</v>
      </c>
      <c r="L34" s="96">
        <f>45/2</f>
        <v>22.5</v>
      </c>
      <c r="M34" s="89">
        <v>37.229999999999997</v>
      </c>
      <c r="N34" s="88">
        <v>14</v>
      </c>
      <c r="O34" s="413" t="str">
        <f t="shared" si="1"/>
        <v>20 x 30</v>
      </c>
      <c r="P34" s="18" t="str">
        <f t="shared" si="2"/>
        <v>20 x 30</v>
      </c>
      <c r="Q34" s="91">
        <f t="shared" si="3"/>
        <v>6.49</v>
      </c>
      <c r="R34" s="18" t="str">
        <f t="shared" si="4"/>
        <v>42 x 36 x 6</v>
      </c>
      <c r="S34" s="18">
        <v>42</v>
      </c>
      <c r="T34" s="18">
        <v>36</v>
      </c>
      <c r="U34" s="18">
        <v>6</v>
      </c>
      <c r="V34" s="90">
        <f t="shared" si="5"/>
        <v>126</v>
      </c>
      <c r="W34" s="287">
        <f t="shared" si="21"/>
        <v>1.6546666666666665</v>
      </c>
      <c r="X34" s="287" t="str">
        <f t="shared" si="22"/>
        <v>Yes</v>
      </c>
      <c r="Y34" s="93" t="e">
        <f t="shared" si="23"/>
        <v>#REF!</v>
      </c>
      <c r="Z34" s="288" t="e">
        <f t="shared" si="24"/>
        <v>#REF!</v>
      </c>
      <c r="AA34" s="94" t="e">
        <f t="shared" si="25"/>
        <v>#REF!</v>
      </c>
      <c r="AB34" s="288" t="e">
        <f t="shared" si="26"/>
        <v>#REF!</v>
      </c>
      <c r="AC34" s="91" t="e">
        <f>IF(X34="","",IF(D34="2 3D",((F34-0.5)*2+(G34-0.5)*2)*VLOOKUP("3D base",#REF!,2,FALSE),IF(D34="3 Canv", IF(E34="Roll",0,ROUND(SUM(F34:G34)*2,0)),0)*VLOOKUP("Stretcher Bar",#REF!,2,FALSE)))</f>
        <v>#REF!</v>
      </c>
      <c r="AD34" s="91" t="e">
        <f>IF(X34="","",IF(E34="Roll",0,IF(D34="2 3D",(SUM(F34:G34)*2)*VLOOKUP("3D epoxy",#REF!,2,FALSE),IF(D34="3 Canv",VLOOKUP("Wood glue",#REF!,2,FALSE),""))))</f>
        <v>#REF!</v>
      </c>
      <c r="AE34" s="91" t="e">
        <f>IF(D34="3 Canv",(((F34+5)*(G34+5)))*VLOOKUP("Canvas",#REF!,2,FALSE),IF(D34="2 3D",(((F34)*(G34)))*VLOOKUP("Dibond",#REF!,2,FALSE),""))</f>
        <v>#REF!</v>
      </c>
      <c r="AF34" s="91" t="e">
        <f>IF(D34="2 3D",F34*G34*VLOOKUP("3D ink",#REF!,2,FALSE),IF(D34="3 Canv",F34*G34*VLOOKUP("Canvas ink",#REF!,2,FALSE),""))</f>
        <v>#REF!</v>
      </c>
      <c r="AG34" s="91" t="e">
        <f>IF(D34="3 Canv",IF(E34="Roll","",ROUNDUP((SUM(F34:G34)*2)/3,"")*VLOOKUP("Staples",#REF!,2,FALSE)),"")</f>
        <v>#VALUE!</v>
      </c>
      <c r="AH34" s="91" t="e">
        <f>IF(AF34="","",(SUM(F34:G34)*2)*VLOOKUP(E34,#REF!,2,FALSE))</f>
        <v>#REF!</v>
      </c>
      <c r="AI34" s="18">
        <f t="shared" si="27"/>
        <v>16</v>
      </c>
      <c r="AJ34" s="91" t="e">
        <f>IF(AI34="","",AI34*VLOOKUP("Staples",#REF!,2,FALSE))</f>
        <v>#REF!</v>
      </c>
      <c r="AK34" s="18" t="e">
        <f t="shared" si="28"/>
        <v>#REF!</v>
      </c>
      <c r="AL34" s="91" t="e">
        <f>IF(AK34="","",AK34*VLOOKUP("Frame screw",#REF!,2,FALSE))</f>
        <v>#REF!</v>
      </c>
      <c r="AM34" s="18" t="e">
        <f t="shared" si="29"/>
        <v>#REF!</v>
      </c>
      <c r="AN34" s="91" t="e">
        <f>IF(AM34="","",AM34*VLOOKUP("D ring",#REF!,2,FALSE))</f>
        <v>#REF!</v>
      </c>
      <c r="AO34" s="18" t="e">
        <f t="shared" si="30"/>
        <v>#REF!</v>
      </c>
      <c r="AP34" s="91" t="e">
        <f>IF(AO34="","",IF(G34&gt;59,AO34* VLOOKUP("8 wire",#REF!,2,FALSE)*2,IF(G34&gt;39,AO34* VLOOKUP("8 wire",#REF!,2,FALSE),AO34* VLOOKUP("6 wire",#REF!,2,FALSE))))</f>
        <v>#REF!</v>
      </c>
      <c r="AQ34" s="18">
        <f t="shared" si="31"/>
        <v>4</v>
      </c>
      <c r="AR34" s="18" t="e">
        <f>IF(AQ34="","",AQ34*VLOOKUP("Pads",#REF!,2,FALSE))</f>
        <v>#REF!</v>
      </c>
      <c r="AS34" s="18">
        <f t="shared" si="32"/>
        <v>1</v>
      </c>
      <c r="AT34" s="91" t="e">
        <f>IF(AS34="","",AS34*VLOOKUP("4 mil bag",#REF!,2,FALSE))</f>
        <v>#REF!</v>
      </c>
      <c r="AU34" s="91" t="e">
        <f>IF(X34="","",IF(I34="N/A","",IF(I34="CNC",IF(G34&gt;37,20,10),VLOOKUP(I34,#REF!,2,FALSE))))</f>
        <v>#REF!</v>
      </c>
      <c r="AV34" s="18" t="str">
        <f>IF(X34="","",IF(I34="CNC",VLOOKUP("Glue stick",#REF!,2,FALSE),""))</f>
        <v/>
      </c>
      <c r="AW34" s="18" t="str">
        <f>IF(X34="","",IF(I34="CNC",16*VLOOKUP("Box staples",#REF!,2,FALSE),""))</f>
        <v/>
      </c>
      <c r="AX34" s="91" t="e">
        <f>IF(X34="","",IF(I34="CNC",((((G34+6)+(F34+6))*2)+24)*VLOOKUP("sealing tape",#REF!,2,FALSE),VLOOKUP("Strapping tape",#REF!,2,FALSE)))</f>
        <v>#REF!</v>
      </c>
      <c r="AY34" s="17"/>
      <c r="AZ34" s="17"/>
      <c r="BA34" s="17"/>
      <c r="BB34" s="17"/>
      <c r="BC34" s="96"/>
      <c r="BD34" s="96"/>
      <c r="BE34" s="96"/>
      <c r="BF34" s="96"/>
      <c r="BG34" s="96"/>
      <c r="BH34" s="96"/>
      <c r="BI34" s="96"/>
    </row>
    <row r="35" spans="1:61" x14ac:dyDescent="0.45">
      <c r="A35" s="103" t="s">
        <v>1101</v>
      </c>
      <c r="B35" s="17" t="s">
        <v>1100</v>
      </c>
      <c r="C35" s="16">
        <v>44531</v>
      </c>
      <c r="D35" s="17" t="s">
        <v>54</v>
      </c>
      <c r="E35" s="15" t="s">
        <v>1266</v>
      </c>
      <c r="F35" s="17">
        <v>32</v>
      </c>
      <c r="G35" s="17">
        <v>77</v>
      </c>
      <c r="H35" s="3" t="s">
        <v>43</v>
      </c>
      <c r="I35" s="88" t="s">
        <v>480</v>
      </c>
      <c r="J35" s="87">
        <v>44572</v>
      </c>
      <c r="K35" s="15">
        <v>5920</v>
      </c>
      <c r="L35" s="96">
        <v>300</v>
      </c>
      <c r="M35" s="89">
        <f>42.13*3</f>
        <v>126.39000000000001</v>
      </c>
      <c r="N35" s="88">
        <v>25</v>
      </c>
      <c r="O35" s="413" t="str">
        <f t="shared" si="1"/>
        <v>32 x 77</v>
      </c>
      <c r="P35" s="18" t="str">
        <f t="shared" si="2"/>
        <v>34 x 79</v>
      </c>
      <c r="Q35" s="91">
        <f t="shared" si="3"/>
        <v>150</v>
      </c>
      <c r="R35" s="18" t="str">
        <f t="shared" si="4"/>
        <v>44 x 35 x 5</v>
      </c>
      <c r="S35" s="18">
        <v>44</v>
      </c>
      <c r="T35" s="18">
        <v>35</v>
      </c>
      <c r="U35" s="18">
        <v>5</v>
      </c>
      <c r="V35" s="90">
        <f t="shared" si="5"/>
        <v>124</v>
      </c>
      <c r="W35" s="287">
        <f t="shared" si="21"/>
        <v>0.42130000000000006</v>
      </c>
      <c r="X35" s="287" t="str">
        <f t="shared" si="22"/>
        <v>Yes</v>
      </c>
      <c r="Y35" s="93" t="e">
        <f t="shared" si="23"/>
        <v>#REF!</v>
      </c>
      <c r="Z35" s="288" t="e">
        <f t="shared" si="24"/>
        <v>#REF!</v>
      </c>
      <c r="AA35" s="94" t="e">
        <f t="shared" si="25"/>
        <v>#REF!</v>
      </c>
      <c r="AB35" s="288" t="e">
        <f t="shared" si="26"/>
        <v>#REF!</v>
      </c>
      <c r="AC35" s="91" t="e">
        <f>IF(X35="","",IF(D35="2 3D",((F35-0.5)*2+(G35-0.5)*2)*VLOOKUP("3D base",#REF!,2,FALSE),IF(D35="3 Canv", IF(E35="Roll",0,ROUND(SUM(F35:G35)*2,0)),0)*VLOOKUP("Stretcher Bar",#REF!,2,FALSE)))</f>
        <v>#REF!</v>
      </c>
      <c r="AD35" s="91" t="e">
        <f>IF(X35="","",IF(E35="Roll",0,IF(D35="2 3D",(SUM(F35:G35)*2)*VLOOKUP("3D epoxy",#REF!,2,FALSE),IF(D35="3 Canv",VLOOKUP("Wood glue",#REF!,2,FALSE),""))))</f>
        <v>#REF!</v>
      </c>
      <c r="AE35" s="91" t="e">
        <f>IF(D35="3 Canv",(((F35+5)*(G35+5)))*VLOOKUP("Canvas",#REF!,2,FALSE),IF(D35="2 3D",(((F35)*(G35)))*VLOOKUP("Dibond",#REF!,2,FALSE),""))</f>
        <v>#REF!</v>
      </c>
      <c r="AF35" s="91" t="e">
        <f>IF(D35="2 3D",F35*G35*VLOOKUP("3D ink",#REF!,2,FALSE),IF(D35="3 Canv",F35*G35*VLOOKUP("Canvas ink",#REF!,2,FALSE),""))</f>
        <v>#REF!</v>
      </c>
      <c r="AG35" s="91" t="str">
        <f>IF(D35="3 Canv",IF(E35="Roll","",ROUNDUP((SUM(F35:G35)*2)/3,"")*VLOOKUP("Staples",#REF!,2,FALSE)),"")</f>
        <v/>
      </c>
      <c r="AH35" s="91">
        <v>20</v>
      </c>
      <c r="AI35" s="18">
        <f t="shared" si="27"/>
        <v>44</v>
      </c>
      <c r="AJ35" s="91" t="e">
        <f>IF(AI35="","",AI35*VLOOKUP("Staples",#REF!,2,FALSE))</f>
        <v>#REF!</v>
      </c>
      <c r="AK35" s="18" t="e">
        <f t="shared" si="28"/>
        <v>#REF!</v>
      </c>
      <c r="AL35" s="91" t="e">
        <f>IF(AK35="","",AK35*VLOOKUP("Frame screw",#REF!,2,FALSE))</f>
        <v>#REF!</v>
      </c>
      <c r="AM35" s="18" t="e">
        <f t="shared" si="29"/>
        <v>#REF!</v>
      </c>
      <c r="AN35" s="91" t="e">
        <f>IF(AM35="","",AM35*VLOOKUP("D ring",#REF!,2,FALSE))</f>
        <v>#REF!</v>
      </c>
      <c r="AO35" s="18" t="e">
        <f t="shared" si="30"/>
        <v>#REF!</v>
      </c>
      <c r="AP35" s="91" t="e">
        <f>IF(AO35="","",IF(G35&gt;59,AO35* VLOOKUP("8 wire",#REF!,2,FALSE)*2,IF(G35&gt;39,AO35* VLOOKUP("8 wire",#REF!,2,FALSE),AO35* VLOOKUP("6 wire",#REF!,2,FALSE))))</f>
        <v>#REF!</v>
      </c>
      <c r="AQ35" s="18">
        <f t="shared" si="31"/>
        <v>4</v>
      </c>
      <c r="AR35" s="18" t="e">
        <f>IF(AQ35="","",AQ35*VLOOKUP("Pads",#REF!,2,FALSE))</f>
        <v>#REF!</v>
      </c>
      <c r="AS35" s="18">
        <f t="shared" si="32"/>
        <v>1</v>
      </c>
      <c r="AT35" s="91" t="e">
        <f>IF(AS35="","",AS35*VLOOKUP("4 mil bag",#REF!,2,FALSE))</f>
        <v>#REF!</v>
      </c>
      <c r="AU35" s="91" t="e">
        <f>IF(X35="","",IF(I35="N/A","",IF(I35="CNC",IF(G35&gt;37,20,10),VLOOKUP(I35,#REF!,2,FALSE))))</f>
        <v>#REF!</v>
      </c>
      <c r="AV35" s="18" t="str">
        <f>IF(X35="","",IF(I35="CNC",VLOOKUP("Glue stick",#REF!,2,FALSE),""))</f>
        <v/>
      </c>
      <c r="AW35" s="18" t="str">
        <f>IF(X35="","",IF(I35="CNC",16*VLOOKUP("Box staples",#REF!,2,FALSE),""))</f>
        <v/>
      </c>
      <c r="AX35" s="91" t="e">
        <f>IF(X35="","",IF(I35="CNC",((((G35+6)+(F35+6))*2)+24)*VLOOKUP("sealing tape",#REF!,2,FALSE),VLOOKUP("Strapping tape",#REF!,2,FALSE)))</f>
        <v>#REF!</v>
      </c>
      <c r="AY35" s="3"/>
      <c r="AZ35" s="3" t="s">
        <v>7</v>
      </c>
      <c r="BA35" s="3" t="s">
        <v>2727</v>
      </c>
      <c r="BB35" s="3" t="s">
        <v>4</v>
      </c>
      <c r="BC35" s="7" t="s">
        <v>2728</v>
      </c>
      <c r="BD35" s="7" t="s">
        <v>2729</v>
      </c>
      <c r="BE35" s="7" t="s">
        <v>2730</v>
      </c>
      <c r="BF35" s="7" t="s">
        <v>2710</v>
      </c>
      <c r="BG35" s="7" t="s">
        <v>2711</v>
      </c>
      <c r="BH35" s="7" t="s">
        <v>2712</v>
      </c>
      <c r="BI35" s="7" t="s">
        <v>469</v>
      </c>
    </row>
    <row r="36" spans="1:61" x14ac:dyDescent="0.45">
      <c r="A36" s="103" t="s">
        <v>1069</v>
      </c>
      <c r="B36" s="17" t="s">
        <v>1102</v>
      </c>
      <c r="C36" s="16">
        <v>44555</v>
      </c>
      <c r="D36" s="17" t="s">
        <v>66</v>
      </c>
      <c r="E36" s="15" t="s">
        <v>50</v>
      </c>
      <c r="F36" s="17">
        <v>20</v>
      </c>
      <c r="G36" s="17">
        <v>36</v>
      </c>
      <c r="H36" s="3" t="s">
        <v>43</v>
      </c>
      <c r="I36" s="88" t="s">
        <v>583</v>
      </c>
      <c r="J36" s="87">
        <v>44573</v>
      </c>
      <c r="K36" s="15">
        <v>509</v>
      </c>
      <c r="L36" s="96">
        <v>30</v>
      </c>
      <c r="M36" s="89">
        <v>49.73</v>
      </c>
      <c r="N36" s="88">
        <v>14</v>
      </c>
      <c r="O36" s="413" t="str">
        <f t="shared" si="1"/>
        <v>20 x 36</v>
      </c>
      <c r="P36" s="18" t="str">
        <f t="shared" si="2"/>
        <v>20 x 36</v>
      </c>
      <c r="Q36" s="91">
        <f t="shared" si="3"/>
        <v>6.49</v>
      </c>
      <c r="R36" s="18" t="str">
        <f t="shared" si="4"/>
        <v>42 x 36 x 6</v>
      </c>
      <c r="S36" s="18">
        <v>42</v>
      </c>
      <c r="T36" s="18">
        <v>36</v>
      </c>
      <c r="U36" s="18">
        <v>6</v>
      </c>
      <c r="V36" s="90">
        <f t="shared" si="5"/>
        <v>126</v>
      </c>
      <c r="W36" s="287">
        <f t="shared" si="21"/>
        <v>1.6576666666666666</v>
      </c>
      <c r="X36" s="287" t="str">
        <f t="shared" si="22"/>
        <v>Yes</v>
      </c>
      <c r="Y36" s="93" t="e">
        <f t="shared" si="23"/>
        <v>#REF!</v>
      </c>
      <c r="Z36" s="288" t="e">
        <f t="shared" si="24"/>
        <v>#REF!</v>
      </c>
      <c r="AA36" s="94" t="e">
        <f t="shared" si="25"/>
        <v>#REF!</v>
      </c>
      <c r="AB36" s="288" t="e">
        <f t="shared" si="26"/>
        <v>#REF!</v>
      </c>
      <c r="AC36" s="91" t="e">
        <f>IF(X36="","",IF(D36="2 3D",((F36-0.5)*2+(G36-0.5)*2)*VLOOKUP("3D base",#REF!,2,FALSE),IF(D36="3 Canv", IF(E36="Roll",0,ROUND(SUM(F36:G36)*2,0)),0)*VLOOKUP("Stretcher Bar",#REF!,2,FALSE)))</f>
        <v>#REF!</v>
      </c>
      <c r="AD36" s="91" t="e">
        <f>IF(X36="","",IF(E36="Roll",0,IF(D36="2 3D",(SUM(F36:G36)*2)*VLOOKUP("3D epoxy",#REF!,2,FALSE),IF(D36="3 Canv",VLOOKUP("Wood glue",#REF!,2,FALSE),""))))</f>
        <v>#REF!</v>
      </c>
      <c r="AE36" s="91" t="e">
        <f>IF(D36="3 Canv",(((F36+5)*(G36+5)))*VLOOKUP("Canvas",#REF!,2,FALSE),IF(D36="2 3D",(((F36)*(G36)))*VLOOKUP("Dibond",#REF!,2,FALSE),""))</f>
        <v>#REF!</v>
      </c>
      <c r="AF36" s="91" t="e">
        <f>IF(D36="2 3D",F36*G36*VLOOKUP("3D ink",#REF!,2,FALSE),IF(D36="3 Canv",F36*G36*VLOOKUP("Canvas ink",#REF!,2,FALSE),""))</f>
        <v>#REF!</v>
      </c>
      <c r="AG36" s="91" t="e">
        <f>IF(D36="3 Canv",IF(E36="Roll","",ROUNDUP((SUM(F36:G36)*2)/3,"")*VLOOKUP("Staples",#REF!,2,FALSE)),"")</f>
        <v>#VALUE!</v>
      </c>
      <c r="AH36" s="91" t="e">
        <f>IF(AF36="","",(SUM(F36:G36)*2)*VLOOKUP(E36,#REF!,2,FALSE))</f>
        <v>#REF!</v>
      </c>
      <c r="AI36" s="18">
        <f t="shared" si="27"/>
        <v>16</v>
      </c>
      <c r="AJ36" s="91" t="e">
        <f>IF(AI36="","",AI36*VLOOKUP("Staples",#REF!,2,FALSE))</f>
        <v>#REF!</v>
      </c>
      <c r="AK36" s="18" t="e">
        <f t="shared" si="28"/>
        <v>#REF!</v>
      </c>
      <c r="AL36" s="91" t="e">
        <f>IF(AK36="","",AK36*VLOOKUP("Frame screw",#REF!,2,FALSE))</f>
        <v>#REF!</v>
      </c>
      <c r="AM36" s="18" t="e">
        <f t="shared" si="29"/>
        <v>#REF!</v>
      </c>
      <c r="AN36" s="91" t="e">
        <f>IF(AM36="","",AM36*VLOOKUP("D ring",#REF!,2,FALSE))</f>
        <v>#REF!</v>
      </c>
      <c r="AO36" s="18" t="e">
        <f t="shared" si="30"/>
        <v>#REF!</v>
      </c>
      <c r="AP36" s="91" t="e">
        <f>IF(AO36="","",IF(G36&gt;59,AO36* VLOOKUP("8 wire",#REF!,2,FALSE)*2,IF(G36&gt;39,AO36* VLOOKUP("8 wire",#REF!,2,FALSE),AO36* VLOOKUP("6 wire",#REF!,2,FALSE))))</f>
        <v>#REF!</v>
      </c>
      <c r="AQ36" s="18">
        <f t="shared" si="31"/>
        <v>4</v>
      </c>
      <c r="AR36" s="18" t="e">
        <f>IF(AQ36="","",AQ36*VLOOKUP("Pads",#REF!,2,FALSE))</f>
        <v>#REF!</v>
      </c>
      <c r="AS36" s="18">
        <f t="shared" si="32"/>
        <v>1</v>
      </c>
      <c r="AT36" s="91" t="e">
        <f>IF(AS36="","",AS36*VLOOKUP("4 mil bag",#REF!,2,FALSE))</f>
        <v>#REF!</v>
      </c>
      <c r="AU36" s="91" t="e">
        <f>IF(X36="","",IF(I36="N/A","",IF(I36="CNC",IF(G36&gt;37,20,10),VLOOKUP(I36,#REF!,2,FALSE))))</f>
        <v>#REF!</v>
      </c>
      <c r="AV36" s="18" t="str">
        <f>IF(X36="","",IF(I36="CNC",VLOOKUP("Glue stick",#REF!,2,FALSE),""))</f>
        <v/>
      </c>
      <c r="AW36" s="18" t="str">
        <f>IF(X36="","",IF(I36="CNC",16*VLOOKUP("Box staples",#REF!,2,FALSE),""))</f>
        <v/>
      </c>
      <c r="AX36" s="91" t="e">
        <f>IF(X36="","",IF(I36="CNC",((((G36+6)+(F36+6))*2)+24)*VLOOKUP("sealing tape",#REF!,2,FALSE),VLOOKUP("Strapping tape",#REF!,2,FALSE)))</f>
        <v>#REF!</v>
      </c>
      <c r="AY36" s="17"/>
      <c r="AZ36" s="17" t="s">
        <v>558</v>
      </c>
      <c r="BA36" s="17">
        <f t="shared" ref="BA36:BA37" si="34">COUNTIF(E:E,AZ36)</f>
        <v>45</v>
      </c>
      <c r="BB36" s="15">
        <f t="shared" ref="BB36:BB37" ca="1" si="35">SUMIF(E:K,AZ36,K:K)</f>
        <v>15626.2</v>
      </c>
      <c r="BC36" s="96">
        <f t="shared" ref="BC36:BC37" ca="1" si="36">SUMIF(E:K,AZ36,K:K)+SUMIF(E:L,AZ36,L:L)</f>
        <v>16898.7</v>
      </c>
      <c r="BD36" s="416" t="e">
        <f t="shared" ref="BD36:BD39" ca="1" si="37">BE36/BC36</f>
        <v>#REF!</v>
      </c>
      <c r="BE36" s="96" t="e">
        <f t="shared" ref="BE36:BE39" ca="1" si="38">BF36+BA36*BC45</f>
        <v>#REF!</v>
      </c>
      <c r="BF36" s="96" t="e">
        <f t="shared" ref="BF36:BF37" ca="1" si="39">SUMIF(E:Y,AZ36,Y:Y)</f>
        <v>#REF!</v>
      </c>
      <c r="BG36" s="416" t="e">
        <f t="shared" ref="BG36:BG39" ca="1" si="40">BF36/BC36</f>
        <v>#REF!</v>
      </c>
      <c r="BH36" s="96" t="e">
        <f t="shared" ref="BH36:BH37" ca="1" si="41">SUMIF(E:AA,AZ36,AA:AA)</f>
        <v>#REF!</v>
      </c>
      <c r="BI36" s="416" t="e">
        <f t="shared" ref="BI36:BI39" ca="1" si="42">BH36/BB36</f>
        <v>#REF!</v>
      </c>
    </row>
    <row r="37" spans="1:61" x14ac:dyDescent="0.45">
      <c r="A37" s="103" t="s">
        <v>801</v>
      </c>
      <c r="B37" s="17" t="s">
        <v>1000</v>
      </c>
      <c r="C37" s="16">
        <v>44557</v>
      </c>
      <c r="D37" s="17" t="s">
        <v>66</v>
      </c>
      <c r="E37" s="15" t="s">
        <v>51</v>
      </c>
      <c r="F37" s="17">
        <v>25</v>
      </c>
      <c r="G37" s="17">
        <v>35</v>
      </c>
      <c r="H37" s="3" t="s">
        <v>43</v>
      </c>
      <c r="I37" s="88" t="s">
        <v>583</v>
      </c>
      <c r="J37" s="87">
        <v>44573</v>
      </c>
      <c r="K37" s="15">
        <v>695</v>
      </c>
      <c r="L37" s="96">
        <f t="shared" ref="L37:L38" si="43">145/4</f>
        <v>36.25</v>
      </c>
      <c r="M37" s="89">
        <v>186.54</v>
      </c>
      <c r="N37" s="88">
        <v>19</v>
      </c>
      <c r="O37" s="413" t="str">
        <f t="shared" si="1"/>
        <v>25 x 35</v>
      </c>
      <c r="P37" s="18" t="str">
        <f t="shared" si="2"/>
        <v>27 x 37</v>
      </c>
      <c r="Q37" s="91">
        <f t="shared" si="3"/>
        <v>6.49</v>
      </c>
      <c r="R37" s="18" t="str">
        <f t="shared" si="4"/>
        <v>42 x 36 x 6</v>
      </c>
      <c r="S37" s="18">
        <v>42</v>
      </c>
      <c r="T37" s="18">
        <v>36</v>
      </c>
      <c r="U37" s="18">
        <v>6</v>
      </c>
      <c r="V37" s="90">
        <f t="shared" si="5"/>
        <v>126</v>
      </c>
      <c r="W37" s="287">
        <f t="shared" si="21"/>
        <v>5.145931034482758</v>
      </c>
      <c r="X37" s="287" t="str">
        <f t="shared" si="22"/>
        <v>Yes</v>
      </c>
      <c r="Y37" s="93" t="e">
        <f t="shared" si="23"/>
        <v>#REF!</v>
      </c>
      <c r="Z37" s="288" t="e">
        <f t="shared" si="24"/>
        <v>#REF!</v>
      </c>
      <c r="AA37" s="94" t="e">
        <f t="shared" si="25"/>
        <v>#REF!</v>
      </c>
      <c r="AB37" s="288" t="e">
        <f t="shared" si="26"/>
        <v>#REF!</v>
      </c>
      <c r="AC37" s="91" t="e">
        <f>IF(X37="","",IF(D37="2 3D",((F37-0.5)*2+(G37-0.5)*2)*VLOOKUP("3D base",#REF!,2,FALSE),IF(D37="3 Canv", IF(E37="Roll",0,ROUND(SUM(F37:G37)*2,0)),0)*VLOOKUP("Stretcher Bar",#REF!,2,FALSE)))</f>
        <v>#REF!</v>
      </c>
      <c r="AD37" s="91" t="e">
        <f>IF(X37="","",IF(E37="Roll",0,IF(D37="2 3D",(SUM(F37:G37)*2)*VLOOKUP("3D epoxy",#REF!,2,FALSE),IF(D37="3 Canv",VLOOKUP("Wood glue",#REF!,2,FALSE),""))))</f>
        <v>#REF!</v>
      </c>
      <c r="AE37" s="91" t="e">
        <f>IF(D37="3 Canv",(((F37+5)*(G37+5)))*VLOOKUP("Canvas",#REF!,2,FALSE),IF(D37="2 3D",(((F37)*(G37)))*VLOOKUP("Dibond",#REF!,2,FALSE),""))</f>
        <v>#REF!</v>
      </c>
      <c r="AF37" s="91" t="e">
        <f>IF(D37="2 3D",F37*G37*VLOOKUP("3D ink",#REF!,2,FALSE),IF(D37="3 Canv",F37*G37*VLOOKUP("Canvas ink",#REF!,2,FALSE),""))</f>
        <v>#REF!</v>
      </c>
      <c r="AG37" s="91" t="e">
        <f>IF(D37="3 Canv",IF(E37="Roll","",ROUNDUP((SUM(F37:G37)*2)/3,"")*VLOOKUP("Staples",#REF!,2,FALSE)),"")</f>
        <v>#VALUE!</v>
      </c>
      <c r="AH37" s="91" t="e">
        <f>IF(AF37="","",(SUM(F37:G37)*2)*VLOOKUP(E37,#REF!,2,FALSE))</f>
        <v>#REF!</v>
      </c>
      <c r="AI37" s="18">
        <f t="shared" si="27"/>
        <v>44</v>
      </c>
      <c r="AJ37" s="91" t="e">
        <f>IF(AI37="","",AI37*VLOOKUP("Staples",#REF!,2,FALSE))</f>
        <v>#REF!</v>
      </c>
      <c r="AK37" s="18" t="e">
        <f t="shared" si="28"/>
        <v>#REF!</v>
      </c>
      <c r="AL37" s="91" t="e">
        <f>IF(AK37="","",AK37*VLOOKUP("Frame screw",#REF!,2,FALSE))</f>
        <v>#REF!</v>
      </c>
      <c r="AM37" s="18" t="e">
        <f t="shared" si="29"/>
        <v>#REF!</v>
      </c>
      <c r="AN37" s="91" t="e">
        <f>IF(AM37="","",AM37*VLOOKUP("D ring",#REF!,2,FALSE))</f>
        <v>#REF!</v>
      </c>
      <c r="AO37" s="18" t="e">
        <f t="shared" si="30"/>
        <v>#REF!</v>
      </c>
      <c r="AP37" s="91" t="e">
        <f>IF(AO37="","",IF(G37&gt;59,AO37* VLOOKUP("8 wire",#REF!,2,FALSE)*2,IF(G37&gt;39,AO37* VLOOKUP("8 wire",#REF!,2,FALSE),AO37* VLOOKUP("6 wire",#REF!,2,FALSE))))</f>
        <v>#REF!</v>
      </c>
      <c r="AQ37" s="18">
        <f t="shared" si="31"/>
        <v>4</v>
      </c>
      <c r="AR37" s="18" t="e">
        <f>IF(AQ37="","",AQ37*VLOOKUP("Pads",#REF!,2,FALSE))</f>
        <v>#REF!</v>
      </c>
      <c r="AS37" s="18">
        <f t="shared" si="32"/>
        <v>1</v>
      </c>
      <c r="AT37" s="91" t="e">
        <f>IF(AS37="","",AS37*VLOOKUP("4 mil bag",#REF!,2,FALSE))</f>
        <v>#REF!</v>
      </c>
      <c r="AU37" s="91" t="e">
        <f>IF(X37="","",IF(I37="N/A","",IF(I37="CNC",IF(G37&gt;37,20,10),VLOOKUP(I37,#REF!,2,FALSE))))</f>
        <v>#REF!</v>
      </c>
      <c r="AV37" s="18" t="str">
        <f>IF(X37="","",IF(I37="CNC",VLOOKUP("Glue stick",#REF!,2,FALSE),""))</f>
        <v/>
      </c>
      <c r="AW37" s="18" t="str">
        <f>IF(X37="","",IF(I37="CNC",16*VLOOKUP("Box staples",#REF!,2,FALSE),""))</f>
        <v/>
      </c>
      <c r="AX37" s="91" t="e">
        <f>IF(X37="","",IF(I37="CNC",((((G37+6)+(F37+6))*2)+24)*VLOOKUP("sealing tape",#REF!,2,FALSE),VLOOKUP("Strapping tape",#REF!,2,FALSE)))</f>
        <v>#REF!</v>
      </c>
      <c r="AY37" s="17"/>
      <c r="AZ37" s="17" t="s">
        <v>50</v>
      </c>
      <c r="BA37" s="17">
        <f t="shared" si="34"/>
        <v>72</v>
      </c>
      <c r="BB37" s="15">
        <f t="shared" ca="1" si="35"/>
        <v>47254.749999999993</v>
      </c>
      <c r="BC37" s="96">
        <f t="shared" ca="1" si="36"/>
        <v>49760.783333333326</v>
      </c>
      <c r="BD37" s="416" t="e">
        <f t="shared" ca="1" si="37"/>
        <v>#REF!</v>
      </c>
      <c r="BE37" s="96" t="e">
        <f t="shared" ca="1" si="38"/>
        <v>#REF!</v>
      </c>
      <c r="BF37" s="96" t="e">
        <f t="shared" ca="1" si="39"/>
        <v>#REF!</v>
      </c>
      <c r="BG37" s="416" t="e">
        <f t="shared" ca="1" si="40"/>
        <v>#REF!</v>
      </c>
      <c r="BH37" s="96" t="e">
        <f t="shared" ca="1" si="41"/>
        <v>#REF!</v>
      </c>
      <c r="BI37" s="416" t="e">
        <f t="shared" ca="1" si="42"/>
        <v>#REF!</v>
      </c>
    </row>
    <row r="38" spans="1:61" x14ac:dyDescent="0.45">
      <c r="A38" s="103" t="s">
        <v>1069</v>
      </c>
      <c r="B38" s="17" t="s">
        <v>1000</v>
      </c>
      <c r="C38" s="16">
        <v>44557</v>
      </c>
      <c r="D38" s="17" t="s">
        <v>66</v>
      </c>
      <c r="E38" s="15" t="s">
        <v>51</v>
      </c>
      <c r="F38" s="17">
        <v>25</v>
      </c>
      <c r="G38" s="17">
        <v>45</v>
      </c>
      <c r="H38" s="3" t="s">
        <v>43</v>
      </c>
      <c r="I38" s="88" t="s">
        <v>553</v>
      </c>
      <c r="J38" s="87">
        <v>44573</v>
      </c>
      <c r="K38" s="15">
        <v>814</v>
      </c>
      <c r="L38" s="96">
        <f t="shared" si="43"/>
        <v>36.25</v>
      </c>
      <c r="M38" s="89">
        <v>46.51</v>
      </c>
      <c r="N38" s="88">
        <v>30</v>
      </c>
      <c r="O38" s="413" t="str">
        <f t="shared" si="1"/>
        <v>25 x 45</v>
      </c>
      <c r="P38" s="18" t="str">
        <f t="shared" si="2"/>
        <v>27 x 47</v>
      </c>
      <c r="Q38" s="91">
        <f t="shared" si="3"/>
        <v>15.77</v>
      </c>
      <c r="R38" s="18" t="str">
        <f t="shared" si="4"/>
        <v>49 x 48 x 6</v>
      </c>
      <c r="S38" s="18">
        <v>49</v>
      </c>
      <c r="T38" s="18">
        <v>48</v>
      </c>
      <c r="U38" s="18">
        <v>6</v>
      </c>
      <c r="V38" s="18">
        <f t="shared" si="5"/>
        <v>159</v>
      </c>
      <c r="W38" s="287">
        <f t="shared" si="21"/>
        <v>1.2830344827586206</v>
      </c>
      <c r="X38" s="287" t="str">
        <f t="shared" si="22"/>
        <v>Yes</v>
      </c>
      <c r="Y38" s="93" t="e">
        <f t="shared" si="23"/>
        <v>#REF!</v>
      </c>
      <c r="Z38" s="288" t="e">
        <f t="shared" si="24"/>
        <v>#REF!</v>
      </c>
      <c r="AA38" s="94" t="e">
        <f t="shared" si="25"/>
        <v>#REF!</v>
      </c>
      <c r="AB38" s="288" t="e">
        <f t="shared" si="26"/>
        <v>#REF!</v>
      </c>
      <c r="AC38" s="91" t="e">
        <f>IF(X38="","",IF(D38="2 3D",((F38-0.5)*2+(G38-0.5)*2)*VLOOKUP("3D base",#REF!,2,FALSE),IF(D38="3 Canv", IF(E38="Roll",0,ROUND(SUM(F38:G38)*2,0)),0)*VLOOKUP("Stretcher Bar",#REF!,2,FALSE)))</f>
        <v>#REF!</v>
      </c>
      <c r="AD38" s="91" t="e">
        <f>IF(X38="","",IF(E38="Roll",0,IF(D38="2 3D",(SUM(F38:G38)*2)*VLOOKUP("3D epoxy",#REF!,2,FALSE),IF(D38="3 Canv",VLOOKUP("Wood glue",#REF!,2,FALSE),""))))</f>
        <v>#REF!</v>
      </c>
      <c r="AE38" s="91" t="e">
        <f>IF(D38="3 Canv",(((F38+5)*(G38+5)))*VLOOKUP("Canvas",#REF!,2,FALSE),IF(D38="2 3D",(((F38)*(G38)))*VLOOKUP("Dibond",#REF!,2,FALSE),""))</f>
        <v>#REF!</v>
      </c>
      <c r="AF38" s="91" t="e">
        <f>IF(D38="2 3D",F38*G38*VLOOKUP("3D ink",#REF!,2,FALSE),IF(D38="3 Canv",F38*G38*VLOOKUP("Canvas ink",#REF!,2,FALSE),""))</f>
        <v>#REF!</v>
      </c>
      <c r="AG38" s="91" t="e">
        <f>IF(D38="3 Canv",IF(E38="Roll","",ROUNDUP((SUM(F38:G38)*2)/3,"")*VLOOKUP("Staples",#REF!,2,FALSE)),"")</f>
        <v>#VALUE!</v>
      </c>
      <c r="AH38" s="91" t="e">
        <f>IF(AF38="","",(SUM(F38:G38)*2)*VLOOKUP(E38,#REF!,2,FALSE))</f>
        <v>#REF!</v>
      </c>
      <c r="AI38" s="18">
        <f t="shared" si="27"/>
        <v>44</v>
      </c>
      <c r="AJ38" s="91" t="e">
        <f>IF(AI38="","",AI38*VLOOKUP("Staples",#REF!,2,FALSE))</f>
        <v>#REF!</v>
      </c>
      <c r="AK38" s="18" t="e">
        <f t="shared" si="28"/>
        <v>#REF!</v>
      </c>
      <c r="AL38" s="91" t="e">
        <f>IF(AK38="","",AK38*VLOOKUP("Frame screw",#REF!,2,FALSE))</f>
        <v>#REF!</v>
      </c>
      <c r="AM38" s="18" t="e">
        <f t="shared" si="29"/>
        <v>#REF!</v>
      </c>
      <c r="AN38" s="91" t="e">
        <f>IF(AM38="","",AM38*VLOOKUP("D ring",#REF!,2,FALSE))</f>
        <v>#REF!</v>
      </c>
      <c r="AO38" s="18" t="e">
        <f t="shared" si="30"/>
        <v>#REF!</v>
      </c>
      <c r="AP38" s="91" t="e">
        <f>IF(AO38="","",IF(G38&gt;59,AO38* VLOOKUP("8 wire",#REF!,2,FALSE)*2,IF(G38&gt;39,AO38* VLOOKUP("8 wire",#REF!,2,FALSE),AO38* VLOOKUP("6 wire",#REF!,2,FALSE))))</f>
        <v>#REF!</v>
      </c>
      <c r="AQ38" s="18">
        <f t="shared" si="31"/>
        <v>4</v>
      </c>
      <c r="AR38" s="18" t="e">
        <f>IF(AQ38="","",AQ38*VLOOKUP("Pads",#REF!,2,FALSE))</f>
        <v>#REF!</v>
      </c>
      <c r="AS38" s="18">
        <f t="shared" si="32"/>
        <v>1</v>
      </c>
      <c r="AT38" s="91" t="e">
        <f>IF(AS38="","",AS38*VLOOKUP("4 mil bag",#REF!,2,FALSE))</f>
        <v>#REF!</v>
      </c>
      <c r="AU38" s="91" t="e">
        <f>IF(X38="","",IF(I38="N/A","",IF(I38="CNC",IF(G38&gt;37,20,10),VLOOKUP(I38,#REF!,2,FALSE))))</f>
        <v>#REF!</v>
      </c>
      <c r="AV38" s="18" t="str">
        <f>IF(X38="","",IF(I38="CNC",VLOOKUP("Glue stick",#REF!,2,FALSE),""))</f>
        <v/>
      </c>
      <c r="AW38" s="18" t="str">
        <f>IF(X38="","",IF(I38="CNC",16*VLOOKUP("Box staples",#REF!,2,FALSE),""))</f>
        <v/>
      </c>
      <c r="AX38" s="91" t="e">
        <f>IF(X38="","",IF(I38="CNC",((((G38+6)+(F38+6))*2)+24)*VLOOKUP("sealing tape",#REF!,2,FALSE),VLOOKUP("Strapping tape",#REF!,2,FALSE)))</f>
        <v>#REF!</v>
      </c>
      <c r="AY38" s="17"/>
      <c r="AZ38" s="17" t="s">
        <v>2731</v>
      </c>
      <c r="BA38" s="17">
        <f>COUNTIF(D:D,"3 Canv")-SUM(BA36:BA37)</f>
        <v>53</v>
      </c>
      <c r="BB38" s="15">
        <f ca="1">SUMIF(D:K,"3 Canv",K:K)-SUM(BB36:BB37)</f>
        <v>41882.960000000021</v>
      </c>
      <c r="BC38" s="96">
        <f ca="1">SUMIF(D:K,"3 Canv",K:K)+SUMIF(D:L,"3 Canv",L:L)-SUM(BB36:BB37)</f>
        <v>47371.493333333361</v>
      </c>
      <c r="BD38" s="416" t="e">
        <f t="shared" ca="1" si="37"/>
        <v>#REF!</v>
      </c>
      <c r="BE38" s="96" t="e">
        <f t="shared" ca="1" si="38"/>
        <v>#REF!</v>
      </c>
      <c r="BF38" s="96" t="e">
        <f ca="1">SUMIF(D:Y,"3 Canv",Y:Y)-SUM(BF36:BF37)</f>
        <v>#REF!</v>
      </c>
      <c r="BG38" s="416" t="e">
        <f t="shared" ca="1" si="40"/>
        <v>#REF!</v>
      </c>
      <c r="BH38" s="96" t="e">
        <f ca="1">SUMIF(D:AA,"3 Canv",AA:AA)-SUM(BH36:BH37)</f>
        <v>#REF!</v>
      </c>
      <c r="BI38" s="416" t="e">
        <f t="shared" ca="1" si="42"/>
        <v>#REF!</v>
      </c>
    </row>
    <row r="39" spans="1:61" x14ac:dyDescent="0.45">
      <c r="A39" s="103" t="s">
        <v>1103</v>
      </c>
      <c r="B39" s="17" t="s">
        <v>674</v>
      </c>
      <c r="C39" s="16">
        <v>44558</v>
      </c>
      <c r="D39" s="17" t="s">
        <v>66</v>
      </c>
      <c r="E39" s="15" t="s">
        <v>51</v>
      </c>
      <c r="F39" s="17">
        <v>24</v>
      </c>
      <c r="G39" s="17">
        <v>41</v>
      </c>
      <c r="H39" s="3" t="s">
        <v>43</v>
      </c>
      <c r="I39" s="88" t="s">
        <v>553</v>
      </c>
      <c r="J39" s="87">
        <v>44574</v>
      </c>
      <c r="K39" s="15">
        <v>743</v>
      </c>
      <c r="L39" s="96">
        <v>0</v>
      </c>
      <c r="M39" s="89">
        <v>173.16</v>
      </c>
      <c r="N39" s="88">
        <v>28</v>
      </c>
      <c r="O39" s="413" t="str">
        <f t="shared" si="1"/>
        <v>24 x 41</v>
      </c>
      <c r="P39" s="18" t="str">
        <f t="shared" si="2"/>
        <v>26 x 43</v>
      </c>
      <c r="Q39" s="91">
        <f t="shared" si="3"/>
        <v>15.77</v>
      </c>
      <c r="R39" s="18" t="str">
        <f t="shared" si="4"/>
        <v>48 x 38 x 6</v>
      </c>
      <c r="S39" s="18">
        <v>48</v>
      </c>
      <c r="T39" s="18">
        <v>38</v>
      </c>
      <c r="U39" s="18">
        <v>6</v>
      </c>
      <c r="V39" s="18">
        <f t="shared" si="5"/>
        <v>155</v>
      </c>
      <c r="W39" s="287" t="str">
        <f t="shared" si="21"/>
        <v/>
      </c>
      <c r="X39" s="287" t="str">
        <f t="shared" si="22"/>
        <v>Yes</v>
      </c>
      <c r="Y39" s="93" t="e">
        <f t="shared" si="23"/>
        <v>#REF!</v>
      </c>
      <c r="Z39" s="288" t="e">
        <f t="shared" si="24"/>
        <v>#REF!</v>
      </c>
      <c r="AA39" s="94" t="e">
        <f t="shared" si="25"/>
        <v>#REF!</v>
      </c>
      <c r="AB39" s="288" t="e">
        <f t="shared" si="26"/>
        <v>#REF!</v>
      </c>
      <c r="AC39" s="91" t="e">
        <f>IF(X39="","",IF(D39="2 3D",((F39-0.5)*2+(G39-0.5)*2)*VLOOKUP("3D base",#REF!,2,FALSE),IF(D39="3 Canv", IF(E39="Roll",0,ROUND(SUM(F39:G39)*2,0)),0)*VLOOKUP("Stretcher Bar",#REF!,2,FALSE)))</f>
        <v>#REF!</v>
      </c>
      <c r="AD39" s="91" t="e">
        <f>IF(X39="","",IF(E39="Roll",0,IF(D39="2 3D",(SUM(F39:G39)*2)*VLOOKUP("3D epoxy",#REF!,2,FALSE),IF(D39="3 Canv",VLOOKUP("Wood glue",#REF!,2,FALSE),""))))</f>
        <v>#REF!</v>
      </c>
      <c r="AE39" s="91" t="e">
        <f>IF(D39="3 Canv",(((F39+5)*(G39+5)))*VLOOKUP("Canvas",#REF!,2,FALSE),IF(D39="2 3D",(((F39)*(G39)))*VLOOKUP("Dibond",#REF!,2,FALSE),""))</f>
        <v>#REF!</v>
      </c>
      <c r="AF39" s="91" t="e">
        <f>IF(D39="2 3D",F39*G39*VLOOKUP("3D ink",#REF!,2,FALSE),IF(D39="3 Canv",F39*G39*VLOOKUP("Canvas ink",#REF!,2,FALSE),""))</f>
        <v>#REF!</v>
      </c>
      <c r="AG39" s="91" t="e">
        <f>IF(D39="3 Canv",IF(E39="Roll","",ROUNDUP((SUM(F39:G39)*2)/3,"")*VLOOKUP("Staples",#REF!,2,FALSE)),"")</f>
        <v>#VALUE!</v>
      </c>
      <c r="AH39" s="91" t="e">
        <f>IF(AF39="","",(SUM(F39:G39)*2)*VLOOKUP(E39,#REF!,2,FALSE))</f>
        <v>#REF!</v>
      </c>
      <c r="AI39" s="18">
        <f t="shared" si="27"/>
        <v>44</v>
      </c>
      <c r="AJ39" s="91" t="e">
        <f>IF(AI39="","",AI39*VLOOKUP("Staples",#REF!,2,FALSE))</f>
        <v>#REF!</v>
      </c>
      <c r="AK39" s="18" t="e">
        <f t="shared" si="28"/>
        <v>#REF!</v>
      </c>
      <c r="AL39" s="91" t="e">
        <f>IF(AK39="","",AK39*VLOOKUP("Frame screw",#REF!,2,FALSE))</f>
        <v>#REF!</v>
      </c>
      <c r="AM39" s="18" t="e">
        <f t="shared" si="29"/>
        <v>#REF!</v>
      </c>
      <c r="AN39" s="91" t="e">
        <f>IF(AM39="","",AM39*VLOOKUP("D ring",#REF!,2,FALSE))</f>
        <v>#REF!</v>
      </c>
      <c r="AO39" s="18" t="e">
        <f t="shared" si="30"/>
        <v>#REF!</v>
      </c>
      <c r="AP39" s="91" t="e">
        <f>IF(AO39="","",IF(G39&gt;59,AO39* VLOOKUP("8 wire",#REF!,2,FALSE)*2,IF(G39&gt;39,AO39* VLOOKUP("8 wire",#REF!,2,FALSE),AO39* VLOOKUP("6 wire",#REF!,2,FALSE))))</f>
        <v>#REF!</v>
      </c>
      <c r="AQ39" s="18">
        <f t="shared" si="31"/>
        <v>4</v>
      </c>
      <c r="AR39" s="18" t="e">
        <f>IF(AQ39="","",AQ39*VLOOKUP("Pads",#REF!,2,FALSE))</f>
        <v>#REF!</v>
      </c>
      <c r="AS39" s="18">
        <f t="shared" si="32"/>
        <v>1</v>
      </c>
      <c r="AT39" s="91" t="e">
        <f>IF(AS39="","",AS39*VLOOKUP("4 mil bag",#REF!,2,FALSE))</f>
        <v>#REF!</v>
      </c>
      <c r="AU39" s="91" t="e">
        <f>IF(X39="","",IF(I39="N/A","",IF(I39="CNC",IF(G39&gt;37,20,10),VLOOKUP(I39,#REF!,2,FALSE))))</f>
        <v>#REF!</v>
      </c>
      <c r="AV39" s="18" t="str">
        <f>IF(X39="","",IF(I39="CNC",VLOOKUP("Glue stick",#REF!,2,FALSE),""))</f>
        <v/>
      </c>
      <c r="AW39" s="18" t="str">
        <f>IF(X39="","",IF(I39="CNC",16*VLOOKUP("Box staples",#REF!,2,FALSE),""))</f>
        <v/>
      </c>
      <c r="AX39" s="91" t="e">
        <f>IF(X39="","",IF(I39="CNC",((((G39+6)+(F39+6))*2)+24)*VLOOKUP("sealing tape",#REF!,2,FALSE),VLOOKUP("Strapping tape",#REF!,2,FALSE)))</f>
        <v>#REF!</v>
      </c>
      <c r="AY39" s="17"/>
      <c r="AZ39" s="17" t="s">
        <v>2732</v>
      </c>
      <c r="BA39" s="17">
        <f>COUNTIF(D:D,"2 3D")</f>
        <v>49</v>
      </c>
      <c r="BB39" s="15">
        <f ca="1">SUMIF(D:K,"2 3D",K:K)</f>
        <v>131639.5</v>
      </c>
      <c r="BC39" s="96">
        <f ca="1">SUMIF(D:K,"2 3D",K:K)+SUMIF(D:L,"2 3D",L:L)</f>
        <v>135344.5</v>
      </c>
      <c r="BD39" s="416" t="e">
        <f t="shared" ca="1" si="37"/>
        <v>#REF!</v>
      </c>
      <c r="BE39" s="96" t="e">
        <f t="shared" ca="1" si="38"/>
        <v>#REF!</v>
      </c>
      <c r="BF39" s="96" t="e">
        <f ca="1">SUMIF(D:Y,"2 3D",Y:Y)</f>
        <v>#REF!</v>
      </c>
      <c r="BG39" s="416" t="e">
        <f t="shared" ca="1" si="40"/>
        <v>#REF!</v>
      </c>
      <c r="BH39" s="96" t="e">
        <f ca="1">SUMIF(D:AA,"2 3D",AA:AA)</f>
        <v>#REF!</v>
      </c>
      <c r="BI39" s="416" t="e">
        <f t="shared" ca="1" si="42"/>
        <v>#REF!</v>
      </c>
    </row>
    <row r="40" spans="1:61" x14ac:dyDescent="0.45">
      <c r="A40" s="261" t="s">
        <v>1104</v>
      </c>
      <c r="B40" s="101" t="s">
        <v>1000</v>
      </c>
      <c r="C40" s="263">
        <v>44557</v>
      </c>
      <c r="D40" s="101" t="s">
        <v>66</v>
      </c>
      <c r="E40" s="262" t="s">
        <v>51</v>
      </c>
      <c r="F40" s="101">
        <v>24</v>
      </c>
      <c r="G40" s="101">
        <v>30</v>
      </c>
      <c r="H40" s="264" t="s">
        <v>43</v>
      </c>
      <c r="I40" s="98" t="s">
        <v>583</v>
      </c>
      <c r="J40" s="97">
        <v>44574</v>
      </c>
      <c r="K40" s="262">
        <v>659</v>
      </c>
      <c r="L40" s="265">
        <v>36.25</v>
      </c>
      <c r="M40" s="99">
        <v>46.51</v>
      </c>
      <c r="N40" s="98">
        <v>18</v>
      </c>
      <c r="O40" s="414" t="str">
        <f t="shared" si="1"/>
        <v>24 x 30</v>
      </c>
      <c r="P40" s="100" t="str">
        <f t="shared" si="2"/>
        <v>26 x 32</v>
      </c>
      <c r="Q40" s="274">
        <f t="shared" si="3"/>
        <v>6.49</v>
      </c>
      <c r="R40" s="100" t="str">
        <f t="shared" si="4"/>
        <v>42 x 36 x 6</v>
      </c>
      <c r="S40" s="100">
        <v>42</v>
      </c>
      <c r="T40" s="100">
        <v>36</v>
      </c>
      <c r="U40" s="100">
        <v>6</v>
      </c>
      <c r="V40" s="415">
        <f t="shared" si="5"/>
        <v>126</v>
      </c>
      <c r="W40" s="289">
        <f t="shared" si="21"/>
        <v>1.2830344827586206</v>
      </c>
      <c r="X40" s="289" t="str">
        <f t="shared" si="22"/>
        <v>Yes</v>
      </c>
      <c r="Y40" s="275" t="e">
        <f t="shared" si="23"/>
        <v>#REF!</v>
      </c>
      <c r="Z40" s="308" t="e">
        <f t="shared" si="24"/>
        <v>#REF!</v>
      </c>
      <c r="AA40" s="276" t="e">
        <f t="shared" si="25"/>
        <v>#REF!</v>
      </c>
      <c r="AB40" s="308" t="e">
        <f t="shared" si="26"/>
        <v>#REF!</v>
      </c>
      <c r="AC40" s="274" t="e">
        <f>IF(X40="","",IF(D40="2 3D",((F40-0.5)*2+(G40-0.5)*2)*VLOOKUP("3D base",#REF!,2,FALSE),IF(D40="3 Canv", IF(E40="Roll",0,ROUND(SUM(F40:G40)*2,0)),0)*VLOOKUP("Stretcher Bar",#REF!,2,FALSE)))</f>
        <v>#REF!</v>
      </c>
      <c r="AD40" s="274" t="e">
        <f>IF(X40="","",IF(E40="Roll",0,IF(D40="2 3D",(SUM(F40:G40)*2)*VLOOKUP("3D epoxy",#REF!,2,FALSE),IF(D40="3 Canv",VLOOKUP("Wood glue",#REF!,2,FALSE),""))))</f>
        <v>#REF!</v>
      </c>
      <c r="AE40" s="274" t="e">
        <f>IF(D40="3 Canv",(((F40+5)*(G40+5)))*VLOOKUP("Canvas",#REF!,2,FALSE),IF(D40="2 3D",(((F40)*(G40)))*VLOOKUP("Dibond",#REF!,2,FALSE),""))</f>
        <v>#REF!</v>
      </c>
      <c r="AF40" s="274" t="e">
        <f>IF(D40="2 3D",F40*G40*VLOOKUP("3D ink",#REF!,2,FALSE),IF(D40="3 Canv",F40*G40*VLOOKUP("Canvas ink",#REF!,2,FALSE),""))</f>
        <v>#REF!</v>
      </c>
      <c r="AG40" s="274" t="e">
        <f>IF(D40="3 Canv",IF(E40="Roll","",ROUNDUP((SUM(F40:G40)*2)/3,"")*VLOOKUP("Staples",#REF!,2,FALSE)),"")</f>
        <v>#VALUE!</v>
      </c>
      <c r="AH40" s="274" t="e">
        <f>IF(AF40="","",(SUM(F40:G40)*2)*VLOOKUP(E40,#REF!,2,FALSE))</f>
        <v>#REF!</v>
      </c>
      <c r="AI40" s="100">
        <f t="shared" si="27"/>
        <v>44</v>
      </c>
      <c r="AJ40" s="274" t="e">
        <f>IF(AI40="","",AI40*VLOOKUP("Staples",#REF!,2,FALSE))</f>
        <v>#REF!</v>
      </c>
      <c r="AK40" s="100" t="e">
        <f t="shared" si="28"/>
        <v>#REF!</v>
      </c>
      <c r="AL40" s="274" t="e">
        <f>IF(AK40="","",AK40*VLOOKUP("Frame screw",#REF!,2,FALSE))</f>
        <v>#REF!</v>
      </c>
      <c r="AM40" s="100" t="e">
        <f t="shared" si="29"/>
        <v>#REF!</v>
      </c>
      <c r="AN40" s="274" t="e">
        <f>IF(AM40="","",AM40*VLOOKUP("D ring",#REF!,2,FALSE))</f>
        <v>#REF!</v>
      </c>
      <c r="AO40" s="100" t="e">
        <f t="shared" si="30"/>
        <v>#REF!</v>
      </c>
      <c r="AP40" s="274" t="e">
        <f>IF(AO40="","",IF(G40&gt;59,AO40* VLOOKUP("8 wire",#REF!,2,FALSE)*2,IF(G40&gt;39,AO40* VLOOKUP("8 wire",#REF!,2,FALSE),AO40* VLOOKUP("6 wire",#REF!,2,FALSE))))</f>
        <v>#REF!</v>
      </c>
      <c r="AQ40" s="100">
        <f t="shared" si="31"/>
        <v>4</v>
      </c>
      <c r="AR40" s="100" t="e">
        <f>IF(AQ40="","",AQ40*VLOOKUP("Pads",#REF!,2,FALSE))</f>
        <v>#REF!</v>
      </c>
      <c r="AS40" s="100">
        <f t="shared" si="32"/>
        <v>1</v>
      </c>
      <c r="AT40" s="274" t="e">
        <f>IF(AS40="","",AS40*VLOOKUP("4 mil bag",#REF!,2,FALSE))</f>
        <v>#REF!</v>
      </c>
      <c r="AU40" s="274" t="e">
        <f>IF(X40="","",IF(I40="N/A","",IF(I40="CNC",IF(G40&gt;37,20,10),VLOOKUP(I40,#REF!,2,FALSE))))</f>
        <v>#REF!</v>
      </c>
      <c r="AV40" s="100" t="str">
        <f>IF(X40="","",IF(I40="CNC",VLOOKUP("Glue stick",#REF!,2,FALSE),""))</f>
        <v/>
      </c>
      <c r="AW40" s="100" t="str">
        <f>IF(X40="","",IF(I40="CNC",16*VLOOKUP("Box staples",#REF!,2,FALSE),""))</f>
        <v/>
      </c>
      <c r="AX40" s="274" t="e">
        <f>IF(X40="","",IF(I40="CNC",((((G40+6)+(F40+6))*2)+24)*VLOOKUP("sealing tape",#REF!,2,FALSE),VLOOKUP("Strapping tape",#REF!,2,FALSE)))</f>
        <v>#REF!</v>
      </c>
      <c r="AY40" s="17"/>
      <c r="AZ40" s="17"/>
      <c r="BA40" s="17"/>
      <c r="BB40" s="17"/>
      <c r="BC40" s="96"/>
      <c r="BE40" s="96"/>
      <c r="BF40" s="96"/>
      <c r="BG40" s="96"/>
      <c r="BH40" s="96"/>
      <c r="BI40" s="96"/>
    </row>
    <row r="41" spans="1:61" x14ac:dyDescent="0.45">
      <c r="A41" s="103" t="s">
        <v>249</v>
      </c>
      <c r="B41" s="17" t="s">
        <v>1111</v>
      </c>
      <c r="C41" s="16">
        <v>44538</v>
      </c>
      <c r="D41" s="17" t="s">
        <v>54</v>
      </c>
      <c r="E41" s="15" t="s">
        <v>690</v>
      </c>
      <c r="F41" s="17">
        <v>22</v>
      </c>
      <c r="G41" s="17">
        <v>32</v>
      </c>
      <c r="H41" s="3" t="s">
        <v>43</v>
      </c>
      <c r="I41" s="88" t="s">
        <v>480</v>
      </c>
      <c r="J41" s="87">
        <v>44575</v>
      </c>
      <c r="K41" s="15">
        <f t="shared" ref="K41:K42" si="44">4700/3</f>
        <v>1566.6666666666667</v>
      </c>
      <c r="L41" s="96">
        <v>0</v>
      </c>
      <c r="M41" s="89">
        <v>31.81</v>
      </c>
      <c r="N41" s="88">
        <v>22</v>
      </c>
      <c r="O41" s="413" t="str">
        <f t="shared" si="1"/>
        <v>22 x 32</v>
      </c>
      <c r="P41" s="18" t="str">
        <f t="shared" si="2"/>
        <v>24 x 34</v>
      </c>
      <c r="Q41" s="91">
        <f t="shared" si="3"/>
        <v>150</v>
      </c>
      <c r="R41" s="18" t="str">
        <f t="shared" si="4"/>
        <v>44 x 35 x 5</v>
      </c>
      <c r="S41" s="18">
        <v>44</v>
      </c>
      <c r="T41" s="18">
        <v>35</v>
      </c>
      <c r="U41" s="18">
        <v>5</v>
      </c>
      <c r="V41" s="90">
        <f t="shared" si="5"/>
        <v>124</v>
      </c>
      <c r="W41" s="287" t="str">
        <f t="shared" si="21"/>
        <v/>
      </c>
      <c r="X41" s="287" t="str">
        <f t="shared" si="22"/>
        <v>Yes</v>
      </c>
      <c r="Y41" s="93" t="e">
        <f t="shared" si="23"/>
        <v>#REF!</v>
      </c>
      <c r="Z41" s="288" t="e">
        <f t="shared" si="24"/>
        <v>#REF!</v>
      </c>
      <c r="AA41" s="94" t="e">
        <f t="shared" si="25"/>
        <v>#REF!</v>
      </c>
      <c r="AB41" s="288" t="e">
        <f t="shared" si="26"/>
        <v>#REF!</v>
      </c>
      <c r="AC41" s="91" t="e">
        <f>IF(X41="","",IF(D41="2 3D",((F41-0.5)*2+(G41-0.5)*2)*VLOOKUP("3D base",#REF!,2,FALSE),IF(D41="3 Canv", IF(E41="Roll",0,ROUND(SUM(F41:G41)*2,0)),0)*VLOOKUP("Stretcher Bar",#REF!,2,FALSE)))</f>
        <v>#REF!</v>
      </c>
      <c r="AD41" s="91" t="e">
        <f>IF(X41="","",IF(E41="Roll",0,IF(D41="2 3D",(SUM(F41:G41)*2)*VLOOKUP("3D epoxy",#REF!,2,FALSE),IF(D41="3 Canv",VLOOKUP("Wood glue",#REF!,2,FALSE),""))))</f>
        <v>#REF!</v>
      </c>
      <c r="AE41" s="91" t="e">
        <f>IF(D41="3 Canv",(((F41+5)*(G41+5)))*VLOOKUP("Canvas",#REF!,2,FALSE),IF(D41="2 3D",(((F41)*(G41)))*VLOOKUP("Dibond",#REF!,2,FALSE),""))</f>
        <v>#REF!</v>
      </c>
      <c r="AF41" s="91" t="e">
        <f>IF(D41="2 3D",F41*G41*VLOOKUP("3D ink",#REF!,2,FALSE),IF(D41="3 Canv",F41*G41*VLOOKUP("Canvas ink",#REF!,2,FALSE),""))</f>
        <v>#REF!</v>
      </c>
      <c r="AG41" s="91" t="str">
        <f>IF(D41="3 Canv",IF(E41="Roll","",ROUNDUP((SUM(F41:G41)*2)/3,"")*VLOOKUP("Staples",#REF!,2,FALSE)),"")</f>
        <v/>
      </c>
      <c r="AH41" s="91" t="e">
        <f>IF(AF41="","",(SUM(F41:G41)*2)*VLOOKUP(E41,#REF!,2,FALSE))</f>
        <v>#REF!</v>
      </c>
      <c r="AI41" s="18">
        <f t="shared" si="27"/>
        <v>44</v>
      </c>
      <c r="AJ41" s="91" t="e">
        <f>IF(AI41="","",AI41*VLOOKUP("Staples",#REF!,2,FALSE))</f>
        <v>#REF!</v>
      </c>
      <c r="AK41" s="18" t="e">
        <f t="shared" si="28"/>
        <v>#REF!</v>
      </c>
      <c r="AL41" s="91" t="e">
        <f>IF(AK41="","",AK41*VLOOKUP("Frame screw",#REF!,2,FALSE))</f>
        <v>#REF!</v>
      </c>
      <c r="AM41" s="18" t="e">
        <f t="shared" si="29"/>
        <v>#REF!</v>
      </c>
      <c r="AN41" s="91" t="e">
        <f>IF(AM41="","",AM41*VLOOKUP("D ring",#REF!,2,FALSE))</f>
        <v>#REF!</v>
      </c>
      <c r="AO41" s="18" t="e">
        <f t="shared" si="30"/>
        <v>#REF!</v>
      </c>
      <c r="AP41" s="91" t="e">
        <f>IF(AO41="","",IF(G41&gt;59,AO41* VLOOKUP("8 wire",#REF!,2,FALSE)*2,IF(G41&gt;39,AO41* VLOOKUP("8 wire",#REF!,2,FALSE),AO41* VLOOKUP("6 wire",#REF!,2,FALSE))))</f>
        <v>#REF!</v>
      </c>
      <c r="AQ41" s="18">
        <f t="shared" si="31"/>
        <v>4</v>
      </c>
      <c r="AR41" s="18" t="e">
        <f>IF(AQ41="","",AQ41*VLOOKUP("Pads",#REF!,2,FALSE))</f>
        <v>#REF!</v>
      </c>
      <c r="AS41" s="18">
        <f t="shared" si="32"/>
        <v>1</v>
      </c>
      <c r="AT41" s="91" t="e">
        <f>IF(AS41="","",AS41*VLOOKUP("4 mil bag",#REF!,2,FALSE))</f>
        <v>#REF!</v>
      </c>
      <c r="AU41" s="91" t="e">
        <f>IF(X41="","",IF(I41="N/A","",IF(I41="CNC",IF(G41&gt;37,20,10),VLOOKUP(I41,#REF!,2,FALSE))))</f>
        <v>#REF!</v>
      </c>
      <c r="AV41" s="18" t="str">
        <f>IF(X41="","",IF(I41="CNC",VLOOKUP("Glue stick",#REF!,2,FALSE),""))</f>
        <v/>
      </c>
      <c r="AW41" s="18" t="str">
        <f>IF(X41="","",IF(I41="CNC",16*VLOOKUP("Box staples",#REF!,2,FALSE),""))</f>
        <v/>
      </c>
      <c r="AX41" s="91" t="e">
        <f>IF(X41="","",IF(I41="CNC",((((G41+6)+(F41+6))*2)+24)*VLOOKUP("sealing tape",#REF!,2,FALSE),VLOOKUP("Strapping tape",#REF!,2,FALSE)))</f>
        <v>#REF!</v>
      </c>
      <c r="AY41" s="17"/>
      <c r="AZ41" s="17" t="s">
        <v>2661</v>
      </c>
      <c r="BA41" s="17">
        <f>COUNTIF(I:I,"CRATE")</f>
        <v>7</v>
      </c>
      <c r="BB41" s="15">
        <f ca="1">SUMIF(I:K,"CRATE",K:K)</f>
        <v>22048.67</v>
      </c>
      <c r="BC41" s="96">
        <f ca="1">SUMIF(I:K,"CRATE",K:K)+SUMIF(I:L,"CRATE",L:L)</f>
        <v>22687.00333333333</v>
      </c>
      <c r="BD41" s="416" t="e">
        <f ca="1">BE41/BC41</f>
        <v>#REF!</v>
      </c>
      <c r="BE41" s="96" t="e">
        <f ca="1">BF41+BA41*BC49</f>
        <v>#REF!</v>
      </c>
      <c r="BF41" s="96" t="e">
        <f ca="1">SUMIF(I:Y,AZ41,Y:Y)</f>
        <v>#REF!</v>
      </c>
      <c r="BG41" s="416" t="e">
        <f ca="1">BF41/BC41</f>
        <v>#REF!</v>
      </c>
      <c r="BH41" s="96" t="e">
        <f ca="1">SUMIF(I:AA,AZ41,AA:AA)</f>
        <v>#REF!</v>
      </c>
      <c r="BI41" s="416" t="e">
        <f ca="1">BH41/BB41</f>
        <v>#REF!</v>
      </c>
    </row>
    <row r="42" spans="1:61" x14ac:dyDescent="0.45">
      <c r="A42" s="103" t="s">
        <v>499</v>
      </c>
      <c r="B42" s="17" t="s">
        <v>1111</v>
      </c>
      <c r="C42" s="16">
        <v>44538</v>
      </c>
      <c r="D42" s="17" t="s">
        <v>54</v>
      </c>
      <c r="E42" s="15" t="s">
        <v>690</v>
      </c>
      <c r="F42" s="17">
        <v>27</v>
      </c>
      <c r="G42" s="17">
        <v>36</v>
      </c>
      <c r="H42" s="3" t="s">
        <v>43</v>
      </c>
      <c r="I42" s="88" t="s">
        <v>489</v>
      </c>
      <c r="J42" s="87">
        <v>44575</v>
      </c>
      <c r="K42" s="15">
        <f t="shared" si="44"/>
        <v>1566.6666666666667</v>
      </c>
      <c r="L42" s="96">
        <v>0</v>
      </c>
      <c r="M42" s="89">
        <v>34.9</v>
      </c>
      <c r="N42" s="88">
        <v>22</v>
      </c>
      <c r="O42" s="413" t="str">
        <f t="shared" si="1"/>
        <v>27 x 36</v>
      </c>
      <c r="P42" s="18" t="str">
        <f t="shared" si="2"/>
        <v>29 x 38</v>
      </c>
      <c r="Q42" s="91">
        <f t="shared" si="3"/>
        <v>132</v>
      </c>
      <c r="R42" s="18" t="str">
        <f t="shared" si="4"/>
        <v>43 x 36 x 4</v>
      </c>
      <c r="S42" s="18">
        <v>43</v>
      </c>
      <c r="T42" s="18">
        <v>36</v>
      </c>
      <c r="U42" s="18">
        <v>4</v>
      </c>
      <c r="V42" s="90">
        <f t="shared" si="5"/>
        <v>123</v>
      </c>
      <c r="W42" s="287" t="str">
        <f t="shared" si="21"/>
        <v/>
      </c>
      <c r="X42" s="287" t="str">
        <f t="shared" si="22"/>
        <v>Yes</v>
      </c>
      <c r="Y42" s="93" t="e">
        <f t="shared" si="23"/>
        <v>#REF!</v>
      </c>
      <c r="Z42" s="288" t="e">
        <f t="shared" si="24"/>
        <v>#REF!</v>
      </c>
      <c r="AA42" s="94" t="e">
        <f t="shared" si="25"/>
        <v>#REF!</v>
      </c>
      <c r="AB42" s="288" t="e">
        <f t="shared" si="26"/>
        <v>#REF!</v>
      </c>
      <c r="AC42" s="91" t="e">
        <f>IF(X42="","",IF(D42="2 3D",((F42-0.5)*2+(G42-0.5)*2)*VLOOKUP("3D base",#REF!,2,FALSE),IF(D42="3 Canv", IF(E42="Roll",0,ROUND(SUM(F42:G42)*2,0)),0)*VLOOKUP("Stretcher Bar",#REF!,2,FALSE)))</f>
        <v>#REF!</v>
      </c>
      <c r="AD42" s="91" t="e">
        <f>IF(X42="","",IF(E42="Roll",0,IF(D42="2 3D",(SUM(F42:G42)*2)*VLOOKUP("3D epoxy",#REF!,2,FALSE),IF(D42="3 Canv",VLOOKUP("Wood glue",#REF!,2,FALSE),""))))</f>
        <v>#REF!</v>
      </c>
      <c r="AE42" s="91" t="e">
        <f>IF(D42="3 Canv",(((F42+5)*(G42+5)))*VLOOKUP("Canvas",#REF!,2,FALSE),IF(D42="2 3D",(((F42)*(G42)))*VLOOKUP("Dibond",#REF!,2,FALSE),""))</f>
        <v>#REF!</v>
      </c>
      <c r="AF42" s="91" t="e">
        <f>IF(D42="2 3D",F42*G42*VLOOKUP("3D ink",#REF!,2,FALSE),IF(D42="3 Canv",F42*G42*VLOOKUP("Canvas ink",#REF!,2,FALSE),""))</f>
        <v>#REF!</v>
      </c>
      <c r="AG42" s="91" t="str">
        <f>IF(D42="3 Canv",IF(E42="Roll","",ROUNDUP((SUM(F42:G42)*2)/3,"")*VLOOKUP("Staples",#REF!,2,FALSE)),"")</f>
        <v/>
      </c>
      <c r="AH42" s="91" t="e">
        <f>IF(AF42="","",(SUM(F42:G42)*2)*VLOOKUP(E42,#REF!,2,FALSE))</f>
        <v>#REF!</v>
      </c>
      <c r="AI42" s="18">
        <f t="shared" si="27"/>
        <v>44</v>
      </c>
      <c r="AJ42" s="91" t="e">
        <f>IF(AI42="","",AI42*VLOOKUP("Staples",#REF!,2,FALSE))</f>
        <v>#REF!</v>
      </c>
      <c r="AK42" s="18" t="e">
        <f t="shared" si="28"/>
        <v>#REF!</v>
      </c>
      <c r="AL42" s="91" t="e">
        <f>IF(AK42="","",AK42*VLOOKUP("Frame screw",#REF!,2,FALSE))</f>
        <v>#REF!</v>
      </c>
      <c r="AM42" s="18" t="e">
        <f t="shared" si="29"/>
        <v>#REF!</v>
      </c>
      <c r="AN42" s="91" t="e">
        <f>IF(AM42="","",AM42*VLOOKUP("D ring",#REF!,2,FALSE))</f>
        <v>#REF!</v>
      </c>
      <c r="AO42" s="18" t="e">
        <f t="shared" si="30"/>
        <v>#REF!</v>
      </c>
      <c r="AP42" s="91" t="e">
        <f>IF(AO42="","",IF(G42&gt;59,AO42* VLOOKUP("8 wire",#REF!,2,FALSE)*2,IF(G42&gt;39,AO42* VLOOKUP("8 wire",#REF!,2,FALSE),AO42* VLOOKUP("6 wire",#REF!,2,FALSE))))</f>
        <v>#REF!</v>
      </c>
      <c r="AQ42" s="18">
        <f t="shared" si="31"/>
        <v>4</v>
      </c>
      <c r="AR42" s="18" t="e">
        <f>IF(AQ42="","",AQ42*VLOOKUP("Pads",#REF!,2,FALSE))</f>
        <v>#REF!</v>
      </c>
      <c r="AS42" s="18">
        <f t="shared" si="32"/>
        <v>1</v>
      </c>
      <c r="AT42" s="91" t="e">
        <f>IF(AS42="","",AS42*VLOOKUP("4 mil bag",#REF!,2,FALSE))</f>
        <v>#REF!</v>
      </c>
      <c r="AU42" s="91" t="e">
        <f>IF(X42="","",IF(I42="N/A","",IF(I42="CNC",IF(G42&gt;37,20,10),VLOOKUP(I42,#REF!,2,FALSE))))</f>
        <v>#REF!</v>
      </c>
      <c r="AV42" s="18" t="str">
        <f>IF(X42="","",IF(I42="CNC",VLOOKUP("Glue stick",#REF!,2,FALSE),""))</f>
        <v/>
      </c>
      <c r="AW42" s="18" t="str">
        <f>IF(X42="","",IF(I42="CNC",16*VLOOKUP("Box staples",#REF!,2,FALSE),""))</f>
        <v/>
      </c>
      <c r="AX42" s="91" t="e">
        <f>IF(X42="","",IF(I42="CNC",((((G42+6)+(F42+6))*2)+24)*VLOOKUP("sealing tape",#REF!,2,FALSE),VLOOKUP("Strapping tape",#REF!,2,FALSE)))</f>
        <v>#REF!</v>
      </c>
      <c r="AY42" s="17"/>
      <c r="AZ42" s="17"/>
      <c r="BA42" s="17"/>
      <c r="BB42" s="17"/>
      <c r="BC42" s="96"/>
      <c r="BD42" s="96"/>
      <c r="BE42" s="96"/>
      <c r="BF42" s="96"/>
      <c r="BG42" s="96"/>
      <c r="BH42" s="96"/>
      <c r="BI42" s="96"/>
    </row>
    <row r="43" spans="1:61" x14ac:dyDescent="0.45">
      <c r="A43" s="103" t="s">
        <v>240</v>
      </c>
      <c r="B43" s="17" t="s">
        <v>1117</v>
      </c>
      <c r="C43" s="16">
        <v>44560</v>
      </c>
      <c r="D43" s="17" t="s">
        <v>66</v>
      </c>
      <c r="E43" s="15" t="s">
        <v>50</v>
      </c>
      <c r="F43" s="17">
        <v>27</v>
      </c>
      <c r="G43" s="17">
        <v>36</v>
      </c>
      <c r="H43" s="3" t="s">
        <v>43</v>
      </c>
      <c r="I43" s="88" t="s">
        <v>583</v>
      </c>
      <c r="J43" s="87">
        <v>44575</v>
      </c>
      <c r="K43" s="15">
        <v>578</v>
      </c>
      <c r="L43" s="96">
        <v>30</v>
      </c>
      <c r="M43" s="89">
        <v>37.229999999999997</v>
      </c>
      <c r="N43" s="88">
        <v>15</v>
      </c>
      <c r="O43" s="413" t="str">
        <f t="shared" si="1"/>
        <v>27 x 36</v>
      </c>
      <c r="P43" s="18" t="str">
        <f t="shared" si="2"/>
        <v>27 x 36</v>
      </c>
      <c r="Q43" s="91">
        <f t="shared" si="3"/>
        <v>6.49</v>
      </c>
      <c r="R43" s="18" t="str">
        <f t="shared" si="4"/>
        <v>42 x 36 x 6</v>
      </c>
      <c r="S43" s="18">
        <v>42</v>
      </c>
      <c r="T43" s="18">
        <v>36</v>
      </c>
      <c r="U43" s="18">
        <v>6</v>
      </c>
      <c r="V43" s="90">
        <f t="shared" si="5"/>
        <v>126</v>
      </c>
      <c r="W43" s="287">
        <f t="shared" si="21"/>
        <v>1.2409999999999999</v>
      </c>
      <c r="X43" s="287" t="str">
        <f t="shared" si="22"/>
        <v>Yes</v>
      </c>
      <c r="Y43" s="93" t="e">
        <f t="shared" si="23"/>
        <v>#REF!</v>
      </c>
      <c r="Z43" s="288" t="e">
        <f t="shared" si="24"/>
        <v>#REF!</v>
      </c>
      <c r="AA43" s="94" t="e">
        <f t="shared" si="25"/>
        <v>#REF!</v>
      </c>
      <c r="AB43" s="288" t="e">
        <f t="shared" si="26"/>
        <v>#REF!</v>
      </c>
      <c r="AC43" s="91" t="e">
        <f>IF(X43="","",IF(D43="2 3D",((F43-0.5)*2+(G43-0.5)*2)*VLOOKUP("3D base",#REF!,2,FALSE),IF(D43="3 Canv", IF(E43="Roll",0,ROUND(SUM(F43:G43)*2,0)),0)*VLOOKUP("Stretcher Bar",#REF!,2,FALSE)))</f>
        <v>#REF!</v>
      </c>
      <c r="AD43" s="91" t="e">
        <f>IF(X43="","",IF(E43="Roll",0,IF(D43="2 3D",(SUM(F43:G43)*2)*VLOOKUP("3D epoxy",#REF!,2,FALSE),IF(D43="3 Canv",VLOOKUP("Wood glue",#REF!,2,FALSE),""))))</f>
        <v>#REF!</v>
      </c>
      <c r="AE43" s="91" t="e">
        <f>IF(D43="3 Canv",(((F43+5)*(G43+5)))*VLOOKUP("Canvas",#REF!,2,FALSE),IF(D43="2 3D",(((F43)*(G43)))*VLOOKUP("Dibond",#REF!,2,FALSE),""))</f>
        <v>#REF!</v>
      </c>
      <c r="AF43" s="91" t="e">
        <f>IF(D43="2 3D",F43*G43*VLOOKUP("3D ink",#REF!,2,FALSE),IF(D43="3 Canv",F43*G43*VLOOKUP("Canvas ink",#REF!,2,FALSE),""))</f>
        <v>#REF!</v>
      </c>
      <c r="AG43" s="91" t="e">
        <f>IF(D43="3 Canv",IF(E43="Roll","",ROUNDUP((SUM(F43:G43)*2)/3,"")*VLOOKUP("Staples",#REF!,2,FALSE)),"")</f>
        <v>#VALUE!</v>
      </c>
      <c r="AH43" s="91" t="e">
        <f>IF(AF43="","",(SUM(F43:G43)*2)*VLOOKUP(E43,#REF!,2,FALSE))</f>
        <v>#REF!</v>
      </c>
      <c r="AI43" s="18">
        <f t="shared" si="27"/>
        <v>16</v>
      </c>
      <c r="AJ43" s="91" t="e">
        <f>IF(AI43="","",AI43*VLOOKUP("Staples",#REF!,2,FALSE))</f>
        <v>#REF!</v>
      </c>
      <c r="AK43" s="18" t="e">
        <f t="shared" si="28"/>
        <v>#REF!</v>
      </c>
      <c r="AL43" s="91" t="e">
        <f>IF(AK43="","",AK43*VLOOKUP("Frame screw",#REF!,2,FALSE))</f>
        <v>#REF!</v>
      </c>
      <c r="AM43" s="18" t="e">
        <f t="shared" si="29"/>
        <v>#REF!</v>
      </c>
      <c r="AN43" s="91" t="e">
        <f>IF(AM43="","",AM43*VLOOKUP("D ring",#REF!,2,FALSE))</f>
        <v>#REF!</v>
      </c>
      <c r="AO43" s="18" t="e">
        <f t="shared" si="30"/>
        <v>#REF!</v>
      </c>
      <c r="AP43" s="91" t="e">
        <f>IF(AO43="","",IF(G43&gt;59,AO43* VLOOKUP("8 wire",#REF!,2,FALSE)*2,IF(G43&gt;39,AO43* VLOOKUP("8 wire",#REF!,2,FALSE),AO43* VLOOKUP("6 wire",#REF!,2,FALSE))))</f>
        <v>#REF!</v>
      </c>
      <c r="AQ43" s="18">
        <f t="shared" si="31"/>
        <v>4</v>
      </c>
      <c r="AR43" s="18" t="e">
        <f>IF(AQ43="","",AQ43*VLOOKUP("Pads",#REF!,2,FALSE))</f>
        <v>#REF!</v>
      </c>
      <c r="AS43" s="18">
        <f t="shared" si="32"/>
        <v>1</v>
      </c>
      <c r="AT43" s="91" t="e">
        <f>IF(AS43="","",AS43*VLOOKUP("4 mil bag",#REF!,2,FALSE))</f>
        <v>#REF!</v>
      </c>
      <c r="AU43" s="91" t="e">
        <f>IF(X43="","",IF(I43="N/A","",IF(I43="CNC",IF(G43&gt;37,20,10),VLOOKUP(I43,#REF!,2,FALSE))))</f>
        <v>#REF!</v>
      </c>
      <c r="AV43" s="18" t="str">
        <f>IF(X43="","",IF(I43="CNC",VLOOKUP("Glue stick",#REF!,2,FALSE),""))</f>
        <v/>
      </c>
      <c r="AW43" s="18" t="str">
        <f>IF(X43="","",IF(I43="CNC",16*VLOOKUP("Box staples",#REF!,2,FALSE),""))</f>
        <v/>
      </c>
      <c r="AX43" s="91" t="e">
        <f>IF(X43="","",IF(I43="CNC",((((G43+6)+(F43+6))*2)+24)*VLOOKUP("sealing tape",#REF!,2,FALSE),VLOOKUP("Strapping tape",#REF!,2,FALSE)))</f>
        <v>#REF!</v>
      </c>
      <c r="AY43" s="17"/>
      <c r="AZ43" s="17"/>
      <c r="BA43" s="17"/>
      <c r="BB43" s="17"/>
      <c r="BC43" s="96"/>
      <c r="BD43" s="96"/>
      <c r="BE43" s="96"/>
      <c r="BF43" s="96"/>
      <c r="BG43" s="96"/>
      <c r="BH43" s="96"/>
      <c r="BI43" s="96"/>
    </row>
    <row r="44" spans="1:61" x14ac:dyDescent="0.45">
      <c r="A44" s="103" t="s">
        <v>1106</v>
      </c>
      <c r="B44" s="17" t="s">
        <v>1105</v>
      </c>
      <c r="C44" s="16">
        <v>44562</v>
      </c>
      <c r="D44" s="17" t="s">
        <v>66</v>
      </c>
      <c r="E44" s="15" t="s">
        <v>50</v>
      </c>
      <c r="F44" s="17">
        <v>30</v>
      </c>
      <c r="G44" s="17">
        <v>40</v>
      </c>
      <c r="H44" s="3" t="s">
        <v>43</v>
      </c>
      <c r="I44" s="88" t="s">
        <v>600</v>
      </c>
      <c r="J44" s="87">
        <v>44578</v>
      </c>
      <c r="K44" s="15">
        <v>664</v>
      </c>
      <c r="L44" s="96">
        <v>35</v>
      </c>
      <c r="M44" s="89">
        <v>31.34</v>
      </c>
      <c r="N44" s="88">
        <v>16</v>
      </c>
      <c r="O44" s="413" t="str">
        <f t="shared" si="1"/>
        <v>30 x 40</v>
      </c>
      <c r="P44" s="18" t="str">
        <f t="shared" si="2"/>
        <v>30 x 40</v>
      </c>
      <c r="Q44" s="91">
        <f t="shared" si="3"/>
        <v>10.3</v>
      </c>
      <c r="R44" s="18" t="str">
        <f t="shared" si="4"/>
        <v>44 x 35 x 6</v>
      </c>
      <c r="S44" s="18">
        <v>44</v>
      </c>
      <c r="T44" s="18">
        <v>35</v>
      </c>
      <c r="U44" s="18">
        <v>6</v>
      </c>
      <c r="V44" s="90">
        <f t="shared" si="5"/>
        <v>126</v>
      </c>
      <c r="W44" s="287">
        <f t="shared" si="21"/>
        <v>0.89542857142857146</v>
      </c>
      <c r="X44" s="287" t="str">
        <f t="shared" si="22"/>
        <v>Yes</v>
      </c>
      <c r="Y44" s="93" t="e">
        <f t="shared" si="23"/>
        <v>#REF!</v>
      </c>
      <c r="Z44" s="288" t="e">
        <f t="shared" si="24"/>
        <v>#REF!</v>
      </c>
      <c r="AA44" s="94" t="e">
        <f t="shared" si="25"/>
        <v>#REF!</v>
      </c>
      <c r="AB44" s="288" t="e">
        <f t="shared" si="26"/>
        <v>#REF!</v>
      </c>
      <c r="AC44" s="91" t="e">
        <f>IF(X44="","",IF(D44="2 3D",((F44-0.5)*2+(G44-0.5)*2)*VLOOKUP("3D base",#REF!,2,FALSE),IF(D44="3 Canv", IF(E44="Roll",0,ROUND(SUM(F44:G44)*2,0)),0)*VLOOKUP("Stretcher Bar",#REF!,2,FALSE)))</f>
        <v>#REF!</v>
      </c>
      <c r="AD44" s="91" t="e">
        <f>IF(X44="","",IF(E44="Roll",0,IF(D44="2 3D",(SUM(F44:G44)*2)*VLOOKUP("3D epoxy",#REF!,2,FALSE),IF(D44="3 Canv",VLOOKUP("Wood glue",#REF!,2,FALSE),""))))</f>
        <v>#REF!</v>
      </c>
      <c r="AE44" s="91" t="e">
        <f>IF(D44="3 Canv",(((F44+5)*(G44+5)))*VLOOKUP("Canvas",#REF!,2,FALSE),IF(D44="2 3D",(((F44)*(G44)))*VLOOKUP("Dibond",#REF!,2,FALSE),""))</f>
        <v>#REF!</v>
      </c>
      <c r="AF44" s="91" t="e">
        <f>IF(D44="2 3D",F44*G44*VLOOKUP("3D ink",#REF!,2,FALSE),IF(D44="3 Canv",F44*G44*VLOOKUP("Canvas ink",#REF!,2,FALSE),""))</f>
        <v>#REF!</v>
      </c>
      <c r="AG44" s="91" t="e">
        <f>IF(D44="3 Canv",IF(E44="Roll","",ROUNDUP((SUM(F44:G44)*2)/3,"")*VLOOKUP("Staples",#REF!,2,FALSE)),"")</f>
        <v>#VALUE!</v>
      </c>
      <c r="AH44" s="91" t="e">
        <f>IF(AF44="","",(SUM(F44:G44)*2)*VLOOKUP(E44,#REF!,2,FALSE))</f>
        <v>#REF!</v>
      </c>
      <c r="AI44" s="18">
        <f t="shared" si="27"/>
        <v>16</v>
      </c>
      <c r="AJ44" s="91" t="e">
        <f>IF(AI44="","",AI44*VLOOKUP("Staples",#REF!,2,FALSE))</f>
        <v>#REF!</v>
      </c>
      <c r="AK44" s="18" t="e">
        <f t="shared" si="28"/>
        <v>#REF!</v>
      </c>
      <c r="AL44" s="91" t="e">
        <f>IF(AK44="","",AK44*VLOOKUP("Frame screw",#REF!,2,FALSE))</f>
        <v>#REF!</v>
      </c>
      <c r="AM44" s="18" t="e">
        <f t="shared" si="29"/>
        <v>#REF!</v>
      </c>
      <c r="AN44" s="91" t="e">
        <f>IF(AM44="","",AM44*VLOOKUP("D ring",#REF!,2,FALSE))</f>
        <v>#REF!</v>
      </c>
      <c r="AO44" s="18" t="e">
        <f t="shared" si="30"/>
        <v>#REF!</v>
      </c>
      <c r="AP44" s="91" t="e">
        <f>IF(AO44="","",IF(G44&gt;59,AO44* VLOOKUP("8 wire",#REF!,2,FALSE)*2,IF(G44&gt;39,AO44* VLOOKUP("8 wire",#REF!,2,FALSE),AO44* VLOOKUP("6 wire",#REF!,2,FALSE))))</f>
        <v>#REF!</v>
      </c>
      <c r="AQ44" s="18">
        <f t="shared" si="31"/>
        <v>4</v>
      </c>
      <c r="AR44" s="18" t="e">
        <f>IF(AQ44="","",AQ44*VLOOKUP("Pads",#REF!,2,FALSE))</f>
        <v>#REF!</v>
      </c>
      <c r="AS44" s="18">
        <f t="shared" si="32"/>
        <v>1</v>
      </c>
      <c r="AT44" s="91" t="e">
        <f>IF(AS44="","",AS44*VLOOKUP("4 mil bag",#REF!,2,FALSE))</f>
        <v>#REF!</v>
      </c>
      <c r="AU44" s="91" t="e">
        <f>IF(X44="","",IF(I44="N/A","",IF(I44="CNC",IF(G44&gt;37,20,10),VLOOKUP(I44,#REF!,2,FALSE))))</f>
        <v>#REF!</v>
      </c>
      <c r="AV44" s="18" t="str">
        <f>IF(X44="","",IF(I44="CNC",VLOOKUP("Glue stick",#REF!,2,FALSE),""))</f>
        <v/>
      </c>
      <c r="AW44" s="18" t="str">
        <f>IF(X44="","",IF(I44="CNC",16*VLOOKUP("Box staples",#REF!,2,FALSE),""))</f>
        <v/>
      </c>
      <c r="AX44" s="91" t="e">
        <f>IF(X44="","",IF(I44="CNC",((((G44+6)+(F44+6))*2)+24)*VLOOKUP("sealing tape",#REF!,2,FALSE),VLOOKUP("Strapping tape",#REF!,2,FALSE)))</f>
        <v>#REF!</v>
      </c>
      <c r="AY44" s="17"/>
      <c r="AZ44" s="3" t="s">
        <v>7</v>
      </c>
      <c r="BA44" s="3" t="s">
        <v>1311</v>
      </c>
      <c r="BB44" s="3" t="s">
        <v>2733</v>
      </c>
      <c r="BC44" s="3" t="s">
        <v>2734</v>
      </c>
      <c r="BD44" s="96"/>
      <c r="BE44" s="96"/>
      <c r="BF44" s="96"/>
      <c r="BG44" s="96"/>
      <c r="BH44" s="96"/>
      <c r="BI44" s="96"/>
    </row>
    <row r="45" spans="1:61" x14ac:dyDescent="0.45">
      <c r="A45" s="103" t="s">
        <v>1107</v>
      </c>
      <c r="B45" s="17" t="s">
        <v>1291</v>
      </c>
      <c r="C45" s="16">
        <v>44545</v>
      </c>
      <c r="D45" s="17" t="s">
        <v>54</v>
      </c>
      <c r="E45" s="15" t="s">
        <v>690</v>
      </c>
      <c r="F45" s="17">
        <v>11</v>
      </c>
      <c r="G45" s="17">
        <v>14</v>
      </c>
      <c r="H45" s="3" t="s">
        <v>43</v>
      </c>
      <c r="I45" s="88" t="s">
        <v>502</v>
      </c>
      <c r="J45" s="87">
        <v>44576</v>
      </c>
      <c r="K45" s="15">
        <v>950</v>
      </c>
      <c r="L45" s="96">
        <v>0</v>
      </c>
      <c r="M45" s="89">
        <v>9.9</v>
      </c>
      <c r="N45" s="88">
        <v>7</v>
      </c>
      <c r="O45" s="413" t="str">
        <f t="shared" si="1"/>
        <v>11 x 14</v>
      </c>
      <c r="P45" s="18" t="str">
        <f t="shared" si="2"/>
        <v>13 x 16</v>
      </c>
      <c r="Q45" s="91">
        <f t="shared" si="3"/>
        <v>59</v>
      </c>
      <c r="R45" s="18" t="str">
        <f t="shared" si="4"/>
        <v>29 x 23 x 3</v>
      </c>
      <c r="S45" s="18">
        <v>29</v>
      </c>
      <c r="T45" s="18">
        <v>23</v>
      </c>
      <c r="U45" s="18">
        <v>3</v>
      </c>
      <c r="V45" s="90">
        <f t="shared" si="5"/>
        <v>81</v>
      </c>
      <c r="W45" s="287" t="str">
        <f t="shared" si="21"/>
        <v/>
      </c>
      <c r="X45" s="287" t="str">
        <f t="shared" si="22"/>
        <v>Yes</v>
      </c>
      <c r="Y45" s="93" t="e">
        <f t="shared" si="23"/>
        <v>#REF!</v>
      </c>
      <c r="Z45" s="288" t="e">
        <f t="shared" si="24"/>
        <v>#REF!</v>
      </c>
      <c r="AA45" s="94" t="e">
        <f t="shared" si="25"/>
        <v>#REF!</v>
      </c>
      <c r="AB45" s="288" t="e">
        <f t="shared" si="26"/>
        <v>#REF!</v>
      </c>
      <c r="AC45" s="91" t="e">
        <f>IF(X45="","",IF(D45="2 3D",((F45-0.5)*2+(G45-0.5)*2)*VLOOKUP("3D base",#REF!,2,FALSE),IF(D45="3 Canv", IF(E45="Roll",0,ROUND(SUM(F45:G45)*2,0)),0)*VLOOKUP("Stretcher Bar",#REF!,2,FALSE)))</f>
        <v>#REF!</v>
      </c>
      <c r="AD45" s="91" t="e">
        <f>IF(X45="","",IF(E45="Roll",0,IF(D45="2 3D",(SUM(F45:G45)*2)*VLOOKUP("3D epoxy",#REF!,2,FALSE),IF(D45="3 Canv",VLOOKUP("Wood glue",#REF!,2,FALSE),""))))</f>
        <v>#REF!</v>
      </c>
      <c r="AE45" s="91" t="e">
        <f>IF(D45="3 Canv",(((F45+5)*(G45+5)))*VLOOKUP("Canvas",#REF!,2,FALSE),IF(D45="2 3D",(((F45)*(G45)))*VLOOKUP("Dibond",#REF!,2,FALSE),""))</f>
        <v>#REF!</v>
      </c>
      <c r="AF45" s="91" t="e">
        <f>IF(D45="2 3D",F45*G45*VLOOKUP("3D ink",#REF!,2,FALSE),IF(D45="3 Canv",F45*G45*VLOOKUP("Canvas ink",#REF!,2,FALSE),""))</f>
        <v>#REF!</v>
      </c>
      <c r="AG45" s="91" t="str">
        <f>IF(D45="3 Canv",IF(E45="Roll","",ROUNDUP((SUM(F45:G45)*2)/3,"")*VLOOKUP("Staples",#REF!,2,FALSE)),"")</f>
        <v/>
      </c>
      <c r="AH45" s="91" t="e">
        <f>IF(AF45="","",(SUM(F45:G45)*2)*VLOOKUP(E45,#REF!,2,FALSE))</f>
        <v>#REF!</v>
      </c>
      <c r="AI45" s="18">
        <f t="shared" si="27"/>
        <v>44</v>
      </c>
      <c r="AJ45" s="91" t="e">
        <f>IF(AI45="","",AI45*VLOOKUP("Staples",#REF!,2,FALSE))</f>
        <v>#REF!</v>
      </c>
      <c r="AK45" s="18" t="e">
        <f t="shared" si="28"/>
        <v>#REF!</v>
      </c>
      <c r="AL45" s="91" t="e">
        <f>IF(AK45="","",AK45*VLOOKUP("Frame screw",#REF!,2,FALSE))</f>
        <v>#REF!</v>
      </c>
      <c r="AM45" s="18" t="e">
        <f t="shared" si="29"/>
        <v>#REF!</v>
      </c>
      <c r="AN45" s="91" t="e">
        <f>IF(AM45="","",AM45*VLOOKUP("D ring",#REF!,2,FALSE))</f>
        <v>#REF!</v>
      </c>
      <c r="AO45" s="18" t="e">
        <f t="shared" si="30"/>
        <v>#REF!</v>
      </c>
      <c r="AP45" s="91" t="e">
        <f>IF(AO45="","",IF(G45&gt;59,AO45* VLOOKUP("8 wire",#REF!,2,FALSE)*2,IF(G45&gt;39,AO45* VLOOKUP("8 wire",#REF!,2,FALSE),AO45* VLOOKUP("6 wire",#REF!,2,FALSE))))</f>
        <v>#REF!</v>
      </c>
      <c r="AQ45" s="18">
        <f t="shared" si="31"/>
        <v>4</v>
      </c>
      <c r="AR45" s="18" t="e">
        <f>IF(AQ45="","",AQ45*VLOOKUP("Pads",#REF!,2,FALSE))</f>
        <v>#REF!</v>
      </c>
      <c r="AS45" s="18">
        <f t="shared" si="32"/>
        <v>1</v>
      </c>
      <c r="AT45" s="91" t="e">
        <f>IF(AS45="","",AS45*VLOOKUP("4 mil bag",#REF!,2,FALSE))</f>
        <v>#REF!</v>
      </c>
      <c r="AU45" s="91" t="e">
        <f>IF(X45="","",IF(I45="N/A","",IF(I45="CNC",IF(G45&gt;37,20,10),VLOOKUP(I45,#REF!,2,FALSE))))</f>
        <v>#REF!</v>
      </c>
      <c r="AV45" s="18" t="str">
        <f>IF(X45="","",IF(I45="CNC",VLOOKUP("Glue stick",#REF!,2,FALSE),""))</f>
        <v/>
      </c>
      <c r="AW45" s="18" t="str">
        <f>IF(X45="","",IF(I45="CNC",16*VLOOKUP("Box staples",#REF!,2,FALSE),""))</f>
        <v/>
      </c>
      <c r="AX45" s="91" t="e">
        <f>IF(X45="","",IF(I45="CNC",((((G45+6)+(F45+6))*2)+24)*VLOOKUP("sealing tape",#REF!,2,FALSE),VLOOKUP("Strapping tape",#REF!,2,FALSE)))</f>
        <v>#REF!</v>
      </c>
      <c r="AY45" s="17"/>
      <c r="AZ45" s="17" t="s">
        <v>558</v>
      </c>
      <c r="BA45" s="417">
        <f>35/60</f>
        <v>0.58333333333333337</v>
      </c>
      <c r="BB45" s="15">
        <f t="shared" ref="BB45:BB49" si="45">AVERAGE(22.5,20)</f>
        <v>21.25</v>
      </c>
      <c r="BC45" s="96">
        <f t="shared" ref="BC45:BC49" si="46">BB45*BA45</f>
        <v>12.395833333333334</v>
      </c>
      <c r="BD45" s="96"/>
      <c r="BE45" s="96"/>
      <c r="BF45" s="96"/>
      <c r="BG45" s="96"/>
      <c r="BH45" s="96"/>
      <c r="BI45" s="96"/>
    </row>
    <row r="46" spans="1:61" x14ac:dyDescent="0.45">
      <c r="A46" s="103" t="s">
        <v>1109</v>
      </c>
      <c r="B46" s="17" t="s">
        <v>964</v>
      </c>
      <c r="C46" s="16">
        <v>44550</v>
      </c>
      <c r="D46" s="17" t="s">
        <v>54</v>
      </c>
      <c r="E46" s="15" t="s">
        <v>690</v>
      </c>
      <c r="F46" s="17">
        <v>16</v>
      </c>
      <c r="G46" s="17">
        <v>20</v>
      </c>
      <c r="H46" s="3" t="s">
        <v>43</v>
      </c>
      <c r="I46" s="88" t="s">
        <v>568</v>
      </c>
      <c r="J46" s="87">
        <v>44576</v>
      </c>
      <c r="K46" s="15">
        <v>1200</v>
      </c>
      <c r="L46" s="96">
        <v>0</v>
      </c>
      <c r="M46" s="89">
        <v>18.079999999999998</v>
      </c>
      <c r="N46" s="88">
        <v>11</v>
      </c>
      <c r="O46" s="413" t="str">
        <f t="shared" si="1"/>
        <v>16 x 20</v>
      </c>
      <c r="P46" s="18" t="str">
        <f t="shared" si="2"/>
        <v>18 x 22</v>
      </c>
      <c r="Q46" s="91">
        <f t="shared" si="3"/>
        <v>112</v>
      </c>
      <c r="R46" s="18" t="str">
        <f t="shared" si="4"/>
        <v>29 x 23 x 5</v>
      </c>
      <c r="S46" s="18">
        <v>29</v>
      </c>
      <c r="T46" s="18">
        <v>23</v>
      </c>
      <c r="U46" s="18">
        <v>5</v>
      </c>
      <c r="V46" s="90">
        <f t="shared" si="5"/>
        <v>85</v>
      </c>
      <c r="W46" s="287" t="str">
        <f t="shared" si="21"/>
        <v/>
      </c>
      <c r="X46" s="287" t="str">
        <f t="shared" si="22"/>
        <v>Yes</v>
      </c>
      <c r="Y46" s="93" t="e">
        <f t="shared" si="23"/>
        <v>#REF!</v>
      </c>
      <c r="Z46" s="288" t="e">
        <f t="shared" si="24"/>
        <v>#REF!</v>
      </c>
      <c r="AA46" s="94" t="e">
        <f t="shared" si="25"/>
        <v>#REF!</v>
      </c>
      <c r="AB46" s="288" t="e">
        <f t="shared" si="26"/>
        <v>#REF!</v>
      </c>
      <c r="AC46" s="91" t="e">
        <f>IF(X46="","",IF(D46="2 3D",((F46-0.5)*2+(G46-0.5)*2)*VLOOKUP("3D base",#REF!,2,FALSE),IF(D46="3 Canv", IF(E46="Roll",0,ROUND(SUM(F46:G46)*2,0)),0)*VLOOKUP("Stretcher Bar",#REF!,2,FALSE)))</f>
        <v>#REF!</v>
      </c>
      <c r="AD46" s="91" t="e">
        <f>IF(X46="","",IF(E46="Roll",0,IF(D46="2 3D",(SUM(F46:G46)*2)*VLOOKUP("3D epoxy",#REF!,2,FALSE),IF(D46="3 Canv",VLOOKUP("Wood glue",#REF!,2,FALSE),""))))</f>
        <v>#REF!</v>
      </c>
      <c r="AE46" s="91" t="e">
        <f>IF(D46="3 Canv",(((F46+5)*(G46+5)))*VLOOKUP("Canvas",#REF!,2,FALSE),IF(D46="2 3D",(((F46)*(G46)))*VLOOKUP("Dibond",#REF!,2,FALSE),""))</f>
        <v>#REF!</v>
      </c>
      <c r="AF46" s="91" t="e">
        <f>IF(D46="2 3D",F46*G46*VLOOKUP("3D ink",#REF!,2,FALSE),IF(D46="3 Canv",F46*G46*VLOOKUP("Canvas ink",#REF!,2,FALSE),""))</f>
        <v>#REF!</v>
      </c>
      <c r="AG46" s="91" t="str">
        <f>IF(D46="3 Canv",IF(E46="Roll","",ROUNDUP((SUM(F46:G46)*2)/3,"")*VLOOKUP("Staples",#REF!,2,FALSE)),"")</f>
        <v/>
      </c>
      <c r="AH46" s="91" t="e">
        <f>IF(AF46="","",(SUM(F46:G46)*2)*VLOOKUP(E46,#REF!,2,FALSE))</f>
        <v>#REF!</v>
      </c>
      <c r="AI46" s="18">
        <f t="shared" si="27"/>
        <v>44</v>
      </c>
      <c r="AJ46" s="91" t="e">
        <f>IF(AI46="","",AI46*VLOOKUP("Staples",#REF!,2,FALSE))</f>
        <v>#REF!</v>
      </c>
      <c r="AK46" s="18" t="e">
        <f t="shared" si="28"/>
        <v>#REF!</v>
      </c>
      <c r="AL46" s="91" t="e">
        <f>IF(AK46="","",AK46*VLOOKUP("Frame screw",#REF!,2,FALSE))</f>
        <v>#REF!</v>
      </c>
      <c r="AM46" s="18" t="e">
        <f t="shared" si="29"/>
        <v>#REF!</v>
      </c>
      <c r="AN46" s="91" t="e">
        <f>IF(AM46="","",AM46*VLOOKUP("D ring",#REF!,2,FALSE))</f>
        <v>#REF!</v>
      </c>
      <c r="AO46" s="18" t="e">
        <f t="shared" si="30"/>
        <v>#REF!</v>
      </c>
      <c r="AP46" s="91" t="e">
        <f>IF(AO46="","",IF(G46&gt;59,AO46* VLOOKUP("8 wire",#REF!,2,FALSE)*2,IF(G46&gt;39,AO46* VLOOKUP("8 wire",#REF!,2,FALSE),AO46* VLOOKUP("6 wire",#REF!,2,FALSE))))</f>
        <v>#REF!</v>
      </c>
      <c r="AQ46" s="18">
        <f t="shared" si="31"/>
        <v>4</v>
      </c>
      <c r="AR46" s="18" t="e">
        <f>IF(AQ46="","",AQ46*VLOOKUP("Pads",#REF!,2,FALSE))</f>
        <v>#REF!</v>
      </c>
      <c r="AS46" s="18">
        <f t="shared" si="32"/>
        <v>1</v>
      </c>
      <c r="AT46" s="91" t="e">
        <f>IF(AS46="","",AS46*VLOOKUP("4 mil bag",#REF!,2,FALSE))</f>
        <v>#REF!</v>
      </c>
      <c r="AU46" s="91" t="e">
        <f>IF(X46="","",IF(I46="N/A","",IF(I46="CNC",IF(G46&gt;37,20,10),VLOOKUP(I46,#REF!,2,FALSE))))</f>
        <v>#REF!</v>
      </c>
      <c r="AV46" s="18" t="str">
        <f>IF(X46="","",IF(I46="CNC",VLOOKUP("Glue stick",#REF!,2,FALSE),""))</f>
        <v/>
      </c>
      <c r="AW46" s="18" t="str">
        <f>IF(X46="","",IF(I46="CNC",16*VLOOKUP("Box staples",#REF!,2,FALSE),""))</f>
        <v/>
      </c>
      <c r="AX46" s="91" t="e">
        <f>IF(X46="","",IF(I46="CNC",((((G46+6)+(F46+6))*2)+24)*VLOOKUP("sealing tape",#REF!,2,FALSE),VLOOKUP("Strapping tape",#REF!,2,FALSE)))</f>
        <v>#REF!</v>
      </c>
      <c r="AY46" s="17"/>
      <c r="AZ46" s="17" t="s">
        <v>50</v>
      </c>
      <c r="BA46" s="417">
        <f>96/60</f>
        <v>1.6</v>
      </c>
      <c r="BB46" s="15">
        <f t="shared" si="45"/>
        <v>21.25</v>
      </c>
      <c r="BC46" s="96">
        <f t="shared" si="46"/>
        <v>34</v>
      </c>
      <c r="BD46" s="96"/>
      <c r="BE46" s="96"/>
      <c r="BF46" s="96"/>
      <c r="BG46" s="96"/>
      <c r="BH46" s="96"/>
      <c r="BI46" s="96"/>
    </row>
    <row r="47" spans="1:61" x14ac:dyDescent="0.45">
      <c r="A47" s="103" t="s">
        <v>1108</v>
      </c>
      <c r="B47" s="17" t="s">
        <v>964</v>
      </c>
      <c r="C47" s="16">
        <v>44550</v>
      </c>
      <c r="D47" s="17" t="s">
        <v>54</v>
      </c>
      <c r="E47" s="15" t="s">
        <v>690</v>
      </c>
      <c r="F47" s="17">
        <v>16</v>
      </c>
      <c r="G47" s="17">
        <v>20</v>
      </c>
      <c r="H47" s="3" t="s">
        <v>43</v>
      </c>
      <c r="I47" s="88" t="s">
        <v>568</v>
      </c>
      <c r="J47" s="87">
        <v>44576</v>
      </c>
      <c r="K47" s="15">
        <v>1200</v>
      </c>
      <c r="L47" s="96">
        <v>0</v>
      </c>
      <c r="M47" s="89">
        <v>18.079999999999998</v>
      </c>
      <c r="N47" s="88">
        <v>11</v>
      </c>
      <c r="O47" s="413" t="str">
        <f t="shared" si="1"/>
        <v>16 x 20</v>
      </c>
      <c r="P47" s="18" t="str">
        <f t="shared" si="2"/>
        <v>18 x 22</v>
      </c>
      <c r="Q47" s="91">
        <f t="shared" si="3"/>
        <v>112</v>
      </c>
      <c r="R47" s="18" t="str">
        <f t="shared" si="4"/>
        <v>29 x 23 x 5</v>
      </c>
      <c r="S47" s="18">
        <v>29</v>
      </c>
      <c r="T47" s="18">
        <v>23</v>
      </c>
      <c r="U47" s="18">
        <v>5</v>
      </c>
      <c r="V47" s="90">
        <f t="shared" si="5"/>
        <v>85</v>
      </c>
      <c r="W47" s="287" t="str">
        <f t="shared" si="21"/>
        <v/>
      </c>
      <c r="X47" s="287" t="str">
        <f t="shared" si="22"/>
        <v>Yes</v>
      </c>
      <c r="Y47" s="93" t="e">
        <f t="shared" si="23"/>
        <v>#REF!</v>
      </c>
      <c r="Z47" s="288" t="e">
        <f t="shared" si="24"/>
        <v>#REF!</v>
      </c>
      <c r="AA47" s="94" t="e">
        <f t="shared" si="25"/>
        <v>#REF!</v>
      </c>
      <c r="AB47" s="288" t="e">
        <f t="shared" si="26"/>
        <v>#REF!</v>
      </c>
      <c r="AC47" s="91" t="e">
        <f>IF(X47="","",IF(D47="2 3D",((F47-0.5)*2+(G47-0.5)*2)*VLOOKUP("3D base",#REF!,2,FALSE),IF(D47="3 Canv", IF(E47="Roll",0,ROUND(SUM(F47:G47)*2,0)),0)*VLOOKUP("Stretcher Bar",#REF!,2,FALSE)))</f>
        <v>#REF!</v>
      </c>
      <c r="AD47" s="91" t="e">
        <f>IF(X47="","",IF(E47="Roll",0,IF(D47="2 3D",(SUM(F47:G47)*2)*VLOOKUP("3D epoxy",#REF!,2,FALSE),IF(D47="3 Canv",VLOOKUP("Wood glue",#REF!,2,FALSE),""))))</f>
        <v>#REF!</v>
      </c>
      <c r="AE47" s="91" t="e">
        <f>IF(D47="3 Canv",(((F47+5)*(G47+5)))*VLOOKUP("Canvas",#REF!,2,FALSE),IF(D47="2 3D",(((F47)*(G47)))*VLOOKUP("Dibond",#REF!,2,FALSE),""))</f>
        <v>#REF!</v>
      </c>
      <c r="AF47" s="91" t="e">
        <f>IF(D47="2 3D",F47*G47*VLOOKUP("3D ink",#REF!,2,FALSE),IF(D47="3 Canv",F47*G47*VLOOKUP("Canvas ink",#REF!,2,FALSE),""))</f>
        <v>#REF!</v>
      </c>
      <c r="AG47" s="91" t="str">
        <f>IF(D47="3 Canv",IF(E47="Roll","",ROUNDUP((SUM(F47:G47)*2)/3,"")*VLOOKUP("Staples",#REF!,2,FALSE)),"")</f>
        <v/>
      </c>
      <c r="AH47" s="91" t="e">
        <f>IF(AF47="","",(SUM(F47:G47)*2)*VLOOKUP(E47,#REF!,2,FALSE))</f>
        <v>#REF!</v>
      </c>
      <c r="AI47" s="18">
        <f t="shared" si="27"/>
        <v>44</v>
      </c>
      <c r="AJ47" s="91" t="e">
        <f>IF(AI47="","",AI47*VLOOKUP("Staples",#REF!,2,FALSE))</f>
        <v>#REF!</v>
      </c>
      <c r="AK47" s="18" t="e">
        <f t="shared" si="28"/>
        <v>#REF!</v>
      </c>
      <c r="AL47" s="91" t="e">
        <f>IF(AK47="","",AK47*VLOOKUP("Frame screw",#REF!,2,FALSE))</f>
        <v>#REF!</v>
      </c>
      <c r="AM47" s="18" t="e">
        <f t="shared" si="29"/>
        <v>#REF!</v>
      </c>
      <c r="AN47" s="91" t="e">
        <f>IF(AM47="","",AM47*VLOOKUP("D ring",#REF!,2,FALSE))</f>
        <v>#REF!</v>
      </c>
      <c r="AO47" s="18" t="e">
        <f t="shared" si="30"/>
        <v>#REF!</v>
      </c>
      <c r="AP47" s="91" t="e">
        <f>IF(AO47="","",IF(G47&gt;59,AO47* VLOOKUP("8 wire",#REF!,2,FALSE)*2,IF(G47&gt;39,AO47* VLOOKUP("8 wire",#REF!,2,FALSE),AO47* VLOOKUP("6 wire",#REF!,2,FALSE))))</f>
        <v>#REF!</v>
      </c>
      <c r="AQ47" s="18">
        <f t="shared" si="31"/>
        <v>4</v>
      </c>
      <c r="AR47" s="18" t="e">
        <f>IF(AQ47="","",AQ47*VLOOKUP("Pads",#REF!,2,FALSE))</f>
        <v>#REF!</v>
      </c>
      <c r="AS47" s="18">
        <f t="shared" si="32"/>
        <v>1</v>
      </c>
      <c r="AT47" s="91" t="e">
        <f>IF(AS47="","",AS47*VLOOKUP("4 mil bag",#REF!,2,FALSE))</f>
        <v>#REF!</v>
      </c>
      <c r="AU47" s="91" t="e">
        <f>IF(X47="","",IF(I47="N/A","",IF(I47="CNC",IF(G47&gt;37,20,10),VLOOKUP(I47,#REF!,2,FALSE))))</f>
        <v>#REF!</v>
      </c>
      <c r="AV47" s="18" t="str">
        <f>IF(X47="","",IF(I47="CNC",VLOOKUP("Glue stick",#REF!,2,FALSE),""))</f>
        <v/>
      </c>
      <c r="AW47" s="18" t="str">
        <f>IF(X47="","",IF(I47="CNC",16*VLOOKUP("Box staples",#REF!,2,FALSE),""))</f>
        <v/>
      </c>
      <c r="AX47" s="91" t="e">
        <f>IF(X47="","",IF(I47="CNC",((((G47+6)+(F47+6))*2)+24)*VLOOKUP("sealing tape",#REF!,2,FALSE),VLOOKUP("Strapping tape",#REF!,2,FALSE)))</f>
        <v>#REF!</v>
      </c>
      <c r="AY47" s="17"/>
      <c r="AZ47" s="17" t="s">
        <v>2731</v>
      </c>
      <c r="BA47" s="417">
        <f>142/60</f>
        <v>2.3666666666666667</v>
      </c>
      <c r="BB47" s="15">
        <f t="shared" si="45"/>
        <v>21.25</v>
      </c>
      <c r="BC47" s="96">
        <f t="shared" si="46"/>
        <v>50.291666666666664</v>
      </c>
      <c r="BD47" s="96"/>
      <c r="BE47" s="96"/>
      <c r="BF47" s="96"/>
      <c r="BG47" s="96"/>
      <c r="BH47" s="96"/>
      <c r="BI47" s="96"/>
    </row>
    <row r="48" spans="1:61" x14ac:dyDescent="0.45">
      <c r="A48" s="103" t="s">
        <v>1008</v>
      </c>
      <c r="B48" s="17" t="s">
        <v>1110</v>
      </c>
      <c r="C48" s="16">
        <v>44538</v>
      </c>
      <c r="D48" s="17" t="s">
        <v>54</v>
      </c>
      <c r="E48" s="15" t="s">
        <v>690</v>
      </c>
      <c r="F48" s="17">
        <v>27</v>
      </c>
      <c r="G48" s="17">
        <v>48</v>
      </c>
      <c r="H48" s="3" t="s">
        <v>43</v>
      </c>
      <c r="I48" s="88" t="s">
        <v>509</v>
      </c>
      <c r="J48" s="87">
        <v>44576</v>
      </c>
      <c r="K48" s="15">
        <v>3485</v>
      </c>
      <c r="L48" s="96">
        <v>0</v>
      </c>
      <c r="M48" s="89">
        <v>188.71</v>
      </c>
      <c r="N48" s="88">
        <v>35</v>
      </c>
      <c r="O48" s="413" t="str">
        <f t="shared" si="1"/>
        <v>27 x 48</v>
      </c>
      <c r="P48" s="18" t="str">
        <f t="shared" si="2"/>
        <v>29 x 50</v>
      </c>
      <c r="Q48" s="91">
        <f t="shared" si="3"/>
        <v>227</v>
      </c>
      <c r="R48" s="18" t="str">
        <f t="shared" si="4"/>
        <v>60 x 40 x 6</v>
      </c>
      <c r="S48" s="18">
        <v>60</v>
      </c>
      <c r="T48" s="18">
        <v>40</v>
      </c>
      <c r="U48" s="18">
        <v>6</v>
      </c>
      <c r="V48" s="90">
        <f t="shared" si="5"/>
        <v>152</v>
      </c>
      <c r="W48" s="287" t="str">
        <f t="shared" si="21"/>
        <v/>
      </c>
      <c r="X48" s="287" t="str">
        <f t="shared" si="22"/>
        <v>Yes</v>
      </c>
      <c r="Y48" s="93" t="e">
        <f t="shared" si="23"/>
        <v>#REF!</v>
      </c>
      <c r="Z48" s="288" t="e">
        <f t="shared" si="24"/>
        <v>#REF!</v>
      </c>
      <c r="AA48" s="94" t="e">
        <f t="shared" si="25"/>
        <v>#REF!</v>
      </c>
      <c r="AB48" s="288" t="e">
        <f t="shared" si="26"/>
        <v>#REF!</v>
      </c>
      <c r="AC48" s="91" t="e">
        <f>IF(X48="","",IF(D48="2 3D",((F48-0.5)*2+(G48-0.5)*2)*VLOOKUP("3D base",#REF!,2,FALSE),IF(D48="3 Canv", IF(E48="Roll",0,ROUND(SUM(F48:G48)*2,0)),0)*VLOOKUP("Stretcher Bar",#REF!,2,FALSE)))</f>
        <v>#REF!</v>
      </c>
      <c r="AD48" s="91" t="e">
        <f>IF(X48="","",IF(E48="Roll",0,IF(D48="2 3D",(SUM(F48:G48)*2)*VLOOKUP("3D epoxy",#REF!,2,FALSE),IF(D48="3 Canv",VLOOKUP("Wood glue",#REF!,2,FALSE),""))))</f>
        <v>#REF!</v>
      </c>
      <c r="AE48" s="91" t="e">
        <f>IF(D48="3 Canv",(((F48+5)*(G48+5)))*VLOOKUP("Canvas",#REF!,2,FALSE),IF(D48="2 3D",(((F48)*(G48)))*VLOOKUP("Dibond",#REF!,2,FALSE),""))</f>
        <v>#REF!</v>
      </c>
      <c r="AF48" s="91" t="e">
        <f>IF(D48="2 3D",F48*G48*VLOOKUP("3D ink",#REF!,2,FALSE),IF(D48="3 Canv",F48*G48*VLOOKUP("Canvas ink",#REF!,2,FALSE),""))</f>
        <v>#REF!</v>
      </c>
      <c r="AG48" s="91" t="str">
        <f>IF(D48="3 Canv",IF(E48="Roll","",ROUNDUP((SUM(F48:G48)*2)/3,"")*VLOOKUP("Staples",#REF!,2,FALSE)),"")</f>
        <v/>
      </c>
      <c r="AH48" s="91" t="e">
        <f>IF(AF48="","",(SUM(F48:G48)*2)*VLOOKUP(E48,#REF!,2,FALSE))</f>
        <v>#REF!</v>
      </c>
      <c r="AI48" s="18">
        <f t="shared" si="27"/>
        <v>44</v>
      </c>
      <c r="AJ48" s="91" t="e">
        <f>IF(AI48="","",AI48*VLOOKUP("Staples",#REF!,2,FALSE))</f>
        <v>#REF!</v>
      </c>
      <c r="AK48" s="18" t="e">
        <f t="shared" si="28"/>
        <v>#REF!</v>
      </c>
      <c r="AL48" s="91" t="e">
        <f>IF(AK48="","",AK48*VLOOKUP("Frame screw",#REF!,2,FALSE))</f>
        <v>#REF!</v>
      </c>
      <c r="AM48" s="18" t="e">
        <f t="shared" si="29"/>
        <v>#REF!</v>
      </c>
      <c r="AN48" s="91" t="e">
        <f>IF(AM48="","",AM48*VLOOKUP("D ring",#REF!,2,FALSE))</f>
        <v>#REF!</v>
      </c>
      <c r="AO48" s="18" t="e">
        <f t="shared" si="30"/>
        <v>#REF!</v>
      </c>
      <c r="AP48" s="91" t="e">
        <f>IF(AO48="","",IF(G48&gt;59,AO48* VLOOKUP("8 wire",#REF!,2,FALSE)*2,IF(G48&gt;39,AO48* VLOOKUP("8 wire",#REF!,2,FALSE),AO48* VLOOKUP("6 wire",#REF!,2,FALSE))))</f>
        <v>#REF!</v>
      </c>
      <c r="AQ48" s="18">
        <f t="shared" si="31"/>
        <v>4</v>
      </c>
      <c r="AR48" s="18" t="e">
        <f>IF(AQ48="","",AQ48*VLOOKUP("Pads",#REF!,2,FALSE))</f>
        <v>#REF!</v>
      </c>
      <c r="AS48" s="18">
        <f t="shared" si="32"/>
        <v>1</v>
      </c>
      <c r="AT48" s="91" t="e">
        <f>IF(AS48="","",AS48*VLOOKUP("4 mil bag",#REF!,2,FALSE))</f>
        <v>#REF!</v>
      </c>
      <c r="AU48" s="91" t="e">
        <f>IF(X48="","",IF(I48="N/A","",IF(I48="CNC",IF(G48&gt;37,20,10),VLOOKUP(I48,#REF!,2,FALSE))))</f>
        <v>#REF!</v>
      </c>
      <c r="AV48" s="18" t="str">
        <f>IF(X48="","",IF(I48="CNC",VLOOKUP("Glue stick",#REF!,2,FALSE),""))</f>
        <v/>
      </c>
      <c r="AW48" s="18" t="str">
        <f>IF(X48="","",IF(I48="CNC",16*VLOOKUP("Box staples",#REF!,2,FALSE),""))</f>
        <v/>
      </c>
      <c r="AX48" s="91" t="e">
        <f>IF(X48="","",IF(I48="CNC",((((G48+6)+(F48+6))*2)+24)*VLOOKUP("sealing tape",#REF!,2,FALSE),VLOOKUP("Strapping tape",#REF!,2,FALSE)))</f>
        <v>#REF!</v>
      </c>
      <c r="AY48" s="17"/>
      <c r="AZ48" s="17" t="s">
        <v>2732</v>
      </c>
      <c r="BA48" s="417">
        <f>174/60</f>
        <v>2.9</v>
      </c>
      <c r="BB48" s="15">
        <f t="shared" si="45"/>
        <v>21.25</v>
      </c>
      <c r="BC48" s="96">
        <f t="shared" si="46"/>
        <v>61.625</v>
      </c>
      <c r="BD48" s="96"/>
      <c r="BE48" s="96"/>
      <c r="BF48" s="96"/>
      <c r="BG48" s="96"/>
      <c r="BH48" s="96"/>
      <c r="BI48" s="96"/>
    </row>
    <row r="49" spans="1:61" x14ac:dyDescent="0.45">
      <c r="A49" s="103" t="s">
        <v>432</v>
      </c>
      <c r="B49" s="17" t="s">
        <v>1111</v>
      </c>
      <c r="C49" s="16">
        <v>44538</v>
      </c>
      <c r="D49" s="17" t="s">
        <v>54</v>
      </c>
      <c r="E49" s="15" t="s">
        <v>690</v>
      </c>
      <c r="F49" s="17">
        <v>32</v>
      </c>
      <c r="G49" s="17">
        <v>48</v>
      </c>
      <c r="H49" s="3" t="s">
        <v>43</v>
      </c>
      <c r="I49" s="88" t="s">
        <v>492</v>
      </c>
      <c r="J49" s="87">
        <v>44576</v>
      </c>
      <c r="K49" s="15">
        <f>4700/3</f>
        <v>1566.6666666666667</v>
      </c>
      <c r="L49" s="96">
        <v>0</v>
      </c>
      <c r="M49" s="89">
        <v>176.07</v>
      </c>
      <c r="N49" s="88">
        <v>36</v>
      </c>
      <c r="O49" s="413" t="str">
        <f t="shared" si="1"/>
        <v>32 x 48</v>
      </c>
      <c r="P49" s="18" t="str">
        <f t="shared" si="2"/>
        <v>34 x 50</v>
      </c>
      <c r="Q49" s="91">
        <f t="shared" si="3"/>
        <v>255</v>
      </c>
      <c r="R49" s="18" t="str">
        <f t="shared" si="4"/>
        <v>60 x 46 x 6</v>
      </c>
      <c r="S49" s="18">
        <v>60</v>
      </c>
      <c r="T49" s="18">
        <v>46</v>
      </c>
      <c r="U49" s="18">
        <v>6</v>
      </c>
      <c r="V49" s="90">
        <f t="shared" si="5"/>
        <v>164</v>
      </c>
      <c r="W49" s="287" t="str">
        <f t="shared" si="21"/>
        <v/>
      </c>
      <c r="X49" s="287" t="str">
        <f t="shared" si="22"/>
        <v>Yes</v>
      </c>
      <c r="Y49" s="93" t="e">
        <f t="shared" si="23"/>
        <v>#REF!</v>
      </c>
      <c r="Z49" s="288" t="e">
        <f t="shared" si="24"/>
        <v>#REF!</v>
      </c>
      <c r="AA49" s="94" t="e">
        <f t="shared" si="25"/>
        <v>#REF!</v>
      </c>
      <c r="AB49" s="288" t="e">
        <f t="shared" si="26"/>
        <v>#REF!</v>
      </c>
      <c r="AC49" s="91" t="e">
        <f>IF(X49="","",IF(D49="2 3D",((F49-0.5)*2+(G49-0.5)*2)*VLOOKUP("3D base",#REF!,2,FALSE),IF(D49="3 Canv", IF(E49="Roll",0,ROUND(SUM(F49:G49)*2,0)),0)*VLOOKUP("Stretcher Bar",#REF!,2,FALSE)))</f>
        <v>#REF!</v>
      </c>
      <c r="AD49" s="91" t="e">
        <f>IF(X49="","",IF(E49="Roll",0,IF(D49="2 3D",(SUM(F49:G49)*2)*VLOOKUP("3D epoxy",#REF!,2,FALSE),IF(D49="3 Canv",VLOOKUP("Wood glue",#REF!,2,FALSE),""))))</f>
        <v>#REF!</v>
      </c>
      <c r="AE49" s="91" t="e">
        <f>IF(D49="3 Canv",(((F49+5)*(G49+5)))*VLOOKUP("Canvas",#REF!,2,FALSE),IF(D49="2 3D",(((F49)*(G49)))*VLOOKUP("Dibond",#REF!,2,FALSE),""))</f>
        <v>#REF!</v>
      </c>
      <c r="AF49" s="91" t="e">
        <f>IF(D49="2 3D",F49*G49*VLOOKUP("3D ink",#REF!,2,FALSE),IF(D49="3 Canv",F49*G49*VLOOKUP("Canvas ink",#REF!,2,FALSE),""))</f>
        <v>#REF!</v>
      </c>
      <c r="AG49" s="91" t="str">
        <f>IF(D49="3 Canv",IF(E49="Roll","",ROUNDUP((SUM(F49:G49)*2)/3,"")*VLOOKUP("Staples",#REF!,2,FALSE)),"")</f>
        <v/>
      </c>
      <c r="AH49" s="91" t="e">
        <f>IF(AF49="","",(SUM(F49:G49)*2)*VLOOKUP(E49,#REF!,2,FALSE))</f>
        <v>#REF!</v>
      </c>
      <c r="AI49" s="18">
        <f t="shared" si="27"/>
        <v>44</v>
      </c>
      <c r="AJ49" s="91" t="e">
        <f>IF(AI49="","",AI49*VLOOKUP("Staples",#REF!,2,FALSE))</f>
        <v>#REF!</v>
      </c>
      <c r="AK49" s="18" t="e">
        <f t="shared" si="28"/>
        <v>#REF!</v>
      </c>
      <c r="AL49" s="91" t="e">
        <f>IF(AK49="","",AK49*VLOOKUP("Frame screw",#REF!,2,FALSE))</f>
        <v>#REF!</v>
      </c>
      <c r="AM49" s="18" t="e">
        <f t="shared" si="29"/>
        <v>#REF!</v>
      </c>
      <c r="AN49" s="91" t="e">
        <f>IF(AM49="","",AM49*VLOOKUP("D ring",#REF!,2,FALSE))</f>
        <v>#REF!</v>
      </c>
      <c r="AO49" s="18" t="e">
        <f t="shared" si="30"/>
        <v>#REF!</v>
      </c>
      <c r="AP49" s="91" t="e">
        <f>IF(AO49="","",IF(G49&gt;59,AO49* VLOOKUP("8 wire",#REF!,2,FALSE)*2,IF(G49&gt;39,AO49* VLOOKUP("8 wire",#REF!,2,FALSE),AO49* VLOOKUP("6 wire",#REF!,2,FALSE))))</f>
        <v>#REF!</v>
      </c>
      <c r="AQ49" s="18">
        <f t="shared" si="31"/>
        <v>4</v>
      </c>
      <c r="AR49" s="18" t="e">
        <f>IF(AQ49="","",AQ49*VLOOKUP("Pads",#REF!,2,FALSE))</f>
        <v>#REF!</v>
      </c>
      <c r="AS49" s="18">
        <f t="shared" si="32"/>
        <v>1</v>
      </c>
      <c r="AT49" s="91" t="e">
        <f>IF(AS49="","",AS49*VLOOKUP("4 mil bag",#REF!,2,FALSE))</f>
        <v>#REF!</v>
      </c>
      <c r="AU49" s="91" t="e">
        <f>IF(X49="","",IF(I49="N/A","",IF(I49="CNC",IF(G49&gt;37,20,10),VLOOKUP(I49,#REF!,2,FALSE))))</f>
        <v>#REF!</v>
      </c>
      <c r="AV49" s="18" t="str">
        <f>IF(X49="","",IF(I49="CNC",VLOOKUP("Glue stick",#REF!,2,FALSE),""))</f>
        <v/>
      </c>
      <c r="AW49" s="18" t="str">
        <f>IF(X49="","",IF(I49="CNC",16*VLOOKUP("Box staples",#REF!,2,FALSE),""))</f>
        <v/>
      </c>
      <c r="AX49" s="91" t="e">
        <f>IF(X49="","",IF(I49="CNC",((((G49+6)+(F49+6))*2)+24)*VLOOKUP("sealing tape",#REF!,2,FALSE),VLOOKUP("Strapping tape",#REF!,2,FALSE)))</f>
        <v>#REF!</v>
      </c>
      <c r="AY49" s="17"/>
      <c r="AZ49" s="17" t="s">
        <v>2661</v>
      </c>
      <c r="BA49" s="417">
        <f>456/60</f>
        <v>7.6</v>
      </c>
      <c r="BB49" s="15">
        <f t="shared" si="45"/>
        <v>21.25</v>
      </c>
      <c r="BC49" s="96">
        <f t="shared" si="46"/>
        <v>161.5</v>
      </c>
      <c r="BD49" s="96"/>
      <c r="BE49" s="96"/>
      <c r="BF49" s="96"/>
      <c r="BG49" s="96"/>
      <c r="BH49" s="96"/>
      <c r="BI49" s="96"/>
    </row>
    <row r="50" spans="1:61" x14ac:dyDescent="0.45">
      <c r="A50" s="103" t="s">
        <v>519</v>
      </c>
      <c r="B50" s="17" t="s">
        <v>1112</v>
      </c>
      <c r="C50" s="16">
        <v>44535</v>
      </c>
      <c r="D50" s="17" t="s">
        <v>54</v>
      </c>
      <c r="E50" s="15" t="s">
        <v>690</v>
      </c>
      <c r="F50" s="17">
        <v>28</v>
      </c>
      <c r="G50" s="17">
        <v>36</v>
      </c>
      <c r="H50" s="3" t="s">
        <v>43</v>
      </c>
      <c r="I50" s="88" t="s">
        <v>509</v>
      </c>
      <c r="J50" s="87">
        <v>44576</v>
      </c>
      <c r="K50" s="15">
        <v>3541.75</v>
      </c>
      <c r="L50" s="96">
        <v>155</v>
      </c>
      <c r="M50" s="89">
        <v>188.71</v>
      </c>
      <c r="N50" s="88">
        <v>24</v>
      </c>
      <c r="O50" s="413" t="str">
        <f t="shared" si="1"/>
        <v>28 x 36</v>
      </c>
      <c r="P50" s="18" t="str">
        <f t="shared" si="2"/>
        <v>30 x 38</v>
      </c>
      <c r="Q50" s="91">
        <f t="shared" si="3"/>
        <v>227</v>
      </c>
      <c r="R50" s="18" t="str">
        <f t="shared" si="4"/>
        <v>60 x 40 x 6</v>
      </c>
      <c r="S50" s="18">
        <v>60</v>
      </c>
      <c r="T50" s="18">
        <v>40</v>
      </c>
      <c r="U50" s="18">
        <v>6</v>
      </c>
      <c r="V50" s="90">
        <f t="shared" si="5"/>
        <v>152</v>
      </c>
      <c r="W50" s="287">
        <f t="shared" si="21"/>
        <v>1.217483870967742</v>
      </c>
      <c r="X50" s="287" t="str">
        <f t="shared" si="22"/>
        <v>Yes</v>
      </c>
      <c r="Y50" s="93" t="e">
        <f t="shared" si="23"/>
        <v>#REF!</v>
      </c>
      <c r="Z50" s="288" t="e">
        <f t="shared" si="24"/>
        <v>#REF!</v>
      </c>
      <c r="AA50" s="94" t="e">
        <f t="shared" si="25"/>
        <v>#REF!</v>
      </c>
      <c r="AB50" s="288" t="e">
        <f t="shared" si="26"/>
        <v>#REF!</v>
      </c>
      <c r="AC50" s="91" t="e">
        <f>IF(X50="","",IF(D50="2 3D",((F50-0.5)*2+(G50-0.5)*2)*VLOOKUP("3D base",#REF!,2,FALSE),IF(D50="3 Canv", IF(E50="Roll",0,ROUND(SUM(F50:G50)*2,0)),0)*VLOOKUP("Stretcher Bar",#REF!,2,FALSE)))</f>
        <v>#REF!</v>
      </c>
      <c r="AD50" s="91" t="e">
        <f>IF(X50="","",IF(E50="Roll",0,IF(D50="2 3D",(SUM(F50:G50)*2)*VLOOKUP("3D epoxy",#REF!,2,FALSE),IF(D50="3 Canv",VLOOKUP("Wood glue",#REF!,2,FALSE),""))))</f>
        <v>#REF!</v>
      </c>
      <c r="AE50" s="91" t="e">
        <f>IF(D50="3 Canv",(((F50+5)*(G50+5)))*VLOOKUP("Canvas",#REF!,2,FALSE),IF(D50="2 3D",(((F50)*(G50)))*VLOOKUP("Dibond",#REF!,2,FALSE),""))</f>
        <v>#REF!</v>
      </c>
      <c r="AF50" s="91" t="e">
        <f>IF(D50="2 3D",F50*G50*VLOOKUP("3D ink",#REF!,2,FALSE),IF(D50="3 Canv",F50*G50*VLOOKUP("Canvas ink",#REF!,2,FALSE),""))</f>
        <v>#REF!</v>
      </c>
      <c r="AG50" s="91" t="str">
        <f>IF(D50="3 Canv",IF(E50="Roll","",ROUNDUP((SUM(F50:G50)*2)/3,"")*VLOOKUP("Staples",#REF!,2,FALSE)),"")</f>
        <v/>
      </c>
      <c r="AH50" s="91" t="e">
        <f>IF(AF50="","",(SUM(F50:G50)*2)*VLOOKUP(E50,#REF!,2,FALSE))</f>
        <v>#REF!</v>
      </c>
      <c r="AI50" s="18">
        <f t="shared" si="27"/>
        <v>44</v>
      </c>
      <c r="AJ50" s="91" t="e">
        <f>IF(AI50="","",AI50*VLOOKUP("Staples",#REF!,2,FALSE))</f>
        <v>#REF!</v>
      </c>
      <c r="AK50" s="18" t="e">
        <f t="shared" si="28"/>
        <v>#REF!</v>
      </c>
      <c r="AL50" s="91" t="e">
        <f>IF(AK50="","",AK50*VLOOKUP("Frame screw",#REF!,2,FALSE))</f>
        <v>#REF!</v>
      </c>
      <c r="AM50" s="18" t="e">
        <f t="shared" si="29"/>
        <v>#REF!</v>
      </c>
      <c r="AN50" s="91" t="e">
        <f>IF(AM50="","",AM50*VLOOKUP("D ring",#REF!,2,FALSE))</f>
        <v>#REF!</v>
      </c>
      <c r="AO50" s="18" t="e">
        <f t="shared" si="30"/>
        <v>#REF!</v>
      </c>
      <c r="AP50" s="91" t="e">
        <f>IF(AO50="","",IF(G50&gt;59,AO50* VLOOKUP("8 wire",#REF!,2,FALSE)*2,IF(G50&gt;39,AO50* VLOOKUP("8 wire",#REF!,2,FALSE),AO50* VLOOKUP("6 wire",#REF!,2,FALSE))))</f>
        <v>#REF!</v>
      </c>
      <c r="AQ50" s="18">
        <f t="shared" si="31"/>
        <v>4</v>
      </c>
      <c r="AR50" s="18" t="e">
        <f>IF(AQ50="","",AQ50*VLOOKUP("Pads",#REF!,2,FALSE))</f>
        <v>#REF!</v>
      </c>
      <c r="AS50" s="18">
        <f t="shared" si="32"/>
        <v>1</v>
      </c>
      <c r="AT50" s="91" t="e">
        <f>IF(AS50="","",AS50*VLOOKUP("4 mil bag",#REF!,2,FALSE))</f>
        <v>#REF!</v>
      </c>
      <c r="AU50" s="91" t="e">
        <f>IF(X50="","",IF(I50="N/A","",IF(I50="CNC",IF(G50&gt;37,20,10),VLOOKUP(I50,#REF!,2,FALSE))))</f>
        <v>#REF!</v>
      </c>
      <c r="AV50" s="18" t="str">
        <f>IF(X50="","",IF(I50="CNC",VLOOKUP("Glue stick",#REF!,2,FALSE),""))</f>
        <v/>
      </c>
      <c r="AW50" s="18" t="str">
        <f>IF(X50="","",IF(I50="CNC",16*VLOOKUP("Box staples",#REF!,2,FALSE),""))</f>
        <v/>
      </c>
      <c r="AX50" s="91" t="e">
        <f>IF(X50="","",IF(I50="CNC",((((G50+6)+(F50+6))*2)+24)*VLOOKUP("sealing tape",#REF!,2,FALSE),VLOOKUP("Strapping tape",#REF!,2,FALSE)))</f>
        <v>#REF!</v>
      </c>
      <c r="AY50" s="17"/>
      <c r="AZ50" s="17"/>
      <c r="BA50" s="17"/>
      <c r="BB50" s="17"/>
      <c r="BC50" s="96"/>
      <c r="BD50" s="96"/>
      <c r="BE50" s="96"/>
      <c r="BF50" s="96"/>
      <c r="BG50" s="96"/>
      <c r="BH50" s="96"/>
      <c r="BI50" s="96"/>
    </row>
    <row r="51" spans="1:61" x14ac:dyDescent="0.45">
      <c r="A51" s="103" t="s">
        <v>965</v>
      </c>
      <c r="B51" s="17" t="s">
        <v>1113</v>
      </c>
      <c r="C51" s="16">
        <v>44563</v>
      </c>
      <c r="D51" s="17" t="s">
        <v>54</v>
      </c>
      <c r="E51" s="15" t="s">
        <v>690</v>
      </c>
      <c r="F51" s="17">
        <v>16</v>
      </c>
      <c r="G51" s="17">
        <v>20</v>
      </c>
      <c r="H51" s="3" t="s">
        <v>43</v>
      </c>
      <c r="I51" s="88" t="s">
        <v>568</v>
      </c>
      <c r="J51" s="87">
        <v>44576</v>
      </c>
      <c r="K51" s="15">
        <v>1200</v>
      </c>
      <c r="L51" s="96">
        <v>60</v>
      </c>
      <c r="M51" s="89">
        <v>9.9</v>
      </c>
      <c r="N51" s="88">
        <v>12</v>
      </c>
      <c r="O51" s="413" t="str">
        <f t="shared" si="1"/>
        <v>16 x 20</v>
      </c>
      <c r="P51" s="18" t="str">
        <f t="shared" si="2"/>
        <v>18 x 22</v>
      </c>
      <c r="Q51" s="91">
        <f t="shared" si="3"/>
        <v>112</v>
      </c>
      <c r="R51" s="18" t="str">
        <f t="shared" si="4"/>
        <v>29 x 23 x 5</v>
      </c>
      <c r="S51" s="18">
        <v>29</v>
      </c>
      <c r="T51" s="18">
        <v>23</v>
      </c>
      <c r="U51" s="18">
        <v>5</v>
      </c>
      <c r="V51" s="90">
        <f t="shared" si="5"/>
        <v>85</v>
      </c>
      <c r="W51" s="287">
        <f t="shared" si="21"/>
        <v>0.16500000000000001</v>
      </c>
      <c r="X51" s="287" t="str">
        <f t="shared" si="22"/>
        <v>Yes</v>
      </c>
      <c r="Y51" s="93" t="e">
        <f t="shared" si="23"/>
        <v>#REF!</v>
      </c>
      <c r="Z51" s="288" t="e">
        <f t="shared" si="24"/>
        <v>#REF!</v>
      </c>
      <c r="AA51" s="94" t="e">
        <f t="shared" si="25"/>
        <v>#REF!</v>
      </c>
      <c r="AB51" s="288" t="e">
        <f t="shared" si="26"/>
        <v>#REF!</v>
      </c>
      <c r="AC51" s="91" t="e">
        <f>IF(X51="","",IF(D51="2 3D",((F51-0.5)*2+(G51-0.5)*2)*VLOOKUP("3D base",#REF!,2,FALSE),IF(D51="3 Canv", IF(E51="Roll",0,ROUND(SUM(F51:G51)*2,0)),0)*VLOOKUP("Stretcher Bar",#REF!,2,FALSE)))</f>
        <v>#REF!</v>
      </c>
      <c r="AD51" s="91" t="e">
        <f>IF(X51="","",IF(E51="Roll",0,IF(D51="2 3D",(SUM(F51:G51)*2)*VLOOKUP("3D epoxy",#REF!,2,FALSE),IF(D51="3 Canv",VLOOKUP("Wood glue",#REF!,2,FALSE),""))))</f>
        <v>#REF!</v>
      </c>
      <c r="AE51" s="91" t="e">
        <f>IF(D51="3 Canv",(((F51+5)*(G51+5)))*VLOOKUP("Canvas",#REF!,2,FALSE),IF(D51="2 3D",(((F51)*(G51)))*VLOOKUP("Dibond",#REF!,2,FALSE),""))</f>
        <v>#REF!</v>
      </c>
      <c r="AF51" s="91" t="e">
        <f>IF(D51="2 3D",F51*G51*VLOOKUP("3D ink",#REF!,2,FALSE),IF(D51="3 Canv",F51*G51*VLOOKUP("Canvas ink",#REF!,2,FALSE),""))</f>
        <v>#REF!</v>
      </c>
      <c r="AG51" s="91" t="str">
        <f>IF(D51="3 Canv",IF(E51="Roll","",ROUNDUP((SUM(F51:G51)*2)/3,"")*VLOOKUP("Staples",#REF!,2,FALSE)),"")</f>
        <v/>
      </c>
      <c r="AH51" s="91" t="e">
        <f>IF(AF51="","",(SUM(F51:G51)*2)*VLOOKUP(E51,#REF!,2,FALSE))</f>
        <v>#REF!</v>
      </c>
      <c r="AI51" s="18">
        <f t="shared" si="27"/>
        <v>44</v>
      </c>
      <c r="AJ51" s="91" t="e">
        <f>IF(AI51="","",AI51*VLOOKUP("Staples",#REF!,2,FALSE))</f>
        <v>#REF!</v>
      </c>
      <c r="AK51" s="18" t="e">
        <f t="shared" si="28"/>
        <v>#REF!</v>
      </c>
      <c r="AL51" s="91" t="e">
        <f>IF(AK51="","",AK51*VLOOKUP("Frame screw",#REF!,2,FALSE))</f>
        <v>#REF!</v>
      </c>
      <c r="AM51" s="18" t="e">
        <f t="shared" si="29"/>
        <v>#REF!</v>
      </c>
      <c r="AN51" s="91" t="e">
        <f>IF(AM51="","",AM51*VLOOKUP("D ring",#REF!,2,FALSE))</f>
        <v>#REF!</v>
      </c>
      <c r="AO51" s="18" t="e">
        <f t="shared" si="30"/>
        <v>#REF!</v>
      </c>
      <c r="AP51" s="91" t="e">
        <f>IF(AO51="","",IF(G51&gt;59,AO51* VLOOKUP("8 wire",#REF!,2,FALSE)*2,IF(G51&gt;39,AO51* VLOOKUP("8 wire",#REF!,2,FALSE),AO51* VLOOKUP("6 wire",#REF!,2,FALSE))))</f>
        <v>#REF!</v>
      </c>
      <c r="AQ51" s="18">
        <f t="shared" si="31"/>
        <v>4</v>
      </c>
      <c r="AR51" s="18" t="e">
        <f>IF(AQ51="","",AQ51*VLOOKUP("Pads",#REF!,2,FALSE))</f>
        <v>#REF!</v>
      </c>
      <c r="AS51" s="18">
        <f t="shared" si="32"/>
        <v>1</v>
      </c>
      <c r="AT51" s="91" t="e">
        <f>IF(AS51="","",AS51*VLOOKUP("4 mil bag",#REF!,2,FALSE))</f>
        <v>#REF!</v>
      </c>
      <c r="AU51" s="91" t="e">
        <f>IF(X51="","",IF(I51="N/A","",IF(I51="CNC",IF(G51&gt;37,20,10),VLOOKUP(I51,#REF!,2,FALSE))))</f>
        <v>#REF!</v>
      </c>
      <c r="AV51" s="18" t="str">
        <f>IF(X51="","",IF(I51="CNC",VLOOKUP("Glue stick",#REF!,2,FALSE),""))</f>
        <v/>
      </c>
      <c r="AW51" s="18" t="str">
        <f>IF(X51="","",IF(I51="CNC",16*VLOOKUP("Box staples",#REF!,2,FALSE),""))</f>
        <v/>
      </c>
      <c r="AX51" s="91" t="e">
        <f>IF(X51="","",IF(I51="CNC",((((G51+6)+(F51+6))*2)+24)*VLOOKUP("sealing tape",#REF!,2,FALSE),VLOOKUP("Strapping tape",#REF!,2,FALSE)))</f>
        <v>#REF!</v>
      </c>
      <c r="AY51" s="17"/>
      <c r="AZ51" s="17"/>
      <c r="BA51" s="17"/>
      <c r="BB51" s="17"/>
      <c r="BC51" s="96"/>
      <c r="BD51" s="96"/>
      <c r="BE51" s="96"/>
      <c r="BF51" s="96"/>
      <c r="BG51" s="96"/>
      <c r="BH51" s="96"/>
      <c r="BI51" s="96"/>
    </row>
    <row r="52" spans="1:61" x14ac:dyDescent="0.45">
      <c r="A52" s="103" t="s">
        <v>574</v>
      </c>
      <c r="B52" s="17" t="s">
        <v>1114</v>
      </c>
      <c r="C52" s="16">
        <v>44569</v>
      </c>
      <c r="D52" s="17" t="s">
        <v>54</v>
      </c>
      <c r="E52" s="15" t="s">
        <v>5</v>
      </c>
      <c r="F52" s="17">
        <v>36</v>
      </c>
      <c r="G52" s="17">
        <v>48</v>
      </c>
      <c r="H52" s="3" t="s">
        <v>43</v>
      </c>
      <c r="I52" s="88" t="s">
        <v>492</v>
      </c>
      <c r="J52" s="87">
        <v>44576</v>
      </c>
      <c r="K52" s="15">
        <v>3672</v>
      </c>
      <c r="L52" s="96">
        <v>0</v>
      </c>
      <c r="M52" s="89">
        <v>173.16</v>
      </c>
      <c r="N52" s="88">
        <v>40</v>
      </c>
      <c r="O52" s="413" t="str">
        <f t="shared" si="1"/>
        <v>36 x 48</v>
      </c>
      <c r="P52" s="18" t="str">
        <f t="shared" si="2"/>
        <v>38 x 50</v>
      </c>
      <c r="Q52" s="91">
        <f t="shared" si="3"/>
        <v>255</v>
      </c>
      <c r="R52" s="18" t="str">
        <f t="shared" si="4"/>
        <v>60 x 46 x 6</v>
      </c>
      <c r="S52" s="18">
        <v>60</v>
      </c>
      <c r="T52" s="18">
        <v>46</v>
      </c>
      <c r="U52" s="18">
        <v>6</v>
      </c>
      <c r="V52" s="90">
        <f t="shared" si="5"/>
        <v>164</v>
      </c>
      <c r="W52" s="287" t="str">
        <f t="shared" si="21"/>
        <v/>
      </c>
      <c r="X52" s="287" t="str">
        <f t="shared" si="22"/>
        <v>Yes</v>
      </c>
      <c r="Y52" s="93" t="e">
        <f t="shared" si="23"/>
        <v>#REF!</v>
      </c>
      <c r="Z52" s="288" t="e">
        <f t="shared" si="24"/>
        <v>#REF!</v>
      </c>
      <c r="AA52" s="94" t="e">
        <f t="shared" si="25"/>
        <v>#REF!</v>
      </c>
      <c r="AB52" s="288" t="e">
        <f t="shared" si="26"/>
        <v>#REF!</v>
      </c>
      <c r="AC52" s="91" t="e">
        <f>IF(X52="","",IF(D52="2 3D",((F52-0.5)*2+(G52-0.5)*2)*VLOOKUP("3D base",#REF!,2,FALSE),IF(D52="3 Canv", IF(E52="Roll",0,ROUND(SUM(F52:G52)*2,0)),0)*VLOOKUP("Stretcher Bar",#REF!,2,FALSE)))</f>
        <v>#REF!</v>
      </c>
      <c r="AD52" s="91" t="e">
        <f>IF(X52="","",IF(E52="Roll",0,IF(D52="2 3D",(SUM(F52:G52)*2)*VLOOKUP("3D epoxy",#REF!,2,FALSE),IF(D52="3 Canv",VLOOKUP("Wood glue",#REF!,2,FALSE),""))))</f>
        <v>#REF!</v>
      </c>
      <c r="AE52" s="91" t="e">
        <f>IF(D52="3 Canv",(((F52+5)*(G52+5)))*VLOOKUP("Canvas",#REF!,2,FALSE),IF(D52="2 3D",(((F52)*(G52)))*VLOOKUP("Dibond",#REF!,2,FALSE),""))</f>
        <v>#REF!</v>
      </c>
      <c r="AF52" s="91" t="e">
        <f>IF(D52="2 3D",F52*G52*VLOOKUP("3D ink",#REF!,2,FALSE),IF(D52="3 Canv",F52*G52*VLOOKUP("Canvas ink",#REF!,2,FALSE),""))</f>
        <v>#REF!</v>
      </c>
      <c r="AG52" s="91" t="str">
        <f>IF(D52="3 Canv",IF(E52="Roll","",ROUNDUP((SUM(F52:G52)*2)/3,"")*VLOOKUP("Staples",#REF!,2,FALSE)),"")</f>
        <v/>
      </c>
      <c r="AH52" s="91" t="e">
        <f>IF(AF52="","",(SUM(F52:G52)*2)*VLOOKUP(E52,#REF!,2,FALSE))</f>
        <v>#REF!</v>
      </c>
      <c r="AI52" s="18">
        <f t="shared" si="27"/>
        <v>44</v>
      </c>
      <c r="AJ52" s="91" t="e">
        <f>IF(AI52="","",AI52*VLOOKUP("Staples",#REF!,2,FALSE))</f>
        <v>#REF!</v>
      </c>
      <c r="AK52" s="18" t="e">
        <f t="shared" si="28"/>
        <v>#REF!</v>
      </c>
      <c r="AL52" s="91" t="e">
        <f>IF(AK52="","",AK52*VLOOKUP("Frame screw",#REF!,2,FALSE))</f>
        <v>#REF!</v>
      </c>
      <c r="AM52" s="18" t="e">
        <f t="shared" si="29"/>
        <v>#REF!</v>
      </c>
      <c r="AN52" s="91" t="e">
        <f>IF(AM52="","",AM52*VLOOKUP("D ring",#REF!,2,FALSE))</f>
        <v>#REF!</v>
      </c>
      <c r="AO52" s="18" t="e">
        <f t="shared" si="30"/>
        <v>#REF!</v>
      </c>
      <c r="AP52" s="91" t="e">
        <f>IF(AO52="","",IF(G52&gt;59,AO52* VLOOKUP("8 wire",#REF!,2,FALSE)*2,IF(G52&gt;39,AO52* VLOOKUP("8 wire",#REF!,2,FALSE),AO52* VLOOKUP("6 wire",#REF!,2,FALSE))))</f>
        <v>#REF!</v>
      </c>
      <c r="AQ52" s="18">
        <f t="shared" si="31"/>
        <v>4</v>
      </c>
      <c r="AR52" s="18" t="e">
        <f>IF(AQ52="","",AQ52*VLOOKUP("Pads",#REF!,2,FALSE))</f>
        <v>#REF!</v>
      </c>
      <c r="AS52" s="18">
        <f t="shared" si="32"/>
        <v>1</v>
      </c>
      <c r="AT52" s="91" t="e">
        <f>IF(AS52="","",AS52*VLOOKUP("4 mil bag",#REF!,2,FALSE))</f>
        <v>#REF!</v>
      </c>
      <c r="AU52" s="91" t="e">
        <f>IF(X52="","",IF(I52="N/A","",IF(I52="CNC",IF(G52&gt;37,20,10),VLOOKUP(I52,#REF!,2,FALSE))))</f>
        <v>#REF!</v>
      </c>
      <c r="AV52" s="18" t="str">
        <f>IF(X52="","",IF(I52="CNC",VLOOKUP("Glue stick",#REF!,2,FALSE),""))</f>
        <v/>
      </c>
      <c r="AW52" s="18" t="str">
        <f>IF(X52="","",IF(I52="CNC",16*VLOOKUP("Box staples",#REF!,2,FALSE),""))</f>
        <v/>
      </c>
      <c r="AX52" s="91" t="e">
        <f>IF(X52="","",IF(I52="CNC",((((G52+6)+(F52+6))*2)+24)*VLOOKUP("sealing tape",#REF!,2,FALSE),VLOOKUP("Strapping tape",#REF!,2,FALSE)))</f>
        <v>#REF!</v>
      </c>
      <c r="AY52" s="17"/>
      <c r="AZ52" s="17"/>
      <c r="BA52" s="17"/>
      <c r="BB52" s="17"/>
      <c r="BC52" s="96"/>
      <c r="BD52" s="96"/>
      <c r="BE52" s="96"/>
      <c r="BF52" s="96"/>
      <c r="BG52" s="96"/>
      <c r="BH52" s="96"/>
      <c r="BI52" s="96"/>
    </row>
    <row r="53" spans="1:61" x14ac:dyDescent="0.45">
      <c r="A53" s="103" t="s">
        <v>1116</v>
      </c>
      <c r="B53" s="17" t="s">
        <v>1115</v>
      </c>
      <c r="C53" s="16">
        <v>44562</v>
      </c>
      <c r="D53" s="17" t="s">
        <v>66</v>
      </c>
      <c r="E53" s="15" t="s">
        <v>51</v>
      </c>
      <c r="F53" s="17">
        <v>23</v>
      </c>
      <c r="G53" s="17">
        <v>31</v>
      </c>
      <c r="H53" s="3" t="s">
        <v>43</v>
      </c>
      <c r="I53" s="88" t="s">
        <v>583</v>
      </c>
      <c r="J53" s="87">
        <v>44576</v>
      </c>
      <c r="K53" s="15">
        <v>657</v>
      </c>
      <c r="L53" s="96">
        <v>0</v>
      </c>
      <c r="M53" s="89">
        <v>37.229999999999997</v>
      </c>
      <c r="N53" s="88">
        <v>18</v>
      </c>
      <c r="O53" s="413" t="str">
        <f t="shared" si="1"/>
        <v>23 x 31</v>
      </c>
      <c r="P53" s="18" t="str">
        <f t="shared" si="2"/>
        <v>25 x 33</v>
      </c>
      <c r="Q53" s="91">
        <f t="shared" si="3"/>
        <v>6.49</v>
      </c>
      <c r="R53" s="18" t="str">
        <f t="shared" si="4"/>
        <v>42 x 36 x 6</v>
      </c>
      <c r="S53" s="18">
        <v>42</v>
      </c>
      <c r="T53" s="18">
        <v>36</v>
      </c>
      <c r="U53" s="18">
        <v>6</v>
      </c>
      <c r="V53" s="90">
        <f t="shared" si="5"/>
        <v>126</v>
      </c>
      <c r="W53" s="287" t="str">
        <f t="shared" si="21"/>
        <v/>
      </c>
      <c r="X53" s="287" t="str">
        <f t="shared" si="22"/>
        <v>Yes</v>
      </c>
      <c r="Y53" s="93" t="e">
        <f t="shared" si="23"/>
        <v>#REF!</v>
      </c>
      <c r="Z53" s="288" t="e">
        <f t="shared" si="24"/>
        <v>#REF!</v>
      </c>
      <c r="AA53" s="94" t="e">
        <f t="shared" si="25"/>
        <v>#REF!</v>
      </c>
      <c r="AB53" s="288" t="e">
        <f t="shared" si="26"/>
        <v>#REF!</v>
      </c>
      <c r="AC53" s="91" t="e">
        <f>IF(X53="","",IF(D53="2 3D",((F53-0.5)*2+(G53-0.5)*2)*VLOOKUP("3D base",#REF!,2,FALSE),IF(D53="3 Canv", IF(E53="Roll",0,ROUND(SUM(F53:G53)*2,0)),0)*VLOOKUP("Stretcher Bar",#REF!,2,FALSE)))</f>
        <v>#REF!</v>
      </c>
      <c r="AD53" s="91" t="e">
        <f>IF(X53="","",IF(E53="Roll",0,IF(D53="2 3D",(SUM(F53:G53)*2)*VLOOKUP("3D epoxy",#REF!,2,FALSE),IF(D53="3 Canv",VLOOKUP("Wood glue",#REF!,2,FALSE),""))))</f>
        <v>#REF!</v>
      </c>
      <c r="AE53" s="91" t="e">
        <f>IF(D53="3 Canv",(((F53+5)*(G53+5)))*VLOOKUP("Canvas",#REF!,2,FALSE),IF(D53="2 3D",(((F53)*(G53)))*VLOOKUP("Dibond",#REF!,2,FALSE),""))</f>
        <v>#REF!</v>
      </c>
      <c r="AF53" s="91" t="e">
        <f>IF(D53="2 3D",F53*G53*VLOOKUP("3D ink",#REF!,2,FALSE),IF(D53="3 Canv",F53*G53*VLOOKUP("Canvas ink",#REF!,2,FALSE),""))</f>
        <v>#REF!</v>
      </c>
      <c r="AG53" s="91" t="e">
        <f>IF(D53="3 Canv",IF(E53="Roll","",ROUNDUP((SUM(F53:G53)*2)/3,"")*VLOOKUP("Staples",#REF!,2,FALSE)),"")</f>
        <v>#VALUE!</v>
      </c>
      <c r="AH53" s="91" t="e">
        <f>IF(AF53="","",(SUM(F53:G53)*2)*VLOOKUP(E53,#REF!,2,FALSE))</f>
        <v>#REF!</v>
      </c>
      <c r="AI53" s="18">
        <f t="shared" si="27"/>
        <v>44</v>
      </c>
      <c r="AJ53" s="91" t="e">
        <f>IF(AI53="","",AI53*VLOOKUP("Staples",#REF!,2,FALSE))</f>
        <v>#REF!</v>
      </c>
      <c r="AK53" s="18" t="e">
        <f t="shared" si="28"/>
        <v>#REF!</v>
      </c>
      <c r="AL53" s="91" t="e">
        <f>IF(AK53="","",AK53*VLOOKUP("Frame screw",#REF!,2,FALSE))</f>
        <v>#REF!</v>
      </c>
      <c r="AM53" s="18" t="e">
        <f t="shared" si="29"/>
        <v>#REF!</v>
      </c>
      <c r="AN53" s="91" t="e">
        <f>IF(AM53="","",AM53*VLOOKUP("D ring",#REF!,2,FALSE))</f>
        <v>#REF!</v>
      </c>
      <c r="AO53" s="18" t="e">
        <f t="shared" si="30"/>
        <v>#REF!</v>
      </c>
      <c r="AP53" s="91" t="e">
        <f>IF(AO53="","",IF(G53&gt;59,AO53* VLOOKUP("8 wire",#REF!,2,FALSE)*2,IF(G53&gt;39,AO53* VLOOKUP("8 wire",#REF!,2,FALSE),AO53* VLOOKUP("6 wire",#REF!,2,FALSE))))</f>
        <v>#REF!</v>
      </c>
      <c r="AQ53" s="18">
        <f t="shared" si="31"/>
        <v>4</v>
      </c>
      <c r="AR53" s="18" t="e">
        <f>IF(AQ53="","",AQ53*VLOOKUP("Pads",#REF!,2,FALSE))</f>
        <v>#REF!</v>
      </c>
      <c r="AS53" s="18">
        <f t="shared" si="32"/>
        <v>1</v>
      </c>
      <c r="AT53" s="91" t="e">
        <f>IF(AS53="","",AS53*VLOOKUP("4 mil bag",#REF!,2,FALSE))</f>
        <v>#REF!</v>
      </c>
      <c r="AU53" s="91" t="e">
        <f>IF(X53="","",IF(I53="N/A","",IF(I53="CNC",IF(G53&gt;37,20,10),VLOOKUP(I53,#REF!,2,FALSE))))</f>
        <v>#REF!</v>
      </c>
      <c r="AV53" s="18" t="str">
        <f>IF(X53="","",IF(I53="CNC",VLOOKUP("Glue stick",#REF!,2,FALSE),""))</f>
        <v/>
      </c>
      <c r="AW53" s="18" t="str">
        <f>IF(X53="","",IF(I53="CNC",16*VLOOKUP("Box staples",#REF!,2,FALSE),""))</f>
        <v/>
      </c>
      <c r="AX53" s="91" t="e">
        <f>IF(X53="","",IF(I53="CNC",((((G53+6)+(F53+6))*2)+24)*VLOOKUP("sealing tape",#REF!,2,FALSE),VLOOKUP("Strapping tape",#REF!,2,FALSE)))</f>
        <v>#REF!</v>
      </c>
      <c r="AY53" s="17"/>
      <c r="AZ53" s="17"/>
      <c r="BA53" s="17"/>
      <c r="BB53" s="17"/>
      <c r="BC53" s="96"/>
      <c r="BD53" s="96"/>
      <c r="BE53" s="96"/>
      <c r="BF53" s="96"/>
      <c r="BG53" s="96"/>
      <c r="BH53" s="96"/>
      <c r="BI53" s="96"/>
    </row>
    <row r="54" spans="1:61" x14ac:dyDescent="0.45">
      <c r="A54" s="103" t="s">
        <v>1056</v>
      </c>
      <c r="B54" s="17" t="s">
        <v>639</v>
      </c>
      <c r="C54" s="16">
        <v>44551</v>
      </c>
      <c r="D54" s="17" t="s">
        <v>54</v>
      </c>
      <c r="E54" s="15" t="s">
        <v>690</v>
      </c>
      <c r="F54" s="17">
        <v>48</v>
      </c>
      <c r="G54" s="17">
        <v>60</v>
      </c>
      <c r="H54" s="3" t="s">
        <v>43</v>
      </c>
      <c r="I54" s="88" t="s">
        <v>384</v>
      </c>
      <c r="J54" s="87">
        <v>44579</v>
      </c>
      <c r="K54" s="15">
        <v>7680</v>
      </c>
      <c r="L54" s="96">
        <v>0</v>
      </c>
      <c r="M54" s="89">
        <v>1724.72</v>
      </c>
      <c r="N54" s="88">
        <v>261</v>
      </c>
      <c r="O54" s="413" t="str">
        <f t="shared" si="1"/>
        <v>48 x 60</v>
      </c>
      <c r="P54" s="18" t="str">
        <f t="shared" si="2"/>
        <v>50 x 62</v>
      </c>
      <c r="Q54" s="91" t="str">
        <f t="shared" si="3"/>
        <v>N/A</v>
      </c>
      <c r="R54" s="18" t="str">
        <f t="shared" si="4"/>
        <v>N/A</v>
      </c>
      <c r="S54" s="18" t="s">
        <v>45</v>
      </c>
      <c r="T54" s="18"/>
      <c r="U54" s="18"/>
      <c r="V54" s="91" t="str">
        <f t="shared" si="5"/>
        <v>N/A</v>
      </c>
      <c r="W54" s="287" t="str">
        <f t="shared" si="21"/>
        <v/>
      </c>
      <c r="X54" s="287" t="str">
        <f t="shared" si="22"/>
        <v>Yes</v>
      </c>
      <c r="Y54" s="93" t="e">
        <f t="shared" si="23"/>
        <v>#REF!</v>
      </c>
      <c r="Z54" s="288" t="e">
        <f t="shared" si="24"/>
        <v>#REF!</v>
      </c>
      <c r="AA54" s="94" t="e">
        <f t="shared" si="25"/>
        <v>#REF!</v>
      </c>
      <c r="AB54" s="288" t="e">
        <f t="shared" si="26"/>
        <v>#REF!</v>
      </c>
      <c r="AC54" s="91" t="e">
        <f>IF(X54="","",IF(D54="2 3D",((F54-0.5)*2+(G54-0.5)*2)*VLOOKUP("3D base",#REF!,2,FALSE),IF(D54="3 Canv", IF(E54="Roll",0,ROUND(SUM(F54:G54)*2,0)),0)*VLOOKUP("Stretcher Bar",#REF!,2,FALSE)))</f>
        <v>#REF!</v>
      </c>
      <c r="AD54" s="91" t="e">
        <f>IF(X54="","",IF(E54="Roll",0,IF(D54="2 3D",(SUM(F54:G54)*2)*VLOOKUP("3D epoxy",#REF!,2,FALSE),IF(D54="3 Canv",VLOOKUP("Wood glue",#REF!,2,FALSE),""))))</f>
        <v>#REF!</v>
      </c>
      <c r="AE54" s="91" t="e">
        <f>IF(D54="3 Canv",(((F54+5)*(G54+5)))*VLOOKUP("Canvas",#REF!,2,FALSE),IF(D54="2 3D",(((F54)*(G54)))*VLOOKUP("Dibond",#REF!,2,FALSE),""))</f>
        <v>#REF!</v>
      </c>
      <c r="AF54" s="91" t="e">
        <f>IF(D54="2 3D",F54*G54*VLOOKUP("3D ink",#REF!,2,FALSE),IF(D54="3 Canv",F54*G54*VLOOKUP("Canvas ink",#REF!,2,FALSE),""))</f>
        <v>#REF!</v>
      </c>
      <c r="AG54" s="91" t="str">
        <f>IF(D54="3 Canv",IF(E54="Roll","",ROUNDUP((SUM(F54:G54)*2)/3,"")*VLOOKUP("Staples",#REF!,2,FALSE)),"")</f>
        <v/>
      </c>
      <c r="AH54" s="91" t="e">
        <f>IF(AF54="","",(SUM(F54:G54)*2)*VLOOKUP(E54,#REF!,2,FALSE))</f>
        <v>#REF!</v>
      </c>
      <c r="AI54" s="18">
        <f t="shared" si="27"/>
        <v>44</v>
      </c>
      <c r="AJ54" s="91" t="e">
        <f>IF(AI54="","",AI54*VLOOKUP("Staples",#REF!,2,FALSE))</f>
        <v>#REF!</v>
      </c>
      <c r="AK54" s="18" t="e">
        <f t="shared" si="28"/>
        <v>#REF!</v>
      </c>
      <c r="AL54" s="91" t="e">
        <f>IF(AK54="","",AK54*VLOOKUP("Frame screw",#REF!,2,FALSE))</f>
        <v>#REF!</v>
      </c>
      <c r="AM54" s="18" t="e">
        <f t="shared" si="29"/>
        <v>#REF!</v>
      </c>
      <c r="AN54" s="91" t="e">
        <f>IF(AM54="","",AM54*VLOOKUP("D ring",#REF!,2,FALSE))</f>
        <v>#REF!</v>
      </c>
      <c r="AO54" s="18" t="e">
        <f t="shared" si="30"/>
        <v>#REF!</v>
      </c>
      <c r="AP54" s="91" t="e">
        <f>IF(AO54="","",IF(G54&gt;59,AO54* VLOOKUP("8 wire",#REF!,2,FALSE)*2,IF(G54&gt;39,AO54* VLOOKUP("8 wire",#REF!,2,FALSE),AO54* VLOOKUP("6 wire",#REF!,2,FALSE))))</f>
        <v>#REF!</v>
      </c>
      <c r="AQ54" s="18">
        <f t="shared" si="31"/>
        <v>4</v>
      </c>
      <c r="AR54" s="18" t="e">
        <f>IF(AQ54="","",AQ54*VLOOKUP("Pads",#REF!,2,FALSE))</f>
        <v>#REF!</v>
      </c>
      <c r="AS54" s="18">
        <f t="shared" si="32"/>
        <v>1</v>
      </c>
      <c r="AT54" s="91" t="e">
        <f>IF(AS54="","",AS54*VLOOKUP("4 mil bag",#REF!,2,FALSE))</f>
        <v>#REF!</v>
      </c>
      <c r="AU54" s="91" t="e">
        <f>IF(X54="","",IF(I54="N/A","",IF(I54="CNC",IF(G54&gt;37,20,10),VLOOKUP(I54,#REF!,2,FALSE))))</f>
        <v>#REF!</v>
      </c>
      <c r="AV54" s="18" t="str">
        <f>IF(X54="","",IF(I54="CNC",VLOOKUP("Glue stick",#REF!,2,FALSE),""))</f>
        <v/>
      </c>
      <c r="AW54" s="18" t="str">
        <f>IF(X54="","",IF(I54="CNC",16*VLOOKUP("Box staples",#REF!,2,FALSE),""))</f>
        <v/>
      </c>
      <c r="AX54" s="91" t="e">
        <f>IF(X54="","",IF(I54="CNC",((((G54+6)+(F54+6))*2)+24)*VLOOKUP("sealing tape",#REF!,2,FALSE),VLOOKUP("Strapping tape",#REF!,2,FALSE)))</f>
        <v>#REF!</v>
      </c>
      <c r="AY54" s="17"/>
      <c r="AZ54" s="17"/>
      <c r="BA54" s="17"/>
      <c r="BB54" s="17"/>
      <c r="BC54" s="96"/>
      <c r="BD54" s="96"/>
      <c r="BE54" s="96"/>
      <c r="BF54" s="96"/>
      <c r="BG54" s="96"/>
      <c r="BH54" s="96"/>
      <c r="BI54" s="96"/>
    </row>
    <row r="55" spans="1:61" x14ac:dyDescent="0.45">
      <c r="A55" s="103" t="s">
        <v>958</v>
      </c>
      <c r="B55" s="17" t="s">
        <v>1118</v>
      </c>
      <c r="C55" s="16">
        <v>44566</v>
      </c>
      <c r="D55" s="17" t="s">
        <v>66</v>
      </c>
      <c r="E55" s="15" t="s">
        <v>50</v>
      </c>
      <c r="F55" s="17">
        <v>27</v>
      </c>
      <c r="G55" s="17">
        <v>33</v>
      </c>
      <c r="H55" s="3" t="s">
        <v>43</v>
      </c>
      <c r="I55" s="88" t="s">
        <v>583</v>
      </c>
      <c r="J55" s="87">
        <v>44580</v>
      </c>
      <c r="K55" s="15">
        <v>465.8</v>
      </c>
      <c r="L55" s="96"/>
      <c r="M55" s="89"/>
      <c r="N55" s="88">
        <v>15</v>
      </c>
      <c r="O55" s="413" t="str">
        <f t="shared" si="1"/>
        <v>27 x 33</v>
      </c>
      <c r="P55" s="18" t="str">
        <f t="shared" si="2"/>
        <v>27 x 33</v>
      </c>
      <c r="Q55" s="91">
        <f t="shared" si="3"/>
        <v>6.49</v>
      </c>
      <c r="R55" s="18" t="str">
        <f t="shared" si="4"/>
        <v>42 x 36 x 6</v>
      </c>
      <c r="S55" s="18">
        <v>42</v>
      </c>
      <c r="T55" s="18">
        <v>36</v>
      </c>
      <c r="U55" s="18">
        <v>6</v>
      </c>
      <c r="V55" s="90">
        <f t="shared" si="5"/>
        <v>126</v>
      </c>
      <c r="W55" s="287" t="str">
        <f t="shared" si="21"/>
        <v/>
      </c>
      <c r="X55" s="287" t="str">
        <f t="shared" si="22"/>
        <v>Yes</v>
      </c>
      <c r="Y55" s="93" t="e">
        <f t="shared" si="23"/>
        <v>#REF!</v>
      </c>
      <c r="Z55" s="288" t="e">
        <f t="shared" si="24"/>
        <v>#REF!</v>
      </c>
      <c r="AA55" s="94" t="e">
        <f t="shared" si="25"/>
        <v>#REF!</v>
      </c>
      <c r="AB55" s="288" t="e">
        <f t="shared" si="26"/>
        <v>#REF!</v>
      </c>
      <c r="AC55" s="91" t="e">
        <f>IF(X55="","",IF(D55="2 3D",((F55-0.5)*2+(G55-0.5)*2)*VLOOKUP("3D base",#REF!,2,FALSE),IF(D55="3 Canv", IF(E55="Roll",0,ROUND(SUM(F55:G55)*2,0)),0)*VLOOKUP("Stretcher Bar",#REF!,2,FALSE)))</f>
        <v>#REF!</v>
      </c>
      <c r="AD55" s="91" t="e">
        <f>IF(X55="","",IF(E55="Roll",0,IF(D55="2 3D",(SUM(F55:G55)*2)*VLOOKUP("3D epoxy",#REF!,2,FALSE),IF(D55="3 Canv",VLOOKUP("Wood glue",#REF!,2,FALSE),""))))</f>
        <v>#REF!</v>
      </c>
      <c r="AE55" s="91" t="e">
        <f>IF(D55="3 Canv",(((F55+5)*(G55+5)))*VLOOKUP("Canvas",#REF!,2,FALSE),IF(D55="2 3D",(((F55)*(G55)))*VLOOKUP("Dibond",#REF!,2,FALSE),""))</f>
        <v>#REF!</v>
      </c>
      <c r="AF55" s="91" t="e">
        <f>IF(D55="2 3D",F55*G55*VLOOKUP("3D ink",#REF!,2,FALSE),IF(D55="3 Canv",F55*G55*VLOOKUP("Canvas ink",#REF!,2,FALSE),""))</f>
        <v>#REF!</v>
      </c>
      <c r="AG55" s="91" t="e">
        <f>IF(D55="3 Canv",IF(E55="Roll","",ROUNDUP((SUM(F55:G55)*2)/3,"")*VLOOKUP("Staples",#REF!,2,FALSE)),"")</f>
        <v>#VALUE!</v>
      </c>
      <c r="AH55" s="91" t="e">
        <f>IF(AF55="","",(SUM(F55:G55)*2)*VLOOKUP(E55,#REF!,2,FALSE))</f>
        <v>#REF!</v>
      </c>
      <c r="AI55" s="18">
        <f t="shared" si="27"/>
        <v>16</v>
      </c>
      <c r="AJ55" s="91" t="e">
        <f>IF(AI55="","",AI55*VLOOKUP("Staples",#REF!,2,FALSE))</f>
        <v>#REF!</v>
      </c>
      <c r="AK55" s="18" t="e">
        <f t="shared" si="28"/>
        <v>#REF!</v>
      </c>
      <c r="AL55" s="91" t="e">
        <f>IF(AK55="","",AK55*VLOOKUP("Frame screw",#REF!,2,FALSE))</f>
        <v>#REF!</v>
      </c>
      <c r="AM55" s="18" t="e">
        <f t="shared" si="29"/>
        <v>#REF!</v>
      </c>
      <c r="AN55" s="91" t="e">
        <f>IF(AM55="","",AM55*VLOOKUP("D ring",#REF!,2,FALSE))</f>
        <v>#REF!</v>
      </c>
      <c r="AO55" s="18" t="e">
        <f t="shared" si="30"/>
        <v>#REF!</v>
      </c>
      <c r="AP55" s="91" t="e">
        <f>IF(AO55="","",IF(G55&gt;59,AO55* VLOOKUP("8 wire",#REF!,2,FALSE)*2,IF(G55&gt;39,AO55* VLOOKUP("8 wire",#REF!,2,FALSE),AO55* VLOOKUP("6 wire",#REF!,2,FALSE))))</f>
        <v>#REF!</v>
      </c>
      <c r="AQ55" s="18">
        <f t="shared" si="31"/>
        <v>4</v>
      </c>
      <c r="AR55" s="18" t="e">
        <f>IF(AQ55="","",AQ55*VLOOKUP("Pads",#REF!,2,FALSE))</f>
        <v>#REF!</v>
      </c>
      <c r="AS55" s="18">
        <f t="shared" si="32"/>
        <v>1</v>
      </c>
      <c r="AT55" s="91" t="e">
        <f>IF(AS55="","",AS55*VLOOKUP("4 mil bag",#REF!,2,FALSE))</f>
        <v>#REF!</v>
      </c>
      <c r="AU55" s="91" t="e">
        <f>IF(X55="","",IF(I55="N/A","",IF(I55="CNC",IF(G55&gt;37,20,10),VLOOKUP(I55,#REF!,2,FALSE))))</f>
        <v>#REF!</v>
      </c>
      <c r="AV55" s="18" t="str">
        <f>IF(X55="","",IF(I55="CNC",VLOOKUP("Glue stick",#REF!,2,FALSE),""))</f>
        <v/>
      </c>
      <c r="AW55" s="18" t="str">
        <f>IF(X55="","",IF(I55="CNC",16*VLOOKUP("Box staples",#REF!,2,FALSE),""))</f>
        <v/>
      </c>
      <c r="AX55" s="91" t="e">
        <f>IF(X55="","",IF(I55="CNC",((((G55+6)+(F55+6))*2)+24)*VLOOKUP("sealing tape",#REF!,2,FALSE),VLOOKUP("Strapping tape",#REF!,2,FALSE)))</f>
        <v>#REF!</v>
      </c>
      <c r="AY55" s="17"/>
      <c r="AZ55" s="17"/>
      <c r="BA55" s="17"/>
      <c r="BB55" s="17"/>
      <c r="BC55" s="96"/>
      <c r="BD55" s="96"/>
      <c r="BE55" s="96"/>
      <c r="BF55" s="96"/>
      <c r="BG55" s="96"/>
      <c r="BH55" s="96"/>
      <c r="BI55" s="96"/>
    </row>
    <row r="56" spans="1:61" x14ac:dyDescent="0.45">
      <c r="A56" s="103" t="s">
        <v>545</v>
      </c>
      <c r="B56" s="17" t="s">
        <v>1121</v>
      </c>
      <c r="C56" s="16">
        <v>44566</v>
      </c>
      <c r="D56" s="17" t="s">
        <v>66</v>
      </c>
      <c r="E56" s="15" t="s">
        <v>50</v>
      </c>
      <c r="F56" s="17">
        <v>23</v>
      </c>
      <c r="G56" s="17">
        <v>35</v>
      </c>
      <c r="H56" s="3" t="s">
        <v>43</v>
      </c>
      <c r="I56" s="88" t="s">
        <v>583</v>
      </c>
      <c r="J56" s="87">
        <v>44580</v>
      </c>
      <c r="K56" s="15">
        <v>449.65</v>
      </c>
      <c r="L56" s="96"/>
      <c r="M56" s="89"/>
      <c r="N56" s="88">
        <v>14</v>
      </c>
      <c r="O56" s="413" t="str">
        <f t="shared" si="1"/>
        <v>23 x 35</v>
      </c>
      <c r="P56" s="18" t="str">
        <f t="shared" si="2"/>
        <v>23 x 35</v>
      </c>
      <c r="Q56" s="91">
        <f t="shared" si="3"/>
        <v>6.49</v>
      </c>
      <c r="R56" s="18" t="str">
        <f t="shared" si="4"/>
        <v>42 x 36 x 6</v>
      </c>
      <c r="S56" s="18">
        <v>42</v>
      </c>
      <c r="T56" s="18">
        <v>36</v>
      </c>
      <c r="U56" s="18">
        <v>6</v>
      </c>
      <c r="V56" s="90">
        <f t="shared" si="5"/>
        <v>126</v>
      </c>
      <c r="W56" s="287" t="str">
        <f t="shared" si="21"/>
        <v/>
      </c>
      <c r="X56" s="287" t="str">
        <f t="shared" si="22"/>
        <v>Yes</v>
      </c>
      <c r="Y56" s="93" t="e">
        <f t="shared" si="23"/>
        <v>#REF!</v>
      </c>
      <c r="Z56" s="288" t="e">
        <f t="shared" si="24"/>
        <v>#REF!</v>
      </c>
      <c r="AA56" s="94" t="e">
        <f t="shared" si="25"/>
        <v>#REF!</v>
      </c>
      <c r="AB56" s="288" t="e">
        <f t="shared" si="26"/>
        <v>#REF!</v>
      </c>
      <c r="AC56" s="91" t="e">
        <f>IF(X56="","",IF(D56="2 3D",((F56-0.5)*2+(G56-0.5)*2)*VLOOKUP("3D base",#REF!,2,FALSE),IF(D56="3 Canv", IF(E56="Roll",0,ROUND(SUM(F56:G56)*2,0)),0)*VLOOKUP("Stretcher Bar",#REF!,2,FALSE)))</f>
        <v>#REF!</v>
      </c>
      <c r="AD56" s="91" t="e">
        <f>IF(X56="","",IF(E56="Roll",0,IF(D56="2 3D",(SUM(F56:G56)*2)*VLOOKUP("3D epoxy",#REF!,2,FALSE),IF(D56="3 Canv",VLOOKUP("Wood glue",#REF!,2,FALSE),""))))</f>
        <v>#REF!</v>
      </c>
      <c r="AE56" s="91" t="e">
        <f>IF(D56="3 Canv",(((F56+5)*(G56+5)))*VLOOKUP("Canvas",#REF!,2,FALSE),IF(D56="2 3D",(((F56)*(G56)))*VLOOKUP("Dibond",#REF!,2,FALSE),""))</f>
        <v>#REF!</v>
      </c>
      <c r="AF56" s="91" t="e">
        <f>IF(D56="2 3D",F56*G56*VLOOKUP("3D ink",#REF!,2,FALSE),IF(D56="3 Canv",F56*G56*VLOOKUP("Canvas ink",#REF!,2,FALSE),""))</f>
        <v>#REF!</v>
      </c>
      <c r="AG56" s="91" t="e">
        <f>IF(D56="3 Canv",IF(E56="Roll","",ROUNDUP((SUM(F56:G56)*2)/3,"")*VLOOKUP("Staples",#REF!,2,FALSE)),"")</f>
        <v>#VALUE!</v>
      </c>
      <c r="AH56" s="91" t="e">
        <f>IF(AF56="","",(SUM(F56:G56)*2)*VLOOKUP(E56,#REF!,2,FALSE))</f>
        <v>#REF!</v>
      </c>
      <c r="AI56" s="18">
        <f t="shared" si="27"/>
        <v>16</v>
      </c>
      <c r="AJ56" s="91" t="e">
        <f>IF(AI56="","",AI56*VLOOKUP("Staples",#REF!,2,FALSE))</f>
        <v>#REF!</v>
      </c>
      <c r="AK56" s="18" t="e">
        <f t="shared" si="28"/>
        <v>#REF!</v>
      </c>
      <c r="AL56" s="91" t="e">
        <f>IF(AK56="","",AK56*VLOOKUP("Frame screw",#REF!,2,FALSE))</f>
        <v>#REF!</v>
      </c>
      <c r="AM56" s="18" t="e">
        <f t="shared" si="29"/>
        <v>#REF!</v>
      </c>
      <c r="AN56" s="91" t="e">
        <f>IF(AM56="","",AM56*VLOOKUP("D ring",#REF!,2,FALSE))</f>
        <v>#REF!</v>
      </c>
      <c r="AO56" s="18" t="e">
        <f t="shared" si="30"/>
        <v>#REF!</v>
      </c>
      <c r="AP56" s="91" t="e">
        <f>IF(AO56="","",IF(G56&gt;59,AO56* VLOOKUP("8 wire",#REF!,2,FALSE)*2,IF(G56&gt;39,AO56* VLOOKUP("8 wire",#REF!,2,FALSE),AO56* VLOOKUP("6 wire",#REF!,2,FALSE))))</f>
        <v>#REF!</v>
      </c>
      <c r="AQ56" s="18">
        <f t="shared" si="31"/>
        <v>4</v>
      </c>
      <c r="AR56" s="18" t="e">
        <f>IF(AQ56="","",AQ56*VLOOKUP("Pads",#REF!,2,FALSE))</f>
        <v>#REF!</v>
      </c>
      <c r="AS56" s="18">
        <f t="shared" si="32"/>
        <v>1</v>
      </c>
      <c r="AT56" s="91" t="e">
        <f>IF(AS56="","",AS56*VLOOKUP("4 mil bag",#REF!,2,FALSE))</f>
        <v>#REF!</v>
      </c>
      <c r="AU56" s="91" t="e">
        <f>IF(X56="","",IF(I56="N/A","",IF(I56="CNC",IF(G56&gt;37,20,10),VLOOKUP(I56,#REF!,2,FALSE))))</f>
        <v>#REF!</v>
      </c>
      <c r="AV56" s="18" t="str">
        <f>IF(X56="","",IF(I56="CNC",VLOOKUP("Glue stick",#REF!,2,FALSE),""))</f>
        <v/>
      </c>
      <c r="AW56" s="18" t="str">
        <f>IF(X56="","",IF(I56="CNC",16*VLOOKUP("Box staples",#REF!,2,FALSE),""))</f>
        <v/>
      </c>
      <c r="AX56" s="91" t="e">
        <f>IF(X56="","",IF(I56="CNC",((((G56+6)+(F56+6))*2)+24)*VLOOKUP("sealing tape",#REF!,2,FALSE),VLOOKUP("Strapping tape",#REF!,2,FALSE)))</f>
        <v>#REF!</v>
      </c>
      <c r="AY56" s="17"/>
      <c r="AZ56" s="17"/>
      <c r="BA56" s="17"/>
      <c r="BB56" s="17"/>
      <c r="BC56" s="96"/>
      <c r="BD56" s="96"/>
      <c r="BE56" s="96"/>
      <c r="BF56" s="96"/>
      <c r="BG56" s="96"/>
      <c r="BH56" s="96"/>
      <c r="BI56" s="96"/>
    </row>
    <row r="57" spans="1:61" x14ac:dyDescent="0.45">
      <c r="A57" s="103" t="s">
        <v>472</v>
      </c>
      <c r="B57" s="17" t="s">
        <v>1120</v>
      </c>
      <c r="C57" s="16">
        <v>44570</v>
      </c>
      <c r="D57" s="17" t="s">
        <v>66</v>
      </c>
      <c r="E57" s="15" t="s">
        <v>558</v>
      </c>
      <c r="F57" s="17">
        <v>31</v>
      </c>
      <c r="G57" s="17">
        <v>51</v>
      </c>
      <c r="H57" s="3" t="s">
        <v>43</v>
      </c>
      <c r="I57" s="88" t="s">
        <v>595</v>
      </c>
      <c r="J57" s="87">
        <v>44580</v>
      </c>
      <c r="K57" s="15">
        <v>424.15</v>
      </c>
      <c r="L57" s="96"/>
      <c r="M57" s="89"/>
      <c r="N57" s="88">
        <v>5</v>
      </c>
      <c r="O57" s="413" t="str">
        <f t="shared" si="1"/>
        <v>31 x 51</v>
      </c>
      <c r="P57" s="18" t="str">
        <f t="shared" si="2"/>
        <v>N/A</v>
      </c>
      <c r="Q57" s="91">
        <f t="shared" si="3"/>
        <v>4.32</v>
      </c>
      <c r="R57" s="18" t="str">
        <f t="shared" si="4"/>
        <v>57 x 3 x 3</v>
      </c>
      <c r="S57" s="18">
        <v>57</v>
      </c>
      <c r="T57" s="18">
        <v>3</v>
      </c>
      <c r="U57" s="18">
        <v>3</v>
      </c>
      <c r="V57" s="90">
        <f t="shared" si="5"/>
        <v>69</v>
      </c>
      <c r="W57" s="287" t="str">
        <f t="shared" si="21"/>
        <v/>
      </c>
      <c r="X57" s="287" t="str">
        <f t="shared" si="22"/>
        <v>Yes</v>
      </c>
      <c r="Y57" s="93" t="e">
        <f t="shared" si="23"/>
        <v>#REF!</v>
      </c>
      <c r="Z57" s="288" t="e">
        <f t="shared" si="24"/>
        <v>#REF!</v>
      </c>
      <c r="AA57" s="94" t="e">
        <f t="shared" si="25"/>
        <v>#REF!</v>
      </c>
      <c r="AB57" s="288" t="e">
        <f t="shared" si="26"/>
        <v>#REF!</v>
      </c>
      <c r="AC57" s="91" t="e">
        <f>IF(X57="","",IF(D57="2 3D",((F57-0.5)*2+(G57-0.5)*2)*VLOOKUP("3D base",#REF!,2,FALSE),IF(D57="3 Canv", IF(E57="Roll",0,ROUND(SUM(F57:G57)*2,0)),0)*VLOOKUP("Stretcher Bar",#REF!,2,FALSE)))</f>
        <v>#REF!</v>
      </c>
      <c r="AD57" s="91">
        <f>IF(X57="","",IF(E57="Roll",0,IF(D57="2 3D",(SUM(F57:G57)*2)*VLOOKUP("3D epoxy",#REF!,2,FALSE),IF(D57="3 Canv",VLOOKUP("Wood glue",#REF!,2,FALSE),""))))</f>
        <v>0</v>
      </c>
      <c r="AE57" s="91" t="e">
        <f>IF(D57="3 Canv",(((F57+5)*(G57+5)))*VLOOKUP("Canvas",#REF!,2,FALSE),IF(D57="2 3D",(((F57)*(G57)))*VLOOKUP("Dibond",#REF!,2,FALSE),""))</f>
        <v>#REF!</v>
      </c>
      <c r="AF57" s="91" t="e">
        <f>IF(D57="2 3D",F57*G57*VLOOKUP("3D ink",#REF!,2,FALSE),IF(D57="3 Canv",F57*G57*VLOOKUP("Canvas ink",#REF!,2,FALSE),""))</f>
        <v>#REF!</v>
      </c>
      <c r="AG57" s="91" t="str">
        <f>IF(D57="3 Canv",IF(E57="Roll","",ROUNDUP((SUM(F57:G57)*2)/3,"")*VLOOKUP("Staples",#REF!,2,FALSE)),"")</f>
        <v/>
      </c>
      <c r="AH57" s="91" t="e">
        <f>IF(AF57="","",(SUM(F57:G57)*2)*VLOOKUP(E57,#REF!,2,FALSE))</f>
        <v>#REF!</v>
      </c>
      <c r="AI57" s="18" t="str">
        <f t="shared" si="27"/>
        <v/>
      </c>
      <c r="AJ57" s="91" t="str">
        <f>IF(AI57="","",AI57*VLOOKUP("Staples",#REF!,2,FALSE))</f>
        <v/>
      </c>
      <c r="AK57" s="18" t="str">
        <f t="shared" si="28"/>
        <v/>
      </c>
      <c r="AL57" s="91" t="str">
        <f>IF(AK57="","",AK57*VLOOKUP("Frame screw",#REF!,2,FALSE))</f>
        <v/>
      </c>
      <c r="AM57" s="18" t="e">
        <f t="shared" si="29"/>
        <v>#REF!</v>
      </c>
      <c r="AN57" s="91" t="e">
        <f>IF(AM57="","",AM57*VLOOKUP("D ring",#REF!,2,FALSE))</f>
        <v>#REF!</v>
      </c>
      <c r="AO57" s="18" t="e">
        <f t="shared" si="30"/>
        <v>#REF!</v>
      </c>
      <c r="AP57" s="18" t="e">
        <f>IF(AO57="","",IF(G57&gt;59,AO57* VLOOKUP("8 wire",#REF!,2,FALSE)*2,IF(G57&gt;39,AO57* VLOOKUP("8 wire",#REF!,2,FALSE),AO57* VLOOKUP("6 wire",#REF!,2,FALSE))))</f>
        <v>#REF!</v>
      </c>
      <c r="AQ57" s="18" t="str">
        <f t="shared" si="31"/>
        <v/>
      </c>
      <c r="AR57" s="18" t="str">
        <f>IF(AQ57="","",AQ57*VLOOKUP("Pads",#REF!,2,FALSE))</f>
        <v/>
      </c>
      <c r="AS57" s="18" t="str">
        <f t="shared" si="32"/>
        <v/>
      </c>
      <c r="AT57" s="18" t="str">
        <f>IF(AS57="","",AS57*VLOOKUP("4 mil bag",#REF!,2,FALSE))</f>
        <v/>
      </c>
      <c r="AU57" s="91" t="e">
        <f>IF(X57="","",IF(I57="N/A","",IF(I57="CNC",IF(G57&gt;37,20,10),VLOOKUP(I57,#REF!,2,FALSE))))</f>
        <v>#REF!</v>
      </c>
      <c r="AV57" s="18" t="str">
        <f>IF(X57="","",IF(I57="CNC",VLOOKUP("Glue stick",#REF!,2,FALSE),""))</f>
        <v/>
      </c>
      <c r="AW57" s="18" t="str">
        <f>IF(X57="","",IF(I57="CNC",16*VLOOKUP("Box staples",#REF!,2,FALSE),""))</f>
        <v/>
      </c>
      <c r="AX57" s="91" t="e">
        <f>IF(X57="","",IF(I57="CNC",((((G57+6)+(F57+6))*2)+24)*VLOOKUP("sealing tape",#REF!,2,FALSE),VLOOKUP("Strapping tape",#REF!,2,FALSE)))</f>
        <v>#REF!</v>
      </c>
      <c r="AY57" s="17"/>
      <c r="AZ57" s="17"/>
      <c r="BA57" s="17"/>
      <c r="BB57" s="17"/>
      <c r="BC57" s="96"/>
      <c r="BD57" s="96"/>
      <c r="BE57" s="96"/>
      <c r="BF57" s="96"/>
      <c r="BG57" s="96"/>
      <c r="BH57" s="96"/>
      <c r="BI57" s="96"/>
    </row>
    <row r="58" spans="1:61" x14ac:dyDescent="0.45">
      <c r="A58" s="103" t="s">
        <v>582</v>
      </c>
      <c r="B58" s="17" t="s">
        <v>1120</v>
      </c>
      <c r="C58" s="16">
        <v>44570</v>
      </c>
      <c r="D58" s="17" t="s">
        <v>66</v>
      </c>
      <c r="E58" s="15" t="s">
        <v>558</v>
      </c>
      <c r="F58" s="17">
        <v>34</v>
      </c>
      <c r="G58" s="17">
        <v>42</v>
      </c>
      <c r="H58" s="3" t="s">
        <v>43</v>
      </c>
      <c r="I58" s="88" t="s">
        <v>595</v>
      </c>
      <c r="J58" s="87">
        <v>44580</v>
      </c>
      <c r="K58" s="15">
        <v>379.1</v>
      </c>
      <c r="L58" s="96"/>
      <c r="M58" s="89"/>
      <c r="N58" s="88"/>
      <c r="O58" s="413" t="str">
        <f t="shared" si="1"/>
        <v>34 x 42</v>
      </c>
      <c r="P58" s="18" t="str">
        <f t="shared" si="2"/>
        <v>N/A</v>
      </c>
      <c r="Q58" s="91">
        <f t="shared" si="3"/>
        <v>4.32</v>
      </c>
      <c r="R58" s="18" t="str">
        <f t="shared" si="4"/>
        <v>57 x 3 x 3</v>
      </c>
      <c r="S58" s="18">
        <v>57</v>
      </c>
      <c r="T58" s="18">
        <v>3</v>
      </c>
      <c r="U58" s="18">
        <v>3</v>
      </c>
      <c r="V58" s="90">
        <f t="shared" si="5"/>
        <v>69</v>
      </c>
      <c r="W58" s="287" t="str">
        <f t="shared" si="21"/>
        <v/>
      </c>
      <c r="X58" s="287" t="str">
        <f t="shared" si="22"/>
        <v>Yes</v>
      </c>
      <c r="Y58" s="93" t="e">
        <f t="shared" si="23"/>
        <v>#REF!</v>
      </c>
      <c r="Z58" s="288" t="e">
        <f t="shared" si="24"/>
        <v>#REF!</v>
      </c>
      <c r="AA58" s="94" t="e">
        <f t="shared" si="25"/>
        <v>#REF!</v>
      </c>
      <c r="AB58" s="288" t="e">
        <f t="shared" si="26"/>
        <v>#REF!</v>
      </c>
      <c r="AC58" s="91" t="e">
        <f>IF(X58="","",IF(D58="2 3D",((F58-0.5)*2+(G58-0.5)*2)*VLOOKUP("3D base",#REF!,2,FALSE),IF(D58="3 Canv", IF(E58="Roll",0,ROUND(SUM(F58:G58)*2,0)),0)*VLOOKUP("Stretcher Bar",#REF!,2,FALSE)))</f>
        <v>#REF!</v>
      </c>
      <c r="AD58" s="91">
        <f>IF(X58="","",IF(E58="Roll",0,IF(D58="2 3D",(SUM(F58:G58)*2)*VLOOKUP("3D epoxy",#REF!,2,FALSE),IF(D58="3 Canv",VLOOKUP("Wood glue",#REF!,2,FALSE),""))))</f>
        <v>0</v>
      </c>
      <c r="AE58" s="91" t="e">
        <f>IF(D58="3 Canv",(((F58+5)*(G58+5)))*VLOOKUP("Canvas",#REF!,2,FALSE),IF(D58="2 3D",(((F58)*(G58)))*VLOOKUP("Dibond",#REF!,2,FALSE),""))</f>
        <v>#REF!</v>
      </c>
      <c r="AF58" s="91" t="e">
        <f>IF(D58="2 3D",F58*G58*VLOOKUP("3D ink",#REF!,2,FALSE),IF(D58="3 Canv",F58*G58*VLOOKUP("Canvas ink",#REF!,2,FALSE),""))</f>
        <v>#REF!</v>
      </c>
      <c r="AG58" s="91" t="str">
        <f>IF(D58="3 Canv",IF(E58="Roll","",ROUNDUP((SUM(F58:G58)*2)/3,"")*VLOOKUP("Staples",#REF!,2,FALSE)),"")</f>
        <v/>
      </c>
      <c r="AH58" s="91" t="e">
        <f>IF(AF58="","",(SUM(F58:G58)*2)*VLOOKUP(E58,#REF!,2,FALSE))</f>
        <v>#REF!</v>
      </c>
      <c r="AI58" s="18" t="str">
        <f t="shared" si="27"/>
        <v/>
      </c>
      <c r="AJ58" s="91" t="str">
        <f>IF(AI58="","",AI58*VLOOKUP("Staples",#REF!,2,FALSE))</f>
        <v/>
      </c>
      <c r="AK58" s="18" t="str">
        <f t="shared" si="28"/>
        <v/>
      </c>
      <c r="AL58" s="91" t="str">
        <f>IF(AK58="","",AK58*VLOOKUP("Frame screw",#REF!,2,FALSE))</f>
        <v/>
      </c>
      <c r="AM58" s="18" t="e">
        <f t="shared" si="29"/>
        <v>#REF!</v>
      </c>
      <c r="AN58" s="91" t="e">
        <f>IF(AM58="","",AM58*VLOOKUP("D ring",#REF!,2,FALSE))</f>
        <v>#REF!</v>
      </c>
      <c r="AO58" s="18" t="e">
        <f t="shared" si="30"/>
        <v>#REF!</v>
      </c>
      <c r="AP58" s="18" t="e">
        <f>IF(AO58="","",IF(G58&gt;59,AO58* VLOOKUP("8 wire",#REF!,2,FALSE)*2,IF(G58&gt;39,AO58* VLOOKUP("8 wire",#REF!,2,FALSE),AO58* VLOOKUP("6 wire",#REF!,2,FALSE))))</f>
        <v>#REF!</v>
      </c>
      <c r="AQ58" s="18" t="str">
        <f t="shared" si="31"/>
        <v/>
      </c>
      <c r="AR58" s="18" t="str">
        <f>IF(AQ58="","",AQ58*VLOOKUP("Pads",#REF!,2,FALSE))</f>
        <v/>
      </c>
      <c r="AS58" s="18" t="str">
        <f t="shared" si="32"/>
        <v/>
      </c>
      <c r="AT58" s="18" t="str">
        <f>IF(AS58="","",AS58*VLOOKUP("4 mil bag",#REF!,2,FALSE))</f>
        <v/>
      </c>
      <c r="AU58" s="91" t="e">
        <f>IF(X58="","",IF(I58="N/A","",IF(I58="CNC",IF(G58&gt;37,20,10),VLOOKUP(I58,#REF!,2,FALSE))))</f>
        <v>#REF!</v>
      </c>
      <c r="AV58" s="18" t="str">
        <f>IF(X58="","",IF(I58="CNC",VLOOKUP("Glue stick",#REF!,2,FALSE),""))</f>
        <v/>
      </c>
      <c r="AW58" s="18" t="str">
        <f>IF(X58="","",IF(I58="CNC",16*VLOOKUP("Box staples",#REF!,2,FALSE),""))</f>
        <v/>
      </c>
      <c r="AX58" s="91" t="e">
        <f>IF(X58="","",IF(I58="CNC",((((G58+6)+(F58+6))*2)+24)*VLOOKUP("sealing tape",#REF!,2,FALSE),VLOOKUP("Strapping tape",#REF!,2,FALSE)))</f>
        <v>#REF!</v>
      </c>
      <c r="AY58" s="17"/>
      <c r="AZ58" s="17"/>
      <c r="BA58" s="17"/>
      <c r="BB58" s="17"/>
      <c r="BC58" s="96"/>
      <c r="BD58" s="96"/>
      <c r="BE58" s="96"/>
      <c r="BF58" s="96"/>
      <c r="BG58" s="96"/>
      <c r="BH58" s="96"/>
      <c r="BI58" s="96"/>
    </row>
    <row r="59" spans="1:61" x14ac:dyDescent="0.45">
      <c r="A59" s="261" t="s">
        <v>985</v>
      </c>
      <c r="B59" s="101" t="s">
        <v>1119</v>
      </c>
      <c r="C59" s="263">
        <v>44570</v>
      </c>
      <c r="D59" s="101" t="s">
        <v>66</v>
      </c>
      <c r="E59" s="262" t="s">
        <v>558</v>
      </c>
      <c r="F59" s="101">
        <v>31</v>
      </c>
      <c r="G59" s="101">
        <v>39</v>
      </c>
      <c r="H59" s="264" t="s">
        <v>43</v>
      </c>
      <c r="I59" s="98" t="s">
        <v>595</v>
      </c>
      <c r="J59" s="97">
        <v>44580</v>
      </c>
      <c r="K59" s="262">
        <v>331.5</v>
      </c>
      <c r="L59" s="265"/>
      <c r="M59" s="99"/>
      <c r="N59" s="98">
        <v>2</v>
      </c>
      <c r="O59" s="414" t="str">
        <f t="shared" si="1"/>
        <v>31 x 39</v>
      </c>
      <c r="P59" s="100" t="str">
        <f t="shared" si="2"/>
        <v>N/A</v>
      </c>
      <c r="Q59" s="274">
        <f t="shared" si="3"/>
        <v>4.32</v>
      </c>
      <c r="R59" s="100" t="str">
        <f t="shared" si="4"/>
        <v>57 x 3 x 3</v>
      </c>
      <c r="S59" s="100">
        <v>57</v>
      </c>
      <c r="T59" s="100">
        <v>3</v>
      </c>
      <c r="U59" s="100">
        <v>3</v>
      </c>
      <c r="V59" s="415">
        <f t="shared" si="5"/>
        <v>69</v>
      </c>
      <c r="W59" s="289" t="str">
        <f t="shared" si="21"/>
        <v/>
      </c>
      <c r="X59" s="289" t="str">
        <f t="shared" si="22"/>
        <v>Yes</v>
      </c>
      <c r="Y59" s="275" t="e">
        <f t="shared" si="23"/>
        <v>#REF!</v>
      </c>
      <c r="Z59" s="308" t="e">
        <f t="shared" si="24"/>
        <v>#REF!</v>
      </c>
      <c r="AA59" s="276" t="e">
        <f t="shared" si="25"/>
        <v>#REF!</v>
      </c>
      <c r="AB59" s="308" t="e">
        <f t="shared" si="26"/>
        <v>#REF!</v>
      </c>
      <c r="AC59" s="274" t="e">
        <f>IF(X59="","",IF(D59="2 3D",((F59-0.5)*2+(G59-0.5)*2)*VLOOKUP("3D base",#REF!,2,FALSE),IF(D59="3 Canv", IF(E59="Roll",0,ROUND(SUM(F59:G59)*2,0)),0)*VLOOKUP("Stretcher Bar",#REF!,2,FALSE)))</f>
        <v>#REF!</v>
      </c>
      <c r="AD59" s="274">
        <f>IF(X59="","",IF(E59="Roll",0,IF(D59="2 3D",(SUM(F59:G59)*2)*VLOOKUP("3D epoxy",#REF!,2,FALSE),IF(D59="3 Canv",VLOOKUP("Wood glue",#REF!,2,FALSE),""))))</f>
        <v>0</v>
      </c>
      <c r="AE59" s="274" t="e">
        <f>IF(D59="3 Canv",(((F59+5)*(G59+5)))*VLOOKUP("Canvas",#REF!,2,FALSE),IF(D59="2 3D",(((F59)*(G59)))*VLOOKUP("Dibond",#REF!,2,FALSE),""))</f>
        <v>#REF!</v>
      </c>
      <c r="AF59" s="274" t="e">
        <f>IF(D59="2 3D",F59*G59*VLOOKUP("3D ink",#REF!,2,FALSE),IF(D59="3 Canv",F59*G59*VLOOKUP("Canvas ink",#REF!,2,FALSE),""))</f>
        <v>#REF!</v>
      </c>
      <c r="AG59" s="274" t="str">
        <f>IF(D59="3 Canv",IF(E59="Roll","",ROUNDUP((SUM(F59:G59)*2)/3,"")*VLOOKUP("Staples",#REF!,2,FALSE)),"")</f>
        <v/>
      </c>
      <c r="AH59" s="274" t="e">
        <f>IF(AF59="","",(SUM(F59:G59)*2)*VLOOKUP(E59,#REF!,2,FALSE))</f>
        <v>#REF!</v>
      </c>
      <c r="AI59" s="100" t="str">
        <f t="shared" si="27"/>
        <v/>
      </c>
      <c r="AJ59" s="274" t="str">
        <f>IF(AI59="","",AI59*VLOOKUP("Staples",#REF!,2,FALSE))</f>
        <v/>
      </c>
      <c r="AK59" s="100" t="str">
        <f t="shared" si="28"/>
        <v/>
      </c>
      <c r="AL59" s="274" t="str">
        <f>IF(AK59="","",AK59*VLOOKUP("Frame screw",#REF!,2,FALSE))</f>
        <v/>
      </c>
      <c r="AM59" s="100" t="e">
        <f t="shared" si="29"/>
        <v>#REF!</v>
      </c>
      <c r="AN59" s="274" t="e">
        <f>IF(AM59="","",AM59*VLOOKUP("D ring",#REF!,2,FALSE))</f>
        <v>#REF!</v>
      </c>
      <c r="AO59" s="100" t="e">
        <f t="shared" si="30"/>
        <v>#REF!</v>
      </c>
      <c r="AP59" s="100" t="e">
        <f>IF(AO59="","",IF(G59&gt;59,AO59* VLOOKUP("8 wire",#REF!,2,FALSE)*2,IF(G59&gt;39,AO59* VLOOKUP("8 wire",#REF!,2,FALSE),AO59* VLOOKUP("6 wire",#REF!,2,FALSE))))</f>
        <v>#REF!</v>
      </c>
      <c r="AQ59" s="100" t="str">
        <f t="shared" si="31"/>
        <v/>
      </c>
      <c r="AR59" s="100" t="str">
        <f>IF(AQ59="","",AQ59*VLOOKUP("Pads",#REF!,2,FALSE))</f>
        <v/>
      </c>
      <c r="AS59" s="100" t="str">
        <f t="shared" si="32"/>
        <v/>
      </c>
      <c r="AT59" s="100" t="str">
        <f>IF(AS59="","",AS59*VLOOKUP("4 mil bag",#REF!,2,FALSE))</f>
        <v/>
      </c>
      <c r="AU59" s="274" t="e">
        <f>IF(X59="","",IF(I59="N/A","",IF(I59="CNC",IF(G59&gt;37,20,10),VLOOKUP(I59,#REF!,2,FALSE))))</f>
        <v>#REF!</v>
      </c>
      <c r="AV59" s="100" t="str">
        <f>IF(X59="","",IF(I59="CNC",VLOOKUP("Glue stick",#REF!,2,FALSE),""))</f>
        <v/>
      </c>
      <c r="AW59" s="100" t="str">
        <f>IF(X59="","",IF(I59="CNC",16*VLOOKUP("Box staples",#REF!,2,FALSE),""))</f>
        <v/>
      </c>
      <c r="AX59" s="274" t="e">
        <f>IF(X59="","",IF(I59="CNC",((((G59+6)+(F59+6))*2)+24)*VLOOKUP("sealing tape",#REF!,2,FALSE),VLOOKUP("Strapping tape",#REF!,2,FALSE)))</f>
        <v>#REF!</v>
      </c>
      <c r="AY59" s="17"/>
      <c r="AZ59" s="17"/>
      <c r="BA59" s="17"/>
      <c r="BB59" s="17"/>
      <c r="BC59" s="96"/>
      <c r="BD59" s="96"/>
      <c r="BE59" s="96"/>
      <c r="BF59" s="96"/>
      <c r="BG59" s="96"/>
      <c r="BH59" s="96"/>
      <c r="BI59" s="96"/>
    </row>
    <row r="60" spans="1:61" x14ac:dyDescent="0.45">
      <c r="A60" s="103" t="s">
        <v>1063</v>
      </c>
      <c r="B60" s="17" t="s">
        <v>1126</v>
      </c>
      <c r="C60" s="16">
        <v>44571</v>
      </c>
      <c r="D60" s="17" t="s">
        <v>66</v>
      </c>
      <c r="E60" s="15" t="s">
        <v>50</v>
      </c>
      <c r="F60" s="17">
        <v>22</v>
      </c>
      <c r="G60" s="17">
        <v>37</v>
      </c>
      <c r="H60" s="3" t="s">
        <v>43</v>
      </c>
      <c r="I60" s="88" t="s">
        <v>583</v>
      </c>
      <c r="J60" s="87">
        <v>44582</v>
      </c>
      <c r="K60" s="15">
        <v>531</v>
      </c>
      <c r="L60" s="96">
        <v>30</v>
      </c>
      <c r="M60" s="89">
        <v>43.18</v>
      </c>
      <c r="N60" s="88">
        <v>15</v>
      </c>
      <c r="O60" s="413" t="str">
        <f t="shared" si="1"/>
        <v>22 x 37</v>
      </c>
      <c r="P60" s="18" t="str">
        <f t="shared" si="2"/>
        <v>22 x 37</v>
      </c>
      <c r="Q60" s="91">
        <f t="shared" si="3"/>
        <v>6.49</v>
      </c>
      <c r="R60" s="18" t="str">
        <f t="shared" si="4"/>
        <v>42 x 36 x 6</v>
      </c>
      <c r="S60" s="18">
        <v>42</v>
      </c>
      <c r="T60" s="18">
        <v>36</v>
      </c>
      <c r="U60" s="18">
        <v>6</v>
      </c>
      <c r="V60" s="90">
        <f t="shared" si="5"/>
        <v>126</v>
      </c>
      <c r="W60" s="287">
        <f t="shared" si="21"/>
        <v>1.4393333333333334</v>
      </c>
      <c r="X60" s="287" t="str">
        <f t="shared" si="22"/>
        <v>Yes</v>
      </c>
      <c r="Y60" s="93" t="e">
        <f t="shared" si="23"/>
        <v>#REF!</v>
      </c>
      <c r="Z60" s="288" t="e">
        <f t="shared" si="24"/>
        <v>#REF!</v>
      </c>
      <c r="AA60" s="94" t="e">
        <f t="shared" si="25"/>
        <v>#REF!</v>
      </c>
      <c r="AB60" s="288" t="e">
        <f t="shared" si="26"/>
        <v>#REF!</v>
      </c>
      <c r="AC60" s="91" t="e">
        <f>IF(X60="","",IF(D60="2 3D",((F60-0.5)*2+(G60-0.5)*2)*VLOOKUP("3D base",#REF!,2,FALSE),IF(D60="3 Canv", IF(E60="Roll",0,ROUND(SUM(F60:G60)*2,0)),0)*VLOOKUP("Stretcher Bar",#REF!,2,FALSE)))</f>
        <v>#REF!</v>
      </c>
      <c r="AD60" s="91" t="e">
        <f>IF(X60="","",IF(E60="Roll",0,IF(D60="2 3D",(SUM(F60:G60)*2)*VLOOKUP("3D epoxy",#REF!,2,FALSE),IF(D60="3 Canv",VLOOKUP("Wood glue",#REF!,2,FALSE),""))))</f>
        <v>#REF!</v>
      </c>
      <c r="AE60" s="91" t="e">
        <f>IF(D60="3 Canv",(((F60+5)*(G60+5)))*VLOOKUP("Canvas",#REF!,2,FALSE),IF(D60="2 3D",(((F60)*(G60)))*VLOOKUP("Dibond",#REF!,2,FALSE),""))</f>
        <v>#REF!</v>
      </c>
      <c r="AF60" s="91" t="e">
        <f>IF(D60="2 3D",F60*G60*VLOOKUP("3D ink",#REF!,2,FALSE),IF(D60="3 Canv",F60*G60*VLOOKUP("Canvas ink",#REF!,2,FALSE),""))</f>
        <v>#REF!</v>
      </c>
      <c r="AG60" s="91" t="e">
        <f>IF(D60="3 Canv",IF(E60="Roll","",ROUNDUP((SUM(F60:G60)*2)/3,"")*VLOOKUP("Staples",#REF!,2,FALSE)),"")</f>
        <v>#VALUE!</v>
      </c>
      <c r="AH60" s="91" t="e">
        <f>IF(AF60="","",(SUM(F60:G60)*2)*VLOOKUP(E60,#REF!,2,FALSE))</f>
        <v>#REF!</v>
      </c>
      <c r="AI60" s="18">
        <f t="shared" si="27"/>
        <v>16</v>
      </c>
      <c r="AJ60" s="91" t="e">
        <f>IF(AI60="","",AI60*VLOOKUP("Staples",#REF!,2,FALSE))</f>
        <v>#REF!</v>
      </c>
      <c r="AK60" s="18" t="e">
        <f t="shared" si="28"/>
        <v>#REF!</v>
      </c>
      <c r="AL60" s="91" t="e">
        <f>IF(AK60="","",AK60*VLOOKUP("Frame screw",#REF!,2,FALSE))</f>
        <v>#REF!</v>
      </c>
      <c r="AM60" s="18" t="e">
        <f t="shared" si="29"/>
        <v>#REF!</v>
      </c>
      <c r="AN60" s="91" t="e">
        <f>IF(AM60="","",AM60*VLOOKUP("D ring",#REF!,2,FALSE))</f>
        <v>#REF!</v>
      </c>
      <c r="AO60" s="18" t="e">
        <f t="shared" si="30"/>
        <v>#REF!</v>
      </c>
      <c r="AP60" s="91" t="e">
        <f>IF(AO60="","",IF(G60&gt;59,AO60* VLOOKUP("8 wire",#REF!,2,FALSE)*2,IF(G60&gt;39,AO60* VLOOKUP("8 wire",#REF!,2,FALSE),AO60* VLOOKUP("6 wire",#REF!,2,FALSE))))</f>
        <v>#REF!</v>
      </c>
      <c r="AQ60" s="18">
        <f t="shared" si="31"/>
        <v>4</v>
      </c>
      <c r="AR60" s="18" t="e">
        <f>IF(AQ60="","",AQ60*VLOOKUP("Pads",#REF!,2,FALSE))</f>
        <v>#REF!</v>
      </c>
      <c r="AS60" s="18">
        <f t="shared" si="32"/>
        <v>1</v>
      </c>
      <c r="AT60" s="91" t="e">
        <f>IF(AS60="","",AS60*VLOOKUP("4 mil bag",#REF!,2,FALSE))</f>
        <v>#REF!</v>
      </c>
      <c r="AU60" s="91" t="e">
        <f>IF(X60="","",IF(I60="N/A","",IF(I60="CNC",IF(G60&gt;37,20,10),VLOOKUP(I60,#REF!,2,FALSE))))</f>
        <v>#REF!</v>
      </c>
      <c r="AV60" s="18" t="str">
        <f>IF(X60="","",IF(I60="CNC",VLOOKUP("Glue stick",#REF!,2,FALSE),""))</f>
        <v/>
      </c>
      <c r="AW60" s="18" t="str">
        <f>IF(X60="","",IF(I60="CNC",16*VLOOKUP("Box staples",#REF!,2,FALSE),""))</f>
        <v/>
      </c>
      <c r="AX60" s="91" t="e">
        <f>IF(X60="","",IF(I60="CNC",((((G60+6)+(F60+6))*2)+24)*VLOOKUP("sealing tape",#REF!,2,FALSE),VLOOKUP("Strapping tape",#REF!,2,FALSE)))</f>
        <v>#REF!</v>
      </c>
      <c r="AY60" s="17"/>
      <c r="AZ60" s="17"/>
      <c r="BA60" s="17"/>
      <c r="BB60" s="17"/>
      <c r="BC60" s="96"/>
      <c r="BD60" s="96"/>
      <c r="BE60" s="96"/>
      <c r="BF60" s="96"/>
      <c r="BG60" s="96"/>
      <c r="BH60" s="96"/>
      <c r="BI60" s="96"/>
    </row>
    <row r="61" spans="1:61" x14ac:dyDescent="0.45">
      <c r="A61" s="103" t="s">
        <v>1125</v>
      </c>
      <c r="B61" s="17" t="s">
        <v>1124</v>
      </c>
      <c r="C61" s="16">
        <v>44570</v>
      </c>
      <c r="D61" s="17" t="s">
        <v>66</v>
      </c>
      <c r="E61" s="15" t="s">
        <v>1</v>
      </c>
      <c r="F61" s="17">
        <v>23</v>
      </c>
      <c r="G61" s="17">
        <v>31</v>
      </c>
      <c r="H61" s="3" t="s">
        <v>43</v>
      </c>
      <c r="I61" s="88" t="s">
        <v>583</v>
      </c>
      <c r="J61" s="87">
        <v>44582</v>
      </c>
      <c r="K61" s="15">
        <v>558.45000000000005</v>
      </c>
      <c r="L61" s="96">
        <v>35</v>
      </c>
      <c r="M61" s="89">
        <v>43.18</v>
      </c>
      <c r="N61" s="88">
        <v>18</v>
      </c>
      <c r="O61" s="413" t="str">
        <f t="shared" si="1"/>
        <v>23 x 31</v>
      </c>
      <c r="P61" s="18" t="str">
        <f t="shared" si="2"/>
        <v>25 x 33</v>
      </c>
      <c r="Q61" s="91">
        <f t="shared" si="3"/>
        <v>6.49</v>
      </c>
      <c r="R61" s="18" t="str">
        <f t="shared" si="4"/>
        <v>42 x 36 x 6</v>
      </c>
      <c r="S61" s="18">
        <v>42</v>
      </c>
      <c r="T61" s="18">
        <v>36</v>
      </c>
      <c r="U61" s="18">
        <v>6</v>
      </c>
      <c r="V61" s="90">
        <f t="shared" si="5"/>
        <v>126</v>
      </c>
      <c r="W61" s="287">
        <f t="shared" si="21"/>
        <v>1.2337142857142858</v>
      </c>
      <c r="X61" s="287" t="str">
        <f t="shared" si="22"/>
        <v>Yes</v>
      </c>
      <c r="Y61" s="93" t="e">
        <f t="shared" si="23"/>
        <v>#REF!</v>
      </c>
      <c r="Z61" s="288" t="e">
        <f t="shared" si="24"/>
        <v>#REF!</v>
      </c>
      <c r="AA61" s="94" t="e">
        <f t="shared" si="25"/>
        <v>#REF!</v>
      </c>
      <c r="AB61" s="288" t="e">
        <f t="shared" si="26"/>
        <v>#REF!</v>
      </c>
      <c r="AC61" s="91" t="e">
        <f>IF(X61="","",IF(D61="2 3D",((F61-0.5)*2+(G61-0.5)*2)*VLOOKUP("3D base",#REF!,2,FALSE),IF(D61="3 Canv", IF(E61="Roll",0,ROUND(SUM(F61:G61)*2,0)),0)*VLOOKUP("Stretcher Bar",#REF!,2,FALSE)))</f>
        <v>#REF!</v>
      </c>
      <c r="AD61" s="91" t="e">
        <f>IF(X61="","",IF(E61="Roll",0,IF(D61="2 3D",(SUM(F61:G61)*2)*VLOOKUP("3D epoxy",#REF!,2,FALSE),IF(D61="3 Canv",VLOOKUP("Wood glue",#REF!,2,FALSE),""))))</f>
        <v>#REF!</v>
      </c>
      <c r="AE61" s="91" t="e">
        <f>IF(D61="3 Canv",(((F61+5)*(G61+5)))*VLOOKUP("Canvas",#REF!,2,FALSE),IF(D61="2 3D",(((F61)*(G61)))*VLOOKUP("Dibond",#REF!,2,FALSE),""))</f>
        <v>#REF!</v>
      </c>
      <c r="AF61" s="91" t="e">
        <f>IF(D61="2 3D",F61*G61*VLOOKUP("3D ink",#REF!,2,FALSE),IF(D61="3 Canv",F61*G61*VLOOKUP("Canvas ink",#REF!,2,FALSE),""))</f>
        <v>#REF!</v>
      </c>
      <c r="AG61" s="91" t="e">
        <f>IF(D61="3 Canv",IF(E61="Roll","",ROUNDUP((SUM(F61:G61)*2)/3,"")*VLOOKUP("Staples",#REF!,2,FALSE)),"")</f>
        <v>#VALUE!</v>
      </c>
      <c r="AH61" s="91" t="e">
        <f>IF(AF61="","",(SUM(F61:G61)*2)*VLOOKUP(E61,#REF!,2,FALSE))</f>
        <v>#REF!</v>
      </c>
      <c r="AI61" s="18">
        <f t="shared" si="27"/>
        <v>44</v>
      </c>
      <c r="AJ61" s="91" t="e">
        <f>IF(AI61="","",AI61*VLOOKUP("Staples",#REF!,2,FALSE))</f>
        <v>#REF!</v>
      </c>
      <c r="AK61" s="18" t="e">
        <f t="shared" si="28"/>
        <v>#REF!</v>
      </c>
      <c r="AL61" s="91" t="e">
        <f>IF(AK61="","",AK61*VLOOKUP("Frame screw",#REF!,2,FALSE))</f>
        <v>#REF!</v>
      </c>
      <c r="AM61" s="18" t="e">
        <f t="shared" si="29"/>
        <v>#REF!</v>
      </c>
      <c r="AN61" s="91" t="e">
        <f>IF(AM61="","",AM61*VLOOKUP("D ring",#REF!,2,FALSE))</f>
        <v>#REF!</v>
      </c>
      <c r="AO61" s="18" t="e">
        <f t="shared" si="30"/>
        <v>#REF!</v>
      </c>
      <c r="AP61" s="91" t="e">
        <f>IF(AO61="","",IF(G61&gt;59,AO61* VLOOKUP("8 wire",#REF!,2,FALSE)*2,IF(G61&gt;39,AO61* VLOOKUP("8 wire",#REF!,2,FALSE),AO61* VLOOKUP("6 wire",#REF!,2,FALSE))))</f>
        <v>#REF!</v>
      </c>
      <c r="AQ61" s="18">
        <f t="shared" si="31"/>
        <v>4</v>
      </c>
      <c r="AR61" s="18" t="e">
        <f>IF(AQ61="","",AQ61*VLOOKUP("Pads",#REF!,2,FALSE))</f>
        <v>#REF!</v>
      </c>
      <c r="AS61" s="18">
        <f t="shared" si="32"/>
        <v>1</v>
      </c>
      <c r="AT61" s="91" t="e">
        <f>IF(AS61="","",AS61*VLOOKUP("4 mil bag",#REF!,2,FALSE))</f>
        <v>#REF!</v>
      </c>
      <c r="AU61" s="91" t="e">
        <f>IF(X61="","",IF(I61="N/A","",IF(I61="CNC",IF(G61&gt;37,20,10),VLOOKUP(I61,#REF!,2,FALSE))))</f>
        <v>#REF!</v>
      </c>
      <c r="AV61" s="18" t="str">
        <f>IF(X61="","",IF(I61="CNC",VLOOKUP("Glue stick",#REF!,2,FALSE),""))</f>
        <v/>
      </c>
      <c r="AW61" s="18" t="str">
        <f>IF(X61="","",IF(I61="CNC",16*VLOOKUP("Box staples",#REF!,2,FALSE),""))</f>
        <v/>
      </c>
      <c r="AX61" s="91" t="e">
        <f>IF(X61="","",IF(I61="CNC",((((G61+6)+(F61+6))*2)+24)*VLOOKUP("sealing tape",#REF!,2,FALSE),VLOOKUP("Strapping tape",#REF!,2,FALSE)))</f>
        <v>#REF!</v>
      </c>
      <c r="AY61" s="17"/>
      <c r="AZ61" s="17"/>
      <c r="BA61" s="17"/>
      <c r="BB61" s="17"/>
      <c r="BC61" s="96"/>
      <c r="BD61" s="96"/>
      <c r="BE61" s="96"/>
      <c r="BF61" s="96"/>
      <c r="BG61" s="96"/>
      <c r="BH61" s="96"/>
      <c r="BI61" s="96"/>
    </row>
    <row r="62" spans="1:61" x14ac:dyDescent="0.45">
      <c r="A62" s="103" t="s">
        <v>1123</v>
      </c>
      <c r="B62" s="17" t="s">
        <v>1122</v>
      </c>
      <c r="C62" s="16">
        <v>44569</v>
      </c>
      <c r="D62" s="17" t="s">
        <v>66</v>
      </c>
      <c r="E62" s="15" t="s">
        <v>50</v>
      </c>
      <c r="F62" s="17">
        <v>19</v>
      </c>
      <c r="G62" s="17">
        <v>29</v>
      </c>
      <c r="H62" s="3" t="s">
        <v>43</v>
      </c>
      <c r="I62" s="88" t="s">
        <v>583</v>
      </c>
      <c r="J62" s="87">
        <v>44582</v>
      </c>
      <c r="K62" s="15">
        <v>401.2</v>
      </c>
      <c r="L62" s="96">
        <f>45/2</f>
        <v>22.5</v>
      </c>
      <c r="M62" s="89">
        <v>30.66</v>
      </c>
      <c r="N62" s="88">
        <v>14</v>
      </c>
      <c r="O62" s="413" t="str">
        <f t="shared" si="1"/>
        <v>19 x 29</v>
      </c>
      <c r="P62" s="18" t="str">
        <f t="shared" si="2"/>
        <v>19 x 29</v>
      </c>
      <c r="Q62" s="91">
        <f t="shared" si="3"/>
        <v>6.49</v>
      </c>
      <c r="R62" s="18" t="str">
        <f t="shared" si="4"/>
        <v>42 x 36 x 6</v>
      </c>
      <c r="S62" s="18">
        <v>42</v>
      </c>
      <c r="T62" s="18">
        <v>36</v>
      </c>
      <c r="U62" s="18">
        <v>6</v>
      </c>
      <c r="V62" s="90">
        <f t="shared" si="5"/>
        <v>126</v>
      </c>
      <c r="W62" s="287">
        <f t="shared" si="21"/>
        <v>1.3626666666666667</v>
      </c>
      <c r="X62" s="287" t="str">
        <f t="shared" si="22"/>
        <v>Yes</v>
      </c>
      <c r="Y62" s="93" t="e">
        <f t="shared" si="23"/>
        <v>#REF!</v>
      </c>
      <c r="Z62" s="288" t="e">
        <f t="shared" si="24"/>
        <v>#REF!</v>
      </c>
      <c r="AA62" s="94" t="e">
        <f t="shared" si="25"/>
        <v>#REF!</v>
      </c>
      <c r="AB62" s="288" t="e">
        <f t="shared" si="26"/>
        <v>#REF!</v>
      </c>
      <c r="AC62" s="91" t="e">
        <f>IF(X62="","",IF(D62="2 3D",((F62-0.5)*2+(G62-0.5)*2)*VLOOKUP("3D base",#REF!,2,FALSE),IF(D62="3 Canv", IF(E62="Roll",0,ROUND(SUM(F62:G62)*2,0)),0)*VLOOKUP("Stretcher Bar",#REF!,2,FALSE)))</f>
        <v>#REF!</v>
      </c>
      <c r="AD62" s="91" t="e">
        <f>IF(X62="","",IF(E62="Roll",0,IF(D62="2 3D",(SUM(F62:G62)*2)*VLOOKUP("3D epoxy",#REF!,2,FALSE),IF(D62="3 Canv",VLOOKUP("Wood glue",#REF!,2,FALSE),""))))</f>
        <v>#REF!</v>
      </c>
      <c r="AE62" s="91" t="e">
        <f>IF(D62="3 Canv",(((F62+5)*(G62+5)))*VLOOKUP("Canvas",#REF!,2,FALSE),IF(D62="2 3D",(((F62)*(G62)))*VLOOKUP("Dibond",#REF!,2,FALSE),""))</f>
        <v>#REF!</v>
      </c>
      <c r="AF62" s="91" t="e">
        <f>IF(D62="2 3D",F62*G62*VLOOKUP("3D ink",#REF!,2,FALSE),IF(D62="3 Canv",F62*G62*VLOOKUP("Canvas ink",#REF!,2,FALSE),""))</f>
        <v>#REF!</v>
      </c>
      <c r="AG62" s="91" t="e">
        <f>IF(D62="3 Canv",IF(E62="Roll","",ROUNDUP((SUM(F62:G62)*2)/3,"")*VLOOKUP("Staples",#REF!,2,FALSE)),"")</f>
        <v>#VALUE!</v>
      </c>
      <c r="AH62" s="91" t="e">
        <f>IF(AF62="","",(SUM(F62:G62)*2)*VLOOKUP(E62,#REF!,2,FALSE))</f>
        <v>#REF!</v>
      </c>
      <c r="AI62" s="18">
        <f t="shared" si="27"/>
        <v>16</v>
      </c>
      <c r="AJ62" s="91" t="e">
        <f>IF(AI62="","",AI62*VLOOKUP("Staples",#REF!,2,FALSE))</f>
        <v>#REF!</v>
      </c>
      <c r="AK62" s="18" t="e">
        <f t="shared" si="28"/>
        <v>#REF!</v>
      </c>
      <c r="AL62" s="91" t="e">
        <f>IF(AK62="","",AK62*VLOOKUP("Frame screw",#REF!,2,FALSE))</f>
        <v>#REF!</v>
      </c>
      <c r="AM62" s="18" t="e">
        <f t="shared" si="29"/>
        <v>#REF!</v>
      </c>
      <c r="AN62" s="91" t="e">
        <f>IF(AM62="","",AM62*VLOOKUP("D ring",#REF!,2,FALSE))</f>
        <v>#REF!</v>
      </c>
      <c r="AO62" s="18" t="e">
        <f t="shared" si="30"/>
        <v>#REF!</v>
      </c>
      <c r="AP62" s="91" t="e">
        <f>IF(AO62="","",IF(G62&gt;59,AO62* VLOOKUP("8 wire",#REF!,2,FALSE)*2,IF(G62&gt;39,AO62* VLOOKUP("8 wire",#REF!,2,FALSE),AO62* VLOOKUP("6 wire",#REF!,2,FALSE))))</f>
        <v>#REF!</v>
      </c>
      <c r="AQ62" s="18">
        <f t="shared" si="31"/>
        <v>4</v>
      </c>
      <c r="AR62" s="18" t="e">
        <f>IF(AQ62="","",AQ62*VLOOKUP("Pads",#REF!,2,FALSE))</f>
        <v>#REF!</v>
      </c>
      <c r="AS62" s="18">
        <f t="shared" si="32"/>
        <v>1</v>
      </c>
      <c r="AT62" s="91" t="e">
        <f>IF(AS62="","",AS62*VLOOKUP("4 mil bag",#REF!,2,FALSE))</f>
        <v>#REF!</v>
      </c>
      <c r="AU62" s="91" t="e">
        <f>IF(X62="","",IF(I62="N/A","",IF(I62="CNC",IF(G62&gt;37,20,10),VLOOKUP(I62,#REF!,2,FALSE))))</f>
        <v>#REF!</v>
      </c>
      <c r="AV62" s="18" t="str">
        <f>IF(X62="","",IF(I62="CNC",VLOOKUP("Glue stick",#REF!,2,FALSE),""))</f>
        <v/>
      </c>
      <c r="AW62" s="18" t="str">
        <f>IF(X62="","",IF(I62="CNC",16*VLOOKUP("Box staples",#REF!,2,FALSE),""))</f>
        <v/>
      </c>
      <c r="AX62" s="91" t="e">
        <f>IF(X62="","",IF(I62="CNC",((((G62+6)+(F62+6))*2)+24)*VLOOKUP("sealing tape",#REF!,2,FALSE),VLOOKUP("Strapping tape",#REF!,2,FALSE)))</f>
        <v>#REF!</v>
      </c>
      <c r="AY62" s="17"/>
      <c r="AZ62" s="17"/>
      <c r="BA62" s="17"/>
      <c r="BB62" s="17"/>
      <c r="BC62" s="96"/>
      <c r="BD62" s="96"/>
      <c r="BE62" s="96"/>
      <c r="BF62" s="96"/>
      <c r="BG62" s="96"/>
      <c r="BH62" s="96"/>
      <c r="BI62" s="96"/>
    </row>
    <row r="63" spans="1:61" x14ac:dyDescent="0.45">
      <c r="A63" s="17" t="s">
        <v>507</v>
      </c>
      <c r="B63" s="17" t="s">
        <v>1130</v>
      </c>
      <c r="C63" s="16">
        <v>44568</v>
      </c>
      <c r="D63" s="17" t="s">
        <v>66</v>
      </c>
      <c r="E63" s="15" t="s">
        <v>1</v>
      </c>
      <c r="F63" s="17">
        <v>20</v>
      </c>
      <c r="G63" s="17">
        <v>24</v>
      </c>
      <c r="H63" s="3" t="s">
        <v>1326</v>
      </c>
      <c r="I63" s="88" t="s">
        <v>583</v>
      </c>
      <c r="J63" s="87">
        <v>44582</v>
      </c>
      <c r="K63" s="15">
        <v>612</v>
      </c>
      <c r="L63" s="96">
        <v>0</v>
      </c>
      <c r="M63" s="89">
        <v>0</v>
      </c>
      <c r="N63" s="88">
        <v>16</v>
      </c>
      <c r="O63" s="413" t="str">
        <f t="shared" si="1"/>
        <v>20 x 24</v>
      </c>
      <c r="P63" s="18" t="str">
        <f t="shared" si="2"/>
        <v>22 x 26</v>
      </c>
      <c r="Q63" s="91">
        <f t="shared" si="3"/>
        <v>6.49</v>
      </c>
      <c r="R63" s="18" t="str">
        <f t="shared" si="4"/>
        <v>42 x 36 x 6</v>
      </c>
      <c r="S63" s="18">
        <v>42</v>
      </c>
      <c r="T63" s="18">
        <v>36</v>
      </c>
      <c r="U63" s="18">
        <v>6</v>
      </c>
      <c r="V63" s="90">
        <f t="shared" si="5"/>
        <v>126</v>
      </c>
      <c r="W63" s="287" t="str">
        <f t="shared" si="21"/>
        <v/>
      </c>
      <c r="X63" s="287" t="str">
        <f t="shared" si="22"/>
        <v>Yes</v>
      </c>
      <c r="Y63" s="93" t="e">
        <f t="shared" si="23"/>
        <v>#REF!</v>
      </c>
      <c r="Z63" s="288" t="e">
        <f t="shared" si="24"/>
        <v>#REF!</v>
      </c>
      <c r="AA63" s="94" t="e">
        <f t="shared" si="25"/>
        <v>#REF!</v>
      </c>
      <c r="AB63" s="288" t="e">
        <f t="shared" si="26"/>
        <v>#REF!</v>
      </c>
      <c r="AC63" s="91" t="e">
        <f>IF(X63="","",IF(D63="2 3D",((F63-0.5)*2+(G63-0.5)*2)*VLOOKUP("3D base",#REF!,2,FALSE),IF(D63="3 Canv", IF(E63="Roll",0,ROUND(SUM(F63:G63)*2,0)),0)*VLOOKUP("Stretcher Bar",#REF!,2,FALSE)))</f>
        <v>#REF!</v>
      </c>
      <c r="AD63" s="91" t="e">
        <f>IF(X63="","",IF(E63="Roll",0,IF(D63="2 3D",(SUM(F63:G63)*2)*VLOOKUP("3D epoxy",#REF!,2,FALSE),IF(D63="3 Canv",VLOOKUP("Wood glue",#REF!,2,FALSE),""))))</f>
        <v>#REF!</v>
      </c>
      <c r="AE63" s="91" t="e">
        <f>IF(D63="3 Canv",(((F63+5)*(G63+5)))*VLOOKUP("Canvas",#REF!,2,FALSE),IF(D63="2 3D",(((F63)*(G63)))*VLOOKUP("Dibond",#REF!,2,FALSE),""))</f>
        <v>#REF!</v>
      </c>
      <c r="AF63" s="91" t="e">
        <f>IF(D63="2 3D",F63*G63*VLOOKUP("3D ink",#REF!,2,FALSE),IF(D63="3 Canv",F63*G63*VLOOKUP("Canvas ink",#REF!,2,FALSE),""))</f>
        <v>#REF!</v>
      </c>
      <c r="AG63" s="91" t="e">
        <f>IF(D63="3 Canv",IF(E63="Roll","",ROUNDUP((SUM(F63:G63)*2)/3,"")*VLOOKUP("Staples",#REF!,2,FALSE)),"")</f>
        <v>#VALUE!</v>
      </c>
      <c r="AH63" s="91" t="e">
        <f>IF(AF63="","",(SUM(F63:G63)*2)*VLOOKUP(E63,#REF!,2,FALSE))</f>
        <v>#REF!</v>
      </c>
      <c r="AI63" s="18">
        <f t="shared" si="27"/>
        <v>44</v>
      </c>
      <c r="AJ63" s="91" t="e">
        <f>IF(AI63="","",AI63*VLOOKUP("Staples",#REF!,2,FALSE))</f>
        <v>#REF!</v>
      </c>
      <c r="AK63" s="18" t="e">
        <f t="shared" si="28"/>
        <v>#REF!</v>
      </c>
      <c r="AL63" s="91" t="e">
        <f>IF(AK63="","",AK63*VLOOKUP("Frame screw",#REF!,2,FALSE))</f>
        <v>#REF!</v>
      </c>
      <c r="AM63" s="18" t="e">
        <f t="shared" si="29"/>
        <v>#REF!</v>
      </c>
      <c r="AN63" s="91" t="e">
        <f>IF(AM63="","",AM63*VLOOKUP("D ring",#REF!,2,FALSE))</f>
        <v>#REF!</v>
      </c>
      <c r="AO63" s="18" t="e">
        <f t="shared" si="30"/>
        <v>#REF!</v>
      </c>
      <c r="AP63" s="91" t="e">
        <f>IF(AO63="","",IF(G63&gt;59,AO63* VLOOKUP("8 wire",#REF!,2,FALSE)*2,IF(G63&gt;39,AO63* VLOOKUP("8 wire",#REF!,2,FALSE),AO63* VLOOKUP("6 wire",#REF!,2,FALSE))))</f>
        <v>#REF!</v>
      </c>
      <c r="AQ63" s="18">
        <f t="shared" si="31"/>
        <v>4</v>
      </c>
      <c r="AR63" s="18" t="e">
        <f>IF(AQ63="","",AQ63*VLOOKUP("Pads",#REF!,2,FALSE))</f>
        <v>#REF!</v>
      </c>
      <c r="AS63" s="18">
        <f t="shared" si="32"/>
        <v>1</v>
      </c>
      <c r="AT63" s="91" t="e">
        <f>IF(AS63="","",AS63*VLOOKUP("4 mil bag",#REF!,2,FALSE))</f>
        <v>#REF!</v>
      </c>
      <c r="AU63" s="91" t="e">
        <f>IF(X63="","",IF(I63="N/A","",IF(I63="CNC",IF(G63&gt;37,20,10),VLOOKUP(I63,#REF!,2,FALSE))))</f>
        <v>#REF!</v>
      </c>
      <c r="AV63" s="18" t="str">
        <f>IF(X63="","",IF(I63="CNC",VLOOKUP("Glue stick",#REF!,2,FALSE),""))</f>
        <v/>
      </c>
      <c r="AW63" s="18" t="str">
        <f>IF(X63="","",IF(I63="CNC",16*VLOOKUP("Box staples",#REF!,2,FALSE),""))</f>
        <v/>
      </c>
      <c r="AX63" s="91" t="e">
        <f>IF(X63="","",IF(I63="CNC",((((G63+6)+(F63+6))*2)+24)*VLOOKUP("sealing tape",#REF!,2,FALSE),VLOOKUP("Strapping tape",#REF!,2,FALSE)))</f>
        <v>#REF!</v>
      </c>
      <c r="AY63" s="17"/>
      <c r="AZ63" s="17"/>
      <c r="BA63" s="17"/>
      <c r="BB63" s="17"/>
      <c r="BC63" s="96"/>
      <c r="BD63" s="96"/>
      <c r="BE63" s="96"/>
      <c r="BF63" s="96"/>
      <c r="BG63" s="96"/>
      <c r="BH63" s="96"/>
      <c r="BI63" s="96"/>
    </row>
    <row r="64" spans="1:61" x14ac:dyDescent="0.45">
      <c r="A64" s="103" t="s">
        <v>1142</v>
      </c>
      <c r="B64" s="17" t="s">
        <v>1141</v>
      </c>
      <c r="C64" s="16">
        <v>44563</v>
      </c>
      <c r="D64" s="17" t="s">
        <v>66</v>
      </c>
      <c r="E64" s="15" t="s">
        <v>50</v>
      </c>
      <c r="F64" s="17">
        <v>34</v>
      </c>
      <c r="G64" s="17">
        <v>34</v>
      </c>
      <c r="H64" s="3" t="s">
        <v>43</v>
      </c>
      <c r="I64" s="88" t="s">
        <v>586</v>
      </c>
      <c r="J64" s="87">
        <v>44582</v>
      </c>
      <c r="K64" s="15">
        <v>647</v>
      </c>
      <c r="L64" s="96">
        <f>85/2</f>
        <v>42.5</v>
      </c>
      <c r="M64" s="89">
        <v>116.96</v>
      </c>
      <c r="N64" s="88">
        <v>15</v>
      </c>
      <c r="O64" s="413" t="str">
        <f t="shared" si="1"/>
        <v>34 x 34</v>
      </c>
      <c r="P64" s="18" t="str">
        <f t="shared" si="2"/>
        <v>34 x 34</v>
      </c>
      <c r="Q64" s="91">
        <f t="shared" si="3"/>
        <v>12.5</v>
      </c>
      <c r="R64" s="18" t="str">
        <f t="shared" si="4"/>
        <v>45 x 40 x 5</v>
      </c>
      <c r="S64" s="18">
        <v>45</v>
      </c>
      <c r="T64" s="18">
        <v>40</v>
      </c>
      <c r="U64" s="18">
        <v>5</v>
      </c>
      <c r="V64" s="90">
        <f t="shared" si="5"/>
        <v>135</v>
      </c>
      <c r="W64" s="287">
        <f t="shared" si="21"/>
        <v>2.7519999999999998</v>
      </c>
      <c r="X64" s="287" t="str">
        <f t="shared" si="22"/>
        <v>Yes</v>
      </c>
      <c r="Y64" s="93" t="e">
        <f t="shared" si="23"/>
        <v>#REF!</v>
      </c>
      <c r="Z64" s="288" t="e">
        <f t="shared" si="24"/>
        <v>#REF!</v>
      </c>
      <c r="AA64" s="94" t="e">
        <f t="shared" si="25"/>
        <v>#REF!</v>
      </c>
      <c r="AB64" s="288" t="e">
        <f t="shared" si="26"/>
        <v>#REF!</v>
      </c>
      <c r="AC64" s="91" t="e">
        <f>IF(X64="","",IF(D64="2 3D",((F64-0.5)*2+(G64-0.5)*2)*VLOOKUP("3D base",#REF!,2,FALSE),IF(D64="3 Canv", IF(E64="Roll",0,ROUND(SUM(F64:G64)*2,0)),0)*VLOOKUP("Stretcher Bar",#REF!,2,FALSE)))</f>
        <v>#REF!</v>
      </c>
      <c r="AD64" s="91" t="e">
        <f>IF(X64="","",IF(E64="Roll",0,IF(D64="2 3D",(SUM(F64:G64)*2)*VLOOKUP("3D epoxy",#REF!,2,FALSE),IF(D64="3 Canv",VLOOKUP("Wood glue",#REF!,2,FALSE),""))))</f>
        <v>#REF!</v>
      </c>
      <c r="AE64" s="91" t="e">
        <f>IF(D64="3 Canv",(((F64+5)*(G64+5)))*VLOOKUP("Canvas",#REF!,2,FALSE),IF(D64="2 3D",(((F64)*(G64)))*VLOOKUP("Dibond",#REF!,2,FALSE),""))</f>
        <v>#REF!</v>
      </c>
      <c r="AF64" s="91" t="e">
        <f>IF(D64="2 3D",F64*G64*VLOOKUP("3D ink",#REF!,2,FALSE),IF(D64="3 Canv",F64*G64*VLOOKUP("Canvas ink",#REF!,2,FALSE),""))</f>
        <v>#REF!</v>
      </c>
      <c r="AG64" s="91" t="e">
        <f>IF(D64="3 Canv",IF(E64="Roll","",ROUNDUP((SUM(F64:G64)*2)/3,"")*VLOOKUP("Staples",#REF!,2,FALSE)),"")</f>
        <v>#VALUE!</v>
      </c>
      <c r="AH64" s="91" t="e">
        <f>IF(AF64="","",(SUM(F64:G64)*2)*VLOOKUP(E64,#REF!,2,FALSE))</f>
        <v>#REF!</v>
      </c>
      <c r="AI64" s="18">
        <f t="shared" si="27"/>
        <v>16</v>
      </c>
      <c r="AJ64" s="91" t="e">
        <f>IF(AI64="","",AI64*VLOOKUP("Staples",#REF!,2,FALSE))</f>
        <v>#REF!</v>
      </c>
      <c r="AK64" s="18" t="e">
        <f t="shared" si="28"/>
        <v>#REF!</v>
      </c>
      <c r="AL64" s="91" t="e">
        <f>IF(AK64="","",AK64*VLOOKUP("Frame screw",#REF!,2,FALSE))</f>
        <v>#REF!</v>
      </c>
      <c r="AM64" s="18" t="e">
        <f t="shared" si="29"/>
        <v>#REF!</v>
      </c>
      <c r="AN64" s="91" t="e">
        <f>IF(AM64="","",AM64*VLOOKUP("D ring",#REF!,2,FALSE))</f>
        <v>#REF!</v>
      </c>
      <c r="AO64" s="18" t="e">
        <f t="shared" si="30"/>
        <v>#REF!</v>
      </c>
      <c r="AP64" s="91" t="e">
        <f>IF(AO64="","",IF(G64&gt;59,AO64* VLOOKUP("8 wire",#REF!,2,FALSE)*2,IF(G64&gt;39,AO64* VLOOKUP("8 wire",#REF!,2,FALSE),AO64* VLOOKUP("6 wire",#REF!,2,FALSE))))</f>
        <v>#REF!</v>
      </c>
      <c r="AQ64" s="18">
        <f t="shared" si="31"/>
        <v>4</v>
      </c>
      <c r="AR64" s="18" t="e">
        <f>IF(AQ64="","",AQ64*VLOOKUP("Pads",#REF!,2,FALSE))</f>
        <v>#REF!</v>
      </c>
      <c r="AS64" s="18">
        <f t="shared" si="32"/>
        <v>1</v>
      </c>
      <c r="AT64" s="91" t="e">
        <f>IF(AS64="","",AS64*VLOOKUP("4 mil bag",#REF!,2,FALSE))</f>
        <v>#REF!</v>
      </c>
      <c r="AU64" s="91" t="e">
        <f>IF(X64="","",IF(I64="N/A","",IF(I64="CNC",IF(G64&gt;37,20,10),VLOOKUP(I64,#REF!,2,FALSE))))</f>
        <v>#REF!</v>
      </c>
      <c r="AV64" s="18" t="str">
        <f>IF(X64="","",IF(I64="CNC",VLOOKUP("Glue stick",#REF!,2,FALSE),""))</f>
        <v/>
      </c>
      <c r="AW64" s="18" t="str">
        <f>IF(X64="","",IF(I64="CNC",16*VLOOKUP("Box staples",#REF!,2,FALSE),""))</f>
        <v/>
      </c>
      <c r="AX64" s="91" t="e">
        <f>IF(X64="","",IF(I64="CNC",((((G64+6)+(F64+6))*2)+24)*VLOOKUP("sealing tape",#REF!,2,FALSE),VLOOKUP("Strapping tape",#REF!,2,FALSE)))</f>
        <v>#REF!</v>
      </c>
      <c r="AY64" s="17"/>
      <c r="AZ64" s="17"/>
      <c r="BA64" s="17"/>
      <c r="BB64" s="17"/>
      <c r="BC64" s="96"/>
      <c r="BD64" s="96"/>
      <c r="BE64" s="96"/>
      <c r="BF64" s="96"/>
      <c r="BG64" s="96"/>
      <c r="BH64" s="96"/>
      <c r="BI64" s="96"/>
    </row>
    <row r="65" spans="1:61" x14ac:dyDescent="0.45">
      <c r="A65" s="103" t="s">
        <v>933</v>
      </c>
      <c r="B65" s="17" t="s">
        <v>880</v>
      </c>
      <c r="C65" s="16">
        <v>44554</v>
      </c>
      <c r="D65" s="17" t="s">
        <v>54</v>
      </c>
      <c r="E65" s="15" t="s">
        <v>690</v>
      </c>
      <c r="F65" s="17">
        <v>25</v>
      </c>
      <c r="G65" s="17">
        <v>34</v>
      </c>
      <c r="H65" s="3" t="s">
        <v>43</v>
      </c>
      <c r="I65" s="88" t="s">
        <v>480</v>
      </c>
      <c r="J65" s="87">
        <v>44582</v>
      </c>
      <c r="K65" s="15">
        <v>2600</v>
      </c>
      <c r="L65" s="96">
        <v>130</v>
      </c>
      <c r="M65" s="89">
        <v>66.88</v>
      </c>
      <c r="N65" s="88">
        <v>23</v>
      </c>
      <c r="O65" s="413" t="str">
        <f t="shared" si="1"/>
        <v>25 x 34</v>
      </c>
      <c r="P65" s="18" t="str">
        <f t="shared" si="2"/>
        <v>27 x 36</v>
      </c>
      <c r="Q65" s="91">
        <f t="shared" si="3"/>
        <v>150</v>
      </c>
      <c r="R65" s="18" t="str">
        <f t="shared" si="4"/>
        <v>44 x 35 x 5</v>
      </c>
      <c r="S65" s="18">
        <v>44</v>
      </c>
      <c r="T65" s="18">
        <v>35</v>
      </c>
      <c r="U65" s="18">
        <v>5</v>
      </c>
      <c r="V65" s="90">
        <f t="shared" si="5"/>
        <v>124</v>
      </c>
      <c r="W65" s="287">
        <f t="shared" si="21"/>
        <v>0.51446153846153841</v>
      </c>
      <c r="X65" s="287" t="str">
        <f t="shared" si="22"/>
        <v>Yes</v>
      </c>
      <c r="Y65" s="93" t="e">
        <f t="shared" si="23"/>
        <v>#REF!</v>
      </c>
      <c r="Z65" s="288" t="e">
        <f t="shared" si="24"/>
        <v>#REF!</v>
      </c>
      <c r="AA65" s="94" t="e">
        <f t="shared" si="25"/>
        <v>#REF!</v>
      </c>
      <c r="AB65" s="288" t="e">
        <f t="shared" si="26"/>
        <v>#REF!</v>
      </c>
      <c r="AC65" s="91" t="e">
        <f>IF(X65="","",IF(D65="2 3D",((F65-0.5)*2+(G65-0.5)*2)*VLOOKUP("3D base",#REF!,2,FALSE),IF(D65="3 Canv", IF(E65="Roll",0,ROUND(SUM(F65:G65)*2,0)),0)*VLOOKUP("Stretcher Bar",#REF!,2,FALSE)))</f>
        <v>#REF!</v>
      </c>
      <c r="AD65" s="91" t="e">
        <f>IF(X65="","",IF(E65="Roll",0,IF(D65="2 3D",(SUM(F65:G65)*2)*VLOOKUP("3D epoxy",#REF!,2,FALSE),IF(D65="3 Canv",VLOOKUP("Wood glue",#REF!,2,FALSE),""))))</f>
        <v>#REF!</v>
      </c>
      <c r="AE65" s="91" t="e">
        <f>IF(D65="3 Canv",(((F65+5)*(G65+5)))*VLOOKUP("Canvas",#REF!,2,FALSE),IF(D65="2 3D",(((F65)*(G65)))*VLOOKUP("Dibond",#REF!,2,FALSE),""))</f>
        <v>#REF!</v>
      </c>
      <c r="AF65" s="91" t="e">
        <f>IF(D65="2 3D",F65*G65*VLOOKUP("3D ink",#REF!,2,FALSE),IF(D65="3 Canv",F65*G65*VLOOKUP("Canvas ink",#REF!,2,FALSE),""))</f>
        <v>#REF!</v>
      </c>
      <c r="AG65" s="91" t="str">
        <f>IF(D65="3 Canv",IF(E65="Roll","",ROUNDUP((SUM(F65:G65)*2)/3,"")*VLOOKUP("Staples",#REF!,2,FALSE)),"")</f>
        <v/>
      </c>
      <c r="AH65" s="91" t="e">
        <f>IF(AF65="","",(SUM(F65:G65)*2)*VLOOKUP(E65,#REF!,2,FALSE))</f>
        <v>#REF!</v>
      </c>
      <c r="AI65" s="18">
        <f t="shared" si="27"/>
        <v>44</v>
      </c>
      <c r="AJ65" s="91" t="e">
        <f>IF(AI65="","",AI65*VLOOKUP("Staples",#REF!,2,FALSE))</f>
        <v>#REF!</v>
      </c>
      <c r="AK65" s="18" t="e">
        <f t="shared" si="28"/>
        <v>#REF!</v>
      </c>
      <c r="AL65" s="91" t="e">
        <f>IF(AK65="","",AK65*VLOOKUP("Frame screw",#REF!,2,FALSE))</f>
        <v>#REF!</v>
      </c>
      <c r="AM65" s="18" t="e">
        <f t="shared" si="29"/>
        <v>#REF!</v>
      </c>
      <c r="AN65" s="91" t="e">
        <f>IF(AM65="","",AM65*VLOOKUP("D ring",#REF!,2,FALSE))</f>
        <v>#REF!</v>
      </c>
      <c r="AO65" s="18" t="e">
        <f t="shared" si="30"/>
        <v>#REF!</v>
      </c>
      <c r="AP65" s="91" t="e">
        <f>IF(AO65="","",IF(G65&gt;59,AO65* VLOOKUP("8 wire",#REF!,2,FALSE)*2,IF(G65&gt;39,AO65* VLOOKUP("8 wire",#REF!,2,FALSE),AO65* VLOOKUP("6 wire",#REF!,2,FALSE))))</f>
        <v>#REF!</v>
      </c>
      <c r="AQ65" s="18">
        <f t="shared" si="31"/>
        <v>4</v>
      </c>
      <c r="AR65" s="18" t="e">
        <f>IF(AQ65="","",AQ65*VLOOKUP("Pads",#REF!,2,FALSE))</f>
        <v>#REF!</v>
      </c>
      <c r="AS65" s="18">
        <f t="shared" si="32"/>
        <v>1</v>
      </c>
      <c r="AT65" s="91" t="e">
        <f>IF(AS65="","",AS65*VLOOKUP("4 mil bag",#REF!,2,FALSE))</f>
        <v>#REF!</v>
      </c>
      <c r="AU65" s="91" t="e">
        <f>IF(X65="","",IF(I65="N/A","",IF(I65="CNC",IF(G65&gt;37,20,10),VLOOKUP(I65,#REF!,2,FALSE))))</f>
        <v>#REF!</v>
      </c>
      <c r="AV65" s="18" t="str">
        <f>IF(X65="","",IF(I65="CNC",VLOOKUP("Glue stick",#REF!,2,FALSE),""))</f>
        <v/>
      </c>
      <c r="AW65" s="18" t="str">
        <f>IF(X65="","",IF(I65="CNC",16*VLOOKUP("Box staples",#REF!,2,FALSE),""))</f>
        <v/>
      </c>
      <c r="AX65" s="91" t="e">
        <f>IF(X65="","",IF(I65="CNC",((((G65+6)+(F65+6))*2)+24)*VLOOKUP("sealing tape",#REF!,2,FALSE),VLOOKUP("Strapping tape",#REF!,2,FALSE)))</f>
        <v>#REF!</v>
      </c>
      <c r="AY65" s="17"/>
      <c r="AZ65" s="17"/>
      <c r="BA65" s="17"/>
      <c r="BB65" s="17"/>
      <c r="BC65" s="96"/>
      <c r="BD65" s="96"/>
      <c r="BE65" s="96"/>
      <c r="BF65" s="96"/>
      <c r="BG65" s="96"/>
      <c r="BH65" s="96"/>
      <c r="BI65" s="96"/>
    </row>
    <row r="66" spans="1:61" x14ac:dyDescent="0.45">
      <c r="A66" s="103" t="s">
        <v>395</v>
      </c>
      <c r="B66" s="17" t="s">
        <v>1129</v>
      </c>
      <c r="C66" s="16">
        <v>44571</v>
      </c>
      <c r="D66" s="17" t="s">
        <v>66</v>
      </c>
      <c r="E66" s="15" t="s">
        <v>51</v>
      </c>
      <c r="F66" s="17">
        <v>42</v>
      </c>
      <c r="G66" s="17">
        <v>59</v>
      </c>
      <c r="H66" s="3" t="s">
        <v>43</v>
      </c>
      <c r="I66" s="88" t="s">
        <v>384</v>
      </c>
      <c r="J66" s="87">
        <v>44586</v>
      </c>
      <c r="K66" s="15">
        <v>1514.37</v>
      </c>
      <c r="L66" s="96">
        <v>90</v>
      </c>
      <c r="M66" s="89">
        <v>1668.28</v>
      </c>
      <c r="N66" s="88">
        <v>230</v>
      </c>
      <c r="O66" s="413" t="str">
        <f t="shared" si="1"/>
        <v>42 x 59</v>
      </c>
      <c r="P66" s="18" t="str">
        <f t="shared" si="2"/>
        <v>44 x 61</v>
      </c>
      <c r="Q66" s="91" t="str">
        <f t="shared" si="3"/>
        <v>N/A</v>
      </c>
      <c r="R66" s="18" t="str">
        <f t="shared" si="4"/>
        <v>N/A</v>
      </c>
      <c r="S66" s="18" t="s">
        <v>45</v>
      </c>
      <c r="T66" s="18"/>
      <c r="U66" s="18"/>
      <c r="V66" s="91" t="str">
        <f t="shared" si="5"/>
        <v>N/A</v>
      </c>
      <c r="W66" s="287">
        <f t="shared" si="21"/>
        <v>18.536444444444445</v>
      </c>
      <c r="X66" s="287" t="str">
        <f t="shared" si="22"/>
        <v>Yes</v>
      </c>
      <c r="Y66" s="93" t="e">
        <f t="shared" si="23"/>
        <v>#REF!</v>
      </c>
      <c r="Z66" s="288" t="e">
        <f t="shared" si="24"/>
        <v>#REF!</v>
      </c>
      <c r="AA66" s="94" t="e">
        <f t="shared" si="25"/>
        <v>#REF!</v>
      </c>
      <c r="AB66" s="288" t="e">
        <f t="shared" si="26"/>
        <v>#REF!</v>
      </c>
      <c r="AC66" s="91" t="e">
        <f>IF(X66="","",IF(D66="2 3D",((F66-0.5)*2+(G66-0.5)*2)*VLOOKUP("3D base",#REF!,2,FALSE),IF(D66="3 Canv", IF(E66="Roll",0,ROUND(SUM(F66:G66)*2,0)),0)*VLOOKUP("Stretcher Bar",#REF!,2,FALSE)))</f>
        <v>#REF!</v>
      </c>
      <c r="AD66" s="91" t="e">
        <f>IF(X66="","",IF(E66="Roll",0,IF(D66="2 3D",(SUM(F66:G66)*2)*VLOOKUP("3D epoxy",#REF!,2,FALSE),IF(D66="3 Canv",VLOOKUP("Wood glue",#REF!,2,FALSE),""))))</f>
        <v>#REF!</v>
      </c>
      <c r="AE66" s="91" t="e">
        <f>IF(D66="3 Canv",(((F66+5)*(G66+5)))*VLOOKUP("Canvas",#REF!,2,FALSE),IF(D66="2 3D",(((F66)*(G66)))*VLOOKUP("Dibond",#REF!,2,FALSE),""))</f>
        <v>#REF!</v>
      </c>
      <c r="AF66" s="91" t="e">
        <f>IF(D66="2 3D",F66*G66*VLOOKUP("3D ink",#REF!,2,FALSE),IF(D66="3 Canv",F66*G66*VLOOKUP("Canvas ink",#REF!,2,FALSE),""))</f>
        <v>#REF!</v>
      </c>
      <c r="AG66" s="91" t="e">
        <f>IF(D66="3 Canv",IF(E66="Roll","",ROUNDUP((SUM(F66:G66)*2)/3,"")*VLOOKUP("Staples",#REF!,2,FALSE)),"")</f>
        <v>#VALUE!</v>
      </c>
      <c r="AH66" s="91" t="e">
        <f>IF(AF66="","",(SUM(F66:G66)*2)*VLOOKUP(E66,#REF!,2,FALSE))</f>
        <v>#REF!</v>
      </c>
      <c r="AI66" s="18">
        <f t="shared" si="27"/>
        <v>44</v>
      </c>
      <c r="AJ66" s="91" t="e">
        <f>IF(AI66="","",AI66*VLOOKUP("Staples",#REF!,2,FALSE))</f>
        <v>#REF!</v>
      </c>
      <c r="AK66" s="18" t="e">
        <f t="shared" si="28"/>
        <v>#REF!</v>
      </c>
      <c r="AL66" s="91" t="e">
        <f>IF(AK66="","",AK66*VLOOKUP("Frame screw",#REF!,2,FALSE))</f>
        <v>#REF!</v>
      </c>
      <c r="AM66" s="18" t="e">
        <f t="shared" si="29"/>
        <v>#REF!</v>
      </c>
      <c r="AN66" s="91" t="e">
        <f>IF(AM66="","",AM66*VLOOKUP("D ring",#REF!,2,FALSE))</f>
        <v>#REF!</v>
      </c>
      <c r="AO66" s="18" t="e">
        <f t="shared" si="30"/>
        <v>#REF!</v>
      </c>
      <c r="AP66" s="91" t="e">
        <f>IF(AO66="","",IF(G66&gt;59,AO66* VLOOKUP("8 wire",#REF!,2,FALSE)*2,IF(G66&gt;39,AO66* VLOOKUP("8 wire",#REF!,2,FALSE),AO66* VLOOKUP("6 wire",#REF!,2,FALSE))))</f>
        <v>#REF!</v>
      </c>
      <c r="AQ66" s="18">
        <f t="shared" si="31"/>
        <v>4</v>
      </c>
      <c r="AR66" s="18" t="e">
        <f>IF(AQ66="","",AQ66*VLOOKUP("Pads",#REF!,2,FALSE))</f>
        <v>#REF!</v>
      </c>
      <c r="AS66" s="18">
        <f t="shared" si="32"/>
        <v>1</v>
      </c>
      <c r="AT66" s="91" t="e">
        <f>IF(AS66="","",AS66*VLOOKUP("4 mil bag",#REF!,2,FALSE))</f>
        <v>#REF!</v>
      </c>
      <c r="AU66" s="91" t="e">
        <f>IF(X66="","",IF(I66="N/A","",IF(I66="CNC",IF(G66&gt;37,20,10),VLOOKUP(I66,#REF!,2,FALSE))))</f>
        <v>#REF!</v>
      </c>
      <c r="AV66" s="18" t="str">
        <f>IF(X66="","",IF(I66="CNC",VLOOKUP("Glue stick",#REF!,2,FALSE),""))</f>
        <v/>
      </c>
      <c r="AW66" s="18" t="str">
        <f>IF(X66="","",IF(I66="CNC",16*VLOOKUP("Box staples",#REF!,2,FALSE),""))</f>
        <v/>
      </c>
      <c r="AX66" s="91" t="e">
        <f>IF(X66="","",IF(I66="CNC",((((G66+6)+(F66+6))*2)+24)*VLOOKUP("sealing tape",#REF!,2,FALSE),VLOOKUP("Strapping tape",#REF!,2,FALSE)))</f>
        <v>#REF!</v>
      </c>
      <c r="AY66" s="17"/>
      <c r="AZ66" s="17"/>
      <c r="BA66" s="17"/>
      <c r="BB66" s="17"/>
      <c r="BC66" s="96"/>
      <c r="BD66" s="96"/>
      <c r="BE66" s="96"/>
      <c r="BF66" s="96"/>
      <c r="BG66" s="96"/>
      <c r="BH66" s="96"/>
      <c r="BI66" s="96"/>
    </row>
    <row r="67" spans="1:61" x14ac:dyDescent="0.45">
      <c r="A67" s="103" t="s">
        <v>885</v>
      </c>
      <c r="B67" s="17" t="s">
        <v>1128</v>
      </c>
      <c r="C67" s="16">
        <v>44558</v>
      </c>
      <c r="D67" s="17" t="s">
        <v>66</v>
      </c>
      <c r="E67" s="15" t="s">
        <v>50</v>
      </c>
      <c r="F67" s="17">
        <v>33</v>
      </c>
      <c r="G67" s="17">
        <v>48</v>
      </c>
      <c r="H67" s="3" t="s">
        <v>43</v>
      </c>
      <c r="I67" s="88" t="s">
        <v>553</v>
      </c>
      <c r="J67" s="87">
        <v>44586</v>
      </c>
      <c r="K67" s="15">
        <v>843</v>
      </c>
      <c r="L67" s="96">
        <v>45</v>
      </c>
      <c r="M67" s="89">
        <v>148.25</v>
      </c>
      <c r="N67" s="88">
        <v>20</v>
      </c>
      <c r="O67" s="413" t="str">
        <f t="shared" si="1"/>
        <v>33 x 48</v>
      </c>
      <c r="P67" s="18" t="str">
        <f t="shared" si="2"/>
        <v>33 x 48</v>
      </c>
      <c r="Q67" s="91">
        <f t="shared" si="3"/>
        <v>15.77</v>
      </c>
      <c r="R67" s="18" t="str">
        <f t="shared" si="4"/>
        <v>52 x 48 x 6</v>
      </c>
      <c r="S67" s="18">
        <v>52</v>
      </c>
      <c r="T67" s="18">
        <v>48</v>
      </c>
      <c r="U67" s="18">
        <v>6</v>
      </c>
      <c r="V67" s="18">
        <f t="shared" si="5"/>
        <v>162</v>
      </c>
      <c r="W67" s="287">
        <f t="shared" si="21"/>
        <v>3.2944444444444443</v>
      </c>
      <c r="X67" s="287" t="str">
        <f t="shared" si="22"/>
        <v>Yes</v>
      </c>
      <c r="Y67" s="93" t="e">
        <f t="shared" si="23"/>
        <v>#REF!</v>
      </c>
      <c r="Z67" s="288" t="e">
        <f t="shared" si="24"/>
        <v>#REF!</v>
      </c>
      <c r="AA67" s="94" t="e">
        <f t="shared" si="25"/>
        <v>#REF!</v>
      </c>
      <c r="AB67" s="288" t="e">
        <f t="shared" si="26"/>
        <v>#REF!</v>
      </c>
      <c r="AC67" s="91" t="e">
        <f>IF(X67="","",IF(D67="2 3D",((F67-0.5)*2+(G67-0.5)*2)*VLOOKUP("3D base",#REF!,2,FALSE),IF(D67="3 Canv", IF(E67="Roll",0,ROUND(SUM(F67:G67)*2,0)),0)*VLOOKUP("Stretcher Bar",#REF!,2,FALSE)))</f>
        <v>#REF!</v>
      </c>
      <c r="AD67" s="91" t="e">
        <f>IF(X67="","",IF(E67="Roll",0,IF(D67="2 3D",(SUM(F67:G67)*2)*VLOOKUP("3D epoxy",#REF!,2,FALSE),IF(D67="3 Canv",VLOOKUP("Wood glue",#REF!,2,FALSE),""))))</f>
        <v>#REF!</v>
      </c>
      <c r="AE67" s="91" t="e">
        <f>IF(D67="3 Canv",(((F67+5)*(G67+5)))*VLOOKUP("Canvas",#REF!,2,FALSE),IF(D67="2 3D",(((F67)*(G67)))*VLOOKUP("Dibond",#REF!,2,FALSE),""))</f>
        <v>#REF!</v>
      </c>
      <c r="AF67" s="91" t="e">
        <f>IF(D67="2 3D",F67*G67*VLOOKUP("3D ink",#REF!,2,FALSE),IF(D67="3 Canv",F67*G67*VLOOKUP("Canvas ink",#REF!,2,FALSE),""))</f>
        <v>#REF!</v>
      </c>
      <c r="AG67" s="91" t="e">
        <f>IF(D67="3 Canv",IF(E67="Roll","",ROUNDUP((SUM(F67:G67)*2)/3,"")*VLOOKUP("Staples",#REF!,2,FALSE)),"")</f>
        <v>#VALUE!</v>
      </c>
      <c r="AH67" s="91" t="e">
        <f>IF(AF67="","",(SUM(F67:G67)*2)*VLOOKUP(E67,#REF!,2,FALSE))</f>
        <v>#REF!</v>
      </c>
      <c r="AI67" s="18">
        <f t="shared" si="27"/>
        <v>16</v>
      </c>
      <c r="AJ67" s="91" t="e">
        <f>IF(AI67="","",AI67*VLOOKUP("Staples",#REF!,2,FALSE))</f>
        <v>#REF!</v>
      </c>
      <c r="AK67" s="18" t="e">
        <f t="shared" si="28"/>
        <v>#REF!</v>
      </c>
      <c r="AL67" s="91" t="e">
        <f>IF(AK67="","",AK67*VLOOKUP("Frame screw",#REF!,2,FALSE))</f>
        <v>#REF!</v>
      </c>
      <c r="AM67" s="18" t="e">
        <f t="shared" si="29"/>
        <v>#REF!</v>
      </c>
      <c r="AN67" s="91" t="e">
        <f>IF(AM67="","",AM67*VLOOKUP("D ring",#REF!,2,FALSE))</f>
        <v>#REF!</v>
      </c>
      <c r="AO67" s="18" t="e">
        <f t="shared" si="30"/>
        <v>#REF!</v>
      </c>
      <c r="AP67" s="91" t="e">
        <f>IF(AO67="","",IF(G67&gt;59,AO67* VLOOKUP("8 wire",#REF!,2,FALSE)*2,IF(G67&gt;39,AO67* VLOOKUP("8 wire",#REF!,2,FALSE),AO67* VLOOKUP("6 wire",#REF!,2,FALSE))))</f>
        <v>#REF!</v>
      </c>
      <c r="AQ67" s="18">
        <f t="shared" si="31"/>
        <v>4</v>
      </c>
      <c r="AR67" s="18" t="e">
        <f>IF(AQ67="","",AQ67*VLOOKUP("Pads",#REF!,2,FALSE))</f>
        <v>#REF!</v>
      </c>
      <c r="AS67" s="18">
        <f t="shared" si="32"/>
        <v>1</v>
      </c>
      <c r="AT67" s="91" t="e">
        <f>IF(AS67="","",AS67*VLOOKUP("4 mil bag",#REF!,2,FALSE))</f>
        <v>#REF!</v>
      </c>
      <c r="AU67" s="91" t="e">
        <f>IF(X67="","",IF(I67="N/A","",IF(I67="CNC",IF(G67&gt;37,20,10),VLOOKUP(I67,#REF!,2,FALSE))))</f>
        <v>#REF!</v>
      </c>
      <c r="AV67" s="18" t="str">
        <f>IF(X67="","",IF(I67="CNC",VLOOKUP("Glue stick",#REF!,2,FALSE),""))</f>
        <v/>
      </c>
      <c r="AW67" s="18" t="str">
        <f>IF(X67="","",IF(I67="CNC",16*VLOOKUP("Box staples",#REF!,2,FALSE),""))</f>
        <v/>
      </c>
      <c r="AX67" s="91" t="e">
        <f>IF(X67="","",IF(I67="CNC",((((G67+6)+(F67+6))*2)+24)*VLOOKUP("sealing tape",#REF!,2,FALSE),VLOOKUP("Strapping tape",#REF!,2,FALSE)))</f>
        <v>#REF!</v>
      </c>
      <c r="AY67" s="17"/>
      <c r="AZ67" s="17"/>
      <c r="BA67" s="17"/>
      <c r="BB67" s="17"/>
      <c r="BC67" s="96"/>
      <c r="BD67" s="96"/>
      <c r="BE67" s="96"/>
      <c r="BF67" s="96"/>
      <c r="BG67" s="96"/>
      <c r="BH67" s="96"/>
      <c r="BI67" s="96"/>
    </row>
    <row r="68" spans="1:61" x14ac:dyDescent="0.45">
      <c r="A68" s="103" t="s">
        <v>329</v>
      </c>
      <c r="B68" s="17" t="s">
        <v>1127</v>
      </c>
      <c r="C68" s="16">
        <v>44570</v>
      </c>
      <c r="D68" s="17" t="s">
        <v>66</v>
      </c>
      <c r="E68" s="15" t="s">
        <v>50</v>
      </c>
      <c r="F68" s="17">
        <v>23</v>
      </c>
      <c r="G68" s="17">
        <v>29</v>
      </c>
      <c r="H68" s="3" t="s">
        <v>43</v>
      </c>
      <c r="I68" s="88" t="s">
        <v>583</v>
      </c>
      <c r="J68" s="87">
        <v>44586</v>
      </c>
      <c r="K68" s="15">
        <v>422.45</v>
      </c>
      <c r="L68" s="96">
        <v>25</v>
      </c>
      <c r="M68" s="89">
        <v>47.18</v>
      </c>
      <c r="N68" s="88">
        <v>14</v>
      </c>
      <c r="O68" s="413" t="str">
        <f t="shared" si="1"/>
        <v>23 x 29</v>
      </c>
      <c r="P68" s="18" t="str">
        <f t="shared" si="2"/>
        <v>23 x 29</v>
      </c>
      <c r="Q68" s="91">
        <f t="shared" si="3"/>
        <v>6.49</v>
      </c>
      <c r="R68" s="18" t="str">
        <f t="shared" si="4"/>
        <v>42 x 36 x 6</v>
      </c>
      <c r="S68" s="18">
        <v>42</v>
      </c>
      <c r="T68" s="18">
        <v>36</v>
      </c>
      <c r="U68" s="18">
        <v>6</v>
      </c>
      <c r="V68" s="90">
        <f t="shared" si="5"/>
        <v>126</v>
      </c>
      <c r="W68" s="287">
        <f t="shared" si="21"/>
        <v>1.8872</v>
      </c>
      <c r="X68" s="287" t="str">
        <f t="shared" si="22"/>
        <v>Yes</v>
      </c>
      <c r="Y68" s="93" t="e">
        <f t="shared" si="23"/>
        <v>#REF!</v>
      </c>
      <c r="Z68" s="288" t="e">
        <f t="shared" si="24"/>
        <v>#REF!</v>
      </c>
      <c r="AA68" s="94" t="e">
        <f t="shared" si="25"/>
        <v>#REF!</v>
      </c>
      <c r="AB68" s="288" t="e">
        <f t="shared" si="26"/>
        <v>#REF!</v>
      </c>
      <c r="AC68" s="91" t="e">
        <f>IF(X68="","",IF(D68="2 3D",((F68-0.5)*2+(G68-0.5)*2)*VLOOKUP("3D base",#REF!,2,FALSE),IF(D68="3 Canv", IF(E68="Roll",0,ROUND(SUM(F68:G68)*2,0)),0)*VLOOKUP("Stretcher Bar",#REF!,2,FALSE)))</f>
        <v>#REF!</v>
      </c>
      <c r="AD68" s="91" t="e">
        <f>IF(X68="","",IF(E68="Roll",0,IF(D68="2 3D",(SUM(F68:G68)*2)*VLOOKUP("3D epoxy",#REF!,2,FALSE),IF(D68="3 Canv",VLOOKUP("Wood glue",#REF!,2,FALSE),""))))</f>
        <v>#REF!</v>
      </c>
      <c r="AE68" s="91" t="e">
        <f>IF(D68="3 Canv",(((F68+5)*(G68+5)))*VLOOKUP("Canvas",#REF!,2,FALSE),IF(D68="2 3D",(((F68)*(G68)))*VLOOKUP("Dibond",#REF!,2,FALSE),""))</f>
        <v>#REF!</v>
      </c>
      <c r="AF68" s="91" t="e">
        <f>IF(D68="2 3D",F68*G68*VLOOKUP("3D ink",#REF!,2,FALSE),IF(D68="3 Canv",F68*G68*VLOOKUP("Canvas ink",#REF!,2,FALSE),""))</f>
        <v>#REF!</v>
      </c>
      <c r="AG68" s="91" t="e">
        <f>IF(D68="3 Canv",IF(E68="Roll","",ROUNDUP((SUM(F68:G68)*2)/3,"")*VLOOKUP("Staples",#REF!,2,FALSE)),"")</f>
        <v>#VALUE!</v>
      </c>
      <c r="AH68" s="91" t="e">
        <f>IF(AF68="","",(SUM(F68:G68)*2)*VLOOKUP(E68,#REF!,2,FALSE))</f>
        <v>#REF!</v>
      </c>
      <c r="AI68" s="18">
        <f t="shared" si="27"/>
        <v>16</v>
      </c>
      <c r="AJ68" s="91" t="e">
        <f>IF(AI68="","",AI68*VLOOKUP("Staples",#REF!,2,FALSE))</f>
        <v>#REF!</v>
      </c>
      <c r="AK68" s="18" t="e">
        <f t="shared" si="28"/>
        <v>#REF!</v>
      </c>
      <c r="AL68" s="91" t="e">
        <f>IF(AK68="","",AK68*VLOOKUP("Frame screw",#REF!,2,FALSE))</f>
        <v>#REF!</v>
      </c>
      <c r="AM68" s="18" t="e">
        <f t="shared" si="29"/>
        <v>#REF!</v>
      </c>
      <c r="AN68" s="91" t="e">
        <f>IF(AM68="","",AM68*VLOOKUP("D ring",#REF!,2,FALSE))</f>
        <v>#REF!</v>
      </c>
      <c r="AO68" s="18" t="e">
        <f t="shared" si="30"/>
        <v>#REF!</v>
      </c>
      <c r="AP68" s="91" t="e">
        <f>IF(AO68="","",IF(G68&gt;59,AO68* VLOOKUP("8 wire",#REF!,2,FALSE)*2,IF(G68&gt;39,AO68* VLOOKUP("8 wire",#REF!,2,FALSE),AO68* VLOOKUP("6 wire",#REF!,2,FALSE))))</f>
        <v>#REF!</v>
      </c>
      <c r="AQ68" s="18">
        <f t="shared" si="31"/>
        <v>4</v>
      </c>
      <c r="AR68" s="18" t="e">
        <f>IF(AQ68="","",AQ68*VLOOKUP("Pads",#REF!,2,FALSE))</f>
        <v>#REF!</v>
      </c>
      <c r="AS68" s="18">
        <f t="shared" si="32"/>
        <v>1</v>
      </c>
      <c r="AT68" s="91" t="e">
        <f>IF(AS68="","",AS68*VLOOKUP("4 mil bag",#REF!,2,FALSE))</f>
        <v>#REF!</v>
      </c>
      <c r="AU68" s="91" t="e">
        <f>IF(X68="","",IF(I68="N/A","",IF(I68="CNC",IF(G68&gt;37,20,10),VLOOKUP(I68,#REF!,2,FALSE))))</f>
        <v>#REF!</v>
      </c>
      <c r="AV68" s="18" t="str">
        <f>IF(X68="","",IF(I68="CNC",VLOOKUP("Glue stick",#REF!,2,FALSE),""))</f>
        <v/>
      </c>
      <c r="AW68" s="18" t="str">
        <f>IF(X68="","",IF(I68="CNC",16*VLOOKUP("Box staples",#REF!,2,FALSE),""))</f>
        <v/>
      </c>
      <c r="AX68" s="91" t="e">
        <f>IF(X68="","",IF(I68="CNC",((((G68+6)+(F68+6))*2)+24)*VLOOKUP("sealing tape",#REF!,2,FALSE),VLOOKUP("Strapping tape",#REF!,2,FALSE)))</f>
        <v>#REF!</v>
      </c>
      <c r="AY68" s="17"/>
      <c r="AZ68" s="17"/>
      <c r="BA68" s="17"/>
      <c r="BB68" s="17"/>
      <c r="BC68" s="96"/>
      <c r="BD68" s="96"/>
      <c r="BE68" s="96"/>
      <c r="BF68" s="96"/>
      <c r="BG68" s="96"/>
      <c r="BH68" s="96"/>
      <c r="BI68" s="96"/>
    </row>
    <row r="69" spans="1:61" x14ac:dyDescent="0.45">
      <c r="A69" s="103" t="s">
        <v>982</v>
      </c>
      <c r="B69" s="17" t="s">
        <v>1096</v>
      </c>
      <c r="C69" s="16">
        <v>44575</v>
      </c>
      <c r="D69" s="17" t="s">
        <v>66</v>
      </c>
      <c r="E69" s="15" t="s">
        <v>50</v>
      </c>
      <c r="F69" s="17">
        <v>37</v>
      </c>
      <c r="G69" s="17">
        <v>46</v>
      </c>
      <c r="H69" s="3" t="s">
        <v>43</v>
      </c>
      <c r="I69" s="88" t="s">
        <v>41</v>
      </c>
      <c r="J69" s="87">
        <v>44586</v>
      </c>
      <c r="K69" s="15">
        <v>902</v>
      </c>
      <c r="L69" s="96">
        <v>0</v>
      </c>
      <c r="M69" s="89">
        <v>128.31</v>
      </c>
      <c r="N69" s="88">
        <v>18</v>
      </c>
      <c r="O69" s="413" t="str">
        <f t="shared" si="1"/>
        <v>37 x 46</v>
      </c>
      <c r="P69" s="18" t="str">
        <f t="shared" si="2"/>
        <v>37 x 46</v>
      </c>
      <c r="Q69" s="91" t="str">
        <f t="shared" si="3"/>
        <v>N/A</v>
      </c>
      <c r="R69" s="18" t="str">
        <f t="shared" si="4"/>
        <v>52 x 43 x 6</v>
      </c>
      <c r="S69" s="18">
        <v>52</v>
      </c>
      <c r="T69" s="18">
        <v>43</v>
      </c>
      <c r="U69" s="18">
        <v>6</v>
      </c>
      <c r="V69" s="18">
        <f t="shared" ref="V69:V224" si="47">IF(I69="CNC",MAX(F69:G69)+5+(MIN(F69:G69)+5)*2+14,IF(I69="S-11251",(G69+6)+96+12, VLOOKUP(Q69,BA:BJ,3,FALSE)))</f>
        <v>149</v>
      </c>
      <c r="W69" s="287" t="str">
        <f t="shared" si="21"/>
        <v/>
      </c>
      <c r="X69" s="287" t="str">
        <f t="shared" si="22"/>
        <v>Yes</v>
      </c>
      <c r="Y69" s="93" t="e">
        <f t="shared" si="23"/>
        <v>#REF!</v>
      </c>
      <c r="Z69" s="288" t="e">
        <f t="shared" si="24"/>
        <v>#REF!</v>
      </c>
      <c r="AA69" s="94" t="e">
        <f t="shared" si="25"/>
        <v>#REF!</v>
      </c>
      <c r="AB69" s="288" t="e">
        <f t="shared" si="26"/>
        <v>#REF!</v>
      </c>
      <c r="AC69" s="91" t="e">
        <f>IF(X69="","",IF(D69="2 3D",((F69-0.5)*2+(G69-0.5)*2)*VLOOKUP("3D base",#REF!,2,FALSE),IF(D69="3 Canv", IF(E69="Roll",0,ROUND(SUM(F69:G69)*2,0)),0)*VLOOKUP("Stretcher Bar",#REF!,2,FALSE)))</f>
        <v>#REF!</v>
      </c>
      <c r="AD69" s="91" t="e">
        <f>IF(X69="","",IF(E69="Roll",0,IF(D69="2 3D",(SUM(F69:G69)*2)*VLOOKUP("3D epoxy",#REF!,2,FALSE),IF(D69="3 Canv",VLOOKUP("Wood glue",#REF!,2,FALSE),""))))</f>
        <v>#REF!</v>
      </c>
      <c r="AE69" s="91" t="e">
        <f>IF(D69="3 Canv",(((F69+5)*(G69+5)))*VLOOKUP("Canvas",#REF!,2,FALSE),IF(D69="2 3D",(((F69)*(G69)))*VLOOKUP("Dibond",#REF!,2,FALSE),""))</f>
        <v>#REF!</v>
      </c>
      <c r="AF69" s="91" t="e">
        <f>IF(D69="2 3D",F69*G69*VLOOKUP("3D ink",#REF!,2,FALSE),IF(D69="3 Canv",F69*G69*VLOOKUP("Canvas ink",#REF!,2,FALSE),""))</f>
        <v>#REF!</v>
      </c>
      <c r="AG69" s="91" t="e">
        <f>IF(D69="3 Canv",IF(E69="Roll","",ROUNDUP((SUM(F69:G69)*2)/3,"")*VLOOKUP("Staples",#REF!,2,FALSE)),"")</f>
        <v>#VALUE!</v>
      </c>
      <c r="AH69" s="91" t="e">
        <f>IF(AF69="","",(SUM(F69:G69)*2)*VLOOKUP(E69,#REF!,2,FALSE))</f>
        <v>#REF!</v>
      </c>
      <c r="AI69" s="18">
        <f t="shared" si="27"/>
        <v>16</v>
      </c>
      <c r="AJ69" s="91" t="e">
        <f>IF(AI69="","",AI69*VLOOKUP("Staples",#REF!,2,FALSE))</f>
        <v>#REF!</v>
      </c>
      <c r="AK69" s="18" t="e">
        <f t="shared" si="28"/>
        <v>#REF!</v>
      </c>
      <c r="AL69" s="91" t="e">
        <f>IF(AK69="","",AK69*VLOOKUP("Frame screw",#REF!,2,FALSE))</f>
        <v>#REF!</v>
      </c>
      <c r="AM69" s="18" t="e">
        <f t="shared" si="29"/>
        <v>#REF!</v>
      </c>
      <c r="AN69" s="91" t="e">
        <f>IF(AM69="","",AM69*VLOOKUP("D ring",#REF!,2,FALSE))</f>
        <v>#REF!</v>
      </c>
      <c r="AO69" s="18" t="e">
        <f t="shared" si="30"/>
        <v>#REF!</v>
      </c>
      <c r="AP69" s="91" t="e">
        <f>IF(AO69="","",IF(G69&gt;59,AO69* VLOOKUP("8 wire",#REF!,2,FALSE)*2,IF(G69&gt;39,AO69* VLOOKUP("8 wire",#REF!,2,FALSE),AO69* VLOOKUP("6 wire",#REF!,2,FALSE))))</f>
        <v>#REF!</v>
      </c>
      <c r="AQ69" s="18">
        <f t="shared" si="31"/>
        <v>4</v>
      </c>
      <c r="AR69" s="18" t="e">
        <f>IF(AQ69="","",AQ69*VLOOKUP("Pads",#REF!,2,FALSE))</f>
        <v>#REF!</v>
      </c>
      <c r="AS69" s="18">
        <f t="shared" si="32"/>
        <v>1</v>
      </c>
      <c r="AT69" s="91" t="e">
        <f>IF(AS69="","",AS69*VLOOKUP("4 mil bag",#REF!,2,FALSE))</f>
        <v>#REF!</v>
      </c>
      <c r="AU69" s="91">
        <f>IF(X69="","",IF(I69="N/A","",IF(I69="CNC",IF(G69&gt;37,20,10),VLOOKUP(I69,#REF!,2,FALSE))))</f>
        <v>20</v>
      </c>
      <c r="AV69" s="91" t="e">
        <f>IF(X69="","",IF(I69="CNC",VLOOKUP("Glue stick",#REF!,2,FALSE),""))</f>
        <v>#REF!</v>
      </c>
      <c r="AW69" s="91" t="e">
        <f>IF(X69="","",IF(I69="CNC",16*VLOOKUP("Box staples",#REF!,2,FALSE),""))</f>
        <v>#REF!</v>
      </c>
      <c r="AX69" s="18" t="e">
        <f>IF(X69="","",IF(I69="CNC",((((G69+6)+(F69+6))*2)+24)*VLOOKUP("sealing tape",#REF!,2,FALSE),VLOOKUP("Strapping tape",#REF!,2,FALSE)))</f>
        <v>#REF!</v>
      </c>
      <c r="AY69" s="17"/>
      <c r="AZ69" s="17"/>
      <c r="BA69" s="17"/>
      <c r="BB69" s="17"/>
      <c r="BC69" s="96"/>
      <c r="BD69" s="96"/>
      <c r="BE69" s="96"/>
      <c r="BF69" s="96"/>
      <c r="BG69" s="96"/>
      <c r="BH69" s="96"/>
      <c r="BI69" s="96"/>
    </row>
    <row r="70" spans="1:61" x14ac:dyDescent="0.45">
      <c r="A70" s="103" t="s">
        <v>912</v>
      </c>
      <c r="B70" s="17" t="s">
        <v>1132</v>
      </c>
      <c r="C70" s="16">
        <v>44567</v>
      </c>
      <c r="D70" s="17" t="s">
        <v>66</v>
      </c>
      <c r="E70" s="15" t="s">
        <v>51</v>
      </c>
      <c r="F70" s="17">
        <v>40</v>
      </c>
      <c r="G70" s="17">
        <v>50</v>
      </c>
      <c r="H70" s="3" t="s">
        <v>43</v>
      </c>
      <c r="I70" s="88" t="s">
        <v>41</v>
      </c>
      <c r="J70" s="87">
        <v>44586</v>
      </c>
      <c r="K70" s="15">
        <v>1122</v>
      </c>
      <c r="L70" s="96">
        <v>70</v>
      </c>
      <c r="M70" s="89">
        <v>148.25</v>
      </c>
      <c r="N70" s="88">
        <v>26</v>
      </c>
      <c r="O70" s="413" t="str">
        <f t="shared" si="1"/>
        <v>40 x 50</v>
      </c>
      <c r="P70" s="18" t="str">
        <f t="shared" si="2"/>
        <v>42 x 52</v>
      </c>
      <c r="Q70" s="91" t="str">
        <f t="shared" si="3"/>
        <v>N/A</v>
      </c>
      <c r="R70" s="18" t="str">
        <f t="shared" si="4"/>
        <v>58 x 49 x 6</v>
      </c>
      <c r="S70" s="18">
        <v>58</v>
      </c>
      <c r="T70" s="18">
        <v>49</v>
      </c>
      <c r="U70" s="18">
        <v>6</v>
      </c>
      <c r="V70" s="18">
        <f t="shared" si="47"/>
        <v>159</v>
      </c>
      <c r="W70" s="287">
        <f t="shared" si="21"/>
        <v>2.1178571428571429</v>
      </c>
      <c r="X70" s="287" t="str">
        <f t="shared" si="22"/>
        <v>Yes</v>
      </c>
      <c r="Y70" s="93" t="e">
        <f t="shared" si="23"/>
        <v>#REF!</v>
      </c>
      <c r="Z70" s="288" t="e">
        <f t="shared" si="24"/>
        <v>#REF!</v>
      </c>
      <c r="AA70" s="94" t="e">
        <f t="shared" si="25"/>
        <v>#REF!</v>
      </c>
      <c r="AB70" s="288" t="e">
        <f t="shared" si="26"/>
        <v>#REF!</v>
      </c>
      <c r="AC70" s="91" t="e">
        <f>IF(X70="","",IF(D70="2 3D",((F70-0.5)*2+(G70-0.5)*2)*VLOOKUP("3D base",#REF!,2,FALSE),IF(D70="3 Canv", IF(E70="Roll",0,ROUND(SUM(F70:G70)*2,0)),0)*VLOOKUP("Stretcher Bar",#REF!,2,FALSE)))</f>
        <v>#REF!</v>
      </c>
      <c r="AD70" s="91" t="e">
        <f>IF(X70="","",IF(E70="Roll",0,IF(D70="2 3D",(SUM(F70:G70)*2)*VLOOKUP("3D epoxy",#REF!,2,FALSE),IF(D70="3 Canv",VLOOKUP("Wood glue",#REF!,2,FALSE),""))))</f>
        <v>#REF!</v>
      </c>
      <c r="AE70" s="91" t="e">
        <f>IF(D70="3 Canv",(((F70+5)*(G70+5)))*VLOOKUP("Canvas",#REF!,2,FALSE),IF(D70="2 3D",(((F70)*(G70)))*VLOOKUP("Dibond",#REF!,2,FALSE),""))</f>
        <v>#REF!</v>
      </c>
      <c r="AF70" s="91" t="e">
        <f>IF(D70="2 3D",F70*G70*VLOOKUP("3D ink",#REF!,2,FALSE),IF(D70="3 Canv",F70*G70*VLOOKUP("Canvas ink",#REF!,2,FALSE),""))</f>
        <v>#REF!</v>
      </c>
      <c r="AG70" s="91" t="e">
        <f>IF(D70="3 Canv",IF(E70="Roll","",ROUNDUP((SUM(F70:G70)*2)/3,"")*VLOOKUP("Staples",#REF!,2,FALSE)),"")</f>
        <v>#VALUE!</v>
      </c>
      <c r="AH70" s="91" t="e">
        <f>IF(AF70="","",(SUM(F70:G70)*2)*VLOOKUP(E70,#REF!,2,FALSE))</f>
        <v>#REF!</v>
      </c>
      <c r="AI70" s="18">
        <f t="shared" si="27"/>
        <v>44</v>
      </c>
      <c r="AJ70" s="91" t="e">
        <f>IF(AI70="","",AI70*VLOOKUP("Staples",#REF!,2,FALSE))</f>
        <v>#REF!</v>
      </c>
      <c r="AK70" s="18" t="e">
        <f t="shared" si="28"/>
        <v>#REF!</v>
      </c>
      <c r="AL70" s="91" t="e">
        <f>IF(AK70="","",AK70*VLOOKUP("Frame screw",#REF!,2,FALSE))</f>
        <v>#REF!</v>
      </c>
      <c r="AM70" s="18" t="e">
        <f t="shared" si="29"/>
        <v>#REF!</v>
      </c>
      <c r="AN70" s="91" t="e">
        <f>IF(AM70="","",AM70*VLOOKUP("D ring",#REF!,2,FALSE))</f>
        <v>#REF!</v>
      </c>
      <c r="AO70" s="18" t="e">
        <f t="shared" si="30"/>
        <v>#REF!</v>
      </c>
      <c r="AP70" s="91" t="e">
        <f>IF(AO70="","",IF(G70&gt;59,AO70* VLOOKUP("8 wire",#REF!,2,FALSE)*2,IF(G70&gt;39,AO70* VLOOKUP("8 wire",#REF!,2,FALSE),AO70* VLOOKUP("6 wire",#REF!,2,FALSE))))</f>
        <v>#REF!</v>
      </c>
      <c r="AQ70" s="18">
        <f t="shared" si="31"/>
        <v>4</v>
      </c>
      <c r="AR70" s="18" t="e">
        <f>IF(AQ70="","",AQ70*VLOOKUP("Pads",#REF!,2,FALSE))</f>
        <v>#REF!</v>
      </c>
      <c r="AS70" s="18">
        <f t="shared" si="32"/>
        <v>1</v>
      </c>
      <c r="AT70" s="91" t="e">
        <f>IF(AS70="","",AS70*VLOOKUP("4 mil bag",#REF!,2,FALSE))</f>
        <v>#REF!</v>
      </c>
      <c r="AU70" s="91">
        <f>IF(X70="","",IF(I70="N/A","",IF(I70="CNC",IF(G70&gt;37,20,10),VLOOKUP(I70,#REF!,2,FALSE))))</f>
        <v>20</v>
      </c>
      <c r="AV70" s="91" t="e">
        <f>IF(X70="","",IF(I70="CNC",VLOOKUP("Glue stick",#REF!,2,FALSE),""))</f>
        <v>#REF!</v>
      </c>
      <c r="AW70" s="91" t="e">
        <f>IF(X70="","",IF(I70="CNC",16*VLOOKUP("Box staples",#REF!,2,FALSE),""))</f>
        <v>#REF!</v>
      </c>
      <c r="AX70" s="18" t="e">
        <f>IF(X70="","",IF(I70="CNC",((((G70+6)+(F70+6))*2)+24)*VLOOKUP("sealing tape",#REF!,2,FALSE),VLOOKUP("Strapping tape",#REF!,2,FALSE)))</f>
        <v>#REF!</v>
      </c>
      <c r="AY70" s="17"/>
      <c r="AZ70" s="17"/>
      <c r="BA70" s="17"/>
      <c r="BB70" s="17"/>
      <c r="BC70" s="96"/>
      <c r="BD70" s="96"/>
      <c r="BE70" s="96"/>
      <c r="BF70" s="96"/>
      <c r="BG70" s="96"/>
      <c r="BH70" s="96"/>
      <c r="BI70" s="96"/>
    </row>
    <row r="71" spans="1:61" x14ac:dyDescent="0.45">
      <c r="A71" s="103" t="s">
        <v>472</v>
      </c>
      <c r="B71" s="17" t="s">
        <v>1137</v>
      </c>
      <c r="C71" s="16">
        <v>44568</v>
      </c>
      <c r="D71" s="17" t="s">
        <v>66</v>
      </c>
      <c r="E71" s="15" t="s">
        <v>50</v>
      </c>
      <c r="F71" s="17">
        <v>35</v>
      </c>
      <c r="G71" s="17">
        <v>58</v>
      </c>
      <c r="H71" s="3" t="s">
        <v>43</v>
      </c>
      <c r="I71" s="88" t="s">
        <v>553</v>
      </c>
      <c r="J71" s="87">
        <v>44586</v>
      </c>
      <c r="K71" s="15">
        <v>905.25</v>
      </c>
      <c r="L71" s="96">
        <f>140/3</f>
        <v>46.666666666666664</v>
      </c>
      <c r="M71" s="89">
        <v>148.25</v>
      </c>
      <c r="N71" s="88">
        <v>22</v>
      </c>
      <c r="O71" s="413" t="str">
        <f t="shared" si="1"/>
        <v>35 x 58</v>
      </c>
      <c r="P71" s="18" t="str">
        <f t="shared" si="2"/>
        <v>35 x 58</v>
      </c>
      <c r="Q71" s="91">
        <f t="shared" si="3"/>
        <v>15.77</v>
      </c>
      <c r="R71" s="18" t="str">
        <f t="shared" si="4"/>
        <v>62 x 48 x 6</v>
      </c>
      <c r="S71" s="18">
        <v>62</v>
      </c>
      <c r="T71" s="18">
        <v>48</v>
      </c>
      <c r="U71" s="18">
        <v>6</v>
      </c>
      <c r="V71" s="18">
        <f t="shared" si="47"/>
        <v>172</v>
      </c>
      <c r="W71" s="287">
        <f t="shared" si="21"/>
        <v>3.1767857142857143</v>
      </c>
      <c r="X71" s="287" t="str">
        <f t="shared" si="22"/>
        <v>Yes</v>
      </c>
      <c r="Y71" s="93" t="e">
        <f t="shared" si="23"/>
        <v>#REF!</v>
      </c>
      <c r="Z71" s="288" t="e">
        <f t="shared" si="24"/>
        <v>#REF!</v>
      </c>
      <c r="AA71" s="94" t="e">
        <f t="shared" si="25"/>
        <v>#REF!</v>
      </c>
      <c r="AB71" s="288" t="e">
        <f t="shared" si="26"/>
        <v>#REF!</v>
      </c>
      <c r="AC71" s="91" t="e">
        <f>IF(X71="","",IF(D71="2 3D",((F71-0.5)*2+(G71-0.5)*2)*VLOOKUP("3D base",#REF!,2,FALSE),IF(D71="3 Canv", IF(E71="Roll",0,ROUND(SUM(F71:G71)*2,0)),0)*VLOOKUP("Stretcher Bar",#REF!,2,FALSE)))</f>
        <v>#REF!</v>
      </c>
      <c r="AD71" s="91" t="e">
        <f>IF(X71="","",IF(E71="Roll",0,IF(D71="2 3D",(SUM(F71:G71)*2)*VLOOKUP("3D epoxy",#REF!,2,FALSE),IF(D71="3 Canv",VLOOKUP("Wood glue",#REF!,2,FALSE),""))))</f>
        <v>#REF!</v>
      </c>
      <c r="AE71" s="91" t="e">
        <f>IF(D71="3 Canv",(((F71+5)*(G71+5)))*VLOOKUP("Canvas",#REF!,2,FALSE),IF(D71="2 3D",(((F71)*(G71)))*VLOOKUP("Dibond",#REF!,2,FALSE),""))</f>
        <v>#REF!</v>
      </c>
      <c r="AF71" s="91" t="e">
        <f>IF(D71="2 3D",F71*G71*VLOOKUP("3D ink",#REF!,2,FALSE),IF(D71="3 Canv",F71*G71*VLOOKUP("Canvas ink",#REF!,2,FALSE),""))</f>
        <v>#REF!</v>
      </c>
      <c r="AG71" s="91" t="e">
        <f>IF(D71="3 Canv",IF(E71="Roll","",ROUNDUP((SUM(F71:G71)*2)/3,"")*VLOOKUP("Staples",#REF!,2,FALSE)),"")</f>
        <v>#VALUE!</v>
      </c>
      <c r="AH71" s="91" t="e">
        <f>IF(AF71="","",(SUM(F71:G71)*2)*VLOOKUP(E71,#REF!,2,FALSE))</f>
        <v>#REF!</v>
      </c>
      <c r="AI71" s="18">
        <f t="shared" si="27"/>
        <v>16</v>
      </c>
      <c r="AJ71" s="91" t="e">
        <f>IF(AI71="","",AI71*VLOOKUP("Staples",#REF!,2,FALSE))</f>
        <v>#REF!</v>
      </c>
      <c r="AK71" s="18" t="e">
        <f t="shared" si="28"/>
        <v>#REF!</v>
      </c>
      <c r="AL71" s="91" t="e">
        <f>IF(AK71="","",AK71*VLOOKUP("Frame screw",#REF!,2,FALSE))</f>
        <v>#REF!</v>
      </c>
      <c r="AM71" s="18" t="e">
        <f t="shared" si="29"/>
        <v>#REF!</v>
      </c>
      <c r="AN71" s="91" t="e">
        <f>IF(AM71="","",AM71*VLOOKUP("D ring",#REF!,2,FALSE))</f>
        <v>#REF!</v>
      </c>
      <c r="AO71" s="18" t="e">
        <f t="shared" si="30"/>
        <v>#REF!</v>
      </c>
      <c r="AP71" s="91" t="e">
        <f>IF(AO71="","",IF(G71&gt;59,AO71* VLOOKUP("8 wire",#REF!,2,FALSE)*2,IF(G71&gt;39,AO71* VLOOKUP("8 wire",#REF!,2,FALSE),AO71* VLOOKUP("6 wire",#REF!,2,FALSE))))</f>
        <v>#REF!</v>
      </c>
      <c r="AQ71" s="18">
        <f t="shared" si="31"/>
        <v>4</v>
      </c>
      <c r="AR71" s="18" t="e">
        <f>IF(AQ71="","",AQ71*VLOOKUP("Pads",#REF!,2,FALSE))</f>
        <v>#REF!</v>
      </c>
      <c r="AS71" s="18">
        <f t="shared" si="32"/>
        <v>1</v>
      </c>
      <c r="AT71" s="91" t="e">
        <f>IF(AS71="","",AS71*VLOOKUP("4 mil bag",#REF!,2,FALSE))</f>
        <v>#REF!</v>
      </c>
      <c r="AU71" s="91" t="e">
        <f>IF(X71="","",IF(I71="N/A","",IF(I71="CNC",IF(G71&gt;37,20,10),VLOOKUP(I71,#REF!,2,FALSE))))</f>
        <v>#REF!</v>
      </c>
      <c r="AV71" s="18" t="str">
        <f>IF(X71="","",IF(I71="CNC",VLOOKUP("Glue stick",#REF!,2,FALSE),""))</f>
        <v/>
      </c>
      <c r="AW71" s="18" t="str">
        <f>IF(X71="","",IF(I71="CNC",16*VLOOKUP("Box staples",#REF!,2,FALSE),""))</f>
        <v/>
      </c>
      <c r="AX71" s="91" t="e">
        <f>IF(X71="","",IF(I71="CNC",((((G71+6)+(F71+6))*2)+24)*VLOOKUP("sealing tape",#REF!,2,FALSE),VLOOKUP("Strapping tape",#REF!,2,FALSE)))</f>
        <v>#REF!</v>
      </c>
      <c r="AY71" s="17"/>
      <c r="AZ71" s="17"/>
      <c r="BA71" s="17"/>
      <c r="BB71" s="17"/>
      <c r="BC71" s="96"/>
      <c r="BD71" s="96"/>
      <c r="BE71" s="96"/>
      <c r="BF71" s="96"/>
      <c r="BG71" s="96"/>
      <c r="BH71" s="96"/>
      <c r="BI71" s="96"/>
    </row>
    <row r="72" spans="1:61" x14ac:dyDescent="0.45">
      <c r="A72" s="103" t="s">
        <v>1136</v>
      </c>
      <c r="B72" s="17" t="s">
        <v>1135</v>
      </c>
      <c r="C72" s="16">
        <v>44559</v>
      </c>
      <c r="D72" s="17" t="s">
        <v>66</v>
      </c>
      <c r="E72" s="15" t="s">
        <v>50</v>
      </c>
      <c r="F72" s="17">
        <v>31</v>
      </c>
      <c r="G72" s="17">
        <v>46</v>
      </c>
      <c r="H72" s="3" t="s">
        <v>43</v>
      </c>
      <c r="I72" s="88" t="s">
        <v>553</v>
      </c>
      <c r="J72" s="87">
        <v>44586</v>
      </c>
      <c r="K72" s="15">
        <v>765</v>
      </c>
      <c r="L72" s="96">
        <v>40</v>
      </c>
      <c r="M72" s="89">
        <v>128.31</v>
      </c>
      <c r="N72" s="88">
        <v>20</v>
      </c>
      <c r="O72" s="413" t="str">
        <f t="shared" si="1"/>
        <v>31 x 46</v>
      </c>
      <c r="P72" s="18" t="str">
        <f t="shared" si="2"/>
        <v>31 x 46</v>
      </c>
      <c r="Q72" s="91">
        <f t="shared" si="3"/>
        <v>15.77</v>
      </c>
      <c r="R72" s="18" t="str">
        <f t="shared" si="4"/>
        <v>50 x 48 x 6</v>
      </c>
      <c r="S72" s="18">
        <v>50</v>
      </c>
      <c r="T72" s="18">
        <v>48</v>
      </c>
      <c r="U72" s="18">
        <v>6</v>
      </c>
      <c r="V72" s="18">
        <f t="shared" si="47"/>
        <v>160</v>
      </c>
      <c r="W72" s="287">
        <f t="shared" si="21"/>
        <v>3.2077499999999999</v>
      </c>
      <c r="X72" s="287" t="str">
        <f t="shared" si="22"/>
        <v>Yes</v>
      </c>
      <c r="Y72" s="93" t="e">
        <f t="shared" si="23"/>
        <v>#REF!</v>
      </c>
      <c r="Z72" s="288" t="e">
        <f t="shared" si="24"/>
        <v>#REF!</v>
      </c>
      <c r="AA72" s="94" t="e">
        <f t="shared" si="25"/>
        <v>#REF!</v>
      </c>
      <c r="AB72" s="288" t="e">
        <f t="shared" si="26"/>
        <v>#REF!</v>
      </c>
      <c r="AC72" s="91" t="e">
        <f>IF(X72="","",IF(D72="2 3D",((F72-0.5)*2+(G72-0.5)*2)*VLOOKUP("3D base",#REF!,2,FALSE),IF(D72="3 Canv", IF(E72="Roll",0,ROUND(SUM(F72:G72)*2,0)),0)*VLOOKUP("Stretcher Bar",#REF!,2,FALSE)))</f>
        <v>#REF!</v>
      </c>
      <c r="AD72" s="91" t="e">
        <f>IF(X72="","",IF(E72="Roll",0,IF(D72="2 3D",(SUM(F72:G72)*2)*VLOOKUP("3D epoxy",#REF!,2,FALSE),IF(D72="3 Canv",VLOOKUP("Wood glue",#REF!,2,FALSE),""))))</f>
        <v>#REF!</v>
      </c>
      <c r="AE72" s="91" t="e">
        <f>IF(D72="3 Canv",(((F72+5)*(G72+5)))*VLOOKUP("Canvas",#REF!,2,FALSE),IF(D72="2 3D",(((F72)*(G72)))*VLOOKUP("Dibond",#REF!,2,FALSE),""))</f>
        <v>#REF!</v>
      </c>
      <c r="AF72" s="91" t="e">
        <f>IF(D72="2 3D",F72*G72*VLOOKUP("3D ink",#REF!,2,FALSE),IF(D72="3 Canv",F72*G72*VLOOKUP("Canvas ink",#REF!,2,FALSE),""))</f>
        <v>#REF!</v>
      </c>
      <c r="AG72" s="91" t="e">
        <f>IF(D72="3 Canv",IF(E72="Roll","",ROUNDUP((SUM(F72:G72)*2)/3,"")*VLOOKUP("Staples",#REF!,2,FALSE)),"")</f>
        <v>#VALUE!</v>
      </c>
      <c r="AH72" s="91" t="e">
        <f>IF(AF72="","",(SUM(F72:G72)*2)*VLOOKUP(E72,#REF!,2,FALSE))</f>
        <v>#REF!</v>
      </c>
      <c r="AI72" s="18">
        <f t="shared" si="27"/>
        <v>16</v>
      </c>
      <c r="AJ72" s="91" t="e">
        <f>IF(AI72="","",AI72*VLOOKUP("Staples",#REF!,2,FALSE))</f>
        <v>#REF!</v>
      </c>
      <c r="AK72" s="18" t="e">
        <f t="shared" si="28"/>
        <v>#REF!</v>
      </c>
      <c r="AL72" s="91" t="e">
        <f>IF(AK72="","",AK72*VLOOKUP("Frame screw",#REF!,2,FALSE))</f>
        <v>#REF!</v>
      </c>
      <c r="AM72" s="18" t="e">
        <f t="shared" si="29"/>
        <v>#REF!</v>
      </c>
      <c r="AN72" s="91" t="e">
        <f>IF(AM72="","",AM72*VLOOKUP("D ring",#REF!,2,FALSE))</f>
        <v>#REF!</v>
      </c>
      <c r="AO72" s="18" t="e">
        <f t="shared" si="30"/>
        <v>#REF!</v>
      </c>
      <c r="AP72" s="91" t="e">
        <f>IF(AO72="","",IF(G72&gt;59,AO72* VLOOKUP("8 wire",#REF!,2,FALSE)*2,IF(G72&gt;39,AO72* VLOOKUP("8 wire",#REF!,2,FALSE),AO72* VLOOKUP("6 wire",#REF!,2,FALSE))))</f>
        <v>#REF!</v>
      </c>
      <c r="AQ72" s="18">
        <f t="shared" si="31"/>
        <v>4</v>
      </c>
      <c r="AR72" s="18" t="e">
        <f>IF(AQ72="","",AQ72*VLOOKUP("Pads",#REF!,2,FALSE))</f>
        <v>#REF!</v>
      </c>
      <c r="AS72" s="18">
        <f t="shared" si="32"/>
        <v>1</v>
      </c>
      <c r="AT72" s="91" t="e">
        <f>IF(AS72="","",AS72*VLOOKUP("4 mil bag",#REF!,2,FALSE))</f>
        <v>#REF!</v>
      </c>
      <c r="AU72" s="91" t="e">
        <f>IF(X72="","",IF(I72="N/A","",IF(I72="CNC",IF(G72&gt;37,20,10),VLOOKUP(I72,#REF!,2,FALSE))))</f>
        <v>#REF!</v>
      </c>
      <c r="AV72" s="18" t="str">
        <f>IF(X72="","",IF(I72="CNC",VLOOKUP("Glue stick",#REF!,2,FALSE),""))</f>
        <v/>
      </c>
      <c r="AW72" s="18" t="str">
        <f>IF(X72="","",IF(I72="CNC",16*VLOOKUP("Box staples",#REF!,2,FALSE),""))</f>
        <v/>
      </c>
      <c r="AX72" s="91" t="e">
        <f>IF(X72="","",IF(I72="CNC",((((G72+6)+(F72+6))*2)+24)*VLOOKUP("sealing tape",#REF!,2,FALSE),VLOOKUP("Strapping tape",#REF!,2,FALSE)))</f>
        <v>#REF!</v>
      </c>
      <c r="AY72" s="17"/>
      <c r="AZ72" s="17"/>
      <c r="BA72" s="17"/>
      <c r="BB72" s="17"/>
      <c r="BC72" s="96"/>
      <c r="BD72" s="96"/>
      <c r="BE72" s="96"/>
      <c r="BF72" s="96"/>
      <c r="BG72" s="96"/>
      <c r="BH72" s="96"/>
      <c r="BI72" s="96"/>
    </row>
    <row r="73" spans="1:61" x14ac:dyDescent="0.45">
      <c r="A73" s="103" t="s">
        <v>415</v>
      </c>
      <c r="B73" s="17" t="s">
        <v>1134</v>
      </c>
      <c r="C73" s="16">
        <v>44559</v>
      </c>
      <c r="D73" s="17" t="s">
        <v>66</v>
      </c>
      <c r="E73" s="15" t="s">
        <v>50</v>
      </c>
      <c r="F73" s="17">
        <v>31</v>
      </c>
      <c r="G73" s="17">
        <v>43</v>
      </c>
      <c r="H73" s="3" t="s">
        <v>43</v>
      </c>
      <c r="I73" s="88" t="s">
        <v>553</v>
      </c>
      <c r="J73" s="87">
        <v>44586</v>
      </c>
      <c r="K73" s="15">
        <v>719</v>
      </c>
      <c r="L73" s="96">
        <v>40</v>
      </c>
      <c r="M73" s="89">
        <v>146.08000000000001</v>
      </c>
      <c r="N73" s="88">
        <v>19</v>
      </c>
      <c r="O73" s="413" t="str">
        <f t="shared" si="1"/>
        <v>31 x 43</v>
      </c>
      <c r="P73" s="18" t="str">
        <f t="shared" si="2"/>
        <v>31 x 43</v>
      </c>
      <c r="Q73" s="91">
        <f t="shared" si="3"/>
        <v>15.77</v>
      </c>
      <c r="R73" s="18" t="str">
        <f t="shared" si="4"/>
        <v>48 x 38 x 6</v>
      </c>
      <c r="S73" s="18">
        <v>48</v>
      </c>
      <c r="T73" s="18">
        <v>38</v>
      </c>
      <c r="U73" s="18">
        <v>6</v>
      </c>
      <c r="V73" s="18">
        <f t="shared" si="47"/>
        <v>157</v>
      </c>
      <c r="W73" s="287">
        <f t="shared" si="21"/>
        <v>3.6520000000000001</v>
      </c>
      <c r="X73" s="287" t="str">
        <f t="shared" si="22"/>
        <v>Yes</v>
      </c>
      <c r="Y73" s="93" t="e">
        <f t="shared" si="23"/>
        <v>#REF!</v>
      </c>
      <c r="Z73" s="288" t="e">
        <f t="shared" si="24"/>
        <v>#REF!</v>
      </c>
      <c r="AA73" s="94" t="e">
        <f t="shared" si="25"/>
        <v>#REF!</v>
      </c>
      <c r="AB73" s="288" t="e">
        <f t="shared" si="26"/>
        <v>#REF!</v>
      </c>
      <c r="AC73" s="91" t="e">
        <f>IF(X73="","",IF(D73="2 3D",((F73-0.5)*2+(G73-0.5)*2)*VLOOKUP("3D base",#REF!,2,FALSE),IF(D73="3 Canv", IF(E73="Roll",0,ROUND(SUM(F73:G73)*2,0)),0)*VLOOKUP("Stretcher Bar",#REF!,2,FALSE)))</f>
        <v>#REF!</v>
      </c>
      <c r="AD73" s="91" t="e">
        <f>IF(X73="","",IF(E73="Roll",0,IF(D73="2 3D",(SUM(F73:G73)*2)*VLOOKUP("3D epoxy",#REF!,2,FALSE),IF(D73="3 Canv",VLOOKUP("Wood glue",#REF!,2,FALSE),""))))</f>
        <v>#REF!</v>
      </c>
      <c r="AE73" s="91" t="e">
        <f>IF(D73="3 Canv",(((F73+5)*(G73+5)))*VLOOKUP("Canvas",#REF!,2,FALSE),IF(D73="2 3D",(((F73)*(G73)))*VLOOKUP("Dibond",#REF!,2,FALSE),""))</f>
        <v>#REF!</v>
      </c>
      <c r="AF73" s="91" t="e">
        <f>IF(D73="2 3D",F73*G73*VLOOKUP("3D ink",#REF!,2,FALSE),IF(D73="3 Canv",F73*G73*VLOOKUP("Canvas ink",#REF!,2,FALSE),""))</f>
        <v>#REF!</v>
      </c>
      <c r="AG73" s="91" t="e">
        <f>IF(D73="3 Canv",IF(E73="Roll","",ROUNDUP((SUM(F73:G73)*2)/3,"")*VLOOKUP("Staples",#REF!,2,FALSE)),"")</f>
        <v>#VALUE!</v>
      </c>
      <c r="AH73" s="91" t="e">
        <f>IF(AF73="","",(SUM(F73:G73)*2)*VLOOKUP(E73,#REF!,2,FALSE))</f>
        <v>#REF!</v>
      </c>
      <c r="AI73" s="18">
        <f t="shared" si="27"/>
        <v>16</v>
      </c>
      <c r="AJ73" s="91" t="e">
        <f>IF(AI73="","",AI73*VLOOKUP("Staples",#REF!,2,FALSE))</f>
        <v>#REF!</v>
      </c>
      <c r="AK73" s="18" t="e">
        <f t="shared" si="28"/>
        <v>#REF!</v>
      </c>
      <c r="AL73" s="91" t="e">
        <f>IF(AK73="","",AK73*VLOOKUP("Frame screw",#REF!,2,FALSE))</f>
        <v>#REF!</v>
      </c>
      <c r="AM73" s="18" t="e">
        <f t="shared" si="29"/>
        <v>#REF!</v>
      </c>
      <c r="AN73" s="91" t="e">
        <f>IF(AM73="","",AM73*VLOOKUP("D ring",#REF!,2,FALSE))</f>
        <v>#REF!</v>
      </c>
      <c r="AO73" s="18" t="e">
        <f t="shared" si="30"/>
        <v>#REF!</v>
      </c>
      <c r="AP73" s="91" t="e">
        <f>IF(AO73="","",IF(G73&gt;59,AO73* VLOOKUP("8 wire",#REF!,2,FALSE)*2,IF(G73&gt;39,AO73* VLOOKUP("8 wire",#REF!,2,FALSE),AO73* VLOOKUP("6 wire",#REF!,2,FALSE))))</f>
        <v>#REF!</v>
      </c>
      <c r="AQ73" s="18">
        <f t="shared" si="31"/>
        <v>4</v>
      </c>
      <c r="AR73" s="18" t="e">
        <f>IF(AQ73="","",AQ73*VLOOKUP("Pads",#REF!,2,FALSE))</f>
        <v>#REF!</v>
      </c>
      <c r="AS73" s="18">
        <f t="shared" si="32"/>
        <v>1</v>
      </c>
      <c r="AT73" s="91" t="e">
        <f>IF(AS73="","",AS73*VLOOKUP("4 mil bag",#REF!,2,FALSE))</f>
        <v>#REF!</v>
      </c>
      <c r="AU73" s="91" t="e">
        <f>IF(X73="","",IF(I73="N/A","",IF(I73="CNC",IF(G73&gt;37,20,10),VLOOKUP(I73,#REF!,2,FALSE))))</f>
        <v>#REF!</v>
      </c>
      <c r="AV73" s="18" t="str">
        <f>IF(X73="","",IF(I73="CNC",VLOOKUP("Glue stick",#REF!,2,FALSE),""))</f>
        <v/>
      </c>
      <c r="AW73" s="18" t="str">
        <f>IF(X73="","",IF(I73="CNC",16*VLOOKUP("Box staples",#REF!,2,FALSE),""))</f>
        <v/>
      </c>
      <c r="AX73" s="91" t="e">
        <f>IF(X73="","",IF(I73="CNC",((((G73+6)+(F73+6))*2)+24)*VLOOKUP("sealing tape",#REF!,2,FALSE),VLOOKUP("Strapping tape",#REF!,2,FALSE)))</f>
        <v>#REF!</v>
      </c>
      <c r="AY73" s="17"/>
      <c r="AZ73" s="17"/>
      <c r="BA73" s="17"/>
      <c r="BB73" s="17"/>
      <c r="BC73" s="96"/>
      <c r="BD73" s="96"/>
      <c r="BE73" s="96"/>
      <c r="BF73" s="96"/>
      <c r="BG73" s="96"/>
      <c r="BH73" s="96"/>
      <c r="BI73" s="96"/>
    </row>
    <row r="74" spans="1:61" x14ac:dyDescent="0.45">
      <c r="A74" s="103" t="s">
        <v>997</v>
      </c>
      <c r="B74" s="17" t="s">
        <v>1133</v>
      </c>
      <c r="C74" s="16">
        <v>44568</v>
      </c>
      <c r="D74" s="17" t="s">
        <v>66</v>
      </c>
      <c r="E74" s="15" t="s">
        <v>50</v>
      </c>
      <c r="F74" s="17">
        <v>30</v>
      </c>
      <c r="G74" s="17">
        <v>54</v>
      </c>
      <c r="H74" s="3" t="s">
        <v>43</v>
      </c>
      <c r="I74" s="88" t="s">
        <v>553</v>
      </c>
      <c r="J74" s="87">
        <v>44586</v>
      </c>
      <c r="K74" s="15">
        <v>731.85</v>
      </c>
      <c r="L74" s="96">
        <v>45</v>
      </c>
      <c r="M74" s="89">
        <v>148.25</v>
      </c>
      <c r="N74" s="88">
        <v>21</v>
      </c>
      <c r="O74" s="413" t="str">
        <f t="shared" si="1"/>
        <v>30 x 54</v>
      </c>
      <c r="P74" s="18" t="str">
        <f t="shared" si="2"/>
        <v>30 x 54</v>
      </c>
      <c r="Q74" s="91">
        <f t="shared" si="3"/>
        <v>15.77</v>
      </c>
      <c r="R74" s="18" t="str">
        <f t="shared" si="4"/>
        <v>58 x 48 x 6</v>
      </c>
      <c r="S74" s="18">
        <v>58</v>
      </c>
      <c r="T74" s="18">
        <v>48</v>
      </c>
      <c r="U74" s="18">
        <v>6</v>
      </c>
      <c r="V74" s="18">
        <f t="shared" si="47"/>
        <v>168</v>
      </c>
      <c r="W74" s="287">
        <f t="shared" si="21"/>
        <v>3.2944444444444443</v>
      </c>
      <c r="X74" s="287" t="str">
        <f t="shared" si="22"/>
        <v>Yes</v>
      </c>
      <c r="Y74" s="93" t="e">
        <f t="shared" si="23"/>
        <v>#REF!</v>
      </c>
      <c r="Z74" s="288" t="e">
        <f t="shared" si="24"/>
        <v>#REF!</v>
      </c>
      <c r="AA74" s="94" t="e">
        <f t="shared" si="25"/>
        <v>#REF!</v>
      </c>
      <c r="AB74" s="288" t="e">
        <f t="shared" si="26"/>
        <v>#REF!</v>
      </c>
      <c r="AC74" s="91" t="e">
        <f>IF(X74="","",IF(D74="2 3D",((F74-0.5)*2+(G74-0.5)*2)*VLOOKUP("3D base",#REF!,2,FALSE),IF(D74="3 Canv", IF(E74="Roll",0,ROUND(SUM(F74:G74)*2,0)),0)*VLOOKUP("Stretcher Bar",#REF!,2,FALSE)))</f>
        <v>#REF!</v>
      </c>
      <c r="AD74" s="91" t="e">
        <f>IF(X74="","",IF(E74="Roll",0,IF(D74="2 3D",(SUM(F74:G74)*2)*VLOOKUP("3D epoxy",#REF!,2,FALSE),IF(D74="3 Canv",VLOOKUP("Wood glue",#REF!,2,FALSE),""))))</f>
        <v>#REF!</v>
      </c>
      <c r="AE74" s="91" t="e">
        <f>IF(D74="3 Canv",(((F74+5)*(G74+5)))*VLOOKUP("Canvas",#REF!,2,FALSE),IF(D74="2 3D",(((F74)*(G74)))*VLOOKUP("Dibond",#REF!,2,FALSE),""))</f>
        <v>#REF!</v>
      </c>
      <c r="AF74" s="91" t="e">
        <f>IF(D74="2 3D",F74*G74*VLOOKUP("3D ink",#REF!,2,FALSE),IF(D74="3 Canv",F74*G74*VLOOKUP("Canvas ink",#REF!,2,FALSE),""))</f>
        <v>#REF!</v>
      </c>
      <c r="AG74" s="91" t="e">
        <f>IF(D74="3 Canv",IF(E74="Roll","",ROUNDUP((SUM(F74:G74)*2)/3,"")*VLOOKUP("Staples",#REF!,2,FALSE)),"")</f>
        <v>#VALUE!</v>
      </c>
      <c r="AH74" s="91" t="e">
        <f>IF(AF74="","",(SUM(F74:G74)*2)*VLOOKUP(E74,#REF!,2,FALSE))</f>
        <v>#REF!</v>
      </c>
      <c r="AI74" s="18">
        <f t="shared" si="27"/>
        <v>16</v>
      </c>
      <c r="AJ74" s="91" t="e">
        <f>IF(AI74="","",AI74*VLOOKUP("Staples",#REF!,2,FALSE))</f>
        <v>#REF!</v>
      </c>
      <c r="AK74" s="18" t="e">
        <f t="shared" si="28"/>
        <v>#REF!</v>
      </c>
      <c r="AL74" s="91" t="e">
        <f>IF(AK74="","",AK74*VLOOKUP("Frame screw",#REF!,2,FALSE))</f>
        <v>#REF!</v>
      </c>
      <c r="AM74" s="18" t="e">
        <f t="shared" si="29"/>
        <v>#REF!</v>
      </c>
      <c r="AN74" s="91" t="e">
        <f>IF(AM74="","",AM74*VLOOKUP("D ring",#REF!,2,FALSE))</f>
        <v>#REF!</v>
      </c>
      <c r="AO74" s="18" t="e">
        <f t="shared" si="30"/>
        <v>#REF!</v>
      </c>
      <c r="AP74" s="91" t="e">
        <f>IF(AO74="","",IF(G74&gt;59,AO74* VLOOKUP("8 wire",#REF!,2,FALSE)*2,IF(G74&gt;39,AO74* VLOOKUP("8 wire",#REF!,2,FALSE),AO74* VLOOKUP("6 wire",#REF!,2,FALSE))))</f>
        <v>#REF!</v>
      </c>
      <c r="AQ74" s="18">
        <f t="shared" si="31"/>
        <v>4</v>
      </c>
      <c r="AR74" s="18" t="e">
        <f>IF(AQ74="","",AQ74*VLOOKUP("Pads",#REF!,2,FALSE))</f>
        <v>#REF!</v>
      </c>
      <c r="AS74" s="18">
        <f t="shared" si="32"/>
        <v>1</v>
      </c>
      <c r="AT74" s="91" t="e">
        <f>IF(AS74="","",AS74*VLOOKUP("4 mil bag",#REF!,2,FALSE))</f>
        <v>#REF!</v>
      </c>
      <c r="AU74" s="91" t="e">
        <f>IF(X74="","",IF(I74="N/A","",IF(I74="CNC",IF(G74&gt;37,20,10),VLOOKUP(I74,#REF!,2,FALSE))))</f>
        <v>#REF!</v>
      </c>
      <c r="AV74" s="18" t="str">
        <f>IF(X74="","",IF(I74="CNC",VLOOKUP("Glue stick",#REF!,2,FALSE),""))</f>
        <v/>
      </c>
      <c r="AW74" s="18" t="str">
        <f>IF(X74="","",IF(I74="CNC",16*VLOOKUP("Box staples",#REF!,2,FALSE),""))</f>
        <v/>
      </c>
      <c r="AX74" s="91" t="e">
        <f>IF(X74="","",IF(I74="CNC",((((G74+6)+(F74+6))*2)+24)*VLOOKUP("sealing tape",#REF!,2,FALSE),VLOOKUP("Strapping tape",#REF!,2,FALSE)))</f>
        <v>#REF!</v>
      </c>
      <c r="AY74" s="17"/>
      <c r="AZ74" s="17"/>
      <c r="BA74" s="17"/>
      <c r="BB74" s="17"/>
      <c r="BC74" s="96"/>
      <c r="BD74" s="96"/>
      <c r="BE74" s="96"/>
      <c r="BF74" s="96"/>
      <c r="BG74" s="96"/>
      <c r="BH74" s="96"/>
      <c r="BI74" s="96"/>
    </row>
    <row r="75" spans="1:61" x14ac:dyDescent="0.45">
      <c r="A75" s="103" t="s">
        <v>615</v>
      </c>
      <c r="B75" s="17" t="s">
        <v>1138</v>
      </c>
      <c r="C75" s="16">
        <v>44565</v>
      </c>
      <c r="D75" s="17" t="s">
        <v>66</v>
      </c>
      <c r="E75" s="15" t="s">
        <v>58</v>
      </c>
      <c r="F75" s="17">
        <v>34</v>
      </c>
      <c r="G75" s="17">
        <v>45</v>
      </c>
      <c r="H75" s="3" t="s">
        <v>43</v>
      </c>
      <c r="I75" s="88" t="s">
        <v>553</v>
      </c>
      <c r="J75" s="87">
        <v>44586</v>
      </c>
      <c r="K75" s="15">
        <v>884</v>
      </c>
      <c r="L75" s="96">
        <v>55</v>
      </c>
      <c r="M75" s="89">
        <v>148.25</v>
      </c>
      <c r="N75" s="88">
        <v>24</v>
      </c>
      <c r="O75" s="413" t="str">
        <f t="shared" si="1"/>
        <v>34 x 45</v>
      </c>
      <c r="P75" s="18" t="str">
        <f t="shared" si="2"/>
        <v>36 x 47</v>
      </c>
      <c r="Q75" s="91">
        <f t="shared" si="3"/>
        <v>15.77</v>
      </c>
      <c r="R75" s="18" t="str">
        <f t="shared" si="4"/>
        <v>49 x 48 x 6</v>
      </c>
      <c r="S75" s="18">
        <v>49</v>
      </c>
      <c r="T75" s="18">
        <v>48</v>
      </c>
      <c r="U75" s="18">
        <v>6</v>
      </c>
      <c r="V75" s="18">
        <f t="shared" si="47"/>
        <v>159</v>
      </c>
      <c r="W75" s="287">
        <f t="shared" si="21"/>
        <v>2.6954545454545453</v>
      </c>
      <c r="X75" s="287" t="str">
        <f t="shared" si="22"/>
        <v>Yes</v>
      </c>
      <c r="Y75" s="93" t="e">
        <f t="shared" si="23"/>
        <v>#REF!</v>
      </c>
      <c r="Z75" s="288" t="e">
        <f t="shared" si="24"/>
        <v>#REF!</v>
      </c>
      <c r="AA75" s="94" t="e">
        <f t="shared" si="25"/>
        <v>#REF!</v>
      </c>
      <c r="AB75" s="288" t="e">
        <f t="shared" si="26"/>
        <v>#REF!</v>
      </c>
      <c r="AC75" s="91" t="e">
        <f>IF(X75="","",IF(D75="2 3D",((F75-0.5)*2+(G75-0.5)*2)*VLOOKUP("3D base",#REF!,2,FALSE),IF(D75="3 Canv", IF(E75="Roll",0,ROUND(SUM(F75:G75)*2,0)),0)*VLOOKUP("Stretcher Bar",#REF!,2,FALSE)))</f>
        <v>#REF!</v>
      </c>
      <c r="AD75" s="91" t="e">
        <f>IF(X75="","",IF(E75="Roll",0,IF(D75="2 3D",(SUM(F75:G75)*2)*VLOOKUP("3D epoxy",#REF!,2,FALSE),IF(D75="3 Canv",VLOOKUP("Wood glue",#REF!,2,FALSE),""))))</f>
        <v>#REF!</v>
      </c>
      <c r="AE75" s="91" t="e">
        <f>IF(D75="3 Canv",(((F75+5)*(G75+5)))*VLOOKUP("Canvas",#REF!,2,FALSE),IF(D75="2 3D",(((F75)*(G75)))*VLOOKUP("Dibond",#REF!,2,FALSE),""))</f>
        <v>#REF!</v>
      </c>
      <c r="AF75" s="91" t="e">
        <f>IF(D75="2 3D",F75*G75*VLOOKUP("3D ink",#REF!,2,FALSE),IF(D75="3 Canv",F75*G75*VLOOKUP("Canvas ink",#REF!,2,FALSE),""))</f>
        <v>#REF!</v>
      </c>
      <c r="AG75" s="91" t="e">
        <f>IF(D75="3 Canv",IF(E75="Roll","",ROUNDUP((SUM(F75:G75)*2)/3,"")*VLOOKUP("Staples",#REF!,2,FALSE)),"")</f>
        <v>#VALUE!</v>
      </c>
      <c r="AH75" s="91" t="e">
        <f>IF(AF75="","",(SUM(F75:G75)*2)*VLOOKUP(E75,#REF!,2,FALSE))</f>
        <v>#REF!</v>
      </c>
      <c r="AI75" s="18">
        <f t="shared" si="27"/>
        <v>44</v>
      </c>
      <c r="AJ75" s="91" t="e">
        <f>IF(AI75="","",AI75*VLOOKUP("Staples",#REF!,2,FALSE))</f>
        <v>#REF!</v>
      </c>
      <c r="AK75" s="18" t="e">
        <f t="shared" si="28"/>
        <v>#REF!</v>
      </c>
      <c r="AL75" s="91" t="e">
        <f>IF(AK75="","",AK75*VLOOKUP("Frame screw",#REF!,2,FALSE))</f>
        <v>#REF!</v>
      </c>
      <c r="AM75" s="18" t="e">
        <f t="shared" si="29"/>
        <v>#REF!</v>
      </c>
      <c r="AN75" s="91" t="e">
        <f>IF(AM75="","",AM75*VLOOKUP("D ring",#REF!,2,FALSE))</f>
        <v>#REF!</v>
      </c>
      <c r="AO75" s="18" t="e">
        <f t="shared" si="30"/>
        <v>#REF!</v>
      </c>
      <c r="AP75" s="91" t="e">
        <f>IF(AO75="","",IF(G75&gt;59,AO75* VLOOKUP("8 wire",#REF!,2,FALSE)*2,IF(G75&gt;39,AO75* VLOOKUP("8 wire",#REF!,2,FALSE),AO75* VLOOKUP("6 wire",#REF!,2,FALSE))))</f>
        <v>#REF!</v>
      </c>
      <c r="AQ75" s="18">
        <f t="shared" si="31"/>
        <v>4</v>
      </c>
      <c r="AR75" s="18" t="e">
        <f>IF(AQ75="","",AQ75*VLOOKUP("Pads",#REF!,2,FALSE))</f>
        <v>#REF!</v>
      </c>
      <c r="AS75" s="18">
        <f t="shared" si="32"/>
        <v>1</v>
      </c>
      <c r="AT75" s="91" t="e">
        <f>IF(AS75="","",AS75*VLOOKUP("4 mil bag",#REF!,2,FALSE))</f>
        <v>#REF!</v>
      </c>
      <c r="AU75" s="91" t="e">
        <f>IF(X75="","",IF(I75="N/A","",IF(I75="CNC",IF(G75&gt;37,20,10),VLOOKUP(I75,#REF!,2,FALSE))))</f>
        <v>#REF!</v>
      </c>
      <c r="AV75" s="18" t="str">
        <f>IF(X75="","",IF(I75="CNC",VLOOKUP("Glue stick",#REF!,2,FALSE),""))</f>
        <v/>
      </c>
      <c r="AW75" s="18" t="str">
        <f>IF(X75="","",IF(I75="CNC",16*VLOOKUP("Box staples",#REF!,2,FALSE),""))</f>
        <v/>
      </c>
      <c r="AX75" s="91" t="e">
        <f>IF(X75="","",IF(I75="CNC",((((G75+6)+(F75+6))*2)+24)*VLOOKUP("sealing tape",#REF!,2,FALSE),VLOOKUP("Strapping tape",#REF!,2,FALSE)))</f>
        <v>#REF!</v>
      </c>
      <c r="AY75" s="17"/>
      <c r="AZ75" s="17"/>
      <c r="BA75" s="17"/>
      <c r="BB75" s="17"/>
      <c r="BC75" s="96"/>
      <c r="BD75" s="96"/>
      <c r="BE75" s="96"/>
      <c r="BF75" s="96"/>
      <c r="BG75" s="96"/>
      <c r="BH75" s="96"/>
      <c r="BI75" s="96"/>
    </row>
    <row r="76" spans="1:61" x14ac:dyDescent="0.45">
      <c r="A76" s="103" t="s">
        <v>786</v>
      </c>
      <c r="B76" s="17" t="s">
        <v>1137</v>
      </c>
      <c r="C76" s="16">
        <v>44568</v>
      </c>
      <c r="D76" s="17" t="s">
        <v>66</v>
      </c>
      <c r="E76" s="15" t="s">
        <v>50</v>
      </c>
      <c r="F76" s="17">
        <v>33</v>
      </c>
      <c r="G76" s="17">
        <v>51</v>
      </c>
      <c r="H76" s="3" t="s">
        <v>43</v>
      </c>
      <c r="I76" s="88" t="s">
        <v>553</v>
      </c>
      <c r="J76" s="87">
        <v>44586</v>
      </c>
      <c r="K76" s="15">
        <v>758.2</v>
      </c>
      <c r="L76" s="96">
        <f>140/3</f>
        <v>46.666666666666664</v>
      </c>
      <c r="M76" s="89">
        <v>148.25</v>
      </c>
      <c r="N76" s="88">
        <v>20</v>
      </c>
      <c r="O76" s="413" t="str">
        <f t="shared" si="1"/>
        <v>33 x 51</v>
      </c>
      <c r="P76" s="18" t="str">
        <f t="shared" si="2"/>
        <v>33 x 51</v>
      </c>
      <c r="Q76" s="91">
        <f t="shared" si="3"/>
        <v>15.77</v>
      </c>
      <c r="R76" s="18" t="str">
        <f t="shared" si="4"/>
        <v>55 x 48 x 6</v>
      </c>
      <c r="S76" s="18">
        <v>55</v>
      </c>
      <c r="T76" s="18">
        <v>48</v>
      </c>
      <c r="U76" s="18">
        <v>6</v>
      </c>
      <c r="V76" s="18">
        <f t="shared" si="47"/>
        <v>165</v>
      </c>
      <c r="W76" s="287">
        <f t="shared" si="21"/>
        <v>3.1767857142857143</v>
      </c>
      <c r="X76" s="287" t="str">
        <f t="shared" si="22"/>
        <v>Yes</v>
      </c>
      <c r="Y76" s="93" t="e">
        <f t="shared" si="23"/>
        <v>#REF!</v>
      </c>
      <c r="Z76" s="288" t="e">
        <f t="shared" si="24"/>
        <v>#REF!</v>
      </c>
      <c r="AA76" s="94" t="e">
        <f t="shared" si="25"/>
        <v>#REF!</v>
      </c>
      <c r="AB76" s="288" t="e">
        <f t="shared" si="26"/>
        <v>#REF!</v>
      </c>
      <c r="AC76" s="91" t="e">
        <f>IF(X76="","",IF(D76="2 3D",((F76-0.5)*2+(G76-0.5)*2)*VLOOKUP("3D base",#REF!,2,FALSE),IF(D76="3 Canv", IF(E76="Roll",0,ROUND(SUM(F76:G76)*2,0)),0)*VLOOKUP("Stretcher Bar",#REF!,2,FALSE)))</f>
        <v>#REF!</v>
      </c>
      <c r="AD76" s="91" t="e">
        <f>IF(X76="","",IF(E76="Roll",0,IF(D76="2 3D",(SUM(F76:G76)*2)*VLOOKUP("3D epoxy",#REF!,2,FALSE),IF(D76="3 Canv",VLOOKUP("Wood glue",#REF!,2,FALSE),""))))</f>
        <v>#REF!</v>
      </c>
      <c r="AE76" s="91" t="e">
        <f>IF(D76="3 Canv",(((F76+5)*(G76+5)))*VLOOKUP("Canvas",#REF!,2,FALSE),IF(D76="2 3D",(((F76)*(G76)))*VLOOKUP("Dibond",#REF!,2,FALSE),""))</f>
        <v>#REF!</v>
      </c>
      <c r="AF76" s="91" t="e">
        <f>IF(D76="2 3D",F76*G76*VLOOKUP("3D ink",#REF!,2,FALSE),IF(D76="3 Canv",F76*G76*VLOOKUP("Canvas ink",#REF!,2,FALSE),""))</f>
        <v>#REF!</v>
      </c>
      <c r="AG76" s="91" t="e">
        <f>IF(D76="3 Canv",IF(E76="Roll","",ROUNDUP((SUM(F76:G76)*2)/3,"")*VLOOKUP("Staples",#REF!,2,FALSE)),"")</f>
        <v>#VALUE!</v>
      </c>
      <c r="AH76" s="91" t="e">
        <f>IF(AF76="","",(SUM(F76:G76)*2)*VLOOKUP(E76,#REF!,2,FALSE))</f>
        <v>#REF!</v>
      </c>
      <c r="AI76" s="18">
        <f t="shared" si="27"/>
        <v>16</v>
      </c>
      <c r="AJ76" s="91" t="e">
        <f>IF(AI76="","",AI76*VLOOKUP("Staples",#REF!,2,FALSE))</f>
        <v>#REF!</v>
      </c>
      <c r="AK76" s="18" t="e">
        <f t="shared" si="28"/>
        <v>#REF!</v>
      </c>
      <c r="AL76" s="91" t="e">
        <f>IF(AK76="","",AK76*VLOOKUP("Frame screw",#REF!,2,FALSE))</f>
        <v>#REF!</v>
      </c>
      <c r="AM76" s="18" t="e">
        <f t="shared" si="29"/>
        <v>#REF!</v>
      </c>
      <c r="AN76" s="91" t="e">
        <f>IF(AM76="","",AM76*VLOOKUP("D ring",#REF!,2,FALSE))</f>
        <v>#REF!</v>
      </c>
      <c r="AO76" s="18" t="e">
        <f t="shared" si="30"/>
        <v>#REF!</v>
      </c>
      <c r="AP76" s="91" t="e">
        <f>IF(AO76="","",IF(G76&gt;59,AO76* VLOOKUP("8 wire",#REF!,2,FALSE)*2,IF(G76&gt;39,AO76* VLOOKUP("8 wire",#REF!,2,FALSE),AO76* VLOOKUP("6 wire",#REF!,2,FALSE))))</f>
        <v>#REF!</v>
      </c>
      <c r="AQ76" s="18">
        <f t="shared" si="31"/>
        <v>4</v>
      </c>
      <c r="AR76" s="18" t="e">
        <f>IF(AQ76="","",AQ76*VLOOKUP("Pads",#REF!,2,FALSE))</f>
        <v>#REF!</v>
      </c>
      <c r="AS76" s="18">
        <f t="shared" si="32"/>
        <v>1</v>
      </c>
      <c r="AT76" s="91" t="e">
        <f>IF(AS76="","",AS76*VLOOKUP("4 mil bag",#REF!,2,FALSE))</f>
        <v>#REF!</v>
      </c>
      <c r="AU76" s="91" t="e">
        <f>IF(X76="","",IF(I76="N/A","",IF(I76="CNC",IF(G76&gt;37,20,10),VLOOKUP(I76,#REF!,2,FALSE))))</f>
        <v>#REF!</v>
      </c>
      <c r="AV76" s="18" t="str">
        <f>IF(X76="","",IF(I76="CNC",VLOOKUP("Glue stick",#REF!,2,FALSE),""))</f>
        <v/>
      </c>
      <c r="AW76" s="18" t="str">
        <f>IF(X76="","",IF(I76="CNC",16*VLOOKUP("Box staples",#REF!,2,FALSE),""))</f>
        <v/>
      </c>
      <c r="AX76" s="91" t="e">
        <f>IF(X76="","",IF(I76="CNC",((((G76+6)+(F76+6))*2)+24)*VLOOKUP("sealing tape",#REF!,2,FALSE),VLOOKUP("Strapping tape",#REF!,2,FALSE)))</f>
        <v>#REF!</v>
      </c>
      <c r="AY76" s="17"/>
      <c r="AZ76" s="17"/>
      <c r="BA76" s="17"/>
      <c r="BB76" s="17"/>
      <c r="BC76" s="96"/>
      <c r="BD76" s="96"/>
      <c r="BE76" s="96"/>
      <c r="BF76" s="96"/>
      <c r="BG76" s="96"/>
      <c r="BH76" s="96"/>
      <c r="BI76" s="96"/>
    </row>
    <row r="77" spans="1:61" x14ac:dyDescent="0.45">
      <c r="A77" s="103" t="s">
        <v>939</v>
      </c>
      <c r="B77" s="17" t="s">
        <v>1139</v>
      </c>
      <c r="C77" s="16">
        <v>44570</v>
      </c>
      <c r="D77" s="17" t="s">
        <v>66</v>
      </c>
      <c r="E77" s="15" t="s">
        <v>50</v>
      </c>
      <c r="F77" s="17">
        <v>33</v>
      </c>
      <c r="G77" s="17">
        <v>50</v>
      </c>
      <c r="H77" s="3" t="s">
        <v>43</v>
      </c>
      <c r="I77" s="88" t="s">
        <v>553</v>
      </c>
      <c r="J77" s="87">
        <v>44586</v>
      </c>
      <c r="K77" s="15">
        <v>744.6</v>
      </c>
      <c r="L77" s="96">
        <v>45</v>
      </c>
      <c r="M77" s="89">
        <v>114.48</v>
      </c>
      <c r="N77" s="88">
        <v>20</v>
      </c>
      <c r="O77" s="413" t="str">
        <f t="shared" si="1"/>
        <v>33 x 50</v>
      </c>
      <c r="P77" s="18" t="str">
        <f t="shared" si="2"/>
        <v>33 x 50</v>
      </c>
      <c r="Q77" s="91">
        <f t="shared" si="3"/>
        <v>15.77</v>
      </c>
      <c r="R77" s="18" t="str">
        <f t="shared" si="4"/>
        <v>54 x 48 x 6</v>
      </c>
      <c r="S77" s="18">
        <v>54</v>
      </c>
      <c r="T77" s="18">
        <v>48</v>
      </c>
      <c r="U77" s="18">
        <v>6</v>
      </c>
      <c r="V77" s="18">
        <f t="shared" si="47"/>
        <v>164</v>
      </c>
      <c r="W77" s="287">
        <f t="shared" si="21"/>
        <v>2.544</v>
      </c>
      <c r="X77" s="287" t="str">
        <f t="shared" si="22"/>
        <v>Yes</v>
      </c>
      <c r="Y77" s="93" t="e">
        <f t="shared" si="23"/>
        <v>#REF!</v>
      </c>
      <c r="Z77" s="288" t="e">
        <f t="shared" si="24"/>
        <v>#REF!</v>
      </c>
      <c r="AA77" s="94" t="e">
        <f t="shared" si="25"/>
        <v>#REF!</v>
      </c>
      <c r="AB77" s="288" t="e">
        <f t="shared" si="26"/>
        <v>#REF!</v>
      </c>
      <c r="AC77" s="91" t="e">
        <f>IF(X77="","",IF(D77="2 3D",((F77-0.5)*2+(G77-0.5)*2)*VLOOKUP("3D base",#REF!,2,FALSE),IF(D77="3 Canv", IF(E77="Roll",0,ROUND(SUM(F77:G77)*2,0)),0)*VLOOKUP("Stretcher Bar",#REF!,2,FALSE)))</f>
        <v>#REF!</v>
      </c>
      <c r="AD77" s="91" t="e">
        <f>IF(X77="","",IF(E77="Roll",0,IF(D77="2 3D",(SUM(F77:G77)*2)*VLOOKUP("3D epoxy",#REF!,2,FALSE),IF(D77="3 Canv",VLOOKUP("Wood glue",#REF!,2,FALSE),""))))</f>
        <v>#REF!</v>
      </c>
      <c r="AE77" s="91" t="e">
        <f>IF(D77="3 Canv",(((F77+5)*(G77+5)))*VLOOKUP("Canvas",#REF!,2,FALSE),IF(D77="2 3D",(((F77)*(G77)))*VLOOKUP("Dibond",#REF!,2,FALSE),""))</f>
        <v>#REF!</v>
      </c>
      <c r="AF77" s="91" t="e">
        <f>IF(D77="2 3D",F77*G77*VLOOKUP("3D ink",#REF!,2,FALSE),IF(D77="3 Canv",F77*G77*VLOOKUP("Canvas ink",#REF!,2,FALSE),""))</f>
        <v>#REF!</v>
      </c>
      <c r="AG77" s="91" t="e">
        <f>IF(D77="3 Canv",IF(E77="Roll","",ROUNDUP((SUM(F77:G77)*2)/3,"")*VLOOKUP("Staples",#REF!,2,FALSE)),"")</f>
        <v>#VALUE!</v>
      </c>
      <c r="AH77" s="91" t="e">
        <f>IF(AF77="","",(SUM(F77:G77)*2)*VLOOKUP(E77,#REF!,2,FALSE))</f>
        <v>#REF!</v>
      </c>
      <c r="AI77" s="18">
        <f t="shared" si="27"/>
        <v>16</v>
      </c>
      <c r="AJ77" s="91" t="e">
        <f>IF(AI77="","",AI77*VLOOKUP("Staples",#REF!,2,FALSE))</f>
        <v>#REF!</v>
      </c>
      <c r="AK77" s="18" t="e">
        <f t="shared" si="28"/>
        <v>#REF!</v>
      </c>
      <c r="AL77" s="91" t="e">
        <f>IF(AK77="","",AK77*VLOOKUP("Frame screw",#REF!,2,FALSE))</f>
        <v>#REF!</v>
      </c>
      <c r="AM77" s="18" t="e">
        <f t="shared" si="29"/>
        <v>#REF!</v>
      </c>
      <c r="AN77" s="91" t="e">
        <f>IF(AM77="","",AM77*VLOOKUP("D ring",#REF!,2,FALSE))</f>
        <v>#REF!</v>
      </c>
      <c r="AO77" s="18" t="e">
        <f t="shared" si="30"/>
        <v>#REF!</v>
      </c>
      <c r="AP77" s="91" t="e">
        <f>IF(AO77="","",IF(G77&gt;59,AO77* VLOOKUP("8 wire",#REF!,2,FALSE)*2,IF(G77&gt;39,AO77* VLOOKUP("8 wire",#REF!,2,FALSE),AO77* VLOOKUP("6 wire",#REF!,2,FALSE))))</f>
        <v>#REF!</v>
      </c>
      <c r="AQ77" s="18">
        <f t="shared" si="31"/>
        <v>4</v>
      </c>
      <c r="AR77" s="18" t="e">
        <f>IF(AQ77="","",AQ77*VLOOKUP("Pads",#REF!,2,FALSE))</f>
        <v>#REF!</v>
      </c>
      <c r="AS77" s="18">
        <f t="shared" si="32"/>
        <v>1</v>
      </c>
      <c r="AT77" s="91" t="e">
        <f>IF(AS77="","",AS77*VLOOKUP("4 mil bag",#REF!,2,FALSE))</f>
        <v>#REF!</v>
      </c>
      <c r="AU77" s="91" t="e">
        <f>IF(X77="","",IF(I77="N/A","",IF(I77="CNC",IF(G77&gt;37,20,10),VLOOKUP(I77,#REF!,2,FALSE))))</f>
        <v>#REF!</v>
      </c>
      <c r="AV77" s="18" t="str">
        <f>IF(X77="","",IF(I77="CNC",VLOOKUP("Glue stick",#REF!,2,FALSE),""))</f>
        <v/>
      </c>
      <c r="AW77" s="18" t="str">
        <f>IF(X77="","",IF(I77="CNC",16*VLOOKUP("Box staples",#REF!,2,FALSE),""))</f>
        <v/>
      </c>
      <c r="AX77" s="91" t="e">
        <f>IF(X77="","",IF(I77="CNC",((((G77+6)+(F77+6))*2)+24)*VLOOKUP("sealing tape",#REF!,2,FALSE),VLOOKUP("Strapping tape",#REF!,2,FALSE)))</f>
        <v>#REF!</v>
      </c>
      <c r="AY77" s="17"/>
      <c r="AZ77" s="17"/>
      <c r="BA77" s="17"/>
      <c r="BB77" s="17"/>
      <c r="BC77" s="96"/>
      <c r="BD77" s="96"/>
      <c r="BE77" s="96"/>
      <c r="BF77" s="96"/>
      <c r="BG77" s="96"/>
      <c r="BH77" s="96"/>
      <c r="BI77" s="96"/>
    </row>
    <row r="78" spans="1:61" x14ac:dyDescent="0.45">
      <c r="A78" s="103" t="s">
        <v>461</v>
      </c>
      <c r="B78" s="17" t="s">
        <v>1152</v>
      </c>
      <c r="C78" s="16">
        <v>44577</v>
      </c>
      <c r="D78" s="17" t="s">
        <v>66</v>
      </c>
      <c r="E78" s="15" t="s">
        <v>50</v>
      </c>
      <c r="F78" s="17">
        <v>28</v>
      </c>
      <c r="G78" s="17">
        <v>28</v>
      </c>
      <c r="H78" s="3" t="s">
        <v>43</v>
      </c>
      <c r="I78" s="88" t="s">
        <v>600</v>
      </c>
      <c r="J78" s="87">
        <v>44587</v>
      </c>
      <c r="K78" s="15">
        <v>851</v>
      </c>
      <c r="L78" s="96">
        <v>45</v>
      </c>
      <c r="M78" s="89">
        <v>43.57</v>
      </c>
      <c r="N78" s="88">
        <v>14</v>
      </c>
      <c r="O78" s="413" t="str">
        <f t="shared" si="1"/>
        <v>28 x 28</v>
      </c>
      <c r="P78" s="18" t="str">
        <f t="shared" si="2"/>
        <v>28 x 28</v>
      </c>
      <c r="Q78" s="91">
        <f t="shared" si="3"/>
        <v>10.3</v>
      </c>
      <c r="R78" s="18" t="str">
        <f t="shared" si="4"/>
        <v>44 x 35 x 6</v>
      </c>
      <c r="S78" s="18">
        <v>44</v>
      </c>
      <c r="T78" s="18">
        <v>35</v>
      </c>
      <c r="U78" s="18">
        <v>6</v>
      </c>
      <c r="V78" s="90">
        <f t="shared" si="47"/>
        <v>126</v>
      </c>
      <c r="W78" s="287">
        <f t="shared" si="21"/>
        <v>0.96822222222222221</v>
      </c>
      <c r="X78" s="287" t="str">
        <f t="shared" si="22"/>
        <v>Yes</v>
      </c>
      <c r="Y78" s="93" t="e">
        <f t="shared" si="23"/>
        <v>#REF!</v>
      </c>
      <c r="Z78" s="288" t="e">
        <f t="shared" si="24"/>
        <v>#REF!</v>
      </c>
      <c r="AA78" s="94" t="e">
        <f t="shared" si="25"/>
        <v>#REF!</v>
      </c>
      <c r="AB78" s="288" t="e">
        <f t="shared" si="26"/>
        <v>#REF!</v>
      </c>
      <c r="AC78" s="91" t="e">
        <f>IF(X78="","",IF(D78="2 3D",((F78-0.5)*2+(G78-0.5)*2)*VLOOKUP("3D base",#REF!,2,FALSE),IF(D78="3 Canv", IF(E78="Roll",0,ROUND(SUM(F78:G78)*2,0)),0)*VLOOKUP("Stretcher Bar",#REF!,2,FALSE)))</f>
        <v>#REF!</v>
      </c>
      <c r="AD78" s="91" t="e">
        <f>IF(X78="","",IF(E78="Roll",0,IF(D78="2 3D",(SUM(F78:G78)*2)*VLOOKUP("3D epoxy",#REF!,2,FALSE),IF(D78="3 Canv",VLOOKUP("Wood glue",#REF!,2,FALSE),""))))</f>
        <v>#REF!</v>
      </c>
      <c r="AE78" s="91" t="e">
        <f>IF(D78="3 Canv",(((F78+5)*(G78+5)))*VLOOKUP("Canvas",#REF!,2,FALSE),IF(D78="2 3D",(((F78)*(G78)))*VLOOKUP("Dibond",#REF!,2,FALSE),""))</f>
        <v>#REF!</v>
      </c>
      <c r="AF78" s="91" t="e">
        <f>IF(D78="2 3D",F78*G78*VLOOKUP("3D ink",#REF!,2,FALSE),IF(D78="3 Canv",F78*G78*VLOOKUP("Canvas ink",#REF!,2,FALSE),""))</f>
        <v>#REF!</v>
      </c>
      <c r="AG78" s="91" t="e">
        <f>IF(D78="3 Canv",IF(E78="Roll","",ROUNDUP((SUM(F78:G78)*2)/3,"")*VLOOKUP("Staples",#REF!,2,FALSE)),"")</f>
        <v>#VALUE!</v>
      </c>
      <c r="AH78" s="91" t="e">
        <f>IF(AF78="","",(SUM(F78:G78)*2)*VLOOKUP(E78,#REF!,2,FALSE))</f>
        <v>#REF!</v>
      </c>
      <c r="AI78" s="18">
        <f t="shared" si="27"/>
        <v>16</v>
      </c>
      <c r="AJ78" s="91" t="e">
        <f>IF(AI78="","",AI78*VLOOKUP("Staples",#REF!,2,FALSE))</f>
        <v>#REF!</v>
      </c>
      <c r="AK78" s="18" t="e">
        <f t="shared" si="28"/>
        <v>#REF!</v>
      </c>
      <c r="AL78" s="91" t="e">
        <f>IF(AK78="","",AK78*VLOOKUP("Frame screw",#REF!,2,FALSE))</f>
        <v>#REF!</v>
      </c>
      <c r="AM78" s="18" t="e">
        <f t="shared" si="29"/>
        <v>#REF!</v>
      </c>
      <c r="AN78" s="91" t="e">
        <f>IF(AM78="","",AM78*VLOOKUP("D ring",#REF!,2,FALSE))</f>
        <v>#REF!</v>
      </c>
      <c r="AO78" s="18" t="e">
        <f t="shared" si="30"/>
        <v>#REF!</v>
      </c>
      <c r="AP78" s="91" t="e">
        <f>IF(AO78="","",IF(G78&gt;59,AO78* VLOOKUP("8 wire",#REF!,2,FALSE)*2,IF(G78&gt;39,AO78* VLOOKUP("8 wire",#REF!,2,FALSE),AO78* VLOOKUP("6 wire",#REF!,2,FALSE))))</f>
        <v>#REF!</v>
      </c>
      <c r="AQ78" s="18">
        <f t="shared" si="31"/>
        <v>4</v>
      </c>
      <c r="AR78" s="18" t="e">
        <f>IF(AQ78="","",AQ78*VLOOKUP("Pads",#REF!,2,FALSE))</f>
        <v>#REF!</v>
      </c>
      <c r="AS78" s="18">
        <f t="shared" si="32"/>
        <v>1</v>
      </c>
      <c r="AT78" s="91" t="e">
        <f>IF(AS78="","",AS78*VLOOKUP("4 mil bag",#REF!,2,FALSE))</f>
        <v>#REF!</v>
      </c>
      <c r="AU78" s="91" t="e">
        <f>IF(X78="","",IF(I78="N/A","",IF(I78="CNC",IF(G78&gt;37,20,10),VLOOKUP(I78,#REF!,2,FALSE))))</f>
        <v>#REF!</v>
      </c>
      <c r="AV78" s="18" t="str">
        <f>IF(X78="","",IF(I78="CNC",VLOOKUP("Glue stick",#REF!,2,FALSE),""))</f>
        <v/>
      </c>
      <c r="AW78" s="18" t="str">
        <f>IF(X78="","",IF(I78="CNC",16*VLOOKUP("Box staples",#REF!,2,FALSE),""))</f>
        <v/>
      </c>
      <c r="AX78" s="91" t="e">
        <f>IF(X78="","",IF(I78="CNC",((((G78+6)+(F78+6))*2)+24)*VLOOKUP("sealing tape",#REF!,2,FALSE),VLOOKUP("Strapping tape",#REF!,2,FALSE)))</f>
        <v>#REF!</v>
      </c>
      <c r="AY78" s="17"/>
      <c r="AZ78" s="17"/>
      <c r="BA78" s="17"/>
      <c r="BB78" s="17"/>
      <c r="BC78" s="96"/>
      <c r="BD78" s="96"/>
      <c r="BE78" s="96"/>
      <c r="BF78" s="96"/>
      <c r="BG78" s="96"/>
      <c r="BH78" s="96"/>
      <c r="BI78" s="96"/>
    </row>
    <row r="79" spans="1:61" x14ac:dyDescent="0.45">
      <c r="A79" s="17" t="s">
        <v>914</v>
      </c>
      <c r="B79" s="17" t="s">
        <v>1140</v>
      </c>
      <c r="C79" s="16">
        <v>44565</v>
      </c>
      <c r="D79" s="17" t="s">
        <v>66</v>
      </c>
      <c r="E79" s="15" t="s">
        <v>1</v>
      </c>
      <c r="F79" s="17">
        <v>28</v>
      </c>
      <c r="G79" s="17">
        <v>42</v>
      </c>
      <c r="H79" s="3" t="s">
        <v>55</v>
      </c>
      <c r="I79" s="88" t="s">
        <v>45</v>
      </c>
      <c r="J79" s="87">
        <v>44567</v>
      </c>
      <c r="K79" s="15">
        <v>714</v>
      </c>
      <c r="L79" s="96">
        <v>0</v>
      </c>
      <c r="M79" s="89">
        <v>0</v>
      </c>
      <c r="N79" s="88"/>
      <c r="O79" s="413" t="str">
        <f t="shared" si="1"/>
        <v>28 x 42</v>
      </c>
      <c r="P79" s="18" t="str">
        <f t="shared" si="2"/>
        <v>30 x 44</v>
      </c>
      <c r="Q79" s="91" t="str">
        <f t="shared" si="3"/>
        <v>N/A</v>
      </c>
      <c r="R79" s="18" t="str">
        <f t="shared" si="4"/>
        <v>N/A</v>
      </c>
      <c r="S79" s="18" t="s">
        <v>45</v>
      </c>
      <c r="T79" s="18"/>
      <c r="U79" s="18"/>
      <c r="V79" s="91" t="str">
        <f t="shared" si="47"/>
        <v>N/A</v>
      </c>
      <c r="W79" s="287" t="str">
        <f t="shared" si="21"/>
        <v/>
      </c>
      <c r="X79" s="287" t="str">
        <f t="shared" si="22"/>
        <v>Yes</v>
      </c>
      <c r="Y79" s="93" t="e">
        <f t="shared" si="23"/>
        <v>#REF!</v>
      </c>
      <c r="Z79" s="288" t="e">
        <f t="shared" si="24"/>
        <v>#REF!</v>
      </c>
      <c r="AA79" s="94" t="e">
        <f t="shared" si="25"/>
        <v>#REF!</v>
      </c>
      <c r="AB79" s="288" t="e">
        <f t="shared" si="26"/>
        <v>#REF!</v>
      </c>
      <c r="AC79" s="91" t="e">
        <f>IF(X79="","",IF(D79="2 3D",((F79-0.5)*2+(G79-0.5)*2)*VLOOKUP("3D base",#REF!,2,FALSE),IF(D79="3 Canv", IF(E79="Roll",0,ROUND(SUM(F79:G79)*2,0)),0)*VLOOKUP("Stretcher Bar",#REF!,2,FALSE)))</f>
        <v>#REF!</v>
      </c>
      <c r="AD79" s="91" t="e">
        <f>IF(X79="","",IF(E79="Roll",0,IF(D79="2 3D",(SUM(F79:G79)*2)*VLOOKUP("3D epoxy",#REF!,2,FALSE),IF(D79="3 Canv",VLOOKUP("Wood glue",#REF!,2,FALSE),""))))</f>
        <v>#REF!</v>
      </c>
      <c r="AE79" s="91" t="e">
        <f>IF(D79="3 Canv",(((F79+5)*(G79+5)))*VLOOKUP("Canvas",#REF!,2,FALSE),IF(D79="2 3D",(((F79)*(G79)))*VLOOKUP("Dibond",#REF!,2,FALSE),""))</f>
        <v>#REF!</v>
      </c>
      <c r="AF79" s="91" t="e">
        <f>IF(D79="2 3D",F79*G79*VLOOKUP("3D ink",#REF!,2,FALSE),IF(D79="3 Canv",F79*G79*VLOOKUP("Canvas ink",#REF!,2,FALSE),""))</f>
        <v>#REF!</v>
      </c>
      <c r="AG79" s="91" t="e">
        <f>IF(D79="3 Canv",IF(E79="Roll","",ROUNDUP((SUM(F79:G79)*2)/3,"")*VLOOKUP("Staples",#REF!,2,FALSE)),"")</f>
        <v>#VALUE!</v>
      </c>
      <c r="AH79" s="91" t="e">
        <f>IF(AF79="","",(SUM(F79:G79)*2)*VLOOKUP(E79,#REF!,2,FALSE))</f>
        <v>#REF!</v>
      </c>
      <c r="AI79" s="18">
        <f t="shared" si="27"/>
        <v>44</v>
      </c>
      <c r="AJ79" s="91" t="e">
        <f>IF(AI79="","",AI79*VLOOKUP("Staples",#REF!,2,FALSE))</f>
        <v>#REF!</v>
      </c>
      <c r="AK79" s="18" t="e">
        <f t="shared" si="28"/>
        <v>#REF!</v>
      </c>
      <c r="AL79" s="91" t="e">
        <f>IF(AK79="","",AK79*VLOOKUP("Frame screw",#REF!,2,FALSE))</f>
        <v>#REF!</v>
      </c>
      <c r="AM79" s="18" t="e">
        <f t="shared" si="29"/>
        <v>#REF!</v>
      </c>
      <c r="AN79" s="91" t="e">
        <f>IF(AM79="","",AM79*VLOOKUP("D ring",#REF!,2,FALSE))</f>
        <v>#REF!</v>
      </c>
      <c r="AO79" s="18" t="e">
        <f t="shared" si="30"/>
        <v>#REF!</v>
      </c>
      <c r="AP79" s="91" t="e">
        <f>IF(AO79="","",IF(G79&gt;59,AO79* VLOOKUP("8 wire",#REF!,2,FALSE)*2,IF(G79&gt;39,AO79* VLOOKUP("8 wire",#REF!,2,FALSE),AO79* VLOOKUP("6 wire",#REF!,2,FALSE))))</f>
        <v>#REF!</v>
      </c>
      <c r="AQ79" s="18">
        <f t="shared" si="31"/>
        <v>4</v>
      </c>
      <c r="AR79" s="18" t="e">
        <f>IF(AQ79="","",AQ79*VLOOKUP("Pads",#REF!,2,FALSE))</f>
        <v>#REF!</v>
      </c>
      <c r="AS79" s="18">
        <f t="shared" si="32"/>
        <v>1</v>
      </c>
      <c r="AT79" s="91" t="e">
        <f>IF(AS79="","",AS79*VLOOKUP("4 mil bag",#REF!,2,FALSE))</f>
        <v>#REF!</v>
      </c>
      <c r="AU79" s="91" t="str">
        <f>IF(X79="","",IF(I79="N/A","",IF(I79="CNC",IF(G79&gt;37,20,10),VLOOKUP(I79,#REF!,2,FALSE))))</f>
        <v/>
      </c>
      <c r="AV79" s="18" t="str">
        <f>IF(X79="","",IF(I79="CNC",VLOOKUP("Glue stick",#REF!,2,FALSE),""))</f>
        <v/>
      </c>
      <c r="AW79" s="18" t="str">
        <f>IF(X79="","",IF(I79="CNC",16*VLOOKUP("Box staples",#REF!,2,FALSE),""))</f>
        <v/>
      </c>
      <c r="AX79" s="91" t="e">
        <f>IF(X79="","",IF(I79="CNC",((((G79+6)+(F79+6))*2)+24)*VLOOKUP("sealing tape",#REF!,2,FALSE),VLOOKUP("Strapping tape",#REF!,2,FALSE)))</f>
        <v>#REF!</v>
      </c>
      <c r="AY79" s="17"/>
      <c r="AZ79" s="17"/>
      <c r="BA79" s="17"/>
      <c r="BB79" s="17"/>
      <c r="BC79" s="96"/>
      <c r="BD79" s="96"/>
      <c r="BE79" s="96"/>
      <c r="BF79" s="96"/>
      <c r="BG79" s="96"/>
      <c r="BH79" s="96"/>
      <c r="BI79" s="96"/>
    </row>
    <row r="80" spans="1:61" x14ac:dyDescent="0.45">
      <c r="A80" s="17" t="s">
        <v>1144</v>
      </c>
      <c r="B80" s="17" t="s">
        <v>1143</v>
      </c>
      <c r="C80" s="16">
        <v>44579</v>
      </c>
      <c r="D80" s="17" t="s">
        <v>66</v>
      </c>
      <c r="E80" s="15" t="s">
        <v>558</v>
      </c>
      <c r="F80" s="17">
        <v>19</v>
      </c>
      <c r="G80" s="17">
        <v>39</v>
      </c>
      <c r="H80" s="3" t="s">
        <v>55</v>
      </c>
      <c r="I80" s="88" t="s">
        <v>84</v>
      </c>
      <c r="J80" s="87">
        <v>44587</v>
      </c>
      <c r="K80" s="15">
        <v>326</v>
      </c>
      <c r="L80" s="96">
        <v>0</v>
      </c>
      <c r="M80" s="89">
        <v>0</v>
      </c>
      <c r="N80" s="88"/>
      <c r="O80" s="413" t="str">
        <f t="shared" si="1"/>
        <v>19 x 39</v>
      </c>
      <c r="P80" s="18" t="str">
        <f t="shared" si="2"/>
        <v>N/A</v>
      </c>
      <c r="Q80" s="91">
        <f t="shared" si="3"/>
        <v>2.85</v>
      </c>
      <c r="R80" s="18" t="str">
        <f t="shared" si="4"/>
        <v>37 x 3 x 3</v>
      </c>
      <c r="S80" s="18">
        <v>37</v>
      </c>
      <c r="T80" s="18">
        <v>3</v>
      </c>
      <c r="U80" s="18">
        <v>3</v>
      </c>
      <c r="V80" s="90">
        <f t="shared" si="47"/>
        <v>49</v>
      </c>
      <c r="W80" s="287" t="str">
        <f t="shared" si="21"/>
        <v/>
      </c>
      <c r="X80" s="287" t="str">
        <f t="shared" si="22"/>
        <v>Yes</v>
      </c>
      <c r="Y80" s="93" t="e">
        <f t="shared" si="23"/>
        <v>#REF!</v>
      </c>
      <c r="Z80" s="288" t="e">
        <f t="shared" si="24"/>
        <v>#REF!</v>
      </c>
      <c r="AA80" s="94" t="e">
        <f t="shared" si="25"/>
        <v>#REF!</v>
      </c>
      <c r="AB80" s="288" t="e">
        <f t="shared" si="26"/>
        <v>#REF!</v>
      </c>
      <c r="AC80" s="91" t="e">
        <f>IF(X80="","",IF(D80="2 3D",((F80-0.5)*2+(G80-0.5)*2)*VLOOKUP("3D base",#REF!,2,FALSE),IF(D80="3 Canv", IF(E80="Roll",0,ROUND(SUM(F80:G80)*2,0)),0)*VLOOKUP("Stretcher Bar",#REF!,2,FALSE)))</f>
        <v>#REF!</v>
      </c>
      <c r="AD80" s="91">
        <f>IF(X80="","",IF(E80="Roll",0,IF(D80="2 3D",(SUM(F80:G80)*2)*VLOOKUP("3D epoxy",#REF!,2,FALSE),IF(D80="3 Canv",VLOOKUP("Wood glue",#REF!,2,FALSE),""))))</f>
        <v>0</v>
      </c>
      <c r="AE80" s="91" t="e">
        <f>IF(D80="3 Canv",(((F80+5)*(G80+5)))*VLOOKUP("Canvas",#REF!,2,FALSE),IF(D80="2 3D",(((F80)*(G80)))*VLOOKUP("Dibond",#REF!,2,FALSE),""))</f>
        <v>#REF!</v>
      </c>
      <c r="AF80" s="91" t="e">
        <f>IF(D80="2 3D",F80*G80*VLOOKUP("3D ink",#REF!,2,FALSE),IF(D80="3 Canv",F80*G80*VLOOKUP("Canvas ink",#REF!,2,FALSE),""))</f>
        <v>#REF!</v>
      </c>
      <c r="AG80" s="91" t="str">
        <f>IF(D80="3 Canv",IF(E80="Roll","",ROUNDUP((SUM(F80:G80)*2)/3,"")*VLOOKUP("Staples",#REF!,2,FALSE)),"")</f>
        <v/>
      </c>
      <c r="AH80" s="91" t="e">
        <f>IF(AF80="","",(SUM(F80:G80)*2)*VLOOKUP(E80,#REF!,2,FALSE))</f>
        <v>#REF!</v>
      </c>
      <c r="AI80" s="18" t="str">
        <f t="shared" si="27"/>
        <v/>
      </c>
      <c r="AJ80" s="91" t="str">
        <f>IF(AI80="","",AI80*VLOOKUP("Staples",#REF!,2,FALSE))</f>
        <v/>
      </c>
      <c r="AK80" s="18" t="str">
        <f t="shared" si="28"/>
        <v/>
      </c>
      <c r="AL80" s="91" t="str">
        <f>IF(AK80="","",AK80*VLOOKUP("Frame screw",#REF!,2,FALSE))</f>
        <v/>
      </c>
      <c r="AM80" s="18" t="e">
        <f t="shared" si="29"/>
        <v>#REF!</v>
      </c>
      <c r="AN80" s="91" t="e">
        <f>IF(AM80="","",AM80*VLOOKUP("D ring",#REF!,2,FALSE))</f>
        <v>#REF!</v>
      </c>
      <c r="AO80" s="18" t="e">
        <f t="shared" si="30"/>
        <v>#REF!</v>
      </c>
      <c r="AP80" s="18" t="e">
        <f>IF(AO80="","",IF(G80&gt;59,AO80* VLOOKUP("8 wire",#REF!,2,FALSE)*2,IF(G80&gt;39,AO80* VLOOKUP("8 wire",#REF!,2,FALSE),AO80* VLOOKUP("6 wire",#REF!,2,FALSE))))</f>
        <v>#REF!</v>
      </c>
      <c r="AQ80" s="18" t="str">
        <f t="shared" si="31"/>
        <v/>
      </c>
      <c r="AR80" s="18" t="str">
        <f>IF(AQ80="","",AQ80*VLOOKUP("Pads",#REF!,2,FALSE))</f>
        <v/>
      </c>
      <c r="AS80" s="18" t="str">
        <f t="shared" si="32"/>
        <v/>
      </c>
      <c r="AT80" s="18" t="str">
        <f>IF(AS80="","",AS80*VLOOKUP("4 mil bag",#REF!,2,FALSE))</f>
        <v/>
      </c>
      <c r="AU80" s="91" t="e">
        <f>IF(X80="","",IF(I80="N/A","",IF(I80="CNC",IF(G80&gt;37,20,10),VLOOKUP(I80,#REF!,2,FALSE))))</f>
        <v>#REF!</v>
      </c>
      <c r="AV80" s="18" t="str">
        <f>IF(X80="","",IF(I80="CNC",VLOOKUP("Glue stick",#REF!,2,FALSE),""))</f>
        <v/>
      </c>
      <c r="AW80" s="18" t="str">
        <f>IF(X80="","",IF(I80="CNC",16*VLOOKUP("Box staples",#REF!,2,FALSE),""))</f>
        <v/>
      </c>
      <c r="AX80" s="91" t="e">
        <f>IF(X80="","",IF(I80="CNC",((((G80+6)+(F80+6))*2)+24)*VLOOKUP("sealing tape",#REF!,2,FALSE),VLOOKUP("Strapping tape",#REF!,2,FALSE)))</f>
        <v>#REF!</v>
      </c>
      <c r="AY80" s="17"/>
      <c r="AZ80" s="17"/>
      <c r="BA80" s="17"/>
      <c r="BB80" s="17"/>
      <c r="BC80" s="96"/>
      <c r="BD80" s="96"/>
      <c r="BE80" s="96"/>
      <c r="BF80" s="96"/>
      <c r="BG80" s="96"/>
      <c r="BH80" s="96"/>
      <c r="BI80" s="96"/>
    </row>
    <row r="81" spans="1:61" x14ac:dyDescent="0.45">
      <c r="A81" s="103" t="s">
        <v>921</v>
      </c>
      <c r="B81" s="17" t="s">
        <v>1145</v>
      </c>
      <c r="C81" s="16">
        <v>44575</v>
      </c>
      <c r="D81" s="17" t="s">
        <v>66</v>
      </c>
      <c r="E81" s="15" t="s">
        <v>50</v>
      </c>
      <c r="F81" s="17">
        <v>52</v>
      </c>
      <c r="G81" s="17">
        <v>61</v>
      </c>
      <c r="H81" s="3" t="s">
        <v>43</v>
      </c>
      <c r="I81" s="88" t="s">
        <v>384</v>
      </c>
      <c r="J81" s="87">
        <v>44588</v>
      </c>
      <c r="K81" s="15">
        <v>2045.1</v>
      </c>
      <c r="L81" s="96">
        <f t="shared" ref="L81:L82" si="48">245/3</f>
        <v>81.666666666666671</v>
      </c>
      <c r="M81" s="89">
        <f t="shared" ref="M81:M82" si="49">1504.01/2</f>
        <v>752.005</v>
      </c>
      <c r="N81" s="88">
        <v>254</v>
      </c>
      <c r="O81" s="413" t="str">
        <f t="shared" si="1"/>
        <v>52 x 61</v>
      </c>
      <c r="P81" s="18" t="str">
        <f t="shared" si="2"/>
        <v>52 x 61</v>
      </c>
      <c r="Q81" s="91" t="str">
        <f t="shared" si="3"/>
        <v>N/A</v>
      </c>
      <c r="R81" s="18" t="str">
        <f t="shared" si="4"/>
        <v>N/A</v>
      </c>
      <c r="S81" s="18" t="s">
        <v>45</v>
      </c>
      <c r="T81" s="18"/>
      <c r="U81" s="18"/>
      <c r="V81" s="91" t="str">
        <f t="shared" si="47"/>
        <v>N/A</v>
      </c>
      <c r="W81" s="287">
        <f t="shared" si="21"/>
        <v>9.2082244897959171</v>
      </c>
      <c r="X81" s="287" t="str">
        <f t="shared" si="22"/>
        <v>Yes</v>
      </c>
      <c r="Y81" s="93" t="e">
        <f t="shared" si="23"/>
        <v>#REF!</v>
      </c>
      <c r="Z81" s="288" t="e">
        <f t="shared" si="24"/>
        <v>#REF!</v>
      </c>
      <c r="AA81" s="94" t="e">
        <f t="shared" si="25"/>
        <v>#REF!</v>
      </c>
      <c r="AB81" s="288" t="e">
        <f t="shared" si="26"/>
        <v>#REF!</v>
      </c>
      <c r="AC81" s="91" t="e">
        <f>IF(X81="","",IF(D81="2 3D",((F81-0.5)*2+(G81-0.5)*2)*VLOOKUP("3D base",#REF!,2,FALSE),IF(D81="3 Canv", IF(E81="Roll",0,ROUND(SUM(F81:G81)*2,0)),0)*VLOOKUP("Stretcher Bar",#REF!,2,FALSE)))</f>
        <v>#REF!</v>
      </c>
      <c r="AD81" s="91" t="e">
        <f>IF(X81="","",IF(E81="Roll",0,IF(D81="2 3D",(SUM(F81:G81)*2)*VLOOKUP("3D epoxy",#REF!,2,FALSE),IF(D81="3 Canv",VLOOKUP("Wood glue",#REF!,2,FALSE),""))))</f>
        <v>#REF!</v>
      </c>
      <c r="AE81" s="91" t="e">
        <f>IF(D81="3 Canv",(((F81+5)*(G81+5)))*VLOOKUP("Canvas",#REF!,2,FALSE),IF(D81="2 3D",(((F81)*(G81)))*VLOOKUP("Dibond",#REF!,2,FALSE),""))</f>
        <v>#REF!</v>
      </c>
      <c r="AF81" s="91" t="e">
        <f>IF(D81="2 3D",F81*G81*VLOOKUP("3D ink",#REF!,2,FALSE),IF(D81="3 Canv",F81*G81*VLOOKUP("Canvas ink",#REF!,2,FALSE),""))</f>
        <v>#REF!</v>
      </c>
      <c r="AG81" s="91" t="e">
        <f>IF(D81="3 Canv",IF(E81="Roll","",ROUNDUP((SUM(F81:G81)*2)/3,"")*VLOOKUP("Staples",#REF!,2,FALSE)),"")</f>
        <v>#VALUE!</v>
      </c>
      <c r="AH81" s="91" t="e">
        <f>IF(AF81="","",(SUM(F81:G81)*2)*VLOOKUP(E81,#REF!,2,FALSE))</f>
        <v>#REF!</v>
      </c>
      <c r="AI81" s="18">
        <f t="shared" si="27"/>
        <v>16</v>
      </c>
      <c r="AJ81" s="91" t="e">
        <f>IF(AI81="","",AI81*VLOOKUP("Staples",#REF!,2,FALSE))</f>
        <v>#REF!</v>
      </c>
      <c r="AK81" s="18" t="e">
        <f t="shared" si="28"/>
        <v>#REF!</v>
      </c>
      <c r="AL81" s="91" t="e">
        <f>IF(AK81="","",AK81*VLOOKUP("Frame screw",#REF!,2,FALSE))</f>
        <v>#REF!</v>
      </c>
      <c r="AM81" s="18" t="e">
        <f t="shared" si="29"/>
        <v>#REF!</v>
      </c>
      <c r="AN81" s="91" t="e">
        <f>IF(AM81="","",AM81*VLOOKUP("D ring",#REF!,2,FALSE))</f>
        <v>#REF!</v>
      </c>
      <c r="AO81" s="18" t="e">
        <f t="shared" si="30"/>
        <v>#REF!</v>
      </c>
      <c r="AP81" s="91" t="e">
        <f>IF(AO81="","",IF(G81&gt;59,AO81* VLOOKUP("8 wire",#REF!,2,FALSE)*2,IF(G81&gt;39,AO81* VLOOKUP("8 wire",#REF!,2,FALSE),AO81* VLOOKUP("6 wire",#REF!,2,FALSE))))</f>
        <v>#REF!</v>
      </c>
      <c r="AQ81" s="18">
        <f t="shared" si="31"/>
        <v>4</v>
      </c>
      <c r="AR81" s="18" t="e">
        <f>IF(AQ81="","",AQ81*VLOOKUP("Pads",#REF!,2,FALSE))</f>
        <v>#REF!</v>
      </c>
      <c r="AS81" s="18">
        <f t="shared" si="32"/>
        <v>1</v>
      </c>
      <c r="AT81" s="91" t="e">
        <f>IF(AS81="","",AS81*VLOOKUP("4 mil bag",#REF!,2,FALSE))</f>
        <v>#REF!</v>
      </c>
      <c r="AU81" s="91">
        <v>225</v>
      </c>
      <c r="AV81" s="18" t="str">
        <f>IF(X81="","",IF(I81="CNC",VLOOKUP("Glue stick",#REF!,2,FALSE),""))</f>
        <v/>
      </c>
      <c r="AW81" s="18" t="str">
        <f>IF(X81="","",IF(I81="CNC",16*VLOOKUP("Box staples",#REF!,2,FALSE),""))</f>
        <v/>
      </c>
      <c r="AX81" s="91" t="e">
        <f>IF(X81="","",IF(I81="CNC",((((G81+6)+(F81+6))*2)+24)*VLOOKUP("sealing tape",#REF!,2,FALSE),VLOOKUP("Strapping tape",#REF!,2,FALSE)))</f>
        <v>#REF!</v>
      </c>
      <c r="AY81" s="17"/>
      <c r="AZ81" s="17"/>
      <c r="BA81" s="17"/>
      <c r="BB81" s="17"/>
      <c r="BC81" s="96"/>
      <c r="BD81" s="96"/>
      <c r="BE81" s="96"/>
      <c r="BF81" s="96"/>
      <c r="BG81" s="96"/>
      <c r="BH81" s="96"/>
      <c r="BI81" s="96"/>
    </row>
    <row r="82" spans="1:61" x14ac:dyDescent="0.45">
      <c r="A82" s="103" t="s">
        <v>614</v>
      </c>
      <c r="B82" s="17" t="s">
        <v>1145</v>
      </c>
      <c r="C82" s="16">
        <v>44575</v>
      </c>
      <c r="D82" s="17" t="s">
        <v>66</v>
      </c>
      <c r="E82" s="15" t="s">
        <v>50</v>
      </c>
      <c r="F82" s="17">
        <v>46</v>
      </c>
      <c r="G82" s="17">
        <v>59</v>
      </c>
      <c r="H82" s="3" t="s">
        <v>43</v>
      </c>
      <c r="I82" s="88" t="s">
        <v>384</v>
      </c>
      <c r="J82" s="87">
        <v>44588</v>
      </c>
      <c r="K82" s="15">
        <v>1504.5</v>
      </c>
      <c r="L82" s="96">
        <f t="shared" si="48"/>
        <v>81.666666666666671</v>
      </c>
      <c r="M82" s="89">
        <f t="shared" si="49"/>
        <v>752.005</v>
      </c>
      <c r="N82" s="88"/>
      <c r="O82" s="413" t="str">
        <f t="shared" si="1"/>
        <v>46 x 59</v>
      </c>
      <c r="P82" s="18" t="str">
        <f t="shared" si="2"/>
        <v>46 x 59</v>
      </c>
      <c r="Q82" s="91" t="str">
        <f t="shared" si="3"/>
        <v>N/A</v>
      </c>
      <c r="R82" s="18" t="str">
        <f t="shared" si="4"/>
        <v>N/A</v>
      </c>
      <c r="S82" s="18" t="s">
        <v>45</v>
      </c>
      <c r="T82" s="18"/>
      <c r="U82" s="18"/>
      <c r="V82" s="91" t="str">
        <f t="shared" si="47"/>
        <v>N/A</v>
      </c>
      <c r="W82" s="287">
        <f t="shared" si="21"/>
        <v>9.2082244897959171</v>
      </c>
      <c r="X82" s="287" t="str">
        <f t="shared" si="22"/>
        <v>Yes</v>
      </c>
      <c r="Y82" s="93" t="e">
        <f t="shared" si="23"/>
        <v>#REF!</v>
      </c>
      <c r="Z82" s="288" t="e">
        <f t="shared" si="24"/>
        <v>#REF!</v>
      </c>
      <c r="AA82" s="94" t="e">
        <f t="shared" si="25"/>
        <v>#REF!</v>
      </c>
      <c r="AB82" s="288" t="e">
        <f t="shared" si="26"/>
        <v>#REF!</v>
      </c>
      <c r="AC82" s="91" t="e">
        <f>IF(X82="","",IF(D82="2 3D",((F82-0.5)*2+(G82-0.5)*2)*VLOOKUP("3D base",#REF!,2,FALSE),IF(D82="3 Canv", IF(E82="Roll",0,ROUND(SUM(F82:G82)*2,0)),0)*VLOOKUP("Stretcher Bar",#REF!,2,FALSE)))</f>
        <v>#REF!</v>
      </c>
      <c r="AD82" s="91" t="e">
        <f>IF(X82="","",IF(E82="Roll",0,IF(D82="2 3D",(SUM(F82:G82)*2)*VLOOKUP("3D epoxy",#REF!,2,FALSE),IF(D82="3 Canv",VLOOKUP("Wood glue",#REF!,2,FALSE),""))))</f>
        <v>#REF!</v>
      </c>
      <c r="AE82" s="91" t="e">
        <f>IF(D82="3 Canv",(((F82+5)*(G82+5)))*VLOOKUP("Canvas",#REF!,2,FALSE),IF(D82="2 3D",(((F82)*(G82)))*VLOOKUP("Dibond",#REF!,2,FALSE),""))</f>
        <v>#REF!</v>
      </c>
      <c r="AF82" s="91" t="e">
        <f>IF(D82="2 3D",F82*G82*VLOOKUP("3D ink",#REF!,2,FALSE),IF(D82="3 Canv",F82*G82*VLOOKUP("Canvas ink",#REF!,2,FALSE),""))</f>
        <v>#REF!</v>
      </c>
      <c r="AG82" s="91" t="e">
        <f>IF(D82="3 Canv",IF(E82="Roll","",ROUNDUP((SUM(F82:G82)*2)/3,"")*VLOOKUP("Staples",#REF!,2,FALSE)),"")</f>
        <v>#VALUE!</v>
      </c>
      <c r="AH82" s="91" t="e">
        <f>IF(AF82="","",(SUM(F82:G82)*2)*VLOOKUP(E82,#REF!,2,FALSE))</f>
        <v>#REF!</v>
      </c>
      <c r="AI82" s="18">
        <f t="shared" si="27"/>
        <v>16</v>
      </c>
      <c r="AJ82" s="91" t="e">
        <f>IF(AI82="","",AI82*VLOOKUP("Staples",#REF!,2,FALSE))</f>
        <v>#REF!</v>
      </c>
      <c r="AK82" s="18" t="e">
        <f t="shared" si="28"/>
        <v>#REF!</v>
      </c>
      <c r="AL82" s="91" t="e">
        <f>IF(AK82="","",AK82*VLOOKUP("Frame screw",#REF!,2,FALSE))</f>
        <v>#REF!</v>
      </c>
      <c r="AM82" s="18" t="e">
        <f t="shared" si="29"/>
        <v>#REF!</v>
      </c>
      <c r="AN82" s="91" t="e">
        <f>IF(AM82="","",AM82*VLOOKUP("D ring",#REF!,2,FALSE))</f>
        <v>#REF!</v>
      </c>
      <c r="AO82" s="18" t="e">
        <f t="shared" si="30"/>
        <v>#REF!</v>
      </c>
      <c r="AP82" s="91" t="e">
        <f>IF(AO82="","",IF(G82&gt;59,AO82* VLOOKUP("8 wire",#REF!,2,FALSE)*2,IF(G82&gt;39,AO82* VLOOKUP("8 wire",#REF!,2,FALSE),AO82* VLOOKUP("6 wire",#REF!,2,FALSE))))</f>
        <v>#REF!</v>
      </c>
      <c r="AQ82" s="18">
        <f t="shared" si="31"/>
        <v>4</v>
      </c>
      <c r="AR82" s="18" t="e">
        <f>IF(AQ82="","",AQ82*VLOOKUP("Pads",#REF!,2,FALSE))</f>
        <v>#REF!</v>
      </c>
      <c r="AS82" s="18">
        <f t="shared" si="32"/>
        <v>1</v>
      </c>
      <c r="AT82" s="91" t="e">
        <f>IF(AS82="","",AS82*VLOOKUP("4 mil bag",#REF!,2,FALSE))</f>
        <v>#REF!</v>
      </c>
      <c r="AU82" s="91">
        <v>225</v>
      </c>
      <c r="AV82" s="18" t="str">
        <f>IF(X82="","",IF(I82="CNC",VLOOKUP("Glue stick",#REF!,2,FALSE),""))</f>
        <v/>
      </c>
      <c r="AW82" s="18" t="str">
        <f>IF(X82="","",IF(I82="CNC",16*VLOOKUP("Box staples",#REF!,2,FALSE),""))</f>
        <v/>
      </c>
      <c r="AX82" s="91" t="e">
        <f>IF(X82="","",IF(I82="CNC",((((G82+6)+(F82+6))*2)+24)*VLOOKUP("sealing tape",#REF!,2,FALSE),VLOOKUP("Strapping tape",#REF!,2,FALSE)))</f>
        <v>#REF!</v>
      </c>
      <c r="AY82" s="17"/>
      <c r="AZ82" s="17"/>
      <c r="BA82" s="17"/>
      <c r="BB82" s="17"/>
      <c r="BC82" s="96"/>
      <c r="BD82" s="96"/>
      <c r="BE82" s="96"/>
      <c r="BF82" s="96"/>
      <c r="BG82" s="96"/>
      <c r="BH82" s="96"/>
      <c r="BI82" s="96"/>
    </row>
    <row r="83" spans="1:61" x14ac:dyDescent="0.45">
      <c r="A83" s="103" t="s">
        <v>1147</v>
      </c>
      <c r="B83" s="17" t="s">
        <v>1146</v>
      </c>
      <c r="C83" s="16">
        <v>44570</v>
      </c>
      <c r="D83" s="17" t="s">
        <v>66</v>
      </c>
      <c r="E83" s="15" t="s">
        <v>50</v>
      </c>
      <c r="F83" s="17">
        <v>35</v>
      </c>
      <c r="G83" s="17">
        <v>53</v>
      </c>
      <c r="H83" s="3" t="s">
        <v>43</v>
      </c>
      <c r="I83" s="88" t="s">
        <v>553</v>
      </c>
      <c r="J83" s="87">
        <v>44588</v>
      </c>
      <c r="K83" s="15">
        <v>831.3</v>
      </c>
      <c r="L83" s="96">
        <f>85/2</f>
        <v>42.5</v>
      </c>
      <c r="M83" s="89">
        <v>134.94</v>
      </c>
      <c r="N83" s="88">
        <v>20</v>
      </c>
      <c r="O83" s="413" t="str">
        <f t="shared" si="1"/>
        <v>35 x 53</v>
      </c>
      <c r="P83" s="18" t="str">
        <f t="shared" si="2"/>
        <v>35 x 53</v>
      </c>
      <c r="Q83" s="91">
        <f t="shared" si="3"/>
        <v>15.77</v>
      </c>
      <c r="R83" s="18" t="str">
        <f t="shared" si="4"/>
        <v>57 x 48 x 6</v>
      </c>
      <c r="S83" s="18">
        <v>57</v>
      </c>
      <c r="T83" s="18">
        <v>48</v>
      </c>
      <c r="U83" s="18">
        <v>6</v>
      </c>
      <c r="V83" s="18">
        <f t="shared" si="47"/>
        <v>167</v>
      </c>
      <c r="W83" s="287">
        <f t="shared" si="21"/>
        <v>3.1750588235294117</v>
      </c>
      <c r="X83" s="287" t="str">
        <f t="shared" si="22"/>
        <v>Yes</v>
      </c>
      <c r="Y83" s="93" t="e">
        <f t="shared" si="23"/>
        <v>#REF!</v>
      </c>
      <c r="Z83" s="288" t="e">
        <f t="shared" si="24"/>
        <v>#REF!</v>
      </c>
      <c r="AA83" s="94" t="e">
        <f t="shared" si="25"/>
        <v>#REF!</v>
      </c>
      <c r="AB83" s="288" t="e">
        <f t="shared" si="26"/>
        <v>#REF!</v>
      </c>
      <c r="AC83" s="91" t="e">
        <f>IF(X83="","",IF(D83="2 3D",((F83-0.5)*2+(G83-0.5)*2)*VLOOKUP("3D base",#REF!,2,FALSE),IF(D83="3 Canv", IF(E83="Roll",0,ROUND(SUM(F83:G83)*2,0)),0)*VLOOKUP("Stretcher Bar",#REF!,2,FALSE)))</f>
        <v>#REF!</v>
      </c>
      <c r="AD83" s="91" t="e">
        <f>IF(X83="","",IF(E83="Roll",0,IF(D83="2 3D",(SUM(F83:G83)*2)*VLOOKUP("3D epoxy",#REF!,2,FALSE),IF(D83="3 Canv",VLOOKUP("Wood glue",#REF!,2,FALSE),""))))</f>
        <v>#REF!</v>
      </c>
      <c r="AE83" s="91" t="e">
        <f>IF(D83="3 Canv",(((F83+5)*(G83+5)))*VLOOKUP("Canvas",#REF!,2,FALSE),IF(D83="2 3D",(((F83)*(G83)))*VLOOKUP("Dibond",#REF!,2,FALSE),""))</f>
        <v>#REF!</v>
      </c>
      <c r="AF83" s="91" t="e">
        <f>IF(D83="2 3D",F83*G83*VLOOKUP("3D ink",#REF!,2,FALSE),IF(D83="3 Canv",F83*G83*VLOOKUP("Canvas ink",#REF!,2,FALSE),""))</f>
        <v>#REF!</v>
      </c>
      <c r="AG83" s="91" t="e">
        <f>IF(D83="3 Canv",IF(E83="Roll","",ROUNDUP((SUM(F83:G83)*2)/3,"")*VLOOKUP("Staples",#REF!,2,FALSE)),"")</f>
        <v>#VALUE!</v>
      </c>
      <c r="AH83" s="91" t="e">
        <f>IF(AF83="","",(SUM(F83:G83)*2)*VLOOKUP(E83,#REF!,2,FALSE))</f>
        <v>#REF!</v>
      </c>
      <c r="AI83" s="18">
        <f t="shared" si="27"/>
        <v>16</v>
      </c>
      <c r="AJ83" s="91" t="e">
        <f>IF(AI83="","",AI83*VLOOKUP("Staples",#REF!,2,FALSE))</f>
        <v>#REF!</v>
      </c>
      <c r="AK83" s="18" t="e">
        <f t="shared" si="28"/>
        <v>#REF!</v>
      </c>
      <c r="AL83" s="91" t="e">
        <f>IF(AK83="","",AK83*VLOOKUP("Frame screw",#REF!,2,FALSE))</f>
        <v>#REF!</v>
      </c>
      <c r="AM83" s="18" t="e">
        <f t="shared" si="29"/>
        <v>#REF!</v>
      </c>
      <c r="AN83" s="91" t="e">
        <f>IF(AM83="","",AM83*VLOOKUP("D ring",#REF!,2,FALSE))</f>
        <v>#REF!</v>
      </c>
      <c r="AO83" s="18" t="e">
        <f t="shared" si="30"/>
        <v>#REF!</v>
      </c>
      <c r="AP83" s="91" t="e">
        <f>IF(AO83="","",IF(G83&gt;59,AO83* VLOOKUP("8 wire",#REF!,2,FALSE)*2,IF(G83&gt;39,AO83* VLOOKUP("8 wire",#REF!,2,FALSE),AO83* VLOOKUP("6 wire",#REF!,2,FALSE))))</f>
        <v>#REF!</v>
      </c>
      <c r="AQ83" s="18">
        <f t="shared" si="31"/>
        <v>4</v>
      </c>
      <c r="AR83" s="18" t="e">
        <f>IF(AQ83="","",AQ83*VLOOKUP("Pads",#REF!,2,FALSE))</f>
        <v>#REF!</v>
      </c>
      <c r="AS83" s="18">
        <f t="shared" si="32"/>
        <v>1</v>
      </c>
      <c r="AT83" s="91" t="e">
        <f>IF(AS83="","",AS83*VLOOKUP("4 mil bag",#REF!,2,FALSE))</f>
        <v>#REF!</v>
      </c>
      <c r="AU83" s="91" t="e">
        <f>IF(X83="","",IF(I83="N/A","",IF(I83="CNC",IF(G83&gt;37,20,10),VLOOKUP(I83,#REF!,2,FALSE))))</f>
        <v>#REF!</v>
      </c>
      <c r="AV83" s="18" t="str">
        <f>IF(X83="","",IF(I83="CNC",VLOOKUP("Glue stick",#REF!,2,FALSE),""))</f>
        <v/>
      </c>
      <c r="AW83" s="18" t="str">
        <f>IF(X83="","",IF(I83="CNC",16*VLOOKUP("Box staples",#REF!,2,FALSE),""))</f>
        <v/>
      </c>
      <c r="AX83" s="91" t="e">
        <f>IF(X83="","",IF(I83="CNC",((((G83+6)+(F83+6))*2)+24)*VLOOKUP("sealing tape",#REF!,2,FALSE),VLOOKUP("Strapping tape",#REF!,2,FALSE)))</f>
        <v>#REF!</v>
      </c>
      <c r="AY83" s="17"/>
      <c r="AZ83" s="17"/>
      <c r="BA83" s="17"/>
      <c r="BB83" s="17"/>
      <c r="BC83" s="96"/>
      <c r="BD83" s="96"/>
      <c r="BE83" s="96"/>
      <c r="BF83" s="96"/>
      <c r="BG83" s="96"/>
      <c r="BH83" s="96"/>
      <c r="BI83" s="96"/>
    </row>
    <row r="84" spans="1:61" x14ac:dyDescent="0.45">
      <c r="A84" s="103" t="s">
        <v>997</v>
      </c>
      <c r="B84" s="17" t="s">
        <v>1148</v>
      </c>
      <c r="C84" s="16">
        <v>44568</v>
      </c>
      <c r="D84" s="17" t="s">
        <v>66</v>
      </c>
      <c r="E84" s="15" t="s">
        <v>50</v>
      </c>
      <c r="F84" s="17">
        <v>27</v>
      </c>
      <c r="G84" s="17">
        <v>49</v>
      </c>
      <c r="H84" s="3" t="s">
        <v>43</v>
      </c>
      <c r="I84" s="88" t="s">
        <v>553</v>
      </c>
      <c r="J84" s="87">
        <v>44588</v>
      </c>
      <c r="K84" s="15">
        <v>606.9</v>
      </c>
      <c r="L84" s="96">
        <v>40</v>
      </c>
      <c r="M84" s="89">
        <v>128.31</v>
      </c>
      <c r="N84" s="88">
        <v>19</v>
      </c>
      <c r="O84" s="413" t="str">
        <f t="shared" si="1"/>
        <v>27 x 49</v>
      </c>
      <c r="P84" s="18" t="str">
        <f t="shared" si="2"/>
        <v>27 x 49</v>
      </c>
      <c r="Q84" s="91">
        <f t="shared" si="3"/>
        <v>15.77</v>
      </c>
      <c r="R84" s="18" t="str">
        <f t="shared" si="4"/>
        <v>53 x 48 x 6</v>
      </c>
      <c r="S84" s="18">
        <v>53</v>
      </c>
      <c r="T84" s="18">
        <v>48</v>
      </c>
      <c r="U84" s="18">
        <v>6</v>
      </c>
      <c r="V84" s="18">
        <f t="shared" si="47"/>
        <v>163</v>
      </c>
      <c r="W84" s="287">
        <f t="shared" si="21"/>
        <v>3.2077499999999999</v>
      </c>
      <c r="X84" s="287" t="str">
        <f t="shared" si="22"/>
        <v>Yes</v>
      </c>
      <c r="Y84" s="93" t="e">
        <f t="shared" si="23"/>
        <v>#REF!</v>
      </c>
      <c r="Z84" s="288" t="e">
        <f t="shared" si="24"/>
        <v>#REF!</v>
      </c>
      <c r="AA84" s="94" t="e">
        <f t="shared" si="25"/>
        <v>#REF!</v>
      </c>
      <c r="AB84" s="288" t="e">
        <f t="shared" si="26"/>
        <v>#REF!</v>
      </c>
      <c r="AC84" s="91" t="e">
        <f>IF(X84="","",IF(D84="2 3D",((F84-0.5)*2+(G84-0.5)*2)*VLOOKUP("3D base",#REF!,2,FALSE),IF(D84="3 Canv", IF(E84="Roll",0,ROUND(SUM(F84:G84)*2,0)),0)*VLOOKUP("Stretcher Bar",#REF!,2,FALSE)))</f>
        <v>#REF!</v>
      </c>
      <c r="AD84" s="91" t="e">
        <f>IF(X84="","",IF(E84="Roll",0,IF(D84="2 3D",(SUM(F84:G84)*2)*VLOOKUP("3D epoxy",#REF!,2,FALSE),IF(D84="3 Canv",VLOOKUP("Wood glue",#REF!,2,FALSE),""))))</f>
        <v>#REF!</v>
      </c>
      <c r="AE84" s="91" t="e">
        <f>IF(D84="3 Canv",(((F84+5)*(G84+5)))*VLOOKUP("Canvas",#REF!,2,FALSE),IF(D84="2 3D",(((F84)*(G84)))*VLOOKUP("Dibond",#REF!,2,FALSE),""))</f>
        <v>#REF!</v>
      </c>
      <c r="AF84" s="91" t="e">
        <f>IF(D84="2 3D",F84*G84*VLOOKUP("3D ink",#REF!,2,FALSE),IF(D84="3 Canv",F84*G84*VLOOKUP("Canvas ink",#REF!,2,FALSE),""))</f>
        <v>#REF!</v>
      </c>
      <c r="AG84" s="91" t="e">
        <f>IF(D84="3 Canv",IF(E84="Roll","",ROUNDUP((SUM(F84:G84)*2)/3,"")*VLOOKUP("Staples",#REF!,2,FALSE)),"")</f>
        <v>#VALUE!</v>
      </c>
      <c r="AH84" s="91" t="e">
        <f>IF(AF84="","",(SUM(F84:G84)*2)*VLOOKUP(E84,#REF!,2,FALSE))</f>
        <v>#REF!</v>
      </c>
      <c r="AI84" s="18">
        <f t="shared" si="27"/>
        <v>16</v>
      </c>
      <c r="AJ84" s="91" t="e">
        <f>IF(AI84="","",AI84*VLOOKUP("Staples",#REF!,2,FALSE))</f>
        <v>#REF!</v>
      </c>
      <c r="AK84" s="18" t="e">
        <f t="shared" si="28"/>
        <v>#REF!</v>
      </c>
      <c r="AL84" s="91" t="e">
        <f>IF(AK84="","",AK84*VLOOKUP("Frame screw",#REF!,2,FALSE))</f>
        <v>#REF!</v>
      </c>
      <c r="AM84" s="18" t="e">
        <f t="shared" si="29"/>
        <v>#REF!</v>
      </c>
      <c r="AN84" s="91" t="e">
        <f>IF(AM84="","",AM84*VLOOKUP("D ring",#REF!,2,FALSE))</f>
        <v>#REF!</v>
      </c>
      <c r="AO84" s="18" t="e">
        <f t="shared" si="30"/>
        <v>#REF!</v>
      </c>
      <c r="AP84" s="91" t="e">
        <f>IF(AO84="","",IF(G84&gt;59,AO84* VLOOKUP("8 wire",#REF!,2,FALSE)*2,IF(G84&gt;39,AO84* VLOOKUP("8 wire",#REF!,2,FALSE),AO84* VLOOKUP("6 wire",#REF!,2,FALSE))))</f>
        <v>#REF!</v>
      </c>
      <c r="AQ84" s="18">
        <f t="shared" si="31"/>
        <v>4</v>
      </c>
      <c r="AR84" s="18" t="e">
        <f>IF(AQ84="","",AQ84*VLOOKUP("Pads",#REF!,2,FALSE))</f>
        <v>#REF!</v>
      </c>
      <c r="AS84" s="18">
        <f t="shared" si="32"/>
        <v>1</v>
      </c>
      <c r="AT84" s="91" t="e">
        <f>IF(AS84="","",AS84*VLOOKUP("4 mil bag",#REF!,2,FALSE))</f>
        <v>#REF!</v>
      </c>
      <c r="AU84" s="91" t="e">
        <f>IF(X84="","",IF(I84="N/A","",IF(I84="CNC",IF(G84&gt;37,20,10),VLOOKUP(I84,#REF!,2,FALSE))))</f>
        <v>#REF!</v>
      </c>
      <c r="AV84" s="18" t="str">
        <f>IF(X84="","",IF(I84="CNC",VLOOKUP("Glue stick",#REF!,2,FALSE),""))</f>
        <v/>
      </c>
      <c r="AW84" s="18" t="str">
        <f>IF(X84="","",IF(I84="CNC",16*VLOOKUP("Box staples",#REF!,2,FALSE),""))</f>
        <v/>
      </c>
      <c r="AX84" s="91" t="e">
        <f>IF(X84="","",IF(I84="CNC",((((G84+6)+(F84+6))*2)+24)*VLOOKUP("sealing tape",#REF!,2,FALSE),VLOOKUP("Strapping tape",#REF!,2,FALSE)))</f>
        <v>#REF!</v>
      </c>
      <c r="AY84" s="17"/>
      <c r="AZ84" s="17"/>
      <c r="BA84" s="17"/>
      <c r="BB84" s="17"/>
      <c r="BC84" s="96"/>
      <c r="BD84" s="96"/>
      <c r="BE84" s="96"/>
      <c r="BF84" s="96"/>
      <c r="BG84" s="96"/>
      <c r="BH84" s="96"/>
      <c r="BI84" s="96"/>
    </row>
    <row r="85" spans="1:61" x14ac:dyDescent="0.45">
      <c r="A85" s="103" t="s">
        <v>1107</v>
      </c>
      <c r="B85" s="17" t="s">
        <v>1059</v>
      </c>
      <c r="C85" s="16">
        <v>44559</v>
      </c>
      <c r="D85" s="17" t="s">
        <v>54</v>
      </c>
      <c r="E85" s="15" t="s">
        <v>37</v>
      </c>
      <c r="F85" s="17">
        <v>16</v>
      </c>
      <c r="G85" s="17">
        <v>20</v>
      </c>
      <c r="H85" s="3" t="s">
        <v>43</v>
      </c>
      <c r="I85" s="88" t="s">
        <v>568</v>
      </c>
      <c r="J85" s="87">
        <v>44588</v>
      </c>
      <c r="K85" s="15">
        <v>1200</v>
      </c>
      <c r="L85" s="96">
        <v>0</v>
      </c>
      <c r="M85" s="89">
        <v>26.73</v>
      </c>
      <c r="N85" s="88">
        <v>11</v>
      </c>
      <c r="O85" s="413" t="str">
        <f t="shared" si="1"/>
        <v>16 x 20</v>
      </c>
      <c r="P85" s="18" t="str">
        <f t="shared" si="2"/>
        <v>18 x 22</v>
      </c>
      <c r="Q85" s="91">
        <f t="shared" si="3"/>
        <v>112</v>
      </c>
      <c r="R85" s="18" t="str">
        <f t="shared" si="4"/>
        <v>29 x 23 x 5</v>
      </c>
      <c r="S85" s="18">
        <v>29</v>
      </c>
      <c r="T85" s="18">
        <v>23</v>
      </c>
      <c r="U85" s="18">
        <v>5</v>
      </c>
      <c r="V85" s="90">
        <f t="shared" si="47"/>
        <v>85</v>
      </c>
      <c r="W85" s="287" t="str">
        <f t="shared" si="21"/>
        <v/>
      </c>
      <c r="X85" s="287" t="str">
        <f t="shared" si="22"/>
        <v>Yes</v>
      </c>
      <c r="Y85" s="93" t="e">
        <f t="shared" si="23"/>
        <v>#REF!</v>
      </c>
      <c r="Z85" s="288" t="e">
        <f t="shared" si="24"/>
        <v>#REF!</v>
      </c>
      <c r="AA85" s="94" t="e">
        <f t="shared" si="25"/>
        <v>#REF!</v>
      </c>
      <c r="AB85" s="288" t="e">
        <f t="shared" si="26"/>
        <v>#REF!</v>
      </c>
      <c r="AC85" s="91" t="e">
        <f>IF(X85="","",IF(D85="2 3D",((F85-0.5)*2+(G85-0.5)*2)*VLOOKUP("3D base",#REF!,2,FALSE),IF(D85="3 Canv", IF(E85="Roll",0,ROUND(SUM(F85:G85)*2,0)),0)*VLOOKUP("Stretcher Bar",#REF!,2,FALSE)))</f>
        <v>#REF!</v>
      </c>
      <c r="AD85" s="91" t="e">
        <f>IF(X85="","",IF(E85="Roll",0,IF(D85="2 3D",(SUM(F85:G85)*2)*VLOOKUP("3D epoxy",#REF!,2,FALSE),IF(D85="3 Canv",VLOOKUP("Wood glue",#REF!,2,FALSE),""))))</f>
        <v>#REF!</v>
      </c>
      <c r="AE85" s="91" t="e">
        <f>IF(D85="3 Canv",(((F85+5)*(G85+5)))*VLOOKUP("Canvas",#REF!,2,FALSE),IF(D85="2 3D",(((F85)*(G85)))*VLOOKUP("Dibond",#REF!,2,FALSE),""))</f>
        <v>#REF!</v>
      </c>
      <c r="AF85" s="91" t="e">
        <f>IF(D85="2 3D",F85*G85*VLOOKUP("3D ink",#REF!,2,FALSE),IF(D85="3 Canv",F85*G85*VLOOKUP("Canvas ink",#REF!,2,FALSE),""))</f>
        <v>#REF!</v>
      </c>
      <c r="AG85" s="91" t="str">
        <f>IF(D85="3 Canv",IF(E85="Roll","",ROUNDUP((SUM(F85:G85)*2)/3,"")*VLOOKUP("Staples",#REF!,2,FALSE)),"")</f>
        <v/>
      </c>
      <c r="AH85" s="91" t="e">
        <f>IF(AF85="","",(SUM(F85:G85)*2)*VLOOKUP(E85,#REF!,2,FALSE))</f>
        <v>#REF!</v>
      </c>
      <c r="AI85" s="18">
        <f t="shared" si="27"/>
        <v>44</v>
      </c>
      <c r="AJ85" s="91" t="e">
        <f>IF(AI85="","",AI85*VLOOKUP("Staples",#REF!,2,FALSE))</f>
        <v>#REF!</v>
      </c>
      <c r="AK85" s="18" t="e">
        <f t="shared" si="28"/>
        <v>#REF!</v>
      </c>
      <c r="AL85" s="91" t="e">
        <f>IF(AK85="","",AK85*VLOOKUP("Frame screw",#REF!,2,FALSE))</f>
        <v>#REF!</v>
      </c>
      <c r="AM85" s="18" t="e">
        <f t="shared" si="29"/>
        <v>#REF!</v>
      </c>
      <c r="AN85" s="91" t="e">
        <f>IF(AM85="","",AM85*VLOOKUP("D ring",#REF!,2,FALSE))</f>
        <v>#REF!</v>
      </c>
      <c r="AO85" s="18" t="e">
        <f t="shared" si="30"/>
        <v>#REF!</v>
      </c>
      <c r="AP85" s="91" t="e">
        <f>IF(AO85="","",IF(G85&gt;59,AO85* VLOOKUP("8 wire",#REF!,2,FALSE)*2,IF(G85&gt;39,AO85* VLOOKUP("8 wire",#REF!,2,FALSE),AO85* VLOOKUP("6 wire",#REF!,2,FALSE))))</f>
        <v>#REF!</v>
      </c>
      <c r="AQ85" s="18">
        <f t="shared" si="31"/>
        <v>4</v>
      </c>
      <c r="AR85" s="18" t="e">
        <f>IF(AQ85="","",AQ85*VLOOKUP("Pads",#REF!,2,FALSE))</f>
        <v>#REF!</v>
      </c>
      <c r="AS85" s="18">
        <f t="shared" si="32"/>
        <v>1</v>
      </c>
      <c r="AT85" s="91" t="e">
        <f>IF(AS85="","",AS85*VLOOKUP("4 mil bag",#REF!,2,FALSE))</f>
        <v>#REF!</v>
      </c>
      <c r="AU85" s="91" t="e">
        <f>IF(X85="","",IF(I85="N/A","",IF(I85="CNC",IF(G85&gt;37,20,10),VLOOKUP(I85,#REF!,2,FALSE))))</f>
        <v>#REF!</v>
      </c>
      <c r="AV85" s="18" t="str">
        <f>IF(X85="","",IF(I85="CNC",VLOOKUP("Glue stick",#REF!,2,FALSE),""))</f>
        <v/>
      </c>
      <c r="AW85" s="18" t="str">
        <f>IF(X85="","",IF(I85="CNC",16*VLOOKUP("Box staples",#REF!,2,FALSE),""))</f>
        <v/>
      </c>
      <c r="AX85" s="91" t="e">
        <f>IF(X85="","",IF(I85="CNC",((((G85+6)+(F85+6))*2)+24)*VLOOKUP("sealing tape",#REF!,2,FALSE),VLOOKUP("Strapping tape",#REF!,2,FALSE)))</f>
        <v>#REF!</v>
      </c>
      <c r="AY85" s="17"/>
      <c r="AZ85" s="17"/>
      <c r="BA85" s="17"/>
      <c r="BB85" s="17"/>
      <c r="BC85" s="96"/>
      <c r="BD85" s="96"/>
      <c r="BE85" s="96"/>
      <c r="BF85" s="96"/>
      <c r="BG85" s="96"/>
      <c r="BH85" s="96"/>
      <c r="BI85" s="96"/>
    </row>
    <row r="86" spans="1:61" x14ac:dyDescent="0.45">
      <c r="A86" s="103" t="s">
        <v>482</v>
      </c>
      <c r="B86" s="17" t="s">
        <v>1149</v>
      </c>
      <c r="C86" s="16">
        <v>44571</v>
      </c>
      <c r="D86" s="17" t="s">
        <v>54</v>
      </c>
      <c r="E86" s="15" t="s">
        <v>690</v>
      </c>
      <c r="F86" s="17">
        <v>20</v>
      </c>
      <c r="G86" s="17">
        <v>30</v>
      </c>
      <c r="H86" s="3" t="s">
        <v>43</v>
      </c>
      <c r="I86" s="88" t="s">
        <v>480</v>
      </c>
      <c r="J86" s="87">
        <v>44588</v>
      </c>
      <c r="K86" s="15">
        <v>1530</v>
      </c>
      <c r="L86" s="96">
        <v>80</v>
      </c>
      <c r="M86" s="89">
        <v>33.17</v>
      </c>
      <c r="N86" s="88">
        <v>20</v>
      </c>
      <c r="O86" s="413" t="str">
        <f t="shared" si="1"/>
        <v>20 x 30</v>
      </c>
      <c r="P86" s="18" t="str">
        <f t="shared" si="2"/>
        <v>22 x 32</v>
      </c>
      <c r="Q86" s="91">
        <f t="shared" si="3"/>
        <v>150</v>
      </c>
      <c r="R86" s="18" t="str">
        <f t="shared" si="4"/>
        <v>44 x 35 x 5</v>
      </c>
      <c r="S86" s="18">
        <v>44</v>
      </c>
      <c r="T86" s="18">
        <v>35</v>
      </c>
      <c r="U86" s="18">
        <v>5</v>
      </c>
      <c r="V86" s="90">
        <f t="shared" si="47"/>
        <v>124</v>
      </c>
      <c r="W86" s="287">
        <f t="shared" si="21"/>
        <v>0.41462500000000002</v>
      </c>
      <c r="X86" s="287" t="str">
        <f t="shared" si="22"/>
        <v>Yes</v>
      </c>
      <c r="Y86" s="93" t="e">
        <f t="shared" si="23"/>
        <v>#REF!</v>
      </c>
      <c r="Z86" s="288" t="e">
        <f t="shared" si="24"/>
        <v>#REF!</v>
      </c>
      <c r="AA86" s="94" t="e">
        <f t="shared" si="25"/>
        <v>#REF!</v>
      </c>
      <c r="AB86" s="288" t="e">
        <f t="shared" si="26"/>
        <v>#REF!</v>
      </c>
      <c r="AC86" s="91" t="e">
        <f>IF(X86="","",IF(D86="2 3D",((F86-0.5)*2+(G86-0.5)*2)*VLOOKUP("3D base",#REF!,2,FALSE),IF(D86="3 Canv", IF(E86="Roll",0,ROUND(SUM(F86:G86)*2,0)),0)*VLOOKUP("Stretcher Bar",#REF!,2,FALSE)))</f>
        <v>#REF!</v>
      </c>
      <c r="AD86" s="91" t="e">
        <f>IF(X86="","",IF(E86="Roll",0,IF(D86="2 3D",(SUM(F86:G86)*2)*VLOOKUP("3D epoxy",#REF!,2,FALSE),IF(D86="3 Canv",VLOOKUP("Wood glue",#REF!,2,FALSE),""))))</f>
        <v>#REF!</v>
      </c>
      <c r="AE86" s="91" t="e">
        <f>IF(D86="3 Canv",(((F86+5)*(G86+5)))*VLOOKUP("Canvas",#REF!,2,FALSE),IF(D86="2 3D",(((F86)*(G86)))*VLOOKUP("Dibond",#REF!,2,FALSE),""))</f>
        <v>#REF!</v>
      </c>
      <c r="AF86" s="91" t="e">
        <f>IF(D86="2 3D",F86*G86*VLOOKUP("3D ink",#REF!,2,FALSE),IF(D86="3 Canv",F86*G86*VLOOKUP("Canvas ink",#REF!,2,FALSE),""))</f>
        <v>#REF!</v>
      </c>
      <c r="AG86" s="91" t="str">
        <f>IF(D86="3 Canv",IF(E86="Roll","",ROUNDUP((SUM(F86:G86)*2)/3,"")*VLOOKUP("Staples",#REF!,2,FALSE)),"")</f>
        <v/>
      </c>
      <c r="AH86" s="91" t="e">
        <f>IF(AF86="","",(SUM(F86:G86)*2)*VLOOKUP(E86,#REF!,2,FALSE))</f>
        <v>#REF!</v>
      </c>
      <c r="AI86" s="18">
        <f t="shared" si="27"/>
        <v>44</v>
      </c>
      <c r="AJ86" s="91" t="e">
        <f>IF(AI86="","",AI86*VLOOKUP("Staples",#REF!,2,FALSE))</f>
        <v>#REF!</v>
      </c>
      <c r="AK86" s="18" t="e">
        <f t="shared" si="28"/>
        <v>#REF!</v>
      </c>
      <c r="AL86" s="91" t="e">
        <f>IF(AK86="","",AK86*VLOOKUP("Frame screw",#REF!,2,FALSE))</f>
        <v>#REF!</v>
      </c>
      <c r="AM86" s="18" t="e">
        <f t="shared" si="29"/>
        <v>#REF!</v>
      </c>
      <c r="AN86" s="91" t="e">
        <f>IF(AM86="","",AM86*VLOOKUP("D ring",#REF!,2,FALSE))</f>
        <v>#REF!</v>
      </c>
      <c r="AO86" s="18" t="e">
        <f t="shared" si="30"/>
        <v>#REF!</v>
      </c>
      <c r="AP86" s="91" t="e">
        <f>IF(AO86="","",IF(G86&gt;59,AO86* VLOOKUP("8 wire",#REF!,2,FALSE)*2,IF(G86&gt;39,AO86* VLOOKUP("8 wire",#REF!,2,FALSE),AO86* VLOOKUP("6 wire",#REF!,2,FALSE))))</f>
        <v>#REF!</v>
      </c>
      <c r="AQ86" s="18">
        <f t="shared" si="31"/>
        <v>4</v>
      </c>
      <c r="AR86" s="18" t="e">
        <f>IF(AQ86="","",AQ86*VLOOKUP("Pads",#REF!,2,FALSE))</f>
        <v>#REF!</v>
      </c>
      <c r="AS86" s="18">
        <f t="shared" si="32"/>
        <v>1</v>
      </c>
      <c r="AT86" s="91" t="e">
        <f>IF(AS86="","",AS86*VLOOKUP("4 mil bag",#REF!,2,FALSE))</f>
        <v>#REF!</v>
      </c>
      <c r="AU86" s="91" t="e">
        <f>IF(X86="","",IF(I86="N/A","",IF(I86="CNC",IF(G86&gt;37,20,10),VLOOKUP(I86,#REF!,2,FALSE))))</f>
        <v>#REF!</v>
      </c>
      <c r="AV86" s="18" t="str">
        <f>IF(X86="","",IF(I86="CNC",VLOOKUP("Glue stick",#REF!,2,FALSE),""))</f>
        <v/>
      </c>
      <c r="AW86" s="18" t="str">
        <f>IF(X86="","",IF(I86="CNC",16*VLOOKUP("Box staples",#REF!,2,FALSE),""))</f>
        <v/>
      </c>
      <c r="AX86" s="91" t="e">
        <f>IF(X86="","",IF(I86="CNC",((((G86+6)+(F86+6))*2)+24)*VLOOKUP("sealing tape",#REF!,2,FALSE),VLOOKUP("Strapping tape",#REF!,2,FALSE)))</f>
        <v>#REF!</v>
      </c>
      <c r="AY86" s="17"/>
      <c r="AZ86" s="17"/>
      <c r="BA86" s="17"/>
      <c r="BB86" s="17"/>
      <c r="BC86" s="96"/>
      <c r="BD86" s="96"/>
      <c r="BE86" s="96"/>
      <c r="BF86" s="96"/>
      <c r="BG86" s="96"/>
      <c r="BH86" s="96"/>
      <c r="BI86" s="96"/>
    </row>
    <row r="87" spans="1:61" x14ac:dyDescent="0.45">
      <c r="A87" s="103" t="s">
        <v>471</v>
      </c>
      <c r="B87" s="17" t="s">
        <v>1150</v>
      </c>
      <c r="C87" s="16">
        <v>44569</v>
      </c>
      <c r="D87" s="17" t="s">
        <v>66</v>
      </c>
      <c r="E87" s="15" t="s">
        <v>50</v>
      </c>
      <c r="F87" s="17">
        <v>25</v>
      </c>
      <c r="G87" s="17">
        <v>38</v>
      </c>
      <c r="H87" s="3" t="s">
        <v>43</v>
      </c>
      <c r="I87" s="88" t="s">
        <v>600</v>
      </c>
      <c r="J87" s="87">
        <v>44588</v>
      </c>
      <c r="K87" s="15">
        <v>483.65</v>
      </c>
      <c r="L87" s="96">
        <v>30</v>
      </c>
      <c r="M87" s="89">
        <v>22.43</v>
      </c>
      <c r="N87" s="88">
        <v>15</v>
      </c>
      <c r="O87" s="413" t="str">
        <f t="shared" si="1"/>
        <v>25 x 38</v>
      </c>
      <c r="P87" s="18" t="str">
        <f t="shared" si="2"/>
        <v>25 x 38</v>
      </c>
      <c r="Q87" s="91">
        <f t="shared" si="3"/>
        <v>10.3</v>
      </c>
      <c r="R87" s="18" t="str">
        <f t="shared" si="4"/>
        <v>44 x 35 x 6</v>
      </c>
      <c r="S87" s="18">
        <v>44</v>
      </c>
      <c r="T87" s="18">
        <v>35</v>
      </c>
      <c r="U87" s="18">
        <v>6</v>
      </c>
      <c r="V87" s="90">
        <f t="shared" si="47"/>
        <v>126</v>
      </c>
      <c r="W87" s="287">
        <f t="shared" si="21"/>
        <v>0.7476666666666667</v>
      </c>
      <c r="X87" s="287" t="str">
        <f t="shared" si="22"/>
        <v>Yes</v>
      </c>
      <c r="Y87" s="93" t="e">
        <f t="shared" si="23"/>
        <v>#REF!</v>
      </c>
      <c r="Z87" s="288" t="e">
        <f t="shared" si="24"/>
        <v>#REF!</v>
      </c>
      <c r="AA87" s="94" t="e">
        <f t="shared" si="25"/>
        <v>#REF!</v>
      </c>
      <c r="AB87" s="288" t="e">
        <f t="shared" si="26"/>
        <v>#REF!</v>
      </c>
      <c r="AC87" s="91" t="e">
        <f>IF(X87="","",IF(D87="2 3D",((F87-0.5)*2+(G87-0.5)*2)*VLOOKUP("3D base",#REF!,2,FALSE),IF(D87="3 Canv", IF(E87="Roll",0,ROUND(SUM(F87:G87)*2,0)),0)*VLOOKUP("Stretcher Bar",#REF!,2,FALSE)))</f>
        <v>#REF!</v>
      </c>
      <c r="AD87" s="91" t="e">
        <f>IF(X87="","",IF(E87="Roll",0,IF(D87="2 3D",(SUM(F87:G87)*2)*VLOOKUP("3D epoxy",#REF!,2,FALSE),IF(D87="3 Canv",VLOOKUP("Wood glue",#REF!,2,FALSE),""))))</f>
        <v>#REF!</v>
      </c>
      <c r="AE87" s="91" t="e">
        <f>IF(D87="3 Canv",(((F87+5)*(G87+5)))*VLOOKUP("Canvas",#REF!,2,FALSE),IF(D87="2 3D",(((F87)*(G87)))*VLOOKUP("Dibond",#REF!,2,FALSE),""))</f>
        <v>#REF!</v>
      </c>
      <c r="AF87" s="91" t="e">
        <f>IF(D87="2 3D",F87*G87*VLOOKUP("3D ink",#REF!,2,FALSE),IF(D87="3 Canv",F87*G87*VLOOKUP("Canvas ink",#REF!,2,FALSE),""))</f>
        <v>#REF!</v>
      </c>
      <c r="AG87" s="91" t="e">
        <f>IF(D87="3 Canv",IF(E87="Roll","",ROUNDUP((SUM(F87:G87)*2)/3,"")*VLOOKUP("Staples",#REF!,2,FALSE)),"")</f>
        <v>#VALUE!</v>
      </c>
      <c r="AH87" s="91" t="e">
        <f>IF(AF87="","",(SUM(F87:G87)*2)*VLOOKUP(E87,#REF!,2,FALSE))</f>
        <v>#REF!</v>
      </c>
      <c r="AI87" s="18">
        <f t="shared" si="27"/>
        <v>16</v>
      </c>
      <c r="AJ87" s="91" t="e">
        <f>IF(AI87="","",AI87*VLOOKUP("Staples",#REF!,2,FALSE))</f>
        <v>#REF!</v>
      </c>
      <c r="AK87" s="18" t="e">
        <f t="shared" si="28"/>
        <v>#REF!</v>
      </c>
      <c r="AL87" s="91" t="e">
        <f>IF(AK87="","",AK87*VLOOKUP("Frame screw",#REF!,2,FALSE))</f>
        <v>#REF!</v>
      </c>
      <c r="AM87" s="18" t="e">
        <f t="shared" si="29"/>
        <v>#REF!</v>
      </c>
      <c r="AN87" s="91" t="e">
        <f>IF(AM87="","",AM87*VLOOKUP("D ring",#REF!,2,FALSE))</f>
        <v>#REF!</v>
      </c>
      <c r="AO87" s="18" t="e">
        <f t="shared" si="30"/>
        <v>#REF!</v>
      </c>
      <c r="AP87" s="91" t="e">
        <f>IF(AO87="","",IF(G87&gt;59,AO87* VLOOKUP("8 wire",#REF!,2,FALSE)*2,IF(G87&gt;39,AO87* VLOOKUP("8 wire",#REF!,2,FALSE),AO87* VLOOKUP("6 wire",#REF!,2,FALSE))))</f>
        <v>#REF!</v>
      </c>
      <c r="AQ87" s="18">
        <f t="shared" si="31"/>
        <v>4</v>
      </c>
      <c r="AR87" s="18" t="e">
        <f>IF(AQ87="","",AQ87*VLOOKUP("Pads",#REF!,2,FALSE))</f>
        <v>#REF!</v>
      </c>
      <c r="AS87" s="18">
        <f t="shared" si="32"/>
        <v>1</v>
      </c>
      <c r="AT87" s="91" t="e">
        <f>IF(AS87="","",AS87*VLOOKUP("4 mil bag",#REF!,2,FALSE))</f>
        <v>#REF!</v>
      </c>
      <c r="AU87" s="91" t="e">
        <f>IF(X87="","",IF(I87="N/A","",IF(I87="CNC",IF(G87&gt;37,20,10),VLOOKUP(I87,#REF!,2,FALSE))))</f>
        <v>#REF!</v>
      </c>
      <c r="AV87" s="18" t="str">
        <f>IF(X87="","",IF(I87="CNC",VLOOKUP("Glue stick",#REF!,2,FALSE),""))</f>
        <v/>
      </c>
      <c r="AW87" s="18" t="str">
        <f>IF(X87="","",IF(I87="CNC",16*VLOOKUP("Box staples",#REF!,2,FALSE),""))</f>
        <v/>
      </c>
      <c r="AX87" s="91" t="e">
        <f>IF(X87="","",IF(I87="CNC",((((G87+6)+(F87+6))*2)+24)*VLOOKUP("sealing tape",#REF!,2,FALSE),VLOOKUP("Strapping tape",#REF!,2,FALSE)))</f>
        <v>#REF!</v>
      </c>
      <c r="AY87" s="17"/>
      <c r="AZ87" s="17"/>
      <c r="BA87" s="17"/>
      <c r="BB87" s="17"/>
      <c r="BC87" s="96"/>
      <c r="BD87" s="96"/>
      <c r="BE87" s="96"/>
      <c r="BF87" s="96"/>
      <c r="BG87" s="96"/>
      <c r="BH87" s="96"/>
      <c r="BI87" s="96"/>
    </row>
    <row r="88" spans="1:61" x14ac:dyDescent="0.45">
      <c r="A88" s="103" t="s">
        <v>1151</v>
      </c>
      <c r="B88" s="17" t="s">
        <v>1146</v>
      </c>
      <c r="C88" s="16">
        <v>44570</v>
      </c>
      <c r="D88" s="17" t="s">
        <v>66</v>
      </c>
      <c r="E88" s="15" t="s">
        <v>50</v>
      </c>
      <c r="F88" s="17">
        <v>31</v>
      </c>
      <c r="G88" s="17">
        <v>39</v>
      </c>
      <c r="H88" s="3" t="s">
        <v>43</v>
      </c>
      <c r="I88" s="88" t="s">
        <v>600</v>
      </c>
      <c r="J88" s="87">
        <v>44588</v>
      </c>
      <c r="K88" s="15">
        <v>567.79999999999995</v>
      </c>
      <c r="L88" s="96">
        <f>85.2</f>
        <v>85.2</v>
      </c>
      <c r="M88" s="89">
        <v>40.090000000000003</v>
      </c>
      <c r="N88" s="88">
        <v>16</v>
      </c>
      <c r="O88" s="413" t="str">
        <f t="shared" si="1"/>
        <v>31 x 39</v>
      </c>
      <c r="P88" s="18" t="str">
        <f t="shared" si="2"/>
        <v>31 x 39</v>
      </c>
      <c r="Q88" s="91">
        <f t="shared" si="3"/>
        <v>10.3</v>
      </c>
      <c r="R88" s="18" t="str">
        <f t="shared" si="4"/>
        <v>44 x 35 x 6</v>
      </c>
      <c r="S88" s="18">
        <v>44</v>
      </c>
      <c r="T88" s="18">
        <v>35</v>
      </c>
      <c r="U88" s="18">
        <v>6</v>
      </c>
      <c r="V88" s="90">
        <f t="shared" si="47"/>
        <v>126</v>
      </c>
      <c r="W88" s="287">
        <f t="shared" si="21"/>
        <v>0.47053990610328639</v>
      </c>
      <c r="X88" s="287" t="str">
        <f t="shared" si="22"/>
        <v>Yes</v>
      </c>
      <c r="Y88" s="93" t="e">
        <f t="shared" si="23"/>
        <v>#REF!</v>
      </c>
      <c r="Z88" s="288" t="e">
        <f t="shared" si="24"/>
        <v>#REF!</v>
      </c>
      <c r="AA88" s="94" t="e">
        <f t="shared" si="25"/>
        <v>#REF!</v>
      </c>
      <c r="AB88" s="288" t="e">
        <f t="shared" si="26"/>
        <v>#REF!</v>
      </c>
      <c r="AC88" s="91" t="e">
        <f>IF(X88="","",IF(D88="2 3D",((F88-0.5)*2+(G88-0.5)*2)*VLOOKUP("3D base",#REF!,2,FALSE),IF(D88="3 Canv", IF(E88="Roll",0,ROUND(SUM(F88:G88)*2,0)),0)*VLOOKUP("Stretcher Bar",#REF!,2,FALSE)))</f>
        <v>#REF!</v>
      </c>
      <c r="AD88" s="91" t="e">
        <f>IF(X88="","",IF(E88="Roll",0,IF(D88="2 3D",(SUM(F88:G88)*2)*VLOOKUP("3D epoxy",#REF!,2,FALSE),IF(D88="3 Canv",VLOOKUP("Wood glue",#REF!,2,FALSE),""))))</f>
        <v>#REF!</v>
      </c>
      <c r="AE88" s="91" t="e">
        <f>IF(D88="3 Canv",(((F88+5)*(G88+5)))*VLOOKUP("Canvas",#REF!,2,FALSE),IF(D88="2 3D",(((F88)*(G88)))*VLOOKUP("Dibond",#REF!,2,FALSE),""))</f>
        <v>#REF!</v>
      </c>
      <c r="AF88" s="91" t="e">
        <f>IF(D88="2 3D",F88*G88*VLOOKUP("3D ink",#REF!,2,FALSE),IF(D88="3 Canv",F88*G88*VLOOKUP("Canvas ink",#REF!,2,FALSE),""))</f>
        <v>#REF!</v>
      </c>
      <c r="AG88" s="91" t="e">
        <f>IF(D88="3 Canv",IF(E88="Roll","",ROUNDUP((SUM(F88:G88)*2)/3,"")*VLOOKUP("Staples",#REF!,2,FALSE)),"")</f>
        <v>#VALUE!</v>
      </c>
      <c r="AH88" s="91" t="e">
        <f>IF(AF88="","",(SUM(F88:G88)*2)*VLOOKUP(E88,#REF!,2,FALSE))</f>
        <v>#REF!</v>
      </c>
      <c r="AI88" s="18">
        <f t="shared" si="27"/>
        <v>16</v>
      </c>
      <c r="AJ88" s="91" t="e">
        <f>IF(AI88="","",AI88*VLOOKUP("Staples",#REF!,2,FALSE))</f>
        <v>#REF!</v>
      </c>
      <c r="AK88" s="18" t="e">
        <f t="shared" si="28"/>
        <v>#REF!</v>
      </c>
      <c r="AL88" s="91" t="e">
        <f>IF(AK88="","",AK88*VLOOKUP("Frame screw",#REF!,2,FALSE))</f>
        <v>#REF!</v>
      </c>
      <c r="AM88" s="18" t="e">
        <f t="shared" si="29"/>
        <v>#REF!</v>
      </c>
      <c r="AN88" s="91" t="e">
        <f>IF(AM88="","",AM88*VLOOKUP("D ring",#REF!,2,FALSE))</f>
        <v>#REF!</v>
      </c>
      <c r="AO88" s="18" t="e">
        <f t="shared" si="30"/>
        <v>#REF!</v>
      </c>
      <c r="AP88" s="91" t="e">
        <f>IF(AO88="","",IF(G88&gt;59,AO88* VLOOKUP("8 wire",#REF!,2,FALSE)*2,IF(G88&gt;39,AO88* VLOOKUP("8 wire",#REF!,2,FALSE),AO88* VLOOKUP("6 wire",#REF!,2,FALSE))))</f>
        <v>#REF!</v>
      </c>
      <c r="AQ88" s="18">
        <f t="shared" si="31"/>
        <v>4</v>
      </c>
      <c r="AR88" s="18" t="e">
        <f>IF(AQ88="","",AQ88*VLOOKUP("Pads",#REF!,2,FALSE))</f>
        <v>#REF!</v>
      </c>
      <c r="AS88" s="18">
        <f t="shared" si="32"/>
        <v>1</v>
      </c>
      <c r="AT88" s="91" t="e">
        <f>IF(AS88="","",AS88*VLOOKUP("4 mil bag",#REF!,2,FALSE))</f>
        <v>#REF!</v>
      </c>
      <c r="AU88" s="91" t="e">
        <f>IF(X88="","",IF(I88="N/A","",IF(I88="CNC",IF(G88&gt;37,20,10),VLOOKUP(I88,#REF!,2,FALSE))))</f>
        <v>#REF!</v>
      </c>
      <c r="AV88" s="18" t="str">
        <f>IF(X88="","",IF(I88="CNC",VLOOKUP("Glue stick",#REF!,2,FALSE),""))</f>
        <v/>
      </c>
      <c r="AW88" s="18" t="str">
        <f>IF(X88="","",IF(I88="CNC",16*VLOOKUP("Box staples",#REF!,2,FALSE),""))</f>
        <v/>
      </c>
      <c r="AX88" s="91" t="e">
        <f>IF(X88="","",IF(I88="CNC",((((G88+6)+(F88+6))*2)+24)*VLOOKUP("sealing tape",#REF!,2,FALSE),VLOOKUP("Strapping tape",#REF!,2,FALSE)))</f>
        <v>#REF!</v>
      </c>
      <c r="AY88" s="17"/>
      <c r="AZ88" s="17"/>
      <c r="BA88" s="17"/>
      <c r="BB88" s="17"/>
      <c r="BC88" s="96"/>
      <c r="BD88" s="96"/>
      <c r="BE88" s="96"/>
      <c r="BF88" s="96"/>
      <c r="BG88" s="96"/>
      <c r="BH88" s="96"/>
      <c r="BI88" s="96"/>
    </row>
    <row r="89" spans="1:61" x14ac:dyDescent="0.45">
      <c r="A89" s="103" t="s">
        <v>910</v>
      </c>
      <c r="B89" s="17" t="s">
        <v>1071</v>
      </c>
      <c r="C89" s="16">
        <v>44570</v>
      </c>
      <c r="D89" s="17" t="s">
        <v>66</v>
      </c>
      <c r="E89" s="15" t="s">
        <v>58</v>
      </c>
      <c r="F89" s="17">
        <v>30</v>
      </c>
      <c r="G89" s="17">
        <v>40</v>
      </c>
      <c r="H89" s="3" t="s">
        <v>43</v>
      </c>
      <c r="I89" s="88" t="s">
        <v>553</v>
      </c>
      <c r="J89" s="87">
        <v>44588</v>
      </c>
      <c r="K89" s="15">
        <v>852</v>
      </c>
      <c r="L89" s="96">
        <v>0</v>
      </c>
      <c r="M89" s="89">
        <v>46.67</v>
      </c>
      <c r="N89" s="88">
        <v>22</v>
      </c>
      <c r="O89" s="413" t="str">
        <f t="shared" si="1"/>
        <v>30 x 40</v>
      </c>
      <c r="P89" s="18" t="str">
        <f t="shared" si="2"/>
        <v>32 x 42</v>
      </c>
      <c r="Q89" s="91">
        <f t="shared" si="3"/>
        <v>15.77</v>
      </c>
      <c r="R89" s="18" t="str">
        <f t="shared" si="4"/>
        <v>48 x 38 x 6</v>
      </c>
      <c r="S89" s="18">
        <v>48</v>
      </c>
      <c r="T89" s="18">
        <v>38</v>
      </c>
      <c r="U89" s="18">
        <v>6</v>
      </c>
      <c r="V89" s="18">
        <f t="shared" si="47"/>
        <v>154</v>
      </c>
      <c r="W89" s="287" t="str">
        <f t="shared" si="21"/>
        <v/>
      </c>
      <c r="X89" s="287" t="str">
        <f t="shared" si="22"/>
        <v>Yes</v>
      </c>
      <c r="Y89" s="93" t="e">
        <f t="shared" si="23"/>
        <v>#REF!</v>
      </c>
      <c r="Z89" s="288" t="e">
        <f t="shared" si="24"/>
        <v>#REF!</v>
      </c>
      <c r="AA89" s="94" t="e">
        <f t="shared" si="25"/>
        <v>#REF!</v>
      </c>
      <c r="AB89" s="288" t="e">
        <f t="shared" si="26"/>
        <v>#REF!</v>
      </c>
      <c r="AC89" s="91" t="e">
        <f>IF(X89="","",IF(D89="2 3D",((F89-0.5)*2+(G89-0.5)*2)*VLOOKUP("3D base",#REF!,2,FALSE),IF(D89="3 Canv", IF(E89="Roll",0,ROUND(SUM(F89:G89)*2,0)),0)*VLOOKUP("Stretcher Bar",#REF!,2,FALSE)))</f>
        <v>#REF!</v>
      </c>
      <c r="AD89" s="91" t="e">
        <f>IF(X89="","",IF(E89="Roll",0,IF(D89="2 3D",(SUM(F89:G89)*2)*VLOOKUP("3D epoxy",#REF!,2,FALSE),IF(D89="3 Canv",VLOOKUP("Wood glue",#REF!,2,FALSE),""))))</f>
        <v>#REF!</v>
      </c>
      <c r="AE89" s="91" t="e">
        <f>IF(D89="3 Canv",(((F89+5)*(G89+5)))*VLOOKUP("Canvas",#REF!,2,FALSE),IF(D89="2 3D",(((F89)*(G89)))*VLOOKUP("Dibond",#REF!,2,FALSE),""))</f>
        <v>#REF!</v>
      </c>
      <c r="AF89" s="91" t="e">
        <f>IF(D89="2 3D",F89*G89*VLOOKUP("3D ink",#REF!,2,FALSE),IF(D89="3 Canv",F89*G89*VLOOKUP("Canvas ink",#REF!,2,FALSE),""))</f>
        <v>#REF!</v>
      </c>
      <c r="AG89" s="91" t="e">
        <f>IF(D89="3 Canv",IF(E89="Roll","",ROUNDUP((SUM(F89:G89)*2)/3,"")*VLOOKUP("Staples",#REF!,2,FALSE)),"")</f>
        <v>#VALUE!</v>
      </c>
      <c r="AH89" s="91" t="e">
        <f>IF(AF89="","",(SUM(F89:G89)*2)*VLOOKUP(E89,#REF!,2,FALSE))</f>
        <v>#REF!</v>
      </c>
      <c r="AI89" s="18">
        <f t="shared" si="27"/>
        <v>44</v>
      </c>
      <c r="AJ89" s="91" t="e">
        <f>IF(AI89="","",AI89*VLOOKUP("Staples",#REF!,2,FALSE))</f>
        <v>#REF!</v>
      </c>
      <c r="AK89" s="18" t="e">
        <f t="shared" si="28"/>
        <v>#REF!</v>
      </c>
      <c r="AL89" s="91" t="e">
        <f>IF(AK89="","",AK89*VLOOKUP("Frame screw",#REF!,2,FALSE))</f>
        <v>#REF!</v>
      </c>
      <c r="AM89" s="18" t="e">
        <f t="shared" si="29"/>
        <v>#REF!</v>
      </c>
      <c r="AN89" s="91" t="e">
        <f>IF(AM89="","",AM89*VLOOKUP("D ring",#REF!,2,FALSE))</f>
        <v>#REF!</v>
      </c>
      <c r="AO89" s="18" t="e">
        <f t="shared" si="30"/>
        <v>#REF!</v>
      </c>
      <c r="AP89" s="91" t="e">
        <f>IF(AO89="","",IF(G89&gt;59,AO89* VLOOKUP("8 wire",#REF!,2,FALSE)*2,IF(G89&gt;39,AO89* VLOOKUP("8 wire",#REF!,2,FALSE),AO89* VLOOKUP("6 wire",#REF!,2,FALSE))))</f>
        <v>#REF!</v>
      </c>
      <c r="AQ89" s="18">
        <f t="shared" si="31"/>
        <v>4</v>
      </c>
      <c r="AR89" s="18" t="e">
        <f>IF(AQ89="","",AQ89*VLOOKUP("Pads",#REF!,2,FALSE))</f>
        <v>#REF!</v>
      </c>
      <c r="AS89" s="18">
        <f t="shared" si="32"/>
        <v>1</v>
      </c>
      <c r="AT89" s="91" t="e">
        <f>IF(AS89="","",AS89*VLOOKUP("4 mil bag",#REF!,2,FALSE))</f>
        <v>#REF!</v>
      </c>
      <c r="AU89" s="91" t="e">
        <f>IF(X89="","",IF(I89="N/A","",IF(I89="CNC",IF(G89&gt;37,20,10),VLOOKUP(I89,#REF!,2,FALSE))))</f>
        <v>#REF!</v>
      </c>
      <c r="AV89" s="18" t="str">
        <f>IF(X89="","",IF(I89="CNC",VLOOKUP("Glue stick",#REF!,2,FALSE),""))</f>
        <v/>
      </c>
      <c r="AW89" s="18" t="str">
        <f>IF(X89="","",IF(I89="CNC",16*VLOOKUP("Box staples",#REF!,2,FALSE),""))</f>
        <v/>
      </c>
      <c r="AX89" s="91" t="e">
        <f>IF(X89="","",IF(I89="CNC",((((G89+6)+(F89+6))*2)+24)*VLOOKUP("sealing tape",#REF!,2,FALSE),VLOOKUP("Strapping tape",#REF!,2,FALSE)))</f>
        <v>#REF!</v>
      </c>
      <c r="AY89" s="17"/>
      <c r="AZ89" s="17"/>
      <c r="BA89" s="17"/>
      <c r="BB89" s="17"/>
      <c r="BC89" s="96"/>
      <c r="BD89" s="96"/>
      <c r="BE89" s="96"/>
      <c r="BF89" s="96"/>
      <c r="BG89" s="96"/>
      <c r="BH89" s="96"/>
      <c r="BI89" s="96"/>
    </row>
    <row r="90" spans="1:61" x14ac:dyDescent="0.45">
      <c r="A90" s="103" t="s">
        <v>511</v>
      </c>
      <c r="B90" s="17" t="s">
        <v>1145</v>
      </c>
      <c r="C90" s="16">
        <v>44575</v>
      </c>
      <c r="D90" s="17" t="s">
        <v>66</v>
      </c>
      <c r="E90" s="15" t="s">
        <v>50</v>
      </c>
      <c r="F90" s="17">
        <v>31</v>
      </c>
      <c r="G90" s="17">
        <v>39</v>
      </c>
      <c r="H90" s="3" t="s">
        <v>43</v>
      </c>
      <c r="I90" s="88" t="s">
        <v>600</v>
      </c>
      <c r="J90" s="87">
        <v>44588</v>
      </c>
      <c r="K90" s="15">
        <v>567.79999999999995</v>
      </c>
      <c r="L90" s="96">
        <v>245</v>
      </c>
      <c r="M90" s="89">
        <v>22.43</v>
      </c>
      <c r="N90" s="88">
        <v>16</v>
      </c>
      <c r="O90" s="413" t="str">
        <f t="shared" si="1"/>
        <v>31 x 39</v>
      </c>
      <c r="P90" s="18" t="str">
        <f t="shared" si="2"/>
        <v>31 x 39</v>
      </c>
      <c r="Q90" s="91">
        <f t="shared" si="3"/>
        <v>10.3</v>
      </c>
      <c r="R90" s="18" t="str">
        <f t="shared" si="4"/>
        <v>44 x 35 x 6</v>
      </c>
      <c r="S90" s="18">
        <v>44</v>
      </c>
      <c r="T90" s="18">
        <v>35</v>
      </c>
      <c r="U90" s="18">
        <v>6</v>
      </c>
      <c r="V90" s="90">
        <f t="shared" si="47"/>
        <v>126</v>
      </c>
      <c r="W90" s="287">
        <f t="shared" si="21"/>
        <v>9.1551020408163264E-2</v>
      </c>
      <c r="X90" s="287" t="str">
        <f t="shared" si="22"/>
        <v>Yes</v>
      </c>
      <c r="Y90" s="93" t="e">
        <f t="shared" si="23"/>
        <v>#REF!</v>
      </c>
      <c r="Z90" s="288" t="e">
        <f t="shared" si="24"/>
        <v>#REF!</v>
      </c>
      <c r="AA90" s="94" t="e">
        <f t="shared" si="25"/>
        <v>#REF!</v>
      </c>
      <c r="AB90" s="288" t="e">
        <f t="shared" si="26"/>
        <v>#REF!</v>
      </c>
      <c r="AC90" s="91" t="e">
        <f>IF(X90="","",IF(D90="2 3D",((F90-0.5)*2+(G90-0.5)*2)*VLOOKUP("3D base",#REF!,2,FALSE),IF(D90="3 Canv", IF(E90="Roll",0,ROUND(SUM(F90:G90)*2,0)),0)*VLOOKUP("Stretcher Bar",#REF!,2,FALSE)))</f>
        <v>#REF!</v>
      </c>
      <c r="AD90" s="91" t="e">
        <f>IF(X90="","",IF(E90="Roll",0,IF(D90="2 3D",(SUM(F90:G90)*2)*VLOOKUP("3D epoxy",#REF!,2,FALSE),IF(D90="3 Canv",VLOOKUP("Wood glue",#REF!,2,FALSE),""))))</f>
        <v>#REF!</v>
      </c>
      <c r="AE90" s="91" t="e">
        <f>IF(D90="3 Canv",(((F90+5)*(G90+5)))*VLOOKUP("Canvas",#REF!,2,FALSE),IF(D90="2 3D",(((F90)*(G90)))*VLOOKUP("Dibond",#REF!,2,FALSE),""))</f>
        <v>#REF!</v>
      </c>
      <c r="AF90" s="91" t="e">
        <f>IF(D90="2 3D",F90*G90*VLOOKUP("3D ink",#REF!,2,FALSE),IF(D90="3 Canv",F90*G90*VLOOKUP("Canvas ink",#REF!,2,FALSE),""))</f>
        <v>#REF!</v>
      </c>
      <c r="AG90" s="91" t="e">
        <f>IF(D90="3 Canv",IF(E90="Roll","",ROUNDUP((SUM(F90:G90)*2)/3,"")*VLOOKUP("Staples",#REF!,2,FALSE)),"")</f>
        <v>#VALUE!</v>
      </c>
      <c r="AH90" s="91" t="e">
        <f>IF(AF90="","",(SUM(F90:G90)*2)*VLOOKUP(E90,#REF!,2,FALSE))</f>
        <v>#REF!</v>
      </c>
      <c r="AI90" s="18">
        <f t="shared" si="27"/>
        <v>16</v>
      </c>
      <c r="AJ90" s="91" t="e">
        <f>IF(AI90="","",AI90*VLOOKUP("Staples",#REF!,2,FALSE))</f>
        <v>#REF!</v>
      </c>
      <c r="AK90" s="18" t="e">
        <f t="shared" si="28"/>
        <v>#REF!</v>
      </c>
      <c r="AL90" s="91" t="e">
        <f>IF(AK90="","",AK90*VLOOKUP("Frame screw",#REF!,2,FALSE))</f>
        <v>#REF!</v>
      </c>
      <c r="AM90" s="18" t="e">
        <f t="shared" si="29"/>
        <v>#REF!</v>
      </c>
      <c r="AN90" s="91" t="e">
        <f>IF(AM90="","",AM90*VLOOKUP("D ring",#REF!,2,FALSE))</f>
        <v>#REF!</v>
      </c>
      <c r="AO90" s="18" t="e">
        <f t="shared" si="30"/>
        <v>#REF!</v>
      </c>
      <c r="AP90" s="91" t="e">
        <f>IF(AO90="","",IF(G90&gt;59,AO90* VLOOKUP("8 wire",#REF!,2,FALSE)*2,IF(G90&gt;39,AO90* VLOOKUP("8 wire",#REF!,2,FALSE),AO90* VLOOKUP("6 wire",#REF!,2,FALSE))))</f>
        <v>#REF!</v>
      </c>
      <c r="AQ90" s="18">
        <f t="shared" si="31"/>
        <v>4</v>
      </c>
      <c r="AR90" s="18" t="e">
        <f>IF(AQ90="","",AQ90*VLOOKUP("Pads",#REF!,2,FALSE))</f>
        <v>#REF!</v>
      </c>
      <c r="AS90" s="18">
        <f t="shared" si="32"/>
        <v>1</v>
      </c>
      <c r="AT90" s="91" t="e">
        <f>IF(AS90="","",AS90*VLOOKUP("4 mil bag",#REF!,2,FALSE))</f>
        <v>#REF!</v>
      </c>
      <c r="AU90" s="91" t="e">
        <f>IF(X90="","",IF(I90="N/A","",IF(I90="CNC",IF(G90&gt;37,20,10),VLOOKUP(I90,#REF!,2,FALSE))))</f>
        <v>#REF!</v>
      </c>
      <c r="AV90" s="18" t="str">
        <f>IF(X90="","",IF(I90="CNC",VLOOKUP("Glue stick",#REF!,2,FALSE),""))</f>
        <v/>
      </c>
      <c r="AW90" s="18" t="str">
        <f>IF(X90="","",IF(I90="CNC",16*VLOOKUP("Box staples",#REF!,2,FALSE),""))</f>
        <v/>
      </c>
      <c r="AX90" s="91" t="e">
        <f>IF(X90="","",IF(I90="CNC",((((G90+6)+(F90+6))*2)+24)*VLOOKUP("sealing tape",#REF!,2,FALSE),VLOOKUP("Strapping tape",#REF!,2,FALSE)))</f>
        <v>#REF!</v>
      </c>
      <c r="AY90" s="17"/>
      <c r="AZ90" s="17"/>
      <c r="BA90" s="17"/>
      <c r="BB90" s="17"/>
      <c r="BC90" s="96"/>
      <c r="BD90" s="96"/>
      <c r="BE90" s="96"/>
      <c r="BF90" s="96"/>
      <c r="BG90" s="96"/>
      <c r="BH90" s="96"/>
      <c r="BI90" s="96"/>
    </row>
    <row r="91" spans="1:61" x14ac:dyDescent="0.45">
      <c r="A91" s="103" t="s">
        <v>472</v>
      </c>
      <c r="B91" s="17" t="s">
        <v>1153</v>
      </c>
      <c r="C91" s="16">
        <v>44570</v>
      </c>
      <c r="D91" s="17" t="s">
        <v>66</v>
      </c>
      <c r="E91" s="15" t="s">
        <v>50</v>
      </c>
      <c r="F91" s="17">
        <v>24</v>
      </c>
      <c r="G91" s="17">
        <v>40</v>
      </c>
      <c r="H91" s="3" t="s">
        <v>43</v>
      </c>
      <c r="I91" s="88" t="s">
        <v>600</v>
      </c>
      <c r="J91" s="87">
        <v>44588</v>
      </c>
      <c r="K91" s="15">
        <v>487.05</v>
      </c>
      <c r="L91" s="96">
        <v>30</v>
      </c>
      <c r="M91" s="89">
        <v>33.89</v>
      </c>
      <c r="N91" s="88">
        <v>15</v>
      </c>
      <c r="O91" s="413" t="str">
        <f t="shared" si="1"/>
        <v>24 x 40</v>
      </c>
      <c r="P91" s="18" t="str">
        <f t="shared" si="2"/>
        <v>24 x 40</v>
      </c>
      <c r="Q91" s="91">
        <f t="shared" si="3"/>
        <v>10.3</v>
      </c>
      <c r="R91" s="18" t="str">
        <f t="shared" si="4"/>
        <v>44 x 35 x 6</v>
      </c>
      <c r="S91" s="18">
        <v>44</v>
      </c>
      <c r="T91" s="18">
        <v>35</v>
      </c>
      <c r="U91" s="18">
        <v>6</v>
      </c>
      <c r="V91" s="90">
        <f t="shared" si="47"/>
        <v>126</v>
      </c>
      <c r="W91" s="287">
        <f t="shared" si="21"/>
        <v>1.1296666666666666</v>
      </c>
      <c r="X91" s="287" t="str">
        <f t="shared" si="22"/>
        <v>Yes</v>
      </c>
      <c r="Y91" s="93" t="e">
        <f t="shared" si="23"/>
        <v>#REF!</v>
      </c>
      <c r="Z91" s="288" t="e">
        <f t="shared" si="24"/>
        <v>#REF!</v>
      </c>
      <c r="AA91" s="94" t="e">
        <f t="shared" si="25"/>
        <v>#REF!</v>
      </c>
      <c r="AB91" s="288" t="e">
        <f t="shared" si="26"/>
        <v>#REF!</v>
      </c>
      <c r="AC91" s="91" t="e">
        <f>IF(X91="","",IF(D91="2 3D",((F91-0.5)*2+(G91-0.5)*2)*VLOOKUP("3D base",#REF!,2,FALSE),IF(D91="3 Canv", IF(E91="Roll",0,ROUND(SUM(F91:G91)*2,0)),0)*VLOOKUP("Stretcher Bar",#REF!,2,FALSE)))</f>
        <v>#REF!</v>
      </c>
      <c r="AD91" s="91" t="e">
        <f>IF(X91="","",IF(E91="Roll",0,IF(D91="2 3D",(SUM(F91:G91)*2)*VLOOKUP("3D epoxy",#REF!,2,FALSE),IF(D91="3 Canv",VLOOKUP("Wood glue",#REF!,2,FALSE),""))))</f>
        <v>#REF!</v>
      </c>
      <c r="AE91" s="91" t="e">
        <f>IF(D91="3 Canv",(((F91+5)*(G91+5)))*VLOOKUP("Canvas",#REF!,2,FALSE),IF(D91="2 3D",(((F91)*(G91)))*VLOOKUP("Dibond",#REF!,2,FALSE),""))</f>
        <v>#REF!</v>
      </c>
      <c r="AF91" s="91" t="e">
        <f>IF(D91="2 3D",F91*G91*VLOOKUP("3D ink",#REF!,2,FALSE),IF(D91="3 Canv",F91*G91*VLOOKUP("Canvas ink",#REF!,2,FALSE),""))</f>
        <v>#REF!</v>
      </c>
      <c r="AG91" s="91" t="e">
        <f>IF(D91="3 Canv",IF(E91="Roll","",ROUNDUP((SUM(F91:G91)*2)/3,"")*VLOOKUP("Staples",#REF!,2,FALSE)),"")</f>
        <v>#VALUE!</v>
      </c>
      <c r="AH91" s="91" t="e">
        <f>IF(AF91="","",(SUM(F91:G91)*2)*VLOOKUP(E91,#REF!,2,FALSE))</f>
        <v>#REF!</v>
      </c>
      <c r="AI91" s="18">
        <f t="shared" si="27"/>
        <v>16</v>
      </c>
      <c r="AJ91" s="91" t="e">
        <f>IF(AI91="","",AI91*VLOOKUP("Staples",#REF!,2,FALSE))</f>
        <v>#REF!</v>
      </c>
      <c r="AK91" s="18" t="e">
        <f t="shared" si="28"/>
        <v>#REF!</v>
      </c>
      <c r="AL91" s="91" t="e">
        <f>IF(AK91="","",AK91*VLOOKUP("Frame screw",#REF!,2,FALSE))</f>
        <v>#REF!</v>
      </c>
      <c r="AM91" s="18" t="e">
        <f t="shared" si="29"/>
        <v>#REF!</v>
      </c>
      <c r="AN91" s="91" t="e">
        <f>IF(AM91="","",AM91*VLOOKUP("D ring",#REF!,2,FALSE))</f>
        <v>#REF!</v>
      </c>
      <c r="AO91" s="18" t="e">
        <f t="shared" si="30"/>
        <v>#REF!</v>
      </c>
      <c r="AP91" s="91" t="e">
        <f>IF(AO91="","",IF(G91&gt;59,AO91* VLOOKUP("8 wire",#REF!,2,FALSE)*2,IF(G91&gt;39,AO91* VLOOKUP("8 wire",#REF!,2,FALSE),AO91* VLOOKUP("6 wire",#REF!,2,FALSE))))</f>
        <v>#REF!</v>
      </c>
      <c r="AQ91" s="18">
        <f t="shared" si="31"/>
        <v>4</v>
      </c>
      <c r="AR91" s="18" t="e">
        <f>IF(AQ91="","",AQ91*VLOOKUP("Pads",#REF!,2,FALSE))</f>
        <v>#REF!</v>
      </c>
      <c r="AS91" s="18">
        <f t="shared" si="32"/>
        <v>1</v>
      </c>
      <c r="AT91" s="91" t="e">
        <f>IF(AS91="","",AS91*VLOOKUP("4 mil bag",#REF!,2,FALSE))</f>
        <v>#REF!</v>
      </c>
      <c r="AU91" s="91" t="e">
        <f>IF(X91="","",IF(I91="N/A","",IF(I91="CNC",IF(G91&gt;37,20,10),VLOOKUP(I91,#REF!,2,FALSE))))</f>
        <v>#REF!</v>
      </c>
      <c r="AV91" s="18" t="str">
        <f>IF(X91="","",IF(I91="CNC",VLOOKUP("Glue stick",#REF!,2,FALSE),""))</f>
        <v/>
      </c>
      <c r="AW91" s="18" t="str">
        <f>IF(X91="","",IF(I91="CNC",16*VLOOKUP("Box staples",#REF!,2,FALSE),""))</f>
        <v/>
      </c>
      <c r="AX91" s="91" t="e">
        <f>IF(X91="","",IF(I91="CNC",((((G91+6)+(F91+6))*2)+24)*VLOOKUP("sealing tape",#REF!,2,FALSE),VLOOKUP("Strapping tape",#REF!,2,FALSE)))</f>
        <v>#REF!</v>
      </c>
      <c r="AY91" s="17"/>
      <c r="AZ91" s="17"/>
      <c r="BA91" s="17"/>
      <c r="BB91" s="17"/>
      <c r="BC91" s="96"/>
      <c r="BD91" s="96"/>
      <c r="BE91" s="96"/>
      <c r="BF91" s="96"/>
      <c r="BG91" s="96"/>
      <c r="BH91" s="96"/>
      <c r="BI91" s="96"/>
    </row>
    <row r="92" spans="1:61" x14ac:dyDescent="0.45">
      <c r="A92" s="103" t="s">
        <v>946</v>
      </c>
      <c r="B92" s="17" t="s">
        <v>1137</v>
      </c>
      <c r="C92" s="16">
        <v>44568</v>
      </c>
      <c r="D92" s="17" t="s">
        <v>66</v>
      </c>
      <c r="E92" s="15" t="s">
        <v>50</v>
      </c>
      <c r="F92" s="17">
        <v>30</v>
      </c>
      <c r="G92" s="17">
        <v>50</v>
      </c>
      <c r="H92" s="3" t="s">
        <v>43</v>
      </c>
      <c r="I92" s="88" t="s">
        <v>553</v>
      </c>
      <c r="J92" s="87">
        <v>44588</v>
      </c>
      <c r="K92" s="15">
        <v>681.7</v>
      </c>
      <c r="L92" s="96">
        <f>140/3</f>
        <v>46.666666666666664</v>
      </c>
      <c r="M92" s="89">
        <v>148.25</v>
      </c>
      <c r="N92" s="88">
        <v>19</v>
      </c>
      <c r="O92" s="413" t="str">
        <f t="shared" si="1"/>
        <v>30 x 50</v>
      </c>
      <c r="P92" s="18" t="str">
        <f t="shared" si="2"/>
        <v>30 x 50</v>
      </c>
      <c r="Q92" s="91">
        <f t="shared" si="3"/>
        <v>15.77</v>
      </c>
      <c r="R92" s="18" t="str">
        <f t="shared" si="4"/>
        <v>54 x 48 x 6</v>
      </c>
      <c r="S92" s="18">
        <v>54</v>
      </c>
      <c r="T92" s="18">
        <v>48</v>
      </c>
      <c r="U92" s="18">
        <v>6</v>
      </c>
      <c r="V92" s="18">
        <f t="shared" si="47"/>
        <v>164</v>
      </c>
      <c r="W92" s="287">
        <f t="shared" si="21"/>
        <v>3.1767857142857143</v>
      </c>
      <c r="X92" s="287" t="str">
        <f t="shared" si="22"/>
        <v>Yes</v>
      </c>
      <c r="Y92" s="93" t="e">
        <f t="shared" si="23"/>
        <v>#REF!</v>
      </c>
      <c r="Z92" s="288" t="e">
        <f t="shared" si="24"/>
        <v>#REF!</v>
      </c>
      <c r="AA92" s="94" t="e">
        <f t="shared" si="25"/>
        <v>#REF!</v>
      </c>
      <c r="AB92" s="288" t="e">
        <f t="shared" si="26"/>
        <v>#REF!</v>
      </c>
      <c r="AC92" s="91" t="e">
        <f>IF(X92="","",IF(D92="2 3D",((F92-0.5)*2+(G92-0.5)*2)*VLOOKUP("3D base",#REF!,2,FALSE),IF(D92="3 Canv", IF(E92="Roll",0,ROUND(SUM(F92:G92)*2,0)),0)*VLOOKUP("Stretcher Bar",#REF!,2,FALSE)))</f>
        <v>#REF!</v>
      </c>
      <c r="AD92" s="91" t="e">
        <f>IF(X92="","",IF(E92="Roll",0,IF(D92="2 3D",(SUM(F92:G92)*2)*VLOOKUP("3D epoxy",#REF!,2,FALSE),IF(D92="3 Canv",VLOOKUP("Wood glue",#REF!,2,FALSE),""))))</f>
        <v>#REF!</v>
      </c>
      <c r="AE92" s="91" t="e">
        <f>IF(D92="3 Canv",(((F92+5)*(G92+5)))*VLOOKUP("Canvas",#REF!,2,FALSE),IF(D92="2 3D",(((F92)*(G92)))*VLOOKUP("Dibond",#REF!,2,FALSE),""))</f>
        <v>#REF!</v>
      </c>
      <c r="AF92" s="91" t="e">
        <f>IF(D92="2 3D",F92*G92*VLOOKUP("3D ink",#REF!,2,FALSE),IF(D92="3 Canv",F92*G92*VLOOKUP("Canvas ink",#REF!,2,FALSE),""))</f>
        <v>#REF!</v>
      </c>
      <c r="AG92" s="91" t="e">
        <f>IF(D92="3 Canv",IF(E92="Roll","",ROUNDUP((SUM(F92:G92)*2)/3,"")*VLOOKUP("Staples",#REF!,2,FALSE)),"")</f>
        <v>#VALUE!</v>
      </c>
      <c r="AH92" s="91" t="e">
        <f>IF(AF92="","",(SUM(F92:G92)*2)*VLOOKUP(E92,#REF!,2,FALSE))</f>
        <v>#REF!</v>
      </c>
      <c r="AI92" s="18">
        <f t="shared" si="27"/>
        <v>16</v>
      </c>
      <c r="AJ92" s="91" t="e">
        <f>IF(AI92="","",AI92*VLOOKUP("Staples",#REF!,2,FALSE))</f>
        <v>#REF!</v>
      </c>
      <c r="AK92" s="18" t="e">
        <f t="shared" si="28"/>
        <v>#REF!</v>
      </c>
      <c r="AL92" s="91" t="e">
        <f>IF(AK92="","",AK92*VLOOKUP("Frame screw",#REF!,2,FALSE))</f>
        <v>#REF!</v>
      </c>
      <c r="AM92" s="18" t="e">
        <f t="shared" si="29"/>
        <v>#REF!</v>
      </c>
      <c r="AN92" s="91" t="e">
        <f>IF(AM92="","",AM92*VLOOKUP("D ring",#REF!,2,FALSE))</f>
        <v>#REF!</v>
      </c>
      <c r="AO92" s="18" t="e">
        <f t="shared" si="30"/>
        <v>#REF!</v>
      </c>
      <c r="AP92" s="91" t="e">
        <f>IF(AO92="","",IF(G92&gt;59,AO92* VLOOKUP("8 wire",#REF!,2,FALSE)*2,IF(G92&gt;39,AO92* VLOOKUP("8 wire",#REF!,2,FALSE),AO92* VLOOKUP("6 wire",#REF!,2,FALSE))))</f>
        <v>#REF!</v>
      </c>
      <c r="AQ92" s="18">
        <f t="shared" si="31"/>
        <v>4</v>
      </c>
      <c r="AR92" s="18" t="e">
        <f>IF(AQ92="","",AQ92*VLOOKUP("Pads",#REF!,2,FALSE))</f>
        <v>#REF!</v>
      </c>
      <c r="AS92" s="18">
        <f t="shared" si="32"/>
        <v>1</v>
      </c>
      <c r="AT92" s="91" t="e">
        <f>IF(AS92="","",AS92*VLOOKUP("4 mil bag",#REF!,2,FALSE))</f>
        <v>#REF!</v>
      </c>
      <c r="AU92" s="91" t="e">
        <f>IF(X92="","",IF(I92="N/A","",IF(I92="CNC",IF(G92&gt;37,20,10),VLOOKUP(I92,#REF!,2,FALSE))))</f>
        <v>#REF!</v>
      </c>
      <c r="AV92" s="18" t="str">
        <f>IF(X92="","",IF(I92="CNC",VLOOKUP("Glue stick",#REF!,2,FALSE),""))</f>
        <v/>
      </c>
      <c r="AW92" s="18" t="str">
        <f>IF(X92="","",IF(I92="CNC",16*VLOOKUP("Box staples",#REF!,2,FALSE),""))</f>
        <v/>
      </c>
      <c r="AX92" s="91" t="e">
        <f>IF(X92="","",IF(I92="CNC",((((G92+6)+(F92+6))*2)+24)*VLOOKUP("sealing tape",#REF!,2,FALSE),VLOOKUP("Strapping tape",#REF!,2,FALSE)))</f>
        <v>#REF!</v>
      </c>
      <c r="AY92" s="17"/>
      <c r="AZ92" s="17"/>
      <c r="BA92" s="17"/>
      <c r="BB92" s="17"/>
      <c r="BC92" s="96"/>
      <c r="BD92" s="96"/>
      <c r="BE92" s="96"/>
      <c r="BF92" s="96"/>
      <c r="BG92" s="96"/>
      <c r="BH92" s="96"/>
      <c r="BI92" s="96"/>
    </row>
    <row r="93" spans="1:61" x14ac:dyDescent="0.45">
      <c r="A93" s="261" t="s">
        <v>461</v>
      </c>
      <c r="B93" s="101" t="s">
        <v>1152</v>
      </c>
      <c r="C93" s="263">
        <v>44577</v>
      </c>
      <c r="D93" s="101" t="s">
        <v>66</v>
      </c>
      <c r="E93" s="262" t="s">
        <v>50</v>
      </c>
      <c r="F93" s="101">
        <v>28</v>
      </c>
      <c r="G93" s="101">
        <v>28</v>
      </c>
      <c r="H93" s="264" t="s">
        <v>43</v>
      </c>
      <c r="I93" s="98" t="s">
        <v>583</v>
      </c>
      <c r="J93" s="97">
        <v>44588</v>
      </c>
      <c r="K93" s="262">
        <v>851</v>
      </c>
      <c r="L93" s="265">
        <v>45</v>
      </c>
      <c r="M93" s="99">
        <v>43.57</v>
      </c>
      <c r="N93" s="98">
        <v>14</v>
      </c>
      <c r="O93" s="414" t="str">
        <f t="shared" si="1"/>
        <v>28 x 28</v>
      </c>
      <c r="P93" s="100" t="str">
        <f t="shared" si="2"/>
        <v>28 x 28</v>
      </c>
      <c r="Q93" s="274">
        <f t="shared" si="3"/>
        <v>6.49</v>
      </c>
      <c r="R93" s="100" t="str">
        <f t="shared" si="4"/>
        <v>42 x 36 x 6</v>
      </c>
      <c r="S93" s="100">
        <v>42</v>
      </c>
      <c r="T93" s="100">
        <v>36</v>
      </c>
      <c r="U93" s="100">
        <v>6</v>
      </c>
      <c r="V93" s="415">
        <f t="shared" si="47"/>
        <v>126</v>
      </c>
      <c r="W93" s="289">
        <f t="shared" si="21"/>
        <v>0.96822222222222221</v>
      </c>
      <c r="X93" s="289" t="str">
        <f t="shared" si="22"/>
        <v>Yes</v>
      </c>
      <c r="Y93" s="275" t="e">
        <f t="shared" si="23"/>
        <v>#REF!</v>
      </c>
      <c r="Z93" s="308" t="e">
        <f t="shared" si="24"/>
        <v>#REF!</v>
      </c>
      <c r="AA93" s="276" t="e">
        <f t="shared" si="25"/>
        <v>#REF!</v>
      </c>
      <c r="AB93" s="308" t="e">
        <f t="shared" si="26"/>
        <v>#REF!</v>
      </c>
      <c r="AC93" s="274" t="e">
        <f>IF(X93="","",IF(D93="2 3D",((F93-0.5)*2+(G93-0.5)*2)*VLOOKUP("3D base",#REF!,2,FALSE),IF(D93="3 Canv", IF(E93="Roll",0,ROUND(SUM(F93:G93)*2,0)),0)*VLOOKUP("Stretcher Bar",#REF!,2,FALSE)))</f>
        <v>#REF!</v>
      </c>
      <c r="AD93" s="274" t="e">
        <f>IF(X93="","",IF(E93="Roll",0,IF(D93="2 3D",(SUM(F93:G93)*2)*VLOOKUP("3D epoxy",#REF!,2,FALSE),IF(D93="3 Canv",VLOOKUP("Wood glue",#REF!,2,FALSE),""))))</f>
        <v>#REF!</v>
      </c>
      <c r="AE93" s="274" t="e">
        <f>IF(D93="3 Canv",(((F93+5)*(G93+5)))*VLOOKUP("Canvas",#REF!,2,FALSE),IF(D93="2 3D",(((F93)*(G93)))*VLOOKUP("Dibond",#REF!,2,FALSE),""))</f>
        <v>#REF!</v>
      </c>
      <c r="AF93" s="274" t="e">
        <f>IF(D93="2 3D",F93*G93*VLOOKUP("3D ink",#REF!,2,FALSE),IF(D93="3 Canv",F93*G93*VLOOKUP("Canvas ink",#REF!,2,FALSE),""))</f>
        <v>#REF!</v>
      </c>
      <c r="AG93" s="274" t="e">
        <f>IF(D93="3 Canv",IF(E93="Roll","",ROUNDUP((SUM(F93:G93)*2)/3,"")*VLOOKUP("Staples",#REF!,2,FALSE)),"")</f>
        <v>#VALUE!</v>
      </c>
      <c r="AH93" s="274" t="e">
        <f>IF(AF93="","",(SUM(F93:G93)*2)*VLOOKUP(E93,#REF!,2,FALSE))</f>
        <v>#REF!</v>
      </c>
      <c r="AI93" s="100">
        <f t="shared" si="27"/>
        <v>16</v>
      </c>
      <c r="AJ93" s="274" t="e">
        <f>IF(AI93="","",AI93*VLOOKUP("Staples",#REF!,2,FALSE))</f>
        <v>#REF!</v>
      </c>
      <c r="AK93" s="100" t="e">
        <f t="shared" si="28"/>
        <v>#REF!</v>
      </c>
      <c r="AL93" s="274" t="e">
        <f>IF(AK93="","",AK93*VLOOKUP("Frame screw",#REF!,2,FALSE))</f>
        <v>#REF!</v>
      </c>
      <c r="AM93" s="100" t="e">
        <f t="shared" si="29"/>
        <v>#REF!</v>
      </c>
      <c r="AN93" s="274" t="e">
        <f>IF(AM93="","",AM93*VLOOKUP("D ring",#REF!,2,FALSE))</f>
        <v>#REF!</v>
      </c>
      <c r="AO93" s="100" t="e">
        <f t="shared" si="30"/>
        <v>#REF!</v>
      </c>
      <c r="AP93" s="274" t="e">
        <f>IF(AO93="","",IF(G93&gt;59,AO93* VLOOKUP("8 wire",#REF!,2,FALSE)*2,IF(G93&gt;39,AO93* VLOOKUP("8 wire",#REF!,2,FALSE),AO93* VLOOKUP("6 wire",#REF!,2,FALSE))))</f>
        <v>#REF!</v>
      </c>
      <c r="AQ93" s="100">
        <f t="shared" si="31"/>
        <v>4</v>
      </c>
      <c r="AR93" s="100" t="e">
        <f>IF(AQ93="","",AQ93*VLOOKUP("Pads",#REF!,2,FALSE))</f>
        <v>#REF!</v>
      </c>
      <c r="AS93" s="100">
        <f t="shared" si="32"/>
        <v>1</v>
      </c>
      <c r="AT93" s="274" t="e">
        <f>IF(AS93="","",AS93*VLOOKUP("4 mil bag",#REF!,2,FALSE))</f>
        <v>#REF!</v>
      </c>
      <c r="AU93" s="274" t="e">
        <f>IF(X93="","",IF(I93="N/A","",IF(I93="CNC",IF(G93&gt;37,20,10),VLOOKUP(I93,#REF!,2,FALSE))))</f>
        <v>#REF!</v>
      </c>
      <c r="AV93" s="100" t="str">
        <f>IF(X93="","",IF(I93="CNC",VLOOKUP("Glue stick",#REF!,2,FALSE),""))</f>
        <v/>
      </c>
      <c r="AW93" s="100" t="str">
        <f>IF(X93="","",IF(I93="CNC",16*VLOOKUP("Box staples",#REF!,2,FALSE),""))</f>
        <v/>
      </c>
      <c r="AX93" s="274" t="e">
        <f>IF(X93="","",IF(I93="CNC",((((G93+6)+(F93+6))*2)+24)*VLOOKUP("sealing tape",#REF!,2,FALSE),VLOOKUP("Strapping tape",#REF!,2,FALSE)))</f>
        <v>#REF!</v>
      </c>
      <c r="AY93" s="101"/>
      <c r="AZ93" s="101"/>
      <c r="BA93" s="101"/>
      <c r="BB93" s="17"/>
      <c r="BC93" s="96"/>
      <c r="BD93" s="96"/>
      <c r="BE93" s="96"/>
      <c r="BF93" s="96"/>
      <c r="BG93" s="96"/>
      <c r="BH93" s="96"/>
      <c r="BI93" s="96"/>
    </row>
    <row r="94" spans="1:61" x14ac:dyDescent="0.45">
      <c r="A94" s="103" t="s">
        <v>810</v>
      </c>
      <c r="B94" s="17" t="s">
        <v>1154</v>
      </c>
      <c r="C94" s="16">
        <v>44571</v>
      </c>
      <c r="D94" s="17" t="s">
        <v>66</v>
      </c>
      <c r="E94" s="15" t="s">
        <v>51</v>
      </c>
      <c r="F94" s="17">
        <v>37</v>
      </c>
      <c r="G94" s="17">
        <v>52</v>
      </c>
      <c r="H94" s="3" t="s">
        <v>43</v>
      </c>
      <c r="I94" s="88" t="s">
        <v>41</v>
      </c>
      <c r="J94" s="87">
        <v>44589</v>
      </c>
      <c r="K94" s="15">
        <v>1082.9000000000001</v>
      </c>
      <c r="L94" s="96">
        <v>65</v>
      </c>
      <c r="M94" s="89">
        <v>130.21</v>
      </c>
      <c r="N94" s="88">
        <v>16</v>
      </c>
      <c r="O94" s="413" t="str">
        <f t="shared" si="1"/>
        <v>37 x 52</v>
      </c>
      <c r="P94" s="18" t="str">
        <f t="shared" si="2"/>
        <v>39 x 54</v>
      </c>
      <c r="Q94" s="91" t="str">
        <f t="shared" si="3"/>
        <v>N/A</v>
      </c>
      <c r="R94" s="18" t="str">
        <f t="shared" si="4"/>
        <v>60 x 46 x 6</v>
      </c>
      <c r="S94" s="18">
        <v>60</v>
      </c>
      <c r="T94" s="18">
        <v>46</v>
      </c>
      <c r="U94" s="18">
        <v>6</v>
      </c>
      <c r="V94" s="18">
        <f t="shared" si="47"/>
        <v>155</v>
      </c>
      <c r="W94" s="287">
        <f t="shared" si="21"/>
        <v>2.0032307692307691</v>
      </c>
      <c r="X94" s="287" t="str">
        <f t="shared" si="22"/>
        <v>Yes</v>
      </c>
      <c r="Y94" s="93" t="e">
        <f t="shared" si="23"/>
        <v>#REF!</v>
      </c>
      <c r="Z94" s="288" t="e">
        <f t="shared" si="24"/>
        <v>#REF!</v>
      </c>
      <c r="AA94" s="94" t="e">
        <f t="shared" si="25"/>
        <v>#REF!</v>
      </c>
      <c r="AB94" s="288" t="e">
        <f t="shared" si="26"/>
        <v>#REF!</v>
      </c>
      <c r="AC94" s="91" t="e">
        <f>IF(X94="","",IF(D94="2 3D",((F94-0.5)*2+(G94-0.5)*2)*VLOOKUP("3D base",#REF!,2,FALSE),IF(D94="3 Canv", IF(E94="Roll",0,ROUND(SUM(F94:G94)*2,0)),0)*VLOOKUP("Stretcher Bar",#REF!,2,FALSE)))</f>
        <v>#REF!</v>
      </c>
      <c r="AD94" s="91" t="e">
        <f>IF(X94="","",IF(E94="Roll",0,IF(D94="2 3D",(SUM(F94:G94)*2)*VLOOKUP("3D epoxy",#REF!,2,FALSE),IF(D94="3 Canv",VLOOKUP("Wood glue",#REF!,2,FALSE),""))))</f>
        <v>#REF!</v>
      </c>
      <c r="AE94" s="91" t="e">
        <f>IF(D94="3 Canv",(((F94+5)*(G94+5)))*VLOOKUP("Canvas",#REF!,2,FALSE),IF(D94="2 3D",(((F94)*(G94)))*VLOOKUP("Dibond",#REF!,2,FALSE),""))</f>
        <v>#REF!</v>
      </c>
      <c r="AF94" s="91" t="e">
        <f>IF(D94="2 3D",F94*G94*VLOOKUP("3D ink",#REF!,2,FALSE),IF(D94="3 Canv",F94*G94*VLOOKUP("Canvas ink",#REF!,2,FALSE),""))</f>
        <v>#REF!</v>
      </c>
      <c r="AG94" s="91" t="e">
        <f>IF(D94="3 Canv",IF(E94="Roll","",ROUNDUP((SUM(F94:G94)*2)/3,"")*VLOOKUP("Staples",#REF!,2,FALSE)),"")</f>
        <v>#VALUE!</v>
      </c>
      <c r="AH94" s="91" t="e">
        <f>IF(AF94="","",(SUM(F94:G94)*2)*VLOOKUP(E94,#REF!,2,FALSE))</f>
        <v>#REF!</v>
      </c>
      <c r="AI94" s="18">
        <f t="shared" si="27"/>
        <v>44</v>
      </c>
      <c r="AJ94" s="91" t="e">
        <f>IF(AI94="","",AI94*VLOOKUP("Staples",#REF!,2,FALSE))</f>
        <v>#REF!</v>
      </c>
      <c r="AK94" s="18" t="e">
        <f t="shared" si="28"/>
        <v>#REF!</v>
      </c>
      <c r="AL94" s="91" t="e">
        <f>IF(AK94="","",AK94*VLOOKUP("Frame screw",#REF!,2,FALSE))</f>
        <v>#REF!</v>
      </c>
      <c r="AM94" s="18" t="e">
        <f t="shared" si="29"/>
        <v>#REF!</v>
      </c>
      <c r="AN94" s="91" t="e">
        <f>IF(AM94="","",AM94*VLOOKUP("D ring",#REF!,2,FALSE))</f>
        <v>#REF!</v>
      </c>
      <c r="AO94" s="18" t="e">
        <f t="shared" si="30"/>
        <v>#REF!</v>
      </c>
      <c r="AP94" s="91" t="e">
        <f>IF(AO94="","",IF(G94&gt;59,AO94* VLOOKUP("8 wire",#REF!,2,FALSE)*2,IF(G94&gt;39,AO94* VLOOKUP("8 wire",#REF!,2,FALSE),AO94* VLOOKUP("6 wire",#REF!,2,FALSE))))</f>
        <v>#REF!</v>
      </c>
      <c r="AQ94" s="18">
        <f t="shared" si="31"/>
        <v>4</v>
      </c>
      <c r="AR94" s="18" t="e">
        <f>IF(AQ94="","",AQ94*VLOOKUP("Pads",#REF!,2,FALSE))</f>
        <v>#REF!</v>
      </c>
      <c r="AS94" s="18">
        <f t="shared" si="32"/>
        <v>1</v>
      </c>
      <c r="AT94" s="91" t="e">
        <f>IF(AS94="","",AS94*VLOOKUP("4 mil bag",#REF!,2,FALSE))</f>
        <v>#REF!</v>
      </c>
      <c r="AU94" s="91">
        <f>IF(X94="","",IF(I94="N/A","",IF(I94="CNC",IF(G94&gt;37,20,10),VLOOKUP(I94,#REF!,2,FALSE))))</f>
        <v>20</v>
      </c>
      <c r="AV94" s="91" t="e">
        <f>IF(X94="","",IF(I94="CNC",VLOOKUP("Glue stick",#REF!,2,FALSE),""))</f>
        <v>#REF!</v>
      </c>
      <c r="AW94" s="91" t="e">
        <f>IF(X94="","",IF(I94="CNC",16*VLOOKUP("Box staples",#REF!,2,FALSE),""))</f>
        <v>#REF!</v>
      </c>
      <c r="AX94" s="18" t="e">
        <f>IF(X94="","",IF(I94="CNC",((((G94+6)+(F94+6))*2)+24)*VLOOKUP("sealing tape",#REF!,2,FALSE),VLOOKUP("Strapping tape",#REF!,2,FALSE)))</f>
        <v>#REF!</v>
      </c>
      <c r="AY94" s="17"/>
      <c r="AZ94" s="17"/>
      <c r="BA94" s="17"/>
      <c r="BB94" s="17"/>
      <c r="BC94" s="96"/>
      <c r="BD94" s="96"/>
      <c r="BE94" s="96"/>
      <c r="BF94" s="96"/>
      <c r="BG94" s="96"/>
      <c r="BH94" s="96"/>
      <c r="BI94" s="96"/>
    </row>
    <row r="95" spans="1:61" x14ac:dyDescent="0.45">
      <c r="A95" s="103" t="s">
        <v>994</v>
      </c>
      <c r="B95" s="17" t="s">
        <v>1141</v>
      </c>
      <c r="C95" s="16">
        <v>44563</v>
      </c>
      <c r="D95" s="17" t="s">
        <v>66</v>
      </c>
      <c r="E95" s="15" t="s">
        <v>50</v>
      </c>
      <c r="F95" s="17">
        <v>38</v>
      </c>
      <c r="G95" s="17">
        <v>51</v>
      </c>
      <c r="H95" s="3" t="s">
        <v>43</v>
      </c>
      <c r="I95" s="88" t="s">
        <v>41</v>
      </c>
      <c r="J95" s="87">
        <v>44589</v>
      </c>
      <c r="K95" s="15">
        <v>1019</v>
      </c>
      <c r="L95" s="96">
        <f>85/2</f>
        <v>42.5</v>
      </c>
      <c r="M95" s="89">
        <v>146.08000000000001</v>
      </c>
      <c r="N95" s="88">
        <v>19</v>
      </c>
      <c r="O95" s="413" t="str">
        <f t="shared" si="1"/>
        <v>38 x 51</v>
      </c>
      <c r="P95" s="18" t="str">
        <f t="shared" si="2"/>
        <v>38 x 51</v>
      </c>
      <c r="Q95" s="91" t="str">
        <f t="shared" si="3"/>
        <v>N/A</v>
      </c>
      <c r="R95" s="18" t="str">
        <f t="shared" si="4"/>
        <v>57 x 44 x 6</v>
      </c>
      <c r="S95" s="18">
        <v>57</v>
      </c>
      <c r="T95" s="18">
        <v>44</v>
      </c>
      <c r="U95" s="18">
        <v>6</v>
      </c>
      <c r="V95" s="18">
        <f t="shared" si="47"/>
        <v>156</v>
      </c>
      <c r="W95" s="287">
        <f t="shared" si="21"/>
        <v>3.4371764705882355</v>
      </c>
      <c r="X95" s="287" t="str">
        <f t="shared" si="22"/>
        <v>Yes</v>
      </c>
      <c r="Y95" s="93" t="e">
        <f t="shared" si="23"/>
        <v>#REF!</v>
      </c>
      <c r="Z95" s="288" t="e">
        <f t="shared" si="24"/>
        <v>#REF!</v>
      </c>
      <c r="AA95" s="94" t="e">
        <f t="shared" si="25"/>
        <v>#REF!</v>
      </c>
      <c r="AB95" s="288" t="e">
        <f t="shared" si="26"/>
        <v>#REF!</v>
      </c>
      <c r="AC95" s="91" t="e">
        <f>IF(X95="","",IF(D95="2 3D",((F95-0.5)*2+(G95-0.5)*2)*VLOOKUP("3D base",#REF!,2,FALSE),IF(D95="3 Canv", IF(E95="Roll",0,ROUND(SUM(F95:G95)*2,0)),0)*VLOOKUP("Stretcher Bar",#REF!,2,FALSE)))</f>
        <v>#REF!</v>
      </c>
      <c r="AD95" s="91" t="e">
        <f>IF(X95="","",IF(E95="Roll",0,IF(D95="2 3D",(SUM(F95:G95)*2)*VLOOKUP("3D epoxy",#REF!,2,FALSE),IF(D95="3 Canv",VLOOKUP("Wood glue",#REF!,2,FALSE),""))))</f>
        <v>#REF!</v>
      </c>
      <c r="AE95" s="91" t="e">
        <f>IF(D95="3 Canv",(((F95+5)*(G95+5)))*VLOOKUP("Canvas",#REF!,2,FALSE),IF(D95="2 3D",(((F95)*(G95)))*VLOOKUP("Dibond",#REF!,2,FALSE),""))</f>
        <v>#REF!</v>
      </c>
      <c r="AF95" s="91" t="e">
        <f>IF(D95="2 3D",F95*G95*VLOOKUP("3D ink",#REF!,2,FALSE),IF(D95="3 Canv",F95*G95*VLOOKUP("Canvas ink",#REF!,2,FALSE),""))</f>
        <v>#REF!</v>
      </c>
      <c r="AG95" s="91" t="e">
        <f>IF(D95="3 Canv",IF(E95="Roll","",ROUNDUP((SUM(F95:G95)*2)/3,"")*VLOOKUP("Staples",#REF!,2,FALSE)),"")</f>
        <v>#VALUE!</v>
      </c>
      <c r="AH95" s="91" t="e">
        <f>IF(AF95="","",(SUM(F95:G95)*2)*VLOOKUP(E95,#REF!,2,FALSE))</f>
        <v>#REF!</v>
      </c>
      <c r="AI95" s="18">
        <f t="shared" si="27"/>
        <v>16</v>
      </c>
      <c r="AJ95" s="91" t="e">
        <f>IF(AI95="","",AI95*VLOOKUP("Staples",#REF!,2,FALSE))</f>
        <v>#REF!</v>
      </c>
      <c r="AK95" s="18" t="e">
        <f t="shared" si="28"/>
        <v>#REF!</v>
      </c>
      <c r="AL95" s="91" t="e">
        <f>IF(AK95="","",AK95*VLOOKUP("Frame screw",#REF!,2,FALSE))</f>
        <v>#REF!</v>
      </c>
      <c r="AM95" s="18" t="e">
        <f t="shared" si="29"/>
        <v>#REF!</v>
      </c>
      <c r="AN95" s="91" t="e">
        <f>IF(AM95="","",AM95*VLOOKUP("D ring",#REF!,2,FALSE))</f>
        <v>#REF!</v>
      </c>
      <c r="AO95" s="18" t="e">
        <f t="shared" si="30"/>
        <v>#REF!</v>
      </c>
      <c r="AP95" s="91" t="e">
        <f>IF(AO95="","",IF(G95&gt;59,AO95* VLOOKUP("8 wire",#REF!,2,FALSE)*2,IF(G95&gt;39,AO95* VLOOKUP("8 wire",#REF!,2,FALSE),AO95* VLOOKUP("6 wire",#REF!,2,FALSE))))</f>
        <v>#REF!</v>
      </c>
      <c r="AQ95" s="18">
        <f t="shared" si="31"/>
        <v>4</v>
      </c>
      <c r="AR95" s="18" t="e">
        <f>IF(AQ95="","",AQ95*VLOOKUP("Pads",#REF!,2,FALSE))</f>
        <v>#REF!</v>
      </c>
      <c r="AS95" s="18">
        <f t="shared" si="32"/>
        <v>1</v>
      </c>
      <c r="AT95" s="91" t="e">
        <f>IF(AS95="","",AS95*VLOOKUP("4 mil bag",#REF!,2,FALSE))</f>
        <v>#REF!</v>
      </c>
      <c r="AU95" s="91">
        <f>IF(X95="","",IF(I95="N/A","",IF(I95="CNC",IF(G95&gt;37,20,10),VLOOKUP(I95,#REF!,2,FALSE))))</f>
        <v>20</v>
      </c>
      <c r="AV95" s="91" t="e">
        <f>IF(X95="","",IF(I95="CNC",VLOOKUP("Glue stick",#REF!,2,FALSE),""))</f>
        <v>#REF!</v>
      </c>
      <c r="AW95" s="91" t="e">
        <f>IF(X95="","",IF(I95="CNC",16*VLOOKUP("Box staples",#REF!,2,FALSE),""))</f>
        <v>#REF!</v>
      </c>
      <c r="AX95" s="18" t="e">
        <f>IF(X95="","",IF(I95="CNC",((((G95+6)+(F95+6))*2)+24)*VLOOKUP("sealing tape",#REF!,2,FALSE),VLOOKUP("Strapping tape",#REF!,2,FALSE)))</f>
        <v>#REF!</v>
      </c>
      <c r="AY95" s="17"/>
      <c r="AZ95" s="17"/>
      <c r="BA95" s="17"/>
      <c r="BB95" s="17"/>
      <c r="BC95" s="96"/>
      <c r="BD95" s="96"/>
      <c r="BE95" s="96"/>
      <c r="BF95" s="96"/>
      <c r="BG95" s="96"/>
      <c r="BH95" s="96"/>
      <c r="BI95" s="96"/>
    </row>
    <row r="96" spans="1:61" x14ac:dyDescent="0.45">
      <c r="A96" s="261" t="s">
        <v>406</v>
      </c>
      <c r="B96" s="101" t="s">
        <v>1161</v>
      </c>
      <c r="C96" s="263">
        <v>44579</v>
      </c>
      <c r="D96" s="101" t="s">
        <v>66</v>
      </c>
      <c r="E96" s="262" t="s">
        <v>50</v>
      </c>
      <c r="F96" s="101">
        <v>24</v>
      </c>
      <c r="G96" s="101">
        <v>43</v>
      </c>
      <c r="H96" s="264" t="s">
        <v>43</v>
      </c>
      <c r="I96" s="98" t="s">
        <v>41</v>
      </c>
      <c r="J96" s="97">
        <v>44595</v>
      </c>
      <c r="K96" s="262">
        <v>600</v>
      </c>
      <c r="L96" s="265">
        <v>30</v>
      </c>
      <c r="M96" s="99">
        <v>49.09</v>
      </c>
      <c r="N96" s="98">
        <v>13</v>
      </c>
      <c r="O96" s="414" t="str">
        <f t="shared" si="1"/>
        <v>24 x 43</v>
      </c>
      <c r="P96" s="100" t="str">
        <f t="shared" si="2"/>
        <v>24 x 43</v>
      </c>
      <c r="Q96" s="274" t="str">
        <f t="shared" si="3"/>
        <v>N/A</v>
      </c>
      <c r="R96" s="100" t="str">
        <f t="shared" si="4"/>
        <v>49 x 30 x 6</v>
      </c>
      <c r="S96" s="100">
        <v>49</v>
      </c>
      <c r="T96" s="100">
        <v>30</v>
      </c>
      <c r="U96" s="100">
        <v>6</v>
      </c>
      <c r="V96" s="100">
        <f t="shared" si="47"/>
        <v>120</v>
      </c>
      <c r="W96" s="289">
        <f t="shared" si="21"/>
        <v>1.6363333333333334</v>
      </c>
      <c r="X96" s="289" t="str">
        <f t="shared" si="22"/>
        <v>Yes</v>
      </c>
      <c r="Y96" s="275" t="e">
        <f t="shared" si="23"/>
        <v>#REF!</v>
      </c>
      <c r="Z96" s="308" t="e">
        <f t="shared" si="24"/>
        <v>#REF!</v>
      </c>
      <c r="AA96" s="276" t="e">
        <f t="shared" si="25"/>
        <v>#REF!</v>
      </c>
      <c r="AB96" s="308" t="e">
        <f t="shared" si="26"/>
        <v>#REF!</v>
      </c>
      <c r="AC96" s="274" t="e">
        <f>IF(X96="","",IF(D96="2 3D",((F96-0.5)*2+(G96-0.5)*2)*VLOOKUP("3D base",#REF!,2,FALSE),IF(D96="3 Canv", IF(E96="Roll",0,ROUND(SUM(F96:G96)*2,0)),0)*VLOOKUP("Stretcher Bar",#REF!,2,FALSE)))</f>
        <v>#REF!</v>
      </c>
      <c r="AD96" s="274" t="e">
        <f>IF(X96="","",IF(E96="Roll",0,IF(D96="2 3D",(SUM(F96:G96)*2)*VLOOKUP("3D epoxy",#REF!,2,FALSE),IF(D96="3 Canv",VLOOKUP("Wood glue",#REF!,2,FALSE),""))))</f>
        <v>#REF!</v>
      </c>
      <c r="AE96" s="274" t="e">
        <f>IF(D96="3 Canv",(((F96+5)*(G96+5)))*VLOOKUP("Canvas",#REF!,2,FALSE),IF(D96="2 3D",(((F96)*(G96)))*VLOOKUP("Dibond",#REF!,2,FALSE),""))</f>
        <v>#REF!</v>
      </c>
      <c r="AF96" s="274" t="e">
        <f>IF(D96="2 3D",F96*G96*VLOOKUP("3D ink",#REF!,2,FALSE),IF(D96="3 Canv",F96*G96*VLOOKUP("Canvas ink",#REF!,2,FALSE),""))</f>
        <v>#REF!</v>
      </c>
      <c r="AG96" s="274" t="e">
        <f>IF(D96="3 Canv",IF(E96="Roll","",ROUNDUP((SUM(F96:G96)*2)/3,"")*VLOOKUP("Staples",#REF!,2,FALSE)),"")</f>
        <v>#VALUE!</v>
      </c>
      <c r="AH96" s="274" t="e">
        <f>IF(AF96="","",(SUM(F96:G96)*2)*VLOOKUP(E96,#REF!,2,FALSE))</f>
        <v>#REF!</v>
      </c>
      <c r="AI96" s="100">
        <f t="shared" si="27"/>
        <v>16</v>
      </c>
      <c r="AJ96" s="274" t="e">
        <f>IF(AI96="","",AI96*VLOOKUP("Staples",#REF!,2,FALSE))</f>
        <v>#REF!</v>
      </c>
      <c r="AK96" s="100" t="e">
        <f t="shared" si="28"/>
        <v>#REF!</v>
      </c>
      <c r="AL96" s="274" t="e">
        <f>IF(AK96="","",AK96*VLOOKUP("Frame screw",#REF!,2,FALSE))</f>
        <v>#REF!</v>
      </c>
      <c r="AM96" s="100" t="e">
        <f t="shared" si="29"/>
        <v>#REF!</v>
      </c>
      <c r="AN96" s="274" t="e">
        <f>IF(AM96="","",AM96*VLOOKUP("D ring",#REF!,2,FALSE))</f>
        <v>#REF!</v>
      </c>
      <c r="AO96" s="100" t="e">
        <f t="shared" si="30"/>
        <v>#REF!</v>
      </c>
      <c r="AP96" s="274" t="e">
        <f>IF(AO96="","",IF(G96&gt;59,AO96* VLOOKUP("8 wire",#REF!,2,FALSE)*2,IF(G96&gt;39,AO96* VLOOKUP("8 wire",#REF!,2,FALSE),AO96* VLOOKUP("6 wire",#REF!,2,FALSE))))</f>
        <v>#REF!</v>
      </c>
      <c r="AQ96" s="100">
        <f t="shared" si="31"/>
        <v>4</v>
      </c>
      <c r="AR96" s="100" t="e">
        <f>IF(AQ96="","",AQ96*VLOOKUP("Pads",#REF!,2,FALSE))</f>
        <v>#REF!</v>
      </c>
      <c r="AS96" s="100">
        <f t="shared" si="32"/>
        <v>1</v>
      </c>
      <c r="AT96" s="274" t="e">
        <f>IF(AS96="","",AS96*VLOOKUP("4 mil bag",#REF!,2,FALSE))</f>
        <v>#REF!</v>
      </c>
      <c r="AU96" s="274">
        <f>IF(X96="","",IF(I96="N/A","",IF(I96="CNC",IF(G96&gt;37,20,10),VLOOKUP(I96,#REF!,2,FALSE))))</f>
        <v>20</v>
      </c>
      <c r="AV96" s="274" t="e">
        <f>IF(X96="","",IF(I96="CNC",VLOOKUP("Glue stick",#REF!,2,FALSE),""))</f>
        <v>#REF!</v>
      </c>
      <c r="AW96" s="274" t="e">
        <f>IF(X96="","",IF(I96="CNC",16*VLOOKUP("Box staples",#REF!,2,FALSE),""))</f>
        <v>#REF!</v>
      </c>
      <c r="AX96" s="100" t="e">
        <f>IF(X96="","",IF(I96="CNC",((((G96+6)+(F96+6))*2)+24)*VLOOKUP("sealing tape",#REF!,2,FALSE),VLOOKUP("Strapping tape",#REF!,2,FALSE)))</f>
        <v>#REF!</v>
      </c>
      <c r="AY96" s="101"/>
      <c r="AZ96" s="101"/>
      <c r="BA96" s="101"/>
      <c r="BB96" s="17"/>
      <c r="BC96" s="96"/>
      <c r="BD96" s="96"/>
      <c r="BE96" s="96"/>
      <c r="BF96" s="96"/>
      <c r="BG96" s="96"/>
      <c r="BH96" s="96"/>
      <c r="BI96" s="96"/>
    </row>
    <row r="97" spans="1:61" x14ac:dyDescent="0.45">
      <c r="A97" s="103" t="s">
        <v>1039</v>
      </c>
      <c r="B97" s="17" t="s">
        <v>1167</v>
      </c>
      <c r="C97" s="16">
        <v>44585</v>
      </c>
      <c r="D97" s="17" t="s">
        <v>66</v>
      </c>
      <c r="E97" s="15" t="s">
        <v>50</v>
      </c>
      <c r="F97" s="17">
        <v>21</v>
      </c>
      <c r="G97" s="17">
        <v>28</v>
      </c>
      <c r="H97" s="3" t="s">
        <v>43</v>
      </c>
      <c r="I97" s="88" t="s">
        <v>41</v>
      </c>
      <c r="J97" s="87">
        <v>44595</v>
      </c>
      <c r="K97" s="15">
        <v>406.3</v>
      </c>
      <c r="L97" s="96">
        <v>25</v>
      </c>
      <c r="M97" s="89">
        <v>25.71</v>
      </c>
      <c r="N97" s="88">
        <v>7</v>
      </c>
      <c r="O97" s="413" t="str">
        <f t="shared" si="1"/>
        <v>21 x 28</v>
      </c>
      <c r="P97" s="18" t="str">
        <f t="shared" si="2"/>
        <v>21 x 28</v>
      </c>
      <c r="Q97" s="91" t="str">
        <f t="shared" si="3"/>
        <v>N/A</v>
      </c>
      <c r="R97" s="18" t="str">
        <f t="shared" si="4"/>
        <v>34 x 27 x 6</v>
      </c>
      <c r="S97" s="18">
        <v>34</v>
      </c>
      <c r="T97" s="18">
        <v>27</v>
      </c>
      <c r="U97" s="18">
        <v>6</v>
      </c>
      <c r="V97" s="18">
        <f t="shared" si="47"/>
        <v>99</v>
      </c>
      <c r="W97" s="287">
        <f t="shared" si="21"/>
        <v>1.0284</v>
      </c>
      <c r="X97" s="287" t="str">
        <f t="shared" si="22"/>
        <v>Yes</v>
      </c>
      <c r="Y97" s="93" t="e">
        <f t="shared" si="23"/>
        <v>#REF!</v>
      </c>
      <c r="Z97" s="288" t="e">
        <f t="shared" si="24"/>
        <v>#REF!</v>
      </c>
      <c r="AA97" s="94" t="e">
        <f t="shared" si="25"/>
        <v>#REF!</v>
      </c>
      <c r="AB97" s="288" t="e">
        <f t="shared" si="26"/>
        <v>#REF!</v>
      </c>
      <c r="AC97" s="91" t="e">
        <f>IF(X97="","",IF(D97="2 3D",((F97-0.5)*2+(G97-0.5)*2)*VLOOKUP("3D base",#REF!,2,FALSE),IF(D97="3 Canv", IF(E97="Roll",0,ROUND(SUM(F97:G97)*2,0)),0)*VLOOKUP("Stretcher Bar",#REF!,2,FALSE)))</f>
        <v>#REF!</v>
      </c>
      <c r="AD97" s="91" t="e">
        <f>IF(X97="","",IF(E97="Roll",0,IF(D97="2 3D",(SUM(F97:G97)*2)*VLOOKUP("3D epoxy",#REF!,2,FALSE),IF(D97="3 Canv",VLOOKUP("Wood glue",#REF!,2,FALSE),""))))</f>
        <v>#REF!</v>
      </c>
      <c r="AE97" s="91" t="e">
        <f>IF(D97="3 Canv",(((F97+5)*(G97+5)))*VLOOKUP("Canvas",#REF!,2,FALSE),IF(D97="2 3D",(((F97)*(G97)))*VLOOKUP("Dibond",#REF!,2,FALSE),""))</f>
        <v>#REF!</v>
      </c>
      <c r="AF97" s="91" t="e">
        <f>IF(D97="2 3D",F97*G97*VLOOKUP("3D ink",#REF!,2,FALSE),IF(D97="3 Canv",F97*G97*VLOOKUP("Canvas ink",#REF!,2,FALSE),""))</f>
        <v>#REF!</v>
      </c>
      <c r="AG97" s="91" t="e">
        <f>IF(D97="3 Canv",IF(E97="Roll","",ROUNDUP((SUM(F97:G97)*2)/3,"")*VLOOKUP("Staples",#REF!,2,FALSE)),"")</f>
        <v>#VALUE!</v>
      </c>
      <c r="AH97" s="91" t="e">
        <f>IF(AF97="","",(SUM(F97:G97)*2)*VLOOKUP(E97,#REF!,2,FALSE))</f>
        <v>#REF!</v>
      </c>
      <c r="AI97" s="18">
        <f t="shared" si="27"/>
        <v>16</v>
      </c>
      <c r="AJ97" s="91" t="e">
        <f>IF(AI97="","",AI97*VLOOKUP("Staples",#REF!,2,FALSE))</f>
        <v>#REF!</v>
      </c>
      <c r="AK97" s="18" t="e">
        <f t="shared" si="28"/>
        <v>#REF!</v>
      </c>
      <c r="AL97" s="91" t="e">
        <f>IF(AK97="","",AK97*VLOOKUP("Frame screw",#REF!,2,FALSE))</f>
        <v>#REF!</v>
      </c>
      <c r="AM97" s="18" t="e">
        <f t="shared" si="29"/>
        <v>#REF!</v>
      </c>
      <c r="AN97" s="91" t="e">
        <f>IF(AM97="","",AM97*VLOOKUP("D ring",#REF!,2,FALSE))</f>
        <v>#REF!</v>
      </c>
      <c r="AO97" s="18" t="e">
        <f t="shared" si="30"/>
        <v>#REF!</v>
      </c>
      <c r="AP97" s="91" t="e">
        <f>IF(AO97="","",IF(G97&gt;59,AO97* VLOOKUP("8 wire",#REF!,2,FALSE)*2,IF(G97&gt;39,AO97* VLOOKUP("8 wire",#REF!,2,FALSE),AO97* VLOOKUP("6 wire",#REF!,2,FALSE))))</f>
        <v>#REF!</v>
      </c>
      <c r="AQ97" s="18">
        <f t="shared" si="31"/>
        <v>4</v>
      </c>
      <c r="AR97" s="18" t="e">
        <f>IF(AQ97="","",AQ97*VLOOKUP("Pads",#REF!,2,FALSE))</f>
        <v>#REF!</v>
      </c>
      <c r="AS97" s="18">
        <f t="shared" si="32"/>
        <v>1</v>
      </c>
      <c r="AT97" s="91" t="e">
        <f>IF(AS97="","",AS97*VLOOKUP("4 mil bag",#REF!,2,FALSE))</f>
        <v>#REF!</v>
      </c>
      <c r="AU97" s="91">
        <f>IF(X97="","",IF(I97="N/A","",IF(I97="CNC",IF(G97&gt;37,20,10),VLOOKUP(I97,#REF!,2,FALSE))))</f>
        <v>10</v>
      </c>
      <c r="AV97" s="91" t="e">
        <f>IF(X97="","",IF(I97="CNC",VLOOKUP("Glue stick",#REF!,2,FALSE),""))</f>
        <v>#REF!</v>
      </c>
      <c r="AW97" s="91" t="e">
        <f>IF(X97="","",IF(I97="CNC",16*VLOOKUP("Box staples",#REF!,2,FALSE),""))</f>
        <v>#REF!</v>
      </c>
      <c r="AX97" s="18" t="e">
        <f>IF(X97="","",IF(I97="CNC",((((G97+6)+(F97+6))*2)+24)*VLOOKUP("sealing tape",#REF!,2,FALSE),VLOOKUP("Strapping tape",#REF!,2,FALSE)))</f>
        <v>#REF!</v>
      </c>
      <c r="AY97" s="17"/>
      <c r="AZ97" s="17"/>
      <c r="BA97" s="17"/>
      <c r="BB97" s="17"/>
      <c r="BC97" s="96"/>
      <c r="BD97" s="96"/>
      <c r="BE97" s="96"/>
      <c r="BF97" s="96"/>
      <c r="BG97" s="96"/>
      <c r="BH97" s="96"/>
      <c r="BI97" s="96"/>
    </row>
    <row r="98" spans="1:61" x14ac:dyDescent="0.45">
      <c r="A98" s="103" t="s">
        <v>150</v>
      </c>
      <c r="B98" s="17" t="s">
        <v>1166</v>
      </c>
      <c r="C98" s="16">
        <v>44580</v>
      </c>
      <c r="D98" s="17" t="s">
        <v>66</v>
      </c>
      <c r="E98" s="15" t="s">
        <v>558</v>
      </c>
      <c r="F98" s="17">
        <v>29</v>
      </c>
      <c r="G98" s="17">
        <v>36</v>
      </c>
      <c r="H98" s="3" t="s">
        <v>43</v>
      </c>
      <c r="I98" s="88" t="s">
        <v>84</v>
      </c>
      <c r="J98" s="87">
        <v>44596</v>
      </c>
      <c r="K98" s="15">
        <v>369</v>
      </c>
      <c r="L98" s="96">
        <v>20</v>
      </c>
      <c r="M98" s="89">
        <v>9.9499999999999993</v>
      </c>
      <c r="N98" s="88">
        <v>2</v>
      </c>
      <c r="O98" s="413" t="str">
        <f t="shared" si="1"/>
        <v>29 x 36</v>
      </c>
      <c r="P98" s="18" t="str">
        <f t="shared" si="2"/>
        <v>N/A</v>
      </c>
      <c r="Q98" s="91">
        <f t="shared" si="3"/>
        <v>2.85</v>
      </c>
      <c r="R98" s="18" t="str">
        <f t="shared" si="4"/>
        <v>37 x 3 x 3</v>
      </c>
      <c r="S98" s="18">
        <v>37</v>
      </c>
      <c r="T98" s="18">
        <v>3</v>
      </c>
      <c r="U98" s="18">
        <v>3</v>
      </c>
      <c r="V98" s="90">
        <f t="shared" si="47"/>
        <v>49</v>
      </c>
      <c r="W98" s="287">
        <f t="shared" si="21"/>
        <v>0.49749999999999994</v>
      </c>
      <c r="X98" s="287" t="str">
        <f t="shared" si="22"/>
        <v>Yes</v>
      </c>
      <c r="Y98" s="93" t="e">
        <f t="shared" si="23"/>
        <v>#REF!</v>
      </c>
      <c r="Z98" s="288" t="e">
        <f t="shared" si="24"/>
        <v>#REF!</v>
      </c>
      <c r="AA98" s="94" t="e">
        <f t="shared" si="25"/>
        <v>#REF!</v>
      </c>
      <c r="AB98" s="288" t="e">
        <f t="shared" si="26"/>
        <v>#REF!</v>
      </c>
      <c r="AC98" s="91" t="e">
        <f>IF(X98="","",IF(D98="2 3D",((F98-0.5)*2+(G98-0.5)*2)*VLOOKUP("3D base",#REF!,2,FALSE),IF(D98="3 Canv", IF(E98="Roll",0,ROUND(SUM(F98:G98)*2,0)),0)*VLOOKUP("Stretcher Bar",#REF!,2,FALSE)))</f>
        <v>#REF!</v>
      </c>
      <c r="AD98" s="91">
        <f>IF(X98="","",IF(E98="Roll",0,IF(D98="2 3D",(SUM(F98:G98)*2)*VLOOKUP("3D epoxy",#REF!,2,FALSE),IF(D98="3 Canv",VLOOKUP("Wood glue",#REF!,2,FALSE),""))))</f>
        <v>0</v>
      </c>
      <c r="AE98" s="91" t="e">
        <f>IF(D98="3 Canv",(((F98+5)*(G98+5)))*VLOOKUP("Canvas",#REF!,2,FALSE),IF(D98="2 3D",(((F98)*(G98)))*VLOOKUP("Dibond",#REF!,2,FALSE),""))</f>
        <v>#REF!</v>
      </c>
      <c r="AF98" s="91" t="e">
        <f>IF(D98="2 3D",F98*G98*VLOOKUP("3D ink",#REF!,2,FALSE),IF(D98="3 Canv",F98*G98*VLOOKUP("Canvas ink",#REF!,2,FALSE),""))</f>
        <v>#REF!</v>
      </c>
      <c r="AG98" s="91" t="str">
        <f>IF(D98="3 Canv",IF(E98="Roll","",ROUNDUP((SUM(F98:G98)*2)/3,"")*VLOOKUP("Staples",#REF!,2,FALSE)),"")</f>
        <v/>
      </c>
      <c r="AH98" s="91" t="e">
        <f>IF(AF98="","",(SUM(F98:G98)*2)*VLOOKUP(E98,#REF!,2,FALSE))</f>
        <v>#REF!</v>
      </c>
      <c r="AI98" s="18" t="str">
        <f t="shared" si="27"/>
        <v/>
      </c>
      <c r="AJ98" s="91" t="str">
        <f>IF(AI98="","",AI98*VLOOKUP("Staples",#REF!,2,FALSE))</f>
        <v/>
      </c>
      <c r="AK98" s="18" t="str">
        <f t="shared" si="28"/>
        <v/>
      </c>
      <c r="AL98" s="91" t="str">
        <f>IF(AK98="","",AK98*VLOOKUP("Frame screw",#REF!,2,FALSE))</f>
        <v/>
      </c>
      <c r="AM98" s="18" t="e">
        <f t="shared" si="29"/>
        <v>#REF!</v>
      </c>
      <c r="AN98" s="91" t="e">
        <f>IF(AM98="","",AM98*VLOOKUP("D ring",#REF!,2,FALSE))</f>
        <v>#REF!</v>
      </c>
      <c r="AO98" s="18" t="e">
        <f t="shared" si="30"/>
        <v>#REF!</v>
      </c>
      <c r="AP98" s="18" t="e">
        <f>IF(AO98="","",IF(G98&gt;59,AO98* VLOOKUP("8 wire",#REF!,2,FALSE)*2,IF(G98&gt;39,AO98* VLOOKUP("8 wire",#REF!,2,FALSE),AO98* VLOOKUP("6 wire",#REF!,2,FALSE))))</f>
        <v>#REF!</v>
      </c>
      <c r="AQ98" s="18" t="str">
        <f t="shared" si="31"/>
        <v/>
      </c>
      <c r="AR98" s="18" t="str">
        <f>IF(AQ98="","",AQ98*VLOOKUP("Pads",#REF!,2,FALSE))</f>
        <v/>
      </c>
      <c r="AS98" s="18" t="str">
        <f t="shared" si="32"/>
        <v/>
      </c>
      <c r="AT98" s="18" t="str">
        <f>IF(AS98="","",AS98*VLOOKUP("4 mil bag",#REF!,2,FALSE))</f>
        <v/>
      </c>
      <c r="AU98" s="91" t="e">
        <f>IF(X98="","",IF(I98="N/A","",IF(I98="CNC",IF(G98&gt;37,20,10),VLOOKUP(I98,#REF!,2,FALSE))))</f>
        <v>#REF!</v>
      </c>
      <c r="AV98" s="18" t="str">
        <f>IF(X98="","",IF(I98="CNC",VLOOKUP("Glue stick",#REF!,2,FALSE),""))</f>
        <v/>
      </c>
      <c r="AW98" s="18" t="str">
        <f>IF(X98="","",IF(I98="CNC",16*VLOOKUP("Box staples",#REF!,2,FALSE),""))</f>
        <v/>
      </c>
      <c r="AX98" s="91" t="e">
        <f>IF(X98="","",IF(I98="CNC",((((G98+6)+(F98+6))*2)+24)*VLOOKUP("sealing tape",#REF!,2,FALSE),VLOOKUP("Strapping tape",#REF!,2,FALSE)))</f>
        <v>#REF!</v>
      </c>
      <c r="AY98" s="17"/>
      <c r="AZ98" s="17"/>
      <c r="BA98" s="17"/>
      <c r="BB98" s="17"/>
      <c r="BC98" s="96"/>
      <c r="BD98" s="96"/>
      <c r="BE98" s="96"/>
      <c r="BF98" s="96"/>
      <c r="BG98" s="96"/>
      <c r="BH98" s="96"/>
      <c r="BI98" s="96"/>
    </row>
    <row r="99" spans="1:61" x14ac:dyDescent="0.45">
      <c r="A99" s="103" t="s">
        <v>1165</v>
      </c>
      <c r="B99" s="17" t="s">
        <v>86</v>
      </c>
      <c r="C99" s="16">
        <v>44582</v>
      </c>
      <c r="D99" s="17" t="s">
        <v>66</v>
      </c>
      <c r="E99" s="15" t="s">
        <v>51</v>
      </c>
      <c r="F99" s="17">
        <v>30</v>
      </c>
      <c r="G99" s="17">
        <v>30</v>
      </c>
      <c r="H99" s="3" t="s">
        <v>43</v>
      </c>
      <c r="I99" s="88" t="s">
        <v>41</v>
      </c>
      <c r="J99" s="87">
        <v>44596</v>
      </c>
      <c r="K99" s="15">
        <v>700</v>
      </c>
      <c r="L99" s="96">
        <v>35</v>
      </c>
      <c r="M99" s="89">
        <v>28.83</v>
      </c>
      <c r="N99" s="88">
        <v>17</v>
      </c>
      <c r="O99" s="413" t="str">
        <f t="shared" si="1"/>
        <v>30 x 30</v>
      </c>
      <c r="P99" s="18" t="str">
        <f t="shared" si="2"/>
        <v>32 x 32</v>
      </c>
      <c r="Q99" s="91" t="str">
        <f t="shared" si="3"/>
        <v>N/A</v>
      </c>
      <c r="R99" s="18" t="str">
        <f t="shared" si="4"/>
        <v>38 x 39 x 6</v>
      </c>
      <c r="S99" s="18">
        <v>38</v>
      </c>
      <c r="T99" s="18">
        <v>39</v>
      </c>
      <c r="U99" s="18">
        <v>6</v>
      </c>
      <c r="V99" s="18">
        <f t="shared" si="47"/>
        <v>119</v>
      </c>
      <c r="W99" s="287">
        <f t="shared" si="21"/>
        <v>0.82371428571428562</v>
      </c>
      <c r="X99" s="287" t="str">
        <f t="shared" si="22"/>
        <v>Yes</v>
      </c>
      <c r="Y99" s="93" t="e">
        <f t="shared" si="23"/>
        <v>#REF!</v>
      </c>
      <c r="Z99" s="288" t="e">
        <f t="shared" si="24"/>
        <v>#REF!</v>
      </c>
      <c r="AA99" s="94" t="e">
        <f t="shared" si="25"/>
        <v>#REF!</v>
      </c>
      <c r="AB99" s="288" t="e">
        <f t="shared" si="26"/>
        <v>#REF!</v>
      </c>
      <c r="AC99" s="91" t="e">
        <f>IF(X99="","",IF(D99="2 3D",((F99-0.5)*2+(G99-0.5)*2)*VLOOKUP("3D base",#REF!,2,FALSE),IF(D99="3 Canv", IF(E99="Roll",0,ROUND(SUM(F99:G99)*2,0)),0)*VLOOKUP("Stretcher Bar",#REF!,2,FALSE)))</f>
        <v>#REF!</v>
      </c>
      <c r="AD99" s="91" t="e">
        <f>IF(X99="","",IF(E99="Roll",0,IF(D99="2 3D",(SUM(F99:G99)*2)*VLOOKUP("3D epoxy",#REF!,2,FALSE),IF(D99="3 Canv",VLOOKUP("Wood glue",#REF!,2,FALSE),""))))</f>
        <v>#REF!</v>
      </c>
      <c r="AE99" s="91" t="e">
        <f>IF(D99="3 Canv",(((F99+5)*(G99+5)))*VLOOKUP("Canvas",#REF!,2,FALSE),IF(D99="2 3D",(((F99)*(G99)))*VLOOKUP("Dibond",#REF!,2,FALSE),""))</f>
        <v>#REF!</v>
      </c>
      <c r="AF99" s="91" t="e">
        <f>IF(D99="2 3D",F99*G99*VLOOKUP("3D ink",#REF!,2,FALSE),IF(D99="3 Canv",F99*G99*VLOOKUP("Canvas ink",#REF!,2,FALSE),""))</f>
        <v>#REF!</v>
      </c>
      <c r="AG99" s="91" t="e">
        <f>IF(D99="3 Canv",IF(E99="Roll","",ROUNDUP((SUM(F99:G99)*2)/3,"")*VLOOKUP("Staples",#REF!,2,FALSE)),"")</f>
        <v>#VALUE!</v>
      </c>
      <c r="AH99" s="91" t="e">
        <f>IF(AF99="","",(SUM(F99:G99)*2)*VLOOKUP(E99,#REF!,2,FALSE))</f>
        <v>#REF!</v>
      </c>
      <c r="AI99" s="18">
        <f t="shared" si="27"/>
        <v>44</v>
      </c>
      <c r="AJ99" s="91" t="e">
        <f>IF(AI99="","",AI99*VLOOKUP("Staples",#REF!,2,FALSE))</f>
        <v>#REF!</v>
      </c>
      <c r="AK99" s="18" t="e">
        <f t="shared" si="28"/>
        <v>#REF!</v>
      </c>
      <c r="AL99" s="91" t="e">
        <f>IF(AK99="","",AK99*VLOOKUP("Frame screw",#REF!,2,FALSE))</f>
        <v>#REF!</v>
      </c>
      <c r="AM99" s="18" t="e">
        <f t="shared" si="29"/>
        <v>#REF!</v>
      </c>
      <c r="AN99" s="91" t="e">
        <f>IF(AM99="","",AM99*VLOOKUP("D ring",#REF!,2,FALSE))</f>
        <v>#REF!</v>
      </c>
      <c r="AO99" s="18" t="e">
        <f t="shared" si="30"/>
        <v>#REF!</v>
      </c>
      <c r="AP99" s="91" t="e">
        <f>IF(AO99="","",IF(G99&gt;59,AO99* VLOOKUP("8 wire",#REF!,2,FALSE)*2,IF(G99&gt;39,AO99* VLOOKUP("8 wire",#REF!,2,FALSE),AO99* VLOOKUP("6 wire",#REF!,2,FALSE))))</f>
        <v>#REF!</v>
      </c>
      <c r="AQ99" s="18">
        <f t="shared" si="31"/>
        <v>4</v>
      </c>
      <c r="AR99" s="18" t="e">
        <f>IF(AQ99="","",AQ99*VLOOKUP("Pads",#REF!,2,FALSE))</f>
        <v>#REF!</v>
      </c>
      <c r="AS99" s="18">
        <f t="shared" si="32"/>
        <v>1</v>
      </c>
      <c r="AT99" s="91" t="e">
        <f>IF(AS99="","",AS99*VLOOKUP("4 mil bag",#REF!,2,FALSE))</f>
        <v>#REF!</v>
      </c>
      <c r="AU99" s="91">
        <f>IF(X99="","",IF(I99="N/A","",IF(I99="CNC",IF(G99&gt;37,20,10),VLOOKUP(I99,#REF!,2,FALSE))))</f>
        <v>10</v>
      </c>
      <c r="AV99" s="91" t="e">
        <f>IF(X99="","",IF(I99="CNC",VLOOKUP("Glue stick",#REF!,2,FALSE),""))</f>
        <v>#REF!</v>
      </c>
      <c r="AW99" s="91" t="e">
        <f>IF(X99="","",IF(I99="CNC",16*VLOOKUP("Box staples",#REF!,2,FALSE),""))</f>
        <v>#REF!</v>
      </c>
      <c r="AX99" s="18" t="e">
        <f>IF(X99="","",IF(I99="CNC",((((G99+6)+(F99+6))*2)+24)*VLOOKUP("sealing tape",#REF!,2,FALSE),VLOOKUP("Strapping tape",#REF!,2,FALSE)))</f>
        <v>#REF!</v>
      </c>
      <c r="AY99" s="17"/>
      <c r="AZ99" s="17"/>
      <c r="BA99" s="17"/>
      <c r="BB99" s="17"/>
      <c r="BC99" s="96"/>
      <c r="BD99" s="96"/>
      <c r="BE99" s="96"/>
      <c r="BF99" s="96"/>
      <c r="BG99" s="96"/>
      <c r="BH99" s="96"/>
      <c r="BI99" s="96"/>
    </row>
    <row r="100" spans="1:61" x14ac:dyDescent="0.45">
      <c r="A100" s="103" t="s">
        <v>1164</v>
      </c>
      <c r="B100" s="17" t="s">
        <v>86</v>
      </c>
      <c r="C100" s="16">
        <v>44582</v>
      </c>
      <c r="D100" s="17" t="s">
        <v>66</v>
      </c>
      <c r="E100" s="15" t="s">
        <v>1</v>
      </c>
      <c r="F100" s="17">
        <v>18</v>
      </c>
      <c r="G100" s="17">
        <v>24</v>
      </c>
      <c r="H100" s="3" t="s">
        <v>43</v>
      </c>
      <c r="I100" s="88" t="s">
        <v>41</v>
      </c>
      <c r="J100" s="87">
        <v>44596</v>
      </c>
      <c r="K100" s="15">
        <v>605</v>
      </c>
      <c r="L100" s="96">
        <v>35</v>
      </c>
      <c r="M100" s="89">
        <v>12.64</v>
      </c>
      <c r="N100" s="88">
        <v>11</v>
      </c>
      <c r="O100" s="413" t="str">
        <f t="shared" si="1"/>
        <v>18 x 24</v>
      </c>
      <c r="P100" s="18" t="str">
        <f t="shared" si="2"/>
        <v>20 x 26</v>
      </c>
      <c r="Q100" s="91" t="str">
        <f t="shared" si="3"/>
        <v>N/A</v>
      </c>
      <c r="R100" s="18" t="str">
        <f t="shared" si="4"/>
        <v>32 x 27 x 6</v>
      </c>
      <c r="S100" s="18">
        <v>32</v>
      </c>
      <c r="T100" s="18">
        <v>27</v>
      </c>
      <c r="U100" s="18">
        <v>6</v>
      </c>
      <c r="V100" s="18">
        <f t="shared" si="47"/>
        <v>89</v>
      </c>
      <c r="W100" s="287">
        <f t="shared" si="21"/>
        <v>0.36114285714285715</v>
      </c>
      <c r="X100" s="287" t="str">
        <f t="shared" si="22"/>
        <v>Yes</v>
      </c>
      <c r="Y100" s="93" t="e">
        <f t="shared" si="23"/>
        <v>#REF!</v>
      </c>
      <c r="Z100" s="288" t="e">
        <f t="shared" si="24"/>
        <v>#REF!</v>
      </c>
      <c r="AA100" s="94" t="e">
        <f t="shared" si="25"/>
        <v>#REF!</v>
      </c>
      <c r="AB100" s="288" t="e">
        <f t="shared" si="26"/>
        <v>#REF!</v>
      </c>
      <c r="AC100" s="91" t="e">
        <f>IF(X100="","",IF(D100="2 3D",((F100-0.5)*2+(G100-0.5)*2)*VLOOKUP("3D base",#REF!,2,FALSE),IF(D100="3 Canv", IF(E100="Roll",0,ROUND(SUM(F100:G100)*2,0)),0)*VLOOKUP("Stretcher Bar",#REF!,2,FALSE)))</f>
        <v>#REF!</v>
      </c>
      <c r="AD100" s="91" t="e">
        <f>IF(X100="","",IF(E100="Roll",0,IF(D100="2 3D",(SUM(F100:G100)*2)*VLOOKUP("3D epoxy",#REF!,2,FALSE),IF(D100="3 Canv",VLOOKUP("Wood glue",#REF!,2,FALSE),""))))</f>
        <v>#REF!</v>
      </c>
      <c r="AE100" s="91" t="e">
        <f>IF(D100="3 Canv",(((F100+5)*(G100+5)))*VLOOKUP("Canvas",#REF!,2,FALSE),IF(D100="2 3D",(((F100)*(G100)))*VLOOKUP("Dibond",#REF!,2,FALSE),""))</f>
        <v>#REF!</v>
      </c>
      <c r="AF100" s="91" t="e">
        <f>IF(D100="2 3D",F100*G100*VLOOKUP("3D ink",#REF!,2,FALSE),IF(D100="3 Canv",F100*G100*VLOOKUP("Canvas ink",#REF!,2,FALSE),""))</f>
        <v>#REF!</v>
      </c>
      <c r="AG100" s="91" t="e">
        <f>IF(D100="3 Canv",IF(E100="Roll","",ROUNDUP((SUM(F100:G100)*2)/3,"")*VLOOKUP("Staples",#REF!,2,FALSE)),"")</f>
        <v>#VALUE!</v>
      </c>
      <c r="AH100" s="91" t="e">
        <f>IF(AF100="","",(SUM(F100:G100)*2)*VLOOKUP(E100,#REF!,2,FALSE))</f>
        <v>#REF!</v>
      </c>
      <c r="AI100" s="18">
        <f t="shared" si="27"/>
        <v>44</v>
      </c>
      <c r="AJ100" s="91" t="e">
        <f>IF(AI100="","",AI100*VLOOKUP("Staples",#REF!,2,FALSE))</f>
        <v>#REF!</v>
      </c>
      <c r="AK100" s="18" t="e">
        <f t="shared" si="28"/>
        <v>#REF!</v>
      </c>
      <c r="AL100" s="91" t="e">
        <f>IF(AK100="","",AK100*VLOOKUP("Frame screw",#REF!,2,FALSE))</f>
        <v>#REF!</v>
      </c>
      <c r="AM100" s="18" t="e">
        <f t="shared" si="29"/>
        <v>#REF!</v>
      </c>
      <c r="AN100" s="91" t="e">
        <f>IF(AM100="","",AM100*VLOOKUP("D ring",#REF!,2,FALSE))</f>
        <v>#REF!</v>
      </c>
      <c r="AO100" s="18" t="e">
        <f t="shared" si="30"/>
        <v>#REF!</v>
      </c>
      <c r="AP100" s="91" t="e">
        <f>IF(AO100="","",IF(G100&gt;59,AO100* VLOOKUP("8 wire",#REF!,2,FALSE)*2,IF(G100&gt;39,AO100* VLOOKUP("8 wire",#REF!,2,FALSE),AO100* VLOOKUP("6 wire",#REF!,2,FALSE))))</f>
        <v>#REF!</v>
      </c>
      <c r="AQ100" s="18">
        <f t="shared" si="31"/>
        <v>4</v>
      </c>
      <c r="AR100" s="18" t="e">
        <f>IF(AQ100="","",AQ100*VLOOKUP("Pads",#REF!,2,FALSE))</f>
        <v>#REF!</v>
      </c>
      <c r="AS100" s="18">
        <f t="shared" si="32"/>
        <v>1</v>
      </c>
      <c r="AT100" s="91" t="e">
        <f>IF(AS100="","",AS100*VLOOKUP("4 mil bag",#REF!,2,FALSE))</f>
        <v>#REF!</v>
      </c>
      <c r="AU100" s="91">
        <f>IF(X100="","",IF(I100="N/A","",IF(I100="CNC",IF(G100&gt;37,20,10),VLOOKUP(I100,#REF!,2,FALSE))))</f>
        <v>10</v>
      </c>
      <c r="AV100" s="91" t="e">
        <f>IF(X100="","",IF(I100="CNC",VLOOKUP("Glue stick",#REF!,2,FALSE),""))</f>
        <v>#REF!</v>
      </c>
      <c r="AW100" s="91" t="e">
        <f>IF(X100="","",IF(I100="CNC",16*VLOOKUP("Box staples",#REF!,2,FALSE),""))</f>
        <v>#REF!</v>
      </c>
      <c r="AX100" s="18" t="e">
        <f>IF(X100="","",IF(I100="CNC",((((G100+6)+(F100+6))*2)+24)*VLOOKUP("sealing tape",#REF!,2,FALSE),VLOOKUP("Strapping tape",#REF!,2,FALSE)))</f>
        <v>#REF!</v>
      </c>
      <c r="AY100" s="17"/>
      <c r="AZ100" s="17"/>
      <c r="BA100" s="17"/>
      <c r="BB100" s="17"/>
      <c r="BC100" s="96"/>
      <c r="BD100" s="96"/>
      <c r="BE100" s="96"/>
      <c r="BF100" s="96"/>
      <c r="BG100" s="96"/>
      <c r="BH100" s="96"/>
      <c r="BI100" s="96"/>
    </row>
    <row r="101" spans="1:61" x14ac:dyDescent="0.45">
      <c r="A101" s="103" t="s">
        <v>1163</v>
      </c>
      <c r="B101" s="17" t="s">
        <v>1162</v>
      </c>
      <c r="C101" s="16">
        <v>44586</v>
      </c>
      <c r="D101" s="17" t="s">
        <v>66</v>
      </c>
      <c r="E101" s="15" t="s">
        <v>50</v>
      </c>
      <c r="F101" s="17">
        <v>35</v>
      </c>
      <c r="G101" s="17">
        <v>48</v>
      </c>
      <c r="H101" s="3" t="s">
        <v>43</v>
      </c>
      <c r="I101" s="88" t="s">
        <v>41</v>
      </c>
      <c r="J101" s="87">
        <v>44596</v>
      </c>
      <c r="K101" s="15">
        <v>757.35</v>
      </c>
      <c r="L101" s="96">
        <v>45</v>
      </c>
      <c r="M101" s="89">
        <v>128.59</v>
      </c>
      <c r="N101" s="88">
        <v>18</v>
      </c>
      <c r="O101" s="413" t="str">
        <f t="shared" si="1"/>
        <v>35 x 48</v>
      </c>
      <c r="P101" s="18" t="str">
        <f t="shared" si="2"/>
        <v>35 x 48</v>
      </c>
      <c r="Q101" s="91" t="str">
        <f t="shared" si="3"/>
        <v>N/A</v>
      </c>
      <c r="R101" s="18" t="str">
        <f t="shared" si="4"/>
        <v>54 x 41 x 6</v>
      </c>
      <c r="S101" s="18">
        <v>54</v>
      </c>
      <c r="T101" s="18">
        <v>41</v>
      </c>
      <c r="U101" s="18">
        <v>6</v>
      </c>
      <c r="V101" s="18">
        <f t="shared" si="47"/>
        <v>147</v>
      </c>
      <c r="W101" s="287">
        <f t="shared" si="21"/>
        <v>2.8575555555555558</v>
      </c>
      <c r="X101" s="287" t="str">
        <f t="shared" si="22"/>
        <v>Yes</v>
      </c>
      <c r="Y101" s="93" t="e">
        <f t="shared" si="23"/>
        <v>#REF!</v>
      </c>
      <c r="Z101" s="288" t="e">
        <f t="shared" si="24"/>
        <v>#REF!</v>
      </c>
      <c r="AA101" s="94" t="e">
        <f t="shared" si="25"/>
        <v>#REF!</v>
      </c>
      <c r="AB101" s="288" t="e">
        <f t="shared" si="26"/>
        <v>#REF!</v>
      </c>
      <c r="AC101" s="91" t="e">
        <f>IF(X101="","",IF(D101="2 3D",((F101-0.5)*2+(G101-0.5)*2)*VLOOKUP("3D base",#REF!,2,FALSE),IF(D101="3 Canv", IF(E101="Roll",0,ROUND(SUM(F101:G101)*2,0)),0)*VLOOKUP("Stretcher Bar",#REF!,2,FALSE)))</f>
        <v>#REF!</v>
      </c>
      <c r="AD101" s="91" t="e">
        <f>IF(X101="","",IF(E101="Roll",0,IF(D101="2 3D",(SUM(F101:G101)*2)*VLOOKUP("3D epoxy",#REF!,2,FALSE),IF(D101="3 Canv",VLOOKUP("Wood glue",#REF!,2,FALSE),""))))</f>
        <v>#REF!</v>
      </c>
      <c r="AE101" s="91" t="e">
        <f>IF(D101="3 Canv",(((F101+5)*(G101+5)))*VLOOKUP("Canvas",#REF!,2,FALSE),IF(D101="2 3D",(((F101)*(G101)))*VLOOKUP("Dibond",#REF!,2,FALSE),""))</f>
        <v>#REF!</v>
      </c>
      <c r="AF101" s="91" t="e">
        <f>IF(D101="2 3D",F101*G101*VLOOKUP("3D ink",#REF!,2,FALSE),IF(D101="3 Canv",F101*G101*VLOOKUP("Canvas ink",#REF!,2,FALSE),""))</f>
        <v>#REF!</v>
      </c>
      <c r="AG101" s="91" t="e">
        <f>IF(D101="3 Canv",IF(E101="Roll","",ROUNDUP((SUM(F101:G101)*2)/3,"")*VLOOKUP("Staples",#REF!,2,FALSE)),"")</f>
        <v>#VALUE!</v>
      </c>
      <c r="AH101" s="91" t="e">
        <f>IF(AF101="","",(SUM(F101:G101)*2)*VLOOKUP(E101,#REF!,2,FALSE))</f>
        <v>#REF!</v>
      </c>
      <c r="AI101" s="18">
        <f t="shared" si="27"/>
        <v>16</v>
      </c>
      <c r="AJ101" s="91" t="e">
        <f>IF(AI101="","",AI101*VLOOKUP("Staples",#REF!,2,FALSE))</f>
        <v>#REF!</v>
      </c>
      <c r="AK101" s="18" t="e">
        <f t="shared" si="28"/>
        <v>#REF!</v>
      </c>
      <c r="AL101" s="91" t="e">
        <f>IF(AK101="","",AK101*VLOOKUP("Frame screw",#REF!,2,FALSE))</f>
        <v>#REF!</v>
      </c>
      <c r="AM101" s="18" t="e">
        <f t="shared" si="29"/>
        <v>#REF!</v>
      </c>
      <c r="AN101" s="91" t="e">
        <f>IF(AM101="","",AM101*VLOOKUP("D ring",#REF!,2,FALSE))</f>
        <v>#REF!</v>
      </c>
      <c r="AO101" s="18" t="e">
        <f t="shared" si="30"/>
        <v>#REF!</v>
      </c>
      <c r="AP101" s="91" t="e">
        <f>IF(AO101="","",IF(G101&gt;59,AO101* VLOOKUP("8 wire",#REF!,2,FALSE)*2,IF(G101&gt;39,AO101* VLOOKUP("8 wire",#REF!,2,FALSE),AO101* VLOOKUP("6 wire",#REF!,2,FALSE))))</f>
        <v>#REF!</v>
      </c>
      <c r="AQ101" s="18">
        <f t="shared" si="31"/>
        <v>4</v>
      </c>
      <c r="AR101" s="18" t="e">
        <f>IF(AQ101="","",AQ101*VLOOKUP("Pads",#REF!,2,FALSE))</f>
        <v>#REF!</v>
      </c>
      <c r="AS101" s="18">
        <f t="shared" si="32"/>
        <v>1</v>
      </c>
      <c r="AT101" s="91" t="e">
        <f>IF(AS101="","",AS101*VLOOKUP("4 mil bag",#REF!,2,FALSE))</f>
        <v>#REF!</v>
      </c>
      <c r="AU101" s="91">
        <f>IF(X101="","",IF(I101="N/A","",IF(I101="CNC",IF(G101&gt;37,20,10),VLOOKUP(I101,#REF!,2,FALSE))))</f>
        <v>20</v>
      </c>
      <c r="AV101" s="91" t="e">
        <f>IF(X101="","",IF(I101="CNC",VLOOKUP("Glue stick",#REF!,2,FALSE),""))</f>
        <v>#REF!</v>
      </c>
      <c r="AW101" s="91" t="e">
        <f>IF(X101="","",IF(I101="CNC",16*VLOOKUP("Box staples",#REF!,2,FALSE),""))</f>
        <v>#REF!</v>
      </c>
      <c r="AX101" s="18" t="e">
        <f>IF(X101="","",IF(I101="CNC",((((G101+6)+(F101+6))*2)+24)*VLOOKUP("sealing tape",#REF!,2,FALSE),VLOOKUP("Strapping tape",#REF!,2,FALSE)))</f>
        <v>#REF!</v>
      </c>
      <c r="AY101" s="17"/>
      <c r="AZ101" s="17"/>
      <c r="BA101" s="17"/>
      <c r="BB101" s="17"/>
      <c r="BC101" s="96"/>
      <c r="BD101" s="96"/>
      <c r="BE101" s="96"/>
      <c r="BF101" s="96"/>
      <c r="BG101" s="96"/>
      <c r="BH101" s="96"/>
      <c r="BI101" s="96"/>
    </row>
    <row r="102" spans="1:61" x14ac:dyDescent="0.45">
      <c r="A102" s="17" t="s">
        <v>1032</v>
      </c>
      <c r="B102" s="17" t="s">
        <v>1362</v>
      </c>
      <c r="C102" s="16">
        <v>44597</v>
      </c>
      <c r="D102" s="17" t="s">
        <v>66</v>
      </c>
      <c r="E102" s="15" t="s">
        <v>5</v>
      </c>
      <c r="F102" s="17">
        <v>16</v>
      </c>
      <c r="G102" s="17">
        <v>20</v>
      </c>
      <c r="H102" s="3" t="s">
        <v>55</v>
      </c>
      <c r="I102" s="88" t="s">
        <v>45</v>
      </c>
      <c r="J102" s="87">
        <v>44597</v>
      </c>
      <c r="K102" s="15">
        <v>480</v>
      </c>
      <c r="L102" s="96">
        <v>0</v>
      </c>
      <c r="M102" s="89">
        <v>0</v>
      </c>
      <c r="N102" s="88"/>
      <c r="O102" s="413" t="str">
        <f t="shared" si="1"/>
        <v>16 x 20</v>
      </c>
      <c r="P102" s="18" t="str">
        <f t="shared" si="2"/>
        <v>18 x 22</v>
      </c>
      <c r="Q102" s="91" t="str">
        <f t="shared" si="3"/>
        <v>N/A</v>
      </c>
      <c r="R102" s="18" t="str">
        <f t="shared" si="4"/>
        <v>N/A</v>
      </c>
      <c r="S102" s="18" t="s">
        <v>45</v>
      </c>
      <c r="T102" s="18"/>
      <c r="U102" s="18"/>
      <c r="V102" s="91" t="str">
        <f t="shared" si="47"/>
        <v>N/A</v>
      </c>
      <c r="W102" s="287" t="str">
        <f t="shared" si="21"/>
        <v/>
      </c>
      <c r="X102" s="287" t="str">
        <f t="shared" si="22"/>
        <v>Yes</v>
      </c>
      <c r="Y102" s="93" t="e">
        <f t="shared" si="23"/>
        <v>#REF!</v>
      </c>
      <c r="Z102" s="288" t="e">
        <f t="shared" si="24"/>
        <v>#REF!</v>
      </c>
      <c r="AA102" s="94" t="e">
        <f t="shared" si="25"/>
        <v>#REF!</v>
      </c>
      <c r="AB102" s="288" t="e">
        <f t="shared" si="26"/>
        <v>#REF!</v>
      </c>
      <c r="AC102" s="91" t="e">
        <f>IF(X102="","",IF(D102="2 3D",((F102-0.5)*2+(G102-0.5)*2)*VLOOKUP("3D base",#REF!,2,FALSE),IF(D102="3 Canv", IF(E102="Roll",0,ROUND(SUM(F102:G102)*2,0)),0)*VLOOKUP("Stretcher Bar",#REF!,2,FALSE)))</f>
        <v>#REF!</v>
      </c>
      <c r="AD102" s="91" t="e">
        <f>IF(X102="","",IF(E102="Roll",0,IF(D102="2 3D",(SUM(F102:G102)*2)*VLOOKUP("3D epoxy",#REF!,2,FALSE),IF(D102="3 Canv",VLOOKUP("Wood glue",#REF!,2,FALSE),""))))</f>
        <v>#REF!</v>
      </c>
      <c r="AE102" s="91" t="e">
        <f>IF(D102="3 Canv",(((F102+5)*(G102+5)))*VLOOKUP("Canvas",#REF!,2,FALSE),IF(D102="2 3D",(((F102)*(G102)))*VLOOKUP("Dibond",#REF!,2,FALSE),""))</f>
        <v>#REF!</v>
      </c>
      <c r="AF102" s="91" t="e">
        <f>IF(D102="2 3D",F102*G102*VLOOKUP("3D ink",#REF!,2,FALSE),IF(D102="3 Canv",F102*G102*VLOOKUP("Canvas ink",#REF!,2,FALSE),""))</f>
        <v>#REF!</v>
      </c>
      <c r="AG102" s="91" t="e">
        <f>IF(D102="3 Canv",IF(E102="Roll","",ROUNDUP((SUM(F102:G102)*2)/3,"")*VLOOKUP("Staples",#REF!,2,FALSE)),"")</f>
        <v>#VALUE!</v>
      </c>
      <c r="AH102" s="91" t="e">
        <f>IF(AF102="","",(SUM(F102:G102)*2)*VLOOKUP(E102,#REF!,2,FALSE))</f>
        <v>#REF!</v>
      </c>
      <c r="AI102" s="18">
        <f t="shared" si="27"/>
        <v>44</v>
      </c>
      <c r="AJ102" s="91" t="e">
        <f>IF(AI102="","",AI102*VLOOKUP("Staples",#REF!,2,FALSE))</f>
        <v>#REF!</v>
      </c>
      <c r="AK102" s="18" t="e">
        <f t="shared" si="28"/>
        <v>#REF!</v>
      </c>
      <c r="AL102" s="91" t="e">
        <f>IF(AK102="","",AK102*VLOOKUP("Frame screw",#REF!,2,FALSE))</f>
        <v>#REF!</v>
      </c>
      <c r="AM102" s="18" t="e">
        <f t="shared" si="29"/>
        <v>#REF!</v>
      </c>
      <c r="AN102" s="91" t="e">
        <f>IF(AM102="","",AM102*VLOOKUP("D ring",#REF!,2,FALSE))</f>
        <v>#REF!</v>
      </c>
      <c r="AO102" s="18" t="e">
        <f t="shared" si="30"/>
        <v>#REF!</v>
      </c>
      <c r="AP102" s="91" t="e">
        <f>IF(AO102="","",IF(G102&gt;59,AO102* VLOOKUP("8 wire",#REF!,2,FALSE)*2,IF(G102&gt;39,AO102* VLOOKUP("8 wire",#REF!,2,FALSE),AO102* VLOOKUP("6 wire",#REF!,2,FALSE))))</f>
        <v>#REF!</v>
      </c>
      <c r="AQ102" s="18">
        <f t="shared" si="31"/>
        <v>4</v>
      </c>
      <c r="AR102" s="18" t="e">
        <f>IF(AQ102="","",AQ102*VLOOKUP("Pads",#REF!,2,FALSE))</f>
        <v>#REF!</v>
      </c>
      <c r="AS102" s="18">
        <f t="shared" si="32"/>
        <v>1</v>
      </c>
      <c r="AT102" s="91" t="e">
        <f>IF(AS102="","",AS102*VLOOKUP("4 mil bag",#REF!,2,FALSE))</f>
        <v>#REF!</v>
      </c>
      <c r="AU102" s="91" t="str">
        <f>IF(X102="","",IF(I102="N/A","",IF(I102="CNC",IF(G102&gt;37,20,10),VLOOKUP(I102,#REF!,2,FALSE))))</f>
        <v/>
      </c>
      <c r="AV102" s="18" t="str">
        <f>IF(X102="","",IF(I102="CNC",VLOOKUP("Glue stick",#REF!,2,FALSE),""))</f>
        <v/>
      </c>
      <c r="AW102" s="18" t="str">
        <f>IF(X102="","",IF(I102="CNC",16*VLOOKUP("Box staples",#REF!,2,FALSE),""))</f>
        <v/>
      </c>
      <c r="AX102" s="91" t="e">
        <f>IF(X102="","",IF(I102="CNC",((((G102+6)+(F102+6))*2)+24)*VLOOKUP("sealing tape",#REF!,2,FALSE),VLOOKUP("Strapping tape",#REF!,2,FALSE)))</f>
        <v>#REF!</v>
      </c>
      <c r="AY102" s="17"/>
      <c r="AZ102" s="17"/>
      <c r="BA102" s="17"/>
      <c r="BB102" s="17"/>
      <c r="BC102" s="96"/>
      <c r="BD102" s="96"/>
      <c r="BE102" s="96"/>
      <c r="BF102" s="96"/>
      <c r="BG102" s="96"/>
      <c r="BH102" s="96"/>
      <c r="BI102" s="96"/>
    </row>
    <row r="103" spans="1:61" x14ac:dyDescent="0.45">
      <c r="A103" s="103" t="s">
        <v>1170</v>
      </c>
      <c r="B103" s="17" t="s">
        <v>1169</v>
      </c>
      <c r="C103" s="16">
        <v>44602</v>
      </c>
      <c r="D103" s="17" t="s">
        <v>66</v>
      </c>
      <c r="E103" s="15" t="s">
        <v>1</v>
      </c>
      <c r="F103" s="17">
        <v>19</v>
      </c>
      <c r="G103" s="17">
        <v>19</v>
      </c>
      <c r="H103" s="3" t="s">
        <v>43</v>
      </c>
      <c r="I103" s="88" t="s">
        <v>580</v>
      </c>
      <c r="J103" s="87">
        <v>44604</v>
      </c>
      <c r="K103" s="15">
        <f t="shared" ref="K103:K105" si="50">2640/3</f>
        <v>880</v>
      </c>
      <c r="L103" s="96"/>
      <c r="M103" s="89"/>
      <c r="N103" s="88">
        <v>11</v>
      </c>
      <c r="O103" s="413" t="str">
        <f t="shared" si="1"/>
        <v>19 x 19</v>
      </c>
      <c r="P103" s="18" t="str">
        <f t="shared" si="2"/>
        <v>21 x 21</v>
      </c>
      <c r="Q103" s="91">
        <f t="shared" si="3"/>
        <v>3.31</v>
      </c>
      <c r="R103" s="18" t="str">
        <f t="shared" si="4"/>
        <v>36 x 30 x 5</v>
      </c>
      <c r="S103" s="18">
        <v>36</v>
      </c>
      <c r="T103" s="18">
        <v>30</v>
      </c>
      <c r="U103" s="18">
        <v>5</v>
      </c>
      <c r="V103" s="90">
        <f t="shared" si="47"/>
        <v>106</v>
      </c>
      <c r="W103" s="287"/>
      <c r="X103" s="287"/>
      <c r="Y103" s="93"/>
      <c r="Z103" s="288"/>
      <c r="AA103" s="94"/>
      <c r="AB103" s="288"/>
      <c r="AC103" s="91"/>
      <c r="AD103" s="91"/>
      <c r="AE103" s="91"/>
      <c r="AF103" s="91"/>
      <c r="AG103" s="91"/>
      <c r="AH103" s="91"/>
      <c r="AI103" s="18"/>
      <c r="AJ103" s="91"/>
      <c r="AK103" s="18"/>
      <c r="AL103" s="91"/>
      <c r="AM103" s="18"/>
      <c r="AN103" s="91"/>
      <c r="AO103" s="18"/>
      <c r="AP103" s="18"/>
      <c r="AQ103" s="18"/>
      <c r="AR103" s="18"/>
      <c r="AS103" s="18"/>
      <c r="AT103" s="18"/>
      <c r="AU103" s="91"/>
      <c r="AV103" s="18"/>
      <c r="AW103" s="18"/>
      <c r="AX103" s="18"/>
      <c r="AY103" s="17"/>
      <c r="AZ103" s="17"/>
      <c r="BA103" s="17"/>
      <c r="BB103" s="17"/>
      <c r="BC103" s="96"/>
      <c r="BD103" s="96"/>
      <c r="BE103" s="96"/>
      <c r="BF103" s="96"/>
      <c r="BG103" s="96"/>
      <c r="BH103" s="96"/>
      <c r="BI103" s="96"/>
    </row>
    <row r="104" spans="1:61" x14ac:dyDescent="0.45">
      <c r="A104" s="103" t="s">
        <v>414</v>
      </c>
      <c r="B104" s="17" t="s">
        <v>1169</v>
      </c>
      <c r="C104" s="16">
        <v>44602</v>
      </c>
      <c r="D104" s="17" t="s">
        <v>66</v>
      </c>
      <c r="E104" s="15" t="s">
        <v>1</v>
      </c>
      <c r="F104" s="17">
        <v>34</v>
      </c>
      <c r="G104" s="17">
        <v>45</v>
      </c>
      <c r="H104" s="3" t="s">
        <v>43</v>
      </c>
      <c r="I104" s="88" t="s">
        <v>553</v>
      </c>
      <c r="J104" s="87">
        <v>44604</v>
      </c>
      <c r="K104" s="15">
        <f t="shared" si="50"/>
        <v>880</v>
      </c>
      <c r="L104" s="96"/>
      <c r="M104" s="89"/>
      <c r="N104" s="88">
        <v>31</v>
      </c>
      <c r="O104" s="413" t="str">
        <f t="shared" si="1"/>
        <v>34 x 45</v>
      </c>
      <c r="P104" s="18" t="str">
        <f t="shared" si="2"/>
        <v>36 x 47</v>
      </c>
      <c r="Q104" s="91">
        <f t="shared" si="3"/>
        <v>15.77</v>
      </c>
      <c r="R104" s="18" t="str">
        <f t="shared" si="4"/>
        <v>49 x 48 x 6</v>
      </c>
      <c r="S104" s="18">
        <v>49</v>
      </c>
      <c r="T104" s="18">
        <v>48</v>
      </c>
      <c r="U104" s="18">
        <v>6</v>
      </c>
      <c r="V104" s="18">
        <f t="shared" si="47"/>
        <v>159</v>
      </c>
      <c r="W104" s="287"/>
      <c r="X104" s="287"/>
      <c r="Y104" s="93"/>
      <c r="Z104" s="288"/>
      <c r="AA104" s="94"/>
      <c r="AB104" s="288"/>
      <c r="AC104" s="91"/>
      <c r="AD104" s="91"/>
      <c r="AE104" s="91"/>
      <c r="AF104" s="91"/>
      <c r="AG104" s="91"/>
      <c r="AH104" s="91"/>
      <c r="AI104" s="18"/>
      <c r="AJ104" s="91"/>
      <c r="AK104" s="18"/>
      <c r="AL104" s="91"/>
      <c r="AM104" s="18"/>
      <c r="AN104" s="91"/>
      <c r="AO104" s="18"/>
      <c r="AP104" s="18"/>
      <c r="AQ104" s="18"/>
      <c r="AR104" s="18"/>
      <c r="AS104" s="18"/>
      <c r="AT104" s="18"/>
      <c r="AU104" s="91"/>
      <c r="AV104" s="18"/>
      <c r="AW104" s="18"/>
      <c r="AX104" s="18"/>
      <c r="AY104" s="17"/>
      <c r="AZ104" s="17"/>
      <c r="BA104" s="17"/>
      <c r="BB104" s="17"/>
      <c r="BC104" s="96"/>
      <c r="BD104" s="96"/>
      <c r="BE104" s="96"/>
      <c r="BF104" s="96"/>
      <c r="BG104" s="96"/>
      <c r="BH104" s="96"/>
      <c r="BI104" s="96"/>
    </row>
    <row r="105" spans="1:61" x14ac:dyDescent="0.45">
      <c r="A105" s="103" t="s">
        <v>947</v>
      </c>
      <c r="B105" s="17" t="s">
        <v>1169</v>
      </c>
      <c r="C105" s="16">
        <v>44602</v>
      </c>
      <c r="D105" s="17" t="s">
        <v>66</v>
      </c>
      <c r="E105" s="15" t="s">
        <v>1</v>
      </c>
      <c r="F105" s="17">
        <v>30</v>
      </c>
      <c r="G105" s="17">
        <v>52</v>
      </c>
      <c r="H105" s="3" t="s">
        <v>43</v>
      </c>
      <c r="I105" s="88" t="s">
        <v>553</v>
      </c>
      <c r="J105" s="87">
        <v>44604</v>
      </c>
      <c r="K105" s="15">
        <f t="shared" si="50"/>
        <v>880</v>
      </c>
      <c r="L105" s="96"/>
      <c r="M105" s="89"/>
      <c r="N105" s="88">
        <v>32</v>
      </c>
      <c r="O105" s="413" t="str">
        <f t="shared" si="1"/>
        <v>30 x 52</v>
      </c>
      <c r="P105" s="18" t="str">
        <f t="shared" si="2"/>
        <v>32 x 54</v>
      </c>
      <c r="Q105" s="91">
        <f t="shared" si="3"/>
        <v>15.77</v>
      </c>
      <c r="R105" s="18" t="str">
        <f t="shared" si="4"/>
        <v>56 x 48 x 6</v>
      </c>
      <c r="S105" s="18">
        <v>56</v>
      </c>
      <c r="T105" s="18">
        <v>48</v>
      </c>
      <c r="U105" s="18">
        <v>6</v>
      </c>
      <c r="V105" s="18">
        <f t="shared" si="47"/>
        <v>166</v>
      </c>
      <c r="W105" s="287"/>
      <c r="X105" s="287"/>
      <c r="Y105" s="93"/>
      <c r="Z105" s="288"/>
      <c r="AA105" s="94"/>
      <c r="AB105" s="288"/>
      <c r="AC105" s="91"/>
      <c r="AD105" s="91"/>
      <c r="AE105" s="91"/>
      <c r="AF105" s="91"/>
      <c r="AG105" s="91"/>
      <c r="AH105" s="91"/>
      <c r="AI105" s="18"/>
      <c r="AJ105" s="91"/>
      <c r="AK105" s="18"/>
      <c r="AL105" s="91"/>
      <c r="AM105" s="18"/>
      <c r="AN105" s="91"/>
      <c r="AO105" s="18"/>
      <c r="AP105" s="18"/>
      <c r="AQ105" s="18"/>
      <c r="AR105" s="18"/>
      <c r="AS105" s="18"/>
      <c r="AT105" s="18"/>
      <c r="AU105" s="91"/>
      <c r="AV105" s="18"/>
      <c r="AW105" s="18"/>
      <c r="AX105" s="18"/>
      <c r="AY105" s="17"/>
      <c r="AZ105" s="17"/>
      <c r="BA105" s="17"/>
      <c r="BB105" s="17"/>
      <c r="BC105" s="96"/>
      <c r="BD105" s="96"/>
      <c r="BE105" s="96"/>
      <c r="BF105" s="96"/>
      <c r="BG105" s="96"/>
      <c r="BH105" s="96"/>
      <c r="BI105" s="96"/>
    </row>
    <row r="106" spans="1:61" x14ac:dyDescent="0.45">
      <c r="A106" s="103" t="s">
        <v>395</v>
      </c>
      <c r="B106" s="17" t="s">
        <v>1129</v>
      </c>
      <c r="C106" s="16">
        <v>44593</v>
      </c>
      <c r="D106" s="17" t="s">
        <v>66</v>
      </c>
      <c r="E106" s="15" t="s">
        <v>51</v>
      </c>
      <c r="F106" s="17">
        <v>42</v>
      </c>
      <c r="G106" s="17">
        <v>59</v>
      </c>
      <c r="H106" s="3" t="s">
        <v>43</v>
      </c>
      <c r="I106" s="88" t="s">
        <v>384</v>
      </c>
      <c r="J106" s="87">
        <v>44604</v>
      </c>
      <c r="K106" s="15">
        <v>1514.7</v>
      </c>
      <c r="L106" s="96">
        <v>90</v>
      </c>
      <c r="M106" s="89">
        <v>3901.4</v>
      </c>
      <c r="N106" s="88">
        <v>220</v>
      </c>
      <c r="O106" s="413" t="str">
        <f t="shared" si="1"/>
        <v>42 x 59</v>
      </c>
      <c r="P106" s="18" t="str">
        <f t="shared" si="2"/>
        <v>44 x 61</v>
      </c>
      <c r="Q106" s="91" t="str">
        <f t="shared" si="3"/>
        <v>N/A</v>
      </c>
      <c r="R106" s="18" t="str">
        <f t="shared" si="4"/>
        <v>N/A</v>
      </c>
      <c r="S106" s="18" t="s">
        <v>45</v>
      </c>
      <c r="T106" s="18"/>
      <c r="U106" s="18"/>
      <c r="V106" s="91" t="str">
        <f t="shared" si="47"/>
        <v>N/A</v>
      </c>
      <c r="W106" s="287">
        <f t="shared" ref="W106:W224" si="51">IF(M106=0,"",IF(L106=0,"",M106/L106))</f>
        <v>43.348888888888887</v>
      </c>
      <c r="X106" s="287" t="str">
        <f t="shared" ref="X106:X224" si="52">IF(D106="3 Canv","Yes",IF(D106="2 3D","Yes",""))</f>
        <v>Yes</v>
      </c>
      <c r="Y106" s="93" t="e">
        <f t="shared" ref="Y106:Y224" si="53">IF(D106="1 Orig","",IF(K106=0,"",SUM(AA106,M106)))</f>
        <v>#REF!</v>
      </c>
      <c r="Z106" s="288" t="e">
        <f t="shared" ref="Z106:Z224" si="54">IF(AA106="","",IF(AA106=0,0,IF(K106=0,0,Y106/SUM(K106:L106))))</f>
        <v>#REF!</v>
      </c>
      <c r="AA106" s="94" t="e">
        <f t="shared" ref="AA106:AA224" si="55">IF(D106="1 Orig","",IF(K106=0,"",SUM(AC106:AH106,AJ106,AL106,AN106,AP106,AR106,AT106:AX106)))</f>
        <v>#REF!</v>
      </c>
      <c r="AB106" s="288" t="e">
        <f t="shared" ref="AB106:AB224" si="56">IF(AA106="","",IF(AA106=0,0,IF(K106=0,0,AA106/K106)))</f>
        <v>#REF!</v>
      </c>
      <c r="AC106" s="91" t="e">
        <f>IF(X106="","",IF(D106="2 3D",((F106-0.5)*2+(G106-0.5)*2)*VLOOKUP("3D base",#REF!,2,FALSE),IF(D106="3 Canv", IF(E106="Roll",0,ROUND(SUM(F106:G106)*2,0)),0)*VLOOKUP("Stretcher Bar",#REF!,2,FALSE)))</f>
        <v>#REF!</v>
      </c>
      <c r="AD106" s="91" t="e">
        <f>IF(X106="","",IF(E106="Roll",0,IF(D106="2 3D",(SUM(F106:G106)*2)*VLOOKUP("3D epoxy",#REF!,2,FALSE),IF(D106="3 Canv",VLOOKUP("Wood glue",#REF!,2,FALSE),""))))</f>
        <v>#REF!</v>
      </c>
      <c r="AE106" s="91" t="e">
        <f>IF(D106="3 Canv",(((F106+5)*(G106+5)))*VLOOKUP("Canvas",#REF!,2,FALSE),IF(D106="2 3D",(((F106)*(G106)))*VLOOKUP("Dibond",#REF!,2,FALSE),""))</f>
        <v>#REF!</v>
      </c>
      <c r="AF106" s="91" t="e">
        <f>IF(D106="2 3D",F106*G106*VLOOKUP("3D ink",#REF!,2,FALSE),IF(D106="3 Canv",F106*G106*VLOOKUP("Canvas ink",#REF!,2,FALSE),""))</f>
        <v>#REF!</v>
      </c>
      <c r="AG106" s="91" t="e">
        <f>IF(D106="3 Canv",IF(E106="Roll","",ROUNDUP((SUM(F106:G106)*2)/3,"")*VLOOKUP("Staples",#REF!,2,FALSE)),"")</f>
        <v>#VALUE!</v>
      </c>
      <c r="AH106" s="91" t="e">
        <f>IF(AF106="","",(SUM(F106:G106)*2)*VLOOKUP(E106,#REF!,2,FALSE))</f>
        <v>#REF!</v>
      </c>
      <c r="AI106" s="18">
        <f t="shared" ref="AI106:AI224" si="57">IF(D106="2 3D",44,IF(D106="3 Canv",IF(E106="Roll","",IF(E106="Stretched",16,44)),""))</f>
        <v>44</v>
      </c>
      <c r="AJ106" s="91" t="e">
        <f>IF(AI106="","",AI106*VLOOKUP("Staples",#REF!,2,FALSE))</f>
        <v>#REF!</v>
      </c>
      <c r="AK106" s="18" t="e">
        <f t="shared" ref="AK106:AK224" si="58">IF(AJ106="","",IF(E106="Roll","",IF(E106="Stretched","",IF(G106&gt;54,10,8))))</f>
        <v>#REF!</v>
      </c>
      <c r="AL106" s="91" t="e">
        <f>IF(AK106="","",AK106*VLOOKUP("Frame screw",#REF!,2,FALSE))</f>
        <v>#REF!</v>
      </c>
      <c r="AM106" s="18" t="e">
        <f t="shared" ref="AM106:AM224" si="59">IF(AC106="","",IF(E106="Roll",0,IF(G106&gt;44,4,2)))</f>
        <v>#REF!</v>
      </c>
      <c r="AN106" s="91" t="e">
        <f>IF(AM106="","",AM106*VLOOKUP("D ring",#REF!,2,FALSE))</f>
        <v>#REF!</v>
      </c>
      <c r="AO106" s="18" t="e">
        <f t="shared" ref="AO106:AO224" si="60">IF(AN106="","",IF(E106="Roll","",G106+16))</f>
        <v>#REF!</v>
      </c>
      <c r="AP106" s="91" t="e">
        <f>IF(AO106="","",IF(G106&gt;59,AO106* VLOOKUP("8 wire",#REF!,2,FALSE)*2,IF(G106&gt;39,AO106* VLOOKUP("8 wire",#REF!,2,FALSE),AO106* VLOOKUP("6 wire",#REF!,2,FALSE))))</f>
        <v>#REF!</v>
      </c>
      <c r="AQ106" s="18">
        <f t="shared" ref="AQ106:AQ224" si="61">IF(D106="1 Orig","",IF(D106="4 Free","",IF(E106="Roll","",4)))</f>
        <v>4</v>
      </c>
      <c r="AR106" s="18" t="e">
        <f>IF(AQ106="","",AQ106*VLOOKUP("Pads",#REF!,2,FALSE))</f>
        <v>#REF!</v>
      </c>
      <c r="AS106" s="18">
        <f t="shared" ref="AS106:AS224" si="62">IF(X106="","",IF(E106="Roll","",1))</f>
        <v>1</v>
      </c>
      <c r="AT106" s="91" t="e">
        <f>IF(AS106="","",AS106*VLOOKUP("4 mil bag",#REF!,2,FALSE))</f>
        <v>#REF!</v>
      </c>
      <c r="AU106" s="91" t="e">
        <f>IF(X106="","",IF(I106="N/A","",IF(I106="CNC",IF(G106&gt;37,20,10),VLOOKUP(I106,#REF!,2,FALSE))))</f>
        <v>#REF!</v>
      </c>
      <c r="AV106" s="18" t="str">
        <f>IF(X106="","",IF(I106="CNC",VLOOKUP("Glue stick",#REF!,2,FALSE),""))</f>
        <v/>
      </c>
      <c r="AW106" s="18" t="str">
        <f>IF(X106="","",IF(I106="CNC",16*VLOOKUP("Box staples",#REF!,2,FALSE),""))</f>
        <v/>
      </c>
      <c r="AX106" s="91" t="e">
        <f>IF(X106="","",IF(I106="CNC",((((G106+6)+(F106+6))*2)+24)*VLOOKUP("sealing tape",#REF!,2,FALSE),VLOOKUP("Strapping tape",#REF!,2,FALSE)))</f>
        <v>#REF!</v>
      </c>
      <c r="AY106" s="17"/>
      <c r="AZ106" s="17"/>
      <c r="BA106" s="17"/>
      <c r="BB106" s="17"/>
      <c r="BC106" s="96"/>
      <c r="BD106" s="96"/>
      <c r="BE106" s="96"/>
      <c r="BF106" s="96"/>
      <c r="BG106" s="96"/>
      <c r="BH106" s="96"/>
      <c r="BI106" s="96"/>
    </row>
    <row r="107" spans="1:61" x14ac:dyDescent="0.45">
      <c r="A107" s="103" t="s">
        <v>1007</v>
      </c>
      <c r="B107" s="17" t="s">
        <v>1370</v>
      </c>
      <c r="C107" s="16">
        <v>44588</v>
      </c>
      <c r="D107" s="17" t="s">
        <v>54</v>
      </c>
      <c r="E107" s="15" t="s">
        <v>37</v>
      </c>
      <c r="F107" s="17">
        <v>28</v>
      </c>
      <c r="G107" s="17">
        <v>42</v>
      </c>
      <c r="H107" s="3" t="s">
        <v>43</v>
      </c>
      <c r="I107" s="88" t="s">
        <v>41</v>
      </c>
      <c r="J107" s="87">
        <v>44604</v>
      </c>
      <c r="K107" s="15">
        <v>3600</v>
      </c>
      <c r="L107" s="96">
        <v>0</v>
      </c>
      <c r="M107" s="89">
        <v>64.44</v>
      </c>
      <c r="N107" s="88">
        <v>25</v>
      </c>
      <c r="O107" s="413" t="str">
        <f t="shared" si="1"/>
        <v>28 x 42</v>
      </c>
      <c r="P107" s="18" t="str">
        <f t="shared" si="2"/>
        <v>30 x 44</v>
      </c>
      <c r="Q107" s="91" t="str">
        <f t="shared" si="3"/>
        <v>N/A</v>
      </c>
      <c r="R107" s="18" t="str">
        <f t="shared" si="4"/>
        <v>50 x 37 x 6</v>
      </c>
      <c r="S107" s="18">
        <v>50</v>
      </c>
      <c r="T107" s="18">
        <v>37</v>
      </c>
      <c r="U107" s="18">
        <v>6</v>
      </c>
      <c r="V107" s="18">
        <f t="shared" si="47"/>
        <v>127</v>
      </c>
      <c r="W107" s="287" t="str">
        <f t="shared" si="51"/>
        <v/>
      </c>
      <c r="X107" s="287" t="str">
        <f t="shared" si="52"/>
        <v>Yes</v>
      </c>
      <c r="Y107" s="93" t="e">
        <f t="shared" si="53"/>
        <v>#REF!</v>
      </c>
      <c r="Z107" s="288" t="e">
        <f t="shared" si="54"/>
        <v>#REF!</v>
      </c>
      <c r="AA107" s="94" t="e">
        <f t="shared" si="55"/>
        <v>#REF!</v>
      </c>
      <c r="AB107" s="288" t="e">
        <f t="shared" si="56"/>
        <v>#REF!</v>
      </c>
      <c r="AC107" s="91" t="e">
        <f>IF(X107="","",IF(D107="2 3D",((F107-0.5)*2+(G107-0.5)*2)*VLOOKUP("3D base",#REF!,2,FALSE),IF(D107="3 Canv", IF(E107="Roll",0,ROUND(SUM(F107:G107)*2,0)),0)*VLOOKUP("Stretcher Bar",#REF!,2,FALSE)))</f>
        <v>#REF!</v>
      </c>
      <c r="AD107" s="91" t="e">
        <f>IF(X107="","",IF(E107="Roll",0,IF(D107="2 3D",(SUM(F107:G107)*2)*VLOOKUP("3D epoxy",#REF!,2,FALSE),IF(D107="3 Canv",VLOOKUP("Wood glue",#REF!,2,FALSE),""))))</f>
        <v>#REF!</v>
      </c>
      <c r="AE107" s="91" t="e">
        <f>IF(D107="3 Canv",(((F107+5)*(G107+5)))*VLOOKUP("Canvas",#REF!,2,FALSE),IF(D107="2 3D",(((F107)*(G107)))*VLOOKUP("Dibond",#REF!,2,FALSE),""))</f>
        <v>#REF!</v>
      </c>
      <c r="AF107" s="91" t="e">
        <f>IF(D107="2 3D",F107*G107*VLOOKUP("3D ink",#REF!,2,FALSE),IF(D107="3 Canv",F107*G107*VLOOKUP("Canvas ink",#REF!,2,FALSE),""))</f>
        <v>#REF!</v>
      </c>
      <c r="AG107" s="91" t="str">
        <f>IF(D107="3 Canv",IF(E107="Roll","",ROUNDUP((SUM(F107:G107)*2)/3,"")*VLOOKUP("Staples",#REF!,2,FALSE)),"")</f>
        <v/>
      </c>
      <c r="AH107" s="91" t="e">
        <f>IF(AF107="","",(SUM(F107:G107)*2)*VLOOKUP(E107,#REF!,2,FALSE))</f>
        <v>#REF!</v>
      </c>
      <c r="AI107" s="18">
        <f t="shared" si="57"/>
        <v>44</v>
      </c>
      <c r="AJ107" s="91" t="e">
        <f>IF(AI107="","",AI107*VLOOKUP("Staples",#REF!,2,FALSE))</f>
        <v>#REF!</v>
      </c>
      <c r="AK107" s="18" t="e">
        <f t="shared" si="58"/>
        <v>#REF!</v>
      </c>
      <c r="AL107" s="91" t="e">
        <f>IF(AK107="","",AK107*VLOOKUP("Frame screw",#REF!,2,FALSE))</f>
        <v>#REF!</v>
      </c>
      <c r="AM107" s="18" t="e">
        <f t="shared" si="59"/>
        <v>#REF!</v>
      </c>
      <c r="AN107" s="91" t="e">
        <f>IF(AM107="","",AM107*VLOOKUP("D ring",#REF!,2,FALSE))</f>
        <v>#REF!</v>
      </c>
      <c r="AO107" s="18" t="e">
        <f t="shared" si="60"/>
        <v>#REF!</v>
      </c>
      <c r="AP107" s="91" t="e">
        <f>IF(AO107="","",IF(G107&gt;59,AO107* VLOOKUP("8 wire",#REF!,2,FALSE)*2,IF(G107&gt;39,AO107* VLOOKUP("8 wire",#REF!,2,FALSE),AO107* VLOOKUP("6 wire",#REF!,2,FALSE))))</f>
        <v>#REF!</v>
      </c>
      <c r="AQ107" s="18">
        <f t="shared" si="61"/>
        <v>4</v>
      </c>
      <c r="AR107" s="18" t="e">
        <f>IF(AQ107="","",AQ107*VLOOKUP("Pads",#REF!,2,FALSE))</f>
        <v>#REF!</v>
      </c>
      <c r="AS107" s="18">
        <f t="shared" si="62"/>
        <v>1</v>
      </c>
      <c r="AT107" s="91" t="e">
        <f>IF(AS107="","",AS107*VLOOKUP("4 mil bag",#REF!,2,FALSE))</f>
        <v>#REF!</v>
      </c>
      <c r="AU107" s="91">
        <f>IF(X107="","",IF(I107="N/A","",IF(I107="CNC",IF(G107&gt;37,20,10),VLOOKUP(I107,#REF!,2,FALSE))))</f>
        <v>20</v>
      </c>
      <c r="AV107" s="91" t="e">
        <f>IF(X107="","",IF(I107="CNC",VLOOKUP("Glue stick",#REF!,2,FALSE),""))</f>
        <v>#REF!</v>
      </c>
      <c r="AW107" s="91" t="e">
        <f>IF(X107="","",IF(I107="CNC",16*VLOOKUP("Box staples",#REF!,2,FALSE),""))</f>
        <v>#REF!</v>
      </c>
      <c r="AX107" s="18" t="e">
        <f>IF(X107="","",IF(I107="CNC",((((G107+6)+(F107+6))*2)+24)*VLOOKUP("sealing tape",#REF!,2,FALSE),VLOOKUP("Strapping tape",#REF!,2,FALSE)))</f>
        <v>#REF!</v>
      </c>
      <c r="AY107" s="17"/>
      <c r="AZ107" s="17"/>
      <c r="BA107" s="17"/>
      <c r="BB107" s="17"/>
      <c r="BC107" s="96"/>
      <c r="BD107" s="96"/>
      <c r="BE107" s="96"/>
      <c r="BF107" s="96"/>
      <c r="BG107" s="96"/>
      <c r="BH107" s="96"/>
      <c r="BI107" s="96"/>
    </row>
    <row r="108" spans="1:61" x14ac:dyDescent="0.45">
      <c r="A108" s="103" t="s">
        <v>993</v>
      </c>
      <c r="B108" s="17" t="s">
        <v>1370</v>
      </c>
      <c r="C108" s="16">
        <v>44588</v>
      </c>
      <c r="D108" s="17" t="s">
        <v>54</v>
      </c>
      <c r="E108" s="15" t="s">
        <v>37</v>
      </c>
      <c r="F108" s="17">
        <v>32</v>
      </c>
      <c r="G108" s="17">
        <v>40</v>
      </c>
      <c r="H108" s="3" t="s">
        <v>43</v>
      </c>
      <c r="I108" s="88" t="s">
        <v>41</v>
      </c>
      <c r="J108" s="87">
        <v>44604</v>
      </c>
      <c r="K108" s="15">
        <v>3900</v>
      </c>
      <c r="L108" s="96">
        <v>0</v>
      </c>
      <c r="M108" s="89">
        <v>64.44</v>
      </c>
      <c r="N108" s="88"/>
      <c r="O108" s="413" t="str">
        <f t="shared" si="1"/>
        <v>32 x 40</v>
      </c>
      <c r="P108" s="18" t="str">
        <f t="shared" si="2"/>
        <v>34 x 42</v>
      </c>
      <c r="Q108" s="91" t="str">
        <f t="shared" si="3"/>
        <v>N/A</v>
      </c>
      <c r="R108" s="18" t="str">
        <f t="shared" si="4"/>
        <v>48 x 41 x 6</v>
      </c>
      <c r="S108" s="18">
        <v>48</v>
      </c>
      <c r="T108" s="18">
        <v>41</v>
      </c>
      <c r="U108" s="18">
        <v>6</v>
      </c>
      <c r="V108" s="18">
        <f t="shared" si="47"/>
        <v>133</v>
      </c>
      <c r="W108" s="287" t="str">
        <f t="shared" si="51"/>
        <v/>
      </c>
      <c r="X108" s="287" t="str">
        <f t="shared" si="52"/>
        <v>Yes</v>
      </c>
      <c r="Y108" s="93" t="e">
        <f t="shared" si="53"/>
        <v>#REF!</v>
      </c>
      <c r="Z108" s="288" t="e">
        <f t="shared" si="54"/>
        <v>#REF!</v>
      </c>
      <c r="AA108" s="94" t="e">
        <f t="shared" si="55"/>
        <v>#REF!</v>
      </c>
      <c r="AB108" s="288" t="e">
        <f t="shared" si="56"/>
        <v>#REF!</v>
      </c>
      <c r="AC108" s="91" t="e">
        <f>IF(X108="","",IF(D108="2 3D",((F108-0.5)*2+(G108-0.5)*2)*VLOOKUP("3D base",#REF!,2,FALSE),IF(D108="3 Canv", IF(E108="Roll",0,ROUND(SUM(F108:G108)*2,0)),0)*VLOOKUP("Stretcher Bar",#REF!,2,FALSE)))</f>
        <v>#REF!</v>
      </c>
      <c r="AD108" s="91" t="e">
        <f>IF(X108="","",IF(E108="Roll",0,IF(D108="2 3D",(SUM(F108:G108)*2)*VLOOKUP("3D epoxy",#REF!,2,FALSE),IF(D108="3 Canv",VLOOKUP("Wood glue",#REF!,2,FALSE),""))))</f>
        <v>#REF!</v>
      </c>
      <c r="AE108" s="91" t="e">
        <f>IF(D108="3 Canv",(((F108+5)*(G108+5)))*VLOOKUP("Canvas",#REF!,2,FALSE),IF(D108="2 3D",(((F108)*(G108)))*VLOOKUP("Dibond",#REF!,2,FALSE),""))</f>
        <v>#REF!</v>
      </c>
      <c r="AF108" s="91" t="e">
        <f>IF(D108="2 3D",F108*G108*VLOOKUP("3D ink",#REF!,2,FALSE),IF(D108="3 Canv",F108*G108*VLOOKUP("Canvas ink",#REF!,2,FALSE),""))</f>
        <v>#REF!</v>
      </c>
      <c r="AG108" s="91" t="str">
        <f>IF(D108="3 Canv",IF(E108="Roll","",ROUNDUP((SUM(F108:G108)*2)/3,"")*VLOOKUP("Staples",#REF!,2,FALSE)),"")</f>
        <v/>
      </c>
      <c r="AH108" s="91" t="e">
        <f>IF(AF108="","",(SUM(F108:G108)*2)*VLOOKUP(E108,#REF!,2,FALSE))</f>
        <v>#REF!</v>
      </c>
      <c r="AI108" s="18">
        <f t="shared" si="57"/>
        <v>44</v>
      </c>
      <c r="AJ108" s="91" t="e">
        <f>IF(AI108="","",AI108*VLOOKUP("Staples",#REF!,2,FALSE))</f>
        <v>#REF!</v>
      </c>
      <c r="AK108" s="18" t="e">
        <f t="shared" si="58"/>
        <v>#REF!</v>
      </c>
      <c r="AL108" s="91" t="e">
        <f>IF(AK108="","",AK108*VLOOKUP("Frame screw",#REF!,2,FALSE))</f>
        <v>#REF!</v>
      </c>
      <c r="AM108" s="18" t="e">
        <f t="shared" si="59"/>
        <v>#REF!</v>
      </c>
      <c r="AN108" s="91" t="e">
        <f>IF(AM108="","",AM108*VLOOKUP("D ring",#REF!,2,FALSE))</f>
        <v>#REF!</v>
      </c>
      <c r="AO108" s="18" t="e">
        <f t="shared" si="60"/>
        <v>#REF!</v>
      </c>
      <c r="AP108" s="91" t="e">
        <f>IF(AO108="","",IF(G108&gt;59,AO108* VLOOKUP("8 wire",#REF!,2,FALSE)*2,IF(G108&gt;39,AO108* VLOOKUP("8 wire",#REF!,2,FALSE),AO108* VLOOKUP("6 wire",#REF!,2,FALSE))))</f>
        <v>#REF!</v>
      </c>
      <c r="AQ108" s="18">
        <f t="shared" si="61"/>
        <v>4</v>
      </c>
      <c r="AR108" s="18" t="e">
        <f>IF(AQ108="","",AQ108*VLOOKUP("Pads",#REF!,2,FALSE))</f>
        <v>#REF!</v>
      </c>
      <c r="AS108" s="18">
        <f t="shared" si="62"/>
        <v>1</v>
      </c>
      <c r="AT108" s="91" t="e">
        <f>IF(AS108="","",AS108*VLOOKUP("4 mil bag",#REF!,2,FALSE))</f>
        <v>#REF!</v>
      </c>
      <c r="AU108" s="91">
        <f>IF(X108="","",IF(I108="N/A","",IF(I108="CNC",IF(G108&gt;37,20,10),VLOOKUP(I108,#REF!,2,FALSE))))</f>
        <v>20</v>
      </c>
      <c r="AV108" s="91" t="e">
        <f>IF(X108="","",IF(I108="CNC",VLOOKUP("Glue stick",#REF!,2,FALSE),""))</f>
        <v>#REF!</v>
      </c>
      <c r="AW108" s="91" t="e">
        <f>IF(X108="","",IF(I108="CNC",16*VLOOKUP("Box staples",#REF!,2,FALSE),""))</f>
        <v>#REF!</v>
      </c>
      <c r="AX108" s="18" t="e">
        <f>IF(X108="","",IF(I108="CNC",((((G108+6)+(F108+6))*2)+24)*VLOOKUP("sealing tape",#REF!,2,FALSE),VLOOKUP("Strapping tape",#REF!,2,FALSE)))</f>
        <v>#REF!</v>
      </c>
      <c r="AY108" s="17"/>
      <c r="AZ108" s="17"/>
      <c r="BA108" s="17"/>
      <c r="BB108" s="17"/>
      <c r="BC108" s="96"/>
      <c r="BD108" s="96"/>
      <c r="BE108" s="96"/>
      <c r="BF108" s="96"/>
      <c r="BG108" s="96"/>
      <c r="BH108" s="96"/>
      <c r="BI108" s="96"/>
    </row>
    <row r="109" spans="1:61" x14ac:dyDescent="0.45">
      <c r="A109" s="103" t="s">
        <v>989</v>
      </c>
      <c r="B109" s="17" t="s">
        <v>1371</v>
      </c>
      <c r="C109" s="16">
        <v>44600</v>
      </c>
      <c r="D109" s="17" t="s">
        <v>54</v>
      </c>
      <c r="E109" s="15" t="s">
        <v>690</v>
      </c>
      <c r="F109" s="17">
        <v>27</v>
      </c>
      <c r="G109" s="17">
        <v>36</v>
      </c>
      <c r="H109" s="3" t="s">
        <v>43</v>
      </c>
      <c r="I109" s="88" t="s">
        <v>41</v>
      </c>
      <c r="J109" s="87">
        <v>44604</v>
      </c>
      <c r="K109" s="15">
        <v>2320</v>
      </c>
      <c r="L109" s="96">
        <v>120</v>
      </c>
      <c r="M109" s="89">
        <v>34.94</v>
      </c>
      <c r="N109" s="88">
        <v>17</v>
      </c>
      <c r="O109" s="413" t="str">
        <f t="shared" si="1"/>
        <v>27 x 36</v>
      </c>
      <c r="P109" s="18" t="str">
        <f t="shared" si="2"/>
        <v>29 x 38</v>
      </c>
      <c r="Q109" s="91" t="str">
        <f t="shared" si="3"/>
        <v>N/A</v>
      </c>
      <c r="R109" s="18" t="str">
        <f t="shared" si="4"/>
        <v>44 x 36 x 6</v>
      </c>
      <c r="S109" s="18">
        <v>44</v>
      </c>
      <c r="T109" s="18">
        <v>36</v>
      </c>
      <c r="U109" s="18">
        <v>6</v>
      </c>
      <c r="V109" s="18">
        <f t="shared" si="47"/>
        <v>119</v>
      </c>
      <c r="W109" s="287">
        <f t="shared" si="51"/>
        <v>0.29116666666666663</v>
      </c>
      <c r="X109" s="287" t="str">
        <f t="shared" si="52"/>
        <v>Yes</v>
      </c>
      <c r="Y109" s="93" t="e">
        <f t="shared" si="53"/>
        <v>#REF!</v>
      </c>
      <c r="Z109" s="288" t="e">
        <f t="shared" si="54"/>
        <v>#REF!</v>
      </c>
      <c r="AA109" s="94" t="e">
        <f t="shared" si="55"/>
        <v>#REF!</v>
      </c>
      <c r="AB109" s="288" t="e">
        <f t="shared" si="56"/>
        <v>#REF!</v>
      </c>
      <c r="AC109" s="91" t="e">
        <f>IF(X109="","",IF(D109="2 3D",((F109-0.5)*2+(G109-0.5)*2)*VLOOKUP("3D base",#REF!,2,FALSE),IF(D109="3 Canv", IF(E109="Roll",0,ROUND(SUM(F109:G109)*2,0)),0)*VLOOKUP("Stretcher Bar",#REF!,2,FALSE)))</f>
        <v>#REF!</v>
      </c>
      <c r="AD109" s="91" t="e">
        <f>IF(X109="","",IF(E109="Roll",0,IF(D109="2 3D",(SUM(F109:G109)*2)*VLOOKUP("3D epoxy",#REF!,2,FALSE),IF(D109="3 Canv",VLOOKUP("Wood glue",#REF!,2,FALSE),""))))</f>
        <v>#REF!</v>
      </c>
      <c r="AE109" s="91" t="e">
        <f>IF(D109="3 Canv",(((F109+5)*(G109+5)))*VLOOKUP("Canvas",#REF!,2,FALSE),IF(D109="2 3D",(((F109)*(G109)))*VLOOKUP("Dibond",#REF!,2,FALSE),""))</f>
        <v>#REF!</v>
      </c>
      <c r="AF109" s="91" t="e">
        <f>IF(D109="2 3D",F109*G109*VLOOKUP("3D ink",#REF!,2,FALSE),IF(D109="3 Canv",F109*G109*VLOOKUP("Canvas ink",#REF!,2,FALSE),""))</f>
        <v>#REF!</v>
      </c>
      <c r="AG109" s="91" t="str">
        <f>IF(D109="3 Canv",IF(E109="Roll","",ROUNDUP((SUM(F109:G109)*2)/3,"")*VLOOKUP("Staples",#REF!,2,FALSE)),"")</f>
        <v/>
      </c>
      <c r="AH109" s="91" t="e">
        <f>IF(AF109="","",(SUM(F109:G109)*2)*VLOOKUP(E109,#REF!,2,FALSE))</f>
        <v>#REF!</v>
      </c>
      <c r="AI109" s="18">
        <f t="shared" si="57"/>
        <v>44</v>
      </c>
      <c r="AJ109" s="91" t="e">
        <f>IF(AI109="","",AI109*VLOOKUP("Staples",#REF!,2,FALSE))</f>
        <v>#REF!</v>
      </c>
      <c r="AK109" s="18" t="e">
        <f t="shared" si="58"/>
        <v>#REF!</v>
      </c>
      <c r="AL109" s="91" t="e">
        <f>IF(AK109="","",AK109*VLOOKUP("Frame screw",#REF!,2,FALSE))</f>
        <v>#REF!</v>
      </c>
      <c r="AM109" s="18" t="e">
        <f t="shared" si="59"/>
        <v>#REF!</v>
      </c>
      <c r="AN109" s="91" t="e">
        <f>IF(AM109="","",AM109*VLOOKUP("D ring",#REF!,2,FALSE))</f>
        <v>#REF!</v>
      </c>
      <c r="AO109" s="18" t="e">
        <f t="shared" si="60"/>
        <v>#REF!</v>
      </c>
      <c r="AP109" s="91" t="e">
        <f>IF(AO109="","",IF(G109&gt;59,AO109* VLOOKUP("8 wire",#REF!,2,FALSE)*2,IF(G109&gt;39,AO109* VLOOKUP("8 wire",#REF!,2,FALSE),AO109* VLOOKUP("6 wire",#REF!,2,FALSE))))</f>
        <v>#REF!</v>
      </c>
      <c r="AQ109" s="18">
        <f t="shared" si="61"/>
        <v>4</v>
      </c>
      <c r="AR109" s="18" t="e">
        <f>IF(AQ109="","",AQ109*VLOOKUP("Pads",#REF!,2,FALSE))</f>
        <v>#REF!</v>
      </c>
      <c r="AS109" s="18">
        <f t="shared" si="62"/>
        <v>1</v>
      </c>
      <c r="AT109" s="91" t="e">
        <f>IF(AS109="","",AS109*VLOOKUP("4 mil bag",#REF!,2,FALSE))</f>
        <v>#REF!</v>
      </c>
      <c r="AU109" s="91">
        <f>IF(X109="","",IF(I109="N/A","",IF(I109="CNC",IF(G109&gt;37,20,10),VLOOKUP(I109,#REF!,2,FALSE))))</f>
        <v>10</v>
      </c>
      <c r="AV109" s="91" t="e">
        <f>IF(X109="","",IF(I109="CNC",VLOOKUP("Glue stick",#REF!,2,FALSE),""))</f>
        <v>#REF!</v>
      </c>
      <c r="AW109" s="91" t="e">
        <f>IF(X109="","",IF(I109="CNC",16*VLOOKUP("Box staples",#REF!,2,FALSE),""))</f>
        <v>#REF!</v>
      </c>
      <c r="AX109" s="18" t="e">
        <f>IF(X109="","",IF(I109="CNC",((((G109+6)+(F109+6))*2)+24)*VLOOKUP("sealing tape",#REF!,2,FALSE),VLOOKUP("Strapping tape",#REF!,2,FALSE)))</f>
        <v>#REF!</v>
      </c>
      <c r="AY109" s="17"/>
      <c r="AZ109" s="17"/>
      <c r="BA109" s="17"/>
      <c r="BB109" s="17"/>
      <c r="BC109" s="96"/>
      <c r="BD109" s="96"/>
      <c r="BE109" s="96"/>
      <c r="BF109" s="96"/>
      <c r="BG109" s="96"/>
      <c r="BH109" s="96"/>
      <c r="BI109" s="96"/>
    </row>
    <row r="110" spans="1:61" x14ac:dyDescent="0.45">
      <c r="A110" s="103" t="s">
        <v>290</v>
      </c>
      <c r="B110" s="17" t="s">
        <v>1172</v>
      </c>
      <c r="C110" s="16">
        <v>44587</v>
      </c>
      <c r="D110" s="17" t="s">
        <v>54</v>
      </c>
      <c r="E110" s="15" t="s">
        <v>690</v>
      </c>
      <c r="F110" s="17">
        <v>30</v>
      </c>
      <c r="G110" s="17">
        <v>46</v>
      </c>
      <c r="H110" s="3" t="s">
        <v>43</v>
      </c>
      <c r="I110" s="88" t="s">
        <v>41</v>
      </c>
      <c r="J110" s="87">
        <v>44607</v>
      </c>
      <c r="K110" s="15">
        <v>4200</v>
      </c>
      <c r="L110" s="96">
        <v>0</v>
      </c>
      <c r="M110" s="89">
        <v>115.25</v>
      </c>
      <c r="N110" s="88">
        <v>22</v>
      </c>
      <c r="O110" s="413" t="str">
        <f t="shared" si="1"/>
        <v>30 x 46</v>
      </c>
      <c r="P110" s="18" t="str">
        <f t="shared" si="2"/>
        <v>32 x 48</v>
      </c>
      <c r="Q110" s="91" t="str">
        <f t="shared" si="3"/>
        <v>N/A</v>
      </c>
      <c r="R110" s="18" t="str">
        <f t="shared" si="4"/>
        <v>54 x 39 x 6</v>
      </c>
      <c r="S110" s="18">
        <v>54</v>
      </c>
      <c r="T110" s="18">
        <v>39</v>
      </c>
      <c r="U110" s="18">
        <v>6</v>
      </c>
      <c r="V110" s="18">
        <f t="shared" si="47"/>
        <v>135</v>
      </c>
      <c r="W110" s="287" t="str">
        <f t="shared" si="51"/>
        <v/>
      </c>
      <c r="X110" s="287" t="str">
        <f t="shared" si="52"/>
        <v>Yes</v>
      </c>
      <c r="Y110" s="93" t="e">
        <f t="shared" si="53"/>
        <v>#REF!</v>
      </c>
      <c r="Z110" s="288" t="e">
        <f t="shared" si="54"/>
        <v>#REF!</v>
      </c>
      <c r="AA110" s="94" t="e">
        <f t="shared" si="55"/>
        <v>#REF!</v>
      </c>
      <c r="AB110" s="288" t="e">
        <f t="shared" si="56"/>
        <v>#REF!</v>
      </c>
      <c r="AC110" s="91" t="e">
        <f>IF(X110="","",IF(D110="2 3D",((F110-0.5)*2+(G110-0.5)*2)*VLOOKUP("3D base",#REF!,2,FALSE),IF(D110="3 Canv", IF(E110="Roll",0,ROUND(SUM(F110:G110)*2,0)),0)*VLOOKUP("Stretcher Bar",#REF!,2,FALSE)))</f>
        <v>#REF!</v>
      </c>
      <c r="AD110" s="91" t="e">
        <f>IF(X110="","",IF(E110="Roll",0,IF(D110="2 3D",(SUM(F110:G110)*2)*VLOOKUP("3D epoxy",#REF!,2,FALSE),IF(D110="3 Canv",VLOOKUP("Wood glue",#REF!,2,FALSE),""))))</f>
        <v>#REF!</v>
      </c>
      <c r="AE110" s="91" t="e">
        <f>IF(D110="3 Canv",(((F110+5)*(G110+5)))*VLOOKUP("Canvas",#REF!,2,FALSE),IF(D110="2 3D",(((F110)*(G110)))*VLOOKUP("Dibond",#REF!,2,FALSE),""))</f>
        <v>#REF!</v>
      </c>
      <c r="AF110" s="91" t="e">
        <f>IF(D110="2 3D",F110*G110*VLOOKUP("3D ink",#REF!,2,FALSE),IF(D110="3 Canv",F110*G110*VLOOKUP("Canvas ink",#REF!,2,FALSE),""))</f>
        <v>#REF!</v>
      </c>
      <c r="AG110" s="91" t="str">
        <f>IF(D110="3 Canv",IF(E110="Roll","",ROUNDUP((SUM(F110:G110)*2)/3,"")*VLOOKUP("Staples",#REF!,2,FALSE)),"")</f>
        <v/>
      </c>
      <c r="AH110" s="91" t="e">
        <f>IF(AF110="","",(SUM(F110:G110)*2)*VLOOKUP(E110,#REF!,2,FALSE))</f>
        <v>#REF!</v>
      </c>
      <c r="AI110" s="18">
        <f t="shared" si="57"/>
        <v>44</v>
      </c>
      <c r="AJ110" s="91" t="e">
        <f>IF(AI110="","",AI110*VLOOKUP("Staples",#REF!,2,FALSE))</f>
        <v>#REF!</v>
      </c>
      <c r="AK110" s="18" t="e">
        <f t="shared" si="58"/>
        <v>#REF!</v>
      </c>
      <c r="AL110" s="91" t="e">
        <f>IF(AK110="","",AK110*VLOOKUP("Frame screw",#REF!,2,FALSE))</f>
        <v>#REF!</v>
      </c>
      <c r="AM110" s="18" t="e">
        <f t="shared" si="59"/>
        <v>#REF!</v>
      </c>
      <c r="AN110" s="91" t="e">
        <f>IF(AM110="","",AM110*VLOOKUP("D ring",#REF!,2,FALSE))</f>
        <v>#REF!</v>
      </c>
      <c r="AO110" s="18" t="e">
        <f t="shared" si="60"/>
        <v>#REF!</v>
      </c>
      <c r="AP110" s="91" t="e">
        <f>IF(AO110="","",IF(G110&gt;59,AO110* VLOOKUP("8 wire",#REF!,2,FALSE)*2,IF(G110&gt;39,AO110* VLOOKUP("8 wire",#REF!,2,FALSE),AO110* VLOOKUP("6 wire",#REF!,2,FALSE))))</f>
        <v>#REF!</v>
      </c>
      <c r="AQ110" s="18">
        <f t="shared" si="61"/>
        <v>4</v>
      </c>
      <c r="AR110" s="18" t="e">
        <f>IF(AQ110="","",AQ110*VLOOKUP("Pads",#REF!,2,FALSE))</f>
        <v>#REF!</v>
      </c>
      <c r="AS110" s="18">
        <f t="shared" si="62"/>
        <v>1</v>
      </c>
      <c r="AT110" s="91" t="e">
        <f>IF(AS110="","",AS110*VLOOKUP("4 mil bag",#REF!,2,FALSE))</f>
        <v>#REF!</v>
      </c>
      <c r="AU110" s="91">
        <f>IF(X110="","",IF(I110="N/A","",IF(I110="CNC",IF(G110&gt;37,20,10),VLOOKUP(I110,#REF!,2,FALSE))))</f>
        <v>20</v>
      </c>
      <c r="AV110" s="91" t="e">
        <f>IF(X110="","",IF(I110="CNC",VLOOKUP("Glue stick",#REF!,2,FALSE),""))</f>
        <v>#REF!</v>
      </c>
      <c r="AW110" s="91" t="e">
        <f>IF(X110="","",IF(I110="CNC",16*VLOOKUP("Box staples",#REF!,2,FALSE),""))</f>
        <v>#REF!</v>
      </c>
      <c r="AX110" s="18" t="e">
        <f>IF(X110="","",IF(I110="CNC",((((G110+6)+(F110+6))*2)+24)*VLOOKUP("sealing tape",#REF!,2,FALSE),VLOOKUP("Strapping tape",#REF!,2,FALSE)))</f>
        <v>#REF!</v>
      </c>
      <c r="AY110" s="17"/>
      <c r="AZ110" s="17"/>
      <c r="BA110" s="17"/>
      <c r="BB110" s="17"/>
      <c r="BC110" s="96"/>
      <c r="BD110" s="96"/>
      <c r="BE110" s="96"/>
      <c r="BF110" s="96"/>
      <c r="BG110" s="96"/>
      <c r="BH110" s="96"/>
      <c r="BI110" s="96"/>
    </row>
    <row r="111" spans="1:61" x14ac:dyDescent="0.45">
      <c r="A111" s="103" t="s">
        <v>202</v>
      </c>
      <c r="B111" s="17" t="s">
        <v>1171</v>
      </c>
      <c r="C111" s="16">
        <v>44594</v>
      </c>
      <c r="D111" s="17" t="s">
        <v>66</v>
      </c>
      <c r="E111" s="15" t="s">
        <v>50</v>
      </c>
      <c r="F111" s="17">
        <v>26</v>
      </c>
      <c r="G111" s="17">
        <v>40</v>
      </c>
      <c r="H111" s="3" t="s">
        <v>43</v>
      </c>
      <c r="I111" s="88" t="s">
        <v>41</v>
      </c>
      <c r="J111" s="87">
        <v>44607</v>
      </c>
      <c r="K111" s="15">
        <v>605</v>
      </c>
      <c r="L111" s="96">
        <v>35</v>
      </c>
      <c r="M111" s="89">
        <v>46.98</v>
      </c>
      <c r="N111" s="88">
        <v>13</v>
      </c>
      <c r="O111" s="413" t="str">
        <f t="shared" si="1"/>
        <v>26 x 40</v>
      </c>
      <c r="P111" s="18" t="str">
        <f t="shared" si="2"/>
        <v>26 x 40</v>
      </c>
      <c r="Q111" s="91" t="str">
        <f t="shared" si="3"/>
        <v>N/A</v>
      </c>
      <c r="R111" s="18" t="str">
        <f t="shared" si="4"/>
        <v>46 x 32 x 6</v>
      </c>
      <c r="S111" s="18">
        <v>46</v>
      </c>
      <c r="T111" s="18">
        <v>32</v>
      </c>
      <c r="U111" s="18">
        <v>6</v>
      </c>
      <c r="V111" s="18">
        <f t="shared" si="47"/>
        <v>121</v>
      </c>
      <c r="W111" s="287">
        <f t="shared" si="51"/>
        <v>1.3422857142857143</v>
      </c>
      <c r="X111" s="287" t="str">
        <f t="shared" si="52"/>
        <v>Yes</v>
      </c>
      <c r="Y111" s="93" t="e">
        <f t="shared" si="53"/>
        <v>#REF!</v>
      </c>
      <c r="Z111" s="288" t="e">
        <f t="shared" si="54"/>
        <v>#REF!</v>
      </c>
      <c r="AA111" s="94" t="e">
        <f t="shared" si="55"/>
        <v>#REF!</v>
      </c>
      <c r="AB111" s="288" t="e">
        <f t="shared" si="56"/>
        <v>#REF!</v>
      </c>
      <c r="AC111" s="91" t="e">
        <f>IF(X111="","",IF(D111="2 3D",((F111-0.5)*2+(G111-0.5)*2)*VLOOKUP("3D base",#REF!,2,FALSE),IF(D111="3 Canv", IF(E111="Roll",0,ROUND(SUM(F111:G111)*2,0)),0)*VLOOKUP("Stretcher Bar",#REF!,2,FALSE)))</f>
        <v>#REF!</v>
      </c>
      <c r="AD111" s="91" t="e">
        <f>IF(X111="","",IF(E111="Roll",0,IF(D111="2 3D",(SUM(F111:G111)*2)*VLOOKUP("3D epoxy",#REF!,2,FALSE),IF(D111="3 Canv",VLOOKUP("Wood glue",#REF!,2,FALSE),""))))</f>
        <v>#REF!</v>
      </c>
      <c r="AE111" s="91" t="e">
        <f>IF(D111="3 Canv",(((F111+5)*(G111+5)))*VLOOKUP("Canvas",#REF!,2,FALSE),IF(D111="2 3D",(((F111)*(G111)))*VLOOKUP("Dibond",#REF!,2,FALSE),""))</f>
        <v>#REF!</v>
      </c>
      <c r="AF111" s="91" t="e">
        <f>IF(D111="2 3D",F111*G111*VLOOKUP("3D ink",#REF!,2,FALSE),IF(D111="3 Canv",F111*G111*VLOOKUP("Canvas ink",#REF!,2,FALSE),""))</f>
        <v>#REF!</v>
      </c>
      <c r="AG111" s="91" t="e">
        <f>IF(D111="3 Canv",IF(E111="Roll","",ROUNDUP((SUM(F111:G111)*2)/3,"")*VLOOKUP("Staples",#REF!,2,FALSE)),"")</f>
        <v>#VALUE!</v>
      </c>
      <c r="AH111" s="91" t="e">
        <f>IF(AF111="","",(SUM(F111:G111)*2)*VLOOKUP(E111,#REF!,2,FALSE))</f>
        <v>#REF!</v>
      </c>
      <c r="AI111" s="18">
        <f t="shared" si="57"/>
        <v>16</v>
      </c>
      <c r="AJ111" s="91" t="e">
        <f>IF(AI111="","",AI111*VLOOKUP("Staples",#REF!,2,FALSE))</f>
        <v>#REF!</v>
      </c>
      <c r="AK111" s="18" t="e">
        <f t="shared" si="58"/>
        <v>#REF!</v>
      </c>
      <c r="AL111" s="91" t="e">
        <f>IF(AK111="","",AK111*VLOOKUP("Frame screw",#REF!,2,FALSE))</f>
        <v>#REF!</v>
      </c>
      <c r="AM111" s="18" t="e">
        <f t="shared" si="59"/>
        <v>#REF!</v>
      </c>
      <c r="AN111" s="91" t="e">
        <f>IF(AM111="","",AM111*VLOOKUP("D ring",#REF!,2,FALSE))</f>
        <v>#REF!</v>
      </c>
      <c r="AO111" s="18" t="e">
        <f t="shared" si="60"/>
        <v>#REF!</v>
      </c>
      <c r="AP111" s="91" t="e">
        <f>IF(AO111="","",IF(G111&gt;59,AO111* VLOOKUP("8 wire",#REF!,2,FALSE)*2,IF(G111&gt;39,AO111* VLOOKUP("8 wire",#REF!,2,FALSE),AO111* VLOOKUP("6 wire",#REF!,2,FALSE))))</f>
        <v>#REF!</v>
      </c>
      <c r="AQ111" s="18">
        <f t="shared" si="61"/>
        <v>4</v>
      </c>
      <c r="AR111" s="18" t="e">
        <f>IF(AQ111="","",AQ111*VLOOKUP("Pads",#REF!,2,FALSE))</f>
        <v>#REF!</v>
      </c>
      <c r="AS111" s="18">
        <f t="shared" si="62"/>
        <v>1</v>
      </c>
      <c r="AT111" s="91" t="e">
        <f>IF(AS111="","",AS111*VLOOKUP("4 mil bag",#REF!,2,FALSE))</f>
        <v>#REF!</v>
      </c>
      <c r="AU111" s="91">
        <f>IF(X111="","",IF(I111="N/A","",IF(I111="CNC",IF(G111&gt;37,20,10),VLOOKUP(I111,#REF!,2,FALSE))))</f>
        <v>20</v>
      </c>
      <c r="AV111" s="91" t="e">
        <f>IF(X111="","",IF(I111="CNC",VLOOKUP("Glue stick",#REF!,2,FALSE),""))</f>
        <v>#REF!</v>
      </c>
      <c r="AW111" s="91" t="e">
        <f>IF(X111="","",IF(I111="CNC",16*VLOOKUP("Box staples",#REF!,2,FALSE),""))</f>
        <v>#REF!</v>
      </c>
      <c r="AX111" s="18" t="e">
        <f>IF(X111="","",IF(I111="CNC",((((G111+6)+(F111+6))*2)+24)*VLOOKUP("sealing tape",#REF!,2,FALSE),VLOOKUP("Strapping tape",#REF!,2,FALSE)))</f>
        <v>#REF!</v>
      </c>
      <c r="AY111" s="17"/>
      <c r="AZ111" s="17"/>
      <c r="BA111" s="17"/>
      <c r="BB111" s="17"/>
      <c r="BC111" s="96"/>
      <c r="BD111" s="96"/>
      <c r="BE111" s="96"/>
      <c r="BF111" s="96"/>
      <c r="BG111" s="96"/>
      <c r="BH111" s="96"/>
      <c r="BI111" s="96"/>
    </row>
    <row r="112" spans="1:61" x14ac:dyDescent="0.45">
      <c r="A112" s="103" t="s">
        <v>1180</v>
      </c>
      <c r="B112" s="17" t="s">
        <v>1055</v>
      </c>
      <c r="C112" s="16">
        <v>44589</v>
      </c>
      <c r="D112" s="17" t="s">
        <v>54</v>
      </c>
      <c r="E112" s="15" t="s">
        <v>690</v>
      </c>
      <c r="F112" s="17">
        <v>28</v>
      </c>
      <c r="G112" s="17">
        <v>42</v>
      </c>
      <c r="H112" s="3" t="s">
        <v>43</v>
      </c>
      <c r="I112" s="88" t="s">
        <v>41</v>
      </c>
      <c r="J112" s="87">
        <v>44608</v>
      </c>
      <c r="K112" s="15">
        <v>2975</v>
      </c>
      <c r="L112" s="96">
        <v>150</v>
      </c>
      <c r="M112" s="89">
        <f>17.2*2</f>
        <v>34.4</v>
      </c>
      <c r="N112" s="88">
        <v>24</v>
      </c>
      <c r="O112" s="413" t="str">
        <f t="shared" si="1"/>
        <v>28 x 42</v>
      </c>
      <c r="P112" s="18" t="str">
        <f t="shared" si="2"/>
        <v>30 x 44</v>
      </c>
      <c r="Q112" s="91" t="str">
        <f t="shared" si="3"/>
        <v>N/A</v>
      </c>
      <c r="R112" s="18" t="str">
        <f t="shared" si="4"/>
        <v>50 x 37 x 6</v>
      </c>
      <c r="S112" s="18">
        <v>50</v>
      </c>
      <c r="T112" s="18">
        <v>37</v>
      </c>
      <c r="U112" s="18">
        <v>6</v>
      </c>
      <c r="V112" s="18">
        <f t="shared" si="47"/>
        <v>127</v>
      </c>
      <c r="W112" s="287">
        <f t="shared" si="51"/>
        <v>0.22933333333333333</v>
      </c>
      <c r="X112" s="287" t="str">
        <f t="shared" si="52"/>
        <v>Yes</v>
      </c>
      <c r="Y112" s="93" t="e">
        <f t="shared" si="53"/>
        <v>#REF!</v>
      </c>
      <c r="Z112" s="288" t="e">
        <f t="shared" si="54"/>
        <v>#REF!</v>
      </c>
      <c r="AA112" s="94" t="e">
        <f t="shared" si="55"/>
        <v>#REF!</v>
      </c>
      <c r="AB112" s="288" t="e">
        <f t="shared" si="56"/>
        <v>#REF!</v>
      </c>
      <c r="AC112" s="91" t="e">
        <f>IF(X112="","",IF(D112="2 3D",((F112-0.5)*2+(G112-0.5)*2)*VLOOKUP("3D base",#REF!,2,FALSE),IF(D112="3 Canv", IF(E112="Roll",0,ROUND(SUM(F112:G112)*2,0)),0)*VLOOKUP("Stretcher Bar",#REF!,2,FALSE)))</f>
        <v>#REF!</v>
      </c>
      <c r="AD112" s="91" t="e">
        <f>IF(X112="","",IF(E112="Roll",0,IF(D112="2 3D",(SUM(F112:G112)*2)*VLOOKUP("3D epoxy",#REF!,2,FALSE),IF(D112="3 Canv",VLOOKUP("Wood glue",#REF!,2,FALSE),""))))</f>
        <v>#REF!</v>
      </c>
      <c r="AE112" s="91" t="e">
        <f>IF(D112="3 Canv",(((F112+5)*(G112+5)))*VLOOKUP("Canvas",#REF!,2,FALSE),IF(D112="2 3D",(((F112)*(G112)))*VLOOKUP("Dibond",#REF!,2,FALSE),""))</f>
        <v>#REF!</v>
      </c>
      <c r="AF112" s="91" t="e">
        <f>IF(D112="2 3D",F112*G112*VLOOKUP("3D ink",#REF!,2,FALSE),IF(D112="3 Canv",F112*G112*VLOOKUP("Canvas ink",#REF!,2,FALSE),""))</f>
        <v>#REF!</v>
      </c>
      <c r="AG112" s="91" t="str">
        <f>IF(D112="3 Canv",IF(E112="Roll","",ROUNDUP((SUM(F112:G112)*2)/3,"")*VLOOKUP("Staples",#REF!,2,FALSE)),"")</f>
        <v/>
      </c>
      <c r="AH112" s="91" t="e">
        <f>IF(AF112="","",(SUM(F112:G112)*2)*VLOOKUP(E112,#REF!,2,FALSE))</f>
        <v>#REF!</v>
      </c>
      <c r="AI112" s="18">
        <f t="shared" si="57"/>
        <v>44</v>
      </c>
      <c r="AJ112" s="91" t="e">
        <f>IF(AI112="","",AI112*VLOOKUP("Staples",#REF!,2,FALSE))</f>
        <v>#REF!</v>
      </c>
      <c r="AK112" s="18" t="e">
        <f t="shared" si="58"/>
        <v>#REF!</v>
      </c>
      <c r="AL112" s="91" t="e">
        <f>IF(AK112="","",AK112*VLOOKUP("Frame screw",#REF!,2,FALSE))</f>
        <v>#REF!</v>
      </c>
      <c r="AM112" s="18" t="e">
        <f t="shared" si="59"/>
        <v>#REF!</v>
      </c>
      <c r="AN112" s="91" t="e">
        <f>IF(AM112="","",AM112*VLOOKUP("D ring",#REF!,2,FALSE))</f>
        <v>#REF!</v>
      </c>
      <c r="AO112" s="18" t="e">
        <f t="shared" si="60"/>
        <v>#REF!</v>
      </c>
      <c r="AP112" s="91" t="e">
        <f>IF(AO112="","",IF(G112&gt;59,AO112* VLOOKUP("8 wire",#REF!,2,FALSE)*2,IF(G112&gt;39,AO112* VLOOKUP("8 wire",#REF!,2,FALSE),AO112* VLOOKUP("6 wire",#REF!,2,FALSE))))</f>
        <v>#REF!</v>
      </c>
      <c r="AQ112" s="18">
        <f t="shared" si="61"/>
        <v>4</v>
      </c>
      <c r="AR112" s="18" t="e">
        <f>IF(AQ112="","",AQ112*VLOOKUP("Pads",#REF!,2,FALSE))</f>
        <v>#REF!</v>
      </c>
      <c r="AS112" s="18">
        <f t="shared" si="62"/>
        <v>1</v>
      </c>
      <c r="AT112" s="91" t="e">
        <f>IF(AS112="","",AS112*VLOOKUP("4 mil bag",#REF!,2,FALSE))</f>
        <v>#REF!</v>
      </c>
      <c r="AU112" s="91">
        <f>IF(X112="","",IF(I112="N/A","",IF(I112="CNC",IF(G112&gt;37,20,10),VLOOKUP(I112,#REF!,2,FALSE))))</f>
        <v>20</v>
      </c>
      <c r="AV112" s="91" t="e">
        <f>IF(X112="","",IF(I112="CNC",VLOOKUP("Glue stick",#REF!,2,FALSE),""))</f>
        <v>#REF!</v>
      </c>
      <c r="AW112" s="91" t="e">
        <f>IF(X112="","",IF(I112="CNC",16*VLOOKUP("Box staples",#REF!,2,FALSE),""))</f>
        <v>#REF!</v>
      </c>
      <c r="AX112" s="18" t="e">
        <f>IF(X112="","",IF(I112="CNC",((((G112+6)+(F112+6))*2)+24)*VLOOKUP("sealing tape",#REF!,2,FALSE),VLOOKUP("Strapping tape",#REF!,2,FALSE)))</f>
        <v>#REF!</v>
      </c>
      <c r="AY112" s="17"/>
      <c r="AZ112" s="17"/>
      <c r="BA112" s="17"/>
      <c r="BB112" s="17"/>
      <c r="BC112" s="96"/>
      <c r="BD112" s="96"/>
      <c r="BE112" s="96"/>
      <c r="BF112" s="96"/>
      <c r="BG112" s="96"/>
      <c r="BH112" s="96"/>
      <c r="BI112" s="96"/>
    </row>
    <row r="113" spans="1:61" x14ac:dyDescent="0.45">
      <c r="A113" s="103" t="s">
        <v>841</v>
      </c>
      <c r="B113" s="17" t="s">
        <v>1179</v>
      </c>
      <c r="C113" s="16">
        <v>44594</v>
      </c>
      <c r="D113" s="17" t="s">
        <v>66</v>
      </c>
      <c r="E113" s="15" t="s">
        <v>50</v>
      </c>
      <c r="F113" s="17">
        <v>15</v>
      </c>
      <c r="G113" s="17">
        <v>23</v>
      </c>
      <c r="H113" s="3" t="s">
        <v>43</v>
      </c>
      <c r="I113" s="88" t="s">
        <v>41</v>
      </c>
      <c r="J113" s="87">
        <v>44608</v>
      </c>
      <c r="K113" s="15">
        <v>390</v>
      </c>
      <c r="L113" s="96">
        <v>20</v>
      </c>
      <c r="M113" s="89">
        <v>13.01</v>
      </c>
      <c r="N113" s="88">
        <v>7</v>
      </c>
      <c r="O113" s="413" t="str">
        <f t="shared" si="1"/>
        <v>15 x 23</v>
      </c>
      <c r="P113" s="18" t="str">
        <f t="shared" si="2"/>
        <v>15 x 23</v>
      </c>
      <c r="Q113" s="91" t="str">
        <f t="shared" si="3"/>
        <v>N/A</v>
      </c>
      <c r="R113" s="18" t="str">
        <f t="shared" si="4"/>
        <v>29 x 21 x 6</v>
      </c>
      <c r="S113" s="18">
        <v>29</v>
      </c>
      <c r="T113" s="18">
        <v>21</v>
      </c>
      <c r="U113" s="18">
        <v>6</v>
      </c>
      <c r="V113" s="18">
        <f t="shared" si="47"/>
        <v>82</v>
      </c>
      <c r="W113" s="287">
        <f t="shared" si="51"/>
        <v>0.65049999999999997</v>
      </c>
      <c r="X113" s="287" t="str">
        <f t="shared" si="52"/>
        <v>Yes</v>
      </c>
      <c r="Y113" s="93" t="e">
        <f t="shared" si="53"/>
        <v>#REF!</v>
      </c>
      <c r="Z113" s="288" t="e">
        <f t="shared" si="54"/>
        <v>#REF!</v>
      </c>
      <c r="AA113" s="94" t="e">
        <f t="shared" si="55"/>
        <v>#REF!</v>
      </c>
      <c r="AB113" s="288" t="e">
        <f t="shared" si="56"/>
        <v>#REF!</v>
      </c>
      <c r="AC113" s="91" t="e">
        <f>IF(X113="","",IF(D113="2 3D",((F113-0.5)*2+(G113-0.5)*2)*VLOOKUP("3D base",#REF!,2,FALSE),IF(D113="3 Canv", IF(E113="Roll",0,ROUND(SUM(F113:G113)*2,0)),0)*VLOOKUP("Stretcher Bar",#REF!,2,FALSE)))</f>
        <v>#REF!</v>
      </c>
      <c r="AD113" s="91" t="e">
        <f>IF(X113="","",IF(E113="Roll",0,IF(D113="2 3D",(SUM(F113:G113)*2)*VLOOKUP("3D epoxy",#REF!,2,FALSE),IF(D113="3 Canv",VLOOKUP("Wood glue",#REF!,2,FALSE),""))))</f>
        <v>#REF!</v>
      </c>
      <c r="AE113" s="91" t="e">
        <f>IF(D113="3 Canv",(((F113+5)*(G113+5)))*VLOOKUP("Canvas",#REF!,2,FALSE),IF(D113="2 3D",(((F113)*(G113)))*VLOOKUP("Dibond",#REF!,2,FALSE),""))</f>
        <v>#REF!</v>
      </c>
      <c r="AF113" s="91" t="e">
        <f>IF(D113="2 3D",F113*G113*VLOOKUP("3D ink",#REF!,2,FALSE),IF(D113="3 Canv",F113*G113*VLOOKUP("Canvas ink",#REF!,2,FALSE),""))</f>
        <v>#REF!</v>
      </c>
      <c r="AG113" s="91" t="e">
        <f>IF(D113="3 Canv",IF(E113="Roll","",ROUNDUP((SUM(F113:G113)*2)/3,"")*VLOOKUP("Staples",#REF!,2,FALSE)),"")</f>
        <v>#VALUE!</v>
      </c>
      <c r="AH113" s="91" t="e">
        <f>IF(AF113="","",(SUM(F113:G113)*2)*VLOOKUP(E113,#REF!,2,FALSE))</f>
        <v>#REF!</v>
      </c>
      <c r="AI113" s="18">
        <f t="shared" si="57"/>
        <v>16</v>
      </c>
      <c r="AJ113" s="91" t="e">
        <f>IF(AI113="","",AI113*VLOOKUP("Staples",#REF!,2,FALSE))</f>
        <v>#REF!</v>
      </c>
      <c r="AK113" s="18" t="e">
        <f t="shared" si="58"/>
        <v>#REF!</v>
      </c>
      <c r="AL113" s="91" t="e">
        <f>IF(AK113="","",AK113*VLOOKUP("Frame screw",#REF!,2,FALSE))</f>
        <v>#REF!</v>
      </c>
      <c r="AM113" s="18" t="e">
        <f t="shared" si="59"/>
        <v>#REF!</v>
      </c>
      <c r="AN113" s="91" t="e">
        <f>IF(AM113="","",AM113*VLOOKUP("D ring",#REF!,2,FALSE))</f>
        <v>#REF!</v>
      </c>
      <c r="AO113" s="18" t="e">
        <f t="shared" si="60"/>
        <v>#REF!</v>
      </c>
      <c r="AP113" s="91" t="e">
        <f>IF(AO113="","",IF(G113&gt;59,AO113* VLOOKUP("8 wire",#REF!,2,FALSE)*2,IF(G113&gt;39,AO113* VLOOKUP("8 wire",#REF!,2,FALSE),AO113* VLOOKUP("6 wire",#REF!,2,FALSE))))</f>
        <v>#REF!</v>
      </c>
      <c r="AQ113" s="18">
        <f t="shared" si="61"/>
        <v>4</v>
      </c>
      <c r="AR113" s="18" t="e">
        <f>IF(AQ113="","",AQ113*VLOOKUP("Pads",#REF!,2,FALSE))</f>
        <v>#REF!</v>
      </c>
      <c r="AS113" s="18">
        <f t="shared" si="62"/>
        <v>1</v>
      </c>
      <c r="AT113" s="91" t="e">
        <f>IF(AS113="","",AS113*VLOOKUP("4 mil bag",#REF!,2,FALSE))</f>
        <v>#REF!</v>
      </c>
      <c r="AU113" s="91">
        <f>IF(X113="","",IF(I113="N/A","",IF(I113="CNC",IF(G113&gt;37,20,10),VLOOKUP(I113,#REF!,2,FALSE))))</f>
        <v>10</v>
      </c>
      <c r="AV113" s="91" t="e">
        <f>IF(X113="","",IF(I113="CNC",VLOOKUP("Glue stick",#REF!,2,FALSE),""))</f>
        <v>#REF!</v>
      </c>
      <c r="AW113" s="91" t="e">
        <f>IF(X113="","",IF(I113="CNC",16*VLOOKUP("Box staples",#REF!,2,FALSE),""))</f>
        <v>#REF!</v>
      </c>
      <c r="AX113" s="18" t="e">
        <f>IF(X113="","",IF(I113="CNC",((((G113+6)+(F113+6))*2)+24)*VLOOKUP("sealing tape",#REF!,2,FALSE),VLOOKUP("Strapping tape",#REF!,2,FALSE)))</f>
        <v>#REF!</v>
      </c>
      <c r="AY113" s="17"/>
      <c r="AZ113" s="17"/>
      <c r="BA113" s="17"/>
      <c r="BB113" s="17"/>
      <c r="BC113" s="96"/>
      <c r="BD113" s="96"/>
      <c r="BE113" s="96"/>
      <c r="BF113" s="96"/>
      <c r="BG113" s="96"/>
      <c r="BH113" s="96"/>
      <c r="BI113" s="96"/>
    </row>
    <row r="114" spans="1:61" x14ac:dyDescent="0.45">
      <c r="A114" s="103" t="s">
        <v>1178</v>
      </c>
      <c r="B114" s="17" t="s">
        <v>812</v>
      </c>
      <c r="C114" s="16">
        <v>44592</v>
      </c>
      <c r="D114" s="17" t="s">
        <v>66</v>
      </c>
      <c r="E114" s="15" t="s">
        <v>51</v>
      </c>
      <c r="F114" s="17">
        <v>21</v>
      </c>
      <c r="G114" s="17">
        <v>26</v>
      </c>
      <c r="H114" s="3" t="s">
        <v>43</v>
      </c>
      <c r="I114" s="88" t="s">
        <v>41</v>
      </c>
      <c r="J114" s="87">
        <v>44608</v>
      </c>
      <c r="K114" s="15">
        <v>620</v>
      </c>
      <c r="L114" s="96">
        <v>35</v>
      </c>
      <c r="M114" s="89">
        <v>17.04</v>
      </c>
      <c r="N114" s="88">
        <v>12</v>
      </c>
      <c r="O114" s="413" t="str">
        <f t="shared" si="1"/>
        <v>21 x 26</v>
      </c>
      <c r="P114" s="18" t="str">
        <f t="shared" si="2"/>
        <v>23 x 28</v>
      </c>
      <c r="Q114" s="91" t="str">
        <f t="shared" si="3"/>
        <v>N/A</v>
      </c>
      <c r="R114" s="18" t="str">
        <f t="shared" si="4"/>
        <v>34 x 30 x 6</v>
      </c>
      <c r="S114" s="18">
        <v>34</v>
      </c>
      <c r="T114" s="18">
        <v>30</v>
      </c>
      <c r="U114" s="18">
        <v>6</v>
      </c>
      <c r="V114" s="18">
        <f t="shared" si="47"/>
        <v>97</v>
      </c>
      <c r="W114" s="287">
        <f t="shared" si="51"/>
        <v>0.48685714285714282</v>
      </c>
      <c r="X114" s="287" t="str">
        <f t="shared" si="52"/>
        <v>Yes</v>
      </c>
      <c r="Y114" s="93" t="e">
        <f t="shared" si="53"/>
        <v>#REF!</v>
      </c>
      <c r="Z114" s="288" t="e">
        <f t="shared" si="54"/>
        <v>#REF!</v>
      </c>
      <c r="AA114" s="94" t="e">
        <f t="shared" si="55"/>
        <v>#REF!</v>
      </c>
      <c r="AB114" s="288" t="e">
        <f t="shared" si="56"/>
        <v>#REF!</v>
      </c>
      <c r="AC114" s="91" t="e">
        <f>IF(X114="","",IF(D114="2 3D",((F114-0.5)*2+(G114-0.5)*2)*VLOOKUP("3D base",#REF!,2,FALSE),IF(D114="3 Canv", IF(E114="Roll",0,ROUND(SUM(F114:G114)*2,0)),0)*VLOOKUP("Stretcher Bar",#REF!,2,FALSE)))</f>
        <v>#REF!</v>
      </c>
      <c r="AD114" s="91" t="e">
        <f>IF(X114="","",IF(E114="Roll",0,IF(D114="2 3D",(SUM(F114:G114)*2)*VLOOKUP("3D epoxy",#REF!,2,FALSE),IF(D114="3 Canv",VLOOKUP("Wood glue",#REF!,2,FALSE),""))))</f>
        <v>#REF!</v>
      </c>
      <c r="AE114" s="91" t="e">
        <f>IF(D114="3 Canv",(((F114+5)*(G114+5)))*VLOOKUP("Canvas",#REF!,2,FALSE),IF(D114="2 3D",(((F114)*(G114)))*VLOOKUP("Dibond",#REF!,2,FALSE),""))</f>
        <v>#REF!</v>
      </c>
      <c r="AF114" s="91" t="e">
        <f>IF(D114="2 3D",F114*G114*VLOOKUP("3D ink",#REF!,2,FALSE),IF(D114="3 Canv",F114*G114*VLOOKUP("Canvas ink",#REF!,2,FALSE),""))</f>
        <v>#REF!</v>
      </c>
      <c r="AG114" s="91" t="e">
        <f>IF(D114="3 Canv",IF(E114="Roll","",ROUNDUP((SUM(F114:G114)*2)/3,"")*VLOOKUP("Staples",#REF!,2,FALSE)),"")</f>
        <v>#VALUE!</v>
      </c>
      <c r="AH114" s="91" t="e">
        <f>IF(AF114="","",(SUM(F114:G114)*2)*VLOOKUP(E114,#REF!,2,FALSE))</f>
        <v>#REF!</v>
      </c>
      <c r="AI114" s="18">
        <f t="shared" si="57"/>
        <v>44</v>
      </c>
      <c r="AJ114" s="91" t="e">
        <f>IF(AI114="","",AI114*VLOOKUP("Staples",#REF!,2,FALSE))</f>
        <v>#REF!</v>
      </c>
      <c r="AK114" s="18" t="e">
        <f t="shared" si="58"/>
        <v>#REF!</v>
      </c>
      <c r="AL114" s="91" t="e">
        <f>IF(AK114="","",AK114*VLOOKUP("Frame screw",#REF!,2,FALSE))</f>
        <v>#REF!</v>
      </c>
      <c r="AM114" s="18" t="e">
        <f t="shared" si="59"/>
        <v>#REF!</v>
      </c>
      <c r="AN114" s="91" t="e">
        <f>IF(AM114="","",AM114*VLOOKUP("D ring",#REF!,2,FALSE))</f>
        <v>#REF!</v>
      </c>
      <c r="AO114" s="18" t="e">
        <f t="shared" si="60"/>
        <v>#REF!</v>
      </c>
      <c r="AP114" s="91" t="e">
        <f>IF(AO114="","",IF(G114&gt;59,AO114* VLOOKUP("8 wire",#REF!,2,FALSE)*2,IF(G114&gt;39,AO114* VLOOKUP("8 wire",#REF!,2,FALSE),AO114* VLOOKUP("6 wire",#REF!,2,FALSE))))</f>
        <v>#REF!</v>
      </c>
      <c r="AQ114" s="18">
        <f t="shared" si="61"/>
        <v>4</v>
      </c>
      <c r="AR114" s="18" t="e">
        <f>IF(AQ114="","",AQ114*VLOOKUP("Pads",#REF!,2,FALSE))</f>
        <v>#REF!</v>
      </c>
      <c r="AS114" s="18">
        <f t="shared" si="62"/>
        <v>1</v>
      </c>
      <c r="AT114" s="91" t="e">
        <f>IF(AS114="","",AS114*VLOOKUP("4 mil bag",#REF!,2,FALSE))</f>
        <v>#REF!</v>
      </c>
      <c r="AU114" s="91">
        <f>IF(X114="","",IF(I114="N/A","",IF(I114="CNC",IF(G114&gt;37,20,10),VLOOKUP(I114,#REF!,2,FALSE))))</f>
        <v>10</v>
      </c>
      <c r="AV114" s="91" t="e">
        <f>IF(X114="","",IF(I114="CNC",VLOOKUP("Glue stick",#REF!,2,FALSE),""))</f>
        <v>#REF!</v>
      </c>
      <c r="AW114" s="91" t="e">
        <f>IF(X114="","",IF(I114="CNC",16*VLOOKUP("Box staples",#REF!,2,FALSE),""))</f>
        <v>#REF!</v>
      </c>
      <c r="AX114" s="18" t="e">
        <f>IF(X114="","",IF(I114="CNC",((((G114+6)+(F114+6))*2)+24)*VLOOKUP("sealing tape",#REF!,2,FALSE),VLOOKUP("Strapping tape",#REF!,2,FALSE)))</f>
        <v>#REF!</v>
      </c>
      <c r="AY114" s="17"/>
      <c r="AZ114" s="17"/>
      <c r="BA114" s="17"/>
      <c r="BB114" s="17"/>
      <c r="BC114" s="96"/>
      <c r="BD114" s="96"/>
      <c r="BE114" s="96"/>
      <c r="BF114" s="96"/>
      <c r="BG114" s="96"/>
      <c r="BH114" s="96"/>
      <c r="BI114" s="96"/>
    </row>
    <row r="115" spans="1:61" x14ac:dyDescent="0.45">
      <c r="A115" s="17" t="s">
        <v>202</v>
      </c>
      <c r="B115" s="17" t="s">
        <v>1177</v>
      </c>
      <c r="C115" s="16">
        <v>44590</v>
      </c>
      <c r="D115" s="17" t="s">
        <v>66</v>
      </c>
      <c r="E115" s="15" t="s">
        <v>50</v>
      </c>
      <c r="F115" s="17">
        <v>15</v>
      </c>
      <c r="G115" s="17">
        <v>23</v>
      </c>
      <c r="H115" s="3" t="s">
        <v>55</v>
      </c>
      <c r="I115" s="88" t="s">
        <v>45</v>
      </c>
      <c r="J115" s="87">
        <v>44608</v>
      </c>
      <c r="K115" s="15">
        <v>390</v>
      </c>
      <c r="L115" s="96">
        <v>0</v>
      </c>
      <c r="M115" s="89">
        <v>0</v>
      </c>
      <c r="N115" s="88"/>
      <c r="O115" s="413" t="str">
        <f t="shared" si="1"/>
        <v>15 x 23</v>
      </c>
      <c r="P115" s="18" t="str">
        <f t="shared" si="2"/>
        <v>15 x 23</v>
      </c>
      <c r="Q115" s="91" t="str">
        <f t="shared" si="3"/>
        <v>N/A</v>
      </c>
      <c r="R115" s="18" t="str">
        <f t="shared" si="4"/>
        <v>N/A</v>
      </c>
      <c r="S115" s="18" t="s">
        <v>45</v>
      </c>
      <c r="T115" s="18"/>
      <c r="U115" s="18"/>
      <c r="V115" s="91" t="str">
        <f t="shared" si="47"/>
        <v>N/A</v>
      </c>
      <c r="W115" s="287" t="str">
        <f t="shared" si="51"/>
        <v/>
      </c>
      <c r="X115" s="287" t="str">
        <f t="shared" si="52"/>
        <v>Yes</v>
      </c>
      <c r="Y115" s="93" t="e">
        <f t="shared" si="53"/>
        <v>#REF!</v>
      </c>
      <c r="Z115" s="288" t="e">
        <f t="shared" si="54"/>
        <v>#REF!</v>
      </c>
      <c r="AA115" s="94" t="e">
        <f t="shared" si="55"/>
        <v>#REF!</v>
      </c>
      <c r="AB115" s="288" t="e">
        <f t="shared" si="56"/>
        <v>#REF!</v>
      </c>
      <c r="AC115" s="91" t="e">
        <f>IF(X115="","",IF(D115="2 3D",((F115-0.5)*2+(G115-0.5)*2)*VLOOKUP("3D base",#REF!,2,FALSE),IF(D115="3 Canv", IF(E115="Roll",0,ROUND(SUM(F115:G115)*2,0)),0)*VLOOKUP("Stretcher Bar",#REF!,2,FALSE)))</f>
        <v>#REF!</v>
      </c>
      <c r="AD115" s="91" t="e">
        <f>IF(X115="","",IF(E115="Roll",0,IF(D115="2 3D",(SUM(F115:G115)*2)*VLOOKUP("3D epoxy",#REF!,2,FALSE),IF(D115="3 Canv",VLOOKUP("Wood glue",#REF!,2,FALSE),""))))</f>
        <v>#REF!</v>
      </c>
      <c r="AE115" s="91" t="e">
        <f>IF(D115="3 Canv",(((F115+5)*(G115+5)))*VLOOKUP("Canvas",#REF!,2,FALSE),IF(D115="2 3D",(((F115)*(G115)))*VLOOKUP("Dibond",#REF!,2,FALSE),""))</f>
        <v>#REF!</v>
      </c>
      <c r="AF115" s="91" t="e">
        <f>IF(D115="2 3D",F115*G115*VLOOKUP("3D ink",#REF!,2,FALSE),IF(D115="3 Canv",F115*G115*VLOOKUP("Canvas ink",#REF!,2,FALSE),""))</f>
        <v>#REF!</v>
      </c>
      <c r="AG115" s="91" t="e">
        <f>IF(D115="3 Canv",IF(E115="Roll","",ROUNDUP((SUM(F115:G115)*2)/3,"")*VLOOKUP("Staples",#REF!,2,FALSE)),"")</f>
        <v>#VALUE!</v>
      </c>
      <c r="AH115" s="91" t="e">
        <f>IF(AF115="","",(SUM(F115:G115)*2)*VLOOKUP(E115,#REF!,2,FALSE))</f>
        <v>#REF!</v>
      </c>
      <c r="AI115" s="18">
        <f t="shared" si="57"/>
        <v>16</v>
      </c>
      <c r="AJ115" s="91" t="e">
        <f>IF(AI115="","",AI115*VLOOKUP("Staples",#REF!,2,FALSE))</f>
        <v>#REF!</v>
      </c>
      <c r="AK115" s="18" t="e">
        <f t="shared" si="58"/>
        <v>#REF!</v>
      </c>
      <c r="AL115" s="91" t="e">
        <f>IF(AK115="","",AK115*VLOOKUP("Frame screw",#REF!,2,FALSE))</f>
        <v>#REF!</v>
      </c>
      <c r="AM115" s="18" t="e">
        <f t="shared" si="59"/>
        <v>#REF!</v>
      </c>
      <c r="AN115" s="91" t="e">
        <f>IF(AM115="","",AM115*VLOOKUP("D ring",#REF!,2,FALSE))</f>
        <v>#REF!</v>
      </c>
      <c r="AO115" s="18" t="e">
        <f t="shared" si="60"/>
        <v>#REF!</v>
      </c>
      <c r="AP115" s="91" t="e">
        <f>IF(AO115="","",IF(G115&gt;59,AO115* VLOOKUP("8 wire",#REF!,2,FALSE)*2,IF(G115&gt;39,AO115* VLOOKUP("8 wire",#REF!,2,FALSE),AO115* VLOOKUP("6 wire",#REF!,2,FALSE))))</f>
        <v>#REF!</v>
      </c>
      <c r="AQ115" s="18">
        <f t="shared" si="61"/>
        <v>4</v>
      </c>
      <c r="AR115" s="18" t="e">
        <f>IF(AQ115="","",AQ115*VLOOKUP("Pads",#REF!,2,FALSE))</f>
        <v>#REF!</v>
      </c>
      <c r="AS115" s="18">
        <f t="shared" si="62"/>
        <v>1</v>
      </c>
      <c r="AT115" s="91" t="e">
        <f>IF(AS115="","",AS115*VLOOKUP("4 mil bag",#REF!,2,FALSE))</f>
        <v>#REF!</v>
      </c>
      <c r="AU115" s="91" t="str">
        <f>IF(X115="","",IF(I115="N/A","",IF(I115="CNC",IF(G115&gt;37,20,10),VLOOKUP(I115,#REF!,2,FALSE))))</f>
        <v/>
      </c>
      <c r="AV115" s="18" t="str">
        <f>IF(X115="","",IF(I115="CNC",VLOOKUP("Glue stick",#REF!,2,FALSE),""))</f>
        <v/>
      </c>
      <c r="AW115" s="18" t="str">
        <f>IF(X115="","",IF(I115="CNC",16*VLOOKUP("Box staples",#REF!,2,FALSE),""))</f>
        <v/>
      </c>
      <c r="AX115" s="91" t="e">
        <f>IF(X115="","",IF(I115="CNC",((((G115+6)+(F115+6))*2)+24)*VLOOKUP("sealing tape",#REF!,2,FALSE),VLOOKUP("Strapping tape",#REF!,2,FALSE)))</f>
        <v>#REF!</v>
      </c>
      <c r="AY115" s="17"/>
      <c r="AZ115" s="17"/>
      <c r="BA115" s="17"/>
      <c r="BB115" s="17"/>
      <c r="BC115" s="96"/>
      <c r="BD115" s="96"/>
      <c r="BE115" s="96"/>
      <c r="BF115" s="96"/>
      <c r="BG115" s="96"/>
      <c r="BH115" s="96"/>
      <c r="BI115" s="96"/>
    </row>
    <row r="116" spans="1:61" x14ac:dyDescent="0.45">
      <c r="A116" s="103" t="s">
        <v>1176</v>
      </c>
      <c r="B116" s="17" t="s">
        <v>1175</v>
      </c>
      <c r="C116" s="16">
        <v>44591</v>
      </c>
      <c r="D116" s="17" t="s">
        <v>66</v>
      </c>
      <c r="E116" s="15" t="s">
        <v>50</v>
      </c>
      <c r="F116" s="17">
        <v>28</v>
      </c>
      <c r="G116" s="17">
        <v>40</v>
      </c>
      <c r="H116" s="3" t="s">
        <v>43</v>
      </c>
      <c r="I116" s="88" t="s">
        <v>41</v>
      </c>
      <c r="J116" s="87">
        <v>44608</v>
      </c>
      <c r="K116" s="15">
        <v>635</v>
      </c>
      <c r="L116" s="96">
        <v>35</v>
      </c>
      <c r="M116" s="89">
        <v>29.19</v>
      </c>
      <c r="N116" s="88">
        <v>13</v>
      </c>
      <c r="O116" s="413" t="str">
        <f t="shared" si="1"/>
        <v>28 x 40</v>
      </c>
      <c r="P116" s="18" t="str">
        <f t="shared" si="2"/>
        <v>28 x 40</v>
      </c>
      <c r="Q116" s="91" t="str">
        <f t="shared" si="3"/>
        <v>N/A</v>
      </c>
      <c r="R116" s="18" t="str">
        <f t="shared" si="4"/>
        <v>46 x 34 x 6</v>
      </c>
      <c r="S116" s="18">
        <v>46</v>
      </c>
      <c r="T116" s="18">
        <v>34</v>
      </c>
      <c r="U116" s="18">
        <v>6</v>
      </c>
      <c r="V116" s="18">
        <f t="shared" si="47"/>
        <v>125</v>
      </c>
      <c r="W116" s="287">
        <f t="shared" si="51"/>
        <v>0.83400000000000007</v>
      </c>
      <c r="X116" s="287" t="str">
        <f t="shared" si="52"/>
        <v>Yes</v>
      </c>
      <c r="Y116" s="93" t="e">
        <f t="shared" si="53"/>
        <v>#REF!</v>
      </c>
      <c r="Z116" s="288" t="e">
        <f t="shared" si="54"/>
        <v>#REF!</v>
      </c>
      <c r="AA116" s="94" t="e">
        <f t="shared" si="55"/>
        <v>#REF!</v>
      </c>
      <c r="AB116" s="288" t="e">
        <f t="shared" si="56"/>
        <v>#REF!</v>
      </c>
      <c r="AC116" s="91" t="e">
        <f>IF(X116="","",IF(D116="2 3D",((F116-0.5)*2+(G116-0.5)*2)*VLOOKUP("3D base",#REF!,2,FALSE),IF(D116="3 Canv", IF(E116="Roll",0,ROUND(SUM(F116:G116)*2,0)),0)*VLOOKUP("Stretcher Bar",#REF!,2,FALSE)))</f>
        <v>#REF!</v>
      </c>
      <c r="AD116" s="91" t="e">
        <f>IF(X116="","",IF(E116="Roll",0,IF(D116="2 3D",(SUM(F116:G116)*2)*VLOOKUP("3D epoxy",#REF!,2,FALSE),IF(D116="3 Canv",VLOOKUP("Wood glue",#REF!,2,FALSE),""))))</f>
        <v>#REF!</v>
      </c>
      <c r="AE116" s="91" t="e">
        <f>IF(D116="3 Canv",(((F116+5)*(G116+5)))*VLOOKUP("Canvas",#REF!,2,FALSE),IF(D116="2 3D",(((F116)*(G116)))*VLOOKUP("Dibond",#REF!,2,FALSE),""))</f>
        <v>#REF!</v>
      </c>
      <c r="AF116" s="91" t="e">
        <f>IF(D116="2 3D",F116*G116*VLOOKUP("3D ink",#REF!,2,FALSE),IF(D116="3 Canv",F116*G116*VLOOKUP("Canvas ink",#REF!,2,FALSE),""))</f>
        <v>#REF!</v>
      </c>
      <c r="AG116" s="91" t="e">
        <f>IF(D116="3 Canv",IF(E116="Roll","",ROUNDUP((SUM(F116:G116)*2)/3,"")*VLOOKUP("Staples",#REF!,2,FALSE)),"")</f>
        <v>#VALUE!</v>
      </c>
      <c r="AH116" s="91" t="e">
        <f>IF(AF116="","",(SUM(F116:G116)*2)*VLOOKUP(E116,#REF!,2,FALSE))</f>
        <v>#REF!</v>
      </c>
      <c r="AI116" s="18">
        <f t="shared" si="57"/>
        <v>16</v>
      </c>
      <c r="AJ116" s="91" t="e">
        <f>IF(AI116="","",AI116*VLOOKUP("Staples",#REF!,2,FALSE))</f>
        <v>#REF!</v>
      </c>
      <c r="AK116" s="18" t="e">
        <f t="shared" si="58"/>
        <v>#REF!</v>
      </c>
      <c r="AL116" s="91" t="e">
        <f>IF(AK116="","",AK116*VLOOKUP("Frame screw",#REF!,2,FALSE))</f>
        <v>#REF!</v>
      </c>
      <c r="AM116" s="18" t="e">
        <f t="shared" si="59"/>
        <v>#REF!</v>
      </c>
      <c r="AN116" s="91" t="e">
        <f>IF(AM116="","",AM116*VLOOKUP("D ring",#REF!,2,FALSE))</f>
        <v>#REF!</v>
      </c>
      <c r="AO116" s="18" t="e">
        <f t="shared" si="60"/>
        <v>#REF!</v>
      </c>
      <c r="AP116" s="91" t="e">
        <f>IF(AO116="","",IF(G116&gt;59,AO116* VLOOKUP("8 wire",#REF!,2,FALSE)*2,IF(G116&gt;39,AO116* VLOOKUP("8 wire",#REF!,2,FALSE),AO116* VLOOKUP("6 wire",#REF!,2,FALSE))))</f>
        <v>#REF!</v>
      </c>
      <c r="AQ116" s="18">
        <f t="shared" si="61"/>
        <v>4</v>
      </c>
      <c r="AR116" s="18" t="e">
        <f>IF(AQ116="","",AQ116*VLOOKUP("Pads",#REF!,2,FALSE))</f>
        <v>#REF!</v>
      </c>
      <c r="AS116" s="18">
        <f t="shared" si="62"/>
        <v>1</v>
      </c>
      <c r="AT116" s="91" t="e">
        <f>IF(AS116="","",AS116*VLOOKUP("4 mil bag",#REF!,2,FALSE))</f>
        <v>#REF!</v>
      </c>
      <c r="AU116" s="91">
        <f>IF(X116="","",IF(I116="N/A","",IF(I116="CNC",IF(G116&gt;37,20,10),VLOOKUP(I116,#REF!,2,FALSE))))</f>
        <v>20</v>
      </c>
      <c r="AV116" s="91" t="e">
        <f>IF(X116="","",IF(I116="CNC",VLOOKUP("Glue stick",#REF!,2,FALSE),""))</f>
        <v>#REF!</v>
      </c>
      <c r="AW116" s="91" t="e">
        <f>IF(X116="","",IF(I116="CNC",16*VLOOKUP("Box staples",#REF!,2,FALSE),""))</f>
        <v>#REF!</v>
      </c>
      <c r="AX116" s="18" t="e">
        <f>IF(X116="","",IF(I116="CNC",((((G116+6)+(F116+6))*2)+24)*VLOOKUP("sealing tape",#REF!,2,FALSE),VLOOKUP("Strapping tape",#REF!,2,FALSE)))</f>
        <v>#REF!</v>
      </c>
      <c r="AY116" s="17"/>
      <c r="AZ116" s="17"/>
      <c r="BA116" s="17"/>
      <c r="BB116" s="17"/>
      <c r="BC116" s="96"/>
      <c r="BD116" s="96"/>
      <c r="BE116" s="96"/>
      <c r="BF116" s="96"/>
      <c r="BG116" s="96"/>
      <c r="BH116" s="96"/>
      <c r="BI116" s="96"/>
    </row>
    <row r="117" spans="1:61" x14ac:dyDescent="0.45">
      <c r="A117" s="103" t="s">
        <v>1174</v>
      </c>
      <c r="B117" s="17" t="s">
        <v>1096</v>
      </c>
      <c r="C117" s="16">
        <v>44591</v>
      </c>
      <c r="D117" s="17" t="s">
        <v>66</v>
      </c>
      <c r="E117" s="15" t="s">
        <v>50</v>
      </c>
      <c r="F117" s="17">
        <v>19</v>
      </c>
      <c r="G117" s="17">
        <v>25</v>
      </c>
      <c r="H117" s="3" t="s">
        <v>43</v>
      </c>
      <c r="I117" s="88" t="s">
        <v>41</v>
      </c>
      <c r="J117" s="87">
        <v>44609</v>
      </c>
      <c r="K117" s="15">
        <v>460</v>
      </c>
      <c r="L117" s="96">
        <v>0</v>
      </c>
      <c r="M117" s="89">
        <v>11.82</v>
      </c>
      <c r="N117" s="88">
        <v>8</v>
      </c>
      <c r="O117" s="413" t="str">
        <f t="shared" si="1"/>
        <v>19 x 25</v>
      </c>
      <c r="P117" s="18" t="str">
        <f t="shared" si="2"/>
        <v>19 x 25</v>
      </c>
      <c r="Q117" s="91" t="str">
        <f t="shared" si="3"/>
        <v>N/A</v>
      </c>
      <c r="R117" s="18" t="str">
        <f t="shared" si="4"/>
        <v>31 x 25 x 6</v>
      </c>
      <c r="S117" s="18">
        <v>31</v>
      </c>
      <c r="T117" s="18">
        <v>25</v>
      </c>
      <c r="U117" s="18">
        <v>6</v>
      </c>
      <c r="V117" s="18">
        <f t="shared" si="47"/>
        <v>92</v>
      </c>
      <c r="W117" s="287" t="str">
        <f t="shared" si="51"/>
        <v/>
      </c>
      <c r="X117" s="287" t="str">
        <f t="shared" si="52"/>
        <v>Yes</v>
      </c>
      <c r="Y117" s="93" t="e">
        <f t="shared" si="53"/>
        <v>#REF!</v>
      </c>
      <c r="Z117" s="288" t="e">
        <f t="shared" si="54"/>
        <v>#REF!</v>
      </c>
      <c r="AA117" s="94" t="e">
        <f t="shared" si="55"/>
        <v>#REF!</v>
      </c>
      <c r="AB117" s="288" t="e">
        <f t="shared" si="56"/>
        <v>#REF!</v>
      </c>
      <c r="AC117" s="91" t="e">
        <f>IF(X117="","",IF(D117="2 3D",((F117-0.5)*2+(G117-0.5)*2)*VLOOKUP("3D base",#REF!,2,FALSE),IF(D117="3 Canv", IF(E117="Roll",0,ROUND(SUM(F117:G117)*2,0)),0)*VLOOKUP("Stretcher Bar",#REF!,2,FALSE)))</f>
        <v>#REF!</v>
      </c>
      <c r="AD117" s="91" t="e">
        <f>IF(X117="","",IF(E117="Roll",0,IF(D117="2 3D",(SUM(F117:G117)*2)*VLOOKUP("3D epoxy",#REF!,2,FALSE),IF(D117="3 Canv",VLOOKUP("Wood glue",#REF!,2,FALSE),""))))</f>
        <v>#REF!</v>
      </c>
      <c r="AE117" s="91" t="e">
        <f>IF(D117="3 Canv",(((F117+5)*(G117+5)))*VLOOKUP("Canvas",#REF!,2,FALSE),IF(D117="2 3D",(((F117)*(G117)))*VLOOKUP("Dibond",#REF!,2,FALSE),""))</f>
        <v>#REF!</v>
      </c>
      <c r="AF117" s="91" t="e">
        <f>IF(D117="2 3D",F117*G117*VLOOKUP("3D ink",#REF!,2,FALSE),IF(D117="3 Canv",F117*G117*VLOOKUP("Canvas ink",#REF!,2,FALSE),""))</f>
        <v>#REF!</v>
      </c>
      <c r="AG117" s="91" t="e">
        <f>IF(D117="3 Canv",IF(E117="Roll","",ROUNDUP((SUM(F117:G117)*2)/3,"")*VLOOKUP("Staples",#REF!,2,FALSE)),"")</f>
        <v>#VALUE!</v>
      </c>
      <c r="AH117" s="91" t="e">
        <f>IF(AF117="","",(SUM(F117:G117)*2)*VLOOKUP(E117,#REF!,2,FALSE))</f>
        <v>#REF!</v>
      </c>
      <c r="AI117" s="18">
        <f t="shared" si="57"/>
        <v>16</v>
      </c>
      <c r="AJ117" s="91" t="e">
        <f>IF(AI117="","",AI117*VLOOKUP("Staples",#REF!,2,FALSE))</f>
        <v>#REF!</v>
      </c>
      <c r="AK117" s="18" t="e">
        <f t="shared" si="58"/>
        <v>#REF!</v>
      </c>
      <c r="AL117" s="91" t="e">
        <f>IF(AK117="","",AK117*VLOOKUP("Frame screw",#REF!,2,FALSE))</f>
        <v>#REF!</v>
      </c>
      <c r="AM117" s="18" t="e">
        <f t="shared" si="59"/>
        <v>#REF!</v>
      </c>
      <c r="AN117" s="91" t="e">
        <f>IF(AM117="","",AM117*VLOOKUP("D ring",#REF!,2,FALSE))</f>
        <v>#REF!</v>
      </c>
      <c r="AO117" s="18" t="e">
        <f t="shared" si="60"/>
        <v>#REF!</v>
      </c>
      <c r="AP117" s="91" t="e">
        <f>IF(AO117="","",IF(G117&gt;59,AO117* VLOOKUP("8 wire",#REF!,2,FALSE)*2,IF(G117&gt;39,AO117* VLOOKUP("8 wire",#REF!,2,FALSE),AO117* VLOOKUP("6 wire",#REF!,2,FALSE))))</f>
        <v>#REF!</v>
      </c>
      <c r="AQ117" s="18">
        <f t="shared" si="61"/>
        <v>4</v>
      </c>
      <c r="AR117" s="18" t="e">
        <f>IF(AQ117="","",AQ117*VLOOKUP("Pads",#REF!,2,FALSE))</f>
        <v>#REF!</v>
      </c>
      <c r="AS117" s="18">
        <f t="shared" si="62"/>
        <v>1</v>
      </c>
      <c r="AT117" s="91" t="e">
        <f>IF(AS117="","",AS117*VLOOKUP("4 mil bag",#REF!,2,FALSE))</f>
        <v>#REF!</v>
      </c>
      <c r="AU117" s="91">
        <f>IF(X117="","",IF(I117="N/A","",IF(I117="CNC",IF(G117&gt;37,20,10),VLOOKUP(I117,#REF!,2,FALSE))))</f>
        <v>10</v>
      </c>
      <c r="AV117" s="91" t="e">
        <f>IF(X117="","",IF(I117="CNC",VLOOKUP("Glue stick",#REF!,2,FALSE),""))</f>
        <v>#REF!</v>
      </c>
      <c r="AW117" s="91" t="e">
        <f>IF(X117="","",IF(I117="CNC",16*VLOOKUP("Box staples",#REF!,2,FALSE),""))</f>
        <v>#REF!</v>
      </c>
      <c r="AX117" s="18" t="e">
        <f>IF(X117="","",IF(I117="CNC",((((G117+6)+(F117+6))*2)+24)*VLOOKUP("sealing tape",#REF!,2,FALSE),VLOOKUP("Strapping tape",#REF!,2,FALSE)))</f>
        <v>#REF!</v>
      </c>
      <c r="AY117" s="17"/>
      <c r="AZ117" s="17"/>
      <c r="BA117" s="17"/>
      <c r="BB117" s="17"/>
      <c r="BC117" s="96"/>
      <c r="BD117" s="96"/>
      <c r="BE117" s="96"/>
      <c r="BF117" s="96"/>
      <c r="BG117" s="96"/>
      <c r="BH117" s="96"/>
      <c r="BI117" s="96"/>
    </row>
    <row r="118" spans="1:61" x14ac:dyDescent="0.45">
      <c r="A118" s="261" t="s">
        <v>459</v>
      </c>
      <c r="B118" s="101" t="s">
        <v>1173</v>
      </c>
      <c r="C118" s="263">
        <v>44609</v>
      </c>
      <c r="D118" s="101" t="s">
        <v>66</v>
      </c>
      <c r="E118" s="262" t="s">
        <v>50</v>
      </c>
      <c r="F118" s="101">
        <v>34</v>
      </c>
      <c r="G118" s="101">
        <v>55</v>
      </c>
      <c r="H118" s="264" t="s">
        <v>43</v>
      </c>
      <c r="I118" s="98" t="s">
        <v>41</v>
      </c>
      <c r="J118" s="97">
        <v>44609</v>
      </c>
      <c r="K118" s="262">
        <v>985</v>
      </c>
      <c r="L118" s="265">
        <v>50</v>
      </c>
      <c r="M118" s="99">
        <v>129.16999999999999</v>
      </c>
      <c r="N118" s="98">
        <v>19</v>
      </c>
      <c r="O118" s="414" t="str">
        <f t="shared" si="1"/>
        <v>34 x 55</v>
      </c>
      <c r="P118" s="100" t="str">
        <f t="shared" si="2"/>
        <v>34 x 55</v>
      </c>
      <c r="Q118" s="274" t="str">
        <f t="shared" si="3"/>
        <v>N/A</v>
      </c>
      <c r="R118" s="100" t="str">
        <f t="shared" si="4"/>
        <v>61 x 40 x 6</v>
      </c>
      <c r="S118" s="100">
        <v>61</v>
      </c>
      <c r="T118" s="100">
        <v>40</v>
      </c>
      <c r="U118" s="100">
        <v>6</v>
      </c>
      <c r="V118" s="100">
        <f t="shared" si="47"/>
        <v>152</v>
      </c>
      <c r="W118" s="287">
        <f t="shared" si="51"/>
        <v>2.5833999999999997</v>
      </c>
      <c r="X118" s="287" t="str">
        <f t="shared" si="52"/>
        <v>Yes</v>
      </c>
      <c r="Y118" s="93" t="e">
        <f t="shared" si="53"/>
        <v>#REF!</v>
      </c>
      <c r="Z118" s="288" t="e">
        <f t="shared" si="54"/>
        <v>#REF!</v>
      </c>
      <c r="AA118" s="94" t="e">
        <f t="shared" si="55"/>
        <v>#REF!</v>
      </c>
      <c r="AB118" s="288" t="e">
        <f t="shared" si="56"/>
        <v>#REF!</v>
      </c>
      <c r="AC118" s="91" t="e">
        <f>IF(X118="","",IF(D118="2 3D",((F118-0.5)*2+(G118-0.5)*2)*VLOOKUP("3D base",#REF!,2,FALSE),IF(D118="3 Canv", IF(E118="Roll",0,ROUND(SUM(F118:G118)*2,0)),0)*VLOOKUP("Stretcher Bar",#REF!,2,FALSE)))</f>
        <v>#REF!</v>
      </c>
      <c r="AD118" s="91" t="e">
        <f>IF(X118="","",IF(E118="Roll",0,IF(D118="2 3D",(SUM(F118:G118)*2)*VLOOKUP("3D epoxy",#REF!,2,FALSE),IF(D118="3 Canv",VLOOKUP("Wood glue",#REF!,2,FALSE),""))))</f>
        <v>#REF!</v>
      </c>
      <c r="AE118" s="91" t="e">
        <f>IF(D118="3 Canv",(((F118+5)*(G118+5)))*VLOOKUP("Canvas",#REF!,2,FALSE),IF(D118="2 3D",(((F118)*(G118)))*VLOOKUP("Dibond",#REF!,2,FALSE),""))</f>
        <v>#REF!</v>
      </c>
      <c r="AF118" s="91" t="e">
        <f>IF(D118="2 3D",F118*G118*VLOOKUP("3D ink",#REF!,2,FALSE),IF(D118="3 Canv",F118*G118*VLOOKUP("Canvas ink",#REF!,2,FALSE),""))</f>
        <v>#REF!</v>
      </c>
      <c r="AG118" s="91" t="e">
        <f>IF(D118="3 Canv",IF(E118="Roll","",ROUNDUP((SUM(F118:G118)*2)/3,"")*VLOOKUP("Staples",#REF!,2,FALSE)),"")</f>
        <v>#VALUE!</v>
      </c>
      <c r="AH118" s="91" t="e">
        <f>IF(AF118="","",(SUM(F118:G118)*2)*VLOOKUP(E118,#REF!,2,FALSE))</f>
        <v>#REF!</v>
      </c>
      <c r="AI118" s="18">
        <f t="shared" si="57"/>
        <v>16</v>
      </c>
      <c r="AJ118" s="91" t="e">
        <f>IF(AI118="","",AI118*VLOOKUP("Staples",#REF!,2,FALSE))</f>
        <v>#REF!</v>
      </c>
      <c r="AK118" s="18" t="e">
        <f t="shared" si="58"/>
        <v>#REF!</v>
      </c>
      <c r="AL118" s="91" t="e">
        <f>IF(AK118="","",AK118*VLOOKUP("Frame screw",#REF!,2,FALSE))</f>
        <v>#REF!</v>
      </c>
      <c r="AM118" s="18" t="e">
        <f t="shared" si="59"/>
        <v>#REF!</v>
      </c>
      <c r="AN118" s="91" t="e">
        <f>IF(AM118="","",AM118*VLOOKUP("D ring",#REF!,2,FALSE))</f>
        <v>#REF!</v>
      </c>
      <c r="AO118" s="18" t="e">
        <f t="shared" si="60"/>
        <v>#REF!</v>
      </c>
      <c r="AP118" s="91" t="e">
        <f>IF(AO118="","",IF(G118&gt;59,AO118* VLOOKUP("8 wire",#REF!,2,FALSE)*2,IF(G118&gt;39,AO118* VLOOKUP("8 wire",#REF!,2,FALSE),AO118* VLOOKUP("6 wire",#REF!,2,FALSE))))</f>
        <v>#REF!</v>
      </c>
      <c r="AQ118" s="18">
        <f t="shared" si="61"/>
        <v>4</v>
      </c>
      <c r="AR118" s="18" t="e">
        <f>IF(AQ118="","",AQ118*VLOOKUP("Pads",#REF!,2,FALSE))</f>
        <v>#REF!</v>
      </c>
      <c r="AS118" s="18">
        <f t="shared" si="62"/>
        <v>1</v>
      </c>
      <c r="AT118" s="91" t="e">
        <f>IF(AS118="","",AS118*VLOOKUP("4 mil bag",#REF!,2,FALSE))</f>
        <v>#REF!</v>
      </c>
      <c r="AU118" s="91">
        <f>IF(X118="","",IF(I118="N/A","",IF(I118="CNC",IF(G118&gt;37,20,10),VLOOKUP(I118,#REF!,2,FALSE))))</f>
        <v>20</v>
      </c>
      <c r="AV118" s="91" t="e">
        <f>IF(X118="","",IF(I118="CNC",VLOOKUP("Glue stick",#REF!,2,FALSE),""))</f>
        <v>#REF!</v>
      </c>
      <c r="AW118" s="91" t="e">
        <f>IF(X118="","",IF(I118="CNC",16*VLOOKUP("Box staples",#REF!,2,FALSE),""))</f>
        <v>#REF!</v>
      </c>
      <c r="AX118" s="18" t="e">
        <f>IF(X118="","",IF(I118="CNC",((((G118+6)+(F118+6))*2)+24)*VLOOKUP("sealing tape",#REF!,2,FALSE),VLOOKUP("Strapping tape",#REF!,2,FALSE)))</f>
        <v>#REF!</v>
      </c>
      <c r="AY118" s="17"/>
      <c r="AZ118" s="101"/>
      <c r="BA118" s="101"/>
      <c r="BB118" s="17"/>
      <c r="BC118" s="96"/>
      <c r="BD118" s="96"/>
      <c r="BE118" s="96"/>
      <c r="BF118" s="96"/>
      <c r="BG118" s="96"/>
      <c r="BH118" s="96"/>
      <c r="BI118" s="96"/>
    </row>
    <row r="119" spans="1:61" x14ac:dyDescent="0.45">
      <c r="A119" s="103" t="s">
        <v>1064</v>
      </c>
      <c r="B119" s="17" t="s">
        <v>1182</v>
      </c>
      <c r="C119" s="16">
        <v>44601</v>
      </c>
      <c r="D119" s="17" t="s">
        <v>66</v>
      </c>
      <c r="E119" s="15" t="s">
        <v>558</v>
      </c>
      <c r="F119" s="17">
        <v>46</v>
      </c>
      <c r="G119" s="17">
        <v>58</v>
      </c>
      <c r="H119" s="3" t="s">
        <v>43</v>
      </c>
      <c r="I119" s="88" t="s">
        <v>595</v>
      </c>
      <c r="J119" s="87">
        <v>44610</v>
      </c>
      <c r="K119" s="15">
        <v>841.5</v>
      </c>
      <c r="L119" s="96">
        <v>400</v>
      </c>
      <c r="M119" s="89">
        <v>52.5</v>
      </c>
      <c r="N119" s="88">
        <v>4</v>
      </c>
      <c r="O119" s="413" t="str">
        <f t="shared" si="1"/>
        <v>46 x 58</v>
      </c>
      <c r="P119" s="18" t="str">
        <f t="shared" si="2"/>
        <v>N/A</v>
      </c>
      <c r="Q119" s="91">
        <f t="shared" si="3"/>
        <v>4.32</v>
      </c>
      <c r="R119" s="18" t="str">
        <f t="shared" si="4"/>
        <v>57 x 3 x 3</v>
      </c>
      <c r="S119" s="18">
        <v>57</v>
      </c>
      <c r="T119" s="18">
        <v>3</v>
      </c>
      <c r="U119" s="18">
        <v>3</v>
      </c>
      <c r="V119" s="90">
        <f t="shared" si="47"/>
        <v>69</v>
      </c>
      <c r="W119" s="287">
        <f t="shared" si="51"/>
        <v>0.13125000000000001</v>
      </c>
      <c r="X119" s="287" t="str">
        <f t="shared" si="52"/>
        <v>Yes</v>
      </c>
      <c r="Y119" s="93" t="e">
        <f t="shared" si="53"/>
        <v>#REF!</v>
      </c>
      <c r="Z119" s="288" t="e">
        <f t="shared" si="54"/>
        <v>#REF!</v>
      </c>
      <c r="AA119" s="94" t="e">
        <f t="shared" si="55"/>
        <v>#REF!</v>
      </c>
      <c r="AB119" s="288" t="e">
        <f t="shared" si="56"/>
        <v>#REF!</v>
      </c>
      <c r="AC119" s="91" t="e">
        <f>IF(X119="","",IF(D119="2 3D",((F119-0.5)*2+(G119-0.5)*2)*VLOOKUP("3D base",#REF!,2,FALSE),IF(D119="3 Canv", IF(E119="Roll",0,ROUND(SUM(F119:G119)*2,0)),0)*VLOOKUP("Stretcher Bar",#REF!,2,FALSE)))</f>
        <v>#REF!</v>
      </c>
      <c r="AD119" s="91">
        <f>IF(X119="","",IF(E119="Roll",0,IF(D119="2 3D",(SUM(F119:G119)*2)*VLOOKUP("3D epoxy",#REF!,2,FALSE),IF(D119="3 Canv",VLOOKUP("Wood glue",#REF!,2,FALSE),""))))</f>
        <v>0</v>
      </c>
      <c r="AE119" s="91" t="e">
        <f>IF(D119="3 Canv",(((F119+5)*(G119+5)))*VLOOKUP("Canvas",#REF!,2,FALSE),IF(D119="2 3D",(((F119)*(G119)))*VLOOKUP("Dibond",#REF!,2,FALSE),""))</f>
        <v>#REF!</v>
      </c>
      <c r="AF119" s="91" t="e">
        <f>IF(D119="2 3D",F119*G119*VLOOKUP("3D ink",#REF!,2,FALSE),IF(D119="3 Canv",F119*G119*VLOOKUP("Canvas ink",#REF!,2,FALSE),""))</f>
        <v>#REF!</v>
      </c>
      <c r="AG119" s="91" t="str">
        <f>IF(D119="3 Canv",IF(E119="Roll","",ROUNDUP((SUM(F119:G119)*2)/3,"")*VLOOKUP("Staples",#REF!,2,FALSE)),"")</f>
        <v/>
      </c>
      <c r="AH119" s="91" t="e">
        <f>IF(AF119="","",(SUM(F119:G119)*2)*VLOOKUP(E119,#REF!,2,FALSE))</f>
        <v>#REF!</v>
      </c>
      <c r="AI119" s="18" t="str">
        <f t="shared" si="57"/>
        <v/>
      </c>
      <c r="AJ119" s="91" t="str">
        <f>IF(AI119="","",AI119*VLOOKUP("Staples",#REF!,2,FALSE))</f>
        <v/>
      </c>
      <c r="AK119" s="18" t="str">
        <f t="shared" si="58"/>
        <v/>
      </c>
      <c r="AL119" s="91" t="str">
        <f>IF(AK119="","",AK119*VLOOKUP("Frame screw",#REF!,2,FALSE))</f>
        <v/>
      </c>
      <c r="AM119" s="18" t="e">
        <f t="shared" si="59"/>
        <v>#REF!</v>
      </c>
      <c r="AN119" s="91" t="e">
        <f>IF(AM119="","",AM119*VLOOKUP("D ring",#REF!,2,FALSE))</f>
        <v>#REF!</v>
      </c>
      <c r="AO119" s="18" t="e">
        <f t="shared" si="60"/>
        <v>#REF!</v>
      </c>
      <c r="AP119" s="18" t="e">
        <f>IF(AO119="","",IF(G119&gt;59,AO119* VLOOKUP("8 wire",#REF!,2,FALSE)*2,IF(G119&gt;39,AO119* VLOOKUP("8 wire",#REF!,2,FALSE),AO119* VLOOKUP("6 wire",#REF!,2,FALSE))))</f>
        <v>#REF!</v>
      </c>
      <c r="AQ119" s="18" t="str">
        <f t="shared" si="61"/>
        <v/>
      </c>
      <c r="AR119" s="18" t="str">
        <f>IF(AQ119="","",AQ119*VLOOKUP("Pads",#REF!,2,FALSE))</f>
        <v/>
      </c>
      <c r="AS119" s="18" t="str">
        <f t="shared" si="62"/>
        <v/>
      </c>
      <c r="AT119" s="18" t="str">
        <f>IF(AS119="","",AS119*VLOOKUP("4 mil bag",#REF!,2,FALSE))</f>
        <v/>
      </c>
      <c r="AU119" s="91" t="e">
        <f>IF(X119="","",IF(I119="N/A","",IF(I119="CNC",IF(G119&gt;37,20,10),VLOOKUP(I119,#REF!,2,FALSE))))</f>
        <v>#REF!</v>
      </c>
      <c r="AV119" s="18" t="str">
        <f>IF(X119="","",IF(I119="CNC",VLOOKUP("Glue stick",#REF!,2,FALSE),""))</f>
        <v/>
      </c>
      <c r="AW119" s="18" t="str">
        <f>IF(X119="","",IF(I119="CNC",16*VLOOKUP("Box staples",#REF!,2,FALSE),""))</f>
        <v/>
      </c>
      <c r="AX119" s="91" t="e">
        <f>IF(X119="","",IF(I119="CNC",((((G119+6)+(F119+6))*2)+24)*VLOOKUP("sealing tape",#REF!,2,FALSE),VLOOKUP("Strapping tape",#REF!,2,FALSE)))</f>
        <v>#REF!</v>
      </c>
      <c r="AY119" s="17"/>
      <c r="AZ119" s="17"/>
      <c r="BA119" s="17"/>
      <c r="BB119" s="17"/>
      <c r="BC119" s="96"/>
      <c r="BD119" s="96"/>
      <c r="BE119" s="96"/>
      <c r="BF119" s="96"/>
      <c r="BG119" s="96"/>
      <c r="BH119" s="96"/>
      <c r="BI119" s="96"/>
    </row>
    <row r="120" spans="1:61" x14ac:dyDescent="0.45">
      <c r="A120" s="103" t="s">
        <v>664</v>
      </c>
      <c r="B120" s="17" t="s">
        <v>1183</v>
      </c>
      <c r="C120" s="16">
        <v>44606</v>
      </c>
      <c r="D120" s="17" t="s">
        <v>66</v>
      </c>
      <c r="E120" s="15" t="s">
        <v>558</v>
      </c>
      <c r="F120" s="17">
        <v>26</v>
      </c>
      <c r="G120" s="17">
        <v>43</v>
      </c>
      <c r="H120" s="3" t="s">
        <v>43</v>
      </c>
      <c r="I120" s="88" t="s">
        <v>84</v>
      </c>
      <c r="J120" s="87">
        <v>44610</v>
      </c>
      <c r="K120" s="15">
        <v>380</v>
      </c>
      <c r="L120" s="96">
        <v>20</v>
      </c>
      <c r="M120" s="89">
        <v>9.99</v>
      </c>
      <c r="N120" s="88">
        <v>2</v>
      </c>
      <c r="O120" s="413" t="str">
        <f t="shared" si="1"/>
        <v>26 x 43</v>
      </c>
      <c r="P120" s="18" t="str">
        <f t="shared" si="2"/>
        <v>N/A</v>
      </c>
      <c r="Q120" s="91">
        <f t="shared" si="3"/>
        <v>2.85</v>
      </c>
      <c r="R120" s="18" t="str">
        <f t="shared" si="4"/>
        <v>37 x 3 x 3</v>
      </c>
      <c r="S120" s="18">
        <v>37</v>
      </c>
      <c r="T120" s="18">
        <v>3</v>
      </c>
      <c r="U120" s="18">
        <v>3</v>
      </c>
      <c r="V120" s="90">
        <f t="shared" si="47"/>
        <v>49</v>
      </c>
      <c r="W120" s="287">
        <f t="shared" si="51"/>
        <v>0.4995</v>
      </c>
      <c r="X120" s="287" t="str">
        <f t="shared" si="52"/>
        <v>Yes</v>
      </c>
      <c r="Y120" s="93" t="e">
        <f t="shared" si="53"/>
        <v>#REF!</v>
      </c>
      <c r="Z120" s="288" t="e">
        <f t="shared" si="54"/>
        <v>#REF!</v>
      </c>
      <c r="AA120" s="94" t="e">
        <f t="shared" si="55"/>
        <v>#REF!</v>
      </c>
      <c r="AB120" s="288" t="e">
        <f t="shared" si="56"/>
        <v>#REF!</v>
      </c>
      <c r="AC120" s="91" t="e">
        <f>IF(X120="","",IF(D120="2 3D",((F120-0.5)*2+(G120-0.5)*2)*VLOOKUP("3D base",#REF!,2,FALSE),IF(D120="3 Canv", IF(E120="Roll",0,ROUND(SUM(F120:G120)*2,0)),0)*VLOOKUP("Stretcher Bar",#REF!,2,FALSE)))</f>
        <v>#REF!</v>
      </c>
      <c r="AD120" s="91">
        <f>IF(X120="","",IF(E120="Roll",0,IF(D120="2 3D",(SUM(F120:G120)*2)*VLOOKUP("3D epoxy",#REF!,2,FALSE),IF(D120="3 Canv",VLOOKUP("Wood glue",#REF!,2,FALSE),""))))</f>
        <v>0</v>
      </c>
      <c r="AE120" s="91" t="e">
        <f>IF(D120="3 Canv",(((F120+5)*(G120+5)))*VLOOKUP("Canvas",#REF!,2,FALSE),IF(D120="2 3D",(((F120)*(G120)))*VLOOKUP("Dibond",#REF!,2,FALSE),""))</f>
        <v>#REF!</v>
      </c>
      <c r="AF120" s="91" t="e">
        <f>IF(D120="2 3D",F120*G120*VLOOKUP("3D ink",#REF!,2,FALSE),IF(D120="3 Canv",F120*G120*VLOOKUP("Canvas ink",#REF!,2,FALSE),""))</f>
        <v>#REF!</v>
      </c>
      <c r="AG120" s="91" t="str">
        <f>IF(D120="3 Canv",IF(E120="Roll","",ROUNDUP((SUM(F120:G120)*2)/3,"")*VLOOKUP("Staples",#REF!,2,FALSE)),"")</f>
        <v/>
      </c>
      <c r="AH120" s="91" t="e">
        <f>IF(AF120="","",(SUM(F120:G120)*2)*VLOOKUP(E120,#REF!,2,FALSE))</f>
        <v>#REF!</v>
      </c>
      <c r="AI120" s="18" t="str">
        <f t="shared" si="57"/>
        <v/>
      </c>
      <c r="AJ120" s="91" t="str">
        <f>IF(AI120="","",AI120*VLOOKUP("Staples",#REF!,2,FALSE))</f>
        <v/>
      </c>
      <c r="AK120" s="18" t="str">
        <f t="shared" si="58"/>
        <v/>
      </c>
      <c r="AL120" s="91" t="str">
        <f>IF(AK120="","",AK120*VLOOKUP("Frame screw",#REF!,2,FALSE))</f>
        <v/>
      </c>
      <c r="AM120" s="18" t="e">
        <f t="shared" si="59"/>
        <v>#REF!</v>
      </c>
      <c r="AN120" s="91" t="e">
        <f>IF(AM120="","",AM120*VLOOKUP("D ring",#REF!,2,FALSE))</f>
        <v>#REF!</v>
      </c>
      <c r="AO120" s="18" t="e">
        <f t="shared" si="60"/>
        <v>#REF!</v>
      </c>
      <c r="AP120" s="18" t="e">
        <f>IF(AO120="","",IF(G120&gt;59,AO120* VLOOKUP("8 wire",#REF!,2,FALSE)*2,IF(G120&gt;39,AO120* VLOOKUP("8 wire",#REF!,2,FALSE),AO120* VLOOKUP("6 wire",#REF!,2,FALSE))))</f>
        <v>#REF!</v>
      </c>
      <c r="AQ120" s="18" t="str">
        <f t="shared" si="61"/>
        <v/>
      </c>
      <c r="AR120" s="18" t="str">
        <f>IF(AQ120="","",AQ120*VLOOKUP("Pads",#REF!,2,FALSE))</f>
        <v/>
      </c>
      <c r="AS120" s="18" t="str">
        <f t="shared" si="62"/>
        <v/>
      </c>
      <c r="AT120" s="18" t="str">
        <f>IF(AS120="","",AS120*VLOOKUP("4 mil bag",#REF!,2,FALSE))</f>
        <v/>
      </c>
      <c r="AU120" s="91" t="e">
        <f>IF(X120="","",IF(I120="N/A","",IF(I120="CNC",IF(G120&gt;37,20,10),VLOOKUP(I120,#REF!,2,FALSE))))</f>
        <v>#REF!</v>
      </c>
      <c r="AV120" s="18" t="str">
        <f>IF(X120="","",IF(I120="CNC",VLOOKUP("Glue stick",#REF!,2,FALSE),""))</f>
        <v/>
      </c>
      <c r="AW120" s="18" t="str">
        <f>IF(X120="","",IF(I120="CNC",16*VLOOKUP("Box staples",#REF!,2,FALSE),""))</f>
        <v/>
      </c>
      <c r="AX120" s="91" t="e">
        <f>IF(X120="","",IF(I120="CNC",((((G120+6)+(F120+6))*2)+24)*VLOOKUP("sealing tape",#REF!,2,FALSE),VLOOKUP("Strapping tape",#REF!,2,FALSE)))</f>
        <v>#REF!</v>
      </c>
      <c r="AY120" s="17"/>
      <c r="AZ120" s="17"/>
      <c r="BA120" s="17"/>
      <c r="BB120" s="17"/>
      <c r="BC120" s="96"/>
      <c r="BD120" s="96"/>
      <c r="BE120" s="96"/>
      <c r="BF120" s="96"/>
      <c r="BG120" s="96"/>
      <c r="BH120" s="96"/>
      <c r="BI120" s="96"/>
    </row>
    <row r="121" spans="1:61" x14ac:dyDescent="0.45">
      <c r="A121" s="103" t="s">
        <v>980</v>
      </c>
      <c r="B121" s="17" t="s">
        <v>1188</v>
      </c>
      <c r="C121" s="16">
        <v>44611</v>
      </c>
      <c r="D121" s="17" t="s">
        <v>66</v>
      </c>
      <c r="E121" s="15" t="s">
        <v>558</v>
      </c>
      <c r="F121" s="17">
        <v>25</v>
      </c>
      <c r="G121" s="17">
        <v>44</v>
      </c>
      <c r="H121" s="3" t="s">
        <v>43</v>
      </c>
      <c r="I121" s="88" t="s">
        <v>84</v>
      </c>
      <c r="J121" s="87">
        <v>44610</v>
      </c>
      <c r="K121" s="15">
        <v>375</v>
      </c>
      <c r="L121" s="96">
        <v>20</v>
      </c>
      <c r="M121" s="89">
        <v>11.91</v>
      </c>
      <c r="N121" s="88">
        <v>2</v>
      </c>
      <c r="O121" s="413" t="str">
        <f t="shared" si="1"/>
        <v>25 x 44</v>
      </c>
      <c r="P121" s="18" t="str">
        <f t="shared" si="2"/>
        <v>N/A</v>
      </c>
      <c r="Q121" s="91">
        <f t="shared" si="3"/>
        <v>2.85</v>
      </c>
      <c r="R121" s="18" t="str">
        <f t="shared" si="4"/>
        <v>37 x 3 x 3</v>
      </c>
      <c r="S121" s="18">
        <v>37</v>
      </c>
      <c r="T121" s="18">
        <v>3</v>
      </c>
      <c r="U121" s="18">
        <v>3</v>
      </c>
      <c r="V121" s="90">
        <f t="shared" si="47"/>
        <v>49</v>
      </c>
      <c r="W121" s="287">
        <f t="shared" si="51"/>
        <v>0.59550000000000003</v>
      </c>
      <c r="X121" s="287" t="str">
        <f t="shared" si="52"/>
        <v>Yes</v>
      </c>
      <c r="Y121" s="93" t="e">
        <f t="shared" si="53"/>
        <v>#REF!</v>
      </c>
      <c r="Z121" s="288" t="e">
        <f t="shared" si="54"/>
        <v>#REF!</v>
      </c>
      <c r="AA121" s="94" t="e">
        <f t="shared" si="55"/>
        <v>#REF!</v>
      </c>
      <c r="AB121" s="288" t="e">
        <f t="shared" si="56"/>
        <v>#REF!</v>
      </c>
      <c r="AC121" s="91" t="e">
        <f>IF(X121="","",IF(D121="2 3D",((F121-0.5)*2+(G121-0.5)*2)*VLOOKUP("3D base",#REF!,2,FALSE),IF(D121="3 Canv", IF(E121="Roll",0,ROUND(SUM(F121:G121)*2,0)),0)*VLOOKUP("Stretcher Bar",#REF!,2,FALSE)))</f>
        <v>#REF!</v>
      </c>
      <c r="AD121" s="91">
        <f>IF(X121="","",IF(E121="Roll",0,IF(D121="2 3D",(SUM(F121:G121)*2)*VLOOKUP("3D epoxy",#REF!,2,FALSE),IF(D121="3 Canv",VLOOKUP("Wood glue",#REF!,2,FALSE),""))))</f>
        <v>0</v>
      </c>
      <c r="AE121" s="91" t="e">
        <f>IF(D121="3 Canv",(((F121+5)*(G121+5)))*VLOOKUP("Canvas",#REF!,2,FALSE),IF(D121="2 3D",(((F121)*(G121)))*VLOOKUP("Dibond",#REF!,2,FALSE),""))</f>
        <v>#REF!</v>
      </c>
      <c r="AF121" s="91" t="e">
        <f>IF(D121="2 3D",F121*G121*VLOOKUP("3D ink",#REF!,2,FALSE),IF(D121="3 Canv",F121*G121*VLOOKUP("Canvas ink",#REF!,2,FALSE),""))</f>
        <v>#REF!</v>
      </c>
      <c r="AG121" s="91" t="str">
        <f>IF(D121="3 Canv",IF(E121="Roll","",ROUNDUP((SUM(F121:G121)*2)/3,"")*VLOOKUP("Staples",#REF!,2,FALSE)),"")</f>
        <v/>
      </c>
      <c r="AH121" s="91" t="e">
        <f>IF(AF121="","",(SUM(F121:G121)*2)*VLOOKUP(E121,#REF!,2,FALSE))</f>
        <v>#REF!</v>
      </c>
      <c r="AI121" s="18" t="str">
        <f t="shared" si="57"/>
        <v/>
      </c>
      <c r="AJ121" s="91" t="str">
        <f>IF(AI121="","",AI121*VLOOKUP("Staples",#REF!,2,FALSE))</f>
        <v/>
      </c>
      <c r="AK121" s="18" t="str">
        <f t="shared" si="58"/>
        <v/>
      </c>
      <c r="AL121" s="91" t="str">
        <f>IF(AK121="","",AK121*VLOOKUP("Frame screw",#REF!,2,FALSE))</f>
        <v/>
      </c>
      <c r="AM121" s="18" t="e">
        <f t="shared" si="59"/>
        <v>#REF!</v>
      </c>
      <c r="AN121" s="91" t="e">
        <f>IF(AM121="","",AM121*VLOOKUP("D ring",#REF!,2,FALSE))</f>
        <v>#REF!</v>
      </c>
      <c r="AO121" s="18" t="e">
        <f t="shared" si="60"/>
        <v>#REF!</v>
      </c>
      <c r="AP121" s="18" t="e">
        <f>IF(AO121="","",IF(G121&gt;59,AO121* VLOOKUP("8 wire",#REF!,2,FALSE)*2,IF(G121&gt;39,AO121* VLOOKUP("8 wire",#REF!,2,FALSE),AO121* VLOOKUP("6 wire",#REF!,2,FALSE))))</f>
        <v>#REF!</v>
      </c>
      <c r="AQ121" s="18" t="str">
        <f t="shared" si="61"/>
        <v/>
      </c>
      <c r="AR121" s="18" t="str">
        <f>IF(AQ121="","",AQ121*VLOOKUP("Pads",#REF!,2,FALSE))</f>
        <v/>
      </c>
      <c r="AS121" s="18" t="str">
        <f t="shared" si="62"/>
        <v/>
      </c>
      <c r="AT121" s="18" t="str">
        <f>IF(AS121="","",AS121*VLOOKUP("4 mil bag",#REF!,2,FALSE))</f>
        <v/>
      </c>
      <c r="AU121" s="91" t="e">
        <f>IF(X121="","",IF(I121="N/A","",IF(I121="CNC",IF(G121&gt;37,20,10),VLOOKUP(I121,#REF!,2,FALSE))))</f>
        <v>#REF!</v>
      </c>
      <c r="AV121" s="18" t="str">
        <f>IF(X121="","",IF(I121="CNC",VLOOKUP("Glue stick",#REF!,2,FALSE),""))</f>
        <v/>
      </c>
      <c r="AW121" s="18" t="str">
        <f>IF(X121="","",IF(I121="CNC",16*VLOOKUP("Box staples",#REF!,2,FALSE),""))</f>
        <v/>
      </c>
      <c r="AX121" s="91" t="e">
        <f>IF(X121="","",IF(I121="CNC",((((G121+6)+(F121+6))*2)+24)*VLOOKUP("sealing tape",#REF!,2,FALSE),VLOOKUP("Strapping tape",#REF!,2,FALSE)))</f>
        <v>#REF!</v>
      </c>
      <c r="AY121" s="17"/>
      <c r="AZ121" s="17"/>
      <c r="BA121" s="17"/>
      <c r="BB121" s="17"/>
      <c r="BC121" s="96"/>
      <c r="BD121" s="96"/>
      <c r="BE121" s="96"/>
      <c r="BF121" s="96"/>
      <c r="BG121" s="96"/>
      <c r="BH121" s="96"/>
      <c r="BI121" s="96"/>
    </row>
    <row r="122" spans="1:61" x14ac:dyDescent="0.45">
      <c r="A122" s="103" t="s">
        <v>786</v>
      </c>
      <c r="B122" s="17" t="s">
        <v>1187</v>
      </c>
      <c r="C122" s="16">
        <v>44605</v>
      </c>
      <c r="D122" s="17" t="s">
        <v>66</v>
      </c>
      <c r="E122" s="15" t="s">
        <v>558</v>
      </c>
      <c r="F122" s="17">
        <v>27</v>
      </c>
      <c r="G122" s="17">
        <v>42</v>
      </c>
      <c r="H122" s="3" t="s">
        <v>43</v>
      </c>
      <c r="I122" s="88" t="s">
        <v>84</v>
      </c>
      <c r="J122" s="87">
        <v>44610</v>
      </c>
      <c r="K122" s="15">
        <v>323</v>
      </c>
      <c r="L122" s="96">
        <v>20</v>
      </c>
      <c r="M122" s="89">
        <v>9.99</v>
      </c>
      <c r="N122" s="88">
        <v>1</v>
      </c>
      <c r="O122" s="413" t="str">
        <f t="shared" si="1"/>
        <v>27 x 42</v>
      </c>
      <c r="P122" s="18" t="str">
        <f t="shared" si="2"/>
        <v>N/A</v>
      </c>
      <c r="Q122" s="91">
        <f t="shared" si="3"/>
        <v>2.85</v>
      </c>
      <c r="R122" s="18" t="str">
        <f t="shared" si="4"/>
        <v>37 x 3 x 3</v>
      </c>
      <c r="S122" s="18">
        <v>37</v>
      </c>
      <c r="T122" s="18">
        <v>3</v>
      </c>
      <c r="U122" s="18">
        <v>3</v>
      </c>
      <c r="V122" s="90">
        <f t="shared" si="47"/>
        <v>49</v>
      </c>
      <c r="W122" s="287">
        <f t="shared" si="51"/>
        <v>0.4995</v>
      </c>
      <c r="X122" s="287" t="str">
        <f t="shared" si="52"/>
        <v>Yes</v>
      </c>
      <c r="Y122" s="93" t="e">
        <f t="shared" si="53"/>
        <v>#REF!</v>
      </c>
      <c r="Z122" s="288" t="e">
        <f t="shared" si="54"/>
        <v>#REF!</v>
      </c>
      <c r="AA122" s="94" t="e">
        <f t="shared" si="55"/>
        <v>#REF!</v>
      </c>
      <c r="AB122" s="288" t="e">
        <f t="shared" si="56"/>
        <v>#REF!</v>
      </c>
      <c r="AC122" s="91" t="e">
        <f>IF(X122="","",IF(D122="2 3D",((F122-0.5)*2+(G122-0.5)*2)*VLOOKUP("3D base",#REF!,2,FALSE),IF(D122="3 Canv", IF(E122="Roll",0,ROUND(SUM(F122:G122)*2,0)),0)*VLOOKUP("Stretcher Bar",#REF!,2,FALSE)))</f>
        <v>#REF!</v>
      </c>
      <c r="AD122" s="91">
        <f>IF(X122="","",IF(E122="Roll",0,IF(D122="2 3D",(SUM(F122:G122)*2)*VLOOKUP("3D epoxy",#REF!,2,FALSE),IF(D122="3 Canv",VLOOKUP("Wood glue",#REF!,2,FALSE),""))))</f>
        <v>0</v>
      </c>
      <c r="AE122" s="91" t="e">
        <f>IF(D122="3 Canv",(((F122+5)*(G122+5)))*VLOOKUP("Canvas",#REF!,2,FALSE),IF(D122="2 3D",(((F122)*(G122)))*VLOOKUP("Dibond",#REF!,2,FALSE),""))</f>
        <v>#REF!</v>
      </c>
      <c r="AF122" s="91" t="e">
        <f>IF(D122="2 3D",F122*G122*VLOOKUP("3D ink",#REF!,2,FALSE),IF(D122="3 Canv",F122*G122*VLOOKUP("Canvas ink",#REF!,2,FALSE),""))</f>
        <v>#REF!</v>
      </c>
      <c r="AG122" s="91" t="str">
        <f>IF(D122="3 Canv",IF(E122="Roll","",ROUNDUP((SUM(F122:G122)*2)/3,"")*VLOOKUP("Staples",#REF!,2,FALSE)),"")</f>
        <v/>
      </c>
      <c r="AH122" s="91" t="e">
        <f>IF(AF122="","",(SUM(F122:G122)*2)*VLOOKUP(E122,#REF!,2,FALSE))</f>
        <v>#REF!</v>
      </c>
      <c r="AI122" s="18" t="str">
        <f t="shared" si="57"/>
        <v/>
      </c>
      <c r="AJ122" s="91" t="str">
        <f>IF(AI122="","",AI122*VLOOKUP("Staples",#REF!,2,FALSE))</f>
        <v/>
      </c>
      <c r="AK122" s="18" t="str">
        <f t="shared" si="58"/>
        <v/>
      </c>
      <c r="AL122" s="91" t="str">
        <f>IF(AK122="","",AK122*VLOOKUP("Frame screw",#REF!,2,FALSE))</f>
        <v/>
      </c>
      <c r="AM122" s="18" t="e">
        <f t="shared" si="59"/>
        <v>#REF!</v>
      </c>
      <c r="AN122" s="91" t="e">
        <f>IF(AM122="","",AM122*VLOOKUP("D ring",#REF!,2,FALSE))</f>
        <v>#REF!</v>
      </c>
      <c r="AO122" s="18" t="e">
        <f t="shared" si="60"/>
        <v>#REF!</v>
      </c>
      <c r="AP122" s="18" t="e">
        <f>IF(AO122="","",IF(G122&gt;59,AO122* VLOOKUP("8 wire",#REF!,2,FALSE)*2,IF(G122&gt;39,AO122* VLOOKUP("8 wire",#REF!,2,FALSE),AO122* VLOOKUP("6 wire",#REF!,2,FALSE))))</f>
        <v>#REF!</v>
      </c>
      <c r="AQ122" s="18" t="str">
        <f t="shared" si="61"/>
        <v/>
      </c>
      <c r="AR122" s="18" t="str">
        <f>IF(AQ122="","",AQ122*VLOOKUP("Pads",#REF!,2,FALSE))</f>
        <v/>
      </c>
      <c r="AS122" s="18" t="str">
        <f t="shared" si="62"/>
        <v/>
      </c>
      <c r="AT122" s="18" t="str">
        <f>IF(AS122="","",AS122*VLOOKUP("4 mil bag",#REF!,2,FALSE))</f>
        <v/>
      </c>
      <c r="AU122" s="91" t="e">
        <f>IF(X122="","",IF(I122="N/A","",IF(I122="CNC",IF(G122&gt;37,20,10),VLOOKUP(I122,#REF!,2,FALSE))))</f>
        <v>#REF!</v>
      </c>
      <c r="AV122" s="18" t="str">
        <f>IF(X122="","",IF(I122="CNC",VLOOKUP("Glue stick",#REF!,2,FALSE),""))</f>
        <v/>
      </c>
      <c r="AW122" s="18" t="str">
        <f>IF(X122="","",IF(I122="CNC",16*VLOOKUP("Box staples",#REF!,2,FALSE),""))</f>
        <v/>
      </c>
      <c r="AX122" s="91" t="e">
        <f>IF(X122="","",IF(I122="CNC",((((G122+6)+(F122+6))*2)+24)*VLOOKUP("sealing tape",#REF!,2,FALSE),VLOOKUP("Strapping tape",#REF!,2,FALSE)))</f>
        <v>#REF!</v>
      </c>
      <c r="AY122" s="17"/>
      <c r="AZ122" s="17"/>
      <c r="BA122" s="17"/>
      <c r="BB122" s="17"/>
      <c r="BC122" s="96"/>
      <c r="BD122" s="96"/>
      <c r="BE122" s="96"/>
      <c r="BF122" s="96"/>
      <c r="BG122" s="96"/>
      <c r="BH122" s="96"/>
      <c r="BI122" s="96"/>
    </row>
    <row r="123" spans="1:61" x14ac:dyDescent="0.45">
      <c r="A123" s="103" t="s">
        <v>786</v>
      </c>
      <c r="B123" s="17" t="s">
        <v>1380</v>
      </c>
      <c r="C123" s="16">
        <v>44605</v>
      </c>
      <c r="D123" s="17" t="s">
        <v>66</v>
      </c>
      <c r="E123" s="15" t="s">
        <v>558</v>
      </c>
      <c r="F123" s="17">
        <v>15</v>
      </c>
      <c r="G123" s="17">
        <v>23</v>
      </c>
      <c r="H123" s="3" t="s">
        <v>43</v>
      </c>
      <c r="I123" s="88" t="s">
        <v>77</v>
      </c>
      <c r="J123" s="87">
        <v>44610</v>
      </c>
      <c r="K123" s="15">
        <v>191.25</v>
      </c>
      <c r="L123" s="96">
        <v>15</v>
      </c>
      <c r="M123" s="89">
        <v>9.99</v>
      </c>
      <c r="N123" s="88">
        <v>1</v>
      </c>
      <c r="O123" s="413" t="str">
        <f t="shared" si="1"/>
        <v>15 x 23</v>
      </c>
      <c r="P123" s="18" t="str">
        <f t="shared" si="2"/>
        <v>N/A</v>
      </c>
      <c r="Q123" s="91">
        <f t="shared" si="3"/>
        <v>2.73</v>
      </c>
      <c r="R123" s="18" t="str">
        <f t="shared" si="4"/>
        <v>25 x 3 x 3</v>
      </c>
      <c r="S123" s="18">
        <v>25</v>
      </c>
      <c r="T123" s="18">
        <v>3</v>
      </c>
      <c r="U123" s="18">
        <v>3</v>
      </c>
      <c r="V123" s="90">
        <f t="shared" si="47"/>
        <v>37</v>
      </c>
      <c r="W123" s="287">
        <f t="shared" si="51"/>
        <v>0.66600000000000004</v>
      </c>
      <c r="X123" s="287" t="str">
        <f t="shared" si="52"/>
        <v>Yes</v>
      </c>
      <c r="Y123" s="93" t="e">
        <f t="shared" si="53"/>
        <v>#REF!</v>
      </c>
      <c r="Z123" s="288" t="e">
        <f t="shared" si="54"/>
        <v>#REF!</v>
      </c>
      <c r="AA123" s="94" t="e">
        <f t="shared" si="55"/>
        <v>#REF!</v>
      </c>
      <c r="AB123" s="288" t="e">
        <f t="shared" si="56"/>
        <v>#REF!</v>
      </c>
      <c r="AC123" s="91" t="e">
        <f>IF(X123="","",IF(D123="2 3D",((F123-0.5)*2+(G123-0.5)*2)*VLOOKUP("3D base",#REF!,2,FALSE),IF(D123="3 Canv", IF(E123="Roll",0,ROUND(SUM(F123:G123)*2,0)),0)*VLOOKUP("Stretcher Bar",#REF!,2,FALSE)))</f>
        <v>#REF!</v>
      </c>
      <c r="AD123" s="91">
        <f>IF(X123="","",IF(E123="Roll",0,IF(D123="2 3D",(SUM(F123:G123)*2)*VLOOKUP("3D epoxy",#REF!,2,FALSE),IF(D123="3 Canv",VLOOKUP("Wood glue",#REF!,2,FALSE),""))))</f>
        <v>0</v>
      </c>
      <c r="AE123" s="91" t="e">
        <f>IF(D123="3 Canv",(((F123+5)*(G123+5)))*VLOOKUP("Canvas",#REF!,2,FALSE),IF(D123="2 3D",(((F123)*(G123)))*VLOOKUP("Dibond",#REF!,2,FALSE),""))</f>
        <v>#REF!</v>
      </c>
      <c r="AF123" s="91" t="e">
        <f>IF(D123="2 3D",F123*G123*VLOOKUP("3D ink",#REF!,2,FALSE),IF(D123="3 Canv",F123*G123*VLOOKUP("Canvas ink",#REF!,2,FALSE),""))</f>
        <v>#REF!</v>
      </c>
      <c r="AG123" s="91" t="str">
        <f>IF(D123="3 Canv",IF(E123="Roll","",ROUNDUP((SUM(F123:G123)*2)/3,"")*VLOOKUP("Staples",#REF!,2,FALSE)),"")</f>
        <v/>
      </c>
      <c r="AH123" s="91" t="e">
        <f>IF(AF123="","",(SUM(F123:G123)*2)*VLOOKUP(E123,#REF!,2,FALSE))</f>
        <v>#REF!</v>
      </c>
      <c r="AI123" s="18" t="str">
        <f t="shared" si="57"/>
        <v/>
      </c>
      <c r="AJ123" s="91" t="str">
        <f>IF(AI123="","",AI123*VLOOKUP("Staples",#REF!,2,FALSE))</f>
        <v/>
      </c>
      <c r="AK123" s="18" t="str">
        <f t="shared" si="58"/>
        <v/>
      </c>
      <c r="AL123" s="91" t="str">
        <f>IF(AK123="","",AK123*VLOOKUP("Frame screw",#REF!,2,FALSE))</f>
        <v/>
      </c>
      <c r="AM123" s="18" t="e">
        <f t="shared" si="59"/>
        <v>#REF!</v>
      </c>
      <c r="AN123" s="91" t="e">
        <f>IF(AM123="","",AM123*VLOOKUP("D ring",#REF!,2,FALSE))</f>
        <v>#REF!</v>
      </c>
      <c r="AO123" s="18" t="e">
        <f t="shared" si="60"/>
        <v>#REF!</v>
      </c>
      <c r="AP123" s="18" t="e">
        <f>IF(AO123="","",IF(G123&gt;59,AO123* VLOOKUP("8 wire",#REF!,2,FALSE)*2,IF(G123&gt;39,AO123* VLOOKUP("8 wire",#REF!,2,FALSE),AO123* VLOOKUP("6 wire",#REF!,2,FALSE))))</f>
        <v>#REF!</v>
      </c>
      <c r="AQ123" s="18" t="str">
        <f t="shared" si="61"/>
        <v/>
      </c>
      <c r="AR123" s="18" t="str">
        <f>IF(AQ123="","",AQ123*VLOOKUP("Pads",#REF!,2,FALSE))</f>
        <v/>
      </c>
      <c r="AS123" s="18" t="str">
        <f t="shared" si="62"/>
        <v/>
      </c>
      <c r="AT123" s="18" t="str">
        <f>IF(AS123="","",AS123*VLOOKUP("4 mil bag",#REF!,2,FALSE))</f>
        <v/>
      </c>
      <c r="AU123" s="91" t="e">
        <f>IF(X123="","",IF(I123="N/A","",IF(I123="CNC",IF(G123&gt;37,20,10),VLOOKUP(I123,#REF!,2,FALSE))))</f>
        <v>#REF!</v>
      </c>
      <c r="AV123" s="18" t="str">
        <f>IF(X123="","",IF(I123="CNC",VLOOKUP("Glue stick",#REF!,2,FALSE),""))</f>
        <v/>
      </c>
      <c r="AW123" s="18" t="str">
        <f>IF(X123="","",IF(I123="CNC",16*VLOOKUP("Box staples",#REF!,2,FALSE),""))</f>
        <v/>
      </c>
      <c r="AX123" s="91" t="e">
        <f>IF(X123="","",IF(I123="CNC",((((G123+6)+(F123+6))*2)+24)*VLOOKUP("sealing tape",#REF!,2,FALSE),VLOOKUP("Strapping tape",#REF!,2,FALSE)))</f>
        <v>#REF!</v>
      </c>
      <c r="AY123" s="17"/>
      <c r="AZ123" s="17"/>
      <c r="BA123" s="17"/>
      <c r="BB123" s="17"/>
      <c r="BC123" s="96"/>
      <c r="BD123" s="96"/>
      <c r="BE123" s="96"/>
      <c r="BF123" s="96"/>
      <c r="BG123" s="96"/>
      <c r="BH123" s="96"/>
      <c r="BI123" s="96"/>
    </row>
    <row r="124" spans="1:61" x14ac:dyDescent="0.45">
      <c r="A124" s="103" t="s">
        <v>1186</v>
      </c>
      <c r="B124" s="17" t="s">
        <v>1382</v>
      </c>
      <c r="C124" s="16">
        <v>44601</v>
      </c>
      <c r="D124" s="17" t="s">
        <v>66</v>
      </c>
      <c r="E124" s="15" t="s">
        <v>558</v>
      </c>
      <c r="F124" s="17">
        <v>20</v>
      </c>
      <c r="G124" s="17">
        <v>24</v>
      </c>
      <c r="H124" s="3" t="s">
        <v>43</v>
      </c>
      <c r="I124" s="88" t="s">
        <v>84</v>
      </c>
      <c r="J124" s="87">
        <v>44610</v>
      </c>
      <c r="K124" s="15">
        <v>238</v>
      </c>
      <c r="L124" s="96">
        <v>15</v>
      </c>
      <c r="M124" s="89">
        <v>9.99</v>
      </c>
      <c r="N124" s="88">
        <v>2</v>
      </c>
      <c r="O124" s="413" t="str">
        <f t="shared" si="1"/>
        <v>20 x 24</v>
      </c>
      <c r="P124" s="18" t="str">
        <f t="shared" si="2"/>
        <v>N/A</v>
      </c>
      <c r="Q124" s="91">
        <f t="shared" si="3"/>
        <v>2.85</v>
      </c>
      <c r="R124" s="18" t="str">
        <f t="shared" si="4"/>
        <v>37 x 3 x 3</v>
      </c>
      <c r="S124" s="18">
        <v>37</v>
      </c>
      <c r="T124" s="18">
        <v>3</v>
      </c>
      <c r="U124" s="18">
        <v>3</v>
      </c>
      <c r="V124" s="90">
        <f t="shared" si="47"/>
        <v>49</v>
      </c>
      <c r="W124" s="287">
        <f t="shared" si="51"/>
        <v>0.66600000000000004</v>
      </c>
      <c r="X124" s="287" t="str">
        <f t="shared" si="52"/>
        <v>Yes</v>
      </c>
      <c r="Y124" s="93" t="e">
        <f t="shared" si="53"/>
        <v>#REF!</v>
      </c>
      <c r="Z124" s="288" t="e">
        <f t="shared" si="54"/>
        <v>#REF!</v>
      </c>
      <c r="AA124" s="94" t="e">
        <f t="shared" si="55"/>
        <v>#REF!</v>
      </c>
      <c r="AB124" s="288" t="e">
        <f t="shared" si="56"/>
        <v>#REF!</v>
      </c>
      <c r="AC124" s="91" t="e">
        <f>IF(X124="","",IF(D124="2 3D",((F124-0.5)*2+(G124-0.5)*2)*VLOOKUP("3D base",#REF!,2,FALSE),IF(D124="3 Canv", IF(E124="Roll",0,ROUND(SUM(F124:G124)*2,0)),0)*VLOOKUP("Stretcher Bar",#REF!,2,FALSE)))</f>
        <v>#REF!</v>
      </c>
      <c r="AD124" s="91">
        <f>IF(X124="","",IF(E124="Roll",0,IF(D124="2 3D",(SUM(F124:G124)*2)*VLOOKUP("3D epoxy",#REF!,2,FALSE),IF(D124="3 Canv",VLOOKUP("Wood glue",#REF!,2,FALSE),""))))</f>
        <v>0</v>
      </c>
      <c r="AE124" s="91" t="e">
        <f>IF(D124="3 Canv",(((F124+5)*(G124+5)))*VLOOKUP("Canvas",#REF!,2,FALSE),IF(D124="2 3D",(((F124)*(G124)))*VLOOKUP("Dibond",#REF!,2,FALSE),""))</f>
        <v>#REF!</v>
      </c>
      <c r="AF124" s="91" t="e">
        <f>IF(D124="2 3D",F124*G124*VLOOKUP("3D ink",#REF!,2,FALSE),IF(D124="3 Canv",F124*G124*VLOOKUP("Canvas ink",#REF!,2,FALSE),""))</f>
        <v>#REF!</v>
      </c>
      <c r="AG124" s="91" t="str">
        <f>IF(D124="3 Canv",IF(E124="Roll","",ROUNDUP((SUM(F124:G124)*2)/3,"")*VLOOKUP("Staples",#REF!,2,FALSE)),"")</f>
        <v/>
      </c>
      <c r="AH124" s="91" t="e">
        <f>IF(AF124="","",(SUM(F124:G124)*2)*VLOOKUP(E124,#REF!,2,FALSE))</f>
        <v>#REF!</v>
      </c>
      <c r="AI124" s="18" t="str">
        <f t="shared" si="57"/>
        <v/>
      </c>
      <c r="AJ124" s="91" t="str">
        <f>IF(AI124="","",AI124*VLOOKUP("Staples",#REF!,2,FALSE))</f>
        <v/>
      </c>
      <c r="AK124" s="18" t="str">
        <f t="shared" si="58"/>
        <v/>
      </c>
      <c r="AL124" s="91" t="str">
        <f>IF(AK124="","",AK124*VLOOKUP("Frame screw",#REF!,2,FALSE))</f>
        <v/>
      </c>
      <c r="AM124" s="18" t="e">
        <f t="shared" si="59"/>
        <v>#REF!</v>
      </c>
      <c r="AN124" s="91" t="e">
        <f>IF(AM124="","",AM124*VLOOKUP("D ring",#REF!,2,FALSE))</f>
        <v>#REF!</v>
      </c>
      <c r="AO124" s="18" t="e">
        <f t="shared" si="60"/>
        <v>#REF!</v>
      </c>
      <c r="AP124" s="18" t="e">
        <f>IF(AO124="","",IF(G124&gt;59,AO124* VLOOKUP("8 wire",#REF!,2,FALSE)*2,IF(G124&gt;39,AO124* VLOOKUP("8 wire",#REF!,2,FALSE),AO124* VLOOKUP("6 wire",#REF!,2,FALSE))))</f>
        <v>#REF!</v>
      </c>
      <c r="AQ124" s="18" t="str">
        <f t="shared" si="61"/>
        <v/>
      </c>
      <c r="AR124" s="18" t="str">
        <f>IF(AQ124="","",AQ124*VLOOKUP("Pads",#REF!,2,FALSE))</f>
        <v/>
      </c>
      <c r="AS124" s="18" t="str">
        <f t="shared" si="62"/>
        <v/>
      </c>
      <c r="AT124" s="18" t="str">
        <f>IF(AS124="","",AS124*VLOOKUP("4 mil bag",#REF!,2,FALSE))</f>
        <v/>
      </c>
      <c r="AU124" s="91" t="e">
        <f>IF(X124="","",IF(I124="N/A","",IF(I124="CNC",IF(G124&gt;37,20,10),VLOOKUP(I124,#REF!,2,FALSE))))</f>
        <v>#REF!</v>
      </c>
      <c r="AV124" s="18" t="str">
        <f>IF(X124="","",IF(I124="CNC",VLOOKUP("Glue stick",#REF!,2,FALSE),""))</f>
        <v/>
      </c>
      <c r="AW124" s="18" t="str">
        <f>IF(X124="","",IF(I124="CNC",16*VLOOKUP("Box staples",#REF!,2,FALSE),""))</f>
        <v/>
      </c>
      <c r="AX124" s="91" t="e">
        <f>IF(X124="","",IF(I124="CNC",((((G124+6)+(F124+6))*2)+24)*VLOOKUP("sealing tape",#REF!,2,FALSE),VLOOKUP("Strapping tape",#REF!,2,FALSE)))</f>
        <v>#REF!</v>
      </c>
      <c r="AY124" s="17"/>
      <c r="AZ124" s="17"/>
      <c r="BA124" s="17"/>
      <c r="BB124" s="17"/>
      <c r="BC124" s="96"/>
      <c r="BD124" s="96"/>
      <c r="BE124" s="96"/>
      <c r="BF124" s="96"/>
      <c r="BG124" s="96"/>
      <c r="BH124" s="96"/>
      <c r="BI124" s="96"/>
    </row>
    <row r="125" spans="1:61" x14ac:dyDescent="0.45">
      <c r="A125" s="17" t="s">
        <v>1185</v>
      </c>
      <c r="B125" s="17" t="s">
        <v>1184</v>
      </c>
      <c r="C125" s="16">
        <v>44606</v>
      </c>
      <c r="D125" s="17" t="s">
        <v>66</v>
      </c>
      <c r="E125" s="15" t="s">
        <v>558</v>
      </c>
      <c r="F125" s="17">
        <v>33</v>
      </c>
      <c r="G125" s="17">
        <v>66</v>
      </c>
      <c r="H125" s="3" t="s">
        <v>55</v>
      </c>
      <c r="I125" s="88" t="s">
        <v>595</v>
      </c>
      <c r="J125" s="87">
        <v>44610</v>
      </c>
      <c r="K125" s="15">
        <v>599.25</v>
      </c>
      <c r="L125" s="96">
        <v>40</v>
      </c>
      <c r="M125" s="89">
        <v>0</v>
      </c>
      <c r="N125" s="88"/>
      <c r="O125" s="413" t="str">
        <f t="shared" si="1"/>
        <v>33 x 66</v>
      </c>
      <c r="P125" s="18" t="str">
        <f t="shared" si="2"/>
        <v>N/A</v>
      </c>
      <c r="Q125" s="91">
        <f t="shared" si="3"/>
        <v>4.32</v>
      </c>
      <c r="R125" s="18" t="str">
        <f t="shared" si="4"/>
        <v>57 x 3 x 3</v>
      </c>
      <c r="S125" s="18">
        <v>57</v>
      </c>
      <c r="T125" s="18">
        <v>3</v>
      </c>
      <c r="U125" s="18">
        <v>3</v>
      </c>
      <c r="V125" s="90">
        <f t="shared" si="47"/>
        <v>69</v>
      </c>
      <c r="W125" s="287" t="str">
        <f t="shared" si="51"/>
        <v/>
      </c>
      <c r="X125" s="287" t="str">
        <f t="shared" si="52"/>
        <v>Yes</v>
      </c>
      <c r="Y125" s="93" t="e">
        <f t="shared" si="53"/>
        <v>#REF!</v>
      </c>
      <c r="Z125" s="288" t="e">
        <f t="shared" si="54"/>
        <v>#REF!</v>
      </c>
      <c r="AA125" s="94" t="e">
        <f t="shared" si="55"/>
        <v>#REF!</v>
      </c>
      <c r="AB125" s="288" t="e">
        <f t="shared" si="56"/>
        <v>#REF!</v>
      </c>
      <c r="AC125" s="91" t="e">
        <f>IF(X125="","",IF(D125="2 3D",((F125-0.5)*2+(G125-0.5)*2)*VLOOKUP("3D base",#REF!,2,FALSE),IF(D125="3 Canv", IF(E125="Roll",0,ROUND(SUM(F125:G125)*2,0)),0)*VLOOKUP("Stretcher Bar",#REF!,2,FALSE)))</f>
        <v>#REF!</v>
      </c>
      <c r="AD125" s="91">
        <f>IF(X125="","",IF(E125="Roll",0,IF(D125="2 3D",(SUM(F125:G125)*2)*VLOOKUP("3D epoxy",#REF!,2,FALSE),IF(D125="3 Canv",VLOOKUP("Wood glue",#REF!,2,FALSE),""))))</f>
        <v>0</v>
      </c>
      <c r="AE125" s="91" t="e">
        <f>IF(D125="3 Canv",(((F125+5)*(G125+5)))*VLOOKUP("Canvas",#REF!,2,FALSE),IF(D125="2 3D",(((F125)*(G125)))*VLOOKUP("Dibond",#REF!,2,FALSE),""))</f>
        <v>#REF!</v>
      </c>
      <c r="AF125" s="91" t="e">
        <f>IF(D125="2 3D",F125*G125*VLOOKUP("3D ink",#REF!,2,FALSE),IF(D125="3 Canv",F125*G125*VLOOKUP("Canvas ink",#REF!,2,FALSE),""))</f>
        <v>#REF!</v>
      </c>
      <c r="AG125" s="91" t="str">
        <f>IF(D125="3 Canv",IF(E125="Roll","",ROUNDUP((SUM(F125:G125)*2)/3,"")*VLOOKUP("Staples",#REF!,2,FALSE)),"")</f>
        <v/>
      </c>
      <c r="AH125" s="91" t="e">
        <f>IF(AF125="","",(SUM(F125:G125)*2)*VLOOKUP(E125,#REF!,2,FALSE))</f>
        <v>#REF!</v>
      </c>
      <c r="AI125" s="18" t="str">
        <f t="shared" si="57"/>
        <v/>
      </c>
      <c r="AJ125" s="91" t="str">
        <f>IF(AI125="","",AI125*VLOOKUP("Staples",#REF!,2,FALSE))</f>
        <v/>
      </c>
      <c r="AK125" s="18" t="str">
        <f t="shared" si="58"/>
        <v/>
      </c>
      <c r="AL125" s="91" t="str">
        <f>IF(AK125="","",AK125*VLOOKUP("Frame screw",#REF!,2,FALSE))</f>
        <v/>
      </c>
      <c r="AM125" s="18" t="e">
        <f t="shared" si="59"/>
        <v>#REF!</v>
      </c>
      <c r="AN125" s="91" t="e">
        <f>IF(AM125="","",AM125*VLOOKUP("D ring",#REF!,2,FALSE))</f>
        <v>#REF!</v>
      </c>
      <c r="AO125" s="18" t="e">
        <f t="shared" si="60"/>
        <v>#REF!</v>
      </c>
      <c r="AP125" s="18" t="e">
        <f>IF(AO125="","",IF(G125&gt;59,AO125* VLOOKUP("8 wire",#REF!,2,FALSE)*2,IF(G125&gt;39,AO125* VLOOKUP("8 wire",#REF!,2,FALSE),AO125* VLOOKUP("6 wire",#REF!,2,FALSE))))</f>
        <v>#REF!</v>
      </c>
      <c r="AQ125" s="18" t="str">
        <f t="shared" si="61"/>
        <v/>
      </c>
      <c r="AR125" s="18" t="str">
        <f>IF(AQ125="","",AQ125*VLOOKUP("Pads",#REF!,2,FALSE))</f>
        <v/>
      </c>
      <c r="AS125" s="18" t="str">
        <f t="shared" si="62"/>
        <v/>
      </c>
      <c r="AT125" s="18" t="str">
        <f>IF(AS125="","",AS125*VLOOKUP("4 mil bag",#REF!,2,FALSE))</f>
        <v/>
      </c>
      <c r="AU125" s="91" t="e">
        <f>IF(X125="","",IF(I125="N/A","",IF(I125="CNC",IF(G125&gt;37,20,10),VLOOKUP(I125,#REF!,2,FALSE))))</f>
        <v>#REF!</v>
      </c>
      <c r="AV125" s="18" t="str">
        <f>IF(X125="","",IF(I125="CNC",VLOOKUP("Glue stick",#REF!,2,FALSE),""))</f>
        <v/>
      </c>
      <c r="AW125" s="18" t="str">
        <f>IF(X125="","",IF(I125="CNC",16*VLOOKUP("Box staples",#REF!,2,FALSE),""))</f>
        <v/>
      </c>
      <c r="AX125" s="91" t="e">
        <f>IF(X125="","",IF(I125="CNC",((((G125+6)+(F125+6))*2)+24)*VLOOKUP("sealing tape",#REF!,2,FALSE),VLOOKUP("Strapping tape",#REF!,2,FALSE)))</f>
        <v>#REF!</v>
      </c>
      <c r="AY125" s="17"/>
      <c r="AZ125" s="17"/>
      <c r="BA125" s="17"/>
      <c r="BB125" s="17"/>
      <c r="BC125" s="96"/>
      <c r="BD125" s="96"/>
      <c r="BE125" s="96"/>
      <c r="BF125" s="96"/>
      <c r="BG125" s="96"/>
      <c r="BH125" s="96"/>
      <c r="BI125" s="96"/>
    </row>
    <row r="126" spans="1:61" x14ac:dyDescent="0.45">
      <c r="A126" s="103" t="s">
        <v>415</v>
      </c>
      <c r="B126" s="17" t="s">
        <v>1194</v>
      </c>
      <c r="C126" s="16">
        <v>44601</v>
      </c>
      <c r="D126" s="17" t="s">
        <v>66</v>
      </c>
      <c r="E126" s="15" t="s">
        <v>558</v>
      </c>
      <c r="F126" s="17">
        <v>32</v>
      </c>
      <c r="G126" s="17">
        <v>44</v>
      </c>
      <c r="H126" s="3" t="s">
        <v>43</v>
      </c>
      <c r="I126" s="88" t="s">
        <v>595</v>
      </c>
      <c r="J126" s="87">
        <v>44611</v>
      </c>
      <c r="K126" s="15">
        <v>374</v>
      </c>
      <c r="L126" s="96">
        <v>25</v>
      </c>
      <c r="M126" s="89">
        <v>12.3</v>
      </c>
      <c r="N126" s="88">
        <v>2</v>
      </c>
      <c r="O126" s="413" t="str">
        <f t="shared" si="1"/>
        <v>32 x 44</v>
      </c>
      <c r="P126" s="18" t="str">
        <f t="shared" si="2"/>
        <v>N/A</v>
      </c>
      <c r="Q126" s="91">
        <f t="shared" si="3"/>
        <v>4.32</v>
      </c>
      <c r="R126" s="18" t="str">
        <f t="shared" si="4"/>
        <v>57 x 3 x 3</v>
      </c>
      <c r="S126" s="18">
        <v>57</v>
      </c>
      <c r="T126" s="18">
        <v>3</v>
      </c>
      <c r="U126" s="18">
        <v>3</v>
      </c>
      <c r="V126" s="90">
        <f t="shared" si="47"/>
        <v>69</v>
      </c>
      <c r="W126" s="287">
        <f t="shared" si="51"/>
        <v>0.49200000000000005</v>
      </c>
      <c r="X126" s="287" t="str">
        <f t="shared" si="52"/>
        <v>Yes</v>
      </c>
      <c r="Y126" s="93" t="e">
        <f t="shared" si="53"/>
        <v>#REF!</v>
      </c>
      <c r="Z126" s="288" t="e">
        <f t="shared" si="54"/>
        <v>#REF!</v>
      </c>
      <c r="AA126" s="94" t="e">
        <f t="shared" si="55"/>
        <v>#REF!</v>
      </c>
      <c r="AB126" s="288" t="e">
        <f t="shared" si="56"/>
        <v>#REF!</v>
      </c>
      <c r="AC126" s="91" t="e">
        <f>IF(X126="","",IF(D126="2 3D",((F126-0.5)*2+(G126-0.5)*2)*VLOOKUP("3D base",#REF!,2,FALSE),IF(D126="3 Canv", IF(E126="Roll",0,ROUND(SUM(F126:G126)*2,0)),0)*VLOOKUP("Stretcher Bar",#REF!,2,FALSE)))</f>
        <v>#REF!</v>
      </c>
      <c r="AD126" s="91">
        <f>IF(X126="","",IF(E126="Roll",0,IF(D126="2 3D",(SUM(F126:G126)*2)*VLOOKUP("3D epoxy",#REF!,2,FALSE),IF(D126="3 Canv",VLOOKUP("Wood glue",#REF!,2,FALSE),""))))</f>
        <v>0</v>
      </c>
      <c r="AE126" s="91" t="e">
        <f>IF(D126="3 Canv",(((F126+5)*(G126+5)))*VLOOKUP("Canvas",#REF!,2,FALSE),IF(D126="2 3D",(((F126)*(G126)))*VLOOKUP("Dibond",#REF!,2,FALSE),""))</f>
        <v>#REF!</v>
      </c>
      <c r="AF126" s="91" t="e">
        <f>IF(D126="2 3D",F126*G126*VLOOKUP("3D ink",#REF!,2,FALSE),IF(D126="3 Canv",F126*G126*VLOOKUP("Canvas ink",#REF!,2,FALSE),""))</f>
        <v>#REF!</v>
      </c>
      <c r="AG126" s="91" t="str">
        <f>IF(D126="3 Canv",IF(E126="Roll","",ROUNDUP((SUM(F126:G126)*2)/3,"")*VLOOKUP("Staples",#REF!,2,FALSE)),"")</f>
        <v/>
      </c>
      <c r="AH126" s="91" t="e">
        <f>IF(AF126="","",(SUM(F126:G126)*2)*VLOOKUP(E126,#REF!,2,FALSE))</f>
        <v>#REF!</v>
      </c>
      <c r="AI126" s="18" t="str">
        <f t="shared" si="57"/>
        <v/>
      </c>
      <c r="AJ126" s="91" t="str">
        <f>IF(AI126="","",AI126*VLOOKUP("Staples",#REF!,2,FALSE))</f>
        <v/>
      </c>
      <c r="AK126" s="18" t="str">
        <f t="shared" si="58"/>
        <v/>
      </c>
      <c r="AL126" s="91" t="str">
        <f>IF(AK126="","",AK126*VLOOKUP("Frame screw",#REF!,2,FALSE))</f>
        <v/>
      </c>
      <c r="AM126" s="18" t="e">
        <f t="shared" si="59"/>
        <v>#REF!</v>
      </c>
      <c r="AN126" s="91" t="e">
        <f>IF(AM126="","",AM126*VLOOKUP("D ring",#REF!,2,FALSE))</f>
        <v>#REF!</v>
      </c>
      <c r="AO126" s="18" t="e">
        <f t="shared" si="60"/>
        <v>#REF!</v>
      </c>
      <c r="AP126" s="18" t="e">
        <f>IF(AO126="","",IF(G126&gt;59,AO126* VLOOKUP("8 wire",#REF!,2,FALSE)*2,IF(G126&gt;39,AO126* VLOOKUP("8 wire",#REF!,2,FALSE),AO126* VLOOKUP("6 wire",#REF!,2,FALSE))))</f>
        <v>#REF!</v>
      </c>
      <c r="AQ126" s="18" t="str">
        <f t="shared" si="61"/>
        <v/>
      </c>
      <c r="AR126" s="18" t="str">
        <f>IF(AQ126="","",AQ126*VLOOKUP("Pads",#REF!,2,FALSE))</f>
        <v/>
      </c>
      <c r="AS126" s="18" t="str">
        <f t="shared" si="62"/>
        <v/>
      </c>
      <c r="AT126" s="18" t="str">
        <f>IF(AS126="","",AS126*VLOOKUP("4 mil bag",#REF!,2,FALSE))</f>
        <v/>
      </c>
      <c r="AU126" s="91" t="e">
        <f>IF(X126="","",IF(I126="N/A","",IF(I126="CNC",IF(G126&gt;37,20,10),VLOOKUP(I126,#REF!,2,FALSE))))</f>
        <v>#REF!</v>
      </c>
      <c r="AV126" s="18" t="str">
        <f>IF(X126="","",IF(I126="CNC",VLOOKUP("Glue stick",#REF!,2,FALSE),""))</f>
        <v/>
      </c>
      <c r="AW126" s="18" t="str">
        <f>IF(X126="","",IF(I126="CNC",16*VLOOKUP("Box staples",#REF!,2,FALSE),""))</f>
        <v/>
      </c>
      <c r="AX126" s="91" t="e">
        <f>IF(X126="","",IF(I126="CNC",((((G126+6)+(F126+6))*2)+24)*VLOOKUP("sealing tape",#REF!,2,FALSE),VLOOKUP("Strapping tape",#REF!,2,FALSE)))</f>
        <v>#REF!</v>
      </c>
      <c r="AY126" s="17"/>
      <c r="AZ126" s="17"/>
      <c r="BA126" s="17"/>
      <c r="BB126" s="17"/>
      <c r="BC126" s="96"/>
      <c r="BD126" s="96"/>
      <c r="BE126" s="96"/>
      <c r="BF126" s="96"/>
      <c r="BG126" s="96"/>
      <c r="BH126" s="96"/>
      <c r="BI126" s="96"/>
    </row>
    <row r="127" spans="1:61" x14ac:dyDescent="0.45">
      <c r="A127" s="17" t="s">
        <v>433</v>
      </c>
      <c r="B127" s="17" t="s">
        <v>35</v>
      </c>
      <c r="C127" s="16">
        <v>44601</v>
      </c>
      <c r="D127" s="17" t="s">
        <v>66</v>
      </c>
      <c r="E127" s="15" t="s">
        <v>558</v>
      </c>
      <c r="F127" s="17">
        <v>19</v>
      </c>
      <c r="G127" s="17">
        <v>24</v>
      </c>
      <c r="H127" s="3" t="s">
        <v>55</v>
      </c>
      <c r="I127" s="88" t="s">
        <v>84</v>
      </c>
      <c r="J127" s="87">
        <v>44611</v>
      </c>
      <c r="K127" s="15">
        <v>220</v>
      </c>
      <c r="L127" s="96">
        <v>0</v>
      </c>
      <c r="M127" s="89">
        <v>0</v>
      </c>
      <c r="N127" s="88"/>
      <c r="O127" s="413" t="str">
        <f t="shared" si="1"/>
        <v>19 x 24</v>
      </c>
      <c r="P127" s="18" t="str">
        <f t="shared" si="2"/>
        <v>N/A</v>
      </c>
      <c r="Q127" s="91">
        <f t="shared" si="3"/>
        <v>2.85</v>
      </c>
      <c r="R127" s="18" t="str">
        <f t="shared" si="4"/>
        <v>37 x 3 x 3</v>
      </c>
      <c r="S127" s="18">
        <v>37</v>
      </c>
      <c r="T127" s="18">
        <v>3</v>
      </c>
      <c r="U127" s="18">
        <v>3</v>
      </c>
      <c r="V127" s="90">
        <f t="shared" si="47"/>
        <v>49</v>
      </c>
      <c r="W127" s="287" t="str">
        <f t="shared" si="51"/>
        <v/>
      </c>
      <c r="X127" s="287" t="str">
        <f t="shared" si="52"/>
        <v>Yes</v>
      </c>
      <c r="Y127" s="93" t="e">
        <f t="shared" si="53"/>
        <v>#REF!</v>
      </c>
      <c r="Z127" s="288" t="e">
        <f t="shared" si="54"/>
        <v>#REF!</v>
      </c>
      <c r="AA127" s="94" t="e">
        <f t="shared" si="55"/>
        <v>#REF!</v>
      </c>
      <c r="AB127" s="288" t="e">
        <f t="shared" si="56"/>
        <v>#REF!</v>
      </c>
      <c r="AC127" s="91" t="e">
        <f>IF(X127="","",IF(D127="2 3D",((F127-0.5)*2+(G127-0.5)*2)*VLOOKUP("3D base",#REF!,2,FALSE),IF(D127="3 Canv", IF(E127="Roll",0,ROUND(SUM(F127:G127)*2,0)),0)*VLOOKUP("Stretcher Bar",#REF!,2,FALSE)))</f>
        <v>#REF!</v>
      </c>
      <c r="AD127" s="91">
        <f>IF(X127="","",IF(E127="Roll",0,IF(D127="2 3D",(SUM(F127:G127)*2)*VLOOKUP("3D epoxy",#REF!,2,FALSE),IF(D127="3 Canv",VLOOKUP("Wood glue",#REF!,2,FALSE),""))))</f>
        <v>0</v>
      </c>
      <c r="AE127" s="91" t="e">
        <f>IF(D127="3 Canv",(((F127+5)*(G127+5)))*VLOOKUP("Canvas",#REF!,2,FALSE),IF(D127="2 3D",(((F127)*(G127)))*VLOOKUP("Dibond",#REF!,2,FALSE),""))</f>
        <v>#REF!</v>
      </c>
      <c r="AF127" s="91" t="e">
        <f>IF(D127="2 3D",F127*G127*VLOOKUP("3D ink",#REF!,2,FALSE),IF(D127="3 Canv",F127*G127*VLOOKUP("Canvas ink",#REF!,2,FALSE),""))</f>
        <v>#REF!</v>
      </c>
      <c r="AG127" s="91" t="str">
        <f>IF(D127="3 Canv",IF(E127="Roll","",ROUNDUP((SUM(F127:G127)*2)/3,"")*VLOOKUP("Staples",#REF!,2,FALSE)),"")</f>
        <v/>
      </c>
      <c r="AH127" s="91" t="e">
        <f>IF(AF127="","",(SUM(F127:G127)*2)*VLOOKUP(E127,#REF!,2,FALSE))</f>
        <v>#REF!</v>
      </c>
      <c r="AI127" s="18" t="str">
        <f t="shared" si="57"/>
        <v/>
      </c>
      <c r="AJ127" s="91" t="str">
        <f>IF(AI127="","",AI127*VLOOKUP("Staples",#REF!,2,FALSE))</f>
        <v/>
      </c>
      <c r="AK127" s="18" t="str">
        <f t="shared" si="58"/>
        <v/>
      </c>
      <c r="AL127" s="91" t="str">
        <f>IF(AK127="","",AK127*VLOOKUP("Frame screw",#REF!,2,FALSE))</f>
        <v/>
      </c>
      <c r="AM127" s="18" t="e">
        <f t="shared" si="59"/>
        <v>#REF!</v>
      </c>
      <c r="AN127" s="91" t="e">
        <f>IF(AM127="","",AM127*VLOOKUP("D ring",#REF!,2,FALSE))</f>
        <v>#REF!</v>
      </c>
      <c r="AO127" s="18" t="e">
        <f t="shared" si="60"/>
        <v>#REF!</v>
      </c>
      <c r="AP127" s="18" t="e">
        <f>IF(AO127="","",IF(G127&gt;59,AO127* VLOOKUP("8 wire",#REF!,2,FALSE)*2,IF(G127&gt;39,AO127* VLOOKUP("8 wire",#REF!,2,FALSE),AO127* VLOOKUP("6 wire",#REF!,2,FALSE))))</f>
        <v>#REF!</v>
      </c>
      <c r="AQ127" s="18" t="str">
        <f t="shared" si="61"/>
        <v/>
      </c>
      <c r="AR127" s="18" t="str">
        <f>IF(AQ127="","",AQ127*VLOOKUP("Pads",#REF!,2,FALSE))</f>
        <v/>
      </c>
      <c r="AS127" s="18" t="str">
        <f t="shared" si="62"/>
        <v/>
      </c>
      <c r="AT127" s="18" t="str">
        <f>IF(AS127="","",AS127*VLOOKUP("4 mil bag",#REF!,2,FALSE))</f>
        <v/>
      </c>
      <c r="AU127" s="91" t="e">
        <f>IF(X127="","",IF(I127="N/A","",IF(I127="CNC",IF(G127&gt;37,20,10),VLOOKUP(I127,#REF!,2,FALSE))))</f>
        <v>#REF!</v>
      </c>
      <c r="AV127" s="18" t="str">
        <f>IF(X127="","",IF(I127="CNC",VLOOKUP("Glue stick",#REF!,2,FALSE),""))</f>
        <v/>
      </c>
      <c r="AW127" s="18" t="str">
        <f>IF(X127="","",IF(I127="CNC",16*VLOOKUP("Box staples",#REF!,2,FALSE),""))</f>
        <v/>
      </c>
      <c r="AX127" s="91" t="e">
        <f>IF(X127="","",IF(I127="CNC",((((G127+6)+(F127+6))*2)+24)*VLOOKUP("sealing tape",#REF!,2,FALSE),VLOOKUP("Strapping tape",#REF!,2,FALSE)))</f>
        <v>#REF!</v>
      </c>
      <c r="AY127" s="17"/>
      <c r="AZ127" s="17"/>
      <c r="BA127" s="17"/>
      <c r="BB127" s="17"/>
      <c r="BC127" s="96"/>
      <c r="BD127" s="96"/>
      <c r="BE127" s="96"/>
      <c r="BF127" s="96"/>
      <c r="BG127" s="96"/>
      <c r="BH127" s="96"/>
      <c r="BI127" s="96"/>
    </row>
    <row r="128" spans="1:61" x14ac:dyDescent="0.45">
      <c r="A128" s="103" t="s">
        <v>582</v>
      </c>
      <c r="B128" s="17" t="s">
        <v>1195</v>
      </c>
      <c r="C128" s="16">
        <v>44605</v>
      </c>
      <c r="D128" s="17" t="s">
        <v>66</v>
      </c>
      <c r="E128" s="15" t="s">
        <v>558</v>
      </c>
      <c r="F128" s="17">
        <v>34</v>
      </c>
      <c r="G128" s="17">
        <v>42</v>
      </c>
      <c r="H128" s="3" t="s">
        <v>43</v>
      </c>
      <c r="I128" s="88" t="s">
        <v>595</v>
      </c>
      <c r="J128" s="87">
        <v>44611</v>
      </c>
      <c r="K128" s="15">
        <v>356</v>
      </c>
      <c r="L128" s="96">
        <v>25</v>
      </c>
      <c r="M128" s="89">
        <v>25.74</v>
      </c>
      <c r="N128" s="88">
        <v>2</v>
      </c>
      <c r="O128" s="413" t="str">
        <f t="shared" si="1"/>
        <v>34 x 42</v>
      </c>
      <c r="P128" s="18" t="str">
        <f t="shared" si="2"/>
        <v>N/A</v>
      </c>
      <c r="Q128" s="91">
        <f t="shared" si="3"/>
        <v>4.32</v>
      </c>
      <c r="R128" s="18" t="str">
        <f t="shared" si="4"/>
        <v>57 x 3 x 3</v>
      </c>
      <c r="S128" s="18">
        <v>57</v>
      </c>
      <c r="T128" s="18">
        <v>3</v>
      </c>
      <c r="U128" s="18">
        <v>3</v>
      </c>
      <c r="V128" s="90">
        <f t="shared" si="47"/>
        <v>69</v>
      </c>
      <c r="W128" s="287">
        <f t="shared" si="51"/>
        <v>1.0295999999999998</v>
      </c>
      <c r="X128" s="287" t="str">
        <f t="shared" si="52"/>
        <v>Yes</v>
      </c>
      <c r="Y128" s="93" t="e">
        <f t="shared" si="53"/>
        <v>#REF!</v>
      </c>
      <c r="Z128" s="288" t="e">
        <f t="shared" si="54"/>
        <v>#REF!</v>
      </c>
      <c r="AA128" s="94" t="e">
        <f t="shared" si="55"/>
        <v>#REF!</v>
      </c>
      <c r="AB128" s="288" t="e">
        <f t="shared" si="56"/>
        <v>#REF!</v>
      </c>
      <c r="AC128" s="91" t="e">
        <f>IF(X128="","",IF(D128="2 3D",((F128-0.5)*2+(G128-0.5)*2)*VLOOKUP("3D base",#REF!,2,FALSE),IF(D128="3 Canv", IF(E128="Roll",0,ROUND(SUM(F128:G128)*2,0)),0)*VLOOKUP("Stretcher Bar",#REF!,2,FALSE)))</f>
        <v>#REF!</v>
      </c>
      <c r="AD128" s="91">
        <f>IF(X128="","",IF(E128="Roll",0,IF(D128="2 3D",(SUM(F128:G128)*2)*VLOOKUP("3D epoxy",#REF!,2,FALSE),IF(D128="3 Canv",VLOOKUP("Wood glue",#REF!,2,FALSE),""))))</f>
        <v>0</v>
      </c>
      <c r="AE128" s="91" t="e">
        <f>IF(D128="3 Canv",(((F128+5)*(G128+5)))*VLOOKUP("Canvas",#REF!,2,FALSE),IF(D128="2 3D",(((F128)*(G128)))*VLOOKUP("Dibond",#REF!,2,FALSE),""))</f>
        <v>#REF!</v>
      </c>
      <c r="AF128" s="91" t="e">
        <f>IF(D128="2 3D",F128*G128*VLOOKUP("3D ink",#REF!,2,FALSE),IF(D128="3 Canv",F128*G128*VLOOKUP("Canvas ink",#REF!,2,FALSE),""))</f>
        <v>#REF!</v>
      </c>
      <c r="AG128" s="91" t="str">
        <f>IF(D128="3 Canv",IF(E128="Roll","",ROUNDUP((SUM(F128:G128)*2)/3,"")*VLOOKUP("Staples",#REF!,2,FALSE)),"")</f>
        <v/>
      </c>
      <c r="AH128" s="91" t="e">
        <f>IF(AF128="","",(SUM(F128:G128)*2)*VLOOKUP(E128,#REF!,2,FALSE))</f>
        <v>#REF!</v>
      </c>
      <c r="AI128" s="18" t="str">
        <f t="shared" si="57"/>
        <v/>
      </c>
      <c r="AJ128" s="91" t="str">
        <f>IF(AI128="","",AI128*VLOOKUP("Staples",#REF!,2,FALSE))</f>
        <v/>
      </c>
      <c r="AK128" s="18" t="str">
        <f t="shared" si="58"/>
        <v/>
      </c>
      <c r="AL128" s="91" t="str">
        <f>IF(AK128="","",AK128*VLOOKUP("Frame screw",#REF!,2,FALSE))</f>
        <v/>
      </c>
      <c r="AM128" s="18" t="e">
        <f t="shared" si="59"/>
        <v>#REF!</v>
      </c>
      <c r="AN128" s="91" t="e">
        <f>IF(AM128="","",AM128*VLOOKUP("D ring",#REF!,2,FALSE))</f>
        <v>#REF!</v>
      </c>
      <c r="AO128" s="18" t="e">
        <f t="shared" si="60"/>
        <v>#REF!</v>
      </c>
      <c r="AP128" s="18" t="e">
        <f>IF(AO128="","",IF(G128&gt;59,AO128* VLOOKUP("8 wire",#REF!,2,FALSE)*2,IF(G128&gt;39,AO128* VLOOKUP("8 wire",#REF!,2,FALSE),AO128* VLOOKUP("6 wire",#REF!,2,FALSE))))</f>
        <v>#REF!</v>
      </c>
      <c r="AQ128" s="18" t="str">
        <f t="shared" si="61"/>
        <v/>
      </c>
      <c r="AR128" s="18" t="str">
        <f>IF(AQ128="","",AQ128*VLOOKUP("Pads",#REF!,2,FALSE))</f>
        <v/>
      </c>
      <c r="AS128" s="18" t="str">
        <f t="shared" si="62"/>
        <v/>
      </c>
      <c r="AT128" s="18" t="str">
        <f>IF(AS128="","",AS128*VLOOKUP("4 mil bag",#REF!,2,FALSE))</f>
        <v/>
      </c>
      <c r="AU128" s="91" t="e">
        <f>IF(X128="","",IF(I128="N/A","",IF(I128="CNC",IF(G128&gt;37,20,10),VLOOKUP(I128,#REF!,2,FALSE))))</f>
        <v>#REF!</v>
      </c>
      <c r="AV128" s="18" t="str">
        <f>IF(X128="","",IF(I128="CNC",VLOOKUP("Glue stick",#REF!,2,FALSE),""))</f>
        <v/>
      </c>
      <c r="AW128" s="18" t="str">
        <f>IF(X128="","",IF(I128="CNC",16*VLOOKUP("Box staples",#REF!,2,FALSE),""))</f>
        <v/>
      </c>
      <c r="AX128" s="91" t="e">
        <f>IF(X128="","",IF(I128="CNC",((((G128+6)+(F128+6))*2)+24)*VLOOKUP("sealing tape",#REF!,2,FALSE),VLOOKUP("Strapping tape",#REF!,2,FALSE)))</f>
        <v>#REF!</v>
      </c>
      <c r="AY128" s="17"/>
      <c r="AZ128" s="17"/>
      <c r="BA128" s="17"/>
      <c r="BB128" s="17"/>
      <c r="BC128" s="96"/>
      <c r="BD128" s="96"/>
      <c r="BE128" s="96"/>
      <c r="BF128" s="96"/>
      <c r="BG128" s="96"/>
      <c r="BH128" s="96"/>
      <c r="BI128" s="96"/>
    </row>
    <row r="129" spans="1:61" x14ac:dyDescent="0.45">
      <c r="A129" s="103" t="s">
        <v>1155</v>
      </c>
      <c r="B129" s="17" t="s">
        <v>86</v>
      </c>
      <c r="C129" s="16">
        <v>44607</v>
      </c>
      <c r="D129" s="17" t="s">
        <v>66</v>
      </c>
      <c r="E129" s="15" t="s">
        <v>558</v>
      </c>
      <c r="F129" s="17">
        <v>30</v>
      </c>
      <c r="G129" s="17">
        <v>38</v>
      </c>
      <c r="H129" s="3" t="s">
        <v>43</v>
      </c>
      <c r="I129" s="88" t="s">
        <v>84</v>
      </c>
      <c r="J129" s="87">
        <v>44611</v>
      </c>
      <c r="K129" s="15">
        <v>323</v>
      </c>
      <c r="L129" s="96">
        <v>20</v>
      </c>
      <c r="M129" s="89">
        <v>12.3</v>
      </c>
      <c r="N129" s="88">
        <v>1</v>
      </c>
      <c r="O129" s="413" t="str">
        <f t="shared" si="1"/>
        <v>30 x 38</v>
      </c>
      <c r="P129" s="18" t="str">
        <f t="shared" si="2"/>
        <v>N/A</v>
      </c>
      <c r="Q129" s="91">
        <f t="shared" si="3"/>
        <v>2.85</v>
      </c>
      <c r="R129" s="18" t="str">
        <f t="shared" si="4"/>
        <v>37 x 3 x 3</v>
      </c>
      <c r="S129" s="18">
        <v>37</v>
      </c>
      <c r="T129" s="18">
        <v>3</v>
      </c>
      <c r="U129" s="18">
        <v>3</v>
      </c>
      <c r="V129" s="90">
        <f t="shared" si="47"/>
        <v>49</v>
      </c>
      <c r="W129" s="287">
        <f t="shared" si="51"/>
        <v>0.61499999999999999</v>
      </c>
      <c r="X129" s="287" t="str">
        <f t="shared" si="52"/>
        <v>Yes</v>
      </c>
      <c r="Y129" s="93" t="e">
        <f t="shared" si="53"/>
        <v>#REF!</v>
      </c>
      <c r="Z129" s="288" t="e">
        <f t="shared" si="54"/>
        <v>#REF!</v>
      </c>
      <c r="AA129" s="94" t="e">
        <f t="shared" si="55"/>
        <v>#REF!</v>
      </c>
      <c r="AB129" s="288" t="e">
        <f t="shared" si="56"/>
        <v>#REF!</v>
      </c>
      <c r="AC129" s="91" t="e">
        <f>IF(X129="","",IF(D129="2 3D",((F129-0.5)*2+(G129-0.5)*2)*VLOOKUP("3D base",#REF!,2,FALSE),IF(D129="3 Canv", IF(E129="Roll",0,ROUND(SUM(F129:G129)*2,0)),0)*VLOOKUP("Stretcher Bar",#REF!,2,FALSE)))</f>
        <v>#REF!</v>
      </c>
      <c r="AD129" s="91">
        <f>IF(X129="","",IF(E129="Roll",0,IF(D129="2 3D",(SUM(F129:G129)*2)*VLOOKUP("3D epoxy",#REF!,2,FALSE),IF(D129="3 Canv",VLOOKUP("Wood glue",#REF!,2,FALSE),""))))</f>
        <v>0</v>
      </c>
      <c r="AE129" s="91" t="e">
        <f>IF(D129="3 Canv",(((F129+5)*(G129+5)))*VLOOKUP("Canvas",#REF!,2,FALSE),IF(D129="2 3D",(((F129)*(G129)))*VLOOKUP("Dibond",#REF!,2,FALSE),""))</f>
        <v>#REF!</v>
      </c>
      <c r="AF129" s="91" t="e">
        <f>IF(D129="2 3D",F129*G129*VLOOKUP("3D ink",#REF!,2,FALSE),IF(D129="3 Canv",F129*G129*VLOOKUP("Canvas ink",#REF!,2,FALSE),""))</f>
        <v>#REF!</v>
      </c>
      <c r="AG129" s="91" t="str">
        <f>IF(D129="3 Canv",IF(E129="Roll","",ROUNDUP((SUM(F129:G129)*2)/3,"")*VLOOKUP("Staples",#REF!,2,FALSE)),"")</f>
        <v/>
      </c>
      <c r="AH129" s="91" t="e">
        <f>IF(AF129="","",(SUM(F129:G129)*2)*VLOOKUP(E129,#REF!,2,FALSE))</f>
        <v>#REF!</v>
      </c>
      <c r="AI129" s="18" t="str">
        <f t="shared" si="57"/>
        <v/>
      </c>
      <c r="AJ129" s="91" t="str">
        <f>IF(AI129="","",AI129*VLOOKUP("Staples",#REF!,2,FALSE))</f>
        <v/>
      </c>
      <c r="AK129" s="18" t="str">
        <f t="shared" si="58"/>
        <v/>
      </c>
      <c r="AL129" s="91" t="str">
        <f>IF(AK129="","",AK129*VLOOKUP("Frame screw",#REF!,2,FALSE))</f>
        <v/>
      </c>
      <c r="AM129" s="18" t="e">
        <f t="shared" si="59"/>
        <v>#REF!</v>
      </c>
      <c r="AN129" s="91" t="e">
        <f>IF(AM129="","",AM129*VLOOKUP("D ring",#REF!,2,FALSE))</f>
        <v>#REF!</v>
      </c>
      <c r="AO129" s="18" t="e">
        <f t="shared" si="60"/>
        <v>#REF!</v>
      </c>
      <c r="AP129" s="18" t="e">
        <f>IF(AO129="","",IF(G129&gt;59,AO129* VLOOKUP("8 wire",#REF!,2,FALSE)*2,IF(G129&gt;39,AO129* VLOOKUP("8 wire",#REF!,2,FALSE),AO129* VLOOKUP("6 wire",#REF!,2,FALSE))))</f>
        <v>#REF!</v>
      </c>
      <c r="AQ129" s="18" t="str">
        <f t="shared" si="61"/>
        <v/>
      </c>
      <c r="AR129" s="18" t="str">
        <f>IF(AQ129="","",AQ129*VLOOKUP("Pads",#REF!,2,FALSE))</f>
        <v/>
      </c>
      <c r="AS129" s="18" t="str">
        <f t="shared" si="62"/>
        <v/>
      </c>
      <c r="AT129" s="18" t="str">
        <f>IF(AS129="","",AS129*VLOOKUP("4 mil bag",#REF!,2,FALSE))</f>
        <v/>
      </c>
      <c r="AU129" s="91" t="e">
        <f>IF(X129="","",IF(I129="N/A","",IF(I129="CNC",IF(G129&gt;37,20,10),VLOOKUP(I129,#REF!,2,FALSE))))</f>
        <v>#REF!</v>
      </c>
      <c r="AV129" s="18" t="str">
        <f>IF(X129="","",IF(I129="CNC",VLOOKUP("Glue stick",#REF!,2,FALSE),""))</f>
        <v/>
      </c>
      <c r="AW129" s="18" t="str">
        <f>IF(X129="","",IF(I129="CNC",16*VLOOKUP("Box staples",#REF!,2,FALSE),""))</f>
        <v/>
      </c>
      <c r="AX129" s="91" t="e">
        <f>IF(X129="","",IF(I129="CNC",((((G129+6)+(F129+6))*2)+24)*VLOOKUP("sealing tape",#REF!,2,FALSE),VLOOKUP("Strapping tape",#REF!,2,FALSE)))</f>
        <v>#REF!</v>
      </c>
      <c r="AY129" s="17"/>
      <c r="AZ129" s="17"/>
      <c r="BA129" s="17"/>
      <c r="BB129" s="17"/>
      <c r="BC129" s="96"/>
      <c r="BD129" s="96"/>
      <c r="BE129" s="96"/>
      <c r="BF129" s="96"/>
      <c r="BG129" s="96"/>
      <c r="BH129" s="96"/>
      <c r="BI129" s="96"/>
    </row>
    <row r="130" spans="1:61" x14ac:dyDescent="0.45">
      <c r="A130" s="103" t="s">
        <v>545</v>
      </c>
      <c r="B130" s="17" t="s">
        <v>1196</v>
      </c>
      <c r="C130" s="16">
        <v>44605</v>
      </c>
      <c r="D130" s="17" t="s">
        <v>66</v>
      </c>
      <c r="E130" s="15" t="s">
        <v>558</v>
      </c>
      <c r="F130" s="17">
        <v>24</v>
      </c>
      <c r="G130" s="17">
        <v>36</v>
      </c>
      <c r="H130" s="3" t="s">
        <v>43</v>
      </c>
      <c r="I130" s="88" t="s">
        <v>84</v>
      </c>
      <c r="J130" s="87">
        <v>44611</v>
      </c>
      <c r="K130" s="15">
        <v>276</v>
      </c>
      <c r="L130" s="96">
        <v>20</v>
      </c>
      <c r="M130" s="89">
        <v>9.99</v>
      </c>
      <c r="N130" s="88">
        <v>2</v>
      </c>
      <c r="O130" s="413" t="str">
        <f t="shared" si="1"/>
        <v>24 x 36</v>
      </c>
      <c r="P130" s="18" t="str">
        <f t="shared" si="2"/>
        <v>N/A</v>
      </c>
      <c r="Q130" s="91">
        <f t="shared" si="3"/>
        <v>2.85</v>
      </c>
      <c r="R130" s="18" t="str">
        <f t="shared" si="4"/>
        <v>37 x 3 x 3</v>
      </c>
      <c r="S130" s="18">
        <v>37</v>
      </c>
      <c r="T130" s="18">
        <v>3</v>
      </c>
      <c r="U130" s="18">
        <v>3</v>
      </c>
      <c r="V130" s="90">
        <f t="shared" si="47"/>
        <v>49</v>
      </c>
      <c r="W130" s="287">
        <f t="shared" si="51"/>
        <v>0.4995</v>
      </c>
      <c r="X130" s="287" t="str">
        <f t="shared" si="52"/>
        <v>Yes</v>
      </c>
      <c r="Y130" s="93" t="e">
        <f t="shared" si="53"/>
        <v>#REF!</v>
      </c>
      <c r="Z130" s="288" t="e">
        <f t="shared" si="54"/>
        <v>#REF!</v>
      </c>
      <c r="AA130" s="94" t="e">
        <f t="shared" si="55"/>
        <v>#REF!</v>
      </c>
      <c r="AB130" s="288" t="e">
        <f t="shared" si="56"/>
        <v>#REF!</v>
      </c>
      <c r="AC130" s="91" t="e">
        <f>IF(X130="","",IF(D130="2 3D",((F130-0.5)*2+(G130-0.5)*2)*VLOOKUP("3D base",#REF!,2,FALSE),IF(D130="3 Canv", IF(E130="Roll",0,ROUND(SUM(F130:G130)*2,0)),0)*VLOOKUP("Stretcher Bar",#REF!,2,FALSE)))</f>
        <v>#REF!</v>
      </c>
      <c r="AD130" s="91">
        <f>IF(X130="","",IF(E130="Roll",0,IF(D130="2 3D",(SUM(F130:G130)*2)*VLOOKUP("3D epoxy",#REF!,2,FALSE),IF(D130="3 Canv",VLOOKUP("Wood glue",#REF!,2,FALSE),""))))</f>
        <v>0</v>
      </c>
      <c r="AE130" s="91" t="e">
        <f>IF(D130="3 Canv",(((F130+5)*(G130+5)))*VLOOKUP("Canvas",#REF!,2,FALSE),IF(D130="2 3D",(((F130)*(G130)))*VLOOKUP("Dibond",#REF!,2,FALSE),""))</f>
        <v>#REF!</v>
      </c>
      <c r="AF130" s="91" t="e">
        <f>IF(D130="2 3D",F130*G130*VLOOKUP("3D ink",#REF!,2,FALSE),IF(D130="3 Canv",F130*G130*VLOOKUP("Canvas ink",#REF!,2,FALSE),""))</f>
        <v>#REF!</v>
      </c>
      <c r="AG130" s="91" t="str">
        <f>IF(D130="3 Canv",IF(E130="Roll","",ROUNDUP((SUM(F130:G130)*2)/3,"")*VLOOKUP("Staples",#REF!,2,FALSE)),"")</f>
        <v/>
      </c>
      <c r="AH130" s="91" t="e">
        <f>IF(AF130="","",(SUM(F130:G130)*2)*VLOOKUP(E130,#REF!,2,FALSE))</f>
        <v>#REF!</v>
      </c>
      <c r="AI130" s="18" t="str">
        <f t="shared" si="57"/>
        <v/>
      </c>
      <c r="AJ130" s="91" t="str">
        <f>IF(AI130="","",AI130*VLOOKUP("Staples",#REF!,2,FALSE))</f>
        <v/>
      </c>
      <c r="AK130" s="18" t="str">
        <f t="shared" si="58"/>
        <v/>
      </c>
      <c r="AL130" s="91" t="str">
        <f>IF(AK130="","",AK130*VLOOKUP("Frame screw",#REF!,2,FALSE))</f>
        <v/>
      </c>
      <c r="AM130" s="18" t="e">
        <f t="shared" si="59"/>
        <v>#REF!</v>
      </c>
      <c r="AN130" s="91" t="e">
        <f>IF(AM130="","",AM130*VLOOKUP("D ring",#REF!,2,FALSE))</f>
        <v>#REF!</v>
      </c>
      <c r="AO130" s="18" t="e">
        <f t="shared" si="60"/>
        <v>#REF!</v>
      </c>
      <c r="AP130" s="18" t="e">
        <f>IF(AO130="","",IF(G130&gt;59,AO130* VLOOKUP("8 wire",#REF!,2,FALSE)*2,IF(G130&gt;39,AO130* VLOOKUP("8 wire",#REF!,2,FALSE),AO130* VLOOKUP("6 wire",#REF!,2,FALSE))))</f>
        <v>#REF!</v>
      </c>
      <c r="AQ130" s="18" t="str">
        <f t="shared" si="61"/>
        <v/>
      </c>
      <c r="AR130" s="18" t="str">
        <f>IF(AQ130="","",AQ130*VLOOKUP("Pads",#REF!,2,FALSE))</f>
        <v/>
      </c>
      <c r="AS130" s="18" t="str">
        <f t="shared" si="62"/>
        <v/>
      </c>
      <c r="AT130" s="18" t="str">
        <f>IF(AS130="","",AS130*VLOOKUP("4 mil bag",#REF!,2,FALSE))</f>
        <v/>
      </c>
      <c r="AU130" s="91" t="e">
        <f>IF(X130="","",IF(I130="N/A","",IF(I130="CNC",IF(G130&gt;37,20,10),VLOOKUP(I130,#REF!,2,FALSE))))</f>
        <v>#REF!</v>
      </c>
      <c r="AV130" s="18" t="str">
        <f>IF(X130="","",IF(I130="CNC",VLOOKUP("Glue stick",#REF!,2,FALSE),""))</f>
        <v/>
      </c>
      <c r="AW130" s="18" t="str">
        <f>IF(X130="","",IF(I130="CNC",16*VLOOKUP("Box staples",#REF!,2,FALSE),""))</f>
        <v/>
      </c>
      <c r="AX130" s="91" t="e">
        <f>IF(X130="","",IF(I130="CNC",((((G130+6)+(F130+6))*2)+24)*VLOOKUP("sealing tape",#REF!,2,FALSE),VLOOKUP("Strapping tape",#REF!,2,FALSE)))</f>
        <v>#REF!</v>
      </c>
      <c r="AY130" s="17"/>
      <c r="AZ130" s="17"/>
      <c r="BA130" s="17"/>
      <c r="BB130" s="17"/>
      <c r="BC130" s="96"/>
      <c r="BD130" s="96"/>
      <c r="BE130" s="96"/>
      <c r="BF130" s="96"/>
      <c r="BG130" s="96"/>
      <c r="BH130" s="96"/>
      <c r="BI130" s="96"/>
    </row>
    <row r="131" spans="1:61" x14ac:dyDescent="0.45">
      <c r="A131" s="103" t="s">
        <v>1201</v>
      </c>
      <c r="B131" s="17" t="s">
        <v>1200</v>
      </c>
      <c r="C131" s="16">
        <v>44615</v>
      </c>
      <c r="D131" s="17" t="s">
        <v>66</v>
      </c>
      <c r="E131" s="15" t="s">
        <v>50</v>
      </c>
      <c r="F131" s="17">
        <v>22</v>
      </c>
      <c r="G131" s="17">
        <v>28</v>
      </c>
      <c r="H131" s="3" t="s">
        <v>43</v>
      </c>
      <c r="I131" s="88" t="s">
        <v>41</v>
      </c>
      <c r="J131" s="87">
        <v>44615</v>
      </c>
      <c r="K131" s="15">
        <v>388</v>
      </c>
      <c r="L131" s="96">
        <v>25</v>
      </c>
      <c r="M131" s="89">
        <v>20.350000000000001</v>
      </c>
      <c r="N131" s="88">
        <v>9</v>
      </c>
      <c r="O131" s="413" t="str">
        <f t="shared" si="1"/>
        <v>22 x 28</v>
      </c>
      <c r="P131" s="18" t="str">
        <f t="shared" si="2"/>
        <v>22 x 28</v>
      </c>
      <c r="Q131" s="91" t="str">
        <f t="shared" si="3"/>
        <v>N/A</v>
      </c>
      <c r="R131" s="18" t="str">
        <f t="shared" si="4"/>
        <v>34 x 28 x 6</v>
      </c>
      <c r="S131" s="18">
        <v>34</v>
      </c>
      <c r="T131" s="18">
        <v>28</v>
      </c>
      <c r="U131" s="18">
        <v>6</v>
      </c>
      <c r="V131" s="18">
        <f t="shared" si="47"/>
        <v>101</v>
      </c>
      <c r="W131" s="287">
        <f t="shared" si="51"/>
        <v>0.81400000000000006</v>
      </c>
      <c r="X131" s="287" t="str">
        <f t="shared" si="52"/>
        <v>Yes</v>
      </c>
      <c r="Y131" s="93" t="e">
        <f t="shared" si="53"/>
        <v>#REF!</v>
      </c>
      <c r="Z131" s="288" t="e">
        <f t="shared" si="54"/>
        <v>#REF!</v>
      </c>
      <c r="AA131" s="94" t="e">
        <f t="shared" si="55"/>
        <v>#REF!</v>
      </c>
      <c r="AB131" s="288" t="e">
        <f t="shared" si="56"/>
        <v>#REF!</v>
      </c>
      <c r="AC131" s="91" t="e">
        <f>IF(X131="","",IF(D131="2 3D",((F131-0.5)*2+(G131-0.5)*2)*VLOOKUP("3D base",#REF!,2,FALSE),IF(D131="3 Canv", IF(E131="Roll",0,ROUND(SUM(F131:G131)*2,0)),0)*VLOOKUP("Stretcher Bar",#REF!,2,FALSE)))</f>
        <v>#REF!</v>
      </c>
      <c r="AD131" s="91" t="e">
        <f>IF(X131="","",IF(E131="Roll",0,IF(D131="2 3D",(SUM(F131:G131)*2)*VLOOKUP("3D epoxy",#REF!,2,FALSE),IF(D131="3 Canv",VLOOKUP("Wood glue",#REF!,2,FALSE),""))))</f>
        <v>#REF!</v>
      </c>
      <c r="AE131" s="91" t="e">
        <f>IF(D131="3 Canv",(((F131+5)*(G131+5)))*VLOOKUP("Canvas",#REF!,2,FALSE),IF(D131="2 3D",(((F131)*(G131)))*VLOOKUP("Dibond",#REF!,2,FALSE),""))</f>
        <v>#REF!</v>
      </c>
      <c r="AF131" s="91" t="e">
        <f>IF(D131="2 3D",F131*G131*VLOOKUP("3D ink",#REF!,2,FALSE),IF(D131="3 Canv",F131*G131*VLOOKUP("Canvas ink",#REF!,2,FALSE),""))</f>
        <v>#REF!</v>
      </c>
      <c r="AG131" s="91" t="e">
        <f>IF(D131="3 Canv",IF(E131="Roll","",ROUNDUP((SUM(F131:G131)*2)/3,"")*VLOOKUP("Staples",#REF!,2,FALSE)),"")</f>
        <v>#VALUE!</v>
      </c>
      <c r="AH131" s="91" t="e">
        <f>IF(AF131="","",(SUM(F131:G131)*2)*VLOOKUP(E131,#REF!,2,FALSE))</f>
        <v>#REF!</v>
      </c>
      <c r="AI131" s="18">
        <f t="shared" si="57"/>
        <v>16</v>
      </c>
      <c r="AJ131" s="91" t="e">
        <f>IF(AI131="","",AI131*VLOOKUP("Staples",#REF!,2,FALSE))</f>
        <v>#REF!</v>
      </c>
      <c r="AK131" s="18" t="e">
        <f t="shared" si="58"/>
        <v>#REF!</v>
      </c>
      <c r="AL131" s="91" t="e">
        <f>IF(AK131="","",AK131*VLOOKUP("Frame screw",#REF!,2,FALSE))</f>
        <v>#REF!</v>
      </c>
      <c r="AM131" s="18" t="e">
        <f t="shared" si="59"/>
        <v>#REF!</v>
      </c>
      <c r="AN131" s="91" t="e">
        <f>IF(AM131="","",AM131*VLOOKUP("D ring",#REF!,2,FALSE))</f>
        <v>#REF!</v>
      </c>
      <c r="AO131" s="18" t="e">
        <f t="shared" si="60"/>
        <v>#REF!</v>
      </c>
      <c r="AP131" s="91" t="e">
        <f>IF(AO131="","",IF(G131&gt;59,AO131* VLOOKUP("8 wire",#REF!,2,FALSE)*2,IF(G131&gt;39,AO131* VLOOKUP("8 wire",#REF!,2,FALSE),AO131* VLOOKUP("6 wire",#REF!,2,FALSE))))</f>
        <v>#REF!</v>
      </c>
      <c r="AQ131" s="18">
        <f t="shared" si="61"/>
        <v>4</v>
      </c>
      <c r="AR131" s="18" t="e">
        <f>IF(AQ131="","",AQ131*VLOOKUP("Pads",#REF!,2,FALSE))</f>
        <v>#REF!</v>
      </c>
      <c r="AS131" s="18">
        <f t="shared" si="62"/>
        <v>1</v>
      </c>
      <c r="AT131" s="91" t="e">
        <f>IF(AS131="","",AS131*VLOOKUP("4 mil bag",#REF!,2,FALSE))</f>
        <v>#REF!</v>
      </c>
      <c r="AU131" s="91">
        <f>IF(X131="","",IF(I131="N/A","",IF(I131="CNC",IF(G131&gt;37,20,10),VLOOKUP(I131,#REF!,2,FALSE))))</f>
        <v>10</v>
      </c>
      <c r="AV131" s="91" t="e">
        <f>IF(X131="","",IF(I131="CNC",VLOOKUP("Glue stick",#REF!,2,FALSE),""))</f>
        <v>#REF!</v>
      </c>
      <c r="AW131" s="91" t="e">
        <f>IF(X131="","",IF(I131="CNC",16*VLOOKUP("Box staples",#REF!,2,FALSE),""))</f>
        <v>#REF!</v>
      </c>
      <c r="AX131" s="18" t="e">
        <f>IF(X131="","",IF(I131="CNC",((((G131+6)+(F131+6))*2)+24)*VLOOKUP("sealing tape",#REF!,2,FALSE),VLOOKUP("Strapping tape",#REF!,2,FALSE)))</f>
        <v>#REF!</v>
      </c>
      <c r="AY131" s="17"/>
      <c r="AZ131" s="17"/>
      <c r="BA131" s="17"/>
      <c r="BB131" s="17"/>
      <c r="BC131" s="96"/>
      <c r="BD131" s="96"/>
      <c r="BE131" s="96"/>
      <c r="BF131" s="96"/>
      <c r="BG131" s="96"/>
      <c r="BH131" s="96"/>
      <c r="BI131" s="96"/>
    </row>
    <row r="132" spans="1:61" x14ac:dyDescent="0.45">
      <c r="A132" s="261" t="s">
        <v>290</v>
      </c>
      <c r="B132" s="101" t="s">
        <v>1206</v>
      </c>
      <c r="C132" s="263">
        <v>44600</v>
      </c>
      <c r="D132" s="101" t="s">
        <v>66</v>
      </c>
      <c r="E132" s="262" t="s">
        <v>51</v>
      </c>
      <c r="F132" s="101">
        <v>24</v>
      </c>
      <c r="G132" s="101">
        <v>37</v>
      </c>
      <c r="H132" s="264" t="s">
        <v>43</v>
      </c>
      <c r="I132" s="98" t="s">
        <v>41</v>
      </c>
      <c r="J132" s="97">
        <v>44616</v>
      </c>
      <c r="K132" s="262">
        <v>590.75</v>
      </c>
      <c r="L132" s="265">
        <v>35</v>
      </c>
      <c r="M132" s="99">
        <v>33.01</v>
      </c>
      <c r="N132" s="98">
        <v>16</v>
      </c>
      <c r="O132" s="414" t="str">
        <f t="shared" si="1"/>
        <v>24 x 37</v>
      </c>
      <c r="P132" s="100" t="str">
        <f t="shared" si="2"/>
        <v>26 x 39</v>
      </c>
      <c r="Q132" s="274" t="str">
        <f t="shared" si="3"/>
        <v>N/A</v>
      </c>
      <c r="R132" s="100" t="str">
        <f t="shared" si="4"/>
        <v>45 x 33 x 6</v>
      </c>
      <c r="S132" s="100">
        <v>45</v>
      </c>
      <c r="T132" s="100">
        <v>33</v>
      </c>
      <c r="U132" s="100">
        <v>6</v>
      </c>
      <c r="V132" s="100">
        <f t="shared" si="47"/>
        <v>114</v>
      </c>
      <c r="W132" s="287">
        <f t="shared" si="51"/>
        <v>0.94314285714285706</v>
      </c>
      <c r="X132" s="287" t="str">
        <f t="shared" si="52"/>
        <v>Yes</v>
      </c>
      <c r="Y132" s="93" t="e">
        <f t="shared" si="53"/>
        <v>#REF!</v>
      </c>
      <c r="Z132" s="288" t="e">
        <f t="shared" si="54"/>
        <v>#REF!</v>
      </c>
      <c r="AA132" s="94" t="e">
        <f t="shared" si="55"/>
        <v>#REF!</v>
      </c>
      <c r="AB132" s="288" t="e">
        <f t="shared" si="56"/>
        <v>#REF!</v>
      </c>
      <c r="AC132" s="91" t="e">
        <f>IF(X132="","",IF(D132="2 3D",((F132-0.5)*2+(G132-0.5)*2)*VLOOKUP("3D base",#REF!,2,FALSE),IF(D132="3 Canv", IF(E132="Roll",0,ROUND(SUM(F132:G132)*2,0)),0)*VLOOKUP("Stretcher Bar",#REF!,2,FALSE)))</f>
        <v>#REF!</v>
      </c>
      <c r="AD132" s="91" t="e">
        <f>IF(X132="","",IF(E132="Roll",0,IF(D132="2 3D",(SUM(F132:G132)*2)*VLOOKUP("3D epoxy",#REF!,2,FALSE),IF(D132="3 Canv",VLOOKUP("Wood glue",#REF!,2,FALSE),""))))</f>
        <v>#REF!</v>
      </c>
      <c r="AE132" s="91" t="e">
        <f>IF(D132="3 Canv",(((F132+5)*(G132+5)))*VLOOKUP("Canvas",#REF!,2,FALSE),IF(D132="2 3D",(((F132)*(G132)))*VLOOKUP("Dibond",#REF!,2,FALSE),""))</f>
        <v>#REF!</v>
      </c>
      <c r="AF132" s="91" t="e">
        <f>IF(D132="2 3D",F132*G132*VLOOKUP("3D ink",#REF!,2,FALSE),IF(D132="3 Canv",F132*G132*VLOOKUP("Canvas ink",#REF!,2,FALSE),""))</f>
        <v>#REF!</v>
      </c>
      <c r="AG132" s="91" t="e">
        <f>IF(D132="3 Canv",IF(E132="Roll","",ROUNDUP((SUM(F132:G132)*2)/3,"")*VLOOKUP("Staples",#REF!,2,FALSE)),"")</f>
        <v>#VALUE!</v>
      </c>
      <c r="AH132" s="91" t="e">
        <f>IF(AF132="","",(SUM(F132:G132)*2)*VLOOKUP(E132,#REF!,2,FALSE))</f>
        <v>#REF!</v>
      </c>
      <c r="AI132" s="18">
        <f t="shared" si="57"/>
        <v>44</v>
      </c>
      <c r="AJ132" s="91" t="e">
        <f>IF(AI132="","",AI132*VLOOKUP("Staples",#REF!,2,FALSE))</f>
        <v>#REF!</v>
      </c>
      <c r="AK132" s="18" t="e">
        <f t="shared" si="58"/>
        <v>#REF!</v>
      </c>
      <c r="AL132" s="91" t="e">
        <f>IF(AK132="","",AK132*VLOOKUP("Frame screw",#REF!,2,FALSE))</f>
        <v>#REF!</v>
      </c>
      <c r="AM132" s="18" t="e">
        <f t="shared" si="59"/>
        <v>#REF!</v>
      </c>
      <c r="AN132" s="91" t="e">
        <f>IF(AM132="","",AM132*VLOOKUP("D ring",#REF!,2,FALSE))</f>
        <v>#REF!</v>
      </c>
      <c r="AO132" s="18" t="e">
        <f t="shared" si="60"/>
        <v>#REF!</v>
      </c>
      <c r="AP132" s="91" t="e">
        <f>IF(AO132="","",IF(G132&gt;59,AO132* VLOOKUP("8 wire",#REF!,2,FALSE)*2,IF(G132&gt;39,AO132* VLOOKUP("8 wire",#REF!,2,FALSE),AO132* VLOOKUP("6 wire",#REF!,2,FALSE))))</f>
        <v>#REF!</v>
      </c>
      <c r="AQ132" s="18">
        <f t="shared" si="61"/>
        <v>4</v>
      </c>
      <c r="AR132" s="18" t="e">
        <f>IF(AQ132="","",AQ132*VLOOKUP("Pads",#REF!,2,FALSE))</f>
        <v>#REF!</v>
      </c>
      <c r="AS132" s="18">
        <f t="shared" si="62"/>
        <v>1</v>
      </c>
      <c r="AT132" s="91" t="e">
        <f>IF(AS132="","",AS132*VLOOKUP("4 mil bag",#REF!,2,FALSE))</f>
        <v>#REF!</v>
      </c>
      <c r="AU132" s="91">
        <f>IF(X132="","",IF(I132="N/A","",IF(I132="CNC",IF(G132&gt;37,20,10),VLOOKUP(I132,#REF!,2,FALSE))))</f>
        <v>10</v>
      </c>
      <c r="AV132" s="91" t="e">
        <f>IF(X132="","",IF(I132="CNC",VLOOKUP("Glue stick",#REF!,2,FALSE),""))</f>
        <v>#REF!</v>
      </c>
      <c r="AW132" s="91" t="e">
        <f>IF(X132="","",IF(I132="CNC",16*VLOOKUP("Box staples",#REF!,2,FALSE),""))</f>
        <v>#REF!</v>
      </c>
      <c r="AX132" s="18" t="e">
        <f>IF(X132="","",IF(I132="CNC",((((G132+6)+(F132+6))*2)+24)*VLOOKUP("sealing tape",#REF!,2,FALSE),VLOOKUP("Strapping tape",#REF!,2,FALSE)))</f>
        <v>#REF!</v>
      </c>
      <c r="AY132" s="17"/>
      <c r="AZ132" s="101"/>
      <c r="BA132" s="101"/>
      <c r="BB132" s="17"/>
      <c r="BC132" s="96"/>
      <c r="BD132" s="96"/>
      <c r="BE132" s="96"/>
      <c r="BF132" s="96"/>
      <c r="BG132" s="96"/>
      <c r="BH132" s="96"/>
      <c r="BI132" s="96"/>
    </row>
    <row r="133" spans="1:61" x14ac:dyDescent="0.45">
      <c r="A133" s="103" t="s">
        <v>1205</v>
      </c>
      <c r="B133" s="17" t="s">
        <v>1204</v>
      </c>
      <c r="C133" s="16">
        <v>44598</v>
      </c>
      <c r="D133" s="17" t="s">
        <v>66</v>
      </c>
      <c r="E133" s="15" t="s">
        <v>1</v>
      </c>
      <c r="F133" s="17">
        <v>28</v>
      </c>
      <c r="G133" s="17">
        <v>53</v>
      </c>
      <c r="H133" s="3" t="s">
        <v>43</v>
      </c>
      <c r="I133" s="88" t="s">
        <v>41</v>
      </c>
      <c r="J133" s="87">
        <v>44616</v>
      </c>
      <c r="K133" s="15">
        <v>1010</v>
      </c>
      <c r="L133" s="96">
        <v>55</v>
      </c>
      <c r="M133" s="89">
        <v>131.38</v>
      </c>
      <c r="N133" s="88">
        <v>24</v>
      </c>
      <c r="O133" s="413" t="str">
        <f t="shared" si="1"/>
        <v>28 x 53</v>
      </c>
      <c r="P133" s="18" t="str">
        <f t="shared" si="2"/>
        <v>30 x 55</v>
      </c>
      <c r="Q133" s="91" t="str">
        <f t="shared" si="3"/>
        <v>N/A</v>
      </c>
      <c r="R133" s="18" t="str">
        <f t="shared" si="4"/>
        <v>61 x 37 x 6</v>
      </c>
      <c r="S133" s="18">
        <v>61</v>
      </c>
      <c r="T133" s="18">
        <v>37</v>
      </c>
      <c r="U133" s="18">
        <v>6</v>
      </c>
      <c r="V133" s="18">
        <f t="shared" si="47"/>
        <v>138</v>
      </c>
      <c r="W133" s="287">
        <f t="shared" si="51"/>
        <v>2.3887272727272726</v>
      </c>
      <c r="X133" s="287" t="str">
        <f t="shared" si="52"/>
        <v>Yes</v>
      </c>
      <c r="Y133" s="93" t="e">
        <f t="shared" si="53"/>
        <v>#REF!</v>
      </c>
      <c r="Z133" s="288" t="e">
        <f t="shared" si="54"/>
        <v>#REF!</v>
      </c>
      <c r="AA133" s="94" t="e">
        <f t="shared" si="55"/>
        <v>#REF!</v>
      </c>
      <c r="AB133" s="288" t="e">
        <f t="shared" si="56"/>
        <v>#REF!</v>
      </c>
      <c r="AC133" s="91" t="e">
        <f>IF(X133="","",IF(D133="2 3D",((F133-0.5)*2+(G133-0.5)*2)*VLOOKUP("3D base",#REF!,2,FALSE),IF(D133="3 Canv", IF(E133="Roll",0,ROUND(SUM(F133:G133)*2,0)),0)*VLOOKUP("Stretcher Bar",#REF!,2,FALSE)))</f>
        <v>#REF!</v>
      </c>
      <c r="AD133" s="91" t="e">
        <f>IF(X133="","",IF(E133="Roll",0,IF(D133="2 3D",(SUM(F133:G133)*2)*VLOOKUP("3D epoxy",#REF!,2,FALSE),IF(D133="3 Canv",VLOOKUP("Wood glue",#REF!,2,FALSE),""))))</f>
        <v>#REF!</v>
      </c>
      <c r="AE133" s="91" t="e">
        <f>IF(D133="3 Canv",(((F133+5)*(G133+5)))*VLOOKUP("Canvas",#REF!,2,FALSE),IF(D133="2 3D",(((F133)*(G133)))*VLOOKUP("Dibond",#REF!,2,FALSE),""))</f>
        <v>#REF!</v>
      </c>
      <c r="AF133" s="91" t="e">
        <f>IF(D133="2 3D",F133*G133*VLOOKUP("3D ink",#REF!,2,FALSE),IF(D133="3 Canv",F133*G133*VLOOKUP("Canvas ink",#REF!,2,FALSE),""))</f>
        <v>#REF!</v>
      </c>
      <c r="AG133" s="91" t="e">
        <f>IF(D133="3 Canv",IF(E133="Roll","",ROUNDUP((SUM(F133:G133)*2)/3,"")*VLOOKUP("Staples",#REF!,2,FALSE)),"")</f>
        <v>#VALUE!</v>
      </c>
      <c r="AH133" s="91" t="e">
        <f>IF(AF133="","",(SUM(F133:G133)*2)*VLOOKUP(E133,#REF!,2,FALSE))</f>
        <v>#REF!</v>
      </c>
      <c r="AI133" s="18">
        <f t="shared" si="57"/>
        <v>44</v>
      </c>
      <c r="AJ133" s="91" t="e">
        <f>IF(AI133="","",AI133*VLOOKUP("Staples",#REF!,2,FALSE))</f>
        <v>#REF!</v>
      </c>
      <c r="AK133" s="18" t="e">
        <f t="shared" si="58"/>
        <v>#REF!</v>
      </c>
      <c r="AL133" s="91" t="e">
        <f>IF(AK133="","",AK133*VLOOKUP("Frame screw",#REF!,2,FALSE))</f>
        <v>#REF!</v>
      </c>
      <c r="AM133" s="18" t="e">
        <f t="shared" si="59"/>
        <v>#REF!</v>
      </c>
      <c r="AN133" s="91" t="e">
        <f>IF(AM133="","",AM133*VLOOKUP("D ring",#REF!,2,FALSE))</f>
        <v>#REF!</v>
      </c>
      <c r="AO133" s="18" t="e">
        <f t="shared" si="60"/>
        <v>#REF!</v>
      </c>
      <c r="AP133" s="91" t="e">
        <f>IF(AO133="","",IF(G133&gt;59,AO133* VLOOKUP("8 wire",#REF!,2,FALSE)*2,IF(G133&gt;39,AO133* VLOOKUP("8 wire",#REF!,2,FALSE),AO133* VLOOKUP("6 wire",#REF!,2,FALSE))))</f>
        <v>#REF!</v>
      </c>
      <c r="AQ133" s="18">
        <f t="shared" si="61"/>
        <v>4</v>
      </c>
      <c r="AR133" s="18" t="e">
        <f>IF(AQ133="","",AQ133*VLOOKUP("Pads",#REF!,2,FALSE))</f>
        <v>#REF!</v>
      </c>
      <c r="AS133" s="18">
        <f t="shared" si="62"/>
        <v>1</v>
      </c>
      <c r="AT133" s="91" t="e">
        <f>IF(AS133="","",AS133*VLOOKUP("4 mil bag",#REF!,2,FALSE))</f>
        <v>#REF!</v>
      </c>
      <c r="AU133" s="91">
        <f>IF(X133="","",IF(I133="N/A","",IF(I133="CNC",IF(G133&gt;37,20,10),VLOOKUP(I133,#REF!,2,FALSE))))</f>
        <v>20</v>
      </c>
      <c r="AV133" s="91" t="e">
        <f>IF(X133="","",IF(I133="CNC",VLOOKUP("Glue stick",#REF!,2,FALSE),""))</f>
        <v>#REF!</v>
      </c>
      <c r="AW133" s="91" t="e">
        <f>IF(X133="","",IF(I133="CNC",16*VLOOKUP("Box staples",#REF!,2,FALSE),""))</f>
        <v>#REF!</v>
      </c>
      <c r="AX133" s="18" t="e">
        <f>IF(X133="","",IF(I133="CNC",((((G133+6)+(F133+6))*2)+24)*VLOOKUP("sealing tape",#REF!,2,FALSE),VLOOKUP("Strapping tape",#REF!,2,FALSE)))</f>
        <v>#REF!</v>
      </c>
      <c r="AY133" s="17"/>
      <c r="AZ133" s="17"/>
      <c r="BA133" s="17"/>
      <c r="BB133" s="17"/>
      <c r="BC133" s="96"/>
      <c r="BD133" s="96"/>
      <c r="BE133" s="96"/>
      <c r="BF133" s="96"/>
      <c r="BG133" s="96"/>
      <c r="BH133" s="96"/>
      <c r="BI133" s="96"/>
    </row>
    <row r="134" spans="1:61" x14ac:dyDescent="0.45">
      <c r="A134" s="103" t="s">
        <v>641</v>
      </c>
      <c r="B134" s="17" t="s">
        <v>1202</v>
      </c>
      <c r="C134" s="16">
        <v>44600</v>
      </c>
      <c r="D134" s="17" t="s">
        <v>66</v>
      </c>
      <c r="E134" s="15" t="s">
        <v>51</v>
      </c>
      <c r="F134" s="17">
        <v>23</v>
      </c>
      <c r="G134" s="17">
        <v>23</v>
      </c>
      <c r="H134" s="3" t="s">
        <v>43</v>
      </c>
      <c r="I134" s="88" t="s">
        <v>41</v>
      </c>
      <c r="J134" s="87">
        <v>44616</v>
      </c>
      <c r="K134" s="15">
        <v>527</v>
      </c>
      <c r="L134" s="96">
        <v>35</v>
      </c>
      <c r="M134" s="89">
        <v>31.69</v>
      </c>
      <c r="N134" s="88">
        <v>12</v>
      </c>
      <c r="O134" s="413" t="str">
        <f t="shared" si="1"/>
        <v>23 x 23</v>
      </c>
      <c r="P134" s="18" t="str">
        <f t="shared" si="2"/>
        <v>25 x 25</v>
      </c>
      <c r="Q134" s="91" t="str">
        <f t="shared" si="3"/>
        <v>N/A</v>
      </c>
      <c r="R134" s="18" t="str">
        <f t="shared" si="4"/>
        <v>31 x 32 x 6</v>
      </c>
      <c r="S134" s="18">
        <v>31</v>
      </c>
      <c r="T134" s="18">
        <v>32</v>
      </c>
      <c r="U134" s="18">
        <v>6</v>
      </c>
      <c r="V134" s="18">
        <f t="shared" si="47"/>
        <v>98</v>
      </c>
      <c r="W134" s="287">
        <f t="shared" si="51"/>
        <v>0.90542857142857147</v>
      </c>
      <c r="X134" s="287" t="str">
        <f t="shared" si="52"/>
        <v>Yes</v>
      </c>
      <c r="Y134" s="93" t="e">
        <f t="shared" si="53"/>
        <v>#REF!</v>
      </c>
      <c r="Z134" s="288" t="e">
        <f t="shared" si="54"/>
        <v>#REF!</v>
      </c>
      <c r="AA134" s="94" t="e">
        <f t="shared" si="55"/>
        <v>#REF!</v>
      </c>
      <c r="AB134" s="288" t="e">
        <f t="shared" si="56"/>
        <v>#REF!</v>
      </c>
      <c r="AC134" s="91" t="e">
        <f>IF(X134="","",IF(D134="2 3D",((F134-0.5)*2+(G134-0.5)*2)*VLOOKUP("3D base",#REF!,2,FALSE),IF(D134="3 Canv", IF(E134="Roll",0,ROUND(SUM(F134:G134)*2,0)),0)*VLOOKUP("Stretcher Bar",#REF!,2,FALSE)))</f>
        <v>#REF!</v>
      </c>
      <c r="AD134" s="91" t="e">
        <f>IF(X134="","",IF(E134="Roll",0,IF(D134="2 3D",(SUM(F134:G134)*2)*VLOOKUP("3D epoxy",#REF!,2,FALSE),IF(D134="3 Canv",VLOOKUP("Wood glue",#REF!,2,FALSE),""))))</f>
        <v>#REF!</v>
      </c>
      <c r="AE134" s="91" t="e">
        <f>IF(D134="3 Canv",(((F134+5)*(G134+5)))*VLOOKUP("Canvas",#REF!,2,FALSE),IF(D134="2 3D",(((F134)*(G134)))*VLOOKUP("Dibond",#REF!,2,FALSE),""))</f>
        <v>#REF!</v>
      </c>
      <c r="AF134" s="91" t="e">
        <f>IF(D134="2 3D",F134*G134*VLOOKUP("3D ink",#REF!,2,FALSE),IF(D134="3 Canv",F134*G134*VLOOKUP("Canvas ink",#REF!,2,FALSE),""))</f>
        <v>#REF!</v>
      </c>
      <c r="AG134" s="91" t="e">
        <f>IF(D134="3 Canv",IF(E134="Roll","",ROUNDUP((SUM(F134:G134)*2)/3,"")*VLOOKUP("Staples",#REF!,2,FALSE)),"")</f>
        <v>#VALUE!</v>
      </c>
      <c r="AH134" s="91" t="e">
        <f>IF(AF134="","",(SUM(F134:G134)*2)*VLOOKUP(E134,#REF!,2,FALSE))</f>
        <v>#REF!</v>
      </c>
      <c r="AI134" s="18">
        <f t="shared" si="57"/>
        <v>44</v>
      </c>
      <c r="AJ134" s="91" t="e">
        <f>IF(AI134="","",AI134*VLOOKUP("Staples",#REF!,2,FALSE))</f>
        <v>#REF!</v>
      </c>
      <c r="AK134" s="18" t="e">
        <f t="shared" si="58"/>
        <v>#REF!</v>
      </c>
      <c r="AL134" s="91" t="e">
        <f>IF(AK134="","",AK134*VLOOKUP("Frame screw",#REF!,2,FALSE))</f>
        <v>#REF!</v>
      </c>
      <c r="AM134" s="18" t="e">
        <f t="shared" si="59"/>
        <v>#REF!</v>
      </c>
      <c r="AN134" s="91" t="e">
        <f>IF(AM134="","",AM134*VLOOKUP("D ring",#REF!,2,FALSE))</f>
        <v>#REF!</v>
      </c>
      <c r="AO134" s="18" t="e">
        <f t="shared" si="60"/>
        <v>#REF!</v>
      </c>
      <c r="AP134" s="91" t="e">
        <f>IF(AO134="","",IF(G134&gt;59,AO134* VLOOKUP("8 wire",#REF!,2,FALSE)*2,IF(G134&gt;39,AO134* VLOOKUP("8 wire",#REF!,2,FALSE),AO134* VLOOKUP("6 wire",#REF!,2,FALSE))))</f>
        <v>#REF!</v>
      </c>
      <c r="AQ134" s="18">
        <f t="shared" si="61"/>
        <v>4</v>
      </c>
      <c r="AR134" s="18" t="e">
        <f>IF(AQ134="","",AQ134*VLOOKUP("Pads",#REF!,2,FALSE))</f>
        <v>#REF!</v>
      </c>
      <c r="AS134" s="18">
        <f t="shared" si="62"/>
        <v>1</v>
      </c>
      <c r="AT134" s="91" t="e">
        <f>IF(AS134="","",AS134*VLOOKUP("4 mil bag",#REF!,2,FALSE))</f>
        <v>#REF!</v>
      </c>
      <c r="AU134" s="91">
        <f>IF(X134="","",IF(I134="N/A","",IF(I134="CNC",IF(G134&gt;37,20,10),VLOOKUP(I134,#REF!,2,FALSE))))</f>
        <v>10</v>
      </c>
      <c r="AV134" s="91" t="e">
        <f>IF(X134="","",IF(I134="CNC",VLOOKUP("Glue stick",#REF!,2,FALSE),""))</f>
        <v>#REF!</v>
      </c>
      <c r="AW134" s="91" t="e">
        <f>IF(X134="","",IF(I134="CNC",16*VLOOKUP("Box staples",#REF!,2,FALSE),""))</f>
        <v>#REF!</v>
      </c>
      <c r="AX134" s="18" t="e">
        <f>IF(X134="","",IF(I134="CNC",((((G134+6)+(F134+6))*2)+24)*VLOOKUP("sealing tape",#REF!,2,FALSE),VLOOKUP("Strapping tape",#REF!,2,FALSE)))</f>
        <v>#REF!</v>
      </c>
      <c r="AY134" s="17"/>
      <c r="AZ134" s="17"/>
      <c r="BA134" s="17"/>
      <c r="BB134" s="17"/>
      <c r="BC134" s="96"/>
      <c r="BD134" s="96"/>
      <c r="BE134" s="96"/>
      <c r="BF134" s="96"/>
      <c r="BG134" s="96"/>
      <c r="BH134" s="96"/>
      <c r="BI134" s="96"/>
    </row>
    <row r="135" spans="1:61" x14ac:dyDescent="0.45">
      <c r="A135" s="103" t="s">
        <v>893</v>
      </c>
      <c r="B135" s="17" t="s">
        <v>1208</v>
      </c>
      <c r="C135" s="16">
        <v>44605</v>
      </c>
      <c r="D135" s="17" t="s">
        <v>54</v>
      </c>
      <c r="E135" s="15" t="s">
        <v>690</v>
      </c>
      <c r="F135" s="17">
        <v>38</v>
      </c>
      <c r="G135" s="17">
        <v>60</v>
      </c>
      <c r="H135" s="3" t="s">
        <v>43</v>
      </c>
      <c r="I135" s="88" t="s">
        <v>384</v>
      </c>
      <c r="J135" s="87">
        <v>44617</v>
      </c>
      <c r="K135" s="15">
        <v>5865</v>
      </c>
      <c r="L135" s="96">
        <v>295</v>
      </c>
      <c r="M135" s="89">
        <v>3249.85</v>
      </c>
      <c r="N135" s="88">
        <v>229</v>
      </c>
      <c r="O135" s="413" t="str">
        <f t="shared" si="1"/>
        <v>38 x 60</v>
      </c>
      <c r="P135" s="18" t="str">
        <f t="shared" si="2"/>
        <v>40 x 62</v>
      </c>
      <c r="Q135" s="91" t="str">
        <f t="shared" si="3"/>
        <v>N/A</v>
      </c>
      <c r="R135" s="18" t="str">
        <f t="shared" si="4"/>
        <v>N/A</v>
      </c>
      <c r="S135" s="18" t="s">
        <v>45</v>
      </c>
      <c r="T135" s="18"/>
      <c r="U135" s="18"/>
      <c r="V135" s="91" t="str">
        <f t="shared" si="47"/>
        <v>N/A</v>
      </c>
      <c r="W135" s="287">
        <f t="shared" si="51"/>
        <v>11.016440677966102</v>
      </c>
      <c r="X135" s="287" t="str">
        <f t="shared" si="52"/>
        <v>Yes</v>
      </c>
      <c r="Y135" s="93" t="e">
        <f t="shared" si="53"/>
        <v>#REF!</v>
      </c>
      <c r="Z135" s="288" t="e">
        <f t="shared" si="54"/>
        <v>#REF!</v>
      </c>
      <c r="AA135" s="94" t="e">
        <f t="shared" si="55"/>
        <v>#REF!</v>
      </c>
      <c r="AB135" s="288" t="e">
        <f t="shared" si="56"/>
        <v>#REF!</v>
      </c>
      <c r="AC135" s="91" t="e">
        <f>IF(X135="","",IF(D135="2 3D",((F135-0.5)*2+(G135-0.5)*2)*VLOOKUP("3D base",#REF!,2,FALSE),IF(D135="3 Canv", IF(E135="Roll",0,ROUND(SUM(F135:G135)*2,0)),0)*VLOOKUP("Stretcher Bar",#REF!,2,FALSE)))</f>
        <v>#REF!</v>
      </c>
      <c r="AD135" s="91" t="e">
        <f>IF(X135="","",IF(E135="Roll",0,IF(D135="2 3D",(SUM(F135:G135)*2)*VLOOKUP("3D epoxy",#REF!,2,FALSE),IF(D135="3 Canv",VLOOKUP("Wood glue",#REF!,2,FALSE),""))))</f>
        <v>#REF!</v>
      </c>
      <c r="AE135" s="91" t="e">
        <f>IF(D135="3 Canv",(((F135+5)*(G135+5)))*VLOOKUP("Canvas",#REF!,2,FALSE),IF(D135="2 3D",(((F135)*(G135)))*VLOOKUP("Dibond",#REF!,2,FALSE),""))</f>
        <v>#REF!</v>
      </c>
      <c r="AF135" s="91" t="e">
        <f>IF(D135="2 3D",F135*G135*VLOOKUP("3D ink",#REF!,2,FALSE),IF(D135="3 Canv",F135*G135*VLOOKUP("Canvas ink",#REF!,2,FALSE),""))</f>
        <v>#REF!</v>
      </c>
      <c r="AG135" s="91" t="str">
        <f>IF(D135="3 Canv",IF(E135="Roll","",ROUNDUP((SUM(F135:G135)*2)/3,"")*VLOOKUP("Staples",#REF!,2,FALSE)),"")</f>
        <v/>
      </c>
      <c r="AH135" s="91" t="e">
        <f>IF(AF135="","",(SUM(F135:G135)*2)*VLOOKUP(E135,#REF!,2,FALSE))</f>
        <v>#REF!</v>
      </c>
      <c r="AI135" s="18">
        <f t="shared" si="57"/>
        <v>44</v>
      </c>
      <c r="AJ135" s="91" t="e">
        <f>IF(AI135="","",AI135*VLOOKUP("Staples",#REF!,2,FALSE))</f>
        <v>#REF!</v>
      </c>
      <c r="AK135" s="18" t="e">
        <f t="shared" si="58"/>
        <v>#REF!</v>
      </c>
      <c r="AL135" s="91" t="e">
        <f>IF(AK135="","",AK135*VLOOKUP("Frame screw",#REF!,2,FALSE))</f>
        <v>#REF!</v>
      </c>
      <c r="AM135" s="18" t="e">
        <f t="shared" si="59"/>
        <v>#REF!</v>
      </c>
      <c r="AN135" s="91" t="e">
        <f>IF(AM135="","",AM135*VLOOKUP("D ring",#REF!,2,FALSE))</f>
        <v>#REF!</v>
      </c>
      <c r="AO135" s="18" t="e">
        <f t="shared" si="60"/>
        <v>#REF!</v>
      </c>
      <c r="AP135" s="91" t="e">
        <f>IF(AO135="","",IF(G135&gt;59,AO135* VLOOKUP("8 wire",#REF!,2,FALSE)*2,IF(G135&gt;39,AO135* VLOOKUP("8 wire",#REF!,2,FALSE),AO135* VLOOKUP("6 wire",#REF!,2,FALSE))))</f>
        <v>#REF!</v>
      </c>
      <c r="AQ135" s="18">
        <f t="shared" si="61"/>
        <v>4</v>
      </c>
      <c r="AR135" s="18" t="e">
        <f>IF(AQ135="","",AQ135*VLOOKUP("Pads",#REF!,2,FALSE))</f>
        <v>#REF!</v>
      </c>
      <c r="AS135" s="18">
        <f t="shared" si="62"/>
        <v>1</v>
      </c>
      <c r="AT135" s="91" t="e">
        <f>IF(AS135="","",AS135*VLOOKUP("4 mil bag",#REF!,2,FALSE))</f>
        <v>#REF!</v>
      </c>
      <c r="AU135" s="91" t="e">
        <f>IF(X135="","",IF(I135="N/A","",IF(I135="CNC",IF(G135&gt;37,20,10),VLOOKUP(I135,#REF!,2,FALSE))))</f>
        <v>#REF!</v>
      </c>
      <c r="AV135" s="18" t="str">
        <f>IF(X135="","",IF(I135="CNC",VLOOKUP("Glue stick",#REF!,2,FALSE),""))</f>
        <v/>
      </c>
      <c r="AW135" s="18" t="str">
        <f>IF(X135="","",IF(I135="CNC",16*VLOOKUP("Box staples",#REF!,2,FALSE),""))</f>
        <v/>
      </c>
      <c r="AX135" s="91" t="e">
        <f>IF(X135="","",IF(I135="CNC",((((G135+6)+(F135+6))*2)+24)*VLOOKUP("sealing tape",#REF!,2,FALSE),VLOOKUP("Strapping tape",#REF!,2,FALSE)))</f>
        <v>#REF!</v>
      </c>
      <c r="AY135" s="17"/>
      <c r="AZ135" s="17"/>
      <c r="BA135" s="17"/>
      <c r="BB135" s="17"/>
      <c r="BC135" s="96"/>
      <c r="BD135" s="96"/>
      <c r="BE135" s="96"/>
      <c r="BF135" s="96"/>
      <c r="BG135" s="96"/>
      <c r="BH135" s="96"/>
      <c r="BI135" s="96"/>
    </row>
    <row r="136" spans="1:61" x14ac:dyDescent="0.45">
      <c r="A136" s="103" t="s">
        <v>574</v>
      </c>
      <c r="B136" s="17" t="s">
        <v>1207</v>
      </c>
      <c r="C136" s="16">
        <v>44605</v>
      </c>
      <c r="D136" s="17" t="s">
        <v>54</v>
      </c>
      <c r="E136" s="15" t="s">
        <v>690</v>
      </c>
      <c r="F136" s="17">
        <v>30</v>
      </c>
      <c r="G136" s="17">
        <v>40</v>
      </c>
      <c r="H136" s="3" t="s">
        <v>43</v>
      </c>
      <c r="I136" s="88" t="s">
        <v>41</v>
      </c>
      <c r="J136" s="87">
        <v>44617</v>
      </c>
      <c r="K136" s="15">
        <v>2880</v>
      </c>
      <c r="L136" s="96">
        <v>150</v>
      </c>
      <c r="M136" s="89">
        <v>149.58000000000001</v>
      </c>
      <c r="N136" s="88">
        <v>20</v>
      </c>
      <c r="O136" s="413" t="str">
        <f t="shared" si="1"/>
        <v>30 x 40</v>
      </c>
      <c r="P136" s="18" t="str">
        <f t="shared" si="2"/>
        <v>32 x 42</v>
      </c>
      <c r="Q136" s="91" t="str">
        <f t="shared" si="3"/>
        <v>N/A</v>
      </c>
      <c r="R136" s="18" t="str">
        <f t="shared" si="4"/>
        <v>48 x 39 x 6</v>
      </c>
      <c r="S136" s="18">
        <v>48</v>
      </c>
      <c r="T136" s="18">
        <v>39</v>
      </c>
      <c r="U136" s="18">
        <v>6</v>
      </c>
      <c r="V136" s="18">
        <f t="shared" si="47"/>
        <v>129</v>
      </c>
      <c r="W136" s="287">
        <f t="shared" si="51"/>
        <v>0.99720000000000009</v>
      </c>
      <c r="X136" s="287" t="str">
        <f t="shared" si="52"/>
        <v>Yes</v>
      </c>
      <c r="Y136" s="93" t="e">
        <f t="shared" si="53"/>
        <v>#REF!</v>
      </c>
      <c r="Z136" s="288" t="e">
        <f t="shared" si="54"/>
        <v>#REF!</v>
      </c>
      <c r="AA136" s="94" t="e">
        <f t="shared" si="55"/>
        <v>#REF!</v>
      </c>
      <c r="AB136" s="288" t="e">
        <f t="shared" si="56"/>
        <v>#REF!</v>
      </c>
      <c r="AC136" s="91" t="e">
        <f>IF(X136="","",IF(D136="2 3D",((F136-0.5)*2+(G136-0.5)*2)*VLOOKUP("3D base",#REF!,2,FALSE),IF(D136="3 Canv", IF(E136="Roll",0,ROUND(SUM(F136:G136)*2,0)),0)*VLOOKUP("Stretcher Bar",#REF!,2,FALSE)))</f>
        <v>#REF!</v>
      </c>
      <c r="AD136" s="91" t="e">
        <f>IF(X136="","",IF(E136="Roll",0,IF(D136="2 3D",(SUM(F136:G136)*2)*VLOOKUP("3D epoxy",#REF!,2,FALSE),IF(D136="3 Canv",VLOOKUP("Wood glue",#REF!,2,FALSE),""))))</f>
        <v>#REF!</v>
      </c>
      <c r="AE136" s="91" t="e">
        <f>IF(D136="3 Canv",(((F136+5)*(G136+5)))*VLOOKUP("Canvas",#REF!,2,FALSE),IF(D136="2 3D",(((F136)*(G136)))*VLOOKUP("Dibond",#REF!,2,FALSE),""))</f>
        <v>#REF!</v>
      </c>
      <c r="AF136" s="91" t="e">
        <f>IF(D136="2 3D",F136*G136*VLOOKUP("3D ink",#REF!,2,FALSE),IF(D136="3 Canv",F136*G136*VLOOKUP("Canvas ink",#REF!,2,FALSE),""))</f>
        <v>#REF!</v>
      </c>
      <c r="AG136" s="91" t="str">
        <f>IF(D136="3 Canv",IF(E136="Roll","",ROUNDUP((SUM(F136:G136)*2)/3,"")*VLOOKUP("Staples",#REF!,2,FALSE)),"")</f>
        <v/>
      </c>
      <c r="AH136" s="91" t="e">
        <f>IF(AF136="","",(SUM(F136:G136)*2)*VLOOKUP(E136,#REF!,2,FALSE))</f>
        <v>#REF!</v>
      </c>
      <c r="AI136" s="18">
        <f t="shared" si="57"/>
        <v>44</v>
      </c>
      <c r="AJ136" s="91" t="e">
        <f>IF(AI136="","",AI136*VLOOKUP("Staples",#REF!,2,FALSE))</f>
        <v>#REF!</v>
      </c>
      <c r="AK136" s="18" t="e">
        <f t="shared" si="58"/>
        <v>#REF!</v>
      </c>
      <c r="AL136" s="91" t="e">
        <f>IF(AK136="","",AK136*VLOOKUP("Frame screw",#REF!,2,FALSE))</f>
        <v>#REF!</v>
      </c>
      <c r="AM136" s="18" t="e">
        <f t="shared" si="59"/>
        <v>#REF!</v>
      </c>
      <c r="AN136" s="91" t="e">
        <f>IF(AM136="","",AM136*VLOOKUP("D ring",#REF!,2,FALSE))</f>
        <v>#REF!</v>
      </c>
      <c r="AO136" s="18" t="e">
        <f t="shared" si="60"/>
        <v>#REF!</v>
      </c>
      <c r="AP136" s="91" t="e">
        <f>IF(AO136="","",IF(G136&gt;59,AO136* VLOOKUP("8 wire",#REF!,2,FALSE)*2,IF(G136&gt;39,AO136* VLOOKUP("8 wire",#REF!,2,FALSE),AO136* VLOOKUP("6 wire",#REF!,2,FALSE))))</f>
        <v>#REF!</v>
      </c>
      <c r="AQ136" s="18">
        <f t="shared" si="61"/>
        <v>4</v>
      </c>
      <c r="AR136" s="18" t="e">
        <f>IF(AQ136="","",AQ136*VLOOKUP("Pads",#REF!,2,FALSE))</f>
        <v>#REF!</v>
      </c>
      <c r="AS136" s="18">
        <f t="shared" si="62"/>
        <v>1</v>
      </c>
      <c r="AT136" s="91" t="e">
        <f>IF(AS136="","",AS136*VLOOKUP("4 mil bag",#REF!,2,FALSE))</f>
        <v>#REF!</v>
      </c>
      <c r="AU136" s="91">
        <f>IF(X136="","",IF(I136="N/A","",IF(I136="CNC",IF(G136&gt;37,20,10),VLOOKUP(I136,#REF!,2,FALSE))))</f>
        <v>20</v>
      </c>
      <c r="AV136" s="91" t="e">
        <f>IF(X136="","",IF(I136="CNC",VLOOKUP("Glue stick",#REF!,2,FALSE),""))</f>
        <v>#REF!</v>
      </c>
      <c r="AW136" s="91" t="e">
        <f>IF(X136="","",IF(I136="CNC",16*VLOOKUP("Box staples",#REF!,2,FALSE),""))</f>
        <v>#REF!</v>
      </c>
      <c r="AX136" s="18" t="e">
        <f>IF(X136="","",IF(I136="CNC",((((G136+6)+(F136+6))*2)+24)*VLOOKUP("sealing tape",#REF!,2,FALSE),VLOOKUP("Strapping tape",#REF!,2,FALSE)))</f>
        <v>#REF!</v>
      </c>
      <c r="AY136" s="17"/>
      <c r="AZ136" s="17"/>
      <c r="BA136" s="17"/>
      <c r="BB136" s="17"/>
      <c r="BC136" s="96"/>
      <c r="BD136" s="96"/>
      <c r="BE136" s="96"/>
      <c r="BF136" s="96"/>
      <c r="BG136" s="96"/>
      <c r="BH136" s="96"/>
      <c r="BI136" s="96"/>
    </row>
    <row r="137" spans="1:61" x14ac:dyDescent="0.45">
      <c r="A137" s="103" t="s">
        <v>1051</v>
      </c>
      <c r="B137" s="17" t="s">
        <v>1209</v>
      </c>
      <c r="C137" s="16">
        <v>44600</v>
      </c>
      <c r="D137" s="17" t="s">
        <v>66</v>
      </c>
      <c r="E137" s="15" t="s">
        <v>50</v>
      </c>
      <c r="F137" s="17">
        <v>28</v>
      </c>
      <c r="G137" s="17">
        <v>42</v>
      </c>
      <c r="H137" s="3" t="s">
        <v>43</v>
      </c>
      <c r="I137" s="88" t="s">
        <v>41</v>
      </c>
      <c r="J137" s="87">
        <v>44621</v>
      </c>
      <c r="K137" s="15">
        <v>524</v>
      </c>
      <c r="L137" s="96">
        <v>35</v>
      </c>
      <c r="M137" s="89">
        <v>24.58</v>
      </c>
      <c r="N137" s="88">
        <v>15</v>
      </c>
      <c r="O137" s="413" t="str">
        <f t="shared" si="1"/>
        <v>28 x 42</v>
      </c>
      <c r="P137" s="18" t="str">
        <f t="shared" si="2"/>
        <v>28 x 42</v>
      </c>
      <c r="Q137" s="91" t="str">
        <f t="shared" si="3"/>
        <v>N/A</v>
      </c>
      <c r="R137" s="18" t="str">
        <f t="shared" si="4"/>
        <v>48 x 34 x 6</v>
      </c>
      <c r="S137" s="18">
        <v>48</v>
      </c>
      <c r="T137" s="18">
        <v>34</v>
      </c>
      <c r="U137" s="18">
        <v>6</v>
      </c>
      <c r="V137" s="18">
        <f t="shared" si="47"/>
        <v>127</v>
      </c>
      <c r="W137" s="287">
        <f t="shared" si="51"/>
        <v>0.70228571428571429</v>
      </c>
      <c r="X137" s="287" t="str">
        <f t="shared" si="52"/>
        <v>Yes</v>
      </c>
      <c r="Y137" s="93" t="e">
        <f t="shared" si="53"/>
        <v>#REF!</v>
      </c>
      <c r="Z137" s="288" t="e">
        <f t="shared" si="54"/>
        <v>#REF!</v>
      </c>
      <c r="AA137" s="94" t="e">
        <f t="shared" si="55"/>
        <v>#REF!</v>
      </c>
      <c r="AB137" s="288" t="e">
        <f t="shared" si="56"/>
        <v>#REF!</v>
      </c>
      <c r="AC137" s="91" t="e">
        <f>IF(X137="","",IF(D137="2 3D",((F137-0.5)*2+(G137-0.5)*2)*VLOOKUP("3D base",#REF!,2,FALSE),IF(D137="3 Canv", IF(E137="Roll",0,ROUND(SUM(F137:G137)*2,0)),0)*VLOOKUP("Stretcher Bar",#REF!,2,FALSE)))</f>
        <v>#REF!</v>
      </c>
      <c r="AD137" s="91" t="e">
        <f>IF(X137="","",IF(E137="Roll",0,IF(D137="2 3D",(SUM(F137:G137)*2)*VLOOKUP("3D epoxy",#REF!,2,FALSE),IF(D137="3 Canv",VLOOKUP("Wood glue",#REF!,2,FALSE),""))))</f>
        <v>#REF!</v>
      </c>
      <c r="AE137" s="91" t="e">
        <f>IF(D137="3 Canv",(((F137+5)*(G137+5)))*VLOOKUP("Canvas",#REF!,2,FALSE),IF(D137="2 3D",(((F137)*(G137)))*VLOOKUP("Dibond",#REF!,2,FALSE),""))</f>
        <v>#REF!</v>
      </c>
      <c r="AF137" s="91" t="e">
        <f>IF(D137="2 3D",F137*G137*VLOOKUP("3D ink",#REF!,2,FALSE),IF(D137="3 Canv",F137*G137*VLOOKUP("Canvas ink",#REF!,2,FALSE),""))</f>
        <v>#REF!</v>
      </c>
      <c r="AG137" s="91" t="e">
        <f>IF(D137="3 Canv",IF(E137="Roll","",ROUNDUP((SUM(F137:G137)*2)/3,"")*VLOOKUP("Staples",#REF!,2,FALSE)),"")</f>
        <v>#VALUE!</v>
      </c>
      <c r="AH137" s="91" t="e">
        <f>IF(AF137="","",(SUM(F137:G137)*2)*VLOOKUP(E137,#REF!,2,FALSE))</f>
        <v>#REF!</v>
      </c>
      <c r="AI137" s="18">
        <f t="shared" si="57"/>
        <v>16</v>
      </c>
      <c r="AJ137" s="91" t="e">
        <f>IF(AI137="","",AI137*VLOOKUP("Staples",#REF!,2,FALSE))</f>
        <v>#REF!</v>
      </c>
      <c r="AK137" s="18" t="e">
        <f t="shared" si="58"/>
        <v>#REF!</v>
      </c>
      <c r="AL137" s="91" t="e">
        <f>IF(AK137="","",AK137*VLOOKUP("Frame screw",#REF!,2,FALSE))</f>
        <v>#REF!</v>
      </c>
      <c r="AM137" s="18" t="e">
        <f t="shared" si="59"/>
        <v>#REF!</v>
      </c>
      <c r="AN137" s="91" t="e">
        <f>IF(AM137="","",AM137*VLOOKUP("D ring",#REF!,2,FALSE))</f>
        <v>#REF!</v>
      </c>
      <c r="AO137" s="18" t="e">
        <f t="shared" si="60"/>
        <v>#REF!</v>
      </c>
      <c r="AP137" s="91" t="e">
        <f>IF(AO137="","",IF(G137&gt;59,AO137* VLOOKUP("8 wire",#REF!,2,FALSE)*2,IF(G137&gt;39,AO137* VLOOKUP("8 wire",#REF!,2,FALSE),AO137* VLOOKUP("6 wire",#REF!,2,FALSE))))</f>
        <v>#REF!</v>
      </c>
      <c r="AQ137" s="18">
        <f t="shared" si="61"/>
        <v>4</v>
      </c>
      <c r="AR137" s="18" t="e">
        <f>IF(AQ137="","",AQ137*VLOOKUP("Pads",#REF!,2,FALSE))</f>
        <v>#REF!</v>
      </c>
      <c r="AS137" s="18">
        <f t="shared" si="62"/>
        <v>1</v>
      </c>
      <c r="AT137" s="91" t="e">
        <f>IF(AS137="","",AS137*VLOOKUP("4 mil bag",#REF!,2,FALSE))</f>
        <v>#REF!</v>
      </c>
      <c r="AU137" s="91">
        <f>IF(X137="","",IF(I137="N/A","",IF(I137="CNC",IF(G137&gt;37,20,10),VLOOKUP(I137,#REF!,2,FALSE))))</f>
        <v>20</v>
      </c>
      <c r="AV137" s="91" t="e">
        <f>IF(X137="","",IF(I137="CNC",VLOOKUP("Glue stick",#REF!,2,FALSE),""))</f>
        <v>#REF!</v>
      </c>
      <c r="AW137" s="91" t="e">
        <f>IF(X137="","",IF(I137="CNC",16*VLOOKUP("Box staples",#REF!,2,FALSE),""))</f>
        <v>#REF!</v>
      </c>
      <c r="AX137" s="18" t="e">
        <f>IF(X137="","",IF(I137="CNC",((((G137+6)+(F137+6))*2)+24)*VLOOKUP("sealing tape",#REF!,2,FALSE),VLOOKUP("Strapping tape",#REF!,2,FALSE)))</f>
        <v>#REF!</v>
      </c>
      <c r="AY137" s="17"/>
      <c r="AZ137" s="17"/>
      <c r="BA137" s="17"/>
      <c r="BB137" s="17"/>
      <c r="BC137" s="96"/>
      <c r="BD137" s="96"/>
      <c r="BE137" s="96"/>
      <c r="BF137" s="96"/>
      <c r="BG137" s="96"/>
      <c r="BH137" s="96"/>
      <c r="BI137" s="96"/>
    </row>
    <row r="138" spans="1:61" x14ac:dyDescent="0.45">
      <c r="A138" s="103" t="s">
        <v>242</v>
      </c>
      <c r="B138" s="17" t="s">
        <v>1209</v>
      </c>
      <c r="C138" s="16">
        <v>44600</v>
      </c>
      <c r="D138" s="17" t="s">
        <v>66</v>
      </c>
      <c r="E138" s="15" t="s">
        <v>50</v>
      </c>
      <c r="F138" s="17">
        <v>27</v>
      </c>
      <c r="G138" s="17">
        <v>44</v>
      </c>
      <c r="H138" s="3" t="s">
        <v>43</v>
      </c>
      <c r="I138" s="88" t="s">
        <v>41</v>
      </c>
      <c r="J138" s="87">
        <v>44621</v>
      </c>
      <c r="K138" s="15">
        <v>528</v>
      </c>
      <c r="L138" s="96">
        <v>35</v>
      </c>
      <c r="M138" s="89">
        <v>24.58</v>
      </c>
      <c r="N138" s="88">
        <v>15</v>
      </c>
      <c r="O138" s="413" t="str">
        <f t="shared" si="1"/>
        <v>27 x 44</v>
      </c>
      <c r="P138" s="18" t="str">
        <f t="shared" si="2"/>
        <v>27 x 44</v>
      </c>
      <c r="Q138" s="91" t="str">
        <f t="shared" si="3"/>
        <v>N/A</v>
      </c>
      <c r="R138" s="18" t="str">
        <f t="shared" si="4"/>
        <v>50 x 33 x 6</v>
      </c>
      <c r="S138" s="18">
        <v>50</v>
      </c>
      <c r="T138" s="18">
        <v>33</v>
      </c>
      <c r="U138" s="18">
        <v>6</v>
      </c>
      <c r="V138" s="18">
        <f t="shared" si="47"/>
        <v>127</v>
      </c>
      <c r="W138" s="287">
        <f t="shared" si="51"/>
        <v>0.70228571428571429</v>
      </c>
      <c r="X138" s="287" t="str">
        <f t="shared" si="52"/>
        <v>Yes</v>
      </c>
      <c r="Y138" s="93" t="e">
        <f t="shared" si="53"/>
        <v>#REF!</v>
      </c>
      <c r="Z138" s="288" t="e">
        <f t="shared" si="54"/>
        <v>#REF!</v>
      </c>
      <c r="AA138" s="94" t="e">
        <f t="shared" si="55"/>
        <v>#REF!</v>
      </c>
      <c r="AB138" s="288" t="e">
        <f t="shared" si="56"/>
        <v>#REF!</v>
      </c>
      <c r="AC138" s="91" t="e">
        <f>IF(X138="","",IF(D138="2 3D",((F138-0.5)*2+(G138-0.5)*2)*VLOOKUP("3D base",#REF!,2,FALSE),IF(D138="3 Canv", IF(E138="Roll",0,ROUND(SUM(F138:G138)*2,0)),0)*VLOOKUP("Stretcher Bar",#REF!,2,FALSE)))</f>
        <v>#REF!</v>
      </c>
      <c r="AD138" s="91" t="e">
        <f>IF(X138="","",IF(E138="Roll",0,IF(D138="2 3D",(SUM(F138:G138)*2)*VLOOKUP("3D epoxy",#REF!,2,FALSE),IF(D138="3 Canv",VLOOKUP("Wood glue",#REF!,2,FALSE),""))))</f>
        <v>#REF!</v>
      </c>
      <c r="AE138" s="91" t="e">
        <f>IF(D138="3 Canv",(((F138+5)*(G138+5)))*VLOOKUP("Canvas",#REF!,2,FALSE),IF(D138="2 3D",(((F138)*(G138)))*VLOOKUP("Dibond",#REF!,2,FALSE),""))</f>
        <v>#REF!</v>
      </c>
      <c r="AF138" s="91" t="e">
        <f>IF(D138="2 3D",F138*G138*VLOOKUP("3D ink",#REF!,2,FALSE),IF(D138="3 Canv",F138*G138*VLOOKUP("Canvas ink",#REF!,2,FALSE),""))</f>
        <v>#REF!</v>
      </c>
      <c r="AG138" s="91" t="e">
        <f>IF(D138="3 Canv",IF(E138="Roll","",ROUNDUP((SUM(F138:G138)*2)/3,"")*VLOOKUP("Staples",#REF!,2,FALSE)),"")</f>
        <v>#VALUE!</v>
      </c>
      <c r="AH138" s="91" t="e">
        <f>IF(AF138="","",(SUM(F138:G138)*2)*VLOOKUP(E138,#REF!,2,FALSE))</f>
        <v>#REF!</v>
      </c>
      <c r="AI138" s="18">
        <f t="shared" si="57"/>
        <v>16</v>
      </c>
      <c r="AJ138" s="91" t="e">
        <f>IF(AI138="","",AI138*VLOOKUP("Staples",#REF!,2,FALSE))</f>
        <v>#REF!</v>
      </c>
      <c r="AK138" s="18" t="e">
        <f t="shared" si="58"/>
        <v>#REF!</v>
      </c>
      <c r="AL138" s="91" t="e">
        <f>IF(AK138="","",AK138*VLOOKUP("Frame screw",#REF!,2,FALSE))</f>
        <v>#REF!</v>
      </c>
      <c r="AM138" s="18" t="e">
        <f t="shared" si="59"/>
        <v>#REF!</v>
      </c>
      <c r="AN138" s="91" t="e">
        <f>IF(AM138="","",AM138*VLOOKUP("D ring",#REF!,2,FALSE))</f>
        <v>#REF!</v>
      </c>
      <c r="AO138" s="18" t="e">
        <f t="shared" si="60"/>
        <v>#REF!</v>
      </c>
      <c r="AP138" s="91" t="e">
        <f>IF(AO138="","",IF(G138&gt;59,AO138* VLOOKUP("8 wire",#REF!,2,FALSE)*2,IF(G138&gt;39,AO138* VLOOKUP("8 wire",#REF!,2,FALSE),AO138* VLOOKUP("6 wire",#REF!,2,FALSE))))</f>
        <v>#REF!</v>
      </c>
      <c r="AQ138" s="18">
        <f t="shared" si="61"/>
        <v>4</v>
      </c>
      <c r="AR138" s="18" t="e">
        <f>IF(AQ138="","",AQ138*VLOOKUP("Pads",#REF!,2,FALSE))</f>
        <v>#REF!</v>
      </c>
      <c r="AS138" s="18">
        <f t="shared" si="62"/>
        <v>1</v>
      </c>
      <c r="AT138" s="91" t="e">
        <f>IF(AS138="","",AS138*VLOOKUP("4 mil bag",#REF!,2,FALSE))</f>
        <v>#REF!</v>
      </c>
      <c r="AU138" s="91">
        <f>IF(X138="","",IF(I138="N/A","",IF(I138="CNC",IF(G138&gt;37,20,10),VLOOKUP(I138,#REF!,2,FALSE))))</f>
        <v>20</v>
      </c>
      <c r="AV138" s="91" t="e">
        <f>IF(X138="","",IF(I138="CNC",VLOOKUP("Glue stick",#REF!,2,FALSE),""))</f>
        <v>#REF!</v>
      </c>
      <c r="AW138" s="91" t="e">
        <f>IF(X138="","",IF(I138="CNC",16*VLOOKUP("Box staples",#REF!,2,FALSE),""))</f>
        <v>#REF!</v>
      </c>
      <c r="AX138" s="18" t="e">
        <f>IF(X138="","",IF(I138="CNC",((((G138+6)+(F138+6))*2)+24)*VLOOKUP("sealing tape",#REF!,2,FALSE),VLOOKUP("Strapping tape",#REF!,2,FALSE)))</f>
        <v>#REF!</v>
      </c>
      <c r="AY138" s="17"/>
      <c r="AZ138" s="17"/>
      <c r="BA138" s="17"/>
      <c r="BB138" s="17"/>
      <c r="BC138" s="96"/>
      <c r="BD138" s="96"/>
      <c r="BE138" s="96"/>
      <c r="BF138" s="96"/>
      <c r="BG138" s="96"/>
      <c r="BH138" s="96"/>
      <c r="BI138" s="96"/>
    </row>
    <row r="139" spans="1:61" x14ac:dyDescent="0.45">
      <c r="A139" s="103" t="s">
        <v>980</v>
      </c>
      <c r="B139" s="17" t="s">
        <v>680</v>
      </c>
      <c r="C139" s="16">
        <v>44605</v>
      </c>
      <c r="D139" s="17" t="s">
        <v>54</v>
      </c>
      <c r="E139" s="15" t="s">
        <v>690</v>
      </c>
      <c r="F139" s="17">
        <v>28</v>
      </c>
      <c r="G139" s="17">
        <v>48</v>
      </c>
      <c r="H139" s="3" t="s">
        <v>43</v>
      </c>
      <c r="I139" s="88" t="s">
        <v>41</v>
      </c>
      <c r="J139" s="87">
        <v>44621</v>
      </c>
      <c r="K139" s="15">
        <v>3280</v>
      </c>
      <c r="L139" s="96">
        <v>165</v>
      </c>
      <c r="M139" s="89">
        <v>149.69999999999999</v>
      </c>
      <c r="N139" s="88">
        <v>22</v>
      </c>
      <c r="O139" s="413" t="str">
        <f t="shared" si="1"/>
        <v>28 x 48</v>
      </c>
      <c r="P139" s="18" t="str">
        <f t="shared" si="2"/>
        <v>30 x 50</v>
      </c>
      <c r="Q139" s="91" t="str">
        <f t="shared" si="3"/>
        <v>N/A</v>
      </c>
      <c r="R139" s="18" t="str">
        <f t="shared" si="4"/>
        <v>56 x 37 x 6</v>
      </c>
      <c r="S139" s="18">
        <v>56</v>
      </c>
      <c r="T139" s="18">
        <v>37</v>
      </c>
      <c r="U139" s="18">
        <v>6</v>
      </c>
      <c r="V139" s="18">
        <f t="shared" si="47"/>
        <v>133</v>
      </c>
      <c r="W139" s="287">
        <f t="shared" si="51"/>
        <v>0.90727272727272723</v>
      </c>
      <c r="X139" s="287" t="str">
        <f t="shared" si="52"/>
        <v>Yes</v>
      </c>
      <c r="Y139" s="93" t="e">
        <f t="shared" si="53"/>
        <v>#REF!</v>
      </c>
      <c r="Z139" s="288" t="e">
        <f t="shared" si="54"/>
        <v>#REF!</v>
      </c>
      <c r="AA139" s="94" t="e">
        <f t="shared" si="55"/>
        <v>#REF!</v>
      </c>
      <c r="AB139" s="288" t="e">
        <f t="shared" si="56"/>
        <v>#REF!</v>
      </c>
      <c r="AC139" s="91" t="e">
        <f>IF(X139="","",IF(D139="2 3D",((F139-0.5)*2+(G139-0.5)*2)*VLOOKUP("3D base",#REF!,2,FALSE),IF(D139="3 Canv", IF(E139="Roll",0,ROUND(SUM(F139:G139)*2,0)),0)*VLOOKUP("Stretcher Bar",#REF!,2,FALSE)))</f>
        <v>#REF!</v>
      </c>
      <c r="AD139" s="91" t="e">
        <f>IF(X139="","",IF(E139="Roll",0,IF(D139="2 3D",(SUM(F139:G139)*2)*VLOOKUP("3D epoxy",#REF!,2,FALSE),IF(D139="3 Canv",VLOOKUP("Wood glue",#REF!,2,FALSE),""))))</f>
        <v>#REF!</v>
      </c>
      <c r="AE139" s="91" t="e">
        <f>IF(D139="3 Canv",(((F139+5)*(G139+5)))*VLOOKUP("Canvas",#REF!,2,FALSE),IF(D139="2 3D",(((F139)*(G139)))*VLOOKUP("Dibond",#REF!,2,FALSE),""))</f>
        <v>#REF!</v>
      </c>
      <c r="AF139" s="91" t="e">
        <f>IF(D139="2 3D",F139*G139*VLOOKUP("3D ink",#REF!,2,FALSE),IF(D139="3 Canv",F139*G139*VLOOKUP("Canvas ink",#REF!,2,FALSE),""))</f>
        <v>#REF!</v>
      </c>
      <c r="AG139" s="91" t="str">
        <f>IF(D139="3 Canv",IF(E139="Roll","",ROUNDUP((SUM(F139:G139)*2)/3,"")*VLOOKUP("Staples",#REF!,2,FALSE)),"")</f>
        <v/>
      </c>
      <c r="AH139" s="91" t="e">
        <f>IF(AF139="","",(SUM(F139:G139)*2)*VLOOKUP(E139,#REF!,2,FALSE))</f>
        <v>#REF!</v>
      </c>
      <c r="AI139" s="18">
        <f t="shared" si="57"/>
        <v>44</v>
      </c>
      <c r="AJ139" s="91" t="e">
        <f>IF(AI139="","",AI139*VLOOKUP("Staples",#REF!,2,FALSE))</f>
        <v>#REF!</v>
      </c>
      <c r="AK139" s="18" t="e">
        <f t="shared" si="58"/>
        <v>#REF!</v>
      </c>
      <c r="AL139" s="91" t="e">
        <f>IF(AK139="","",AK139*VLOOKUP("Frame screw",#REF!,2,FALSE))</f>
        <v>#REF!</v>
      </c>
      <c r="AM139" s="18" t="e">
        <f t="shared" si="59"/>
        <v>#REF!</v>
      </c>
      <c r="AN139" s="91" t="e">
        <f>IF(AM139="","",AM139*VLOOKUP("D ring",#REF!,2,FALSE))</f>
        <v>#REF!</v>
      </c>
      <c r="AO139" s="18" t="e">
        <f t="shared" si="60"/>
        <v>#REF!</v>
      </c>
      <c r="AP139" s="91" t="e">
        <f>IF(AO139="","",IF(G139&gt;59,AO139* VLOOKUP("8 wire",#REF!,2,FALSE)*2,IF(G139&gt;39,AO139* VLOOKUP("8 wire",#REF!,2,FALSE),AO139* VLOOKUP("6 wire",#REF!,2,FALSE))))</f>
        <v>#REF!</v>
      </c>
      <c r="AQ139" s="18">
        <f t="shared" si="61"/>
        <v>4</v>
      </c>
      <c r="AR139" s="18" t="e">
        <f>IF(AQ139="","",AQ139*VLOOKUP("Pads",#REF!,2,FALSE))</f>
        <v>#REF!</v>
      </c>
      <c r="AS139" s="18">
        <f t="shared" si="62"/>
        <v>1</v>
      </c>
      <c r="AT139" s="91" t="e">
        <f>IF(AS139="","",AS139*VLOOKUP("4 mil bag",#REF!,2,FALSE))</f>
        <v>#REF!</v>
      </c>
      <c r="AU139" s="91">
        <f>IF(X139="","",IF(I139="N/A","",IF(I139="CNC",IF(G139&gt;37,20,10),VLOOKUP(I139,#REF!,2,FALSE))))</f>
        <v>20</v>
      </c>
      <c r="AV139" s="91" t="e">
        <f>IF(X139="","",IF(I139="CNC",VLOOKUP("Glue stick",#REF!,2,FALSE),""))</f>
        <v>#REF!</v>
      </c>
      <c r="AW139" s="91" t="e">
        <f>IF(X139="","",IF(I139="CNC",16*VLOOKUP("Box staples",#REF!,2,FALSE),""))</f>
        <v>#REF!</v>
      </c>
      <c r="AX139" s="18" t="e">
        <f>IF(X139="","",IF(I139="CNC",((((G139+6)+(F139+6))*2)+24)*VLOOKUP("sealing tape",#REF!,2,FALSE),VLOOKUP("Strapping tape",#REF!,2,FALSE)))</f>
        <v>#REF!</v>
      </c>
      <c r="AY139" s="17"/>
      <c r="AZ139" s="17"/>
      <c r="BA139" s="17"/>
      <c r="BB139" s="17"/>
      <c r="BC139" s="96"/>
      <c r="BD139" s="96"/>
      <c r="BE139" s="96"/>
      <c r="BF139" s="96"/>
      <c r="BG139" s="96"/>
      <c r="BH139" s="96"/>
      <c r="BI139" s="96"/>
    </row>
    <row r="140" spans="1:61" x14ac:dyDescent="0.45">
      <c r="A140" s="103" t="s">
        <v>566</v>
      </c>
      <c r="B140" s="17" t="s">
        <v>1207</v>
      </c>
      <c r="C140" s="16">
        <v>44605</v>
      </c>
      <c r="D140" s="17" t="s">
        <v>54</v>
      </c>
      <c r="E140" s="15" t="s">
        <v>690</v>
      </c>
      <c r="F140" s="17">
        <v>32</v>
      </c>
      <c r="G140" s="17">
        <v>40</v>
      </c>
      <c r="H140" s="3" t="s">
        <v>43</v>
      </c>
      <c r="I140" s="88" t="s">
        <v>41</v>
      </c>
      <c r="J140" s="87">
        <v>44621</v>
      </c>
      <c r="K140" s="15">
        <v>3120</v>
      </c>
      <c r="L140" s="96">
        <v>150</v>
      </c>
      <c r="M140" s="89">
        <v>149.58000000000001</v>
      </c>
      <c r="N140" s="88">
        <v>20</v>
      </c>
      <c r="O140" s="413" t="str">
        <f t="shared" si="1"/>
        <v>32 x 40</v>
      </c>
      <c r="P140" s="18" t="str">
        <f t="shared" si="2"/>
        <v>34 x 42</v>
      </c>
      <c r="Q140" s="91" t="str">
        <f t="shared" si="3"/>
        <v>N/A</v>
      </c>
      <c r="R140" s="18" t="str">
        <f t="shared" si="4"/>
        <v>48 x 41 x 6</v>
      </c>
      <c r="S140" s="18">
        <v>48</v>
      </c>
      <c r="T140" s="18">
        <v>41</v>
      </c>
      <c r="U140" s="18">
        <v>6</v>
      </c>
      <c r="V140" s="18">
        <f t="shared" si="47"/>
        <v>133</v>
      </c>
      <c r="W140" s="287">
        <f t="shared" si="51"/>
        <v>0.99720000000000009</v>
      </c>
      <c r="X140" s="287" t="str">
        <f t="shared" si="52"/>
        <v>Yes</v>
      </c>
      <c r="Y140" s="93" t="e">
        <f t="shared" si="53"/>
        <v>#REF!</v>
      </c>
      <c r="Z140" s="288" t="e">
        <f t="shared" si="54"/>
        <v>#REF!</v>
      </c>
      <c r="AA140" s="94" t="e">
        <f t="shared" si="55"/>
        <v>#REF!</v>
      </c>
      <c r="AB140" s="288" t="e">
        <f t="shared" si="56"/>
        <v>#REF!</v>
      </c>
      <c r="AC140" s="91" t="e">
        <f>IF(X140="","",IF(D140="2 3D",((F140-0.5)*2+(G140-0.5)*2)*VLOOKUP("3D base",#REF!,2,FALSE),IF(D140="3 Canv", IF(E140="Roll",0,ROUND(SUM(F140:G140)*2,0)),0)*VLOOKUP("Stretcher Bar",#REF!,2,FALSE)))</f>
        <v>#REF!</v>
      </c>
      <c r="AD140" s="91" t="e">
        <f>IF(X140="","",IF(E140="Roll",0,IF(D140="2 3D",(SUM(F140:G140)*2)*VLOOKUP("3D epoxy",#REF!,2,FALSE),IF(D140="3 Canv",VLOOKUP("Wood glue",#REF!,2,FALSE),""))))</f>
        <v>#REF!</v>
      </c>
      <c r="AE140" s="91" t="e">
        <f>IF(D140="3 Canv",(((F140+5)*(G140+5)))*VLOOKUP("Canvas",#REF!,2,FALSE),IF(D140="2 3D",(((F140)*(G140)))*VLOOKUP("Dibond",#REF!,2,FALSE),""))</f>
        <v>#REF!</v>
      </c>
      <c r="AF140" s="91" t="e">
        <f>IF(D140="2 3D",F140*G140*VLOOKUP("3D ink",#REF!,2,FALSE),IF(D140="3 Canv",F140*G140*VLOOKUP("Canvas ink",#REF!,2,FALSE),""))</f>
        <v>#REF!</v>
      </c>
      <c r="AG140" s="91" t="str">
        <f>IF(D140="3 Canv",IF(E140="Roll","",ROUNDUP((SUM(F140:G140)*2)/3,"")*VLOOKUP("Staples",#REF!,2,FALSE)),"")</f>
        <v/>
      </c>
      <c r="AH140" s="91" t="e">
        <f>IF(AF140="","",(SUM(F140:G140)*2)*VLOOKUP(E140,#REF!,2,FALSE))</f>
        <v>#REF!</v>
      </c>
      <c r="AI140" s="18">
        <f t="shared" si="57"/>
        <v>44</v>
      </c>
      <c r="AJ140" s="91" t="e">
        <f>IF(AI140="","",AI140*VLOOKUP("Staples",#REF!,2,FALSE))</f>
        <v>#REF!</v>
      </c>
      <c r="AK140" s="18" t="e">
        <f t="shared" si="58"/>
        <v>#REF!</v>
      </c>
      <c r="AL140" s="91" t="e">
        <f>IF(AK140="","",AK140*VLOOKUP("Frame screw",#REF!,2,FALSE))</f>
        <v>#REF!</v>
      </c>
      <c r="AM140" s="18" t="e">
        <f t="shared" si="59"/>
        <v>#REF!</v>
      </c>
      <c r="AN140" s="91" t="e">
        <f>IF(AM140="","",AM140*VLOOKUP("D ring",#REF!,2,FALSE))</f>
        <v>#REF!</v>
      </c>
      <c r="AO140" s="18" t="e">
        <f t="shared" si="60"/>
        <v>#REF!</v>
      </c>
      <c r="AP140" s="91" t="e">
        <f>IF(AO140="","",IF(G140&gt;59,AO140* VLOOKUP("8 wire",#REF!,2,FALSE)*2,IF(G140&gt;39,AO140* VLOOKUP("8 wire",#REF!,2,FALSE),AO140* VLOOKUP("6 wire",#REF!,2,FALSE))))</f>
        <v>#REF!</v>
      </c>
      <c r="AQ140" s="18">
        <f t="shared" si="61"/>
        <v>4</v>
      </c>
      <c r="AR140" s="18" t="e">
        <f>IF(AQ140="","",AQ140*VLOOKUP("Pads",#REF!,2,FALSE))</f>
        <v>#REF!</v>
      </c>
      <c r="AS140" s="18">
        <f t="shared" si="62"/>
        <v>1</v>
      </c>
      <c r="AT140" s="91" t="e">
        <f>IF(AS140="","",AS140*VLOOKUP("4 mil bag",#REF!,2,FALSE))</f>
        <v>#REF!</v>
      </c>
      <c r="AU140" s="91">
        <f>IF(X140="","",IF(I140="N/A","",IF(I140="CNC",IF(G140&gt;37,20,10),VLOOKUP(I140,#REF!,2,FALSE))))</f>
        <v>20</v>
      </c>
      <c r="AV140" s="91" t="e">
        <f>IF(X140="","",IF(I140="CNC",VLOOKUP("Glue stick",#REF!,2,FALSE),""))</f>
        <v>#REF!</v>
      </c>
      <c r="AW140" s="91" t="e">
        <f>IF(X140="","",IF(I140="CNC",16*VLOOKUP("Box staples",#REF!,2,FALSE),""))</f>
        <v>#REF!</v>
      </c>
      <c r="AX140" s="18" t="e">
        <f>IF(X140="","",IF(I140="CNC",((((G140+6)+(F140+6))*2)+24)*VLOOKUP("sealing tape",#REF!,2,FALSE),VLOOKUP("Strapping tape",#REF!,2,FALSE)))</f>
        <v>#REF!</v>
      </c>
      <c r="AY140" s="17"/>
      <c r="AZ140" s="17"/>
      <c r="BA140" s="17"/>
      <c r="BB140" s="17"/>
      <c r="BC140" s="96"/>
      <c r="BD140" s="96"/>
      <c r="BE140" s="96"/>
      <c r="BF140" s="96"/>
      <c r="BG140" s="96"/>
      <c r="BH140" s="96"/>
      <c r="BI140" s="96"/>
    </row>
    <row r="141" spans="1:61" x14ac:dyDescent="0.45">
      <c r="A141" s="103" t="s">
        <v>52</v>
      </c>
      <c r="B141" s="17" t="s">
        <v>945</v>
      </c>
      <c r="C141" s="16">
        <v>44604</v>
      </c>
      <c r="D141" s="17" t="s">
        <v>54</v>
      </c>
      <c r="E141" s="15" t="s">
        <v>690</v>
      </c>
      <c r="F141" s="17">
        <v>36</v>
      </c>
      <c r="G141" s="17">
        <v>45</v>
      </c>
      <c r="H141" s="3" t="s">
        <v>43</v>
      </c>
      <c r="I141" s="88" t="s">
        <v>41</v>
      </c>
      <c r="J141" s="87">
        <v>44622</v>
      </c>
      <c r="K141" s="15">
        <v>3840</v>
      </c>
      <c r="L141" s="96">
        <v>195</v>
      </c>
      <c r="M141" s="89">
        <v>113.14</v>
      </c>
      <c r="N141" s="88">
        <v>31</v>
      </c>
      <c r="O141" s="413" t="str">
        <f t="shared" si="1"/>
        <v>36 x 45</v>
      </c>
      <c r="P141" s="18" t="str">
        <f t="shared" si="2"/>
        <v>38 x 47</v>
      </c>
      <c r="Q141" s="91" t="str">
        <f t="shared" si="3"/>
        <v>N/A</v>
      </c>
      <c r="R141" s="18" t="str">
        <f t="shared" si="4"/>
        <v>53 x 45 x 6</v>
      </c>
      <c r="S141" s="18">
        <v>53</v>
      </c>
      <c r="T141" s="18">
        <v>45</v>
      </c>
      <c r="U141" s="18">
        <v>6</v>
      </c>
      <c r="V141" s="18">
        <f t="shared" si="47"/>
        <v>146</v>
      </c>
      <c r="W141" s="287">
        <f t="shared" si="51"/>
        <v>0.58020512820512826</v>
      </c>
      <c r="X141" s="287" t="str">
        <f t="shared" si="52"/>
        <v>Yes</v>
      </c>
      <c r="Y141" s="93" t="e">
        <f t="shared" si="53"/>
        <v>#REF!</v>
      </c>
      <c r="Z141" s="288" t="e">
        <f t="shared" si="54"/>
        <v>#REF!</v>
      </c>
      <c r="AA141" s="94" t="e">
        <f t="shared" si="55"/>
        <v>#REF!</v>
      </c>
      <c r="AB141" s="288" t="e">
        <f t="shared" si="56"/>
        <v>#REF!</v>
      </c>
      <c r="AC141" s="91" t="e">
        <f>IF(X141="","",IF(D141="2 3D",((F141-0.5)*2+(G141-0.5)*2)*VLOOKUP("3D base",#REF!,2,FALSE),IF(D141="3 Canv", IF(E141="Roll",0,ROUND(SUM(F141:G141)*2,0)),0)*VLOOKUP("Stretcher Bar",#REF!,2,FALSE)))</f>
        <v>#REF!</v>
      </c>
      <c r="AD141" s="91" t="e">
        <f>IF(X141="","",IF(E141="Roll",0,IF(D141="2 3D",(SUM(F141:G141)*2)*VLOOKUP("3D epoxy",#REF!,2,FALSE),IF(D141="3 Canv",VLOOKUP("Wood glue",#REF!,2,FALSE),""))))</f>
        <v>#REF!</v>
      </c>
      <c r="AE141" s="91" t="e">
        <f>IF(D141="3 Canv",(((F141+5)*(G141+5)))*VLOOKUP("Canvas",#REF!,2,FALSE),IF(D141="2 3D",(((F141)*(G141)))*VLOOKUP("Dibond",#REF!,2,FALSE),""))</f>
        <v>#REF!</v>
      </c>
      <c r="AF141" s="91" t="e">
        <f>IF(D141="2 3D",F141*G141*VLOOKUP("3D ink",#REF!,2,FALSE),IF(D141="3 Canv",F141*G141*VLOOKUP("Canvas ink",#REF!,2,FALSE),""))</f>
        <v>#REF!</v>
      </c>
      <c r="AG141" s="91" t="str">
        <f>IF(D141="3 Canv",IF(E141="Roll","",ROUNDUP((SUM(F141:G141)*2)/3,"")*VLOOKUP("Staples",#REF!,2,FALSE)),"")</f>
        <v/>
      </c>
      <c r="AH141" s="91" t="e">
        <f>IF(AF141="","",(SUM(F141:G141)*2)*VLOOKUP(E141,#REF!,2,FALSE))</f>
        <v>#REF!</v>
      </c>
      <c r="AI141" s="18">
        <f t="shared" si="57"/>
        <v>44</v>
      </c>
      <c r="AJ141" s="91" t="e">
        <f>IF(AI141="","",AI141*VLOOKUP("Staples",#REF!,2,FALSE))</f>
        <v>#REF!</v>
      </c>
      <c r="AK141" s="18" t="e">
        <f t="shared" si="58"/>
        <v>#REF!</v>
      </c>
      <c r="AL141" s="91" t="e">
        <f>IF(AK141="","",AK141*VLOOKUP("Frame screw",#REF!,2,FALSE))</f>
        <v>#REF!</v>
      </c>
      <c r="AM141" s="18" t="e">
        <f t="shared" si="59"/>
        <v>#REF!</v>
      </c>
      <c r="AN141" s="91" t="e">
        <f>IF(AM141="","",AM141*VLOOKUP("D ring",#REF!,2,FALSE))</f>
        <v>#REF!</v>
      </c>
      <c r="AO141" s="18" t="e">
        <f t="shared" si="60"/>
        <v>#REF!</v>
      </c>
      <c r="AP141" s="91" t="e">
        <f>IF(AO141="","",IF(G141&gt;59,AO141* VLOOKUP("8 wire",#REF!,2,FALSE)*2,IF(G141&gt;39,AO141* VLOOKUP("8 wire",#REF!,2,FALSE),AO141* VLOOKUP("6 wire",#REF!,2,FALSE))))</f>
        <v>#REF!</v>
      </c>
      <c r="AQ141" s="18">
        <f t="shared" si="61"/>
        <v>4</v>
      </c>
      <c r="AR141" s="18" t="e">
        <f>IF(AQ141="","",AQ141*VLOOKUP("Pads",#REF!,2,FALSE))</f>
        <v>#REF!</v>
      </c>
      <c r="AS141" s="18">
        <f t="shared" si="62"/>
        <v>1</v>
      </c>
      <c r="AT141" s="91" t="e">
        <f>IF(AS141="","",AS141*VLOOKUP("4 mil bag",#REF!,2,FALSE))</f>
        <v>#REF!</v>
      </c>
      <c r="AU141" s="91">
        <f>IF(X141="","",IF(I141="N/A","",IF(I141="CNC",IF(G141&gt;37,20,10),VLOOKUP(I141,#REF!,2,FALSE))))</f>
        <v>20</v>
      </c>
      <c r="AV141" s="91" t="e">
        <f>IF(X141="","",IF(I141="CNC",VLOOKUP("Glue stick",#REF!,2,FALSE),""))</f>
        <v>#REF!</v>
      </c>
      <c r="AW141" s="91" t="e">
        <f>IF(X141="","",IF(I141="CNC",16*VLOOKUP("Box staples",#REF!,2,FALSE),""))</f>
        <v>#REF!</v>
      </c>
      <c r="AX141" s="18" t="e">
        <f>IF(X141="","",IF(I141="CNC",((((G141+6)+(F141+6))*2)+24)*VLOOKUP("sealing tape",#REF!,2,FALSE),VLOOKUP("Strapping tape",#REF!,2,FALSE)))</f>
        <v>#REF!</v>
      </c>
      <c r="AY141" s="17"/>
      <c r="AZ141" s="17"/>
      <c r="BA141" s="17"/>
      <c r="BB141" s="17"/>
      <c r="BC141" s="96"/>
      <c r="BD141" s="96"/>
      <c r="BE141" s="96"/>
      <c r="BF141" s="96"/>
      <c r="BG141" s="96"/>
      <c r="BH141" s="96"/>
      <c r="BI141" s="96"/>
    </row>
    <row r="142" spans="1:61" x14ac:dyDescent="0.45">
      <c r="A142" s="103" t="s">
        <v>980</v>
      </c>
      <c r="B142" s="17" t="s">
        <v>1212</v>
      </c>
      <c r="C142" s="16">
        <v>44601</v>
      </c>
      <c r="D142" s="17" t="s">
        <v>54</v>
      </c>
      <c r="E142" s="15" t="s">
        <v>690</v>
      </c>
      <c r="F142" s="17">
        <v>21</v>
      </c>
      <c r="G142" s="17">
        <v>36</v>
      </c>
      <c r="H142" s="3" t="s">
        <v>43</v>
      </c>
      <c r="I142" s="88" t="s">
        <v>41</v>
      </c>
      <c r="J142" s="87">
        <v>44622</v>
      </c>
      <c r="K142" s="15">
        <v>2300</v>
      </c>
      <c r="L142" s="96">
        <v>0</v>
      </c>
      <c r="M142" s="89">
        <v>28.88</v>
      </c>
      <c r="N142" s="88">
        <v>15</v>
      </c>
      <c r="O142" s="413" t="str">
        <f t="shared" si="1"/>
        <v>21 x 36</v>
      </c>
      <c r="P142" s="18" t="str">
        <f t="shared" si="2"/>
        <v>23 x 38</v>
      </c>
      <c r="Q142" s="91" t="str">
        <f t="shared" si="3"/>
        <v>N/A</v>
      </c>
      <c r="R142" s="18" t="str">
        <f t="shared" si="4"/>
        <v>44 x 30 x 6</v>
      </c>
      <c r="S142" s="18">
        <v>44</v>
      </c>
      <c r="T142" s="18">
        <v>30</v>
      </c>
      <c r="U142" s="18">
        <v>6</v>
      </c>
      <c r="V142" s="18">
        <f t="shared" si="47"/>
        <v>107</v>
      </c>
      <c r="W142" s="287" t="str">
        <f t="shared" si="51"/>
        <v/>
      </c>
      <c r="X142" s="287" t="str">
        <f t="shared" si="52"/>
        <v>Yes</v>
      </c>
      <c r="Y142" s="93" t="e">
        <f t="shared" si="53"/>
        <v>#REF!</v>
      </c>
      <c r="Z142" s="288" t="e">
        <f t="shared" si="54"/>
        <v>#REF!</v>
      </c>
      <c r="AA142" s="94" t="e">
        <f t="shared" si="55"/>
        <v>#REF!</v>
      </c>
      <c r="AB142" s="288" t="e">
        <f t="shared" si="56"/>
        <v>#REF!</v>
      </c>
      <c r="AC142" s="91" t="e">
        <f>IF(X142="","",IF(D142="2 3D",((F142-0.5)*2+(G142-0.5)*2)*VLOOKUP("3D base",#REF!,2,FALSE),IF(D142="3 Canv", IF(E142="Roll",0,ROUND(SUM(F142:G142)*2,0)),0)*VLOOKUP("Stretcher Bar",#REF!,2,FALSE)))</f>
        <v>#REF!</v>
      </c>
      <c r="AD142" s="91" t="e">
        <f>IF(X142="","",IF(E142="Roll",0,IF(D142="2 3D",(SUM(F142:G142)*2)*VLOOKUP("3D epoxy",#REF!,2,FALSE),IF(D142="3 Canv",VLOOKUP("Wood glue",#REF!,2,FALSE),""))))</f>
        <v>#REF!</v>
      </c>
      <c r="AE142" s="91" t="e">
        <f>IF(D142="3 Canv",(((F142+5)*(G142+5)))*VLOOKUP("Canvas",#REF!,2,FALSE),IF(D142="2 3D",(((F142)*(G142)))*VLOOKUP("Dibond",#REF!,2,FALSE),""))</f>
        <v>#REF!</v>
      </c>
      <c r="AF142" s="91" t="e">
        <f>IF(D142="2 3D",F142*G142*VLOOKUP("3D ink",#REF!,2,FALSE),IF(D142="3 Canv",F142*G142*VLOOKUP("Canvas ink",#REF!,2,FALSE),""))</f>
        <v>#REF!</v>
      </c>
      <c r="AG142" s="91" t="str">
        <f>IF(D142="3 Canv",IF(E142="Roll","",ROUNDUP((SUM(F142:G142)*2)/3,"")*VLOOKUP("Staples",#REF!,2,FALSE)),"")</f>
        <v/>
      </c>
      <c r="AH142" s="91" t="e">
        <f>IF(AF142="","",(SUM(F142:G142)*2)*VLOOKUP(E142,#REF!,2,FALSE))</f>
        <v>#REF!</v>
      </c>
      <c r="AI142" s="18">
        <f t="shared" si="57"/>
        <v>44</v>
      </c>
      <c r="AJ142" s="91" t="e">
        <f>IF(AI142="","",AI142*VLOOKUP("Staples",#REF!,2,FALSE))</f>
        <v>#REF!</v>
      </c>
      <c r="AK142" s="18" t="e">
        <f t="shared" si="58"/>
        <v>#REF!</v>
      </c>
      <c r="AL142" s="91" t="e">
        <f>IF(AK142="","",AK142*VLOOKUP("Frame screw",#REF!,2,FALSE))</f>
        <v>#REF!</v>
      </c>
      <c r="AM142" s="18" t="e">
        <f t="shared" si="59"/>
        <v>#REF!</v>
      </c>
      <c r="AN142" s="91" t="e">
        <f>IF(AM142="","",AM142*VLOOKUP("D ring",#REF!,2,FALSE))</f>
        <v>#REF!</v>
      </c>
      <c r="AO142" s="18" t="e">
        <f t="shared" si="60"/>
        <v>#REF!</v>
      </c>
      <c r="AP142" s="91" t="e">
        <f>IF(AO142="","",IF(G142&gt;59,AO142* VLOOKUP("8 wire",#REF!,2,FALSE)*2,IF(G142&gt;39,AO142* VLOOKUP("8 wire",#REF!,2,FALSE),AO142* VLOOKUP("6 wire",#REF!,2,FALSE))))</f>
        <v>#REF!</v>
      </c>
      <c r="AQ142" s="18">
        <f t="shared" si="61"/>
        <v>4</v>
      </c>
      <c r="AR142" s="18" t="e">
        <f>IF(AQ142="","",AQ142*VLOOKUP("Pads",#REF!,2,FALSE))</f>
        <v>#REF!</v>
      </c>
      <c r="AS142" s="18">
        <f t="shared" si="62"/>
        <v>1</v>
      </c>
      <c r="AT142" s="91" t="e">
        <f>IF(AS142="","",AS142*VLOOKUP("4 mil bag",#REF!,2,FALSE))</f>
        <v>#REF!</v>
      </c>
      <c r="AU142" s="91">
        <f>IF(X142="","",IF(I142="N/A","",IF(I142="CNC",IF(G142&gt;37,20,10),VLOOKUP(I142,#REF!,2,FALSE))))</f>
        <v>10</v>
      </c>
      <c r="AV142" s="91" t="e">
        <f>IF(X142="","",IF(I142="CNC",VLOOKUP("Glue stick",#REF!,2,FALSE),""))</f>
        <v>#REF!</v>
      </c>
      <c r="AW142" s="91" t="e">
        <f>IF(X142="","",IF(I142="CNC",16*VLOOKUP("Box staples",#REF!,2,FALSE),""))</f>
        <v>#REF!</v>
      </c>
      <c r="AX142" s="18" t="e">
        <f>IF(X142="","",IF(I142="CNC",((((G142+6)+(F142+6))*2)+24)*VLOOKUP("sealing tape",#REF!,2,FALSE),VLOOKUP("Strapping tape",#REF!,2,FALSE)))</f>
        <v>#REF!</v>
      </c>
      <c r="AY142" s="17"/>
      <c r="AZ142" s="17"/>
      <c r="BA142" s="17"/>
      <c r="BB142" s="17"/>
      <c r="BC142" s="96"/>
      <c r="BD142" s="96"/>
      <c r="BE142" s="96"/>
      <c r="BF142" s="96"/>
      <c r="BG142" s="96"/>
      <c r="BH142" s="96"/>
      <c r="BI142" s="96"/>
    </row>
    <row r="143" spans="1:61" x14ac:dyDescent="0.45">
      <c r="A143" s="103" t="s">
        <v>1034</v>
      </c>
      <c r="B143" s="17" t="s">
        <v>1200</v>
      </c>
      <c r="C143" s="16">
        <v>44601</v>
      </c>
      <c r="D143" s="17" t="s">
        <v>66</v>
      </c>
      <c r="E143" s="15" t="s">
        <v>50</v>
      </c>
      <c r="F143" s="17">
        <v>31</v>
      </c>
      <c r="G143" s="17">
        <v>41</v>
      </c>
      <c r="H143" s="3" t="s">
        <v>43</v>
      </c>
      <c r="I143" s="88" t="s">
        <v>41</v>
      </c>
      <c r="J143" s="87">
        <v>44622</v>
      </c>
      <c r="K143" s="15">
        <v>552</v>
      </c>
      <c r="L143" s="96">
        <v>35</v>
      </c>
      <c r="M143" s="89">
        <v>147.38</v>
      </c>
      <c r="N143" s="88">
        <v>16</v>
      </c>
      <c r="O143" s="413" t="str">
        <f t="shared" si="1"/>
        <v>31 x 41</v>
      </c>
      <c r="P143" s="18" t="str">
        <f t="shared" si="2"/>
        <v>31 x 41</v>
      </c>
      <c r="Q143" s="91" t="str">
        <f t="shared" si="3"/>
        <v>N/A</v>
      </c>
      <c r="R143" s="18" t="str">
        <f t="shared" si="4"/>
        <v>47 x 37 x 6</v>
      </c>
      <c r="S143" s="18">
        <v>47</v>
      </c>
      <c r="T143" s="18">
        <v>37</v>
      </c>
      <c r="U143" s="18">
        <v>6</v>
      </c>
      <c r="V143" s="18">
        <f t="shared" si="47"/>
        <v>132</v>
      </c>
      <c r="W143" s="287">
        <f t="shared" si="51"/>
        <v>4.2108571428571429</v>
      </c>
      <c r="X143" s="287" t="str">
        <f t="shared" si="52"/>
        <v>Yes</v>
      </c>
      <c r="Y143" s="93" t="e">
        <f t="shared" si="53"/>
        <v>#REF!</v>
      </c>
      <c r="Z143" s="288" t="e">
        <f t="shared" si="54"/>
        <v>#REF!</v>
      </c>
      <c r="AA143" s="94" t="e">
        <f t="shared" si="55"/>
        <v>#REF!</v>
      </c>
      <c r="AB143" s="288" t="e">
        <f t="shared" si="56"/>
        <v>#REF!</v>
      </c>
      <c r="AC143" s="91" t="e">
        <f>IF(X143="","",IF(D143="2 3D",((F143-0.5)*2+(G143-0.5)*2)*VLOOKUP("3D base",#REF!,2,FALSE),IF(D143="3 Canv", IF(E143="Roll",0,ROUND(SUM(F143:G143)*2,0)),0)*VLOOKUP("Stretcher Bar",#REF!,2,FALSE)))</f>
        <v>#REF!</v>
      </c>
      <c r="AD143" s="91" t="e">
        <f>IF(X143="","",IF(E143="Roll",0,IF(D143="2 3D",(SUM(F143:G143)*2)*VLOOKUP("3D epoxy",#REF!,2,FALSE),IF(D143="3 Canv",VLOOKUP("Wood glue",#REF!,2,FALSE),""))))</f>
        <v>#REF!</v>
      </c>
      <c r="AE143" s="91" t="e">
        <f>IF(D143="3 Canv",(((F143+5)*(G143+5)))*VLOOKUP("Canvas",#REF!,2,FALSE),IF(D143="2 3D",(((F143)*(G143)))*VLOOKUP("Dibond",#REF!,2,FALSE),""))</f>
        <v>#REF!</v>
      </c>
      <c r="AF143" s="91" t="e">
        <f>IF(D143="2 3D",F143*G143*VLOOKUP("3D ink",#REF!,2,FALSE),IF(D143="3 Canv",F143*G143*VLOOKUP("Canvas ink",#REF!,2,FALSE),""))</f>
        <v>#REF!</v>
      </c>
      <c r="AG143" s="91" t="e">
        <f>IF(D143="3 Canv",IF(E143="Roll","",ROUNDUP((SUM(F143:G143)*2)/3,"")*VLOOKUP("Staples",#REF!,2,FALSE)),"")</f>
        <v>#VALUE!</v>
      </c>
      <c r="AH143" s="91" t="e">
        <f>IF(AF143="","",(SUM(F143:G143)*2)*VLOOKUP(E143,#REF!,2,FALSE))</f>
        <v>#REF!</v>
      </c>
      <c r="AI143" s="18">
        <f t="shared" si="57"/>
        <v>16</v>
      </c>
      <c r="AJ143" s="91" t="e">
        <f>IF(AI143="","",AI143*VLOOKUP("Staples",#REF!,2,FALSE))</f>
        <v>#REF!</v>
      </c>
      <c r="AK143" s="18" t="e">
        <f t="shared" si="58"/>
        <v>#REF!</v>
      </c>
      <c r="AL143" s="91" t="e">
        <f>IF(AK143="","",AK143*VLOOKUP("Frame screw",#REF!,2,FALSE))</f>
        <v>#REF!</v>
      </c>
      <c r="AM143" s="18" t="e">
        <f t="shared" si="59"/>
        <v>#REF!</v>
      </c>
      <c r="AN143" s="91" t="e">
        <f>IF(AM143="","",AM143*VLOOKUP("D ring",#REF!,2,FALSE))</f>
        <v>#REF!</v>
      </c>
      <c r="AO143" s="18" t="e">
        <f t="shared" si="60"/>
        <v>#REF!</v>
      </c>
      <c r="AP143" s="91" t="e">
        <f>IF(AO143="","",IF(G143&gt;59,AO143* VLOOKUP("8 wire",#REF!,2,FALSE)*2,IF(G143&gt;39,AO143* VLOOKUP("8 wire",#REF!,2,FALSE),AO143* VLOOKUP("6 wire",#REF!,2,FALSE))))</f>
        <v>#REF!</v>
      </c>
      <c r="AQ143" s="18">
        <f t="shared" si="61"/>
        <v>4</v>
      </c>
      <c r="AR143" s="18" t="e">
        <f>IF(AQ143="","",AQ143*VLOOKUP("Pads",#REF!,2,FALSE))</f>
        <v>#REF!</v>
      </c>
      <c r="AS143" s="18">
        <f t="shared" si="62"/>
        <v>1</v>
      </c>
      <c r="AT143" s="91" t="e">
        <f>IF(AS143="","",AS143*VLOOKUP("4 mil bag",#REF!,2,FALSE))</f>
        <v>#REF!</v>
      </c>
      <c r="AU143" s="91">
        <f>IF(X143="","",IF(I143="N/A","",IF(I143="CNC",IF(G143&gt;37,20,10),VLOOKUP(I143,#REF!,2,FALSE))))</f>
        <v>20</v>
      </c>
      <c r="AV143" s="91" t="e">
        <f>IF(X143="","",IF(I143="CNC",VLOOKUP("Glue stick",#REF!,2,FALSE),""))</f>
        <v>#REF!</v>
      </c>
      <c r="AW143" s="91" t="e">
        <f>IF(X143="","",IF(I143="CNC",16*VLOOKUP("Box staples",#REF!,2,FALSE),""))</f>
        <v>#REF!</v>
      </c>
      <c r="AX143" s="18" t="e">
        <f>IF(X143="","",IF(I143="CNC",((((G143+6)+(F143+6))*2)+24)*VLOOKUP("sealing tape",#REF!,2,FALSE),VLOOKUP("Strapping tape",#REF!,2,FALSE)))</f>
        <v>#REF!</v>
      </c>
      <c r="AY143" s="17"/>
      <c r="AZ143" s="17"/>
      <c r="BA143" s="17"/>
      <c r="BB143" s="17"/>
      <c r="BC143" s="96"/>
      <c r="BD143" s="96"/>
      <c r="BE143" s="96"/>
      <c r="BF143" s="96"/>
      <c r="BG143" s="96"/>
      <c r="BH143" s="96"/>
      <c r="BI143" s="96"/>
    </row>
    <row r="144" spans="1:61" x14ac:dyDescent="0.45">
      <c r="A144" s="103" t="s">
        <v>432</v>
      </c>
      <c r="B144" s="17" t="s">
        <v>1211</v>
      </c>
      <c r="C144" s="16">
        <v>44601</v>
      </c>
      <c r="D144" s="17" t="s">
        <v>66</v>
      </c>
      <c r="E144" s="15" t="s">
        <v>1</v>
      </c>
      <c r="F144" s="17">
        <v>33</v>
      </c>
      <c r="G144" s="17">
        <v>50</v>
      </c>
      <c r="H144" s="3" t="s">
        <v>43</v>
      </c>
      <c r="I144" s="88" t="s">
        <v>41</v>
      </c>
      <c r="J144" s="87">
        <v>44622</v>
      </c>
      <c r="K144" s="15">
        <v>943.5</v>
      </c>
      <c r="L144" s="96">
        <v>60</v>
      </c>
      <c r="M144" s="89">
        <v>147.38</v>
      </c>
      <c r="N144" s="88">
        <v>25</v>
      </c>
      <c r="O144" s="413" t="str">
        <f t="shared" si="1"/>
        <v>33 x 50</v>
      </c>
      <c r="P144" s="18" t="str">
        <f t="shared" si="2"/>
        <v>35 x 52</v>
      </c>
      <c r="Q144" s="91" t="str">
        <f t="shared" si="3"/>
        <v>N/A</v>
      </c>
      <c r="R144" s="18" t="str">
        <f t="shared" si="4"/>
        <v>58 x 42 x 6</v>
      </c>
      <c r="S144" s="18">
        <v>58</v>
      </c>
      <c r="T144" s="18">
        <v>42</v>
      </c>
      <c r="U144" s="18">
        <v>6</v>
      </c>
      <c r="V144" s="18">
        <f t="shared" si="47"/>
        <v>145</v>
      </c>
      <c r="W144" s="287">
        <f t="shared" si="51"/>
        <v>2.4563333333333333</v>
      </c>
      <c r="X144" s="287" t="str">
        <f t="shared" si="52"/>
        <v>Yes</v>
      </c>
      <c r="Y144" s="93" t="e">
        <f t="shared" si="53"/>
        <v>#REF!</v>
      </c>
      <c r="Z144" s="288" t="e">
        <f t="shared" si="54"/>
        <v>#REF!</v>
      </c>
      <c r="AA144" s="94" t="e">
        <f t="shared" si="55"/>
        <v>#REF!</v>
      </c>
      <c r="AB144" s="288" t="e">
        <f t="shared" si="56"/>
        <v>#REF!</v>
      </c>
      <c r="AC144" s="91" t="e">
        <f>IF(X144="","",IF(D144="2 3D",((F144-0.5)*2+(G144-0.5)*2)*VLOOKUP("3D base",#REF!,2,FALSE),IF(D144="3 Canv", IF(E144="Roll",0,ROUND(SUM(F144:G144)*2,0)),0)*VLOOKUP("Stretcher Bar",#REF!,2,FALSE)))</f>
        <v>#REF!</v>
      </c>
      <c r="AD144" s="91" t="e">
        <f>IF(X144="","",IF(E144="Roll",0,IF(D144="2 3D",(SUM(F144:G144)*2)*VLOOKUP("3D epoxy",#REF!,2,FALSE),IF(D144="3 Canv",VLOOKUP("Wood glue",#REF!,2,FALSE),""))))</f>
        <v>#REF!</v>
      </c>
      <c r="AE144" s="91" t="e">
        <f>IF(D144="3 Canv",(((F144+5)*(G144+5)))*VLOOKUP("Canvas",#REF!,2,FALSE),IF(D144="2 3D",(((F144)*(G144)))*VLOOKUP("Dibond",#REF!,2,FALSE),""))</f>
        <v>#REF!</v>
      </c>
      <c r="AF144" s="91" t="e">
        <f>IF(D144="2 3D",F144*G144*VLOOKUP("3D ink",#REF!,2,FALSE),IF(D144="3 Canv",F144*G144*VLOOKUP("Canvas ink",#REF!,2,FALSE),""))</f>
        <v>#REF!</v>
      </c>
      <c r="AG144" s="91" t="e">
        <f>IF(D144="3 Canv",IF(E144="Roll","",ROUNDUP((SUM(F144:G144)*2)/3,"")*VLOOKUP("Staples",#REF!,2,FALSE)),"")</f>
        <v>#VALUE!</v>
      </c>
      <c r="AH144" s="91" t="e">
        <f>IF(AF144="","",(SUM(F144:G144)*2)*VLOOKUP(E144,#REF!,2,FALSE))</f>
        <v>#REF!</v>
      </c>
      <c r="AI144" s="18">
        <f t="shared" si="57"/>
        <v>44</v>
      </c>
      <c r="AJ144" s="91" t="e">
        <f>IF(AI144="","",AI144*VLOOKUP("Staples",#REF!,2,FALSE))</f>
        <v>#REF!</v>
      </c>
      <c r="AK144" s="18" t="e">
        <f t="shared" si="58"/>
        <v>#REF!</v>
      </c>
      <c r="AL144" s="91" t="e">
        <f>IF(AK144="","",AK144*VLOOKUP("Frame screw",#REF!,2,FALSE))</f>
        <v>#REF!</v>
      </c>
      <c r="AM144" s="18" t="e">
        <f t="shared" si="59"/>
        <v>#REF!</v>
      </c>
      <c r="AN144" s="91" t="e">
        <f>IF(AM144="","",AM144*VLOOKUP("D ring",#REF!,2,FALSE))</f>
        <v>#REF!</v>
      </c>
      <c r="AO144" s="18" t="e">
        <f t="shared" si="60"/>
        <v>#REF!</v>
      </c>
      <c r="AP144" s="91" t="e">
        <f>IF(AO144="","",IF(G144&gt;59,AO144* VLOOKUP("8 wire",#REF!,2,FALSE)*2,IF(G144&gt;39,AO144* VLOOKUP("8 wire",#REF!,2,FALSE),AO144* VLOOKUP("6 wire",#REF!,2,FALSE))))</f>
        <v>#REF!</v>
      </c>
      <c r="AQ144" s="18">
        <f t="shared" si="61"/>
        <v>4</v>
      </c>
      <c r="AR144" s="18" t="e">
        <f>IF(AQ144="","",AQ144*VLOOKUP("Pads",#REF!,2,FALSE))</f>
        <v>#REF!</v>
      </c>
      <c r="AS144" s="18">
        <f t="shared" si="62"/>
        <v>1</v>
      </c>
      <c r="AT144" s="91" t="e">
        <f>IF(AS144="","",AS144*VLOOKUP("4 mil bag",#REF!,2,FALSE))</f>
        <v>#REF!</v>
      </c>
      <c r="AU144" s="91">
        <f>IF(X144="","",IF(I144="N/A","",IF(I144="CNC",IF(G144&gt;37,20,10),VLOOKUP(I144,#REF!,2,FALSE))))</f>
        <v>20</v>
      </c>
      <c r="AV144" s="91" t="e">
        <f>IF(X144="","",IF(I144="CNC",VLOOKUP("Glue stick",#REF!,2,FALSE),""))</f>
        <v>#REF!</v>
      </c>
      <c r="AW144" s="91" t="e">
        <f>IF(X144="","",IF(I144="CNC",16*VLOOKUP("Box staples",#REF!,2,FALSE),""))</f>
        <v>#REF!</v>
      </c>
      <c r="AX144" s="18" t="e">
        <f>IF(X144="","",IF(I144="CNC",((((G144+6)+(F144+6))*2)+24)*VLOOKUP("sealing tape",#REF!,2,FALSE),VLOOKUP("Strapping tape",#REF!,2,FALSE)))</f>
        <v>#REF!</v>
      </c>
      <c r="AY144" s="17"/>
      <c r="AZ144" s="17"/>
      <c r="BA144" s="17"/>
      <c r="BB144" s="17"/>
      <c r="BC144" s="96"/>
      <c r="BD144" s="96"/>
      <c r="BE144" s="96"/>
      <c r="BF144" s="96"/>
      <c r="BG144" s="96"/>
      <c r="BH144" s="96"/>
      <c r="BI144" s="96"/>
    </row>
    <row r="145" spans="1:61" x14ac:dyDescent="0.45">
      <c r="A145" s="103" t="s">
        <v>933</v>
      </c>
      <c r="B145" s="17" t="s">
        <v>1215</v>
      </c>
      <c r="C145" s="16">
        <v>44602</v>
      </c>
      <c r="D145" s="17" t="s">
        <v>66</v>
      </c>
      <c r="E145" s="15" t="s">
        <v>50</v>
      </c>
      <c r="F145" s="17">
        <v>32</v>
      </c>
      <c r="G145" s="17">
        <v>44</v>
      </c>
      <c r="H145" s="3" t="s">
        <v>43</v>
      </c>
      <c r="I145" s="88" t="s">
        <v>41</v>
      </c>
      <c r="J145" s="87">
        <v>44623</v>
      </c>
      <c r="K145" s="15">
        <v>604</v>
      </c>
      <c r="L145" s="96">
        <v>40</v>
      </c>
      <c r="M145" s="89">
        <v>147.38</v>
      </c>
      <c r="N145" s="88">
        <v>16</v>
      </c>
      <c r="O145" s="413" t="str">
        <f t="shared" si="1"/>
        <v>32 x 44</v>
      </c>
      <c r="P145" s="18" t="str">
        <f t="shared" si="2"/>
        <v>32 x 44</v>
      </c>
      <c r="Q145" s="91" t="str">
        <f t="shared" si="3"/>
        <v>N/A</v>
      </c>
      <c r="R145" s="18" t="str">
        <f t="shared" si="4"/>
        <v>50 x 38 x 6</v>
      </c>
      <c r="S145" s="18">
        <v>50</v>
      </c>
      <c r="T145" s="18">
        <v>38</v>
      </c>
      <c r="U145" s="18">
        <v>6</v>
      </c>
      <c r="V145" s="18">
        <f t="shared" si="47"/>
        <v>137</v>
      </c>
      <c r="W145" s="287">
        <f t="shared" si="51"/>
        <v>3.6844999999999999</v>
      </c>
      <c r="X145" s="287" t="str">
        <f t="shared" si="52"/>
        <v>Yes</v>
      </c>
      <c r="Y145" s="93" t="e">
        <f t="shared" si="53"/>
        <v>#REF!</v>
      </c>
      <c r="Z145" s="288" t="e">
        <f t="shared" si="54"/>
        <v>#REF!</v>
      </c>
      <c r="AA145" s="94" t="e">
        <f t="shared" si="55"/>
        <v>#REF!</v>
      </c>
      <c r="AB145" s="288" t="e">
        <f t="shared" si="56"/>
        <v>#REF!</v>
      </c>
      <c r="AC145" s="91" t="e">
        <f>IF(X145="","",IF(D145="2 3D",((F145-0.5)*2+(G145-0.5)*2)*VLOOKUP("3D base",#REF!,2,FALSE),IF(D145="3 Canv", IF(E145="Roll",0,ROUND(SUM(F145:G145)*2,0)),0)*VLOOKUP("Stretcher Bar",#REF!,2,FALSE)))</f>
        <v>#REF!</v>
      </c>
      <c r="AD145" s="91" t="e">
        <f>IF(X145="","",IF(E145="Roll",0,IF(D145="2 3D",(SUM(F145:G145)*2)*VLOOKUP("3D epoxy",#REF!,2,FALSE),IF(D145="3 Canv",VLOOKUP("Wood glue",#REF!,2,FALSE),""))))</f>
        <v>#REF!</v>
      </c>
      <c r="AE145" s="91" t="e">
        <f>IF(D145="3 Canv",(((F145+5)*(G145+5)))*VLOOKUP("Canvas",#REF!,2,FALSE),IF(D145="2 3D",(((F145)*(G145)))*VLOOKUP("Dibond",#REF!,2,FALSE),""))</f>
        <v>#REF!</v>
      </c>
      <c r="AF145" s="91" t="e">
        <f>IF(D145="2 3D",F145*G145*VLOOKUP("3D ink",#REF!,2,FALSE),IF(D145="3 Canv",F145*G145*VLOOKUP("Canvas ink",#REF!,2,FALSE),""))</f>
        <v>#REF!</v>
      </c>
      <c r="AG145" s="91" t="e">
        <f>IF(D145="3 Canv",IF(E145="Roll","",ROUNDUP((SUM(F145:G145)*2)/3,"")*VLOOKUP("Staples",#REF!,2,FALSE)),"")</f>
        <v>#VALUE!</v>
      </c>
      <c r="AH145" s="91" t="e">
        <f>IF(AF145="","",(SUM(F145:G145)*2)*VLOOKUP(E145,#REF!,2,FALSE))</f>
        <v>#REF!</v>
      </c>
      <c r="AI145" s="18">
        <f t="shared" si="57"/>
        <v>16</v>
      </c>
      <c r="AJ145" s="91" t="e">
        <f>IF(AI145="","",AI145*VLOOKUP("Staples",#REF!,2,FALSE))</f>
        <v>#REF!</v>
      </c>
      <c r="AK145" s="18" t="e">
        <f t="shared" si="58"/>
        <v>#REF!</v>
      </c>
      <c r="AL145" s="91" t="e">
        <f>IF(AK145="","",AK145*VLOOKUP("Frame screw",#REF!,2,FALSE))</f>
        <v>#REF!</v>
      </c>
      <c r="AM145" s="18" t="e">
        <f t="shared" si="59"/>
        <v>#REF!</v>
      </c>
      <c r="AN145" s="91" t="e">
        <f>IF(AM145="","",AM145*VLOOKUP("D ring",#REF!,2,FALSE))</f>
        <v>#REF!</v>
      </c>
      <c r="AO145" s="18" t="e">
        <f t="shared" si="60"/>
        <v>#REF!</v>
      </c>
      <c r="AP145" s="91" t="e">
        <f>IF(AO145="","",IF(G145&gt;59,AO145* VLOOKUP("8 wire",#REF!,2,FALSE)*2,IF(G145&gt;39,AO145* VLOOKUP("8 wire",#REF!,2,FALSE),AO145* VLOOKUP("6 wire",#REF!,2,FALSE))))</f>
        <v>#REF!</v>
      </c>
      <c r="AQ145" s="18">
        <f t="shared" si="61"/>
        <v>4</v>
      </c>
      <c r="AR145" s="18" t="e">
        <f>IF(AQ145="","",AQ145*VLOOKUP("Pads",#REF!,2,FALSE))</f>
        <v>#REF!</v>
      </c>
      <c r="AS145" s="18">
        <f t="shared" si="62"/>
        <v>1</v>
      </c>
      <c r="AT145" s="91" t="e">
        <f>IF(AS145="","",AS145*VLOOKUP("4 mil bag",#REF!,2,FALSE))</f>
        <v>#REF!</v>
      </c>
      <c r="AU145" s="91">
        <f>IF(X145="","",IF(I145="N/A","",IF(I145="CNC",IF(G145&gt;37,20,10),VLOOKUP(I145,#REF!,2,FALSE))))</f>
        <v>20</v>
      </c>
      <c r="AV145" s="91" t="e">
        <f>IF(X145="","",IF(I145="CNC",VLOOKUP("Glue stick",#REF!,2,FALSE),""))</f>
        <v>#REF!</v>
      </c>
      <c r="AW145" s="91" t="e">
        <f>IF(X145="","",IF(I145="CNC",16*VLOOKUP("Box staples",#REF!,2,FALSE),""))</f>
        <v>#REF!</v>
      </c>
      <c r="AX145" s="18" t="e">
        <f>IF(X145="","",IF(I145="CNC",((((G145+6)+(F145+6))*2)+24)*VLOOKUP("sealing tape",#REF!,2,FALSE),VLOOKUP("Strapping tape",#REF!,2,FALSE)))</f>
        <v>#REF!</v>
      </c>
      <c r="AY145" s="17"/>
      <c r="AZ145" s="17"/>
      <c r="BA145" s="17"/>
      <c r="BB145" s="17"/>
      <c r="BC145" s="96"/>
      <c r="BD145" s="96"/>
      <c r="BE145" s="96"/>
      <c r="BF145" s="96"/>
      <c r="BG145" s="96"/>
      <c r="BH145" s="96"/>
      <c r="BI145" s="96"/>
    </row>
    <row r="146" spans="1:61" x14ac:dyDescent="0.45">
      <c r="A146" s="103" t="s">
        <v>991</v>
      </c>
      <c r="B146" s="17" t="s">
        <v>1214</v>
      </c>
      <c r="C146" s="16">
        <v>44602</v>
      </c>
      <c r="D146" s="17" t="s">
        <v>66</v>
      </c>
      <c r="E146" s="15" t="s">
        <v>51</v>
      </c>
      <c r="F146" s="17">
        <v>30</v>
      </c>
      <c r="G146" s="17">
        <v>43</v>
      </c>
      <c r="H146" s="3" t="s">
        <v>43</v>
      </c>
      <c r="I146" s="88" t="s">
        <v>41</v>
      </c>
      <c r="J146" s="87">
        <v>44623</v>
      </c>
      <c r="K146" s="15">
        <v>760.75</v>
      </c>
      <c r="L146" s="96">
        <v>45</v>
      </c>
      <c r="M146" s="89">
        <v>149.58000000000001</v>
      </c>
      <c r="N146" s="88">
        <v>21</v>
      </c>
      <c r="O146" s="413" t="str">
        <f t="shared" si="1"/>
        <v>30 x 43</v>
      </c>
      <c r="P146" s="18" t="str">
        <f t="shared" si="2"/>
        <v>32 x 45</v>
      </c>
      <c r="Q146" s="91" t="str">
        <f t="shared" si="3"/>
        <v>N/A</v>
      </c>
      <c r="R146" s="18" t="str">
        <f t="shared" si="4"/>
        <v>51 x 39 x 6</v>
      </c>
      <c r="S146" s="18">
        <v>51</v>
      </c>
      <c r="T146" s="18">
        <v>39</v>
      </c>
      <c r="U146" s="18">
        <v>6</v>
      </c>
      <c r="V146" s="18">
        <f t="shared" si="47"/>
        <v>132</v>
      </c>
      <c r="W146" s="287">
        <f t="shared" si="51"/>
        <v>3.3240000000000003</v>
      </c>
      <c r="X146" s="287" t="str">
        <f t="shared" si="52"/>
        <v>Yes</v>
      </c>
      <c r="Y146" s="93" t="e">
        <f t="shared" si="53"/>
        <v>#REF!</v>
      </c>
      <c r="Z146" s="288" t="e">
        <f t="shared" si="54"/>
        <v>#REF!</v>
      </c>
      <c r="AA146" s="94" t="e">
        <f t="shared" si="55"/>
        <v>#REF!</v>
      </c>
      <c r="AB146" s="288" t="e">
        <f t="shared" si="56"/>
        <v>#REF!</v>
      </c>
      <c r="AC146" s="91" t="e">
        <f>IF(X146="","",IF(D146="2 3D",((F146-0.5)*2+(G146-0.5)*2)*VLOOKUP("3D base",#REF!,2,FALSE),IF(D146="3 Canv", IF(E146="Roll",0,ROUND(SUM(F146:G146)*2,0)),0)*VLOOKUP("Stretcher Bar",#REF!,2,FALSE)))</f>
        <v>#REF!</v>
      </c>
      <c r="AD146" s="91" t="e">
        <f>IF(X146="","",IF(E146="Roll",0,IF(D146="2 3D",(SUM(F146:G146)*2)*VLOOKUP("3D epoxy",#REF!,2,FALSE),IF(D146="3 Canv",VLOOKUP("Wood glue",#REF!,2,FALSE),""))))</f>
        <v>#REF!</v>
      </c>
      <c r="AE146" s="91" t="e">
        <f>IF(D146="3 Canv",(((F146+5)*(G146+5)))*VLOOKUP("Canvas",#REF!,2,FALSE),IF(D146="2 3D",(((F146)*(G146)))*VLOOKUP("Dibond",#REF!,2,FALSE),""))</f>
        <v>#REF!</v>
      </c>
      <c r="AF146" s="91" t="e">
        <f>IF(D146="2 3D",F146*G146*VLOOKUP("3D ink",#REF!,2,FALSE),IF(D146="3 Canv",F146*G146*VLOOKUP("Canvas ink",#REF!,2,FALSE),""))</f>
        <v>#REF!</v>
      </c>
      <c r="AG146" s="91" t="e">
        <f>IF(D146="3 Canv",IF(E146="Roll","",ROUNDUP((SUM(F146:G146)*2)/3,"")*VLOOKUP("Staples",#REF!,2,FALSE)),"")</f>
        <v>#VALUE!</v>
      </c>
      <c r="AH146" s="91" t="e">
        <f>IF(AF146="","",(SUM(F146:G146)*2)*VLOOKUP(E146,#REF!,2,FALSE))</f>
        <v>#REF!</v>
      </c>
      <c r="AI146" s="18">
        <f t="shared" si="57"/>
        <v>44</v>
      </c>
      <c r="AJ146" s="91" t="e">
        <f>IF(AI146="","",AI146*VLOOKUP("Staples",#REF!,2,FALSE))</f>
        <v>#REF!</v>
      </c>
      <c r="AK146" s="18" t="e">
        <f t="shared" si="58"/>
        <v>#REF!</v>
      </c>
      <c r="AL146" s="91" t="e">
        <f>IF(AK146="","",AK146*VLOOKUP("Frame screw",#REF!,2,FALSE))</f>
        <v>#REF!</v>
      </c>
      <c r="AM146" s="18" t="e">
        <f t="shared" si="59"/>
        <v>#REF!</v>
      </c>
      <c r="AN146" s="91" t="e">
        <f>IF(AM146="","",AM146*VLOOKUP("D ring",#REF!,2,FALSE))</f>
        <v>#REF!</v>
      </c>
      <c r="AO146" s="18" t="e">
        <f t="shared" si="60"/>
        <v>#REF!</v>
      </c>
      <c r="AP146" s="91" t="e">
        <f>IF(AO146="","",IF(G146&gt;59,AO146* VLOOKUP("8 wire",#REF!,2,FALSE)*2,IF(G146&gt;39,AO146* VLOOKUP("8 wire",#REF!,2,FALSE),AO146* VLOOKUP("6 wire",#REF!,2,FALSE))))</f>
        <v>#REF!</v>
      </c>
      <c r="AQ146" s="18">
        <f t="shared" si="61"/>
        <v>4</v>
      </c>
      <c r="AR146" s="18" t="e">
        <f>IF(AQ146="","",AQ146*VLOOKUP("Pads",#REF!,2,FALSE))</f>
        <v>#REF!</v>
      </c>
      <c r="AS146" s="18">
        <f t="shared" si="62"/>
        <v>1</v>
      </c>
      <c r="AT146" s="91" t="e">
        <f>IF(AS146="","",AS146*VLOOKUP("4 mil bag",#REF!,2,FALSE))</f>
        <v>#REF!</v>
      </c>
      <c r="AU146" s="91">
        <f>IF(X146="","",IF(I146="N/A","",IF(I146="CNC",IF(G146&gt;37,20,10),VLOOKUP(I146,#REF!,2,FALSE))))</f>
        <v>20</v>
      </c>
      <c r="AV146" s="91" t="e">
        <f>IF(X146="","",IF(I146="CNC",VLOOKUP("Glue stick",#REF!,2,FALSE),""))</f>
        <v>#REF!</v>
      </c>
      <c r="AW146" s="91" t="e">
        <f>IF(X146="","",IF(I146="CNC",16*VLOOKUP("Box staples",#REF!,2,FALSE),""))</f>
        <v>#REF!</v>
      </c>
      <c r="AX146" s="18" t="e">
        <f>IF(X146="","",IF(I146="CNC",((((G146+6)+(F146+6))*2)+24)*VLOOKUP("sealing tape",#REF!,2,FALSE),VLOOKUP("Strapping tape",#REF!,2,FALSE)))</f>
        <v>#REF!</v>
      </c>
      <c r="AY146" s="17"/>
      <c r="AZ146" s="17"/>
      <c r="BA146" s="17"/>
      <c r="BB146" s="17"/>
      <c r="BC146" s="96"/>
      <c r="BD146" s="96"/>
      <c r="BE146" s="96"/>
      <c r="BF146" s="96"/>
      <c r="BG146" s="96"/>
      <c r="BH146" s="96"/>
      <c r="BI146" s="96"/>
    </row>
    <row r="147" spans="1:61" x14ac:dyDescent="0.45">
      <c r="A147" s="103" t="s">
        <v>1217</v>
      </c>
      <c r="B147" s="17" t="s">
        <v>2440</v>
      </c>
      <c r="C147" s="16">
        <v>44603</v>
      </c>
      <c r="D147" s="17" t="s">
        <v>54</v>
      </c>
      <c r="E147" s="15" t="s">
        <v>1</v>
      </c>
      <c r="F147" s="17">
        <v>11</v>
      </c>
      <c r="G147" s="17">
        <v>14</v>
      </c>
      <c r="H147" s="3" t="s">
        <v>43</v>
      </c>
      <c r="I147" s="88" t="s">
        <v>41</v>
      </c>
      <c r="J147" s="87">
        <v>44624</v>
      </c>
      <c r="K147" s="15">
        <v>950</v>
      </c>
      <c r="L147" s="96">
        <v>0</v>
      </c>
      <c r="M147" s="89">
        <v>10.01</v>
      </c>
      <c r="N147" s="88">
        <v>8</v>
      </c>
      <c r="O147" s="413" t="str">
        <f t="shared" si="1"/>
        <v>11 x 14</v>
      </c>
      <c r="P147" s="18" t="str">
        <f t="shared" si="2"/>
        <v>13 x 16</v>
      </c>
      <c r="Q147" s="91" t="str">
        <f t="shared" si="3"/>
        <v>N/A</v>
      </c>
      <c r="R147" s="18" t="str">
        <f t="shared" si="4"/>
        <v>22 x 20 x 6</v>
      </c>
      <c r="S147" s="18">
        <v>22</v>
      </c>
      <c r="T147" s="18">
        <v>20</v>
      </c>
      <c r="U147" s="18">
        <v>6</v>
      </c>
      <c r="V147" s="18">
        <f t="shared" si="47"/>
        <v>65</v>
      </c>
      <c r="W147" s="287" t="str">
        <f t="shared" si="51"/>
        <v/>
      </c>
      <c r="X147" s="287" t="str">
        <f t="shared" si="52"/>
        <v>Yes</v>
      </c>
      <c r="Y147" s="93" t="e">
        <f t="shared" si="53"/>
        <v>#REF!</v>
      </c>
      <c r="Z147" s="288" t="e">
        <f t="shared" si="54"/>
        <v>#REF!</v>
      </c>
      <c r="AA147" s="94" t="e">
        <f t="shared" si="55"/>
        <v>#REF!</v>
      </c>
      <c r="AB147" s="288" t="e">
        <f t="shared" si="56"/>
        <v>#REF!</v>
      </c>
      <c r="AC147" s="91" t="e">
        <f>IF(X147="","",IF(D147="2 3D",((F147-0.5)*2+(G147-0.5)*2)*VLOOKUP("3D base",#REF!,2,FALSE),IF(D147="3 Canv", IF(E147="Roll",0,ROUND(SUM(F147:G147)*2,0)),0)*VLOOKUP("Stretcher Bar",#REF!,2,FALSE)))</f>
        <v>#REF!</v>
      </c>
      <c r="AD147" s="91" t="e">
        <f>IF(X147="","",IF(E147="Roll",0,IF(D147="2 3D",(SUM(F147:G147)*2)*VLOOKUP("3D epoxy",#REF!,2,FALSE),IF(D147="3 Canv",VLOOKUP("Wood glue",#REF!,2,FALSE),""))))</f>
        <v>#REF!</v>
      </c>
      <c r="AE147" s="91" t="e">
        <f>IF(D147="3 Canv",(((F147+5)*(G147+5)))*VLOOKUP("Canvas",#REF!,2,FALSE),IF(D147="2 3D",(((F147)*(G147)))*VLOOKUP("Dibond",#REF!,2,FALSE),""))</f>
        <v>#REF!</v>
      </c>
      <c r="AF147" s="91" t="e">
        <f>IF(D147="2 3D",F147*G147*VLOOKUP("3D ink",#REF!,2,FALSE),IF(D147="3 Canv",F147*G147*VLOOKUP("Canvas ink",#REF!,2,FALSE),""))</f>
        <v>#REF!</v>
      </c>
      <c r="AG147" s="91" t="str">
        <f>IF(D147="3 Canv",IF(E147="Roll","",ROUNDUP((SUM(F147:G147)*2)/3,"")*VLOOKUP("Staples",#REF!,2,FALSE)),"")</f>
        <v/>
      </c>
      <c r="AH147" s="91" t="e">
        <f>IF(AF147="","",(SUM(F147:G147)*2)*VLOOKUP(E147,#REF!,2,FALSE))</f>
        <v>#REF!</v>
      </c>
      <c r="AI147" s="18">
        <f t="shared" si="57"/>
        <v>44</v>
      </c>
      <c r="AJ147" s="91" t="e">
        <f>IF(AI147="","",AI147*VLOOKUP("Staples",#REF!,2,FALSE))</f>
        <v>#REF!</v>
      </c>
      <c r="AK147" s="18" t="e">
        <f t="shared" si="58"/>
        <v>#REF!</v>
      </c>
      <c r="AL147" s="91" t="e">
        <f>IF(AK147="","",AK147*VLOOKUP("Frame screw",#REF!,2,FALSE))</f>
        <v>#REF!</v>
      </c>
      <c r="AM147" s="18" t="e">
        <f t="shared" si="59"/>
        <v>#REF!</v>
      </c>
      <c r="AN147" s="91" t="e">
        <f>IF(AM147="","",AM147*VLOOKUP("D ring",#REF!,2,FALSE))</f>
        <v>#REF!</v>
      </c>
      <c r="AO147" s="18" t="e">
        <f t="shared" si="60"/>
        <v>#REF!</v>
      </c>
      <c r="AP147" s="91" t="e">
        <f>IF(AO147="","",IF(G147&gt;59,AO147* VLOOKUP("8 wire",#REF!,2,FALSE)*2,IF(G147&gt;39,AO147* VLOOKUP("8 wire",#REF!,2,FALSE),AO147* VLOOKUP("6 wire",#REF!,2,FALSE))))</f>
        <v>#REF!</v>
      </c>
      <c r="AQ147" s="18">
        <f t="shared" si="61"/>
        <v>4</v>
      </c>
      <c r="AR147" s="18" t="e">
        <f>IF(AQ147="","",AQ147*VLOOKUP("Pads",#REF!,2,FALSE))</f>
        <v>#REF!</v>
      </c>
      <c r="AS147" s="18">
        <f t="shared" si="62"/>
        <v>1</v>
      </c>
      <c r="AT147" s="91" t="e">
        <f>IF(AS147="","",AS147*VLOOKUP("4 mil bag",#REF!,2,FALSE))</f>
        <v>#REF!</v>
      </c>
      <c r="AU147" s="91">
        <f>IF(X147="","",IF(I147="N/A","",IF(I147="CNC",IF(G147&gt;37,20,10),VLOOKUP(I147,#REF!,2,FALSE))))</f>
        <v>10</v>
      </c>
      <c r="AV147" s="91" t="e">
        <f>IF(X147="","",IF(I147="CNC",VLOOKUP("Glue stick",#REF!,2,FALSE),""))</f>
        <v>#REF!</v>
      </c>
      <c r="AW147" s="91" t="e">
        <f>IF(X147="","",IF(I147="CNC",16*VLOOKUP("Box staples",#REF!,2,FALSE),""))</f>
        <v>#REF!</v>
      </c>
      <c r="AX147" s="18" t="e">
        <f>IF(X147="","",IF(I147="CNC",((((G147+6)+(F147+6))*2)+24)*VLOOKUP("sealing tape",#REF!,2,FALSE),VLOOKUP("Strapping tape",#REF!,2,FALSE)))</f>
        <v>#REF!</v>
      </c>
      <c r="AY147" s="17"/>
      <c r="AZ147" s="17"/>
      <c r="BA147" s="17"/>
      <c r="BB147" s="17"/>
      <c r="BC147" s="96"/>
      <c r="BD147" s="96"/>
      <c r="BE147" s="96"/>
      <c r="BF147" s="96"/>
      <c r="BG147" s="96"/>
      <c r="BH147" s="96"/>
      <c r="BI147" s="96"/>
    </row>
    <row r="148" spans="1:61" x14ac:dyDescent="0.45">
      <c r="A148" s="103" t="s">
        <v>1216</v>
      </c>
      <c r="B148" s="17" t="s">
        <v>2460</v>
      </c>
      <c r="C148" s="16">
        <v>44603</v>
      </c>
      <c r="D148" s="17" t="s">
        <v>66</v>
      </c>
      <c r="E148" s="15" t="s">
        <v>50</v>
      </c>
      <c r="F148" s="17">
        <v>24</v>
      </c>
      <c r="G148" s="17">
        <v>37</v>
      </c>
      <c r="H148" s="3" t="s">
        <v>43</v>
      </c>
      <c r="I148" s="88" t="s">
        <v>41</v>
      </c>
      <c r="J148" s="87">
        <v>44624</v>
      </c>
      <c r="K148" s="15">
        <v>545</v>
      </c>
      <c r="L148" s="96">
        <v>0</v>
      </c>
      <c r="M148" s="89">
        <v>21.75</v>
      </c>
      <c r="N148" s="88">
        <v>12</v>
      </c>
      <c r="O148" s="413" t="str">
        <f t="shared" si="1"/>
        <v>24 x 37</v>
      </c>
      <c r="P148" s="18" t="str">
        <f t="shared" si="2"/>
        <v>24 x 37</v>
      </c>
      <c r="Q148" s="91" t="str">
        <f t="shared" si="3"/>
        <v>N/A</v>
      </c>
      <c r="R148" s="18" t="str">
        <f t="shared" si="4"/>
        <v>43 x 30 x 6</v>
      </c>
      <c r="S148" s="18">
        <v>43</v>
      </c>
      <c r="T148" s="18">
        <v>30</v>
      </c>
      <c r="U148" s="18">
        <v>6</v>
      </c>
      <c r="V148" s="18">
        <f t="shared" si="47"/>
        <v>114</v>
      </c>
      <c r="W148" s="287" t="str">
        <f t="shared" si="51"/>
        <v/>
      </c>
      <c r="X148" s="287" t="str">
        <f t="shared" si="52"/>
        <v>Yes</v>
      </c>
      <c r="Y148" s="93" t="e">
        <f t="shared" si="53"/>
        <v>#REF!</v>
      </c>
      <c r="Z148" s="288" t="e">
        <f t="shared" si="54"/>
        <v>#REF!</v>
      </c>
      <c r="AA148" s="94" t="e">
        <f t="shared" si="55"/>
        <v>#REF!</v>
      </c>
      <c r="AB148" s="288" t="e">
        <f t="shared" si="56"/>
        <v>#REF!</v>
      </c>
      <c r="AC148" s="91" t="e">
        <f>IF(X148="","",IF(D148="2 3D",((F148-0.5)*2+(G148-0.5)*2)*VLOOKUP("3D base",#REF!,2,FALSE),IF(D148="3 Canv", IF(E148="Roll",0,ROUND(SUM(F148:G148)*2,0)),0)*VLOOKUP("Stretcher Bar",#REF!,2,FALSE)))</f>
        <v>#REF!</v>
      </c>
      <c r="AD148" s="91" t="e">
        <f>IF(X148="","",IF(E148="Roll",0,IF(D148="2 3D",(SUM(F148:G148)*2)*VLOOKUP("3D epoxy",#REF!,2,FALSE),IF(D148="3 Canv",VLOOKUP("Wood glue",#REF!,2,FALSE),""))))</f>
        <v>#REF!</v>
      </c>
      <c r="AE148" s="91" t="e">
        <f>IF(D148="3 Canv",(((F148+5)*(G148+5)))*VLOOKUP("Canvas",#REF!,2,FALSE),IF(D148="2 3D",(((F148)*(G148)))*VLOOKUP("Dibond",#REF!,2,FALSE),""))</f>
        <v>#REF!</v>
      </c>
      <c r="AF148" s="91" t="e">
        <f>IF(D148="2 3D",F148*G148*VLOOKUP("3D ink",#REF!,2,FALSE),IF(D148="3 Canv",F148*G148*VLOOKUP("Canvas ink",#REF!,2,FALSE),""))</f>
        <v>#REF!</v>
      </c>
      <c r="AG148" s="91" t="e">
        <f>IF(D148="3 Canv",IF(E148="Roll","",ROUNDUP((SUM(F148:G148)*2)/3,"")*VLOOKUP("Staples",#REF!,2,FALSE)),"")</f>
        <v>#VALUE!</v>
      </c>
      <c r="AH148" s="91" t="e">
        <f>IF(AF148="","",(SUM(F148:G148)*2)*VLOOKUP(E148,#REF!,2,FALSE))</f>
        <v>#REF!</v>
      </c>
      <c r="AI148" s="18">
        <f t="shared" si="57"/>
        <v>16</v>
      </c>
      <c r="AJ148" s="91" t="e">
        <f>IF(AI148="","",AI148*VLOOKUP("Staples",#REF!,2,FALSE))</f>
        <v>#REF!</v>
      </c>
      <c r="AK148" s="18" t="e">
        <f t="shared" si="58"/>
        <v>#REF!</v>
      </c>
      <c r="AL148" s="91" t="e">
        <f>IF(AK148="","",AK148*VLOOKUP("Frame screw",#REF!,2,FALSE))</f>
        <v>#REF!</v>
      </c>
      <c r="AM148" s="18" t="e">
        <f t="shared" si="59"/>
        <v>#REF!</v>
      </c>
      <c r="AN148" s="91" t="e">
        <f>IF(AM148="","",AM148*VLOOKUP("D ring",#REF!,2,FALSE))</f>
        <v>#REF!</v>
      </c>
      <c r="AO148" s="18" t="e">
        <f t="shared" si="60"/>
        <v>#REF!</v>
      </c>
      <c r="AP148" s="91" t="e">
        <f>IF(AO148="","",IF(G148&gt;59,AO148* VLOOKUP("8 wire",#REF!,2,FALSE)*2,IF(G148&gt;39,AO148* VLOOKUP("8 wire",#REF!,2,FALSE),AO148* VLOOKUP("6 wire",#REF!,2,FALSE))))</f>
        <v>#REF!</v>
      </c>
      <c r="AQ148" s="18">
        <f t="shared" si="61"/>
        <v>4</v>
      </c>
      <c r="AR148" s="18" t="e">
        <f>IF(AQ148="","",AQ148*VLOOKUP("Pads",#REF!,2,FALSE))</f>
        <v>#REF!</v>
      </c>
      <c r="AS148" s="18">
        <f t="shared" si="62"/>
        <v>1</v>
      </c>
      <c r="AT148" s="91" t="e">
        <f>IF(AS148="","",AS148*VLOOKUP("4 mil bag",#REF!,2,FALSE))</f>
        <v>#REF!</v>
      </c>
      <c r="AU148" s="91">
        <f>IF(X148="","",IF(I148="N/A","",IF(I148="CNC",IF(G148&gt;37,20,10),VLOOKUP(I148,#REF!,2,FALSE))))</f>
        <v>10</v>
      </c>
      <c r="AV148" s="91" t="e">
        <f>IF(X148="","",IF(I148="CNC",VLOOKUP("Glue stick",#REF!,2,FALSE),""))</f>
        <v>#REF!</v>
      </c>
      <c r="AW148" s="91" t="e">
        <f>IF(X148="","",IF(I148="CNC",16*VLOOKUP("Box staples",#REF!,2,FALSE),""))</f>
        <v>#REF!</v>
      </c>
      <c r="AX148" s="18" t="e">
        <f>IF(X148="","",IF(I148="CNC",((((G148+6)+(F148+6))*2)+24)*VLOOKUP("sealing tape",#REF!,2,FALSE),VLOOKUP("Strapping tape",#REF!,2,FALSE)))</f>
        <v>#REF!</v>
      </c>
      <c r="AY148" s="17"/>
      <c r="AZ148" s="17"/>
      <c r="BA148" s="17"/>
      <c r="BB148" s="17"/>
      <c r="BC148" s="96"/>
      <c r="BD148" s="96"/>
      <c r="BE148" s="96"/>
      <c r="BF148" s="96"/>
      <c r="BG148" s="96"/>
      <c r="BH148" s="96"/>
      <c r="BI148" s="96"/>
    </row>
    <row r="149" spans="1:61" x14ac:dyDescent="0.45">
      <c r="A149" s="103" t="s">
        <v>606</v>
      </c>
      <c r="B149" s="17" t="s">
        <v>2478</v>
      </c>
      <c r="C149" s="16">
        <v>44604</v>
      </c>
      <c r="D149" s="17" t="s">
        <v>66</v>
      </c>
      <c r="E149" s="15" t="s">
        <v>50</v>
      </c>
      <c r="F149" s="17">
        <v>34</v>
      </c>
      <c r="G149" s="17">
        <v>35</v>
      </c>
      <c r="H149" s="3" t="s">
        <v>43</v>
      </c>
      <c r="I149" s="88" t="s">
        <v>41</v>
      </c>
      <c r="J149" s="87">
        <v>44625</v>
      </c>
      <c r="K149" s="15">
        <v>660</v>
      </c>
      <c r="L149" s="96">
        <v>35</v>
      </c>
      <c r="M149" s="89">
        <v>104.78</v>
      </c>
      <c r="N149" s="88">
        <v>14</v>
      </c>
      <c r="O149" s="413" t="str">
        <f t="shared" si="1"/>
        <v>34 x 35</v>
      </c>
      <c r="P149" s="18" t="str">
        <f t="shared" si="2"/>
        <v>34 x 35</v>
      </c>
      <c r="Q149" s="91" t="str">
        <f t="shared" si="3"/>
        <v>N/A</v>
      </c>
      <c r="R149" s="18" t="str">
        <f t="shared" si="4"/>
        <v>41 x 40 x 6</v>
      </c>
      <c r="S149" s="18">
        <v>41</v>
      </c>
      <c r="T149" s="18">
        <v>40</v>
      </c>
      <c r="U149" s="18">
        <v>6</v>
      </c>
      <c r="V149" s="18">
        <f t="shared" si="47"/>
        <v>132</v>
      </c>
      <c r="W149" s="287">
        <f t="shared" si="51"/>
        <v>2.9937142857142858</v>
      </c>
      <c r="X149" s="287" t="str">
        <f t="shared" si="52"/>
        <v>Yes</v>
      </c>
      <c r="Y149" s="93" t="e">
        <f t="shared" si="53"/>
        <v>#REF!</v>
      </c>
      <c r="Z149" s="288" t="e">
        <f t="shared" si="54"/>
        <v>#REF!</v>
      </c>
      <c r="AA149" s="94" t="e">
        <f t="shared" si="55"/>
        <v>#REF!</v>
      </c>
      <c r="AB149" s="288" t="e">
        <f t="shared" si="56"/>
        <v>#REF!</v>
      </c>
      <c r="AC149" s="91" t="e">
        <f>IF(X149="","",IF(D149="2 3D",((F149-0.5)*2+(G149-0.5)*2)*VLOOKUP("3D base",#REF!,2,FALSE),IF(D149="3 Canv", IF(E149="Roll",0,ROUND(SUM(F149:G149)*2,0)),0)*VLOOKUP("Stretcher Bar",#REF!,2,FALSE)))</f>
        <v>#REF!</v>
      </c>
      <c r="AD149" s="91" t="e">
        <f>IF(X149="","",IF(E149="Roll",0,IF(D149="2 3D",(SUM(F149:G149)*2)*VLOOKUP("3D epoxy",#REF!,2,FALSE),IF(D149="3 Canv",VLOOKUP("Wood glue",#REF!,2,FALSE),""))))</f>
        <v>#REF!</v>
      </c>
      <c r="AE149" s="91" t="e">
        <f>IF(D149="3 Canv",(((F149+5)*(G149+5)))*VLOOKUP("Canvas",#REF!,2,FALSE),IF(D149="2 3D",(((F149)*(G149)))*VLOOKUP("Dibond",#REF!,2,FALSE),""))</f>
        <v>#REF!</v>
      </c>
      <c r="AF149" s="91" t="e">
        <f>IF(D149="2 3D",F149*G149*VLOOKUP("3D ink",#REF!,2,FALSE),IF(D149="3 Canv",F149*G149*VLOOKUP("Canvas ink",#REF!,2,FALSE),""))</f>
        <v>#REF!</v>
      </c>
      <c r="AG149" s="91" t="e">
        <f>IF(D149="3 Canv",IF(E149="Roll","",ROUNDUP((SUM(F149:G149)*2)/3,"")*VLOOKUP("Staples",#REF!,2,FALSE)),"")</f>
        <v>#VALUE!</v>
      </c>
      <c r="AH149" s="91" t="e">
        <f>IF(AF149="","",(SUM(F149:G149)*2)*VLOOKUP(E149,#REF!,2,FALSE))</f>
        <v>#REF!</v>
      </c>
      <c r="AI149" s="18">
        <f t="shared" si="57"/>
        <v>16</v>
      </c>
      <c r="AJ149" s="91" t="e">
        <f>IF(AI149="","",AI149*VLOOKUP("Staples",#REF!,2,FALSE))</f>
        <v>#REF!</v>
      </c>
      <c r="AK149" s="18" t="e">
        <f t="shared" si="58"/>
        <v>#REF!</v>
      </c>
      <c r="AL149" s="91" t="e">
        <f>IF(AK149="","",AK149*VLOOKUP("Frame screw",#REF!,2,FALSE))</f>
        <v>#REF!</v>
      </c>
      <c r="AM149" s="18" t="e">
        <f t="shared" si="59"/>
        <v>#REF!</v>
      </c>
      <c r="AN149" s="91" t="e">
        <f>IF(AM149="","",AM149*VLOOKUP("D ring",#REF!,2,FALSE))</f>
        <v>#REF!</v>
      </c>
      <c r="AO149" s="18" t="e">
        <f t="shared" si="60"/>
        <v>#REF!</v>
      </c>
      <c r="AP149" s="91" t="e">
        <f>IF(AO149="","",IF(G149&gt;59,AO149* VLOOKUP("8 wire",#REF!,2,FALSE)*2,IF(G149&gt;39,AO149* VLOOKUP("8 wire",#REF!,2,FALSE),AO149* VLOOKUP("6 wire",#REF!,2,FALSE))))</f>
        <v>#REF!</v>
      </c>
      <c r="AQ149" s="18">
        <f t="shared" si="61"/>
        <v>4</v>
      </c>
      <c r="AR149" s="18" t="e">
        <f>IF(AQ149="","",AQ149*VLOOKUP("Pads",#REF!,2,FALSE))</f>
        <v>#REF!</v>
      </c>
      <c r="AS149" s="18">
        <f t="shared" si="62"/>
        <v>1</v>
      </c>
      <c r="AT149" s="91" t="e">
        <f>IF(AS149="","",AS149*VLOOKUP("4 mil bag",#REF!,2,FALSE))</f>
        <v>#REF!</v>
      </c>
      <c r="AU149" s="91">
        <f>IF(X149="","",IF(I149="N/A","",IF(I149="CNC",IF(G149&gt;37,20,10),VLOOKUP(I149,#REF!,2,FALSE))))</f>
        <v>10</v>
      </c>
      <c r="AV149" s="91" t="e">
        <f>IF(X149="","",IF(I149="CNC",VLOOKUP("Glue stick",#REF!,2,FALSE),""))</f>
        <v>#REF!</v>
      </c>
      <c r="AW149" s="91" t="e">
        <f>IF(X149="","",IF(I149="CNC",16*VLOOKUP("Box staples",#REF!,2,FALSE),""))</f>
        <v>#REF!</v>
      </c>
      <c r="AX149" s="18" t="e">
        <f>IF(X149="","",IF(I149="CNC",((((G149+6)+(F149+6))*2)+24)*VLOOKUP("sealing tape",#REF!,2,FALSE),VLOOKUP("Strapping tape",#REF!,2,FALSE)))</f>
        <v>#REF!</v>
      </c>
      <c r="AY149" s="17"/>
      <c r="AZ149" s="17"/>
      <c r="BA149" s="17"/>
      <c r="BB149" s="17"/>
      <c r="BC149" s="96"/>
      <c r="BD149" s="96"/>
      <c r="BE149" s="96"/>
      <c r="BF149" s="96"/>
      <c r="BG149" s="96"/>
      <c r="BH149" s="96"/>
      <c r="BI149" s="96"/>
    </row>
    <row r="150" spans="1:61" x14ac:dyDescent="0.45">
      <c r="A150" s="103" t="s">
        <v>1221</v>
      </c>
      <c r="B150" s="17" t="s">
        <v>840</v>
      </c>
      <c r="C150" s="16">
        <v>44606</v>
      </c>
      <c r="D150" s="17" t="s">
        <v>66</v>
      </c>
      <c r="E150" s="15" t="s">
        <v>50</v>
      </c>
      <c r="F150" s="17">
        <v>16</v>
      </c>
      <c r="G150" s="17">
        <v>24</v>
      </c>
      <c r="H150" s="3" t="s">
        <v>43</v>
      </c>
      <c r="I150" s="88" t="s">
        <v>41</v>
      </c>
      <c r="J150" s="87">
        <v>44625</v>
      </c>
      <c r="K150" s="15">
        <v>344</v>
      </c>
      <c r="L150" s="96">
        <v>25</v>
      </c>
      <c r="M150" s="89">
        <v>17.28</v>
      </c>
      <c r="N150" s="88">
        <v>8</v>
      </c>
      <c r="O150" s="413" t="str">
        <f t="shared" si="1"/>
        <v>16 x 24</v>
      </c>
      <c r="P150" s="18" t="str">
        <f t="shared" si="2"/>
        <v>16 x 24</v>
      </c>
      <c r="Q150" s="91" t="str">
        <f t="shared" si="3"/>
        <v>N/A</v>
      </c>
      <c r="R150" s="18" t="str">
        <f t="shared" si="4"/>
        <v>30 x 22 x 6</v>
      </c>
      <c r="S150" s="18">
        <v>30</v>
      </c>
      <c r="T150" s="18">
        <v>22</v>
      </c>
      <c r="U150" s="18">
        <v>6</v>
      </c>
      <c r="V150" s="18">
        <f t="shared" si="47"/>
        <v>85</v>
      </c>
      <c r="W150" s="287">
        <f t="shared" si="51"/>
        <v>0.69120000000000004</v>
      </c>
      <c r="X150" s="287" t="str">
        <f t="shared" si="52"/>
        <v>Yes</v>
      </c>
      <c r="Y150" s="93" t="e">
        <f t="shared" si="53"/>
        <v>#REF!</v>
      </c>
      <c r="Z150" s="288" t="e">
        <f t="shared" si="54"/>
        <v>#REF!</v>
      </c>
      <c r="AA150" s="94" t="e">
        <f t="shared" si="55"/>
        <v>#REF!</v>
      </c>
      <c r="AB150" s="288" t="e">
        <f t="shared" si="56"/>
        <v>#REF!</v>
      </c>
      <c r="AC150" s="91" t="e">
        <f>IF(X150="","",IF(D150="2 3D",((F150-0.5)*2+(G150-0.5)*2)*VLOOKUP("3D base",#REF!,2,FALSE),IF(D150="3 Canv", IF(E150="Roll",0,ROUND(SUM(F150:G150)*2,0)),0)*VLOOKUP("Stretcher Bar",#REF!,2,FALSE)))</f>
        <v>#REF!</v>
      </c>
      <c r="AD150" s="91" t="e">
        <f>IF(X150="","",IF(E150="Roll",0,IF(D150="2 3D",(SUM(F150:G150)*2)*VLOOKUP("3D epoxy",#REF!,2,FALSE),IF(D150="3 Canv",VLOOKUP("Wood glue",#REF!,2,FALSE),""))))</f>
        <v>#REF!</v>
      </c>
      <c r="AE150" s="91" t="e">
        <f>IF(D150="3 Canv",(((F150+5)*(G150+5)))*VLOOKUP("Canvas",#REF!,2,FALSE),IF(D150="2 3D",(((F150)*(G150)))*VLOOKUP("Dibond",#REF!,2,FALSE),""))</f>
        <v>#REF!</v>
      </c>
      <c r="AF150" s="91" t="e">
        <f>IF(D150="2 3D",F150*G150*VLOOKUP("3D ink",#REF!,2,FALSE),IF(D150="3 Canv",F150*G150*VLOOKUP("Canvas ink",#REF!,2,FALSE),""))</f>
        <v>#REF!</v>
      </c>
      <c r="AG150" s="91" t="e">
        <f>IF(D150="3 Canv",IF(E150="Roll","",ROUNDUP((SUM(F150:G150)*2)/3,"")*VLOOKUP("Staples",#REF!,2,FALSE)),"")</f>
        <v>#VALUE!</v>
      </c>
      <c r="AH150" s="91" t="e">
        <f>IF(AF150="","",(SUM(F150:G150)*2)*VLOOKUP(E150,#REF!,2,FALSE))</f>
        <v>#REF!</v>
      </c>
      <c r="AI150" s="18">
        <f t="shared" si="57"/>
        <v>16</v>
      </c>
      <c r="AJ150" s="91" t="e">
        <f>IF(AI150="","",AI150*VLOOKUP("Staples",#REF!,2,FALSE))</f>
        <v>#REF!</v>
      </c>
      <c r="AK150" s="18" t="e">
        <f t="shared" si="58"/>
        <v>#REF!</v>
      </c>
      <c r="AL150" s="91" t="e">
        <f>IF(AK150="","",AK150*VLOOKUP("Frame screw",#REF!,2,FALSE))</f>
        <v>#REF!</v>
      </c>
      <c r="AM150" s="18" t="e">
        <f t="shared" si="59"/>
        <v>#REF!</v>
      </c>
      <c r="AN150" s="91" t="e">
        <f>IF(AM150="","",AM150*VLOOKUP("D ring",#REF!,2,FALSE))</f>
        <v>#REF!</v>
      </c>
      <c r="AO150" s="18" t="e">
        <f t="shared" si="60"/>
        <v>#REF!</v>
      </c>
      <c r="AP150" s="91" t="e">
        <f>IF(AO150="","",IF(G150&gt;59,AO150* VLOOKUP("8 wire",#REF!,2,FALSE)*2,IF(G150&gt;39,AO150* VLOOKUP("8 wire",#REF!,2,FALSE),AO150* VLOOKUP("6 wire",#REF!,2,FALSE))))</f>
        <v>#REF!</v>
      </c>
      <c r="AQ150" s="18">
        <f t="shared" si="61"/>
        <v>4</v>
      </c>
      <c r="AR150" s="18" t="e">
        <f>IF(AQ150="","",AQ150*VLOOKUP("Pads",#REF!,2,FALSE))</f>
        <v>#REF!</v>
      </c>
      <c r="AS150" s="18">
        <f t="shared" si="62"/>
        <v>1</v>
      </c>
      <c r="AT150" s="91" t="e">
        <f>IF(AS150="","",AS150*VLOOKUP("4 mil bag",#REF!,2,FALSE))</f>
        <v>#REF!</v>
      </c>
      <c r="AU150" s="91">
        <f>IF(X150="","",IF(I150="N/A","",IF(I150="CNC",IF(G150&gt;37,20,10),VLOOKUP(I150,#REF!,2,FALSE))))</f>
        <v>10</v>
      </c>
      <c r="AV150" s="91" t="e">
        <f>IF(X150="","",IF(I150="CNC",VLOOKUP("Glue stick",#REF!,2,FALSE),""))</f>
        <v>#REF!</v>
      </c>
      <c r="AW150" s="91" t="e">
        <f>IF(X150="","",IF(I150="CNC",16*VLOOKUP("Box staples",#REF!,2,FALSE),""))</f>
        <v>#REF!</v>
      </c>
      <c r="AX150" s="18" t="e">
        <f>IF(X150="","",IF(I150="CNC",((((G150+6)+(F150+6))*2)+24)*VLOOKUP("sealing tape",#REF!,2,FALSE),VLOOKUP("Strapping tape",#REF!,2,FALSE)))</f>
        <v>#REF!</v>
      </c>
      <c r="AY150" s="17"/>
      <c r="AZ150" s="17"/>
      <c r="BA150" s="17"/>
      <c r="BB150" s="17"/>
      <c r="BC150" s="96"/>
      <c r="BD150" s="96"/>
      <c r="BE150" s="96"/>
      <c r="BF150" s="96"/>
      <c r="BG150" s="96"/>
      <c r="BH150" s="96"/>
      <c r="BI150" s="96"/>
    </row>
    <row r="151" spans="1:61" x14ac:dyDescent="0.45">
      <c r="A151" s="103" t="s">
        <v>929</v>
      </c>
      <c r="B151" s="17" t="s">
        <v>1220</v>
      </c>
      <c r="C151" s="16">
        <v>44604</v>
      </c>
      <c r="D151" s="17" t="s">
        <v>66</v>
      </c>
      <c r="E151" s="15" t="s">
        <v>51</v>
      </c>
      <c r="F151" s="17">
        <v>26</v>
      </c>
      <c r="G151" s="17">
        <v>26</v>
      </c>
      <c r="H151" s="3" t="s">
        <v>43</v>
      </c>
      <c r="I151" s="88" t="s">
        <v>41</v>
      </c>
      <c r="J151" s="87">
        <v>44625</v>
      </c>
      <c r="K151" s="15">
        <v>552.5</v>
      </c>
      <c r="L151" s="96">
        <v>35</v>
      </c>
      <c r="M151" s="89">
        <v>42.44</v>
      </c>
      <c r="N151" s="88">
        <v>14</v>
      </c>
      <c r="O151" s="413" t="str">
        <f t="shared" si="1"/>
        <v>26 x 26</v>
      </c>
      <c r="P151" s="18" t="str">
        <f t="shared" si="2"/>
        <v>28 x 28</v>
      </c>
      <c r="Q151" s="91" t="str">
        <f t="shared" si="3"/>
        <v>N/A</v>
      </c>
      <c r="R151" s="18" t="str">
        <f t="shared" si="4"/>
        <v>34 x 35 x 6</v>
      </c>
      <c r="S151" s="18">
        <v>34</v>
      </c>
      <c r="T151" s="18">
        <v>35</v>
      </c>
      <c r="U151" s="18">
        <v>6</v>
      </c>
      <c r="V151" s="18">
        <f t="shared" si="47"/>
        <v>107</v>
      </c>
      <c r="W151" s="287">
        <f t="shared" si="51"/>
        <v>1.2125714285714284</v>
      </c>
      <c r="X151" s="287" t="str">
        <f t="shared" si="52"/>
        <v>Yes</v>
      </c>
      <c r="Y151" s="93" t="e">
        <f t="shared" si="53"/>
        <v>#REF!</v>
      </c>
      <c r="Z151" s="288" t="e">
        <f t="shared" si="54"/>
        <v>#REF!</v>
      </c>
      <c r="AA151" s="94" t="e">
        <f t="shared" si="55"/>
        <v>#REF!</v>
      </c>
      <c r="AB151" s="288" t="e">
        <f t="shared" si="56"/>
        <v>#REF!</v>
      </c>
      <c r="AC151" s="91" t="e">
        <f>IF(X151="","",IF(D151="2 3D",((F151-0.5)*2+(G151-0.5)*2)*VLOOKUP("3D base",#REF!,2,FALSE),IF(D151="3 Canv", IF(E151="Roll",0,ROUND(SUM(F151:G151)*2,0)),0)*VLOOKUP("Stretcher Bar",#REF!,2,FALSE)))</f>
        <v>#REF!</v>
      </c>
      <c r="AD151" s="91" t="e">
        <f>IF(X151="","",IF(E151="Roll",0,IF(D151="2 3D",(SUM(F151:G151)*2)*VLOOKUP("3D epoxy",#REF!,2,FALSE),IF(D151="3 Canv",VLOOKUP("Wood glue",#REF!,2,FALSE),""))))</f>
        <v>#REF!</v>
      </c>
      <c r="AE151" s="91" t="e">
        <f>IF(D151="3 Canv",(((F151+5)*(G151+5)))*VLOOKUP("Canvas",#REF!,2,FALSE),IF(D151="2 3D",(((F151)*(G151)))*VLOOKUP("Dibond",#REF!,2,FALSE),""))</f>
        <v>#REF!</v>
      </c>
      <c r="AF151" s="91" t="e">
        <f>IF(D151="2 3D",F151*G151*VLOOKUP("3D ink",#REF!,2,FALSE),IF(D151="3 Canv",F151*G151*VLOOKUP("Canvas ink",#REF!,2,FALSE),""))</f>
        <v>#REF!</v>
      </c>
      <c r="AG151" s="91" t="e">
        <f>IF(D151="3 Canv",IF(E151="Roll","",ROUNDUP((SUM(F151:G151)*2)/3,"")*VLOOKUP("Staples",#REF!,2,FALSE)),"")</f>
        <v>#VALUE!</v>
      </c>
      <c r="AH151" s="91" t="e">
        <f>IF(AF151="","",(SUM(F151:G151)*2)*VLOOKUP(E151,#REF!,2,FALSE))</f>
        <v>#REF!</v>
      </c>
      <c r="AI151" s="18">
        <f t="shared" si="57"/>
        <v>44</v>
      </c>
      <c r="AJ151" s="91" t="e">
        <f>IF(AI151="","",AI151*VLOOKUP("Staples",#REF!,2,FALSE))</f>
        <v>#REF!</v>
      </c>
      <c r="AK151" s="18" t="e">
        <f t="shared" si="58"/>
        <v>#REF!</v>
      </c>
      <c r="AL151" s="91" t="e">
        <f>IF(AK151="","",AK151*VLOOKUP("Frame screw",#REF!,2,FALSE))</f>
        <v>#REF!</v>
      </c>
      <c r="AM151" s="18" t="e">
        <f t="shared" si="59"/>
        <v>#REF!</v>
      </c>
      <c r="AN151" s="91" t="e">
        <f>IF(AM151="","",AM151*VLOOKUP("D ring",#REF!,2,FALSE))</f>
        <v>#REF!</v>
      </c>
      <c r="AO151" s="18" t="e">
        <f t="shared" si="60"/>
        <v>#REF!</v>
      </c>
      <c r="AP151" s="91" t="e">
        <f>IF(AO151="","",IF(G151&gt;59,AO151* VLOOKUP("8 wire",#REF!,2,FALSE)*2,IF(G151&gt;39,AO151* VLOOKUP("8 wire",#REF!,2,FALSE),AO151* VLOOKUP("6 wire",#REF!,2,FALSE))))</f>
        <v>#REF!</v>
      </c>
      <c r="AQ151" s="18">
        <f t="shared" si="61"/>
        <v>4</v>
      </c>
      <c r="AR151" s="18" t="e">
        <f>IF(AQ151="","",AQ151*VLOOKUP("Pads",#REF!,2,FALSE))</f>
        <v>#REF!</v>
      </c>
      <c r="AS151" s="18">
        <f t="shared" si="62"/>
        <v>1</v>
      </c>
      <c r="AT151" s="91" t="e">
        <f>IF(AS151="","",AS151*VLOOKUP("4 mil bag",#REF!,2,FALSE))</f>
        <v>#REF!</v>
      </c>
      <c r="AU151" s="91">
        <f>IF(X151="","",IF(I151="N/A","",IF(I151="CNC",IF(G151&gt;37,20,10),VLOOKUP(I151,#REF!,2,FALSE))))</f>
        <v>10</v>
      </c>
      <c r="AV151" s="91" t="e">
        <f>IF(X151="","",IF(I151="CNC",VLOOKUP("Glue stick",#REF!,2,FALSE),""))</f>
        <v>#REF!</v>
      </c>
      <c r="AW151" s="91" t="e">
        <f>IF(X151="","",IF(I151="CNC",16*VLOOKUP("Box staples",#REF!,2,FALSE),""))</f>
        <v>#REF!</v>
      </c>
      <c r="AX151" s="18" t="e">
        <f>IF(X151="","",IF(I151="CNC",((((G151+6)+(F151+6))*2)+24)*VLOOKUP("sealing tape",#REF!,2,FALSE),VLOOKUP("Strapping tape",#REF!,2,FALSE)))</f>
        <v>#REF!</v>
      </c>
      <c r="AY151" s="17"/>
      <c r="AZ151" s="17"/>
      <c r="BA151" s="17"/>
      <c r="BB151" s="17"/>
      <c r="BC151" s="96"/>
      <c r="BD151" s="96"/>
      <c r="BE151" s="96"/>
      <c r="BF151" s="96"/>
      <c r="BG151" s="96"/>
      <c r="BH151" s="96"/>
      <c r="BI151" s="96"/>
    </row>
    <row r="152" spans="1:61" x14ac:dyDescent="0.45">
      <c r="A152" s="103" t="s">
        <v>967</v>
      </c>
      <c r="B152" s="17" t="s">
        <v>671</v>
      </c>
      <c r="C152" s="16">
        <v>44605</v>
      </c>
      <c r="D152" s="17" t="s">
        <v>66</v>
      </c>
      <c r="E152" s="15" t="s">
        <v>51</v>
      </c>
      <c r="F152" s="17">
        <v>33</v>
      </c>
      <c r="G152" s="17">
        <v>41</v>
      </c>
      <c r="H152" s="3" t="s">
        <v>43</v>
      </c>
      <c r="I152" s="88" t="s">
        <v>41</v>
      </c>
      <c r="J152" s="87">
        <v>44625</v>
      </c>
      <c r="K152" s="15">
        <v>794.75</v>
      </c>
      <c r="L152" s="96">
        <v>50</v>
      </c>
      <c r="M152" s="89">
        <v>147.38</v>
      </c>
      <c r="N152" s="88">
        <v>22</v>
      </c>
      <c r="O152" s="413" t="str">
        <f t="shared" si="1"/>
        <v>33 x 41</v>
      </c>
      <c r="P152" s="18" t="str">
        <f t="shared" si="2"/>
        <v>35 x 43</v>
      </c>
      <c r="Q152" s="91" t="str">
        <f t="shared" si="3"/>
        <v>N/A</v>
      </c>
      <c r="R152" s="18" t="str">
        <f t="shared" si="4"/>
        <v>49 x 42 x 6</v>
      </c>
      <c r="S152" s="18">
        <v>49</v>
      </c>
      <c r="T152" s="18">
        <v>42</v>
      </c>
      <c r="U152" s="18">
        <v>6</v>
      </c>
      <c r="V152" s="18">
        <f t="shared" si="47"/>
        <v>136</v>
      </c>
      <c r="W152" s="287">
        <f t="shared" si="51"/>
        <v>2.9476</v>
      </c>
      <c r="X152" s="287" t="str">
        <f t="shared" si="52"/>
        <v>Yes</v>
      </c>
      <c r="Y152" s="93" t="e">
        <f t="shared" si="53"/>
        <v>#REF!</v>
      </c>
      <c r="Z152" s="288" t="e">
        <f t="shared" si="54"/>
        <v>#REF!</v>
      </c>
      <c r="AA152" s="94" t="e">
        <f t="shared" si="55"/>
        <v>#REF!</v>
      </c>
      <c r="AB152" s="288" t="e">
        <f t="shared" si="56"/>
        <v>#REF!</v>
      </c>
      <c r="AC152" s="91" t="e">
        <f>IF(X152="","",IF(D152="2 3D",((F152-0.5)*2+(G152-0.5)*2)*VLOOKUP("3D base",#REF!,2,FALSE),IF(D152="3 Canv", IF(E152="Roll",0,ROUND(SUM(F152:G152)*2,0)),0)*VLOOKUP("Stretcher Bar",#REF!,2,FALSE)))</f>
        <v>#REF!</v>
      </c>
      <c r="AD152" s="91" t="e">
        <f>IF(X152="","",IF(E152="Roll",0,IF(D152="2 3D",(SUM(F152:G152)*2)*VLOOKUP("3D epoxy",#REF!,2,FALSE),IF(D152="3 Canv",VLOOKUP("Wood glue",#REF!,2,FALSE),""))))</f>
        <v>#REF!</v>
      </c>
      <c r="AE152" s="91" t="e">
        <f>IF(D152="3 Canv",(((F152+5)*(G152+5)))*VLOOKUP("Canvas",#REF!,2,FALSE),IF(D152="2 3D",(((F152)*(G152)))*VLOOKUP("Dibond",#REF!,2,FALSE),""))</f>
        <v>#REF!</v>
      </c>
      <c r="AF152" s="91" t="e">
        <f>IF(D152="2 3D",F152*G152*VLOOKUP("3D ink",#REF!,2,FALSE),IF(D152="3 Canv",F152*G152*VLOOKUP("Canvas ink",#REF!,2,FALSE),""))</f>
        <v>#REF!</v>
      </c>
      <c r="AG152" s="91" t="e">
        <f>IF(D152="3 Canv",IF(E152="Roll","",ROUNDUP((SUM(F152:G152)*2)/3,"")*VLOOKUP("Staples",#REF!,2,FALSE)),"")</f>
        <v>#VALUE!</v>
      </c>
      <c r="AH152" s="91" t="e">
        <f>IF(AF152="","",(SUM(F152:G152)*2)*VLOOKUP(E152,#REF!,2,FALSE))</f>
        <v>#REF!</v>
      </c>
      <c r="AI152" s="18">
        <f t="shared" si="57"/>
        <v>44</v>
      </c>
      <c r="AJ152" s="91" t="e">
        <f>IF(AI152="","",AI152*VLOOKUP("Staples",#REF!,2,FALSE))</f>
        <v>#REF!</v>
      </c>
      <c r="AK152" s="18" t="e">
        <f t="shared" si="58"/>
        <v>#REF!</v>
      </c>
      <c r="AL152" s="91" t="e">
        <f>IF(AK152="","",AK152*VLOOKUP("Frame screw",#REF!,2,FALSE))</f>
        <v>#REF!</v>
      </c>
      <c r="AM152" s="18" t="e">
        <f t="shared" si="59"/>
        <v>#REF!</v>
      </c>
      <c r="AN152" s="91" t="e">
        <f>IF(AM152="","",AM152*VLOOKUP("D ring",#REF!,2,FALSE))</f>
        <v>#REF!</v>
      </c>
      <c r="AO152" s="18" t="e">
        <f t="shared" si="60"/>
        <v>#REF!</v>
      </c>
      <c r="AP152" s="91" t="e">
        <f>IF(AO152="","",IF(G152&gt;59,AO152* VLOOKUP("8 wire",#REF!,2,FALSE)*2,IF(G152&gt;39,AO152* VLOOKUP("8 wire",#REF!,2,FALSE),AO152* VLOOKUP("6 wire",#REF!,2,FALSE))))</f>
        <v>#REF!</v>
      </c>
      <c r="AQ152" s="18">
        <f t="shared" si="61"/>
        <v>4</v>
      </c>
      <c r="AR152" s="18" t="e">
        <f>IF(AQ152="","",AQ152*VLOOKUP("Pads",#REF!,2,FALSE))</f>
        <v>#REF!</v>
      </c>
      <c r="AS152" s="18">
        <f t="shared" si="62"/>
        <v>1</v>
      </c>
      <c r="AT152" s="91" t="e">
        <f>IF(AS152="","",AS152*VLOOKUP("4 mil bag",#REF!,2,FALSE))</f>
        <v>#REF!</v>
      </c>
      <c r="AU152" s="91">
        <f>IF(X152="","",IF(I152="N/A","",IF(I152="CNC",IF(G152&gt;37,20,10),VLOOKUP(I152,#REF!,2,FALSE))))</f>
        <v>20</v>
      </c>
      <c r="AV152" s="91" t="e">
        <f>IF(X152="","",IF(I152="CNC",VLOOKUP("Glue stick",#REF!,2,FALSE),""))</f>
        <v>#REF!</v>
      </c>
      <c r="AW152" s="91" t="e">
        <f>IF(X152="","",IF(I152="CNC",16*VLOOKUP("Box staples",#REF!,2,FALSE),""))</f>
        <v>#REF!</v>
      </c>
      <c r="AX152" s="18" t="e">
        <f>IF(X152="","",IF(I152="CNC",((((G152+6)+(F152+6))*2)+24)*VLOOKUP("sealing tape",#REF!,2,FALSE),VLOOKUP("Strapping tape",#REF!,2,FALSE)))</f>
        <v>#REF!</v>
      </c>
      <c r="AY152" s="17"/>
      <c r="AZ152" s="17"/>
      <c r="BA152" s="17"/>
      <c r="BB152" s="17"/>
      <c r="BC152" s="96"/>
      <c r="BD152" s="96"/>
      <c r="BE152" s="96"/>
      <c r="BF152" s="96"/>
      <c r="BG152" s="96"/>
      <c r="BH152" s="96"/>
      <c r="BI152" s="96"/>
    </row>
    <row r="153" spans="1:61" x14ac:dyDescent="0.45">
      <c r="A153" s="103" t="s">
        <v>1219</v>
      </c>
      <c r="B153" s="17" t="s">
        <v>1218</v>
      </c>
      <c r="C153" s="16">
        <v>44606</v>
      </c>
      <c r="D153" s="17" t="s">
        <v>66</v>
      </c>
      <c r="E153" s="15" t="s">
        <v>51</v>
      </c>
      <c r="F153" s="17">
        <v>25</v>
      </c>
      <c r="G153" s="17">
        <v>33</v>
      </c>
      <c r="H153" s="3" t="s">
        <v>43</v>
      </c>
      <c r="I153" s="88" t="s">
        <v>41</v>
      </c>
      <c r="J153" s="87">
        <v>44625</v>
      </c>
      <c r="K153" s="15">
        <v>582.25</v>
      </c>
      <c r="L153" s="96">
        <v>35</v>
      </c>
      <c r="M153" s="89">
        <v>21.94</v>
      </c>
      <c r="N153" s="88">
        <v>16</v>
      </c>
      <c r="O153" s="413" t="str">
        <f t="shared" si="1"/>
        <v>25 x 33</v>
      </c>
      <c r="P153" s="18" t="str">
        <f t="shared" si="2"/>
        <v>27 x 35</v>
      </c>
      <c r="Q153" s="91" t="str">
        <f t="shared" si="3"/>
        <v>N/A</v>
      </c>
      <c r="R153" s="18" t="str">
        <f t="shared" si="4"/>
        <v>41 x 34 x 6</v>
      </c>
      <c r="S153" s="18">
        <v>41</v>
      </c>
      <c r="T153" s="18">
        <v>34</v>
      </c>
      <c r="U153" s="18">
        <v>6</v>
      </c>
      <c r="V153" s="18">
        <f t="shared" si="47"/>
        <v>112</v>
      </c>
      <c r="W153" s="287">
        <f t="shared" si="51"/>
        <v>0.62685714285714289</v>
      </c>
      <c r="X153" s="287" t="str">
        <f t="shared" si="52"/>
        <v>Yes</v>
      </c>
      <c r="Y153" s="93" t="e">
        <f t="shared" si="53"/>
        <v>#REF!</v>
      </c>
      <c r="Z153" s="288" t="e">
        <f t="shared" si="54"/>
        <v>#REF!</v>
      </c>
      <c r="AA153" s="94" t="e">
        <f t="shared" si="55"/>
        <v>#REF!</v>
      </c>
      <c r="AB153" s="288" t="e">
        <f t="shared" si="56"/>
        <v>#REF!</v>
      </c>
      <c r="AC153" s="91" t="e">
        <f>IF(X153="","",IF(D153="2 3D",((F153-0.5)*2+(G153-0.5)*2)*VLOOKUP("3D base",#REF!,2,FALSE),IF(D153="3 Canv", IF(E153="Roll",0,ROUND(SUM(F153:G153)*2,0)),0)*VLOOKUP("Stretcher Bar",#REF!,2,FALSE)))</f>
        <v>#REF!</v>
      </c>
      <c r="AD153" s="91" t="e">
        <f>IF(X153="","",IF(E153="Roll",0,IF(D153="2 3D",(SUM(F153:G153)*2)*VLOOKUP("3D epoxy",#REF!,2,FALSE),IF(D153="3 Canv",VLOOKUP("Wood glue",#REF!,2,FALSE),""))))</f>
        <v>#REF!</v>
      </c>
      <c r="AE153" s="91" t="e">
        <f>IF(D153="3 Canv",(((F153+5)*(G153+5)))*VLOOKUP("Canvas",#REF!,2,FALSE),IF(D153="2 3D",(((F153)*(G153)))*VLOOKUP("Dibond",#REF!,2,FALSE),""))</f>
        <v>#REF!</v>
      </c>
      <c r="AF153" s="91" t="e">
        <f>IF(D153="2 3D",F153*G153*VLOOKUP("3D ink",#REF!,2,FALSE),IF(D153="3 Canv",F153*G153*VLOOKUP("Canvas ink",#REF!,2,FALSE),""))</f>
        <v>#REF!</v>
      </c>
      <c r="AG153" s="91" t="e">
        <f>IF(D153="3 Canv",IF(E153="Roll","",ROUNDUP((SUM(F153:G153)*2)/3,"")*VLOOKUP("Staples",#REF!,2,FALSE)),"")</f>
        <v>#VALUE!</v>
      </c>
      <c r="AH153" s="91" t="e">
        <f>IF(AF153="","",(SUM(F153:G153)*2)*VLOOKUP(E153,#REF!,2,FALSE))</f>
        <v>#REF!</v>
      </c>
      <c r="AI153" s="18">
        <f t="shared" si="57"/>
        <v>44</v>
      </c>
      <c r="AJ153" s="91" t="e">
        <f>IF(AI153="","",AI153*VLOOKUP("Staples",#REF!,2,FALSE))</f>
        <v>#REF!</v>
      </c>
      <c r="AK153" s="18" t="e">
        <f t="shared" si="58"/>
        <v>#REF!</v>
      </c>
      <c r="AL153" s="91" t="e">
        <f>IF(AK153="","",AK153*VLOOKUP("Frame screw",#REF!,2,FALSE))</f>
        <v>#REF!</v>
      </c>
      <c r="AM153" s="18" t="e">
        <f t="shared" si="59"/>
        <v>#REF!</v>
      </c>
      <c r="AN153" s="91" t="e">
        <f>IF(AM153="","",AM153*VLOOKUP("D ring",#REF!,2,FALSE))</f>
        <v>#REF!</v>
      </c>
      <c r="AO153" s="18" t="e">
        <f t="shared" si="60"/>
        <v>#REF!</v>
      </c>
      <c r="AP153" s="91" t="e">
        <f>IF(AO153="","",IF(G153&gt;59,AO153* VLOOKUP("8 wire",#REF!,2,FALSE)*2,IF(G153&gt;39,AO153* VLOOKUP("8 wire",#REF!,2,FALSE),AO153* VLOOKUP("6 wire",#REF!,2,FALSE))))</f>
        <v>#REF!</v>
      </c>
      <c r="AQ153" s="18">
        <f t="shared" si="61"/>
        <v>4</v>
      </c>
      <c r="AR153" s="18" t="e">
        <f>IF(AQ153="","",AQ153*VLOOKUP("Pads",#REF!,2,FALSE))</f>
        <v>#REF!</v>
      </c>
      <c r="AS153" s="18">
        <f t="shared" si="62"/>
        <v>1</v>
      </c>
      <c r="AT153" s="91" t="e">
        <f>IF(AS153="","",AS153*VLOOKUP("4 mil bag",#REF!,2,FALSE))</f>
        <v>#REF!</v>
      </c>
      <c r="AU153" s="91">
        <f>IF(X153="","",IF(I153="N/A","",IF(I153="CNC",IF(G153&gt;37,20,10),VLOOKUP(I153,#REF!,2,FALSE))))</f>
        <v>10</v>
      </c>
      <c r="AV153" s="91" t="e">
        <f>IF(X153="","",IF(I153="CNC",VLOOKUP("Glue stick",#REF!,2,FALSE),""))</f>
        <v>#REF!</v>
      </c>
      <c r="AW153" s="91" t="e">
        <f>IF(X153="","",IF(I153="CNC",16*VLOOKUP("Box staples",#REF!,2,FALSE),""))</f>
        <v>#REF!</v>
      </c>
      <c r="AX153" s="18" t="e">
        <f>IF(X153="","",IF(I153="CNC",((((G153+6)+(F153+6))*2)+24)*VLOOKUP("sealing tape",#REF!,2,FALSE),VLOOKUP("Strapping tape",#REF!,2,FALSE)))</f>
        <v>#REF!</v>
      </c>
      <c r="AY153" s="17"/>
      <c r="AZ153" s="17"/>
      <c r="BA153" s="17"/>
      <c r="BB153" s="17"/>
      <c r="BC153" s="96"/>
      <c r="BD153" s="96"/>
      <c r="BE153" s="96"/>
      <c r="BF153" s="96"/>
      <c r="BG153" s="96"/>
      <c r="BH153" s="96"/>
      <c r="BI153" s="96"/>
    </row>
    <row r="154" spans="1:61" x14ac:dyDescent="0.45">
      <c r="A154" s="103" t="s">
        <v>459</v>
      </c>
      <c r="B154" s="17" t="s">
        <v>1224</v>
      </c>
      <c r="C154" s="16">
        <v>44606</v>
      </c>
      <c r="D154" s="17" t="s">
        <v>66</v>
      </c>
      <c r="E154" s="15" t="s">
        <v>1</v>
      </c>
      <c r="F154" s="17">
        <v>25</v>
      </c>
      <c r="G154" s="17">
        <v>40</v>
      </c>
      <c r="H154" s="3" t="s">
        <v>43</v>
      </c>
      <c r="I154" s="88" t="s">
        <v>41</v>
      </c>
      <c r="J154" s="87">
        <v>44628</v>
      </c>
      <c r="K154" s="15">
        <v>637.5</v>
      </c>
      <c r="L154" s="96">
        <v>40</v>
      </c>
      <c r="M154" s="89">
        <v>48.39</v>
      </c>
      <c r="N154" s="88">
        <v>19</v>
      </c>
      <c r="O154" s="413" t="str">
        <f t="shared" si="1"/>
        <v>25 x 40</v>
      </c>
      <c r="P154" s="18" t="str">
        <f t="shared" si="2"/>
        <v>27 x 42</v>
      </c>
      <c r="Q154" s="91" t="str">
        <f t="shared" si="3"/>
        <v>N/A</v>
      </c>
      <c r="R154" s="18" t="str">
        <f t="shared" si="4"/>
        <v>48 x 34 x 6</v>
      </c>
      <c r="S154" s="18">
        <v>48</v>
      </c>
      <c r="T154" s="18">
        <v>34</v>
      </c>
      <c r="U154" s="18">
        <v>6</v>
      </c>
      <c r="V154" s="18">
        <f t="shared" si="47"/>
        <v>119</v>
      </c>
      <c r="W154" s="287">
        <f t="shared" si="51"/>
        <v>1.2097500000000001</v>
      </c>
      <c r="X154" s="287" t="str">
        <f t="shared" si="52"/>
        <v>Yes</v>
      </c>
      <c r="Y154" s="93" t="e">
        <f t="shared" si="53"/>
        <v>#REF!</v>
      </c>
      <c r="Z154" s="288" t="e">
        <f t="shared" si="54"/>
        <v>#REF!</v>
      </c>
      <c r="AA154" s="94" t="e">
        <f t="shared" si="55"/>
        <v>#REF!</v>
      </c>
      <c r="AB154" s="288" t="e">
        <f t="shared" si="56"/>
        <v>#REF!</v>
      </c>
      <c r="AC154" s="91" t="e">
        <f>IF(X154="","",IF(D154="2 3D",((F154-0.5)*2+(G154-0.5)*2)*VLOOKUP("3D base",#REF!,2,FALSE),IF(D154="3 Canv", IF(E154="Roll",0,ROUND(SUM(F154:G154)*2,0)),0)*VLOOKUP("Stretcher Bar",#REF!,2,FALSE)))</f>
        <v>#REF!</v>
      </c>
      <c r="AD154" s="91" t="e">
        <f>IF(X154="","",IF(E154="Roll",0,IF(D154="2 3D",(SUM(F154:G154)*2)*VLOOKUP("3D epoxy",#REF!,2,FALSE),IF(D154="3 Canv",VLOOKUP("Wood glue",#REF!,2,FALSE),""))))</f>
        <v>#REF!</v>
      </c>
      <c r="AE154" s="91" t="e">
        <f>IF(D154="3 Canv",(((F154+5)*(G154+5)))*VLOOKUP("Canvas",#REF!,2,FALSE),IF(D154="2 3D",(((F154)*(G154)))*VLOOKUP("Dibond",#REF!,2,FALSE),""))</f>
        <v>#REF!</v>
      </c>
      <c r="AF154" s="91" t="e">
        <f>IF(D154="2 3D",F154*G154*VLOOKUP("3D ink",#REF!,2,FALSE),IF(D154="3 Canv",F154*G154*VLOOKUP("Canvas ink",#REF!,2,FALSE),""))</f>
        <v>#REF!</v>
      </c>
      <c r="AG154" s="91" t="e">
        <f>IF(D154="3 Canv",IF(E154="Roll","",ROUNDUP((SUM(F154:G154)*2)/3,"")*VLOOKUP("Staples",#REF!,2,FALSE)),"")</f>
        <v>#VALUE!</v>
      </c>
      <c r="AH154" s="91" t="e">
        <f>IF(AF154="","",(SUM(F154:G154)*2)*VLOOKUP(E154,#REF!,2,FALSE))</f>
        <v>#REF!</v>
      </c>
      <c r="AI154" s="18">
        <f t="shared" si="57"/>
        <v>44</v>
      </c>
      <c r="AJ154" s="91" t="e">
        <f>IF(AI154="","",AI154*VLOOKUP("Staples",#REF!,2,FALSE))</f>
        <v>#REF!</v>
      </c>
      <c r="AK154" s="18" t="e">
        <f t="shared" si="58"/>
        <v>#REF!</v>
      </c>
      <c r="AL154" s="91" t="e">
        <f>IF(AK154="","",AK154*VLOOKUP("Frame screw",#REF!,2,FALSE))</f>
        <v>#REF!</v>
      </c>
      <c r="AM154" s="18" t="e">
        <f t="shared" si="59"/>
        <v>#REF!</v>
      </c>
      <c r="AN154" s="91" t="e">
        <f>IF(AM154="","",AM154*VLOOKUP("D ring",#REF!,2,FALSE))</f>
        <v>#REF!</v>
      </c>
      <c r="AO154" s="18" t="e">
        <f t="shared" si="60"/>
        <v>#REF!</v>
      </c>
      <c r="AP154" s="91" t="e">
        <f>IF(AO154="","",IF(G154&gt;59,AO154* VLOOKUP("8 wire",#REF!,2,FALSE)*2,IF(G154&gt;39,AO154* VLOOKUP("8 wire",#REF!,2,FALSE),AO154* VLOOKUP("6 wire",#REF!,2,FALSE))))</f>
        <v>#REF!</v>
      </c>
      <c r="AQ154" s="18">
        <f t="shared" si="61"/>
        <v>4</v>
      </c>
      <c r="AR154" s="18" t="e">
        <f>IF(AQ154="","",AQ154*VLOOKUP("Pads",#REF!,2,FALSE))</f>
        <v>#REF!</v>
      </c>
      <c r="AS154" s="18">
        <f t="shared" si="62"/>
        <v>1</v>
      </c>
      <c r="AT154" s="91" t="e">
        <f>IF(AS154="","",AS154*VLOOKUP("4 mil bag",#REF!,2,FALSE))</f>
        <v>#REF!</v>
      </c>
      <c r="AU154" s="91">
        <f>IF(X154="","",IF(I154="N/A","",IF(I154="CNC",IF(G154&gt;37,20,10),VLOOKUP(I154,#REF!,2,FALSE))))</f>
        <v>20</v>
      </c>
      <c r="AV154" s="91" t="e">
        <f>IF(X154="","",IF(I154="CNC",VLOOKUP("Glue stick",#REF!,2,FALSE),""))</f>
        <v>#REF!</v>
      </c>
      <c r="AW154" s="91" t="e">
        <f>IF(X154="","",IF(I154="CNC",16*VLOOKUP("Box staples",#REF!,2,FALSE),""))</f>
        <v>#REF!</v>
      </c>
      <c r="AX154" s="18" t="e">
        <f>IF(X154="","",IF(I154="CNC",((((G154+6)+(F154+6))*2)+24)*VLOOKUP("sealing tape",#REF!,2,FALSE),VLOOKUP("Strapping tape",#REF!,2,FALSE)))</f>
        <v>#REF!</v>
      </c>
      <c r="AY154" s="17"/>
      <c r="AZ154" s="17"/>
      <c r="BA154" s="17"/>
      <c r="BB154" s="17"/>
      <c r="BC154" s="96"/>
      <c r="BD154" s="96"/>
      <c r="BE154" s="96"/>
      <c r="BF154" s="96"/>
      <c r="BG154" s="96"/>
      <c r="BH154" s="96"/>
      <c r="BI154" s="96"/>
    </row>
    <row r="155" spans="1:61" x14ac:dyDescent="0.45">
      <c r="A155" s="103" t="s">
        <v>511</v>
      </c>
      <c r="B155" s="17" t="s">
        <v>1223</v>
      </c>
      <c r="C155" s="16">
        <v>44606</v>
      </c>
      <c r="D155" s="17" t="s">
        <v>66</v>
      </c>
      <c r="E155" s="15" t="s">
        <v>51</v>
      </c>
      <c r="F155" s="17">
        <v>16</v>
      </c>
      <c r="G155" s="17">
        <v>20</v>
      </c>
      <c r="H155" s="3" t="s">
        <v>43</v>
      </c>
      <c r="I155" s="88" t="s">
        <v>41</v>
      </c>
      <c r="J155" s="87">
        <v>44628</v>
      </c>
      <c r="K155" s="15">
        <v>408</v>
      </c>
      <c r="L155" s="96">
        <v>25</v>
      </c>
      <c r="M155" s="89">
        <v>15.5</v>
      </c>
      <c r="N155" s="88">
        <v>10</v>
      </c>
      <c r="O155" s="413" t="str">
        <f t="shared" si="1"/>
        <v>16 x 20</v>
      </c>
      <c r="P155" s="18" t="str">
        <f t="shared" si="2"/>
        <v>18 x 22</v>
      </c>
      <c r="Q155" s="91" t="str">
        <f t="shared" si="3"/>
        <v>N/A</v>
      </c>
      <c r="R155" s="18" t="str">
        <f t="shared" si="4"/>
        <v>28 x 25 x 6</v>
      </c>
      <c r="S155" s="18">
        <v>28</v>
      </c>
      <c r="T155" s="18">
        <v>25</v>
      </c>
      <c r="U155" s="18">
        <v>6</v>
      </c>
      <c r="V155" s="18">
        <f t="shared" si="47"/>
        <v>81</v>
      </c>
      <c r="W155" s="287">
        <f t="shared" si="51"/>
        <v>0.62</v>
      </c>
      <c r="X155" s="287" t="str">
        <f t="shared" si="52"/>
        <v>Yes</v>
      </c>
      <c r="Y155" s="93" t="e">
        <f t="shared" si="53"/>
        <v>#REF!</v>
      </c>
      <c r="Z155" s="288" t="e">
        <f t="shared" si="54"/>
        <v>#REF!</v>
      </c>
      <c r="AA155" s="94" t="e">
        <f t="shared" si="55"/>
        <v>#REF!</v>
      </c>
      <c r="AB155" s="288" t="e">
        <f t="shared" si="56"/>
        <v>#REF!</v>
      </c>
      <c r="AC155" s="91" t="e">
        <f>IF(X155="","",IF(D155="2 3D",((F155-0.5)*2+(G155-0.5)*2)*VLOOKUP("3D base",#REF!,2,FALSE),IF(D155="3 Canv", IF(E155="Roll",0,ROUND(SUM(F155:G155)*2,0)),0)*VLOOKUP("Stretcher Bar",#REF!,2,FALSE)))</f>
        <v>#REF!</v>
      </c>
      <c r="AD155" s="91" t="e">
        <f>IF(X155="","",IF(E155="Roll",0,IF(D155="2 3D",(SUM(F155:G155)*2)*VLOOKUP("3D epoxy",#REF!,2,FALSE),IF(D155="3 Canv",VLOOKUP("Wood glue",#REF!,2,FALSE),""))))</f>
        <v>#REF!</v>
      </c>
      <c r="AE155" s="91" t="e">
        <f>IF(D155="3 Canv",(((F155+5)*(G155+5)))*VLOOKUP("Canvas",#REF!,2,FALSE),IF(D155="2 3D",(((F155)*(G155)))*VLOOKUP("Dibond",#REF!,2,FALSE),""))</f>
        <v>#REF!</v>
      </c>
      <c r="AF155" s="91" t="e">
        <f>IF(D155="2 3D",F155*G155*VLOOKUP("3D ink",#REF!,2,FALSE),IF(D155="3 Canv",F155*G155*VLOOKUP("Canvas ink",#REF!,2,FALSE),""))</f>
        <v>#REF!</v>
      </c>
      <c r="AG155" s="91" t="e">
        <f>IF(D155="3 Canv",IF(E155="Roll","",ROUNDUP((SUM(F155:G155)*2)/3,"")*VLOOKUP("Staples",#REF!,2,FALSE)),"")</f>
        <v>#VALUE!</v>
      </c>
      <c r="AH155" s="91" t="e">
        <f>IF(AF155="","",(SUM(F155:G155)*2)*VLOOKUP(E155,#REF!,2,FALSE))</f>
        <v>#REF!</v>
      </c>
      <c r="AI155" s="18">
        <f t="shared" si="57"/>
        <v>44</v>
      </c>
      <c r="AJ155" s="91" t="e">
        <f>IF(AI155="","",AI155*VLOOKUP("Staples",#REF!,2,FALSE))</f>
        <v>#REF!</v>
      </c>
      <c r="AK155" s="18" t="e">
        <f t="shared" si="58"/>
        <v>#REF!</v>
      </c>
      <c r="AL155" s="91" t="e">
        <f>IF(AK155="","",AK155*VLOOKUP("Frame screw",#REF!,2,FALSE))</f>
        <v>#REF!</v>
      </c>
      <c r="AM155" s="18" t="e">
        <f t="shared" si="59"/>
        <v>#REF!</v>
      </c>
      <c r="AN155" s="91" t="e">
        <f>IF(AM155="","",AM155*VLOOKUP("D ring",#REF!,2,FALSE))</f>
        <v>#REF!</v>
      </c>
      <c r="AO155" s="18" t="e">
        <f t="shared" si="60"/>
        <v>#REF!</v>
      </c>
      <c r="AP155" s="91" t="e">
        <f>IF(AO155="","",IF(G155&gt;59,AO155* VLOOKUP("8 wire",#REF!,2,FALSE)*2,IF(G155&gt;39,AO155* VLOOKUP("8 wire",#REF!,2,FALSE),AO155* VLOOKUP("6 wire",#REF!,2,FALSE))))</f>
        <v>#REF!</v>
      </c>
      <c r="AQ155" s="18">
        <f t="shared" si="61"/>
        <v>4</v>
      </c>
      <c r="AR155" s="18" t="e">
        <f>IF(AQ155="","",AQ155*VLOOKUP("Pads",#REF!,2,FALSE))</f>
        <v>#REF!</v>
      </c>
      <c r="AS155" s="18">
        <f t="shared" si="62"/>
        <v>1</v>
      </c>
      <c r="AT155" s="91" t="e">
        <f>IF(AS155="","",AS155*VLOOKUP("4 mil bag",#REF!,2,FALSE))</f>
        <v>#REF!</v>
      </c>
      <c r="AU155" s="91">
        <f>IF(X155="","",IF(I155="N/A","",IF(I155="CNC",IF(G155&gt;37,20,10),VLOOKUP(I155,#REF!,2,FALSE))))</f>
        <v>10</v>
      </c>
      <c r="AV155" s="91" t="e">
        <f>IF(X155="","",IF(I155="CNC",VLOOKUP("Glue stick",#REF!,2,FALSE),""))</f>
        <v>#REF!</v>
      </c>
      <c r="AW155" s="91" t="e">
        <f>IF(X155="","",IF(I155="CNC",16*VLOOKUP("Box staples",#REF!,2,FALSE),""))</f>
        <v>#REF!</v>
      </c>
      <c r="AX155" s="18" t="e">
        <f>IF(X155="","",IF(I155="CNC",((((G155+6)+(F155+6))*2)+24)*VLOOKUP("sealing tape",#REF!,2,FALSE),VLOOKUP("Strapping tape",#REF!,2,FALSE)))</f>
        <v>#REF!</v>
      </c>
      <c r="AY155" s="17"/>
      <c r="AZ155" s="17"/>
      <c r="BA155" s="17"/>
      <c r="BB155" s="17"/>
      <c r="BC155" s="96"/>
      <c r="BD155" s="96"/>
      <c r="BE155" s="96"/>
      <c r="BF155" s="96"/>
      <c r="BG155" s="96"/>
      <c r="BH155" s="96"/>
      <c r="BI155" s="96"/>
    </row>
    <row r="156" spans="1:61" x14ac:dyDescent="0.45">
      <c r="A156" s="103" t="s">
        <v>615</v>
      </c>
      <c r="B156" s="17" t="s">
        <v>2570</v>
      </c>
      <c r="C156" s="16">
        <v>44605</v>
      </c>
      <c r="D156" s="17" t="s">
        <v>54</v>
      </c>
      <c r="E156" s="15" t="s">
        <v>1</v>
      </c>
      <c r="F156" s="17">
        <v>28</v>
      </c>
      <c r="G156" s="17">
        <v>38</v>
      </c>
      <c r="H156" s="3" t="s">
        <v>43</v>
      </c>
      <c r="I156" s="88" t="s">
        <v>41</v>
      </c>
      <c r="J156" s="87">
        <v>44628</v>
      </c>
      <c r="K156" s="15">
        <v>3200</v>
      </c>
      <c r="L156" s="96">
        <v>0</v>
      </c>
      <c r="M156" s="89">
        <v>34.299999999999997</v>
      </c>
      <c r="N156" s="88">
        <v>22</v>
      </c>
      <c r="O156" s="413" t="str">
        <f t="shared" si="1"/>
        <v>28 x 38</v>
      </c>
      <c r="P156" s="18" t="str">
        <f t="shared" si="2"/>
        <v>30 x 40</v>
      </c>
      <c r="Q156" s="91" t="str">
        <f t="shared" si="3"/>
        <v>N/A</v>
      </c>
      <c r="R156" s="18" t="str">
        <f t="shared" si="4"/>
        <v>46 x 37 x 6</v>
      </c>
      <c r="S156" s="18">
        <v>46</v>
      </c>
      <c r="T156" s="18">
        <v>37</v>
      </c>
      <c r="U156" s="18">
        <v>6</v>
      </c>
      <c r="V156" s="18">
        <f t="shared" si="47"/>
        <v>123</v>
      </c>
      <c r="W156" s="287" t="str">
        <f t="shared" si="51"/>
        <v/>
      </c>
      <c r="X156" s="287" t="str">
        <f t="shared" si="52"/>
        <v>Yes</v>
      </c>
      <c r="Y156" s="93" t="e">
        <f t="shared" si="53"/>
        <v>#REF!</v>
      </c>
      <c r="Z156" s="288" t="e">
        <f t="shared" si="54"/>
        <v>#REF!</v>
      </c>
      <c r="AA156" s="94" t="e">
        <f t="shared" si="55"/>
        <v>#REF!</v>
      </c>
      <c r="AB156" s="288" t="e">
        <f t="shared" si="56"/>
        <v>#REF!</v>
      </c>
      <c r="AC156" s="91" t="e">
        <f>IF(X156="","",IF(D156="2 3D",((F156-0.5)*2+(G156-0.5)*2)*VLOOKUP("3D base",#REF!,2,FALSE),IF(D156="3 Canv", IF(E156="Roll",0,ROUND(SUM(F156:G156)*2,0)),0)*VLOOKUP("Stretcher Bar",#REF!,2,FALSE)))</f>
        <v>#REF!</v>
      </c>
      <c r="AD156" s="91" t="e">
        <f>IF(X156="","",IF(E156="Roll",0,IF(D156="2 3D",(SUM(F156:G156)*2)*VLOOKUP("3D epoxy",#REF!,2,FALSE),IF(D156="3 Canv",VLOOKUP("Wood glue",#REF!,2,FALSE),""))))</f>
        <v>#REF!</v>
      </c>
      <c r="AE156" s="91" t="e">
        <f>IF(D156="3 Canv",(((F156+5)*(G156+5)))*VLOOKUP("Canvas",#REF!,2,FALSE),IF(D156="2 3D",(((F156)*(G156)))*VLOOKUP("Dibond",#REF!,2,FALSE),""))</f>
        <v>#REF!</v>
      </c>
      <c r="AF156" s="91" t="e">
        <f>IF(D156="2 3D",F156*G156*VLOOKUP("3D ink",#REF!,2,FALSE),IF(D156="3 Canv",F156*G156*VLOOKUP("Canvas ink",#REF!,2,FALSE),""))</f>
        <v>#REF!</v>
      </c>
      <c r="AG156" s="91" t="str">
        <f>IF(D156="3 Canv",IF(E156="Roll","",ROUNDUP((SUM(F156:G156)*2)/3,"")*VLOOKUP("Staples",#REF!,2,FALSE)),"")</f>
        <v/>
      </c>
      <c r="AH156" s="91" t="e">
        <f>IF(AF156="","",(SUM(F156:G156)*2)*VLOOKUP(E156,#REF!,2,FALSE))</f>
        <v>#REF!</v>
      </c>
      <c r="AI156" s="18">
        <f t="shared" si="57"/>
        <v>44</v>
      </c>
      <c r="AJ156" s="91" t="e">
        <f>IF(AI156="","",AI156*VLOOKUP("Staples",#REF!,2,FALSE))</f>
        <v>#REF!</v>
      </c>
      <c r="AK156" s="18" t="e">
        <f t="shared" si="58"/>
        <v>#REF!</v>
      </c>
      <c r="AL156" s="91" t="e">
        <f>IF(AK156="","",AK156*VLOOKUP("Frame screw",#REF!,2,FALSE))</f>
        <v>#REF!</v>
      </c>
      <c r="AM156" s="18" t="e">
        <f t="shared" si="59"/>
        <v>#REF!</v>
      </c>
      <c r="AN156" s="91" t="e">
        <f>IF(AM156="","",AM156*VLOOKUP("D ring",#REF!,2,FALSE))</f>
        <v>#REF!</v>
      </c>
      <c r="AO156" s="18" t="e">
        <f t="shared" si="60"/>
        <v>#REF!</v>
      </c>
      <c r="AP156" s="91" t="e">
        <f>IF(AO156="","",IF(G156&gt;59,AO156* VLOOKUP("8 wire",#REF!,2,FALSE)*2,IF(G156&gt;39,AO156* VLOOKUP("8 wire",#REF!,2,FALSE),AO156* VLOOKUP("6 wire",#REF!,2,FALSE))))</f>
        <v>#REF!</v>
      </c>
      <c r="AQ156" s="18">
        <f t="shared" si="61"/>
        <v>4</v>
      </c>
      <c r="AR156" s="18" t="e">
        <f>IF(AQ156="","",AQ156*VLOOKUP("Pads",#REF!,2,FALSE))</f>
        <v>#REF!</v>
      </c>
      <c r="AS156" s="18">
        <f t="shared" si="62"/>
        <v>1</v>
      </c>
      <c r="AT156" s="91" t="e">
        <f>IF(AS156="","",AS156*VLOOKUP("4 mil bag",#REF!,2,FALSE))</f>
        <v>#REF!</v>
      </c>
      <c r="AU156" s="91">
        <f>IF(X156="","",IF(I156="N/A","",IF(I156="CNC",IF(G156&gt;37,20,10),VLOOKUP(I156,#REF!,2,FALSE))))</f>
        <v>20</v>
      </c>
      <c r="AV156" s="91" t="e">
        <f>IF(X156="","",IF(I156="CNC",VLOOKUP("Glue stick",#REF!,2,FALSE),""))</f>
        <v>#REF!</v>
      </c>
      <c r="AW156" s="91" t="e">
        <f>IF(X156="","",IF(I156="CNC",16*VLOOKUP("Box staples",#REF!,2,FALSE),""))</f>
        <v>#REF!</v>
      </c>
      <c r="AX156" s="18" t="e">
        <f>IF(X156="","",IF(I156="CNC",((((G156+6)+(F156+6))*2)+24)*VLOOKUP("sealing tape",#REF!,2,FALSE),VLOOKUP("Strapping tape",#REF!,2,FALSE)))</f>
        <v>#REF!</v>
      </c>
      <c r="AY156" s="17"/>
      <c r="AZ156" s="17"/>
      <c r="BA156" s="17"/>
      <c r="BB156" s="17"/>
      <c r="BC156" s="96"/>
      <c r="BD156" s="96"/>
      <c r="BE156" s="96"/>
      <c r="BF156" s="96"/>
      <c r="BG156" s="96"/>
      <c r="BH156" s="96"/>
      <c r="BI156" s="96"/>
    </row>
    <row r="157" spans="1:61" x14ac:dyDescent="0.45">
      <c r="A157" s="103" t="s">
        <v>1222</v>
      </c>
      <c r="B157" s="17" t="s">
        <v>2579</v>
      </c>
      <c r="C157" s="16">
        <v>44603</v>
      </c>
      <c r="D157" s="17" t="s">
        <v>66</v>
      </c>
      <c r="E157" s="15" t="s">
        <v>690</v>
      </c>
      <c r="F157" s="17">
        <v>45</v>
      </c>
      <c r="G157" s="17">
        <v>57</v>
      </c>
      <c r="H157" s="3" t="s">
        <v>43</v>
      </c>
      <c r="I157" s="88" t="s">
        <v>384</v>
      </c>
      <c r="J157" s="87">
        <v>44628</v>
      </c>
      <c r="K157" s="15">
        <v>1925</v>
      </c>
      <c r="L157" s="96">
        <v>0</v>
      </c>
      <c r="M157" s="89">
        <v>1872.88</v>
      </c>
      <c r="N157" s="88">
        <v>250</v>
      </c>
      <c r="O157" s="413" t="str">
        <f t="shared" si="1"/>
        <v>45 x 57</v>
      </c>
      <c r="P157" s="18" t="str">
        <f t="shared" si="2"/>
        <v>47 x 59</v>
      </c>
      <c r="Q157" s="91" t="str">
        <f t="shared" si="3"/>
        <v>N/A</v>
      </c>
      <c r="R157" s="18" t="str">
        <f t="shared" si="4"/>
        <v>N/A</v>
      </c>
      <c r="S157" s="18" t="s">
        <v>45</v>
      </c>
      <c r="T157" s="18"/>
      <c r="U157" s="18"/>
      <c r="V157" s="91" t="str">
        <f t="shared" si="47"/>
        <v>N/A</v>
      </c>
      <c r="W157" s="287" t="str">
        <f t="shared" si="51"/>
        <v/>
      </c>
      <c r="X157" s="287" t="str">
        <f t="shared" si="52"/>
        <v>Yes</v>
      </c>
      <c r="Y157" s="93" t="e">
        <f t="shared" si="53"/>
        <v>#REF!</v>
      </c>
      <c r="Z157" s="288" t="e">
        <f t="shared" si="54"/>
        <v>#REF!</v>
      </c>
      <c r="AA157" s="94" t="e">
        <f t="shared" si="55"/>
        <v>#REF!</v>
      </c>
      <c r="AB157" s="288" t="e">
        <f t="shared" si="56"/>
        <v>#REF!</v>
      </c>
      <c r="AC157" s="91" t="e">
        <f>IF(X157="","",IF(D157="2 3D",((F157-0.5)*2+(G157-0.5)*2)*VLOOKUP("3D base",#REF!,2,FALSE),IF(D157="3 Canv", IF(E157="Roll",0,ROUND(SUM(F157:G157)*2,0)),0)*VLOOKUP("Stretcher Bar",#REF!,2,FALSE)))</f>
        <v>#REF!</v>
      </c>
      <c r="AD157" s="91" t="e">
        <f>IF(X157="","",IF(E157="Roll",0,IF(D157="2 3D",(SUM(F157:G157)*2)*VLOOKUP("3D epoxy",#REF!,2,FALSE),IF(D157="3 Canv",VLOOKUP("Wood glue",#REF!,2,FALSE),""))))</f>
        <v>#REF!</v>
      </c>
      <c r="AE157" s="91" t="e">
        <f>IF(D157="3 Canv",(((F157+5)*(G157+5)))*VLOOKUP("Canvas",#REF!,2,FALSE),IF(D157="2 3D",(((F157)*(G157)))*VLOOKUP("Dibond",#REF!,2,FALSE),""))</f>
        <v>#REF!</v>
      </c>
      <c r="AF157" s="91" t="e">
        <f>IF(D157="2 3D",F157*G157*VLOOKUP("3D ink",#REF!,2,FALSE),IF(D157="3 Canv",F157*G157*VLOOKUP("Canvas ink",#REF!,2,FALSE),""))</f>
        <v>#REF!</v>
      </c>
      <c r="AG157" s="91" t="e">
        <f>IF(D157="3 Canv",IF(E157="Roll","",ROUNDUP((SUM(F157:G157)*2)/3,"")*VLOOKUP("Staples",#REF!,2,FALSE)),"")</f>
        <v>#VALUE!</v>
      </c>
      <c r="AH157" s="91" t="e">
        <f>IF(AF157="","",(SUM(F157:G157)*2)*VLOOKUP(E157,#REF!,2,FALSE))</f>
        <v>#REF!</v>
      </c>
      <c r="AI157" s="18">
        <f t="shared" si="57"/>
        <v>44</v>
      </c>
      <c r="AJ157" s="91" t="e">
        <f>IF(AI157="","",AI157*VLOOKUP("Staples",#REF!,2,FALSE))</f>
        <v>#REF!</v>
      </c>
      <c r="AK157" s="18" t="e">
        <f t="shared" si="58"/>
        <v>#REF!</v>
      </c>
      <c r="AL157" s="91" t="e">
        <f>IF(AK157="","",AK157*VLOOKUP("Frame screw",#REF!,2,FALSE))</f>
        <v>#REF!</v>
      </c>
      <c r="AM157" s="18" t="e">
        <f t="shared" si="59"/>
        <v>#REF!</v>
      </c>
      <c r="AN157" s="91" t="e">
        <f>IF(AM157="","",AM157*VLOOKUP("D ring",#REF!,2,FALSE))</f>
        <v>#REF!</v>
      </c>
      <c r="AO157" s="18" t="e">
        <f t="shared" si="60"/>
        <v>#REF!</v>
      </c>
      <c r="AP157" s="91" t="e">
        <f>IF(AO157="","",IF(G157&gt;59,AO157* VLOOKUP("8 wire",#REF!,2,FALSE)*2,IF(G157&gt;39,AO157* VLOOKUP("8 wire",#REF!,2,FALSE),AO157* VLOOKUP("6 wire",#REF!,2,FALSE))))</f>
        <v>#REF!</v>
      </c>
      <c r="AQ157" s="18">
        <f t="shared" si="61"/>
        <v>4</v>
      </c>
      <c r="AR157" s="18" t="e">
        <f>IF(AQ157="","",AQ157*VLOOKUP("Pads",#REF!,2,FALSE))</f>
        <v>#REF!</v>
      </c>
      <c r="AS157" s="18">
        <f t="shared" si="62"/>
        <v>1</v>
      </c>
      <c r="AT157" s="91" t="e">
        <f>IF(AS157="","",AS157*VLOOKUP("4 mil bag",#REF!,2,FALSE))</f>
        <v>#REF!</v>
      </c>
      <c r="AU157" s="91" t="e">
        <f>IF(X157="","",IF(I157="N/A","",IF(I157="CNC",IF(G157&gt;37,20,10),VLOOKUP(I157,#REF!,2,FALSE))))</f>
        <v>#REF!</v>
      </c>
      <c r="AV157" s="18" t="str">
        <f>IF(X157="","",IF(I157="CNC",VLOOKUP("Glue stick",#REF!,2,FALSE),""))</f>
        <v/>
      </c>
      <c r="AW157" s="18" t="str">
        <f>IF(X157="","",IF(I157="CNC",16*VLOOKUP("Box staples",#REF!,2,FALSE),""))</f>
        <v/>
      </c>
      <c r="AX157" s="91" t="e">
        <f>IF(X157="","",IF(I157="CNC",((((G157+6)+(F157+6))*2)+24)*VLOOKUP("sealing tape",#REF!,2,FALSE),VLOOKUP("Strapping tape",#REF!,2,FALSE)))</f>
        <v>#REF!</v>
      </c>
      <c r="AY157" s="17"/>
      <c r="AZ157" s="17"/>
      <c r="BA157" s="17"/>
      <c r="BB157" s="17"/>
      <c r="BC157" s="96"/>
      <c r="BD157" s="96"/>
      <c r="BE157" s="96"/>
      <c r="BF157" s="96"/>
      <c r="BG157" s="96"/>
      <c r="BH157" s="96"/>
      <c r="BI157" s="96"/>
    </row>
    <row r="158" spans="1:61" x14ac:dyDescent="0.45">
      <c r="A158" s="103" t="s">
        <v>929</v>
      </c>
      <c r="B158" s="17" t="s">
        <v>2579</v>
      </c>
      <c r="C158" s="16">
        <v>44603</v>
      </c>
      <c r="D158" s="17" t="s">
        <v>66</v>
      </c>
      <c r="E158" s="15" t="s">
        <v>690</v>
      </c>
      <c r="F158" s="17">
        <v>36</v>
      </c>
      <c r="G158" s="17">
        <v>36</v>
      </c>
      <c r="H158" s="3" t="s">
        <v>43</v>
      </c>
      <c r="I158" s="88" t="s">
        <v>41</v>
      </c>
      <c r="J158" s="87">
        <v>44628</v>
      </c>
      <c r="K158" s="15">
        <v>900</v>
      </c>
      <c r="L158" s="96">
        <v>0</v>
      </c>
      <c r="M158" s="89">
        <v>140.88</v>
      </c>
      <c r="N158" s="88">
        <v>24</v>
      </c>
      <c r="O158" s="413" t="str">
        <f t="shared" si="1"/>
        <v>36 x 36</v>
      </c>
      <c r="P158" s="18" t="str">
        <f t="shared" si="2"/>
        <v>38 x 38</v>
      </c>
      <c r="Q158" s="91" t="str">
        <f t="shared" si="3"/>
        <v>N/A</v>
      </c>
      <c r="R158" s="18" t="str">
        <f t="shared" si="4"/>
        <v>44 x 45 x 6</v>
      </c>
      <c r="S158" s="18">
        <v>44</v>
      </c>
      <c r="T158" s="18">
        <v>45</v>
      </c>
      <c r="U158" s="18">
        <v>6</v>
      </c>
      <c r="V158" s="18">
        <f t="shared" si="47"/>
        <v>137</v>
      </c>
      <c r="W158" s="287" t="str">
        <f t="shared" si="51"/>
        <v/>
      </c>
      <c r="X158" s="287" t="str">
        <f t="shared" si="52"/>
        <v>Yes</v>
      </c>
      <c r="Y158" s="93" t="e">
        <f t="shared" si="53"/>
        <v>#REF!</v>
      </c>
      <c r="Z158" s="288" t="e">
        <f t="shared" si="54"/>
        <v>#REF!</v>
      </c>
      <c r="AA158" s="94" t="e">
        <f t="shared" si="55"/>
        <v>#REF!</v>
      </c>
      <c r="AB158" s="288" t="e">
        <f t="shared" si="56"/>
        <v>#REF!</v>
      </c>
      <c r="AC158" s="91" t="e">
        <f>IF(X158="","",IF(D158="2 3D",((F158-0.5)*2+(G158-0.5)*2)*VLOOKUP("3D base",#REF!,2,FALSE),IF(D158="3 Canv", IF(E158="Roll",0,ROUND(SUM(F158:G158)*2,0)),0)*VLOOKUP("Stretcher Bar",#REF!,2,FALSE)))</f>
        <v>#REF!</v>
      </c>
      <c r="AD158" s="91" t="e">
        <f>IF(X158="","",IF(E158="Roll",0,IF(D158="2 3D",(SUM(F158:G158)*2)*VLOOKUP("3D epoxy",#REF!,2,FALSE),IF(D158="3 Canv",VLOOKUP("Wood glue",#REF!,2,FALSE),""))))</f>
        <v>#REF!</v>
      </c>
      <c r="AE158" s="91" t="e">
        <f>IF(D158="3 Canv",(((F158+5)*(G158+5)))*VLOOKUP("Canvas",#REF!,2,FALSE),IF(D158="2 3D",(((F158)*(G158)))*VLOOKUP("Dibond",#REF!,2,FALSE),""))</f>
        <v>#REF!</v>
      </c>
      <c r="AF158" s="91" t="e">
        <f>IF(D158="2 3D",F158*G158*VLOOKUP("3D ink",#REF!,2,FALSE),IF(D158="3 Canv",F158*G158*VLOOKUP("Canvas ink",#REF!,2,FALSE),""))</f>
        <v>#REF!</v>
      </c>
      <c r="AG158" s="91" t="e">
        <f>IF(D158="3 Canv",IF(E158="Roll","",ROUNDUP((SUM(F158:G158)*2)/3,"")*VLOOKUP("Staples",#REF!,2,FALSE)),"")</f>
        <v>#VALUE!</v>
      </c>
      <c r="AH158" s="91" t="e">
        <f>IF(AF158="","",(SUM(F158:G158)*2)*VLOOKUP(E158,#REF!,2,FALSE))</f>
        <v>#REF!</v>
      </c>
      <c r="AI158" s="18">
        <f t="shared" si="57"/>
        <v>44</v>
      </c>
      <c r="AJ158" s="91" t="e">
        <f>IF(AI158="","",AI158*VLOOKUP("Staples",#REF!,2,FALSE))</f>
        <v>#REF!</v>
      </c>
      <c r="AK158" s="18" t="e">
        <f t="shared" si="58"/>
        <v>#REF!</v>
      </c>
      <c r="AL158" s="91" t="e">
        <f>IF(AK158="","",AK158*VLOOKUP("Frame screw",#REF!,2,FALSE))</f>
        <v>#REF!</v>
      </c>
      <c r="AM158" s="18" t="e">
        <f t="shared" si="59"/>
        <v>#REF!</v>
      </c>
      <c r="AN158" s="91" t="e">
        <f>IF(AM158="","",AM158*VLOOKUP("D ring",#REF!,2,FALSE))</f>
        <v>#REF!</v>
      </c>
      <c r="AO158" s="18" t="e">
        <f t="shared" si="60"/>
        <v>#REF!</v>
      </c>
      <c r="AP158" s="91" t="e">
        <f>IF(AO158="","",IF(G158&gt;59,AO158* VLOOKUP("8 wire",#REF!,2,FALSE)*2,IF(G158&gt;39,AO158* VLOOKUP("8 wire",#REF!,2,FALSE),AO158* VLOOKUP("6 wire",#REF!,2,FALSE))))</f>
        <v>#REF!</v>
      </c>
      <c r="AQ158" s="18">
        <f t="shared" si="61"/>
        <v>4</v>
      </c>
      <c r="AR158" s="18" t="e">
        <f>IF(AQ158="","",AQ158*VLOOKUP("Pads",#REF!,2,FALSE))</f>
        <v>#REF!</v>
      </c>
      <c r="AS158" s="18">
        <f t="shared" si="62"/>
        <v>1</v>
      </c>
      <c r="AT158" s="91" t="e">
        <f>IF(AS158="","",AS158*VLOOKUP("4 mil bag",#REF!,2,FALSE))</f>
        <v>#REF!</v>
      </c>
      <c r="AU158" s="91">
        <f>IF(X158="","",IF(I158="N/A","",IF(I158="CNC",IF(G158&gt;37,20,10),VLOOKUP(I158,#REF!,2,FALSE))))</f>
        <v>10</v>
      </c>
      <c r="AV158" s="91" t="e">
        <f>IF(X158="","",IF(I158="CNC",VLOOKUP("Glue stick",#REF!,2,FALSE),""))</f>
        <v>#REF!</v>
      </c>
      <c r="AW158" s="91" t="e">
        <f>IF(X158="","",IF(I158="CNC",16*VLOOKUP("Box staples",#REF!,2,FALSE),""))</f>
        <v>#REF!</v>
      </c>
      <c r="AX158" s="18" t="e">
        <f>IF(X158="","",IF(I158="CNC",((((G158+6)+(F158+6))*2)+24)*VLOOKUP("sealing tape",#REF!,2,FALSE),VLOOKUP("Strapping tape",#REF!,2,FALSE)))</f>
        <v>#REF!</v>
      </c>
      <c r="AY158" s="17"/>
      <c r="AZ158" s="17"/>
      <c r="BA158" s="17"/>
      <c r="BB158" s="17"/>
      <c r="BC158" s="96"/>
      <c r="BD158" s="96"/>
      <c r="BE158" s="96"/>
      <c r="BF158" s="96"/>
      <c r="BG158" s="96"/>
      <c r="BH158" s="96"/>
      <c r="BI158" s="96"/>
    </row>
    <row r="159" spans="1:61" x14ac:dyDescent="0.45">
      <c r="A159" s="103" t="s">
        <v>827</v>
      </c>
      <c r="B159" s="17" t="s">
        <v>2579</v>
      </c>
      <c r="C159" s="16">
        <v>44603</v>
      </c>
      <c r="D159" s="17" t="s">
        <v>66</v>
      </c>
      <c r="E159" s="15" t="s">
        <v>690</v>
      </c>
      <c r="F159" s="17">
        <v>27</v>
      </c>
      <c r="G159" s="17">
        <v>38</v>
      </c>
      <c r="H159" s="3" t="s">
        <v>43</v>
      </c>
      <c r="I159" s="88" t="s">
        <v>41</v>
      </c>
      <c r="J159" s="87">
        <v>44628</v>
      </c>
      <c r="K159" s="15">
        <v>765</v>
      </c>
      <c r="L159" s="96">
        <v>0</v>
      </c>
      <c r="M159" s="89">
        <v>35.520000000000003</v>
      </c>
      <c r="N159" s="88">
        <v>21</v>
      </c>
      <c r="O159" s="413" t="str">
        <f t="shared" si="1"/>
        <v>27 x 38</v>
      </c>
      <c r="P159" s="18" t="str">
        <f t="shared" si="2"/>
        <v>29 x 40</v>
      </c>
      <c r="Q159" s="91" t="str">
        <f t="shared" si="3"/>
        <v>N/A</v>
      </c>
      <c r="R159" s="18" t="str">
        <f t="shared" si="4"/>
        <v>46 x 36 x 6</v>
      </c>
      <c r="S159" s="18">
        <v>46</v>
      </c>
      <c r="T159" s="18">
        <v>36</v>
      </c>
      <c r="U159" s="18">
        <v>6</v>
      </c>
      <c r="V159" s="18">
        <f t="shared" si="47"/>
        <v>121</v>
      </c>
      <c r="W159" s="287" t="str">
        <f t="shared" si="51"/>
        <v/>
      </c>
      <c r="X159" s="287" t="str">
        <f t="shared" si="52"/>
        <v>Yes</v>
      </c>
      <c r="Y159" s="93" t="e">
        <f t="shared" si="53"/>
        <v>#REF!</v>
      </c>
      <c r="Z159" s="288" t="e">
        <f t="shared" si="54"/>
        <v>#REF!</v>
      </c>
      <c r="AA159" s="94" t="e">
        <f t="shared" si="55"/>
        <v>#REF!</v>
      </c>
      <c r="AB159" s="288" t="e">
        <f t="shared" si="56"/>
        <v>#REF!</v>
      </c>
      <c r="AC159" s="91" t="e">
        <f>IF(X159="","",IF(D159="2 3D",((F159-0.5)*2+(G159-0.5)*2)*VLOOKUP("3D base",#REF!,2,FALSE),IF(D159="3 Canv", IF(E159="Roll",0,ROUND(SUM(F159:G159)*2,0)),0)*VLOOKUP("Stretcher Bar",#REF!,2,FALSE)))</f>
        <v>#REF!</v>
      </c>
      <c r="AD159" s="91" t="e">
        <f>IF(X159="","",IF(E159="Roll",0,IF(D159="2 3D",(SUM(F159:G159)*2)*VLOOKUP("3D epoxy",#REF!,2,FALSE),IF(D159="3 Canv",VLOOKUP("Wood glue",#REF!,2,FALSE),""))))</f>
        <v>#REF!</v>
      </c>
      <c r="AE159" s="91" t="e">
        <f>IF(D159="3 Canv",(((F159+5)*(G159+5)))*VLOOKUP("Canvas",#REF!,2,FALSE),IF(D159="2 3D",(((F159)*(G159)))*VLOOKUP("Dibond",#REF!,2,FALSE),""))</f>
        <v>#REF!</v>
      </c>
      <c r="AF159" s="91" t="e">
        <f>IF(D159="2 3D",F159*G159*VLOOKUP("3D ink",#REF!,2,FALSE),IF(D159="3 Canv",F159*G159*VLOOKUP("Canvas ink",#REF!,2,FALSE),""))</f>
        <v>#REF!</v>
      </c>
      <c r="AG159" s="91" t="e">
        <f>IF(D159="3 Canv",IF(E159="Roll","",ROUNDUP((SUM(F159:G159)*2)/3,"")*VLOOKUP("Staples",#REF!,2,FALSE)),"")</f>
        <v>#VALUE!</v>
      </c>
      <c r="AH159" s="91" t="e">
        <f>IF(AF159="","",(SUM(F159:G159)*2)*VLOOKUP(E159,#REF!,2,FALSE))</f>
        <v>#REF!</v>
      </c>
      <c r="AI159" s="18">
        <f t="shared" si="57"/>
        <v>44</v>
      </c>
      <c r="AJ159" s="91" t="e">
        <f>IF(AI159="","",AI159*VLOOKUP("Staples",#REF!,2,FALSE))</f>
        <v>#REF!</v>
      </c>
      <c r="AK159" s="18" t="e">
        <f t="shared" si="58"/>
        <v>#REF!</v>
      </c>
      <c r="AL159" s="91" t="e">
        <f>IF(AK159="","",AK159*VLOOKUP("Frame screw",#REF!,2,FALSE))</f>
        <v>#REF!</v>
      </c>
      <c r="AM159" s="18" t="e">
        <f t="shared" si="59"/>
        <v>#REF!</v>
      </c>
      <c r="AN159" s="91" t="e">
        <f>IF(AM159="","",AM159*VLOOKUP("D ring",#REF!,2,FALSE))</f>
        <v>#REF!</v>
      </c>
      <c r="AO159" s="18" t="e">
        <f t="shared" si="60"/>
        <v>#REF!</v>
      </c>
      <c r="AP159" s="91" t="e">
        <f>IF(AO159="","",IF(G159&gt;59,AO159* VLOOKUP("8 wire",#REF!,2,FALSE)*2,IF(G159&gt;39,AO159* VLOOKUP("8 wire",#REF!,2,FALSE),AO159* VLOOKUP("6 wire",#REF!,2,FALSE))))</f>
        <v>#REF!</v>
      </c>
      <c r="AQ159" s="18">
        <f t="shared" si="61"/>
        <v>4</v>
      </c>
      <c r="AR159" s="18" t="e">
        <f>IF(AQ159="","",AQ159*VLOOKUP("Pads",#REF!,2,FALSE))</f>
        <v>#REF!</v>
      </c>
      <c r="AS159" s="18">
        <f t="shared" si="62"/>
        <v>1</v>
      </c>
      <c r="AT159" s="91" t="e">
        <f>IF(AS159="","",AS159*VLOOKUP("4 mil bag",#REF!,2,FALSE))</f>
        <v>#REF!</v>
      </c>
      <c r="AU159" s="91">
        <f>IF(X159="","",IF(I159="N/A","",IF(I159="CNC",IF(G159&gt;37,20,10),VLOOKUP(I159,#REF!,2,FALSE))))</f>
        <v>20</v>
      </c>
      <c r="AV159" s="91" t="e">
        <f>IF(X159="","",IF(I159="CNC",VLOOKUP("Glue stick",#REF!,2,FALSE),""))</f>
        <v>#REF!</v>
      </c>
      <c r="AW159" s="91" t="e">
        <f>IF(X159="","",IF(I159="CNC",16*VLOOKUP("Box staples",#REF!,2,FALSE),""))</f>
        <v>#REF!</v>
      </c>
      <c r="AX159" s="18" t="e">
        <f>IF(X159="","",IF(I159="CNC",((((G159+6)+(F159+6))*2)+24)*VLOOKUP("sealing tape",#REF!,2,FALSE),VLOOKUP("Strapping tape",#REF!,2,FALSE)))</f>
        <v>#REF!</v>
      </c>
      <c r="AY159" s="17"/>
      <c r="AZ159" s="17"/>
      <c r="BA159" s="17"/>
      <c r="BB159" s="17"/>
      <c r="BC159" s="96"/>
      <c r="BD159" s="96"/>
      <c r="BE159" s="96"/>
      <c r="BF159" s="96"/>
      <c r="BG159" s="96"/>
      <c r="BH159" s="96"/>
      <c r="BI159" s="96"/>
    </row>
    <row r="160" spans="1:61" x14ac:dyDescent="0.45">
      <c r="A160" s="103" t="s">
        <v>992</v>
      </c>
      <c r="B160" s="17" t="s">
        <v>1227</v>
      </c>
      <c r="C160" s="16">
        <v>44607</v>
      </c>
      <c r="D160" s="17" t="s">
        <v>54</v>
      </c>
      <c r="E160" s="15" t="s">
        <v>690</v>
      </c>
      <c r="F160" s="17">
        <v>27</v>
      </c>
      <c r="G160" s="17">
        <v>36</v>
      </c>
      <c r="H160" s="3" t="s">
        <v>43</v>
      </c>
      <c r="I160" s="88" t="s">
        <v>41</v>
      </c>
      <c r="J160" s="87">
        <v>44629</v>
      </c>
      <c r="K160" s="15">
        <v>2400</v>
      </c>
      <c r="L160" s="96">
        <f t="shared" ref="L160:L161" si="63">265/2</f>
        <v>132.5</v>
      </c>
      <c r="M160" s="89">
        <f t="shared" ref="M160:M161" si="64">190.2/2</f>
        <v>95.1</v>
      </c>
      <c r="N160" s="88">
        <v>22</v>
      </c>
      <c r="O160" s="413" t="str">
        <f t="shared" si="1"/>
        <v>27 x 36</v>
      </c>
      <c r="P160" s="18" t="str">
        <f t="shared" si="2"/>
        <v>29 x 38</v>
      </c>
      <c r="Q160" s="91" t="str">
        <f t="shared" si="3"/>
        <v>N/A</v>
      </c>
      <c r="R160" s="18" t="str">
        <f t="shared" si="4"/>
        <v>44 x 36 x 6</v>
      </c>
      <c r="S160" s="18">
        <v>44</v>
      </c>
      <c r="T160" s="18">
        <v>36</v>
      </c>
      <c r="U160" s="18">
        <v>6</v>
      </c>
      <c r="V160" s="18">
        <f t="shared" si="47"/>
        <v>119</v>
      </c>
      <c r="W160" s="287">
        <f t="shared" si="51"/>
        <v>0.7177358490566037</v>
      </c>
      <c r="X160" s="287" t="str">
        <f t="shared" si="52"/>
        <v>Yes</v>
      </c>
      <c r="Y160" s="93" t="e">
        <f t="shared" si="53"/>
        <v>#REF!</v>
      </c>
      <c r="Z160" s="288" t="e">
        <f t="shared" si="54"/>
        <v>#REF!</v>
      </c>
      <c r="AA160" s="94" t="e">
        <f t="shared" si="55"/>
        <v>#REF!</v>
      </c>
      <c r="AB160" s="288" t="e">
        <f t="shared" si="56"/>
        <v>#REF!</v>
      </c>
      <c r="AC160" s="91" t="e">
        <f>IF(X160="","",IF(D160="2 3D",((F160-0.5)*2+(G160-0.5)*2)*VLOOKUP("3D base",#REF!,2,FALSE),IF(D160="3 Canv", IF(E160="Roll",0,ROUND(SUM(F160:G160)*2,0)),0)*VLOOKUP("Stretcher Bar",#REF!,2,FALSE)))</f>
        <v>#REF!</v>
      </c>
      <c r="AD160" s="91" t="e">
        <f>IF(X160="","",IF(E160="Roll",0,IF(D160="2 3D",(SUM(F160:G160)*2)*VLOOKUP("3D epoxy",#REF!,2,FALSE),IF(D160="3 Canv",VLOOKUP("Wood glue",#REF!,2,FALSE),""))))</f>
        <v>#REF!</v>
      </c>
      <c r="AE160" s="91" t="e">
        <f>IF(D160="3 Canv",(((F160+5)*(G160+5)))*VLOOKUP("Canvas",#REF!,2,FALSE),IF(D160="2 3D",(((F160)*(G160)))*VLOOKUP("Dibond",#REF!,2,FALSE),""))</f>
        <v>#REF!</v>
      </c>
      <c r="AF160" s="91" t="e">
        <f>IF(D160="2 3D",F160*G160*VLOOKUP("3D ink",#REF!,2,FALSE),IF(D160="3 Canv",F160*G160*VLOOKUP("Canvas ink",#REF!,2,FALSE),""))</f>
        <v>#REF!</v>
      </c>
      <c r="AG160" s="91" t="str">
        <f>IF(D160="3 Canv",IF(E160="Roll","",ROUNDUP((SUM(F160:G160)*2)/3,"")*VLOOKUP("Staples",#REF!,2,FALSE)),"")</f>
        <v/>
      </c>
      <c r="AH160" s="91" t="e">
        <f>IF(AF160="","",(SUM(F160:G160)*2)*VLOOKUP(E160,#REF!,2,FALSE))</f>
        <v>#REF!</v>
      </c>
      <c r="AI160" s="18">
        <f t="shared" si="57"/>
        <v>44</v>
      </c>
      <c r="AJ160" s="91" t="e">
        <f>IF(AI160="","",AI160*VLOOKUP("Staples",#REF!,2,FALSE))</f>
        <v>#REF!</v>
      </c>
      <c r="AK160" s="18" t="e">
        <f t="shared" si="58"/>
        <v>#REF!</v>
      </c>
      <c r="AL160" s="91" t="e">
        <f>IF(AK160="","",AK160*VLOOKUP("Frame screw",#REF!,2,FALSE))</f>
        <v>#REF!</v>
      </c>
      <c r="AM160" s="18" t="e">
        <f t="shared" si="59"/>
        <v>#REF!</v>
      </c>
      <c r="AN160" s="91" t="e">
        <f>IF(AM160="","",AM160*VLOOKUP("D ring",#REF!,2,FALSE))</f>
        <v>#REF!</v>
      </c>
      <c r="AO160" s="18" t="e">
        <f t="shared" si="60"/>
        <v>#REF!</v>
      </c>
      <c r="AP160" s="91" t="e">
        <f>IF(AO160="","",IF(G160&gt;59,AO160* VLOOKUP("8 wire",#REF!,2,FALSE)*2,IF(G160&gt;39,AO160* VLOOKUP("8 wire",#REF!,2,FALSE),AO160* VLOOKUP("6 wire",#REF!,2,FALSE))))</f>
        <v>#REF!</v>
      </c>
      <c r="AQ160" s="18">
        <f t="shared" si="61"/>
        <v>4</v>
      </c>
      <c r="AR160" s="18" t="e">
        <f>IF(AQ160="","",AQ160*VLOOKUP("Pads",#REF!,2,FALSE))</f>
        <v>#REF!</v>
      </c>
      <c r="AS160" s="18">
        <f t="shared" si="62"/>
        <v>1</v>
      </c>
      <c r="AT160" s="91" t="e">
        <f>IF(AS160="","",AS160*VLOOKUP("4 mil bag",#REF!,2,FALSE))</f>
        <v>#REF!</v>
      </c>
      <c r="AU160" s="91">
        <f>IF(X160="","",IF(I160="N/A","",IF(I160="CNC",IF(G160&gt;37,20,10),VLOOKUP(I160,#REF!,2,FALSE))))</f>
        <v>10</v>
      </c>
      <c r="AV160" s="91" t="e">
        <f>IF(X160="","",IF(I160="CNC",VLOOKUP("Glue stick",#REF!,2,FALSE),""))</f>
        <v>#REF!</v>
      </c>
      <c r="AW160" s="91" t="e">
        <f>IF(X160="","",IF(I160="CNC",16*VLOOKUP("Box staples",#REF!,2,FALSE),""))</f>
        <v>#REF!</v>
      </c>
      <c r="AX160" s="18" t="e">
        <f>IF(X160="","",IF(I160="CNC",((((G160+6)+(F160+6))*2)+24)*VLOOKUP("sealing tape",#REF!,2,FALSE),VLOOKUP("Strapping tape",#REF!,2,FALSE)))</f>
        <v>#REF!</v>
      </c>
      <c r="AY160" s="17"/>
      <c r="AZ160" s="17"/>
      <c r="BA160" s="17"/>
      <c r="BB160" s="17"/>
      <c r="BC160" s="96"/>
      <c r="BD160" s="96"/>
      <c r="BE160" s="96"/>
      <c r="BF160" s="96"/>
      <c r="BG160" s="96"/>
      <c r="BH160" s="96"/>
      <c r="BI160" s="96"/>
    </row>
    <row r="161" spans="1:61" x14ac:dyDescent="0.45">
      <c r="A161" s="103" t="s">
        <v>1163</v>
      </c>
      <c r="B161" s="17" t="s">
        <v>1227</v>
      </c>
      <c r="C161" s="16">
        <v>44607</v>
      </c>
      <c r="D161" s="17" t="s">
        <v>54</v>
      </c>
      <c r="E161" s="15" t="s">
        <v>690</v>
      </c>
      <c r="F161" s="17">
        <v>30</v>
      </c>
      <c r="G161" s="17">
        <v>40</v>
      </c>
      <c r="H161" s="3" t="s">
        <v>43</v>
      </c>
      <c r="I161" s="88" t="s">
        <v>41</v>
      </c>
      <c r="J161" s="87">
        <v>44629</v>
      </c>
      <c r="K161" s="15">
        <v>2880</v>
      </c>
      <c r="L161" s="96">
        <f t="shared" si="63"/>
        <v>132.5</v>
      </c>
      <c r="M161" s="89">
        <f t="shared" si="64"/>
        <v>95.1</v>
      </c>
      <c r="N161" s="88">
        <v>25</v>
      </c>
      <c r="O161" s="413" t="str">
        <f t="shared" si="1"/>
        <v>30 x 40</v>
      </c>
      <c r="P161" s="18" t="str">
        <f t="shared" si="2"/>
        <v>32 x 42</v>
      </c>
      <c r="Q161" s="91" t="str">
        <f t="shared" si="3"/>
        <v>N/A</v>
      </c>
      <c r="R161" s="18" t="str">
        <f t="shared" si="4"/>
        <v>48 x 39 x 6</v>
      </c>
      <c r="S161" s="18">
        <v>48</v>
      </c>
      <c r="T161" s="18">
        <v>39</v>
      </c>
      <c r="U161" s="18">
        <v>6</v>
      </c>
      <c r="V161" s="18">
        <f t="shared" si="47"/>
        <v>129</v>
      </c>
      <c r="W161" s="287">
        <f t="shared" si="51"/>
        <v>0.7177358490566037</v>
      </c>
      <c r="X161" s="287" t="str">
        <f t="shared" si="52"/>
        <v>Yes</v>
      </c>
      <c r="Y161" s="93" t="e">
        <f t="shared" si="53"/>
        <v>#REF!</v>
      </c>
      <c r="Z161" s="288" t="e">
        <f t="shared" si="54"/>
        <v>#REF!</v>
      </c>
      <c r="AA161" s="94" t="e">
        <f t="shared" si="55"/>
        <v>#REF!</v>
      </c>
      <c r="AB161" s="288" t="e">
        <f t="shared" si="56"/>
        <v>#REF!</v>
      </c>
      <c r="AC161" s="91" t="e">
        <f>IF(X161="","",IF(D161="2 3D",((F161-0.5)*2+(G161-0.5)*2)*VLOOKUP("3D base",#REF!,2,FALSE),IF(D161="3 Canv", IF(E161="Roll",0,ROUND(SUM(F161:G161)*2,0)),0)*VLOOKUP("Stretcher Bar",#REF!,2,FALSE)))</f>
        <v>#REF!</v>
      </c>
      <c r="AD161" s="91" t="e">
        <f>IF(X161="","",IF(E161="Roll",0,IF(D161="2 3D",(SUM(F161:G161)*2)*VLOOKUP("3D epoxy",#REF!,2,FALSE),IF(D161="3 Canv",VLOOKUP("Wood glue",#REF!,2,FALSE),""))))</f>
        <v>#REF!</v>
      </c>
      <c r="AE161" s="91" t="e">
        <f>IF(D161="3 Canv",(((F161+5)*(G161+5)))*VLOOKUP("Canvas",#REF!,2,FALSE),IF(D161="2 3D",(((F161)*(G161)))*VLOOKUP("Dibond",#REF!,2,FALSE),""))</f>
        <v>#REF!</v>
      </c>
      <c r="AF161" s="91" t="e">
        <f>IF(D161="2 3D",F161*G161*VLOOKUP("3D ink",#REF!,2,FALSE),IF(D161="3 Canv",F161*G161*VLOOKUP("Canvas ink",#REF!,2,FALSE),""))</f>
        <v>#REF!</v>
      </c>
      <c r="AG161" s="91" t="str">
        <f>IF(D161="3 Canv",IF(E161="Roll","",ROUNDUP((SUM(F161:G161)*2)/3,"")*VLOOKUP("Staples",#REF!,2,FALSE)),"")</f>
        <v/>
      </c>
      <c r="AH161" s="91" t="e">
        <f>IF(AF161="","",(SUM(F161:G161)*2)*VLOOKUP(E161,#REF!,2,FALSE))</f>
        <v>#REF!</v>
      </c>
      <c r="AI161" s="18">
        <f t="shared" si="57"/>
        <v>44</v>
      </c>
      <c r="AJ161" s="91" t="e">
        <f>IF(AI161="","",AI161*VLOOKUP("Staples",#REF!,2,FALSE))</f>
        <v>#REF!</v>
      </c>
      <c r="AK161" s="18" t="e">
        <f t="shared" si="58"/>
        <v>#REF!</v>
      </c>
      <c r="AL161" s="91" t="e">
        <f>IF(AK161="","",AK161*VLOOKUP("Frame screw",#REF!,2,FALSE))</f>
        <v>#REF!</v>
      </c>
      <c r="AM161" s="18" t="e">
        <f t="shared" si="59"/>
        <v>#REF!</v>
      </c>
      <c r="AN161" s="91" t="e">
        <f>IF(AM161="","",AM161*VLOOKUP("D ring",#REF!,2,FALSE))</f>
        <v>#REF!</v>
      </c>
      <c r="AO161" s="18" t="e">
        <f t="shared" si="60"/>
        <v>#REF!</v>
      </c>
      <c r="AP161" s="91" t="e">
        <f>IF(AO161="","",IF(G161&gt;59,AO161* VLOOKUP("8 wire",#REF!,2,FALSE)*2,IF(G161&gt;39,AO161* VLOOKUP("8 wire",#REF!,2,FALSE),AO161* VLOOKUP("6 wire",#REF!,2,FALSE))))</f>
        <v>#REF!</v>
      </c>
      <c r="AQ161" s="18">
        <f t="shared" si="61"/>
        <v>4</v>
      </c>
      <c r="AR161" s="18" t="e">
        <f>IF(AQ161="","",AQ161*VLOOKUP("Pads",#REF!,2,FALSE))</f>
        <v>#REF!</v>
      </c>
      <c r="AS161" s="18">
        <f t="shared" si="62"/>
        <v>1</v>
      </c>
      <c r="AT161" s="91" t="e">
        <f>IF(AS161="","",AS161*VLOOKUP("4 mil bag",#REF!,2,FALSE))</f>
        <v>#REF!</v>
      </c>
      <c r="AU161" s="91">
        <f>IF(X161="","",IF(I161="N/A","",IF(I161="CNC",IF(G161&gt;37,20,10),VLOOKUP(I161,#REF!,2,FALSE))))</f>
        <v>20</v>
      </c>
      <c r="AV161" s="91" t="e">
        <f>IF(X161="","",IF(I161="CNC",VLOOKUP("Glue stick",#REF!,2,FALSE),""))</f>
        <v>#REF!</v>
      </c>
      <c r="AW161" s="91" t="e">
        <f>IF(X161="","",IF(I161="CNC",16*VLOOKUP("Box staples",#REF!,2,FALSE),""))</f>
        <v>#REF!</v>
      </c>
      <c r="AX161" s="18" t="e">
        <f>IF(X161="","",IF(I161="CNC",((((G161+6)+(F161+6))*2)+24)*VLOOKUP("sealing tape",#REF!,2,FALSE),VLOOKUP("Strapping tape",#REF!,2,FALSE)))</f>
        <v>#REF!</v>
      </c>
      <c r="AY161" s="17"/>
      <c r="AZ161" s="17"/>
      <c r="BA161" s="17"/>
      <c r="BB161" s="17"/>
      <c r="BC161" s="96"/>
      <c r="BD161" s="96"/>
      <c r="BE161" s="96"/>
      <c r="BF161" s="96"/>
      <c r="BG161" s="96"/>
      <c r="BH161" s="96"/>
      <c r="BI161" s="96"/>
    </row>
    <row r="162" spans="1:61" x14ac:dyDescent="0.45">
      <c r="A162" s="103" t="s">
        <v>554</v>
      </c>
      <c r="B162" s="17" t="s">
        <v>1226</v>
      </c>
      <c r="C162" s="16">
        <v>44605</v>
      </c>
      <c r="D162" s="17" t="s">
        <v>54</v>
      </c>
      <c r="E162" s="15" t="s">
        <v>690</v>
      </c>
      <c r="F162" s="17">
        <v>21</v>
      </c>
      <c r="G162" s="17">
        <v>28</v>
      </c>
      <c r="H162" s="3" t="s">
        <v>43</v>
      </c>
      <c r="I162" s="88" t="s">
        <v>41</v>
      </c>
      <c r="J162" s="87">
        <v>44629</v>
      </c>
      <c r="K162" s="15">
        <v>1530</v>
      </c>
      <c r="L162" s="96">
        <v>0</v>
      </c>
      <c r="M162" s="89">
        <v>40.159999999999997</v>
      </c>
      <c r="N162" s="88">
        <v>17</v>
      </c>
      <c r="O162" s="413" t="str">
        <f t="shared" si="1"/>
        <v>21 x 28</v>
      </c>
      <c r="P162" s="18" t="str">
        <f t="shared" si="2"/>
        <v>23 x 30</v>
      </c>
      <c r="Q162" s="91" t="str">
        <f t="shared" si="3"/>
        <v>N/A</v>
      </c>
      <c r="R162" s="18" t="str">
        <f t="shared" si="4"/>
        <v>36 x 30 x 6</v>
      </c>
      <c r="S162" s="18">
        <v>36</v>
      </c>
      <c r="T162" s="18">
        <v>30</v>
      </c>
      <c r="U162" s="18">
        <v>6</v>
      </c>
      <c r="V162" s="18">
        <f t="shared" si="47"/>
        <v>99</v>
      </c>
      <c r="W162" s="287" t="str">
        <f t="shared" si="51"/>
        <v/>
      </c>
      <c r="X162" s="287" t="str">
        <f t="shared" si="52"/>
        <v>Yes</v>
      </c>
      <c r="Y162" s="93" t="e">
        <f t="shared" si="53"/>
        <v>#REF!</v>
      </c>
      <c r="Z162" s="288" t="e">
        <f t="shared" si="54"/>
        <v>#REF!</v>
      </c>
      <c r="AA162" s="94" t="e">
        <f t="shared" si="55"/>
        <v>#REF!</v>
      </c>
      <c r="AB162" s="288" t="e">
        <f t="shared" si="56"/>
        <v>#REF!</v>
      </c>
      <c r="AC162" s="91" t="e">
        <f>IF(X162="","",IF(D162="2 3D",((F162-0.5)*2+(G162-0.5)*2)*VLOOKUP("3D base",#REF!,2,FALSE),IF(D162="3 Canv", IF(E162="Roll",0,ROUND(SUM(F162:G162)*2,0)),0)*VLOOKUP("Stretcher Bar",#REF!,2,FALSE)))</f>
        <v>#REF!</v>
      </c>
      <c r="AD162" s="91" t="e">
        <f>IF(X162="","",IF(E162="Roll",0,IF(D162="2 3D",(SUM(F162:G162)*2)*VLOOKUP("3D epoxy",#REF!,2,FALSE),IF(D162="3 Canv",VLOOKUP("Wood glue",#REF!,2,FALSE),""))))</f>
        <v>#REF!</v>
      </c>
      <c r="AE162" s="91" t="e">
        <f>IF(D162="3 Canv",(((F162+5)*(G162+5)))*VLOOKUP("Canvas",#REF!,2,FALSE),IF(D162="2 3D",(((F162)*(G162)))*VLOOKUP("Dibond",#REF!,2,FALSE),""))</f>
        <v>#REF!</v>
      </c>
      <c r="AF162" s="91" t="e">
        <f>IF(D162="2 3D",F162*G162*VLOOKUP("3D ink",#REF!,2,FALSE),IF(D162="3 Canv",F162*G162*VLOOKUP("Canvas ink",#REF!,2,FALSE),""))</f>
        <v>#REF!</v>
      </c>
      <c r="AG162" s="91" t="str">
        <f>IF(D162="3 Canv",IF(E162="Roll","",ROUNDUP((SUM(F162:G162)*2)/3,"")*VLOOKUP("Staples",#REF!,2,FALSE)),"")</f>
        <v/>
      </c>
      <c r="AH162" s="91" t="e">
        <f>IF(AF162="","",(SUM(F162:G162)*2)*VLOOKUP(E162,#REF!,2,FALSE))</f>
        <v>#REF!</v>
      </c>
      <c r="AI162" s="18">
        <f t="shared" si="57"/>
        <v>44</v>
      </c>
      <c r="AJ162" s="91" t="e">
        <f>IF(AI162="","",AI162*VLOOKUP("Staples",#REF!,2,FALSE))</f>
        <v>#REF!</v>
      </c>
      <c r="AK162" s="18" t="e">
        <f t="shared" si="58"/>
        <v>#REF!</v>
      </c>
      <c r="AL162" s="91" t="e">
        <f>IF(AK162="","",AK162*VLOOKUP("Frame screw",#REF!,2,FALSE))</f>
        <v>#REF!</v>
      </c>
      <c r="AM162" s="18" t="e">
        <f t="shared" si="59"/>
        <v>#REF!</v>
      </c>
      <c r="AN162" s="91" t="e">
        <f>IF(AM162="","",AM162*VLOOKUP("D ring",#REF!,2,FALSE))</f>
        <v>#REF!</v>
      </c>
      <c r="AO162" s="18" t="e">
        <f t="shared" si="60"/>
        <v>#REF!</v>
      </c>
      <c r="AP162" s="91" t="e">
        <f>IF(AO162="","",IF(G162&gt;59,AO162* VLOOKUP("8 wire",#REF!,2,FALSE)*2,IF(G162&gt;39,AO162* VLOOKUP("8 wire",#REF!,2,FALSE),AO162* VLOOKUP("6 wire",#REF!,2,FALSE))))</f>
        <v>#REF!</v>
      </c>
      <c r="AQ162" s="18">
        <f t="shared" si="61"/>
        <v>4</v>
      </c>
      <c r="AR162" s="18" t="e">
        <f>IF(AQ162="","",AQ162*VLOOKUP("Pads",#REF!,2,FALSE))</f>
        <v>#REF!</v>
      </c>
      <c r="AS162" s="18">
        <f t="shared" si="62"/>
        <v>1</v>
      </c>
      <c r="AT162" s="91" t="e">
        <f>IF(AS162="","",AS162*VLOOKUP("4 mil bag",#REF!,2,FALSE))</f>
        <v>#REF!</v>
      </c>
      <c r="AU162" s="91">
        <f>IF(X162="","",IF(I162="N/A","",IF(I162="CNC",IF(G162&gt;37,20,10),VLOOKUP(I162,#REF!,2,FALSE))))</f>
        <v>10</v>
      </c>
      <c r="AV162" s="91" t="e">
        <f>IF(X162="","",IF(I162="CNC",VLOOKUP("Glue stick",#REF!,2,FALSE),""))</f>
        <v>#REF!</v>
      </c>
      <c r="AW162" s="91" t="e">
        <f>IF(X162="","",IF(I162="CNC",16*VLOOKUP("Box staples",#REF!,2,FALSE),""))</f>
        <v>#REF!</v>
      </c>
      <c r="AX162" s="18" t="e">
        <f>IF(X162="","",IF(I162="CNC",((((G162+6)+(F162+6))*2)+24)*VLOOKUP("sealing tape",#REF!,2,FALSE),VLOOKUP("Strapping tape",#REF!,2,FALSE)))</f>
        <v>#REF!</v>
      </c>
      <c r="AY162" s="17"/>
      <c r="AZ162" s="17"/>
      <c r="BA162" s="17"/>
      <c r="BB162" s="17"/>
      <c r="BC162" s="96"/>
      <c r="BD162" s="96"/>
      <c r="BE162" s="96"/>
      <c r="BF162" s="96"/>
      <c r="BG162" s="96"/>
      <c r="BH162" s="96"/>
      <c r="BI162" s="96"/>
    </row>
    <row r="163" spans="1:61" x14ac:dyDescent="0.45">
      <c r="A163" s="103" t="s">
        <v>472</v>
      </c>
      <c r="B163" s="17" t="s">
        <v>1213</v>
      </c>
      <c r="C163" s="16">
        <v>44606</v>
      </c>
      <c r="D163" s="17" t="s">
        <v>66</v>
      </c>
      <c r="E163" s="15" t="s">
        <v>50</v>
      </c>
      <c r="F163" s="17">
        <v>36</v>
      </c>
      <c r="G163" s="17">
        <v>60</v>
      </c>
      <c r="H163" s="3" t="s">
        <v>43</v>
      </c>
      <c r="I163" s="88" t="s">
        <v>41</v>
      </c>
      <c r="J163" s="87">
        <v>44629</v>
      </c>
      <c r="K163" s="15">
        <v>960.5</v>
      </c>
      <c r="L163" s="96">
        <v>60</v>
      </c>
      <c r="M163" s="89">
        <v>151.84</v>
      </c>
      <c r="N163" s="88">
        <v>24</v>
      </c>
      <c r="O163" s="413" t="str">
        <f t="shared" si="1"/>
        <v>36 x 60</v>
      </c>
      <c r="P163" s="18" t="str">
        <f t="shared" si="2"/>
        <v>36 x 60</v>
      </c>
      <c r="Q163" s="91" t="str">
        <f t="shared" si="3"/>
        <v>N/A</v>
      </c>
      <c r="R163" s="18" t="str">
        <f t="shared" si="4"/>
        <v>66 x 42 x 6</v>
      </c>
      <c r="S163" s="18">
        <v>66</v>
      </c>
      <c r="T163" s="18">
        <v>42</v>
      </c>
      <c r="U163" s="18">
        <v>6</v>
      </c>
      <c r="V163" s="18">
        <f t="shared" si="47"/>
        <v>161</v>
      </c>
      <c r="W163" s="287">
        <f t="shared" si="51"/>
        <v>2.5306666666666668</v>
      </c>
      <c r="X163" s="287" t="str">
        <f t="shared" si="52"/>
        <v>Yes</v>
      </c>
      <c r="Y163" s="93" t="e">
        <f t="shared" si="53"/>
        <v>#REF!</v>
      </c>
      <c r="Z163" s="288" t="e">
        <f t="shared" si="54"/>
        <v>#REF!</v>
      </c>
      <c r="AA163" s="94" t="e">
        <f t="shared" si="55"/>
        <v>#REF!</v>
      </c>
      <c r="AB163" s="288" t="e">
        <f t="shared" si="56"/>
        <v>#REF!</v>
      </c>
      <c r="AC163" s="91" t="e">
        <f>IF(X163="","",IF(D163="2 3D",((F163-0.5)*2+(G163-0.5)*2)*VLOOKUP("3D base",#REF!,2,FALSE),IF(D163="3 Canv", IF(E163="Roll",0,ROUND(SUM(F163:G163)*2,0)),0)*VLOOKUP("Stretcher Bar",#REF!,2,FALSE)))</f>
        <v>#REF!</v>
      </c>
      <c r="AD163" s="91" t="e">
        <f>IF(X163="","",IF(E163="Roll",0,IF(D163="2 3D",(SUM(F163:G163)*2)*VLOOKUP("3D epoxy",#REF!,2,FALSE),IF(D163="3 Canv",VLOOKUP("Wood glue",#REF!,2,FALSE),""))))</f>
        <v>#REF!</v>
      </c>
      <c r="AE163" s="91" t="e">
        <f>IF(D163="3 Canv",(((F163+5)*(G163+5)))*VLOOKUP("Canvas",#REF!,2,FALSE),IF(D163="2 3D",(((F163)*(G163)))*VLOOKUP("Dibond",#REF!,2,FALSE),""))</f>
        <v>#REF!</v>
      </c>
      <c r="AF163" s="91" t="e">
        <f>IF(D163="2 3D",F163*G163*VLOOKUP("3D ink",#REF!,2,FALSE),IF(D163="3 Canv",F163*G163*VLOOKUP("Canvas ink",#REF!,2,FALSE),""))</f>
        <v>#REF!</v>
      </c>
      <c r="AG163" s="91" t="e">
        <f>IF(D163="3 Canv",IF(E163="Roll","",ROUNDUP((SUM(F163:G163)*2)/3,"")*VLOOKUP("Staples",#REF!,2,FALSE)),"")</f>
        <v>#VALUE!</v>
      </c>
      <c r="AH163" s="91" t="e">
        <f>IF(AF163="","",(SUM(F163:G163)*2)*VLOOKUP(E163,#REF!,2,FALSE))</f>
        <v>#REF!</v>
      </c>
      <c r="AI163" s="18">
        <f t="shared" si="57"/>
        <v>16</v>
      </c>
      <c r="AJ163" s="91" t="e">
        <f>IF(AI163="","",AI163*VLOOKUP("Staples",#REF!,2,FALSE))</f>
        <v>#REF!</v>
      </c>
      <c r="AK163" s="18" t="e">
        <f t="shared" si="58"/>
        <v>#REF!</v>
      </c>
      <c r="AL163" s="91" t="e">
        <f>IF(AK163="","",AK163*VLOOKUP("Frame screw",#REF!,2,FALSE))</f>
        <v>#REF!</v>
      </c>
      <c r="AM163" s="18" t="e">
        <f t="shared" si="59"/>
        <v>#REF!</v>
      </c>
      <c r="AN163" s="91" t="e">
        <f>IF(AM163="","",AM163*VLOOKUP("D ring",#REF!,2,FALSE))</f>
        <v>#REF!</v>
      </c>
      <c r="AO163" s="18" t="e">
        <f t="shared" si="60"/>
        <v>#REF!</v>
      </c>
      <c r="AP163" s="91" t="e">
        <f>IF(AO163="","",IF(G163&gt;59,AO163* VLOOKUP("8 wire",#REF!,2,FALSE)*2,IF(G163&gt;39,AO163* VLOOKUP("8 wire",#REF!,2,FALSE),AO163* VLOOKUP("6 wire",#REF!,2,FALSE))))</f>
        <v>#REF!</v>
      </c>
      <c r="AQ163" s="18">
        <f t="shared" si="61"/>
        <v>4</v>
      </c>
      <c r="AR163" s="18" t="e">
        <f>IF(AQ163="","",AQ163*VLOOKUP("Pads",#REF!,2,FALSE))</f>
        <v>#REF!</v>
      </c>
      <c r="AS163" s="18">
        <f t="shared" si="62"/>
        <v>1</v>
      </c>
      <c r="AT163" s="91" t="e">
        <f>IF(AS163="","",AS163*VLOOKUP("4 mil bag",#REF!,2,FALSE))</f>
        <v>#REF!</v>
      </c>
      <c r="AU163" s="91">
        <f>IF(X163="","",IF(I163="N/A","",IF(I163="CNC",IF(G163&gt;37,20,10),VLOOKUP(I163,#REF!,2,FALSE))))</f>
        <v>20</v>
      </c>
      <c r="AV163" s="91" t="e">
        <f>IF(X163="","",IF(I163="CNC",VLOOKUP("Glue stick",#REF!,2,FALSE),""))</f>
        <v>#REF!</v>
      </c>
      <c r="AW163" s="91" t="e">
        <f>IF(X163="","",IF(I163="CNC",16*VLOOKUP("Box staples",#REF!,2,FALSE),""))</f>
        <v>#REF!</v>
      </c>
      <c r="AX163" s="18" t="e">
        <f>IF(X163="","",IF(I163="CNC",((((G163+6)+(F163+6))*2)+24)*VLOOKUP("sealing tape",#REF!,2,FALSE),VLOOKUP("Strapping tape",#REF!,2,FALSE)))</f>
        <v>#REF!</v>
      </c>
      <c r="AY163" s="17"/>
      <c r="AZ163" s="17"/>
      <c r="BA163" s="17"/>
      <c r="BB163" s="17"/>
      <c r="BC163" s="96"/>
      <c r="BD163" s="96"/>
      <c r="BE163" s="96"/>
      <c r="BF163" s="96"/>
      <c r="BG163" s="96"/>
      <c r="BH163" s="96"/>
      <c r="BI163" s="96"/>
    </row>
    <row r="164" spans="1:61" x14ac:dyDescent="0.45">
      <c r="A164" s="261" t="s">
        <v>518</v>
      </c>
      <c r="B164" s="101" t="s">
        <v>963</v>
      </c>
      <c r="C164" s="263">
        <v>44607</v>
      </c>
      <c r="D164" s="101" t="s">
        <v>66</v>
      </c>
      <c r="E164" s="262" t="s">
        <v>50</v>
      </c>
      <c r="F164" s="101">
        <v>21</v>
      </c>
      <c r="G164" s="101">
        <v>28</v>
      </c>
      <c r="H164" s="264" t="s">
        <v>43</v>
      </c>
      <c r="I164" s="98" t="s">
        <v>41</v>
      </c>
      <c r="J164" s="97">
        <v>44629</v>
      </c>
      <c r="K164" s="262">
        <v>408</v>
      </c>
      <c r="L164" s="265">
        <v>25</v>
      </c>
      <c r="M164" s="99">
        <v>22.84</v>
      </c>
      <c r="N164" s="98">
        <v>9</v>
      </c>
      <c r="O164" s="414" t="str">
        <f t="shared" si="1"/>
        <v>21 x 28</v>
      </c>
      <c r="P164" s="100" t="str">
        <f t="shared" si="2"/>
        <v>21 x 28</v>
      </c>
      <c r="Q164" s="274" t="str">
        <f t="shared" si="3"/>
        <v>N/A</v>
      </c>
      <c r="R164" s="100" t="str">
        <f t="shared" si="4"/>
        <v>34 x 27 x 6</v>
      </c>
      <c r="S164" s="100">
        <v>34</v>
      </c>
      <c r="T164" s="100">
        <v>27</v>
      </c>
      <c r="U164" s="100">
        <v>6</v>
      </c>
      <c r="V164" s="100">
        <f t="shared" si="47"/>
        <v>99</v>
      </c>
      <c r="W164" s="289">
        <f t="shared" si="51"/>
        <v>0.91359999999999997</v>
      </c>
      <c r="X164" s="289" t="str">
        <f t="shared" si="52"/>
        <v>Yes</v>
      </c>
      <c r="Y164" s="275" t="e">
        <f t="shared" si="53"/>
        <v>#REF!</v>
      </c>
      <c r="Z164" s="308" t="e">
        <f t="shared" si="54"/>
        <v>#REF!</v>
      </c>
      <c r="AA164" s="276" t="e">
        <f t="shared" si="55"/>
        <v>#REF!</v>
      </c>
      <c r="AB164" s="308" t="e">
        <f t="shared" si="56"/>
        <v>#REF!</v>
      </c>
      <c r="AC164" s="274" t="e">
        <f>IF(X164="","",IF(D164="2 3D",((F164-0.5)*2+(G164-0.5)*2)*VLOOKUP("3D base",#REF!,2,FALSE),IF(D164="3 Canv", IF(E164="Roll",0,ROUND(SUM(F164:G164)*2,0)),0)*VLOOKUP("Stretcher Bar",#REF!,2,FALSE)))</f>
        <v>#REF!</v>
      </c>
      <c r="AD164" s="274" t="e">
        <f>IF(X164="","",IF(E164="Roll",0,IF(D164="2 3D",(SUM(F164:G164)*2)*VLOOKUP("3D epoxy",#REF!,2,FALSE),IF(D164="3 Canv",VLOOKUP("Wood glue",#REF!,2,FALSE),""))))</f>
        <v>#REF!</v>
      </c>
      <c r="AE164" s="274" t="e">
        <f>IF(D164="3 Canv",(((F164+5)*(G164+5)))*VLOOKUP("Canvas",#REF!,2,FALSE),IF(D164="2 3D",(((F164)*(G164)))*VLOOKUP("Dibond",#REF!,2,FALSE),""))</f>
        <v>#REF!</v>
      </c>
      <c r="AF164" s="274" t="e">
        <f>IF(D164="2 3D",F164*G164*VLOOKUP("3D ink",#REF!,2,FALSE),IF(D164="3 Canv",F164*G164*VLOOKUP("Canvas ink",#REF!,2,FALSE),""))</f>
        <v>#REF!</v>
      </c>
      <c r="AG164" s="274" t="e">
        <f>IF(D164="3 Canv",IF(E164="Roll","",ROUNDUP((SUM(F164:G164)*2)/3,"")*VLOOKUP("Staples",#REF!,2,FALSE)),"")</f>
        <v>#VALUE!</v>
      </c>
      <c r="AH164" s="274" t="e">
        <f>IF(AF164="","",(SUM(F164:G164)*2)*VLOOKUP(E164,#REF!,2,FALSE))</f>
        <v>#REF!</v>
      </c>
      <c r="AI164" s="100">
        <f t="shared" si="57"/>
        <v>16</v>
      </c>
      <c r="AJ164" s="274" t="e">
        <f>IF(AI164="","",AI164*VLOOKUP("Staples",#REF!,2,FALSE))</f>
        <v>#REF!</v>
      </c>
      <c r="AK164" s="100" t="e">
        <f t="shared" si="58"/>
        <v>#REF!</v>
      </c>
      <c r="AL164" s="274" t="e">
        <f>IF(AK164="","",AK164*VLOOKUP("Frame screw",#REF!,2,FALSE))</f>
        <v>#REF!</v>
      </c>
      <c r="AM164" s="100" t="e">
        <f t="shared" si="59"/>
        <v>#REF!</v>
      </c>
      <c r="AN164" s="274" t="e">
        <f>IF(AM164="","",AM164*VLOOKUP("D ring",#REF!,2,FALSE))</f>
        <v>#REF!</v>
      </c>
      <c r="AO164" s="100" t="e">
        <f t="shared" si="60"/>
        <v>#REF!</v>
      </c>
      <c r="AP164" s="274" t="e">
        <f>IF(AO164="","",IF(G164&gt;59,AO164* VLOOKUP("8 wire",#REF!,2,FALSE)*2,IF(G164&gt;39,AO164* VLOOKUP("8 wire",#REF!,2,FALSE),AO164* VLOOKUP("6 wire",#REF!,2,FALSE))))</f>
        <v>#REF!</v>
      </c>
      <c r="AQ164" s="100">
        <f t="shared" si="61"/>
        <v>4</v>
      </c>
      <c r="AR164" s="100" t="e">
        <f>IF(AQ164="","",AQ164*VLOOKUP("Pads",#REF!,2,FALSE))</f>
        <v>#REF!</v>
      </c>
      <c r="AS164" s="100">
        <f t="shared" si="62"/>
        <v>1</v>
      </c>
      <c r="AT164" s="274" t="e">
        <f>IF(AS164="","",AS164*VLOOKUP("4 mil bag",#REF!,2,FALSE))</f>
        <v>#REF!</v>
      </c>
      <c r="AU164" s="274">
        <f>IF(X164="","",IF(I164="N/A","",IF(I164="CNC",IF(G164&gt;37,20,10),VLOOKUP(I164,#REF!,2,FALSE))))</f>
        <v>10</v>
      </c>
      <c r="AV164" s="274" t="e">
        <f>IF(X164="","",IF(I164="CNC",VLOOKUP("Glue stick",#REF!,2,FALSE),""))</f>
        <v>#REF!</v>
      </c>
      <c r="AW164" s="274" t="e">
        <f>IF(X164="","",IF(I164="CNC",16*VLOOKUP("Box staples",#REF!,2,FALSE),""))</f>
        <v>#REF!</v>
      </c>
      <c r="AX164" s="100" t="e">
        <f>IF(X164="","",IF(I164="CNC",((((G164+6)+(F164+6))*2)+24)*VLOOKUP("sealing tape",#REF!,2,FALSE),VLOOKUP("Strapping tape",#REF!,2,FALSE)))</f>
        <v>#REF!</v>
      </c>
      <c r="AY164" s="101"/>
      <c r="AZ164" s="101"/>
      <c r="BA164" s="101"/>
      <c r="BB164" s="17"/>
      <c r="BC164" s="96"/>
      <c r="BD164" s="96"/>
      <c r="BE164" s="96"/>
      <c r="BF164" s="96"/>
      <c r="BG164" s="96"/>
      <c r="BH164" s="96"/>
      <c r="BI164" s="96"/>
    </row>
    <row r="165" spans="1:61" x14ac:dyDescent="0.45">
      <c r="A165" s="103" t="s">
        <v>1240</v>
      </c>
      <c r="B165" s="17" t="s">
        <v>1239</v>
      </c>
      <c r="C165" s="16">
        <v>44607</v>
      </c>
      <c r="D165" s="17" t="s">
        <v>66</v>
      </c>
      <c r="E165" s="15" t="s">
        <v>50</v>
      </c>
      <c r="F165" s="17">
        <v>36</v>
      </c>
      <c r="G165" s="17">
        <v>54</v>
      </c>
      <c r="H165" s="3" t="s">
        <v>43</v>
      </c>
      <c r="I165" s="88" t="s">
        <v>41</v>
      </c>
      <c r="J165" s="87">
        <v>44630</v>
      </c>
      <c r="K165" s="15">
        <v>867</v>
      </c>
      <c r="L165" s="96">
        <v>55</v>
      </c>
      <c r="M165" s="89">
        <v>129.74</v>
      </c>
      <c r="N165" s="88">
        <v>20</v>
      </c>
      <c r="O165" s="413" t="str">
        <f t="shared" si="1"/>
        <v>36 x 54</v>
      </c>
      <c r="P165" s="18" t="str">
        <f t="shared" si="2"/>
        <v>36 x 54</v>
      </c>
      <c r="Q165" s="91" t="str">
        <f t="shared" si="3"/>
        <v>N/A</v>
      </c>
      <c r="R165" s="18" t="str">
        <f t="shared" si="4"/>
        <v>60 x 42 x 6</v>
      </c>
      <c r="S165" s="18">
        <v>60</v>
      </c>
      <c r="T165" s="18">
        <v>42</v>
      </c>
      <c r="U165" s="18">
        <v>6</v>
      </c>
      <c r="V165" s="18">
        <f t="shared" si="47"/>
        <v>155</v>
      </c>
      <c r="W165" s="287">
        <f t="shared" si="51"/>
        <v>2.3589090909090911</v>
      </c>
      <c r="X165" s="287" t="str">
        <f t="shared" si="52"/>
        <v>Yes</v>
      </c>
      <c r="Y165" s="93" t="e">
        <f t="shared" si="53"/>
        <v>#REF!</v>
      </c>
      <c r="Z165" s="288" t="e">
        <f t="shared" si="54"/>
        <v>#REF!</v>
      </c>
      <c r="AA165" s="94" t="e">
        <f t="shared" si="55"/>
        <v>#REF!</v>
      </c>
      <c r="AB165" s="288" t="e">
        <f t="shared" si="56"/>
        <v>#REF!</v>
      </c>
      <c r="AC165" s="91" t="e">
        <f>IF(X165="","",IF(D165="2 3D",((F165-0.5)*2+(G165-0.5)*2)*VLOOKUP("3D base",#REF!,2,FALSE),IF(D165="3 Canv", IF(E165="Roll",0,ROUND(SUM(F165:G165)*2,0)),0)*VLOOKUP("Stretcher Bar",#REF!,2,FALSE)))</f>
        <v>#REF!</v>
      </c>
      <c r="AD165" s="91" t="e">
        <f>IF(X165="","",IF(E165="Roll",0,IF(D165="2 3D",(SUM(F165:G165)*2)*VLOOKUP("3D epoxy",#REF!,2,FALSE),IF(D165="3 Canv",VLOOKUP("Wood glue",#REF!,2,FALSE),""))))</f>
        <v>#REF!</v>
      </c>
      <c r="AE165" s="91" t="e">
        <f>IF(D165="3 Canv",(((F165+5)*(G165+5)))*VLOOKUP("Canvas",#REF!,2,FALSE),IF(D165="2 3D",(((F165)*(G165)))*VLOOKUP("Dibond",#REF!,2,FALSE),""))</f>
        <v>#REF!</v>
      </c>
      <c r="AF165" s="91" t="e">
        <f>IF(D165="2 3D",F165*G165*VLOOKUP("3D ink",#REF!,2,FALSE),IF(D165="3 Canv",F165*G165*VLOOKUP("Canvas ink",#REF!,2,FALSE),""))</f>
        <v>#REF!</v>
      </c>
      <c r="AG165" s="91" t="e">
        <f>IF(D165="3 Canv",IF(E165="Roll","",ROUNDUP((SUM(F165:G165)*2)/3,"")*VLOOKUP("Staples",#REF!,2,FALSE)),"")</f>
        <v>#VALUE!</v>
      </c>
      <c r="AH165" s="91" t="e">
        <f>IF(AF165="","",(SUM(F165:G165)*2)*VLOOKUP(E165,#REF!,2,FALSE))</f>
        <v>#REF!</v>
      </c>
      <c r="AI165" s="18">
        <f t="shared" si="57"/>
        <v>16</v>
      </c>
      <c r="AJ165" s="91" t="e">
        <f>IF(AI165="","",AI165*VLOOKUP("Staples",#REF!,2,FALSE))</f>
        <v>#REF!</v>
      </c>
      <c r="AK165" s="18" t="e">
        <f t="shared" si="58"/>
        <v>#REF!</v>
      </c>
      <c r="AL165" s="91" t="e">
        <f>IF(AK165="","",AK165*VLOOKUP("Frame screw",#REF!,2,FALSE))</f>
        <v>#REF!</v>
      </c>
      <c r="AM165" s="18" t="e">
        <f t="shared" si="59"/>
        <v>#REF!</v>
      </c>
      <c r="AN165" s="91" t="e">
        <f>IF(AM165="","",AM165*VLOOKUP("D ring",#REF!,2,FALSE))</f>
        <v>#REF!</v>
      </c>
      <c r="AO165" s="18" t="e">
        <f t="shared" si="60"/>
        <v>#REF!</v>
      </c>
      <c r="AP165" s="91" t="e">
        <f>IF(AO165="","",IF(G165&gt;59,AO165* VLOOKUP("8 wire",#REF!,2,FALSE)*2,IF(G165&gt;39,AO165* VLOOKUP("8 wire",#REF!,2,FALSE),AO165* VLOOKUP("6 wire",#REF!,2,FALSE))))</f>
        <v>#REF!</v>
      </c>
      <c r="AQ165" s="18">
        <f t="shared" si="61"/>
        <v>4</v>
      </c>
      <c r="AR165" s="18" t="e">
        <f>IF(AQ165="","",AQ165*VLOOKUP("Pads",#REF!,2,FALSE))</f>
        <v>#REF!</v>
      </c>
      <c r="AS165" s="18">
        <f t="shared" si="62"/>
        <v>1</v>
      </c>
      <c r="AT165" s="91" t="e">
        <f>IF(AS165="","",AS165*VLOOKUP("4 mil bag",#REF!,2,FALSE))</f>
        <v>#REF!</v>
      </c>
      <c r="AU165" s="91">
        <f>IF(X165="","",IF(I165="N/A","",IF(I165="CNC",IF(G165&gt;37,20,10),VLOOKUP(I165,#REF!,2,FALSE))))</f>
        <v>20</v>
      </c>
      <c r="AV165" s="91" t="e">
        <f>IF(X165="","",IF(I165="CNC",VLOOKUP("Glue stick",#REF!,2,FALSE),""))</f>
        <v>#REF!</v>
      </c>
      <c r="AW165" s="91" t="e">
        <f>IF(X165="","",IF(I165="CNC",16*VLOOKUP("Box staples",#REF!,2,FALSE),""))</f>
        <v>#REF!</v>
      </c>
      <c r="AX165" s="18" t="e">
        <f>IF(X165="","",IF(I165="CNC",((((G165+6)+(F165+6))*2)+24)*VLOOKUP("sealing tape",#REF!,2,FALSE),VLOOKUP("Strapping tape",#REF!,2,FALSE)))</f>
        <v>#REF!</v>
      </c>
      <c r="AY165" s="17"/>
      <c r="AZ165" s="17"/>
      <c r="BA165" s="17"/>
      <c r="BB165" s="17"/>
      <c r="BC165" s="96"/>
      <c r="BD165" s="96"/>
      <c r="BE165" s="96"/>
      <c r="BF165" s="96"/>
      <c r="BG165" s="96"/>
      <c r="BH165" s="96"/>
      <c r="BI165" s="96"/>
    </row>
    <row r="166" spans="1:61" x14ac:dyDescent="0.45">
      <c r="A166" s="103" t="s">
        <v>1238</v>
      </c>
      <c r="B166" s="17" t="s">
        <v>1237</v>
      </c>
      <c r="C166" s="16">
        <v>44607</v>
      </c>
      <c r="D166" s="17" t="s">
        <v>66</v>
      </c>
      <c r="E166" s="15" t="s">
        <v>50</v>
      </c>
      <c r="F166" s="17">
        <v>15</v>
      </c>
      <c r="G166" s="17">
        <v>25</v>
      </c>
      <c r="H166" s="3" t="s">
        <v>43</v>
      </c>
      <c r="I166" s="88" t="s">
        <v>41</v>
      </c>
      <c r="J166" s="87">
        <v>44630</v>
      </c>
      <c r="K166" s="15">
        <v>420</v>
      </c>
      <c r="L166" s="96">
        <v>25</v>
      </c>
      <c r="M166" s="89">
        <v>10.76</v>
      </c>
      <c r="N166" s="88">
        <v>7</v>
      </c>
      <c r="O166" s="413" t="str">
        <f t="shared" si="1"/>
        <v>15 x 25</v>
      </c>
      <c r="P166" s="18" t="str">
        <f t="shared" si="2"/>
        <v>15 x 25</v>
      </c>
      <c r="Q166" s="91" t="str">
        <f t="shared" si="3"/>
        <v>N/A</v>
      </c>
      <c r="R166" s="18" t="str">
        <f t="shared" si="4"/>
        <v>31 x 21 x 6</v>
      </c>
      <c r="S166" s="18">
        <v>31</v>
      </c>
      <c r="T166" s="18">
        <v>21</v>
      </c>
      <c r="U166" s="18">
        <v>6</v>
      </c>
      <c r="V166" s="18">
        <f t="shared" si="47"/>
        <v>84</v>
      </c>
      <c r="W166" s="287">
        <f t="shared" si="51"/>
        <v>0.4304</v>
      </c>
      <c r="X166" s="287" t="str">
        <f t="shared" si="52"/>
        <v>Yes</v>
      </c>
      <c r="Y166" s="93" t="e">
        <f t="shared" si="53"/>
        <v>#REF!</v>
      </c>
      <c r="Z166" s="288" t="e">
        <f t="shared" si="54"/>
        <v>#REF!</v>
      </c>
      <c r="AA166" s="94" t="e">
        <f t="shared" si="55"/>
        <v>#REF!</v>
      </c>
      <c r="AB166" s="288" t="e">
        <f t="shared" si="56"/>
        <v>#REF!</v>
      </c>
      <c r="AC166" s="91" t="e">
        <f>IF(X166="","",IF(D166="2 3D",((F166-0.5)*2+(G166-0.5)*2)*VLOOKUP("3D base",#REF!,2,FALSE),IF(D166="3 Canv", IF(E166="Roll",0,ROUND(SUM(F166:G166)*2,0)),0)*VLOOKUP("Stretcher Bar",#REF!,2,FALSE)))</f>
        <v>#REF!</v>
      </c>
      <c r="AD166" s="91" t="e">
        <f>IF(X166="","",IF(E166="Roll",0,IF(D166="2 3D",(SUM(F166:G166)*2)*VLOOKUP("3D epoxy",#REF!,2,FALSE),IF(D166="3 Canv",VLOOKUP("Wood glue",#REF!,2,FALSE),""))))</f>
        <v>#REF!</v>
      </c>
      <c r="AE166" s="91" t="e">
        <f>IF(D166="3 Canv",(((F166+5)*(G166+5)))*VLOOKUP("Canvas",#REF!,2,FALSE),IF(D166="2 3D",(((F166)*(G166)))*VLOOKUP("Dibond",#REF!,2,FALSE),""))</f>
        <v>#REF!</v>
      </c>
      <c r="AF166" s="91" t="e">
        <f>IF(D166="2 3D",F166*G166*VLOOKUP("3D ink",#REF!,2,FALSE),IF(D166="3 Canv",F166*G166*VLOOKUP("Canvas ink",#REF!,2,FALSE),""))</f>
        <v>#REF!</v>
      </c>
      <c r="AG166" s="91" t="e">
        <f>IF(D166="3 Canv",IF(E166="Roll","",ROUNDUP((SUM(F166:G166)*2)/3,"")*VLOOKUP("Staples",#REF!,2,FALSE)),"")</f>
        <v>#VALUE!</v>
      </c>
      <c r="AH166" s="91" t="e">
        <f>IF(AF166="","",(SUM(F166:G166)*2)*VLOOKUP(E166,#REF!,2,FALSE))</f>
        <v>#REF!</v>
      </c>
      <c r="AI166" s="18">
        <f t="shared" si="57"/>
        <v>16</v>
      </c>
      <c r="AJ166" s="91" t="e">
        <f>IF(AI166="","",AI166*VLOOKUP("Staples",#REF!,2,FALSE))</f>
        <v>#REF!</v>
      </c>
      <c r="AK166" s="18" t="e">
        <f t="shared" si="58"/>
        <v>#REF!</v>
      </c>
      <c r="AL166" s="91" t="e">
        <f>IF(AK166="","",AK166*VLOOKUP("Frame screw",#REF!,2,FALSE))</f>
        <v>#REF!</v>
      </c>
      <c r="AM166" s="18" t="e">
        <f t="shared" si="59"/>
        <v>#REF!</v>
      </c>
      <c r="AN166" s="91" t="e">
        <f>IF(AM166="","",AM166*VLOOKUP("D ring",#REF!,2,FALSE))</f>
        <v>#REF!</v>
      </c>
      <c r="AO166" s="18" t="e">
        <f t="shared" si="60"/>
        <v>#REF!</v>
      </c>
      <c r="AP166" s="91" t="e">
        <f>IF(AO166="","",IF(G166&gt;59,AO166* VLOOKUP("8 wire",#REF!,2,FALSE)*2,IF(G166&gt;39,AO166* VLOOKUP("8 wire",#REF!,2,FALSE),AO166* VLOOKUP("6 wire",#REF!,2,FALSE))))</f>
        <v>#REF!</v>
      </c>
      <c r="AQ166" s="18">
        <f t="shared" si="61"/>
        <v>4</v>
      </c>
      <c r="AR166" s="18" t="e">
        <f>IF(AQ166="","",AQ166*VLOOKUP("Pads",#REF!,2,FALSE))</f>
        <v>#REF!</v>
      </c>
      <c r="AS166" s="18">
        <f t="shared" si="62"/>
        <v>1</v>
      </c>
      <c r="AT166" s="91" t="e">
        <f>IF(AS166="","",AS166*VLOOKUP("4 mil bag",#REF!,2,FALSE))</f>
        <v>#REF!</v>
      </c>
      <c r="AU166" s="91">
        <f>IF(X166="","",IF(I166="N/A","",IF(I166="CNC",IF(G166&gt;37,20,10),VLOOKUP(I166,#REF!,2,FALSE))))</f>
        <v>10</v>
      </c>
      <c r="AV166" s="91" t="e">
        <f>IF(X166="","",IF(I166="CNC",VLOOKUP("Glue stick",#REF!,2,FALSE),""))</f>
        <v>#REF!</v>
      </c>
      <c r="AW166" s="91" t="e">
        <f>IF(X166="","",IF(I166="CNC",16*VLOOKUP("Box staples",#REF!,2,FALSE),""))</f>
        <v>#REF!</v>
      </c>
      <c r="AX166" s="18" t="e">
        <f>IF(X166="","",IF(I166="CNC",((((G166+6)+(F166+6))*2)+24)*VLOOKUP("sealing tape",#REF!,2,FALSE),VLOOKUP("Strapping tape",#REF!,2,FALSE)))</f>
        <v>#REF!</v>
      </c>
      <c r="AY166" s="17"/>
      <c r="AZ166" s="17"/>
      <c r="BA166" s="17"/>
      <c r="BB166" s="17"/>
      <c r="BC166" s="96"/>
      <c r="BD166" s="96"/>
      <c r="BE166" s="96"/>
      <c r="BF166" s="96"/>
      <c r="BG166" s="96"/>
      <c r="BH166" s="96"/>
      <c r="BI166" s="96"/>
    </row>
    <row r="167" spans="1:61" x14ac:dyDescent="0.45">
      <c r="A167" s="103" t="s">
        <v>950</v>
      </c>
      <c r="B167" s="17" t="s">
        <v>1236</v>
      </c>
      <c r="C167" s="16">
        <v>44607</v>
      </c>
      <c r="D167" s="17" t="s">
        <v>66</v>
      </c>
      <c r="E167" s="15" t="s">
        <v>1</v>
      </c>
      <c r="F167" s="17">
        <v>17</v>
      </c>
      <c r="G167" s="17">
        <v>26</v>
      </c>
      <c r="H167" s="3" t="s">
        <v>43</v>
      </c>
      <c r="I167" s="88" t="s">
        <v>41</v>
      </c>
      <c r="J167" s="87">
        <v>44630</v>
      </c>
      <c r="K167" s="15">
        <v>514.25</v>
      </c>
      <c r="L167" s="96">
        <v>35</v>
      </c>
      <c r="M167" s="89">
        <v>22.19</v>
      </c>
      <c r="N167" s="88">
        <v>11</v>
      </c>
      <c r="O167" s="413" t="str">
        <f t="shared" si="1"/>
        <v>17 x 26</v>
      </c>
      <c r="P167" s="18" t="str">
        <f t="shared" si="2"/>
        <v>19 x 28</v>
      </c>
      <c r="Q167" s="91" t="str">
        <f t="shared" si="3"/>
        <v>N/A</v>
      </c>
      <c r="R167" s="18" t="str">
        <f t="shared" si="4"/>
        <v>34 x 26 x 6</v>
      </c>
      <c r="S167" s="18">
        <v>34</v>
      </c>
      <c r="T167" s="18">
        <v>26</v>
      </c>
      <c r="U167" s="18">
        <v>6</v>
      </c>
      <c r="V167" s="18">
        <f t="shared" si="47"/>
        <v>89</v>
      </c>
      <c r="W167" s="287">
        <f t="shared" si="51"/>
        <v>0.63400000000000001</v>
      </c>
      <c r="X167" s="287" t="str">
        <f t="shared" si="52"/>
        <v>Yes</v>
      </c>
      <c r="Y167" s="93" t="e">
        <f t="shared" si="53"/>
        <v>#REF!</v>
      </c>
      <c r="Z167" s="288" t="e">
        <f t="shared" si="54"/>
        <v>#REF!</v>
      </c>
      <c r="AA167" s="94" t="e">
        <f t="shared" si="55"/>
        <v>#REF!</v>
      </c>
      <c r="AB167" s="288" t="e">
        <f t="shared" si="56"/>
        <v>#REF!</v>
      </c>
      <c r="AC167" s="91" t="e">
        <f>IF(X167="","",IF(D167="2 3D",((F167-0.5)*2+(G167-0.5)*2)*VLOOKUP("3D base",#REF!,2,FALSE),IF(D167="3 Canv", IF(E167="Roll",0,ROUND(SUM(F167:G167)*2,0)),0)*VLOOKUP("Stretcher Bar",#REF!,2,FALSE)))</f>
        <v>#REF!</v>
      </c>
      <c r="AD167" s="91" t="e">
        <f>IF(X167="","",IF(E167="Roll",0,IF(D167="2 3D",(SUM(F167:G167)*2)*VLOOKUP("3D epoxy",#REF!,2,FALSE),IF(D167="3 Canv",VLOOKUP("Wood glue",#REF!,2,FALSE),""))))</f>
        <v>#REF!</v>
      </c>
      <c r="AE167" s="91" t="e">
        <f>IF(D167="3 Canv",(((F167+5)*(G167+5)))*VLOOKUP("Canvas",#REF!,2,FALSE),IF(D167="2 3D",(((F167)*(G167)))*VLOOKUP("Dibond",#REF!,2,FALSE),""))</f>
        <v>#REF!</v>
      </c>
      <c r="AF167" s="91" t="e">
        <f>IF(D167="2 3D",F167*G167*VLOOKUP("3D ink",#REF!,2,FALSE),IF(D167="3 Canv",F167*G167*VLOOKUP("Canvas ink",#REF!,2,FALSE),""))</f>
        <v>#REF!</v>
      </c>
      <c r="AG167" s="91" t="e">
        <f>IF(D167="3 Canv",IF(E167="Roll","",ROUNDUP((SUM(F167:G167)*2)/3,"")*VLOOKUP("Staples",#REF!,2,FALSE)),"")</f>
        <v>#VALUE!</v>
      </c>
      <c r="AH167" s="91" t="e">
        <f>IF(AF167="","",(SUM(F167:G167)*2)*VLOOKUP(E167,#REF!,2,FALSE))</f>
        <v>#REF!</v>
      </c>
      <c r="AI167" s="18">
        <f t="shared" si="57"/>
        <v>44</v>
      </c>
      <c r="AJ167" s="91" t="e">
        <f>IF(AI167="","",AI167*VLOOKUP("Staples",#REF!,2,FALSE))</f>
        <v>#REF!</v>
      </c>
      <c r="AK167" s="18" t="e">
        <f t="shared" si="58"/>
        <v>#REF!</v>
      </c>
      <c r="AL167" s="91" t="e">
        <f>IF(AK167="","",AK167*VLOOKUP("Frame screw",#REF!,2,FALSE))</f>
        <v>#REF!</v>
      </c>
      <c r="AM167" s="18" t="e">
        <f t="shared" si="59"/>
        <v>#REF!</v>
      </c>
      <c r="AN167" s="91" t="e">
        <f>IF(AM167="","",AM167*VLOOKUP("D ring",#REF!,2,FALSE))</f>
        <v>#REF!</v>
      </c>
      <c r="AO167" s="18" t="e">
        <f t="shared" si="60"/>
        <v>#REF!</v>
      </c>
      <c r="AP167" s="91" t="e">
        <f>IF(AO167="","",IF(G167&gt;59,AO167* VLOOKUP("8 wire",#REF!,2,FALSE)*2,IF(G167&gt;39,AO167* VLOOKUP("8 wire",#REF!,2,FALSE),AO167* VLOOKUP("6 wire",#REF!,2,FALSE))))</f>
        <v>#REF!</v>
      </c>
      <c r="AQ167" s="18">
        <f t="shared" si="61"/>
        <v>4</v>
      </c>
      <c r="AR167" s="18" t="e">
        <f>IF(AQ167="","",AQ167*VLOOKUP("Pads",#REF!,2,FALSE))</f>
        <v>#REF!</v>
      </c>
      <c r="AS167" s="18">
        <f t="shared" si="62"/>
        <v>1</v>
      </c>
      <c r="AT167" s="91" t="e">
        <f>IF(AS167="","",AS167*VLOOKUP("4 mil bag",#REF!,2,FALSE))</f>
        <v>#REF!</v>
      </c>
      <c r="AU167" s="91">
        <f>IF(X167="","",IF(I167="N/A","",IF(I167="CNC",IF(G167&gt;37,20,10),VLOOKUP(I167,#REF!,2,FALSE))))</f>
        <v>10</v>
      </c>
      <c r="AV167" s="91" t="e">
        <f>IF(X167="","",IF(I167="CNC",VLOOKUP("Glue stick",#REF!,2,FALSE),""))</f>
        <v>#REF!</v>
      </c>
      <c r="AW167" s="91" t="e">
        <f>IF(X167="","",IF(I167="CNC",16*VLOOKUP("Box staples",#REF!,2,FALSE),""))</f>
        <v>#REF!</v>
      </c>
      <c r="AX167" s="18" t="e">
        <f>IF(X167="","",IF(I167="CNC",((((G167+6)+(F167+6))*2)+24)*VLOOKUP("sealing tape",#REF!,2,FALSE),VLOOKUP("Strapping tape",#REF!,2,FALSE)))</f>
        <v>#REF!</v>
      </c>
      <c r="AY167" s="17"/>
      <c r="AZ167" s="17"/>
      <c r="BA167" s="17"/>
      <c r="BB167" s="17"/>
      <c r="BC167" s="96"/>
      <c r="BD167" s="96"/>
      <c r="BE167" s="96"/>
      <c r="BF167" s="96"/>
      <c r="BG167" s="96"/>
      <c r="BH167" s="96"/>
      <c r="BI167" s="96"/>
    </row>
    <row r="168" spans="1:61" x14ac:dyDescent="0.45">
      <c r="A168" s="103" t="s">
        <v>799</v>
      </c>
      <c r="B168" s="17" t="s">
        <v>2581</v>
      </c>
      <c r="C168" s="16">
        <v>44621</v>
      </c>
      <c r="D168" s="17" t="s">
        <v>66</v>
      </c>
      <c r="E168" s="15" t="s">
        <v>558</v>
      </c>
      <c r="F168" s="17">
        <v>33</v>
      </c>
      <c r="G168" s="17">
        <v>44</v>
      </c>
      <c r="H168" s="3" t="s">
        <v>43</v>
      </c>
      <c r="I168" s="88" t="s">
        <v>595</v>
      </c>
      <c r="J168" s="87">
        <v>44630</v>
      </c>
      <c r="K168" s="15">
        <v>455</v>
      </c>
      <c r="L168" s="96">
        <v>25</v>
      </c>
      <c r="M168" s="89">
        <v>25.85</v>
      </c>
      <c r="N168" s="88">
        <v>3</v>
      </c>
      <c r="O168" s="413" t="str">
        <f t="shared" si="1"/>
        <v>33 x 44</v>
      </c>
      <c r="P168" s="18" t="str">
        <f t="shared" si="2"/>
        <v>N/A</v>
      </c>
      <c r="Q168" s="91">
        <f t="shared" si="3"/>
        <v>4.32</v>
      </c>
      <c r="R168" s="18" t="str">
        <f t="shared" si="4"/>
        <v>57 x 3 x 3</v>
      </c>
      <c r="S168" s="18">
        <v>57</v>
      </c>
      <c r="T168" s="18">
        <v>3</v>
      </c>
      <c r="U168" s="18">
        <v>3</v>
      </c>
      <c r="V168" s="90">
        <f t="shared" si="47"/>
        <v>69</v>
      </c>
      <c r="W168" s="287">
        <f t="shared" si="51"/>
        <v>1.034</v>
      </c>
      <c r="X168" s="287" t="str">
        <f t="shared" si="52"/>
        <v>Yes</v>
      </c>
      <c r="Y168" s="93" t="e">
        <f t="shared" si="53"/>
        <v>#REF!</v>
      </c>
      <c r="Z168" s="288" t="e">
        <f t="shared" si="54"/>
        <v>#REF!</v>
      </c>
      <c r="AA168" s="94" t="e">
        <f t="shared" si="55"/>
        <v>#REF!</v>
      </c>
      <c r="AB168" s="288" t="e">
        <f t="shared" si="56"/>
        <v>#REF!</v>
      </c>
      <c r="AC168" s="91" t="e">
        <f>IF(X168="","",IF(D168="2 3D",((F168-0.5)*2+(G168-0.5)*2)*VLOOKUP("3D base",#REF!,2,FALSE),IF(D168="3 Canv", IF(E168="Roll",0,ROUND(SUM(F168:G168)*2,0)),0)*VLOOKUP("Stretcher Bar",#REF!,2,FALSE)))</f>
        <v>#REF!</v>
      </c>
      <c r="AD168" s="91">
        <f>IF(X168="","",IF(E168="Roll",0,IF(D168="2 3D",(SUM(F168:G168)*2)*VLOOKUP("3D epoxy",#REF!,2,FALSE),IF(D168="3 Canv",VLOOKUP("Wood glue",#REF!,2,FALSE),""))))</f>
        <v>0</v>
      </c>
      <c r="AE168" s="91" t="e">
        <f>IF(D168="3 Canv",(((F168+5)*(G168+5)))*VLOOKUP("Canvas",#REF!,2,FALSE),IF(D168="2 3D",(((F168)*(G168)))*VLOOKUP("Dibond",#REF!,2,FALSE),""))</f>
        <v>#REF!</v>
      </c>
      <c r="AF168" s="91" t="e">
        <f>IF(D168="2 3D",F168*G168*VLOOKUP("3D ink",#REF!,2,FALSE),IF(D168="3 Canv",F168*G168*VLOOKUP("Canvas ink",#REF!,2,FALSE),""))</f>
        <v>#REF!</v>
      </c>
      <c r="AG168" s="91" t="str">
        <f>IF(D168="3 Canv",IF(E168="Roll","",ROUNDUP((SUM(F168:G168)*2)/3,"")*VLOOKUP("Staples",#REF!,2,FALSE)),"")</f>
        <v/>
      </c>
      <c r="AH168" s="91" t="e">
        <f>IF(AF168="","",(SUM(F168:G168)*2)*VLOOKUP(E168,#REF!,2,FALSE))</f>
        <v>#REF!</v>
      </c>
      <c r="AI168" s="18" t="str">
        <f t="shared" si="57"/>
        <v/>
      </c>
      <c r="AJ168" s="91" t="str">
        <f>IF(AI168="","",AI168*VLOOKUP("Staples",#REF!,2,FALSE))</f>
        <v/>
      </c>
      <c r="AK168" s="18" t="str">
        <f t="shared" si="58"/>
        <v/>
      </c>
      <c r="AL168" s="91" t="str">
        <f>IF(AK168="","",AK168*VLOOKUP("Frame screw",#REF!,2,FALSE))</f>
        <v/>
      </c>
      <c r="AM168" s="18" t="e">
        <f t="shared" si="59"/>
        <v>#REF!</v>
      </c>
      <c r="AN168" s="91" t="e">
        <f>IF(AM168="","",AM168*VLOOKUP("D ring",#REF!,2,FALSE))</f>
        <v>#REF!</v>
      </c>
      <c r="AO168" s="18" t="e">
        <f t="shared" si="60"/>
        <v>#REF!</v>
      </c>
      <c r="AP168" s="18" t="e">
        <f>IF(AO168="","",IF(G168&gt;59,AO168* VLOOKUP("8 wire",#REF!,2,FALSE)*2,IF(G168&gt;39,AO168* VLOOKUP("8 wire",#REF!,2,FALSE),AO168* VLOOKUP("6 wire",#REF!,2,FALSE))))</f>
        <v>#REF!</v>
      </c>
      <c r="AQ168" s="18" t="str">
        <f t="shared" si="61"/>
        <v/>
      </c>
      <c r="AR168" s="18" t="str">
        <f>IF(AQ168="","",AQ168*VLOOKUP("Pads",#REF!,2,FALSE))</f>
        <v/>
      </c>
      <c r="AS168" s="18" t="str">
        <f t="shared" si="62"/>
        <v/>
      </c>
      <c r="AT168" s="18" t="str">
        <f>IF(AS168="","",AS168*VLOOKUP("4 mil bag",#REF!,2,FALSE))</f>
        <v/>
      </c>
      <c r="AU168" s="91" t="e">
        <f>IF(X168="","",IF(I168="N/A","",IF(I168="CNC",IF(G168&gt;37,20,10),VLOOKUP(I168,#REF!,2,FALSE))))</f>
        <v>#REF!</v>
      </c>
      <c r="AV168" s="18" t="str">
        <f>IF(X168="","",IF(I168="CNC",VLOOKUP("Glue stick",#REF!,2,FALSE),""))</f>
        <v/>
      </c>
      <c r="AW168" s="18" t="str">
        <f>IF(X168="","",IF(I168="CNC",16*VLOOKUP("Box staples",#REF!,2,FALSE),""))</f>
        <v/>
      </c>
      <c r="AX168" s="91" t="e">
        <f>IF(X168="","",IF(I168="CNC",((((G168+6)+(F168+6))*2)+24)*VLOOKUP("sealing tape",#REF!,2,FALSE),VLOOKUP("Strapping tape",#REF!,2,FALSE)))</f>
        <v>#REF!</v>
      </c>
      <c r="AY168" s="17"/>
      <c r="AZ168" s="17"/>
      <c r="BA168" s="17"/>
      <c r="BB168" s="17"/>
      <c r="BC168" s="96"/>
      <c r="BD168" s="96"/>
      <c r="BE168" s="96"/>
      <c r="BF168" s="96"/>
      <c r="BG168" s="96"/>
      <c r="BH168" s="96"/>
      <c r="BI168" s="96"/>
    </row>
    <row r="169" spans="1:61" x14ac:dyDescent="0.45">
      <c r="A169" s="103" t="s">
        <v>1235</v>
      </c>
      <c r="B169" s="17" t="s">
        <v>1234</v>
      </c>
      <c r="C169" s="16">
        <v>44615</v>
      </c>
      <c r="D169" s="17" t="s">
        <v>66</v>
      </c>
      <c r="E169" s="15" t="s">
        <v>558</v>
      </c>
      <c r="F169" s="17">
        <v>20</v>
      </c>
      <c r="G169" s="17">
        <v>24</v>
      </c>
      <c r="H169" s="3" t="s">
        <v>43</v>
      </c>
      <c r="I169" s="88" t="s">
        <v>84</v>
      </c>
      <c r="J169" s="87">
        <v>44630</v>
      </c>
      <c r="K169" s="15">
        <v>238</v>
      </c>
      <c r="L169" s="96">
        <v>15</v>
      </c>
      <c r="M169" s="89">
        <v>10.029999999999999</v>
      </c>
      <c r="N169" s="88">
        <v>2</v>
      </c>
      <c r="O169" s="413" t="str">
        <f t="shared" si="1"/>
        <v>20 x 24</v>
      </c>
      <c r="P169" s="18" t="str">
        <f t="shared" si="2"/>
        <v>N/A</v>
      </c>
      <c r="Q169" s="91">
        <f t="shared" si="3"/>
        <v>2.85</v>
      </c>
      <c r="R169" s="18" t="str">
        <f t="shared" si="4"/>
        <v>37 x 3 x 3</v>
      </c>
      <c r="S169" s="18">
        <v>37</v>
      </c>
      <c r="T169" s="18">
        <v>3</v>
      </c>
      <c r="U169" s="18">
        <v>3</v>
      </c>
      <c r="V169" s="90">
        <f t="shared" si="47"/>
        <v>49</v>
      </c>
      <c r="W169" s="287">
        <f t="shared" si="51"/>
        <v>0.66866666666666663</v>
      </c>
      <c r="X169" s="287" t="str">
        <f t="shared" si="52"/>
        <v>Yes</v>
      </c>
      <c r="Y169" s="93" t="e">
        <f t="shared" si="53"/>
        <v>#REF!</v>
      </c>
      <c r="Z169" s="288" t="e">
        <f t="shared" si="54"/>
        <v>#REF!</v>
      </c>
      <c r="AA169" s="94" t="e">
        <f t="shared" si="55"/>
        <v>#REF!</v>
      </c>
      <c r="AB169" s="288" t="e">
        <f t="shared" si="56"/>
        <v>#REF!</v>
      </c>
      <c r="AC169" s="91" t="e">
        <f>IF(X169="","",IF(D169="2 3D",((F169-0.5)*2+(G169-0.5)*2)*VLOOKUP("3D base",#REF!,2,FALSE),IF(D169="3 Canv", IF(E169="Roll",0,ROUND(SUM(F169:G169)*2,0)),0)*VLOOKUP("Stretcher Bar",#REF!,2,FALSE)))</f>
        <v>#REF!</v>
      </c>
      <c r="AD169" s="91">
        <f>IF(X169="","",IF(E169="Roll",0,IF(D169="2 3D",(SUM(F169:G169)*2)*VLOOKUP("3D epoxy",#REF!,2,FALSE),IF(D169="3 Canv",VLOOKUP("Wood glue",#REF!,2,FALSE),""))))</f>
        <v>0</v>
      </c>
      <c r="AE169" s="91" t="e">
        <f>IF(D169="3 Canv",(((F169+5)*(G169+5)))*VLOOKUP("Canvas",#REF!,2,FALSE),IF(D169="2 3D",(((F169)*(G169)))*VLOOKUP("Dibond",#REF!,2,FALSE),""))</f>
        <v>#REF!</v>
      </c>
      <c r="AF169" s="91" t="e">
        <f>IF(D169="2 3D",F169*G169*VLOOKUP("3D ink",#REF!,2,FALSE),IF(D169="3 Canv",F169*G169*VLOOKUP("Canvas ink",#REF!,2,FALSE),""))</f>
        <v>#REF!</v>
      </c>
      <c r="AG169" s="91" t="str">
        <f>IF(D169="3 Canv",IF(E169="Roll","",ROUNDUP((SUM(F169:G169)*2)/3,"")*VLOOKUP("Staples",#REF!,2,FALSE)),"")</f>
        <v/>
      </c>
      <c r="AH169" s="91" t="e">
        <f>IF(AF169="","",(SUM(F169:G169)*2)*VLOOKUP(E169,#REF!,2,FALSE))</f>
        <v>#REF!</v>
      </c>
      <c r="AI169" s="18" t="str">
        <f t="shared" si="57"/>
        <v/>
      </c>
      <c r="AJ169" s="91" t="str">
        <f>IF(AI169="","",AI169*VLOOKUP("Staples",#REF!,2,FALSE))</f>
        <v/>
      </c>
      <c r="AK169" s="18" t="str">
        <f t="shared" si="58"/>
        <v/>
      </c>
      <c r="AL169" s="91" t="str">
        <f>IF(AK169="","",AK169*VLOOKUP("Frame screw",#REF!,2,FALSE))</f>
        <v/>
      </c>
      <c r="AM169" s="18" t="e">
        <f t="shared" si="59"/>
        <v>#REF!</v>
      </c>
      <c r="AN169" s="91" t="e">
        <f>IF(AM169="","",AM169*VLOOKUP("D ring",#REF!,2,FALSE))</f>
        <v>#REF!</v>
      </c>
      <c r="AO169" s="18" t="e">
        <f t="shared" si="60"/>
        <v>#REF!</v>
      </c>
      <c r="AP169" s="18" t="e">
        <f>IF(AO169="","",IF(G169&gt;59,AO169* VLOOKUP("8 wire",#REF!,2,FALSE)*2,IF(G169&gt;39,AO169* VLOOKUP("8 wire",#REF!,2,FALSE),AO169* VLOOKUP("6 wire",#REF!,2,FALSE))))</f>
        <v>#REF!</v>
      </c>
      <c r="AQ169" s="18" t="str">
        <f t="shared" si="61"/>
        <v/>
      </c>
      <c r="AR169" s="18" t="str">
        <f>IF(AQ169="","",AQ169*VLOOKUP("Pads",#REF!,2,FALSE))</f>
        <v/>
      </c>
      <c r="AS169" s="18" t="str">
        <f t="shared" si="62"/>
        <v/>
      </c>
      <c r="AT169" s="18" t="str">
        <f>IF(AS169="","",AS169*VLOOKUP("4 mil bag",#REF!,2,FALSE))</f>
        <v/>
      </c>
      <c r="AU169" s="91" t="e">
        <f>IF(X169="","",IF(I169="N/A","",IF(I169="CNC",IF(G169&gt;37,20,10),VLOOKUP(I169,#REF!,2,FALSE))))</f>
        <v>#REF!</v>
      </c>
      <c r="AV169" s="18" t="str">
        <f>IF(X169="","",IF(I169="CNC",VLOOKUP("Glue stick",#REF!,2,FALSE),""))</f>
        <v/>
      </c>
      <c r="AW169" s="18" t="str">
        <f>IF(X169="","",IF(I169="CNC",16*VLOOKUP("Box staples",#REF!,2,FALSE),""))</f>
        <v/>
      </c>
      <c r="AX169" s="91" t="e">
        <f>IF(X169="","",IF(I169="CNC",((((G169+6)+(F169+6))*2)+24)*VLOOKUP("sealing tape",#REF!,2,FALSE),VLOOKUP("Strapping tape",#REF!,2,FALSE)))</f>
        <v>#REF!</v>
      </c>
      <c r="AY169" s="17"/>
      <c r="AZ169" s="17"/>
      <c r="BA169" s="17"/>
      <c r="BB169" s="17"/>
      <c r="BC169" s="96"/>
      <c r="BD169" s="96"/>
      <c r="BE169" s="96"/>
      <c r="BF169" s="96"/>
      <c r="BG169" s="96"/>
      <c r="BH169" s="96"/>
      <c r="BI169" s="96"/>
    </row>
    <row r="170" spans="1:61" x14ac:dyDescent="0.45">
      <c r="A170" s="103" t="s">
        <v>1056</v>
      </c>
      <c r="B170" s="17" t="s">
        <v>2588</v>
      </c>
      <c r="C170" s="16">
        <v>44615</v>
      </c>
      <c r="D170" s="17" t="s">
        <v>66</v>
      </c>
      <c r="E170" s="15" t="s">
        <v>558</v>
      </c>
      <c r="F170" s="17">
        <v>26</v>
      </c>
      <c r="G170" s="17">
        <v>33</v>
      </c>
      <c r="H170" s="3" t="s">
        <v>43</v>
      </c>
      <c r="I170" s="88" t="s">
        <v>84</v>
      </c>
      <c r="J170" s="87">
        <v>44630</v>
      </c>
      <c r="K170" s="15">
        <v>345</v>
      </c>
      <c r="L170" s="96">
        <v>20</v>
      </c>
      <c r="M170" s="89">
        <v>10.029999999999999</v>
      </c>
      <c r="N170" s="88">
        <v>2</v>
      </c>
      <c r="O170" s="413" t="str">
        <f t="shared" si="1"/>
        <v>26 x 33</v>
      </c>
      <c r="P170" s="18" t="str">
        <f t="shared" si="2"/>
        <v>N/A</v>
      </c>
      <c r="Q170" s="91">
        <f t="shared" si="3"/>
        <v>2.85</v>
      </c>
      <c r="R170" s="18" t="str">
        <f t="shared" si="4"/>
        <v>37 x 3 x 3</v>
      </c>
      <c r="S170" s="18">
        <v>37</v>
      </c>
      <c r="T170" s="18">
        <v>3</v>
      </c>
      <c r="U170" s="18">
        <v>3</v>
      </c>
      <c r="V170" s="90">
        <f t="shared" si="47"/>
        <v>49</v>
      </c>
      <c r="W170" s="287">
        <f t="shared" si="51"/>
        <v>0.50149999999999995</v>
      </c>
      <c r="X170" s="287" t="str">
        <f t="shared" si="52"/>
        <v>Yes</v>
      </c>
      <c r="Y170" s="93" t="e">
        <f t="shared" si="53"/>
        <v>#REF!</v>
      </c>
      <c r="Z170" s="288" t="e">
        <f t="shared" si="54"/>
        <v>#REF!</v>
      </c>
      <c r="AA170" s="94" t="e">
        <f t="shared" si="55"/>
        <v>#REF!</v>
      </c>
      <c r="AB170" s="288" t="e">
        <f t="shared" si="56"/>
        <v>#REF!</v>
      </c>
      <c r="AC170" s="91" t="e">
        <f>IF(X170="","",IF(D170="2 3D",((F170-0.5)*2+(G170-0.5)*2)*VLOOKUP("3D base",#REF!,2,FALSE),IF(D170="3 Canv", IF(E170="Roll",0,ROUND(SUM(F170:G170)*2,0)),0)*VLOOKUP("Stretcher Bar",#REF!,2,FALSE)))</f>
        <v>#REF!</v>
      </c>
      <c r="AD170" s="91">
        <f>IF(X170="","",IF(E170="Roll",0,IF(D170="2 3D",(SUM(F170:G170)*2)*VLOOKUP("3D epoxy",#REF!,2,FALSE),IF(D170="3 Canv",VLOOKUP("Wood glue",#REF!,2,FALSE),""))))</f>
        <v>0</v>
      </c>
      <c r="AE170" s="91" t="e">
        <f>IF(D170="3 Canv",(((F170+5)*(G170+5)))*VLOOKUP("Canvas",#REF!,2,FALSE),IF(D170="2 3D",(((F170)*(G170)))*VLOOKUP("Dibond",#REF!,2,FALSE),""))</f>
        <v>#REF!</v>
      </c>
      <c r="AF170" s="91" t="e">
        <f>IF(D170="2 3D",F170*G170*VLOOKUP("3D ink",#REF!,2,FALSE),IF(D170="3 Canv",F170*G170*VLOOKUP("Canvas ink",#REF!,2,FALSE),""))</f>
        <v>#REF!</v>
      </c>
      <c r="AG170" s="91" t="str">
        <f>IF(D170="3 Canv",IF(E170="Roll","",ROUNDUP((SUM(F170:G170)*2)/3,"")*VLOOKUP("Staples",#REF!,2,FALSE)),"")</f>
        <v/>
      </c>
      <c r="AH170" s="91" t="e">
        <f>IF(AF170="","",(SUM(F170:G170)*2)*VLOOKUP(E170,#REF!,2,FALSE))</f>
        <v>#REF!</v>
      </c>
      <c r="AI170" s="18" t="str">
        <f t="shared" si="57"/>
        <v/>
      </c>
      <c r="AJ170" s="91" t="str">
        <f>IF(AI170="","",AI170*VLOOKUP("Staples",#REF!,2,FALSE))</f>
        <v/>
      </c>
      <c r="AK170" s="18" t="str">
        <f t="shared" si="58"/>
        <v/>
      </c>
      <c r="AL170" s="91" t="str">
        <f>IF(AK170="","",AK170*VLOOKUP("Frame screw",#REF!,2,FALSE))</f>
        <v/>
      </c>
      <c r="AM170" s="18" t="e">
        <f t="shared" si="59"/>
        <v>#REF!</v>
      </c>
      <c r="AN170" s="91" t="e">
        <f>IF(AM170="","",AM170*VLOOKUP("D ring",#REF!,2,FALSE))</f>
        <v>#REF!</v>
      </c>
      <c r="AO170" s="18" t="e">
        <f t="shared" si="60"/>
        <v>#REF!</v>
      </c>
      <c r="AP170" s="18" t="e">
        <f>IF(AO170="","",IF(G170&gt;59,AO170* VLOOKUP("8 wire",#REF!,2,FALSE)*2,IF(G170&gt;39,AO170* VLOOKUP("8 wire",#REF!,2,FALSE),AO170* VLOOKUP("6 wire",#REF!,2,FALSE))))</f>
        <v>#REF!</v>
      </c>
      <c r="AQ170" s="18" t="str">
        <f t="shared" si="61"/>
        <v/>
      </c>
      <c r="AR170" s="18" t="str">
        <f>IF(AQ170="","",AQ170*VLOOKUP("Pads",#REF!,2,FALSE))</f>
        <v/>
      </c>
      <c r="AS170" s="18" t="str">
        <f t="shared" si="62"/>
        <v/>
      </c>
      <c r="AT170" s="18" t="str">
        <f>IF(AS170="","",AS170*VLOOKUP("4 mil bag",#REF!,2,FALSE))</f>
        <v/>
      </c>
      <c r="AU170" s="91" t="e">
        <f>IF(X170="","",IF(I170="N/A","",IF(I170="CNC",IF(G170&gt;37,20,10),VLOOKUP(I170,#REF!,2,FALSE))))</f>
        <v>#REF!</v>
      </c>
      <c r="AV170" s="18" t="str">
        <f>IF(X170="","",IF(I170="CNC",VLOOKUP("Glue stick",#REF!,2,FALSE),""))</f>
        <v/>
      </c>
      <c r="AW170" s="18" t="str">
        <f>IF(X170="","",IF(I170="CNC",16*VLOOKUP("Box staples",#REF!,2,FALSE),""))</f>
        <v/>
      </c>
      <c r="AX170" s="91" t="e">
        <f>IF(X170="","",IF(I170="CNC",((((G170+6)+(F170+6))*2)+24)*VLOOKUP("sealing tape",#REF!,2,FALSE),VLOOKUP("Strapping tape",#REF!,2,FALSE)))</f>
        <v>#REF!</v>
      </c>
      <c r="AY170" s="17"/>
      <c r="AZ170" s="17"/>
      <c r="BA170" s="17"/>
      <c r="BB170" s="17"/>
      <c r="BC170" s="96"/>
      <c r="BD170" s="96"/>
      <c r="BE170" s="96"/>
      <c r="BF170" s="96"/>
      <c r="BG170" s="96"/>
      <c r="BH170" s="96"/>
      <c r="BI170" s="96"/>
    </row>
    <row r="171" spans="1:61" x14ac:dyDescent="0.45">
      <c r="A171" s="17" t="s">
        <v>904</v>
      </c>
      <c r="B171" s="17" t="s">
        <v>2594</v>
      </c>
      <c r="C171" s="16">
        <v>44630</v>
      </c>
      <c r="D171" s="17" t="s">
        <v>54</v>
      </c>
      <c r="E171" s="15" t="s">
        <v>690</v>
      </c>
      <c r="F171" s="17">
        <v>24</v>
      </c>
      <c r="G171" s="17">
        <v>30</v>
      </c>
      <c r="H171" s="3" t="s">
        <v>55</v>
      </c>
      <c r="I171" s="88" t="s">
        <v>45</v>
      </c>
      <c r="J171" s="87">
        <v>44630</v>
      </c>
      <c r="K171" s="15">
        <v>1760</v>
      </c>
      <c r="L171" s="96">
        <v>0</v>
      </c>
      <c r="M171" s="89">
        <v>0</v>
      </c>
      <c r="N171" s="88"/>
      <c r="O171" s="413" t="str">
        <f t="shared" si="1"/>
        <v>24 x 30</v>
      </c>
      <c r="P171" s="18" t="str">
        <f t="shared" si="2"/>
        <v>26 x 32</v>
      </c>
      <c r="Q171" s="91" t="str">
        <f t="shared" si="3"/>
        <v>N/A</v>
      </c>
      <c r="R171" s="18" t="str">
        <f t="shared" si="4"/>
        <v>N/A</v>
      </c>
      <c r="S171" s="18" t="s">
        <v>45</v>
      </c>
      <c r="T171" s="18"/>
      <c r="U171" s="18"/>
      <c r="V171" s="91" t="str">
        <f t="shared" si="47"/>
        <v>N/A</v>
      </c>
      <c r="W171" s="287" t="str">
        <f t="shared" si="51"/>
        <v/>
      </c>
      <c r="X171" s="287" t="str">
        <f t="shared" si="52"/>
        <v>Yes</v>
      </c>
      <c r="Y171" s="93" t="e">
        <f t="shared" si="53"/>
        <v>#REF!</v>
      </c>
      <c r="Z171" s="288" t="e">
        <f t="shared" si="54"/>
        <v>#REF!</v>
      </c>
      <c r="AA171" s="94" t="e">
        <f t="shared" si="55"/>
        <v>#REF!</v>
      </c>
      <c r="AB171" s="288" t="e">
        <f t="shared" si="56"/>
        <v>#REF!</v>
      </c>
      <c r="AC171" s="91" t="e">
        <f>IF(X171="","",IF(D171="2 3D",((F171-0.5)*2+(G171-0.5)*2)*VLOOKUP("3D base",#REF!,2,FALSE),IF(D171="3 Canv", IF(E171="Roll",0,ROUND(SUM(F171:G171)*2,0)),0)*VLOOKUP("Stretcher Bar",#REF!,2,FALSE)))</f>
        <v>#REF!</v>
      </c>
      <c r="AD171" s="91" t="e">
        <f>IF(X171="","",IF(E171="Roll",0,IF(D171="2 3D",(SUM(F171:G171)*2)*VLOOKUP("3D epoxy",#REF!,2,FALSE),IF(D171="3 Canv",VLOOKUP("Wood glue",#REF!,2,FALSE),""))))</f>
        <v>#REF!</v>
      </c>
      <c r="AE171" s="91" t="e">
        <f>IF(D171="3 Canv",(((F171+5)*(G171+5)))*VLOOKUP("Canvas",#REF!,2,FALSE),IF(D171="2 3D",(((F171)*(G171)))*VLOOKUP("Dibond",#REF!,2,FALSE),""))</f>
        <v>#REF!</v>
      </c>
      <c r="AF171" s="91" t="e">
        <f>IF(D171="2 3D",F171*G171*VLOOKUP("3D ink",#REF!,2,FALSE),IF(D171="3 Canv",F171*G171*VLOOKUP("Canvas ink",#REF!,2,FALSE),""))</f>
        <v>#REF!</v>
      </c>
      <c r="AG171" s="91" t="str">
        <f>IF(D171="3 Canv",IF(E171="Roll","",ROUNDUP((SUM(F171:G171)*2)/3,"")*VLOOKUP("Staples",#REF!,2,FALSE)),"")</f>
        <v/>
      </c>
      <c r="AH171" s="91" t="e">
        <f>IF(AF171="","",(SUM(F171:G171)*2)*VLOOKUP(E171,#REF!,2,FALSE))</f>
        <v>#REF!</v>
      </c>
      <c r="AI171" s="18">
        <f t="shared" si="57"/>
        <v>44</v>
      </c>
      <c r="AJ171" s="91" t="e">
        <f>IF(AI171="","",AI171*VLOOKUP("Staples",#REF!,2,FALSE))</f>
        <v>#REF!</v>
      </c>
      <c r="AK171" s="18" t="e">
        <f t="shared" si="58"/>
        <v>#REF!</v>
      </c>
      <c r="AL171" s="91" t="e">
        <f>IF(AK171="","",AK171*VLOOKUP("Frame screw",#REF!,2,FALSE))</f>
        <v>#REF!</v>
      </c>
      <c r="AM171" s="18" t="e">
        <f t="shared" si="59"/>
        <v>#REF!</v>
      </c>
      <c r="AN171" s="91" t="e">
        <f>IF(AM171="","",AM171*VLOOKUP("D ring",#REF!,2,FALSE))</f>
        <v>#REF!</v>
      </c>
      <c r="AO171" s="18" t="e">
        <f t="shared" si="60"/>
        <v>#REF!</v>
      </c>
      <c r="AP171" s="91" t="e">
        <f>IF(AO171="","",IF(G171&gt;59,AO171* VLOOKUP("8 wire",#REF!,2,FALSE)*2,IF(G171&gt;39,AO171* VLOOKUP("8 wire",#REF!,2,FALSE),AO171* VLOOKUP("6 wire",#REF!,2,FALSE))))</f>
        <v>#REF!</v>
      </c>
      <c r="AQ171" s="18">
        <f t="shared" si="61"/>
        <v>4</v>
      </c>
      <c r="AR171" s="18" t="e">
        <f>IF(AQ171="","",AQ171*VLOOKUP("Pads",#REF!,2,FALSE))</f>
        <v>#REF!</v>
      </c>
      <c r="AS171" s="18">
        <f t="shared" si="62"/>
        <v>1</v>
      </c>
      <c r="AT171" s="91" t="e">
        <f>IF(AS171="","",AS171*VLOOKUP("4 mil bag",#REF!,2,FALSE))</f>
        <v>#REF!</v>
      </c>
      <c r="AU171" s="91" t="str">
        <f>IF(X171="","",IF(I171="N/A","",IF(I171="CNC",IF(G171&gt;37,20,10),VLOOKUP(I171,#REF!,2,FALSE))))</f>
        <v/>
      </c>
      <c r="AV171" s="18" t="str">
        <f>IF(X171="","",IF(I171="CNC",VLOOKUP("Glue stick",#REF!,2,FALSE),""))</f>
        <v/>
      </c>
      <c r="AW171" s="18" t="str">
        <f>IF(X171="","",IF(I171="CNC",16*VLOOKUP("Box staples",#REF!,2,FALSE),""))</f>
        <v/>
      </c>
      <c r="AX171" s="91" t="e">
        <f>IF(X171="","",IF(I171="CNC",((((G171+6)+(F171+6))*2)+24)*VLOOKUP("sealing tape",#REF!,2,FALSE),VLOOKUP("Strapping tape",#REF!,2,FALSE)))</f>
        <v>#REF!</v>
      </c>
      <c r="AY171" s="17"/>
      <c r="AZ171" s="17"/>
      <c r="BA171" s="17"/>
      <c r="BB171" s="17"/>
      <c r="BC171" s="96"/>
      <c r="BD171" s="96"/>
      <c r="BE171" s="96"/>
      <c r="BF171" s="96"/>
      <c r="BG171" s="96"/>
      <c r="BH171" s="96"/>
      <c r="BI171" s="96"/>
    </row>
    <row r="172" spans="1:61" x14ac:dyDescent="0.45">
      <c r="A172" s="103" t="s">
        <v>1231</v>
      </c>
      <c r="B172" s="17" t="s">
        <v>1230</v>
      </c>
      <c r="C172" s="16">
        <v>44627</v>
      </c>
      <c r="D172" s="17" t="s">
        <v>66</v>
      </c>
      <c r="E172" s="15" t="s">
        <v>558</v>
      </c>
      <c r="F172" s="17">
        <v>26</v>
      </c>
      <c r="G172" s="17">
        <v>35</v>
      </c>
      <c r="H172" s="3" t="s">
        <v>43</v>
      </c>
      <c r="I172" s="88" t="s">
        <v>84</v>
      </c>
      <c r="J172" s="87">
        <v>44630</v>
      </c>
      <c r="K172" s="15">
        <v>350</v>
      </c>
      <c r="L172" s="96">
        <v>20</v>
      </c>
      <c r="M172" s="89">
        <v>10.029999999999999</v>
      </c>
      <c r="N172" s="88">
        <v>2</v>
      </c>
      <c r="O172" s="413" t="str">
        <f t="shared" si="1"/>
        <v>26 x 35</v>
      </c>
      <c r="P172" s="18" t="str">
        <f t="shared" si="2"/>
        <v>N/A</v>
      </c>
      <c r="Q172" s="91">
        <f t="shared" si="3"/>
        <v>2.85</v>
      </c>
      <c r="R172" s="18" t="str">
        <f t="shared" si="4"/>
        <v>37 x 3 x 3</v>
      </c>
      <c r="S172" s="18">
        <v>37</v>
      </c>
      <c r="T172" s="18">
        <v>3</v>
      </c>
      <c r="U172" s="18">
        <v>3</v>
      </c>
      <c r="V172" s="90">
        <f t="shared" si="47"/>
        <v>49</v>
      </c>
      <c r="W172" s="287">
        <f t="shared" si="51"/>
        <v>0.50149999999999995</v>
      </c>
      <c r="X172" s="287" t="str">
        <f t="shared" si="52"/>
        <v>Yes</v>
      </c>
      <c r="Y172" s="93" t="e">
        <f t="shared" si="53"/>
        <v>#REF!</v>
      </c>
      <c r="Z172" s="288" t="e">
        <f t="shared" si="54"/>
        <v>#REF!</v>
      </c>
      <c r="AA172" s="94" t="e">
        <f t="shared" si="55"/>
        <v>#REF!</v>
      </c>
      <c r="AB172" s="288" t="e">
        <f t="shared" si="56"/>
        <v>#REF!</v>
      </c>
      <c r="AC172" s="91" t="e">
        <f>IF(X172="","",IF(D172="2 3D",((F172-0.5)*2+(G172-0.5)*2)*VLOOKUP("3D base",#REF!,2,FALSE),IF(D172="3 Canv", IF(E172="Roll",0,ROUND(SUM(F172:G172)*2,0)),0)*VLOOKUP("Stretcher Bar",#REF!,2,FALSE)))</f>
        <v>#REF!</v>
      </c>
      <c r="AD172" s="91">
        <f>IF(X172="","",IF(E172="Roll",0,IF(D172="2 3D",(SUM(F172:G172)*2)*VLOOKUP("3D epoxy",#REF!,2,FALSE),IF(D172="3 Canv",VLOOKUP("Wood glue",#REF!,2,FALSE),""))))</f>
        <v>0</v>
      </c>
      <c r="AE172" s="91" t="e">
        <f>IF(D172="3 Canv",(((F172+5)*(G172+5)))*VLOOKUP("Canvas",#REF!,2,FALSE),IF(D172="2 3D",(((F172)*(G172)))*VLOOKUP("Dibond",#REF!,2,FALSE),""))</f>
        <v>#REF!</v>
      </c>
      <c r="AF172" s="91" t="e">
        <f>IF(D172="2 3D",F172*G172*VLOOKUP("3D ink",#REF!,2,FALSE),IF(D172="3 Canv",F172*G172*VLOOKUP("Canvas ink",#REF!,2,FALSE),""))</f>
        <v>#REF!</v>
      </c>
      <c r="AG172" s="91" t="str">
        <f>IF(D172="3 Canv",IF(E172="Roll","",ROUNDUP((SUM(F172:G172)*2)/3,"")*VLOOKUP("Staples",#REF!,2,FALSE)),"")</f>
        <v/>
      </c>
      <c r="AH172" s="91" t="e">
        <f>IF(AF172="","",(SUM(F172:G172)*2)*VLOOKUP(E172,#REF!,2,FALSE))</f>
        <v>#REF!</v>
      </c>
      <c r="AI172" s="18" t="str">
        <f t="shared" si="57"/>
        <v/>
      </c>
      <c r="AJ172" s="91" t="str">
        <f>IF(AI172="","",AI172*VLOOKUP("Staples",#REF!,2,FALSE))</f>
        <v/>
      </c>
      <c r="AK172" s="18" t="str">
        <f t="shared" si="58"/>
        <v/>
      </c>
      <c r="AL172" s="91" t="str">
        <f>IF(AK172="","",AK172*VLOOKUP("Frame screw",#REF!,2,FALSE))</f>
        <v/>
      </c>
      <c r="AM172" s="18" t="e">
        <f t="shared" si="59"/>
        <v>#REF!</v>
      </c>
      <c r="AN172" s="91" t="e">
        <f>IF(AM172="","",AM172*VLOOKUP("D ring",#REF!,2,FALSE))</f>
        <v>#REF!</v>
      </c>
      <c r="AO172" s="18" t="e">
        <f t="shared" si="60"/>
        <v>#REF!</v>
      </c>
      <c r="AP172" s="18" t="e">
        <f>IF(AO172="","",IF(G172&gt;59,AO172* VLOOKUP("8 wire",#REF!,2,FALSE)*2,IF(G172&gt;39,AO172* VLOOKUP("8 wire",#REF!,2,FALSE),AO172* VLOOKUP("6 wire",#REF!,2,FALSE))))</f>
        <v>#REF!</v>
      </c>
      <c r="AQ172" s="18" t="str">
        <f t="shared" si="61"/>
        <v/>
      </c>
      <c r="AR172" s="18" t="str">
        <f>IF(AQ172="","",AQ172*VLOOKUP("Pads",#REF!,2,FALSE))</f>
        <v/>
      </c>
      <c r="AS172" s="18" t="str">
        <f t="shared" si="62"/>
        <v/>
      </c>
      <c r="AT172" s="18" t="str">
        <f>IF(AS172="","",AS172*VLOOKUP("4 mil bag",#REF!,2,FALSE))</f>
        <v/>
      </c>
      <c r="AU172" s="91" t="e">
        <f>IF(X172="","",IF(I172="N/A","",IF(I172="CNC",IF(G172&gt;37,20,10),VLOOKUP(I172,#REF!,2,FALSE))))</f>
        <v>#REF!</v>
      </c>
      <c r="AV172" s="18" t="str">
        <f>IF(X172="","",IF(I172="CNC",VLOOKUP("Glue stick",#REF!,2,FALSE),""))</f>
        <v/>
      </c>
      <c r="AW172" s="18" t="str">
        <f>IF(X172="","",IF(I172="CNC",16*VLOOKUP("Box staples",#REF!,2,FALSE),""))</f>
        <v/>
      </c>
      <c r="AX172" s="91" t="e">
        <f>IF(X172="","",IF(I172="CNC",((((G172+6)+(F172+6))*2)+24)*VLOOKUP("sealing tape",#REF!,2,FALSE),VLOOKUP("Strapping tape",#REF!,2,FALSE)))</f>
        <v>#REF!</v>
      </c>
      <c r="AY172" s="17"/>
      <c r="AZ172" s="17"/>
      <c r="BA172" s="17"/>
      <c r="BB172" s="17"/>
      <c r="BC172" s="96"/>
      <c r="BD172" s="96"/>
      <c r="BE172" s="96"/>
      <c r="BF172" s="96"/>
      <c r="BG172" s="96"/>
      <c r="BH172" s="96"/>
      <c r="BI172" s="96"/>
    </row>
    <row r="173" spans="1:61" x14ac:dyDescent="0.45">
      <c r="A173" s="103" t="s">
        <v>1107</v>
      </c>
      <c r="B173" s="17" t="s">
        <v>2604</v>
      </c>
      <c r="C173" s="16">
        <v>44631</v>
      </c>
      <c r="D173" s="17" t="s">
        <v>54</v>
      </c>
      <c r="E173" s="15" t="s">
        <v>37</v>
      </c>
      <c r="F173" s="17">
        <v>11</v>
      </c>
      <c r="G173" s="17">
        <v>14</v>
      </c>
      <c r="H173" s="3" t="s">
        <v>43</v>
      </c>
      <c r="I173" s="88" t="s">
        <v>41</v>
      </c>
      <c r="J173" s="87">
        <v>44631</v>
      </c>
      <c r="K173" s="15">
        <v>500</v>
      </c>
      <c r="L173" s="96">
        <v>0</v>
      </c>
      <c r="M173" s="89">
        <v>86.17</v>
      </c>
      <c r="N173" s="88">
        <v>5</v>
      </c>
      <c r="O173" s="413" t="str">
        <f t="shared" si="1"/>
        <v>11 x 14</v>
      </c>
      <c r="P173" s="18" t="str">
        <f t="shared" si="2"/>
        <v>13 x 16</v>
      </c>
      <c r="Q173" s="91" t="str">
        <f t="shared" si="3"/>
        <v>N/A</v>
      </c>
      <c r="R173" s="18" t="str">
        <f t="shared" si="4"/>
        <v>22 x 20 x 6</v>
      </c>
      <c r="S173" s="18">
        <v>22</v>
      </c>
      <c r="T173" s="18">
        <v>20</v>
      </c>
      <c r="U173" s="18">
        <v>6</v>
      </c>
      <c r="V173" s="18">
        <f t="shared" si="47"/>
        <v>65</v>
      </c>
      <c r="W173" s="287" t="str">
        <f t="shared" si="51"/>
        <v/>
      </c>
      <c r="X173" s="287" t="str">
        <f t="shared" si="52"/>
        <v>Yes</v>
      </c>
      <c r="Y173" s="93" t="e">
        <f t="shared" si="53"/>
        <v>#REF!</v>
      </c>
      <c r="Z173" s="288" t="e">
        <f t="shared" si="54"/>
        <v>#REF!</v>
      </c>
      <c r="AA173" s="94" t="e">
        <f t="shared" si="55"/>
        <v>#REF!</v>
      </c>
      <c r="AB173" s="288" t="e">
        <f t="shared" si="56"/>
        <v>#REF!</v>
      </c>
      <c r="AC173" s="91" t="e">
        <f>IF(X173="","",IF(D173="2 3D",((F173-0.5)*2+(G173-0.5)*2)*VLOOKUP("3D base",#REF!,2,FALSE),IF(D173="3 Canv", IF(E173="Roll",0,ROUND(SUM(F173:G173)*2,0)),0)*VLOOKUP("Stretcher Bar",#REF!,2,FALSE)))</f>
        <v>#REF!</v>
      </c>
      <c r="AD173" s="91" t="e">
        <f>IF(X173="","",IF(E173="Roll",0,IF(D173="2 3D",(SUM(F173:G173)*2)*VLOOKUP("3D epoxy",#REF!,2,FALSE),IF(D173="3 Canv",VLOOKUP("Wood glue",#REF!,2,FALSE),""))))</f>
        <v>#REF!</v>
      </c>
      <c r="AE173" s="91" t="e">
        <f>IF(D173="3 Canv",(((F173+5)*(G173+5)))*VLOOKUP("Canvas",#REF!,2,FALSE),IF(D173="2 3D",(((F173)*(G173)))*VLOOKUP("Dibond",#REF!,2,FALSE),""))</f>
        <v>#REF!</v>
      </c>
      <c r="AF173" s="91" t="e">
        <f>IF(D173="2 3D",F173*G173*VLOOKUP("3D ink",#REF!,2,FALSE),IF(D173="3 Canv",F173*G173*VLOOKUP("Canvas ink",#REF!,2,FALSE),""))</f>
        <v>#REF!</v>
      </c>
      <c r="AG173" s="91" t="str">
        <f>IF(D173="3 Canv",IF(E173="Roll","",ROUNDUP((SUM(F173:G173)*2)/3,"")*VLOOKUP("Staples",#REF!,2,FALSE)),"")</f>
        <v/>
      </c>
      <c r="AH173" s="91" t="e">
        <f>IF(AF173="","",(SUM(F173:G173)*2)*VLOOKUP(E173,#REF!,2,FALSE))</f>
        <v>#REF!</v>
      </c>
      <c r="AI173" s="18">
        <f t="shared" si="57"/>
        <v>44</v>
      </c>
      <c r="AJ173" s="91" t="e">
        <f>IF(AI173="","",AI173*VLOOKUP("Staples",#REF!,2,FALSE))</f>
        <v>#REF!</v>
      </c>
      <c r="AK173" s="18" t="e">
        <f t="shared" si="58"/>
        <v>#REF!</v>
      </c>
      <c r="AL173" s="91" t="e">
        <f>IF(AK173="","",AK173*VLOOKUP("Frame screw",#REF!,2,FALSE))</f>
        <v>#REF!</v>
      </c>
      <c r="AM173" s="18" t="e">
        <f t="shared" si="59"/>
        <v>#REF!</v>
      </c>
      <c r="AN173" s="91" t="e">
        <f>IF(AM173="","",AM173*VLOOKUP("D ring",#REF!,2,FALSE))</f>
        <v>#REF!</v>
      </c>
      <c r="AO173" s="18" t="e">
        <f t="shared" si="60"/>
        <v>#REF!</v>
      </c>
      <c r="AP173" s="91" t="e">
        <f>IF(AO173="","",IF(G173&gt;59,AO173* VLOOKUP("8 wire",#REF!,2,FALSE)*2,IF(G173&gt;39,AO173* VLOOKUP("8 wire",#REF!,2,FALSE),AO173* VLOOKUP("6 wire",#REF!,2,FALSE))))</f>
        <v>#REF!</v>
      </c>
      <c r="AQ173" s="18">
        <f t="shared" si="61"/>
        <v>4</v>
      </c>
      <c r="AR173" s="18" t="e">
        <f>IF(AQ173="","",AQ173*VLOOKUP("Pads",#REF!,2,FALSE))</f>
        <v>#REF!</v>
      </c>
      <c r="AS173" s="18">
        <f t="shared" si="62"/>
        <v>1</v>
      </c>
      <c r="AT173" s="91" t="e">
        <f>IF(AS173="","",AS173*VLOOKUP("4 mil bag",#REF!,2,FALSE))</f>
        <v>#REF!</v>
      </c>
      <c r="AU173" s="91">
        <f>IF(X173="","",IF(I173="N/A","",IF(I173="CNC",IF(G173&gt;37,20,10),VLOOKUP(I173,#REF!,2,FALSE))))</f>
        <v>10</v>
      </c>
      <c r="AV173" s="91" t="e">
        <f>IF(X173="","",IF(I173="CNC",VLOOKUP("Glue stick",#REF!,2,FALSE),""))</f>
        <v>#REF!</v>
      </c>
      <c r="AW173" s="91" t="e">
        <f>IF(X173="","",IF(I173="CNC",16*VLOOKUP("Box staples",#REF!,2,FALSE),""))</f>
        <v>#REF!</v>
      </c>
      <c r="AX173" s="18" t="e">
        <f>IF(X173="","",IF(I173="CNC",((((G173+6)+(F173+6))*2)+24)*VLOOKUP("sealing tape",#REF!,2,FALSE),VLOOKUP("Strapping tape",#REF!,2,FALSE)))</f>
        <v>#REF!</v>
      </c>
      <c r="AY173" s="17"/>
      <c r="AZ173" s="17"/>
      <c r="BA173" s="17"/>
      <c r="BB173" s="17"/>
      <c r="BC173" s="96"/>
      <c r="BD173" s="96"/>
      <c r="BE173" s="96"/>
      <c r="BF173" s="96"/>
      <c r="BG173" s="96"/>
      <c r="BH173" s="96"/>
      <c r="BI173" s="96"/>
    </row>
    <row r="174" spans="1:61" x14ac:dyDescent="0.45">
      <c r="A174" s="103" t="s">
        <v>476</v>
      </c>
      <c r="B174" s="17" t="s">
        <v>2608</v>
      </c>
      <c r="C174" s="16">
        <v>44631</v>
      </c>
      <c r="D174" s="17" t="s">
        <v>54</v>
      </c>
      <c r="E174" s="15" t="s">
        <v>690</v>
      </c>
      <c r="F174" s="17">
        <v>30</v>
      </c>
      <c r="G174" s="17">
        <v>40</v>
      </c>
      <c r="H174" s="3" t="s">
        <v>43</v>
      </c>
      <c r="I174" s="88" t="s">
        <v>41</v>
      </c>
      <c r="J174" s="87">
        <v>44631</v>
      </c>
      <c r="K174" s="15">
        <v>3600</v>
      </c>
      <c r="L174" s="96">
        <v>0</v>
      </c>
      <c r="M174" s="89">
        <v>147.71</v>
      </c>
      <c r="N174" s="88">
        <v>20</v>
      </c>
      <c r="O174" s="413" t="str">
        <f t="shared" si="1"/>
        <v>30 x 40</v>
      </c>
      <c r="P174" s="18" t="str">
        <f t="shared" si="2"/>
        <v>32 x 42</v>
      </c>
      <c r="Q174" s="91" t="str">
        <f t="shared" si="3"/>
        <v>N/A</v>
      </c>
      <c r="R174" s="18" t="str">
        <f t="shared" si="4"/>
        <v>48 x 39 x 6</v>
      </c>
      <c r="S174" s="18">
        <v>48</v>
      </c>
      <c r="T174" s="18">
        <v>39</v>
      </c>
      <c r="U174" s="18">
        <v>6</v>
      </c>
      <c r="V174" s="18">
        <f t="shared" si="47"/>
        <v>129</v>
      </c>
      <c r="W174" s="287" t="str">
        <f t="shared" si="51"/>
        <v/>
      </c>
      <c r="X174" s="287" t="str">
        <f t="shared" si="52"/>
        <v>Yes</v>
      </c>
      <c r="Y174" s="93" t="e">
        <f t="shared" si="53"/>
        <v>#REF!</v>
      </c>
      <c r="Z174" s="288" t="e">
        <f t="shared" si="54"/>
        <v>#REF!</v>
      </c>
      <c r="AA174" s="94" t="e">
        <f t="shared" si="55"/>
        <v>#REF!</v>
      </c>
      <c r="AB174" s="288" t="e">
        <f t="shared" si="56"/>
        <v>#REF!</v>
      </c>
      <c r="AC174" s="91" t="e">
        <f>IF(X174="","",IF(D174="2 3D",((F174-0.5)*2+(G174-0.5)*2)*VLOOKUP("3D base",#REF!,2,FALSE),IF(D174="3 Canv", IF(E174="Roll",0,ROUND(SUM(F174:G174)*2,0)),0)*VLOOKUP("Stretcher Bar",#REF!,2,FALSE)))</f>
        <v>#REF!</v>
      </c>
      <c r="AD174" s="91" t="e">
        <f>IF(X174="","",IF(E174="Roll",0,IF(D174="2 3D",(SUM(F174:G174)*2)*VLOOKUP("3D epoxy",#REF!,2,FALSE),IF(D174="3 Canv",VLOOKUP("Wood glue",#REF!,2,FALSE),""))))</f>
        <v>#REF!</v>
      </c>
      <c r="AE174" s="91" t="e">
        <f>IF(D174="3 Canv",(((F174+5)*(G174+5)))*VLOOKUP("Canvas",#REF!,2,FALSE),IF(D174="2 3D",(((F174)*(G174)))*VLOOKUP("Dibond",#REF!,2,FALSE),""))</f>
        <v>#REF!</v>
      </c>
      <c r="AF174" s="91" t="e">
        <f>IF(D174="2 3D",F174*G174*VLOOKUP("3D ink",#REF!,2,FALSE),IF(D174="3 Canv",F174*G174*VLOOKUP("Canvas ink",#REF!,2,FALSE),""))</f>
        <v>#REF!</v>
      </c>
      <c r="AG174" s="91" t="str">
        <f>IF(D174="3 Canv",IF(E174="Roll","",ROUNDUP((SUM(F174:G174)*2)/3,"")*VLOOKUP("Staples",#REF!,2,FALSE)),"")</f>
        <v/>
      </c>
      <c r="AH174" s="91" t="e">
        <f>IF(AF174="","",(SUM(F174:G174)*2)*VLOOKUP(E174,#REF!,2,FALSE))</f>
        <v>#REF!</v>
      </c>
      <c r="AI174" s="18">
        <f t="shared" si="57"/>
        <v>44</v>
      </c>
      <c r="AJ174" s="91" t="e">
        <f>IF(AI174="","",AI174*VLOOKUP("Staples",#REF!,2,FALSE))</f>
        <v>#REF!</v>
      </c>
      <c r="AK174" s="18" t="e">
        <f t="shared" si="58"/>
        <v>#REF!</v>
      </c>
      <c r="AL174" s="91" t="e">
        <f>IF(AK174="","",AK174*VLOOKUP("Frame screw",#REF!,2,FALSE))</f>
        <v>#REF!</v>
      </c>
      <c r="AM174" s="18" t="e">
        <f t="shared" si="59"/>
        <v>#REF!</v>
      </c>
      <c r="AN174" s="91" t="e">
        <f>IF(AM174="","",AM174*VLOOKUP("D ring",#REF!,2,FALSE))</f>
        <v>#REF!</v>
      </c>
      <c r="AO174" s="18" t="e">
        <f t="shared" si="60"/>
        <v>#REF!</v>
      </c>
      <c r="AP174" s="91" t="e">
        <f>IF(AO174="","",IF(G174&gt;59,AO174* VLOOKUP("8 wire",#REF!,2,FALSE)*2,IF(G174&gt;39,AO174* VLOOKUP("8 wire",#REF!,2,FALSE),AO174* VLOOKUP("6 wire",#REF!,2,FALSE))))</f>
        <v>#REF!</v>
      </c>
      <c r="AQ174" s="18">
        <f t="shared" si="61"/>
        <v>4</v>
      </c>
      <c r="AR174" s="18" t="e">
        <f>IF(AQ174="","",AQ174*VLOOKUP("Pads",#REF!,2,FALSE))</f>
        <v>#REF!</v>
      </c>
      <c r="AS174" s="18">
        <f t="shared" si="62"/>
        <v>1</v>
      </c>
      <c r="AT174" s="91" t="e">
        <f>IF(AS174="","",AS174*VLOOKUP("4 mil bag",#REF!,2,FALSE))</f>
        <v>#REF!</v>
      </c>
      <c r="AU174" s="91">
        <f>IF(X174="","",IF(I174="N/A","",IF(I174="CNC",IF(G174&gt;37,20,10),VLOOKUP(I174,#REF!,2,FALSE))))</f>
        <v>20</v>
      </c>
      <c r="AV174" s="91" t="e">
        <f>IF(X174="","",IF(I174="CNC",VLOOKUP("Glue stick",#REF!,2,FALSE),""))</f>
        <v>#REF!</v>
      </c>
      <c r="AW174" s="91" t="e">
        <f>IF(X174="","",IF(I174="CNC",16*VLOOKUP("Box staples",#REF!,2,FALSE),""))</f>
        <v>#REF!</v>
      </c>
      <c r="AX174" s="18" t="e">
        <f>IF(X174="","",IF(I174="CNC",((((G174+6)+(F174+6))*2)+24)*VLOOKUP("sealing tape",#REF!,2,FALSE),VLOOKUP("Strapping tape",#REF!,2,FALSE)))</f>
        <v>#REF!</v>
      </c>
      <c r="AY174" s="17"/>
      <c r="AZ174" s="17"/>
      <c r="BA174" s="17"/>
      <c r="BB174" s="17"/>
      <c r="BC174" s="96"/>
      <c r="BD174" s="96"/>
      <c r="BE174" s="96"/>
      <c r="BF174" s="96"/>
      <c r="BG174" s="96"/>
      <c r="BH174" s="96"/>
      <c r="BI174" s="96"/>
    </row>
    <row r="175" spans="1:61" x14ac:dyDescent="0.45">
      <c r="A175" s="103" t="s">
        <v>2612</v>
      </c>
      <c r="B175" s="17" t="s">
        <v>2611</v>
      </c>
      <c r="C175" s="16">
        <v>44631</v>
      </c>
      <c r="D175" s="17" t="s">
        <v>54</v>
      </c>
      <c r="E175" s="15" t="s">
        <v>690</v>
      </c>
      <c r="F175" s="17">
        <v>20</v>
      </c>
      <c r="G175" s="17">
        <v>24</v>
      </c>
      <c r="H175" s="3" t="s">
        <v>43</v>
      </c>
      <c r="I175" s="88" t="s">
        <v>41</v>
      </c>
      <c r="J175" s="87">
        <v>44631</v>
      </c>
      <c r="K175" s="15">
        <v>1300</v>
      </c>
      <c r="L175" s="96">
        <v>0</v>
      </c>
      <c r="M175" s="89">
        <v>30.38</v>
      </c>
      <c r="N175" s="88">
        <v>11</v>
      </c>
      <c r="O175" s="413" t="str">
        <f t="shared" si="1"/>
        <v>20 x 24</v>
      </c>
      <c r="P175" s="18" t="str">
        <f t="shared" si="2"/>
        <v>22 x 26</v>
      </c>
      <c r="Q175" s="91" t="str">
        <f t="shared" si="3"/>
        <v>N/A</v>
      </c>
      <c r="R175" s="18" t="str">
        <f t="shared" si="4"/>
        <v>32 x 29 x 6</v>
      </c>
      <c r="S175" s="18">
        <v>32</v>
      </c>
      <c r="T175" s="18">
        <v>29</v>
      </c>
      <c r="U175" s="18">
        <v>6</v>
      </c>
      <c r="V175" s="18">
        <f t="shared" si="47"/>
        <v>93</v>
      </c>
      <c r="W175" s="287" t="str">
        <f t="shared" si="51"/>
        <v/>
      </c>
      <c r="X175" s="287" t="str">
        <f t="shared" si="52"/>
        <v>Yes</v>
      </c>
      <c r="Y175" s="93" t="e">
        <f t="shared" si="53"/>
        <v>#REF!</v>
      </c>
      <c r="Z175" s="288" t="e">
        <f t="shared" si="54"/>
        <v>#REF!</v>
      </c>
      <c r="AA175" s="94" t="e">
        <f t="shared" si="55"/>
        <v>#REF!</v>
      </c>
      <c r="AB175" s="288" t="e">
        <f t="shared" si="56"/>
        <v>#REF!</v>
      </c>
      <c r="AC175" s="91" t="e">
        <f>IF(X175="","",IF(D175="2 3D",((F175-0.5)*2+(G175-0.5)*2)*VLOOKUP("3D base",#REF!,2,FALSE),IF(D175="3 Canv", IF(E175="Roll",0,ROUND(SUM(F175:G175)*2,0)),0)*VLOOKUP("Stretcher Bar",#REF!,2,FALSE)))</f>
        <v>#REF!</v>
      </c>
      <c r="AD175" s="91" t="e">
        <f>IF(X175="","",IF(E175="Roll",0,IF(D175="2 3D",(SUM(F175:G175)*2)*VLOOKUP("3D epoxy",#REF!,2,FALSE),IF(D175="3 Canv",VLOOKUP("Wood glue",#REF!,2,FALSE),""))))</f>
        <v>#REF!</v>
      </c>
      <c r="AE175" s="91" t="e">
        <f>IF(D175="3 Canv",(((F175+5)*(G175+5)))*VLOOKUP("Canvas",#REF!,2,FALSE),IF(D175="2 3D",(((F175)*(G175)))*VLOOKUP("Dibond",#REF!,2,FALSE),""))</f>
        <v>#REF!</v>
      </c>
      <c r="AF175" s="91" t="e">
        <f>IF(D175="2 3D",F175*G175*VLOOKUP("3D ink",#REF!,2,FALSE),IF(D175="3 Canv",F175*G175*VLOOKUP("Canvas ink",#REF!,2,FALSE),""))</f>
        <v>#REF!</v>
      </c>
      <c r="AG175" s="91" t="str">
        <f>IF(D175="3 Canv",IF(E175="Roll","",ROUNDUP((SUM(F175:G175)*2)/3,"")*VLOOKUP("Staples",#REF!,2,FALSE)),"")</f>
        <v/>
      </c>
      <c r="AH175" s="91" t="e">
        <f>IF(AF175="","",(SUM(F175:G175)*2)*VLOOKUP(E175,#REF!,2,FALSE))</f>
        <v>#REF!</v>
      </c>
      <c r="AI175" s="18">
        <f t="shared" si="57"/>
        <v>44</v>
      </c>
      <c r="AJ175" s="91" t="e">
        <f>IF(AI175="","",AI175*VLOOKUP("Staples",#REF!,2,FALSE))</f>
        <v>#REF!</v>
      </c>
      <c r="AK175" s="18" t="e">
        <f t="shared" si="58"/>
        <v>#REF!</v>
      </c>
      <c r="AL175" s="91" t="e">
        <f>IF(AK175="","",AK175*VLOOKUP("Frame screw",#REF!,2,FALSE))</f>
        <v>#REF!</v>
      </c>
      <c r="AM175" s="18" t="e">
        <f t="shared" si="59"/>
        <v>#REF!</v>
      </c>
      <c r="AN175" s="91" t="e">
        <f>IF(AM175="","",AM175*VLOOKUP("D ring",#REF!,2,FALSE))</f>
        <v>#REF!</v>
      </c>
      <c r="AO175" s="18" t="e">
        <f t="shared" si="60"/>
        <v>#REF!</v>
      </c>
      <c r="AP175" s="91" t="e">
        <f>IF(AO175="","",IF(G175&gt;59,AO175* VLOOKUP("8 wire",#REF!,2,FALSE)*2,IF(G175&gt;39,AO175* VLOOKUP("8 wire",#REF!,2,FALSE),AO175* VLOOKUP("6 wire",#REF!,2,FALSE))))</f>
        <v>#REF!</v>
      </c>
      <c r="AQ175" s="18">
        <f t="shared" si="61"/>
        <v>4</v>
      </c>
      <c r="AR175" s="18" t="e">
        <f>IF(AQ175="","",AQ175*VLOOKUP("Pads",#REF!,2,FALSE))</f>
        <v>#REF!</v>
      </c>
      <c r="AS175" s="18">
        <f t="shared" si="62"/>
        <v>1</v>
      </c>
      <c r="AT175" s="91" t="e">
        <f>IF(AS175="","",AS175*VLOOKUP("4 mil bag",#REF!,2,FALSE))</f>
        <v>#REF!</v>
      </c>
      <c r="AU175" s="91">
        <f>IF(X175="","",IF(I175="N/A","",IF(I175="CNC",IF(G175&gt;37,20,10),VLOOKUP(I175,#REF!,2,FALSE))))</f>
        <v>10</v>
      </c>
      <c r="AV175" s="91" t="e">
        <f>IF(X175="","",IF(I175="CNC",VLOOKUP("Glue stick",#REF!,2,FALSE),""))</f>
        <v>#REF!</v>
      </c>
      <c r="AW175" s="91" t="e">
        <f>IF(X175="","",IF(I175="CNC",16*VLOOKUP("Box staples",#REF!,2,FALSE),""))</f>
        <v>#REF!</v>
      </c>
      <c r="AX175" s="18" t="e">
        <f>IF(X175="","",IF(I175="CNC",((((G175+6)+(F175+6))*2)+24)*VLOOKUP("sealing tape",#REF!,2,FALSE),VLOOKUP("Strapping tape",#REF!,2,FALSE)))</f>
        <v>#REF!</v>
      </c>
      <c r="AY175" s="17"/>
      <c r="AZ175" s="17"/>
      <c r="BA175" s="17"/>
      <c r="BB175" s="17"/>
      <c r="BC175" s="96"/>
      <c r="BD175" s="96"/>
      <c r="BE175" s="96"/>
      <c r="BF175" s="96"/>
      <c r="BG175" s="96"/>
      <c r="BH175" s="96"/>
      <c r="BI175" s="96"/>
    </row>
    <row r="176" spans="1:61" x14ac:dyDescent="0.45">
      <c r="A176" s="103" t="s">
        <v>610</v>
      </c>
      <c r="B176" s="17" t="s">
        <v>1253</v>
      </c>
      <c r="C176" s="16">
        <v>44632</v>
      </c>
      <c r="D176" s="17" t="s">
        <v>66</v>
      </c>
      <c r="E176" s="15" t="s">
        <v>558</v>
      </c>
      <c r="F176" s="17">
        <v>15</v>
      </c>
      <c r="G176" s="17">
        <v>20</v>
      </c>
      <c r="H176" s="3" t="s">
        <v>43</v>
      </c>
      <c r="I176" s="88" t="s">
        <v>77</v>
      </c>
      <c r="J176" s="87">
        <v>44632</v>
      </c>
      <c r="K176" s="15">
        <v>195</v>
      </c>
      <c r="L176" s="96">
        <v>0</v>
      </c>
      <c r="M176" s="89">
        <v>10.029999999999999</v>
      </c>
      <c r="N176" s="88">
        <v>1</v>
      </c>
      <c r="O176" s="413" t="str">
        <f t="shared" si="1"/>
        <v>15 x 20</v>
      </c>
      <c r="P176" s="18" t="str">
        <f t="shared" si="2"/>
        <v>N/A</v>
      </c>
      <c r="Q176" s="91">
        <f t="shared" si="3"/>
        <v>2.73</v>
      </c>
      <c r="R176" s="18" t="str">
        <f t="shared" si="4"/>
        <v>25 x 3 x 3</v>
      </c>
      <c r="S176" s="18">
        <v>25</v>
      </c>
      <c r="T176" s="18">
        <v>3</v>
      </c>
      <c r="U176" s="18">
        <v>3</v>
      </c>
      <c r="V176" s="90">
        <f t="shared" si="47"/>
        <v>37</v>
      </c>
      <c r="W176" s="287" t="str">
        <f t="shared" si="51"/>
        <v/>
      </c>
      <c r="X176" s="287" t="str">
        <f t="shared" si="52"/>
        <v>Yes</v>
      </c>
      <c r="Y176" s="93" t="e">
        <f t="shared" si="53"/>
        <v>#REF!</v>
      </c>
      <c r="Z176" s="288" t="e">
        <f t="shared" si="54"/>
        <v>#REF!</v>
      </c>
      <c r="AA176" s="94" t="e">
        <f t="shared" si="55"/>
        <v>#REF!</v>
      </c>
      <c r="AB176" s="288" t="e">
        <f t="shared" si="56"/>
        <v>#REF!</v>
      </c>
      <c r="AC176" s="91" t="e">
        <f>IF(X176="","",IF(D176="2 3D",((F176-0.5)*2+(G176-0.5)*2)*VLOOKUP("3D base",#REF!,2,FALSE),IF(D176="3 Canv", IF(E176="Roll",0,ROUND(SUM(F176:G176)*2,0)),0)*VLOOKUP("Stretcher Bar",#REF!,2,FALSE)))</f>
        <v>#REF!</v>
      </c>
      <c r="AD176" s="91">
        <f>IF(X176="","",IF(E176="Roll",0,IF(D176="2 3D",(SUM(F176:G176)*2)*VLOOKUP("3D epoxy",#REF!,2,FALSE),IF(D176="3 Canv",VLOOKUP("Wood glue",#REF!,2,FALSE),""))))</f>
        <v>0</v>
      </c>
      <c r="AE176" s="91" t="e">
        <f>IF(D176="3 Canv",(((F176+5)*(G176+5)))*VLOOKUP("Canvas",#REF!,2,FALSE),IF(D176="2 3D",(((F176)*(G176)))*VLOOKUP("Dibond",#REF!,2,FALSE),""))</f>
        <v>#REF!</v>
      </c>
      <c r="AF176" s="91" t="e">
        <f>IF(D176="2 3D",F176*G176*VLOOKUP("3D ink",#REF!,2,FALSE),IF(D176="3 Canv",F176*G176*VLOOKUP("Canvas ink",#REF!,2,FALSE),""))</f>
        <v>#REF!</v>
      </c>
      <c r="AG176" s="91" t="str">
        <f>IF(D176="3 Canv",IF(E176="Roll","",ROUNDUP((SUM(F176:G176)*2)/3,"")*VLOOKUP("Staples",#REF!,2,FALSE)),"")</f>
        <v/>
      </c>
      <c r="AH176" s="91" t="e">
        <f>IF(AF176="","",(SUM(F176:G176)*2)*VLOOKUP(E176,#REF!,2,FALSE))</f>
        <v>#REF!</v>
      </c>
      <c r="AI176" s="18" t="str">
        <f t="shared" si="57"/>
        <v/>
      </c>
      <c r="AJ176" s="91" t="str">
        <f>IF(AI176="","",AI176*VLOOKUP("Staples",#REF!,2,FALSE))</f>
        <v/>
      </c>
      <c r="AK176" s="18" t="str">
        <f t="shared" si="58"/>
        <v/>
      </c>
      <c r="AL176" s="91" t="str">
        <f>IF(AK176="","",AK176*VLOOKUP("Frame screw",#REF!,2,FALSE))</f>
        <v/>
      </c>
      <c r="AM176" s="18" t="e">
        <f t="shared" si="59"/>
        <v>#REF!</v>
      </c>
      <c r="AN176" s="91" t="e">
        <f>IF(AM176="","",AM176*VLOOKUP("D ring",#REF!,2,FALSE))</f>
        <v>#REF!</v>
      </c>
      <c r="AO176" s="18" t="e">
        <f t="shared" si="60"/>
        <v>#REF!</v>
      </c>
      <c r="AP176" s="18" t="e">
        <f>IF(AO176="","",IF(G176&gt;59,AO176* VLOOKUP("8 wire",#REF!,2,FALSE)*2,IF(G176&gt;39,AO176* VLOOKUP("8 wire",#REF!,2,FALSE),AO176* VLOOKUP("6 wire",#REF!,2,FALSE))))</f>
        <v>#REF!</v>
      </c>
      <c r="AQ176" s="18" t="str">
        <f t="shared" si="61"/>
        <v/>
      </c>
      <c r="AR176" s="18" t="str">
        <f>IF(AQ176="","",AQ176*VLOOKUP("Pads",#REF!,2,FALSE))</f>
        <v/>
      </c>
      <c r="AS176" s="18" t="str">
        <f t="shared" si="62"/>
        <v/>
      </c>
      <c r="AT176" s="18" t="str">
        <f>IF(AS176="","",AS176*VLOOKUP("4 mil bag",#REF!,2,FALSE))</f>
        <v/>
      </c>
      <c r="AU176" s="91" t="e">
        <f>IF(X176="","",IF(I176="N/A","",IF(I176="CNC",IF(G176&gt;37,20,10),VLOOKUP(I176,#REF!,2,FALSE))))</f>
        <v>#REF!</v>
      </c>
      <c r="AV176" s="18" t="str">
        <f>IF(X176="","",IF(I176="CNC",VLOOKUP("Glue stick",#REF!,2,FALSE),""))</f>
        <v/>
      </c>
      <c r="AW176" s="18" t="str">
        <f>IF(X176="","",IF(I176="CNC",16*VLOOKUP("Box staples",#REF!,2,FALSE),""))</f>
        <v/>
      </c>
      <c r="AX176" s="91" t="e">
        <f>IF(X176="","",IF(I176="CNC",((((G176+6)+(F176+6))*2)+24)*VLOOKUP("sealing tape",#REF!,2,FALSE),VLOOKUP("Strapping tape",#REF!,2,FALSE)))</f>
        <v>#REF!</v>
      </c>
      <c r="AY176" s="17"/>
      <c r="AZ176" s="17"/>
      <c r="BA176" s="17"/>
      <c r="BB176" s="17"/>
      <c r="BC176" s="96"/>
      <c r="BD176" s="96"/>
      <c r="BE176" s="96"/>
      <c r="BF176" s="96"/>
      <c r="BG176" s="96"/>
      <c r="BH176" s="96"/>
      <c r="BI176" s="96"/>
    </row>
    <row r="177" spans="1:61" x14ac:dyDescent="0.45">
      <c r="A177" s="103" t="s">
        <v>1245</v>
      </c>
      <c r="B177" s="17" t="s">
        <v>2617</v>
      </c>
      <c r="C177" s="16">
        <v>44614</v>
      </c>
      <c r="D177" s="17" t="s">
        <v>66</v>
      </c>
      <c r="E177" s="15" t="s">
        <v>558</v>
      </c>
      <c r="F177" s="17">
        <v>22</v>
      </c>
      <c r="G177" s="17">
        <v>33</v>
      </c>
      <c r="H177" s="3" t="s">
        <v>43</v>
      </c>
      <c r="I177" s="88" t="s">
        <v>84</v>
      </c>
      <c r="J177" s="87">
        <v>44632</v>
      </c>
      <c r="K177" s="15">
        <v>325</v>
      </c>
      <c r="L177" s="96">
        <v>130</v>
      </c>
      <c r="M177" s="89">
        <v>31</v>
      </c>
      <c r="N177" s="88">
        <v>2</v>
      </c>
      <c r="O177" s="413" t="str">
        <f t="shared" si="1"/>
        <v>22 x 33</v>
      </c>
      <c r="P177" s="18" t="str">
        <f t="shared" si="2"/>
        <v>N/A</v>
      </c>
      <c r="Q177" s="91">
        <f t="shared" si="3"/>
        <v>2.85</v>
      </c>
      <c r="R177" s="18" t="str">
        <f t="shared" si="4"/>
        <v>37 x 3 x 3</v>
      </c>
      <c r="S177" s="18">
        <v>37</v>
      </c>
      <c r="T177" s="18">
        <v>3</v>
      </c>
      <c r="U177" s="18">
        <v>3</v>
      </c>
      <c r="V177" s="90">
        <f t="shared" si="47"/>
        <v>49</v>
      </c>
      <c r="W177" s="287">
        <f t="shared" si="51"/>
        <v>0.23846153846153847</v>
      </c>
      <c r="X177" s="287" t="str">
        <f t="shared" si="52"/>
        <v>Yes</v>
      </c>
      <c r="Y177" s="93" t="e">
        <f t="shared" si="53"/>
        <v>#REF!</v>
      </c>
      <c r="Z177" s="288" t="e">
        <f t="shared" si="54"/>
        <v>#REF!</v>
      </c>
      <c r="AA177" s="94" t="e">
        <f t="shared" si="55"/>
        <v>#REF!</v>
      </c>
      <c r="AB177" s="288" t="e">
        <f t="shared" si="56"/>
        <v>#REF!</v>
      </c>
      <c r="AC177" s="91" t="e">
        <f>IF(X177="","",IF(D177="2 3D",((F177-0.5)*2+(G177-0.5)*2)*VLOOKUP("3D base",#REF!,2,FALSE),IF(D177="3 Canv", IF(E177="Roll",0,ROUND(SUM(F177:G177)*2,0)),0)*VLOOKUP("Stretcher Bar",#REF!,2,FALSE)))</f>
        <v>#REF!</v>
      </c>
      <c r="AD177" s="91">
        <f>IF(X177="","",IF(E177="Roll",0,IF(D177="2 3D",(SUM(F177:G177)*2)*VLOOKUP("3D epoxy",#REF!,2,FALSE),IF(D177="3 Canv",VLOOKUP("Wood glue",#REF!,2,FALSE),""))))</f>
        <v>0</v>
      </c>
      <c r="AE177" s="91" t="e">
        <f>IF(D177="3 Canv",(((F177+5)*(G177+5)))*VLOOKUP("Canvas",#REF!,2,FALSE),IF(D177="2 3D",(((F177)*(G177)))*VLOOKUP("Dibond",#REF!,2,FALSE),""))</f>
        <v>#REF!</v>
      </c>
      <c r="AF177" s="91" t="e">
        <f>IF(D177="2 3D",F177*G177*VLOOKUP("3D ink",#REF!,2,FALSE),IF(D177="3 Canv",F177*G177*VLOOKUP("Canvas ink",#REF!,2,FALSE),""))</f>
        <v>#REF!</v>
      </c>
      <c r="AG177" s="91" t="str">
        <f>IF(D177="3 Canv",IF(E177="Roll","",ROUNDUP((SUM(F177:G177)*2)/3,"")*VLOOKUP("Staples",#REF!,2,FALSE)),"")</f>
        <v/>
      </c>
      <c r="AH177" s="91" t="e">
        <f>IF(AF177="","",(SUM(F177:G177)*2)*VLOOKUP(E177,#REF!,2,FALSE))</f>
        <v>#REF!</v>
      </c>
      <c r="AI177" s="18" t="str">
        <f t="shared" si="57"/>
        <v/>
      </c>
      <c r="AJ177" s="91" t="str">
        <f>IF(AI177="","",AI177*VLOOKUP("Staples",#REF!,2,FALSE))</f>
        <v/>
      </c>
      <c r="AK177" s="18" t="str">
        <f t="shared" si="58"/>
        <v/>
      </c>
      <c r="AL177" s="91" t="str">
        <f>IF(AK177="","",AK177*VLOOKUP("Frame screw",#REF!,2,FALSE))</f>
        <v/>
      </c>
      <c r="AM177" s="18" t="e">
        <f t="shared" si="59"/>
        <v>#REF!</v>
      </c>
      <c r="AN177" s="91" t="e">
        <f>IF(AM177="","",AM177*VLOOKUP("D ring",#REF!,2,FALSE))</f>
        <v>#REF!</v>
      </c>
      <c r="AO177" s="18" t="e">
        <f t="shared" si="60"/>
        <v>#REF!</v>
      </c>
      <c r="AP177" s="18" t="e">
        <f>IF(AO177="","",IF(G177&gt;59,AO177* VLOOKUP("8 wire",#REF!,2,FALSE)*2,IF(G177&gt;39,AO177* VLOOKUP("8 wire",#REF!,2,FALSE),AO177* VLOOKUP("6 wire",#REF!,2,FALSE))))</f>
        <v>#REF!</v>
      </c>
      <c r="AQ177" s="18" t="str">
        <f t="shared" si="61"/>
        <v/>
      </c>
      <c r="AR177" s="18" t="str">
        <f>IF(AQ177="","",AQ177*VLOOKUP("Pads",#REF!,2,FALSE))</f>
        <v/>
      </c>
      <c r="AS177" s="18" t="str">
        <f t="shared" si="62"/>
        <v/>
      </c>
      <c r="AT177" s="18" t="str">
        <f>IF(AS177="","",AS177*VLOOKUP("4 mil bag",#REF!,2,FALSE))</f>
        <v/>
      </c>
      <c r="AU177" s="91" t="e">
        <f>IF(X177="","",IF(I177="N/A","",IF(I177="CNC",IF(G177&gt;37,20,10),VLOOKUP(I177,#REF!,2,FALSE))))</f>
        <v>#REF!</v>
      </c>
      <c r="AV177" s="18" t="str">
        <f>IF(X177="","",IF(I177="CNC",VLOOKUP("Glue stick",#REF!,2,FALSE),""))</f>
        <v/>
      </c>
      <c r="AW177" s="18" t="str">
        <f>IF(X177="","",IF(I177="CNC",16*VLOOKUP("Box staples",#REF!,2,FALSE),""))</f>
        <v/>
      </c>
      <c r="AX177" s="91" t="e">
        <f>IF(X177="","",IF(I177="CNC",((((G177+6)+(F177+6))*2)+24)*VLOOKUP("sealing tape",#REF!,2,FALSE),VLOOKUP("Strapping tape",#REF!,2,FALSE)))</f>
        <v>#REF!</v>
      </c>
      <c r="AY177" s="17"/>
      <c r="AZ177" s="17"/>
      <c r="BA177" s="17"/>
      <c r="BB177" s="17"/>
      <c r="BC177" s="96"/>
      <c r="BD177" s="96"/>
      <c r="BE177" s="96"/>
      <c r="BF177" s="96"/>
      <c r="BG177" s="96"/>
      <c r="BH177" s="96"/>
      <c r="BI177" s="96"/>
    </row>
    <row r="178" spans="1:61" x14ac:dyDescent="0.45">
      <c r="A178" s="103" t="s">
        <v>519</v>
      </c>
      <c r="B178" s="17" t="s">
        <v>1244</v>
      </c>
      <c r="C178" s="16">
        <v>44624</v>
      </c>
      <c r="D178" s="17" t="s">
        <v>66</v>
      </c>
      <c r="E178" s="15" t="s">
        <v>558</v>
      </c>
      <c r="F178" s="17">
        <v>20</v>
      </c>
      <c r="G178" s="17">
        <v>26</v>
      </c>
      <c r="H178" s="3" t="s">
        <v>43</v>
      </c>
      <c r="I178" s="88" t="s">
        <v>84</v>
      </c>
      <c r="J178" s="87">
        <v>44632</v>
      </c>
      <c r="K178" s="15">
        <v>285</v>
      </c>
      <c r="L178" s="96">
        <v>15</v>
      </c>
      <c r="M178" s="89">
        <v>10.029999999999999</v>
      </c>
      <c r="N178" s="88">
        <v>2</v>
      </c>
      <c r="O178" s="413" t="str">
        <f t="shared" si="1"/>
        <v>20 x 26</v>
      </c>
      <c r="P178" s="18" t="str">
        <f t="shared" si="2"/>
        <v>N/A</v>
      </c>
      <c r="Q178" s="91">
        <f t="shared" si="3"/>
        <v>2.85</v>
      </c>
      <c r="R178" s="18" t="str">
        <f t="shared" si="4"/>
        <v>37 x 3 x 3</v>
      </c>
      <c r="S178" s="18">
        <v>37</v>
      </c>
      <c r="T178" s="18">
        <v>3</v>
      </c>
      <c r="U178" s="18">
        <v>3</v>
      </c>
      <c r="V178" s="90">
        <f t="shared" si="47"/>
        <v>49</v>
      </c>
      <c r="W178" s="287">
        <f t="shared" si="51"/>
        <v>0.66866666666666663</v>
      </c>
      <c r="X178" s="287" t="str">
        <f t="shared" si="52"/>
        <v>Yes</v>
      </c>
      <c r="Y178" s="93" t="e">
        <f t="shared" si="53"/>
        <v>#REF!</v>
      </c>
      <c r="Z178" s="288" t="e">
        <f t="shared" si="54"/>
        <v>#REF!</v>
      </c>
      <c r="AA178" s="94" t="e">
        <f t="shared" si="55"/>
        <v>#REF!</v>
      </c>
      <c r="AB178" s="288" t="e">
        <f t="shared" si="56"/>
        <v>#REF!</v>
      </c>
      <c r="AC178" s="91" t="e">
        <f>IF(X178="","",IF(D178="2 3D",((F178-0.5)*2+(G178-0.5)*2)*VLOOKUP("3D base",#REF!,2,FALSE),IF(D178="3 Canv", IF(E178="Roll",0,ROUND(SUM(F178:G178)*2,0)),0)*VLOOKUP("Stretcher Bar",#REF!,2,FALSE)))</f>
        <v>#REF!</v>
      </c>
      <c r="AD178" s="91">
        <f>IF(X178="","",IF(E178="Roll",0,IF(D178="2 3D",(SUM(F178:G178)*2)*VLOOKUP("3D epoxy",#REF!,2,FALSE),IF(D178="3 Canv",VLOOKUP("Wood glue",#REF!,2,FALSE),""))))</f>
        <v>0</v>
      </c>
      <c r="AE178" s="91" t="e">
        <f>IF(D178="3 Canv",(((F178+5)*(G178+5)))*VLOOKUP("Canvas",#REF!,2,FALSE),IF(D178="2 3D",(((F178)*(G178)))*VLOOKUP("Dibond",#REF!,2,FALSE),""))</f>
        <v>#REF!</v>
      </c>
      <c r="AF178" s="91" t="e">
        <f>IF(D178="2 3D",F178*G178*VLOOKUP("3D ink",#REF!,2,FALSE),IF(D178="3 Canv",F178*G178*VLOOKUP("Canvas ink",#REF!,2,FALSE),""))</f>
        <v>#REF!</v>
      </c>
      <c r="AG178" s="91" t="str">
        <f>IF(D178="3 Canv",IF(E178="Roll","",ROUNDUP((SUM(F178:G178)*2)/3,"")*VLOOKUP("Staples",#REF!,2,FALSE)),"")</f>
        <v/>
      </c>
      <c r="AH178" s="91" t="e">
        <f>IF(AF178="","",(SUM(F178:G178)*2)*VLOOKUP(E178,#REF!,2,FALSE))</f>
        <v>#REF!</v>
      </c>
      <c r="AI178" s="18" t="str">
        <f t="shared" si="57"/>
        <v/>
      </c>
      <c r="AJ178" s="91" t="str">
        <f>IF(AI178="","",AI178*VLOOKUP("Staples",#REF!,2,FALSE))</f>
        <v/>
      </c>
      <c r="AK178" s="18" t="str">
        <f t="shared" si="58"/>
        <v/>
      </c>
      <c r="AL178" s="91" t="str">
        <f>IF(AK178="","",AK178*VLOOKUP("Frame screw",#REF!,2,FALSE))</f>
        <v/>
      </c>
      <c r="AM178" s="18" t="e">
        <f t="shared" si="59"/>
        <v>#REF!</v>
      </c>
      <c r="AN178" s="91" t="e">
        <f>IF(AM178="","",AM178*VLOOKUP("D ring",#REF!,2,FALSE))</f>
        <v>#REF!</v>
      </c>
      <c r="AO178" s="18" t="e">
        <f t="shared" si="60"/>
        <v>#REF!</v>
      </c>
      <c r="AP178" s="18" t="e">
        <f>IF(AO178="","",IF(G178&gt;59,AO178* VLOOKUP("8 wire",#REF!,2,FALSE)*2,IF(G178&gt;39,AO178* VLOOKUP("8 wire",#REF!,2,FALSE),AO178* VLOOKUP("6 wire",#REF!,2,FALSE))))</f>
        <v>#REF!</v>
      </c>
      <c r="AQ178" s="18" t="str">
        <f t="shared" si="61"/>
        <v/>
      </c>
      <c r="AR178" s="18" t="str">
        <f>IF(AQ178="","",AQ178*VLOOKUP("Pads",#REF!,2,FALSE))</f>
        <v/>
      </c>
      <c r="AS178" s="18" t="str">
        <f t="shared" si="62"/>
        <v/>
      </c>
      <c r="AT178" s="18" t="str">
        <f>IF(AS178="","",AS178*VLOOKUP("4 mil bag",#REF!,2,FALSE))</f>
        <v/>
      </c>
      <c r="AU178" s="91" t="e">
        <f>IF(X178="","",IF(I178="N/A","",IF(I178="CNC",IF(G178&gt;37,20,10),VLOOKUP(I178,#REF!,2,FALSE))))</f>
        <v>#REF!</v>
      </c>
      <c r="AV178" s="18" t="str">
        <f>IF(X178="","",IF(I178="CNC",VLOOKUP("Glue stick",#REF!,2,FALSE),""))</f>
        <v/>
      </c>
      <c r="AW178" s="18" t="str">
        <f>IF(X178="","",IF(I178="CNC",16*VLOOKUP("Box staples",#REF!,2,FALSE),""))</f>
        <v/>
      </c>
      <c r="AX178" s="91" t="e">
        <f>IF(X178="","",IF(I178="CNC",((((G178+6)+(F178+6))*2)+24)*VLOOKUP("sealing tape",#REF!,2,FALSE),VLOOKUP("Strapping tape",#REF!,2,FALSE)))</f>
        <v>#REF!</v>
      </c>
      <c r="AY178" s="17"/>
      <c r="AZ178" s="17"/>
      <c r="BA178" s="17"/>
      <c r="BB178" s="17"/>
      <c r="BC178" s="96"/>
      <c r="BD178" s="96"/>
      <c r="BE178" s="96"/>
      <c r="BF178" s="96"/>
      <c r="BG178" s="96"/>
      <c r="BH178" s="96"/>
      <c r="BI178" s="96"/>
    </row>
    <row r="179" spans="1:61" x14ac:dyDescent="0.45">
      <c r="A179" s="103" t="s">
        <v>1155</v>
      </c>
      <c r="B179" s="17" t="s">
        <v>949</v>
      </c>
      <c r="C179" s="16">
        <v>44608</v>
      </c>
      <c r="D179" s="17" t="s">
        <v>66</v>
      </c>
      <c r="E179" s="15" t="s">
        <v>51</v>
      </c>
      <c r="F179" s="17">
        <v>24</v>
      </c>
      <c r="G179" s="17">
        <v>30</v>
      </c>
      <c r="H179" s="3" t="s">
        <v>43</v>
      </c>
      <c r="I179" s="88" t="s">
        <v>41</v>
      </c>
      <c r="J179" s="87">
        <v>44632</v>
      </c>
      <c r="K179" s="15">
        <v>561</v>
      </c>
      <c r="L179" s="96">
        <v>35</v>
      </c>
      <c r="M179" s="89">
        <v>43.28</v>
      </c>
      <c r="N179" s="88">
        <v>15</v>
      </c>
      <c r="O179" s="413" t="str">
        <f t="shared" si="1"/>
        <v>24 x 30</v>
      </c>
      <c r="P179" s="18" t="str">
        <f t="shared" si="2"/>
        <v>26 x 32</v>
      </c>
      <c r="Q179" s="91" t="str">
        <f t="shared" si="3"/>
        <v>N/A</v>
      </c>
      <c r="R179" s="18" t="str">
        <f t="shared" si="4"/>
        <v>38 x 33 x 6</v>
      </c>
      <c r="S179" s="18">
        <v>38</v>
      </c>
      <c r="T179" s="18">
        <v>33</v>
      </c>
      <c r="U179" s="18">
        <v>6</v>
      </c>
      <c r="V179" s="18">
        <f t="shared" si="47"/>
        <v>107</v>
      </c>
      <c r="W179" s="287">
        <f t="shared" si="51"/>
        <v>1.2365714285714287</v>
      </c>
      <c r="X179" s="287" t="str">
        <f t="shared" si="52"/>
        <v>Yes</v>
      </c>
      <c r="Y179" s="93" t="e">
        <f t="shared" si="53"/>
        <v>#REF!</v>
      </c>
      <c r="Z179" s="288" t="e">
        <f t="shared" si="54"/>
        <v>#REF!</v>
      </c>
      <c r="AA179" s="94" t="e">
        <f t="shared" si="55"/>
        <v>#REF!</v>
      </c>
      <c r="AB179" s="288" t="e">
        <f t="shared" si="56"/>
        <v>#REF!</v>
      </c>
      <c r="AC179" s="91" t="e">
        <f>IF(X179="","",IF(D179="2 3D",((F179-0.5)*2+(G179-0.5)*2)*VLOOKUP("3D base",#REF!,2,FALSE),IF(D179="3 Canv", IF(E179="Roll",0,ROUND(SUM(F179:G179)*2,0)),0)*VLOOKUP("Stretcher Bar",#REF!,2,FALSE)))</f>
        <v>#REF!</v>
      </c>
      <c r="AD179" s="91" t="e">
        <f>IF(X179="","",IF(E179="Roll",0,IF(D179="2 3D",(SUM(F179:G179)*2)*VLOOKUP("3D epoxy",#REF!,2,FALSE),IF(D179="3 Canv",VLOOKUP("Wood glue",#REF!,2,FALSE),""))))</f>
        <v>#REF!</v>
      </c>
      <c r="AE179" s="91" t="e">
        <f>IF(D179="3 Canv",(((F179+5)*(G179+5)))*VLOOKUP("Canvas",#REF!,2,FALSE),IF(D179="2 3D",(((F179)*(G179)))*VLOOKUP("Dibond",#REF!,2,FALSE),""))</f>
        <v>#REF!</v>
      </c>
      <c r="AF179" s="91" t="e">
        <f>IF(D179="2 3D",F179*G179*VLOOKUP("3D ink",#REF!,2,FALSE),IF(D179="3 Canv",F179*G179*VLOOKUP("Canvas ink",#REF!,2,FALSE),""))</f>
        <v>#REF!</v>
      </c>
      <c r="AG179" s="91" t="e">
        <f>IF(D179="3 Canv",IF(E179="Roll","",ROUNDUP((SUM(F179:G179)*2)/3,"")*VLOOKUP("Staples",#REF!,2,FALSE)),"")</f>
        <v>#VALUE!</v>
      </c>
      <c r="AH179" s="91" t="e">
        <f>IF(AF179="","",(SUM(F179:G179)*2)*VLOOKUP(E179,#REF!,2,FALSE))</f>
        <v>#REF!</v>
      </c>
      <c r="AI179" s="18">
        <f t="shared" si="57"/>
        <v>44</v>
      </c>
      <c r="AJ179" s="91" t="e">
        <f>IF(AI179="","",AI179*VLOOKUP("Staples",#REF!,2,FALSE))</f>
        <v>#REF!</v>
      </c>
      <c r="AK179" s="18" t="e">
        <f t="shared" si="58"/>
        <v>#REF!</v>
      </c>
      <c r="AL179" s="91" t="e">
        <f>IF(AK179="","",AK179*VLOOKUP("Frame screw",#REF!,2,FALSE))</f>
        <v>#REF!</v>
      </c>
      <c r="AM179" s="18" t="e">
        <f t="shared" si="59"/>
        <v>#REF!</v>
      </c>
      <c r="AN179" s="91" t="e">
        <f>IF(AM179="","",AM179*VLOOKUP("D ring",#REF!,2,FALSE))</f>
        <v>#REF!</v>
      </c>
      <c r="AO179" s="18" t="e">
        <f t="shared" si="60"/>
        <v>#REF!</v>
      </c>
      <c r="AP179" s="91" t="e">
        <f>IF(AO179="","",IF(G179&gt;59,AO179* VLOOKUP("8 wire",#REF!,2,FALSE)*2,IF(G179&gt;39,AO179* VLOOKUP("8 wire",#REF!,2,FALSE),AO179* VLOOKUP("6 wire",#REF!,2,FALSE))))</f>
        <v>#REF!</v>
      </c>
      <c r="AQ179" s="18">
        <f t="shared" si="61"/>
        <v>4</v>
      </c>
      <c r="AR179" s="18" t="e">
        <f>IF(AQ179="","",AQ179*VLOOKUP("Pads",#REF!,2,FALSE))</f>
        <v>#REF!</v>
      </c>
      <c r="AS179" s="18">
        <f t="shared" si="62"/>
        <v>1</v>
      </c>
      <c r="AT179" s="91" t="e">
        <f>IF(AS179="","",AS179*VLOOKUP("4 mil bag",#REF!,2,FALSE))</f>
        <v>#REF!</v>
      </c>
      <c r="AU179" s="91">
        <f>IF(X179="","",IF(I179="N/A","",IF(I179="CNC",IF(G179&gt;37,20,10),VLOOKUP(I179,#REF!,2,FALSE))))</f>
        <v>10</v>
      </c>
      <c r="AV179" s="91" t="e">
        <f>IF(X179="","",IF(I179="CNC",VLOOKUP("Glue stick",#REF!,2,FALSE),""))</f>
        <v>#REF!</v>
      </c>
      <c r="AW179" s="91" t="e">
        <f>IF(X179="","",IF(I179="CNC",16*VLOOKUP("Box staples",#REF!,2,FALSE),""))</f>
        <v>#REF!</v>
      </c>
      <c r="AX179" s="18" t="e">
        <f>IF(X179="","",IF(I179="CNC",((((G179+6)+(F179+6))*2)+24)*VLOOKUP("sealing tape",#REF!,2,FALSE),VLOOKUP("Strapping tape",#REF!,2,FALSE)))</f>
        <v>#REF!</v>
      </c>
      <c r="AY179" s="17"/>
      <c r="AZ179" s="17"/>
      <c r="BA179" s="17"/>
      <c r="BB179" s="17"/>
      <c r="BC179" s="96"/>
      <c r="BD179" s="96"/>
      <c r="BE179" s="96"/>
      <c r="BF179" s="96"/>
      <c r="BG179" s="96"/>
      <c r="BH179" s="96"/>
      <c r="BI179" s="96"/>
    </row>
    <row r="180" spans="1:61" x14ac:dyDescent="0.45">
      <c r="A180" s="103" t="s">
        <v>697</v>
      </c>
      <c r="B180" s="17" t="s">
        <v>661</v>
      </c>
      <c r="C180" s="16">
        <v>44632</v>
      </c>
      <c r="D180" s="17" t="s">
        <v>66</v>
      </c>
      <c r="E180" s="15" t="s">
        <v>1</v>
      </c>
      <c r="F180" s="17">
        <v>24</v>
      </c>
      <c r="G180" s="17">
        <v>33</v>
      </c>
      <c r="H180" s="3" t="s">
        <v>43</v>
      </c>
      <c r="I180" s="88" t="s">
        <v>41</v>
      </c>
      <c r="J180" s="87">
        <v>44632</v>
      </c>
      <c r="K180" s="15">
        <v>675</v>
      </c>
      <c r="L180" s="96">
        <v>0</v>
      </c>
      <c r="M180" s="89">
        <v>21.94</v>
      </c>
      <c r="N180" s="88">
        <v>16</v>
      </c>
      <c r="O180" s="413" t="str">
        <f t="shared" si="1"/>
        <v>24 x 33</v>
      </c>
      <c r="P180" s="18" t="str">
        <f t="shared" si="2"/>
        <v>26 x 35</v>
      </c>
      <c r="Q180" s="91" t="str">
        <f t="shared" si="3"/>
        <v>N/A</v>
      </c>
      <c r="R180" s="18" t="str">
        <f t="shared" si="4"/>
        <v>41 x 33 x 6</v>
      </c>
      <c r="S180" s="18">
        <v>41</v>
      </c>
      <c r="T180" s="18">
        <v>33</v>
      </c>
      <c r="U180" s="18">
        <v>6</v>
      </c>
      <c r="V180" s="18">
        <f t="shared" si="47"/>
        <v>110</v>
      </c>
      <c r="W180" s="287" t="str">
        <f t="shared" si="51"/>
        <v/>
      </c>
      <c r="X180" s="287" t="str">
        <f t="shared" si="52"/>
        <v>Yes</v>
      </c>
      <c r="Y180" s="93" t="e">
        <f t="shared" si="53"/>
        <v>#REF!</v>
      </c>
      <c r="Z180" s="288" t="e">
        <f t="shared" si="54"/>
        <v>#REF!</v>
      </c>
      <c r="AA180" s="94" t="e">
        <f t="shared" si="55"/>
        <v>#REF!</v>
      </c>
      <c r="AB180" s="288" t="e">
        <f t="shared" si="56"/>
        <v>#REF!</v>
      </c>
      <c r="AC180" s="91" t="e">
        <f>IF(X180="","",IF(D180="2 3D",((F180-0.5)*2+(G180-0.5)*2)*VLOOKUP("3D base",#REF!,2,FALSE),IF(D180="3 Canv", IF(E180="Roll",0,ROUND(SUM(F180:G180)*2,0)),0)*VLOOKUP("Stretcher Bar",#REF!,2,FALSE)))</f>
        <v>#REF!</v>
      </c>
      <c r="AD180" s="91" t="e">
        <f>IF(X180="","",IF(E180="Roll",0,IF(D180="2 3D",(SUM(F180:G180)*2)*VLOOKUP("3D epoxy",#REF!,2,FALSE),IF(D180="3 Canv",VLOOKUP("Wood glue",#REF!,2,FALSE),""))))</f>
        <v>#REF!</v>
      </c>
      <c r="AE180" s="91" t="e">
        <f>IF(D180="3 Canv",(((F180+5)*(G180+5)))*VLOOKUP("Canvas",#REF!,2,FALSE),IF(D180="2 3D",(((F180)*(G180)))*VLOOKUP("Dibond",#REF!,2,FALSE),""))</f>
        <v>#REF!</v>
      </c>
      <c r="AF180" s="91" t="e">
        <f>IF(D180="2 3D",F180*G180*VLOOKUP("3D ink",#REF!,2,FALSE),IF(D180="3 Canv",F180*G180*VLOOKUP("Canvas ink",#REF!,2,FALSE),""))</f>
        <v>#REF!</v>
      </c>
      <c r="AG180" s="91" t="e">
        <f>IF(D180="3 Canv",IF(E180="Roll","",ROUNDUP((SUM(F180:G180)*2)/3,"")*VLOOKUP("Staples",#REF!,2,FALSE)),"")</f>
        <v>#VALUE!</v>
      </c>
      <c r="AH180" s="91" t="e">
        <f>IF(AF180="","",(SUM(F180:G180)*2)*VLOOKUP(E180,#REF!,2,FALSE))</f>
        <v>#REF!</v>
      </c>
      <c r="AI180" s="18">
        <f t="shared" si="57"/>
        <v>44</v>
      </c>
      <c r="AJ180" s="91" t="e">
        <f>IF(AI180="","",AI180*VLOOKUP("Staples",#REF!,2,FALSE))</f>
        <v>#REF!</v>
      </c>
      <c r="AK180" s="18" t="e">
        <f t="shared" si="58"/>
        <v>#REF!</v>
      </c>
      <c r="AL180" s="91" t="e">
        <f>IF(AK180="","",AK180*VLOOKUP("Frame screw",#REF!,2,FALSE))</f>
        <v>#REF!</v>
      </c>
      <c r="AM180" s="18" t="e">
        <f t="shared" si="59"/>
        <v>#REF!</v>
      </c>
      <c r="AN180" s="91" t="e">
        <f>IF(AM180="","",AM180*VLOOKUP("D ring",#REF!,2,FALSE))</f>
        <v>#REF!</v>
      </c>
      <c r="AO180" s="18" t="e">
        <f t="shared" si="60"/>
        <v>#REF!</v>
      </c>
      <c r="AP180" s="91" t="e">
        <f>IF(AO180="","",IF(G180&gt;59,AO180* VLOOKUP("8 wire",#REF!,2,FALSE)*2,IF(G180&gt;39,AO180* VLOOKUP("8 wire",#REF!,2,FALSE),AO180* VLOOKUP("6 wire",#REF!,2,FALSE))))</f>
        <v>#REF!</v>
      </c>
      <c r="AQ180" s="18">
        <f t="shared" si="61"/>
        <v>4</v>
      </c>
      <c r="AR180" s="18" t="e">
        <f>IF(AQ180="","",AQ180*VLOOKUP("Pads",#REF!,2,FALSE))</f>
        <v>#REF!</v>
      </c>
      <c r="AS180" s="18">
        <f t="shared" si="62"/>
        <v>1</v>
      </c>
      <c r="AT180" s="91" t="e">
        <f>IF(AS180="","",AS180*VLOOKUP("4 mil bag",#REF!,2,FALSE))</f>
        <v>#REF!</v>
      </c>
      <c r="AU180" s="91">
        <f>IF(X180="","",IF(I180="N/A","",IF(I180="CNC",IF(G180&gt;37,20,10),VLOOKUP(I180,#REF!,2,FALSE))))</f>
        <v>10</v>
      </c>
      <c r="AV180" s="91" t="e">
        <f>IF(X180="","",IF(I180="CNC",VLOOKUP("Glue stick",#REF!,2,FALSE),""))</f>
        <v>#REF!</v>
      </c>
      <c r="AW180" s="91" t="e">
        <f>IF(X180="","",IF(I180="CNC",16*VLOOKUP("Box staples",#REF!,2,FALSE),""))</f>
        <v>#REF!</v>
      </c>
      <c r="AX180" s="18" t="e">
        <f>IF(X180="","",IF(I180="CNC",((((G180+6)+(F180+6))*2)+24)*VLOOKUP("sealing tape",#REF!,2,FALSE),VLOOKUP("Strapping tape",#REF!,2,FALSE)))</f>
        <v>#REF!</v>
      </c>
      <c r="AY180" s="17"/>
      <c r="AZ180" s="17"/>
      <c r="BA180" s="17"/>
      <c r="BB180" s="17"/>
      <c r="BC180" s="96"/>
      <c r="BD180" s="96"/>
      <c r="BE180" s="96"/>
      <c r="BF180" s="96"/>
      <c r="BG180" s="96"/>
      <c r="BH180" s="96"/>
      <c r="BI180" s="96"/>
    </row>
    <row r="181" spans="1:61" x14ac:dyDescent="0.45">
      <c r="A181" s="17" t="s">
        <v>989</v>
      </c>
      <c r="B181" s="17" t="s">
        <v>702</v>
      </c>
      <c r="C181" s="16">
        <v>44623</v>
      </c>
      <c r="D181" s="17" t="s">
        <v>66</v>
      </c>
      <c r="E181" s="15" t="s">
        <v>51</v>
      </c>
      <c r="F181" s="17">
        <v>35</v>
      </c>
      <c r="G181" s="17">
        <v>47</v>
      </c>
      <c r="H181" s="3" t="s">
        <v>55</v>
      </c>
      <c r="I181" s="88" t="s">
        <v>45</v>
      </c>
      <c r="J181" s="87">
        <v>44632</v>
      </c>
      <c r="K181" s="15">
        <v>1110</v>
      </c>
      <c r="L181" s="96">
        <v>60</v>
      </c>
      <c r="M181" s="89">
        <v>0</v>
      </c>
      <c r="N181" s="88"/>
      <c r="O181" s="413" t="str">
        <f t="shared" si="1"/>
        <v>35 x 47</v>
      </c>
      <c r="P181" s="18" t="str">
        <f t="shared" si="2"/>
        <v>37 x 49</v>
      </c>
      <c r="Q181" s="91" t="str">
        <f t="shared" si="3"/>
        <v>N/A</v>
      </c>
      <c r="R181" s="18" t="str">
        <f t="shared" si="4"/>
        <v>N/A</v>
      </c>
      <c r="S181" s="18" t="s">
        <v>45</v>
      </c>
      <c r="T181" s="18"/>
      <c r="U181" s="18"/>
      <c r="V181" s="91" t="str">
        <f t="shared" si="47"/>
        <v>N/A</v>
      </c>
      <c r="W181" s="287" t="str">
        <f t="shared" si="51"/>
        <v/>
      </c>
      <c r="X181" s="287" t="str">
        <f t="shared" si="52"/>
        <v>Yes</v>
      </c>
      <c r="Y181" s="93" t="e">
        <f t="shared" si="53"/>
        <v>#REF!</v>
      </c>
      <c r="Z181" s="288" t="e">
        <f t="shared" si="54"/>
        <v>#REF!</v>
      </c>
      <c r="AA181" s="94" t="e">
        <f t="shared" si="55"/>
        <v>#REF!</v>
      </c>
      <c r="AB181" s="288" t="e">
        <f t="shared" si="56"/>
        <v>#REF!</v>
      </c>
      <c r="AC181" s="91" t="e">
        <f>IF(X181="","",IF(D181="2 3D",((F181-0.5)*2+(G181-0.5)*2)*VLOOKUP("3D base",#REF!,2,FALSE),IF(D181="3 Canv", IF(E181="Roll",0,ROUND(SUM(F181:G181)*2,0)),0)*VLOOKUP("Stretcher Bar",#REF!,2,FALSE)))</f>
        <v>#REF!</v>
      </c>
      <c r="AD181" s="91" t="e">
        <f>IF(X181="","",IF(E181="Roll",0,IF(D181="2 3D",(SUM(F181:G181)*2)*VLOOKUP("3D epoxy",#REF!,2,FALSE),IF(D181="3 Canv",VLOOKUP("Wood glue",#REF!,2,FALSE),""))))</f>
        <v>#REF!</v>
      </c>
      <c r="AE181" s="91" t="e">
        <f>IF(D181="3 Canv",(((F181+5)*(G181+5)))*VLOOKUP("Canvas",#REF!,2,FALSE),IF(D181="2 3D",(((F181)*(G181)))*VLOOKUP("Dibond",#REF!,2,FALSE),""))</f>
        <v>#REF!</v>
      </c>
      <c r="AF181" s="91" t="e">
        <f>IF(D181="2 3D",F181*G181*VLOOKUP("3D ink",#REF!,2,FALSE),IF(D181="3 Canv",F181*G181*VLOOKUP("Canvas ink",#REF!,2,FALSE),""))</f>
        <v>#REF!</v>
      </c>
      <c r="AG181" s="91" t="e">
        <f>IF(D181="3 Canv",IF(E181="Roll","",ROUNDUP((SUM(F181:G181)*2)/3,"")*VLOOKUP("Staples",#REF!,2,FALSE)),"")</f>
        <v>#VALUE!</v>
      </c>
      <c r="AH181" s="91" t="e">
        <f>IF(AF181="","",(SUM(F181:G181)*2)*VLOOKUP(E181,#REF!,2,FALSE))</f>
        <v>#REF!</v>
      </c>
      <c r="AI181" s="18">
        <f t="shared" si="57"/>
        <v>44</v>
      </c>
      <c r="AJ181" s="91" t="e">
        <f>IF(AI181="","",AI181*VLOOKUP("Staples",#REF!,2,FALSE))</f>
        <v>#REF!</v>
      </c>
      <c r="AK181" s="18" t="e">
        <f t="shared" si="58"/>
        <v>#REF!</v>
      </c>
      <c r="AL181" s="91" t="e">
        <f>IF(AK181="","",AK181*VLOOKUP("Frame screw",#REF!,2,FALSE))</f>
        <v>#REF!</v>
      </c>
      <c r="AM181" s="18" t="e">
        <f t="shared" si="59"/>
        <v>#REF!</v>
      </c>
      <c r="AN181" s="91" t="e">
        <f>IF(AM181="","",AM181*VLOOKUP("D ring",#REF!,2,FALSE))</f>
        <v>#REF!</v>
      </c>
      <c r="AO181" s="18" t="e">
        <f t="shared" si="60"/>
        <v>#REF!</v>
      </c>
      <c r="AP181" s="91" t="e">
        <f>IF(AO181="","",IF(G181&gt;59,AO181* VLOOKUP("8 wire",#REF!,2,FALSE)*2,IF(G181&gt;39,AO181* VLOOKUP("8 wire",#REF!,2,FALSE),AO181* VLOOKUP("6 wire",#REF!,2,FALSE))))</f>
        <v>#REF!</v>
      </c>
      <c r="AQ181" s="18">
        <f t="shared" si="61"/>
        <v>4</v>
      </c>
      <c r="AR181" s="18" t="e">
        <f>IF(AQ181="","",AQ181*VLOOKUP("Pads",#REF!,2,FALSE))</f>
        <v>#REF!</v>
      </c>
      <c r="AS181" s="18">
        <f t="shared" si="62"/>
        <v>1</v>
      </c>
      <c r="AT181" s="91" t="e">
        <f>IF(AS181="","",AS181*VLOOKUP("4 mil bag",#REF!,2,FALSE))</f>
        <v>#REF!</v>
      </c>
      <c r="AU181" s="91" t="str">
        <f>IF(X181="","",IF(I181="N/A","",IF(I181="CNC",IF(G181&gt;37,20,10),VLOOKUP(I181,#REF!,2,FALSE))))</f>
        <v/>
      </c>
      <c r="AV181" s="18" t="str">
        <f>IF(X181="","",IF(I181="CNC",VLOOKUP("Glue stick",#REF!,2,FALSE),""))</f>
        <v/>
      </c>
      <c r="AW181" s="18" t="str">
        <f>IF(X181="","",IF(I181="CNC",16*VLOOKUP("Box staples",#REF!,2,FALSE),""))</f>
        <v/>
      </c>
      <c r="AX181" s="91" t="e">
        <f>IF(X181="","",IF(I181="CNC",((((G181+6)+(F181+6))*2)+24)*VLOOKUP("sealing tape",#REF!,2,FALSE),VLOOKUP("Strapping tape",#REF!,2,FALSE)))</f>
        <v>#REF!</v>
      </c>
      <c r="AY181" s="17"/>
      <c r="AZ181" s="17"/>
      <c r="BA181" s="17"/>
      <c r="BB181" s="17"/>
      <c r="BC181" s="96"/>
      <c r="BD181" s="96"/>
      <c r="BE181" s="96"/>
      <c r="BF181" s="96"/>
      <c r="BG181" s="96"/>
      <c r="BH181" s="96"/>
      <c r="BI181" s="96"/>
    </row>
    <row r="182" spans="1:61" x14ac:dyDescent="0.45">
      <c r="A182" s="103" t="s">
        <v>1219</v>
      </c>
      <c r="B182" s="17" t="s">
        <v>1242</v>
      </c>
      <c r="C182" s="16">
        <v>44609</v>
      </c>
      <c r="D182" s="17" t="s">
        <v>54</v>
      </c>
      <c r="E182" s="15" t="s">
        <v>690</v>
      </c>
      <c r="F182" s="17">
        <v>36</v>
      </c>
      <c r="G182" s="17">
        <v>48</v>
      </c>
      <c r="H182" s="3" t="s">
        <v>43</v>
      </c>
      <c r="I182" s="88" t="s">
        <v>41</v>
      </c>
      <c r="J182" s="87">
        <v>44632</v>
      </c>
      <c r="K182" s="15">
        <v>5200</v>
      </c>
      <c r="L182" s="96">
        <v>0</v>
      </c>
      <c r="M182" s="89">
        <v>115.76</v>
      </c>
      <c r="N182" s="88">
        <v>32</v>
      </c>
      <c r="O182" s="413" t="str">
        <f t="shared" si="1"/>
        <v>36 x 48</v>
      </c>
      <c r="P182" s="18" t="str">
        <f t="shared" si="2"/>
        <v>38 x 50</v>
      </c>
      <c r="Q182" s="91" t="str">
        <f t="shared" si="3"/>
        <v>N/A</v>
      </c>
      <c r="R182" s="18" t="str">
        <f t="shared" si="4"/>
        <v>56 x 45 x 6</v>
      </c>
      <c r="S182" s="18">
        <v>56</v>
      </c>
      <c r="T182" s="18">
        <v>45</v>
      </c>
      <c r="U182" s="18">
        <v>6</v>
      </c>
      <c r="V182" s="18">
        <f t="shared" si="47"/>
        <v>149</v>
      </c>
      <c r="W182" s="287" t="str">
        <f t="shared" si="51"/>
        <v/>
      </c>
      <c r="X182" s="287" t="str">
        <f t="shared" si="52"/>
        <v>Yes</v>
      </c>
      <c r="Y182" s="93" t="e">
        <f t="shared" si="53"/>
        <v>#REF!</v>
      </c>
      <c r="Z182" s="288" t="e">
        <f t="shared" si="54"/>
        <v>#REF!</v>
      </c>
      <c r="AA182" s="94" t="e">
        <f t="shared" si="55"/>
        <v>#REF!</v>
      </c>
      <c r="AB182" s="288" t="e">
        <f t="shared" si="56"/>
        <v>#REF!</v>
      </c>
      <c r="AC182" s="91" t="e">
        <f>IF(X182="","",IF(D182="2 3D",((F182-0.5)*2+(G182-0.5)*2)*VLOOKUP("3D base",#REF!,2,FALSE),IF(D182="3 Canv", IF(E182="Roll",0,ROUND(SUM(F182:G182)*2,0)),0)*VLOOKUP("Stretcher Bar",#REF!,2,FALSE)))</f>
        <v>#REF!</v>
      </c>
      <c r="AD182" s="91" t="e">
        <f>IF(X182="","",IF(E182="Roll",0,IF(D182="2 3D",(SUM(F182:G182)*2)*VLOOKUP("3D epoxy",#REF!,2,FALSE),IF(D182="3 Canv",VLOOKUP("Wood glue",#REF!,2,FALSE),""))))</f>
        <v>#REF!</v>
      </c>
      <c r="AE182" s="91" t="e">
        <f>IF(D182="3 Canv",(((F182+5)*(G182+5)))*VLOOKUP("Canvas",#REF!,2,FALSE),IF(D182="2 3D",(((F182)*(G182)))*VLOOKUP("Dibond",#REF!,2,FALSE),""))</f>
        <v>#REF!</v>
      </c>
      <c r="AF182" s="91" t="e">
        <f>IF(D182="2 3D",F182*G182*VLOOKUP("3D ink",#REF!,2,FALSE),IF(D182="3 Canv",F182*G182*VLOOKUP("Canvas ink",#REF!,2,FALSE),""))</f>
        <v>#REF!</v>
      </c>
      <c r="AG182" s="91" t="str">
        <f>IF(D182="3 Canv",IF(E182="Roll","",ROUNDUP((SUM(F182:G182)*2)/3,"")*VLOOKUP("Staples",#REF!,2,FALSE)),"")</f>
        <v/>
      </c>
      <c r="AH182" s="91" t="e">
        <f>IF(AF182="","",(SUM(F182:G182)*2)*VLOOKUP(E182,#REF!,2,FALSE))</f>
        <v>#REF!</v>
      </c>
      <c r="AI182" s="18">
        <f t="shared" si="57"/>
        <v>44</v>
      </c>
      <c r="AJ182" s="91" t="e">
        <f>IF(AI182="","",AI182*VLOOKUP("Staples",#REF!,2,FALSE))</f>
        <v>#REF!</v>
      </c>
      <c r="AK182" s="18" t="e">
        <f t="shared" si="58"/>
        <v>#REF!</v>
      </c>
      <c r="AL182" s="91" t="e">
        <f>IF(AK182="","",AK182*VLOOKUP("Frame screw",#REF!,2,FALSE))</f>
        <v>#REF!</v>
      </c>
      <c r="AM182" s="18" t="e">
        <f t="shared" si="59"/>
        <v>#REF!</v>
      </c>
      <c r="AN182" s="91" t="e">
        <f>IF(AM182="","",AM182*VLOOKUP("D ring",#REF!,2,FALSE))</f>
        <v>#REF!</v>
      </c>
      <c r="AO182" s="18" t="e">
        <f t="shared" si="60"/>
        <v>#REF!</v>
      </c>
      <c r="AP182" s="91" t="e">
        <f>IF(AO182="","",IF(G182&gt;59,AO182* VLOOKUP("8 wire",#REF!,2,FALSE)*2,IF(G182&gt;39,AO182* VLOOKUP("8 wire",#REF!,2,FALSE),AO182* VLOOKUP("6 wire",#REF!,2,FALSE))))</f>
        <v>#REF!</v>
      </c>
      <c r="AQ182" s="18">
        <f t="shared" si="61"/>
        <v>4</v>
      </c>
      <c r="AR182" s="18" t="e">
        <f>IF(AQ182="","",AQ182*VLOOKUP("Pads",#REF!,2,FALSE))</f>
        <v>#REF!</v>
      </c>
      <c r="AS182" s="18">
        <f t="shared" si="62"/>
        <v>1</v>
      </c>
      <c r="AT182" s="91" t="e">
        <f>IF(AS182="","",AS182*VLOOKUP("4 mil bag",#REF!,2,FALSE))</f>
        <v>#REF!</v>
      </c>
      <c r="AU182" s="91">
        <f>IF(X182="","",IF(I182="N/A","",IF(I182="CNC",IF(G182&gt;37,20,10),VLOOKUP(I182,#REF!,2,FALSE))))</f>
        <v>20</v>
      </c>
      <c r="AV182" s="91" t="e">
        <f>IF(X182="","",IF(I182="CNC",VLOOKUP("Glue stick",#REF!,2,FALSE),""))</f>
        <v>#REF!</v>
      </c>
      <c r="AW182" s="91" t="e">
        <f>IF(X182="","",IF(I182="CNC",16*VLOOKUP("Box staples",#REF!,2,FALSE),""))</f>
        <v>#REF!</v>
      </c>
      <c r="AX182" s="18" t="e">
        <f>IF(X182="","",IF(I182="CNC",((((G182+6)+(F182+6))*2)+24)*VLOOKUP("sealing tape",#REF!,2,FALSE),VLOOKUP("Strapping tape",#REF!,2,FALSE)))</f>
        <v>#REF!</v>
      </c>
      <c r="AY182" s="17"/>
      <c r="AZ182" s="17"/>
      <c r="BA182" s="17"/>
      <c r="BB182" s="17"/>
      <c r="BC182" s="96"/>
      <c r="BD182" s="96"/>
      <c r="BE182" s="96"/>
      <c r="BF182" s="96"/>
      <c r="BG182" s="96"/>
      <c r="BH182" s="96"/>
      <c r="BI182" s="96"/>
    </row>
    <row r="183" spans="1:61" x14ac:dyDescent="0.45">
      <c r="A183" s="103" t="s">
        <v>1243</v>
      </c>
      <c r="B183" s="17" t="s">
        <v>1242</v>
      </c>
      <c r="C183" s="16">
        <v>44609</v>
      </c>
      <c r="D183" s="17" t="s">
        <v>54</v>
      </c>
      <c r="E183" s="15" t="s">
        <v>690</v>
      </c>
      <c r="F183" s="17">
        <v>16</v>
      </c>
      <c r="G183" s="17">
        <v>20</v>
      </c>
      <c r="H183" s="3" t="s">
        <v>43</v>
      </c>
      <c r="I183" s="88" t="s">
        <v>41</v>
      </c>
      <c r="J183" s="87">
        <v>44632</v>
      </c>
      <c r="K183" s="15">
        <v>1200</v>
      </c>
      <c r="L183" s="96">
        <v>0</v>
      </c>
      <c r="M183" s="89">
        <v>10.029999999999999</v>
      </c>
      <c r="N183" s="88">
        <v>11</v>
      </c>
      <c r="O183" s="413" t="str">
        <f t="shared" si="1"/>
        <v>16 x 20</v>
      </c>
      <c r="P183" s="18" t="str">
        <f t="shared" si="2"/>
        <v>18 x 22</v>
      </c>
      <c r="Q183" s="91" t="str">
        <f t="shared" si="3"/>
        <v>N/A</v>
      </c>
      <c r="R183" s="18" t="str">
        <f t="shared" si="4"/>
        <v>28 x 25 x 6</v>
      </c>
      <c r="S183" s="18">
        <v>28</v>
      </c>
      <c r="T183" s="18">
        <v>25</v>
      </c>
      <c r="U183" s="18">
        <v>6</v>
      </c>
      <c r="V183" s="18">
        <f t="shared" si="47"/>
        <v>81</v>
      </c>
      <c r="W183" s="287" t="str">
        <f t="shared" si="51"/>
        <v/>
      </c>
      <c r="X183" s="287" t="str">
        <f t="shared" si="52"/>
        <v>Yes</v>
      </c>
      <c r="Y183" s="93" t="e">
        <f t="shared" si="53"/>
        <v>#REF!</v>
      </c>
      <c r="Z183" s="288" t="e">
        <f t="shared" si="54"/>
        <v>#REF!</v>
      </c>
      <c r="AA183" s="94" t="e">
        <f t="shared" si="55"/>
        <v>#REF!</v>
      </c>
      <c r="AB183" s="288" t="e">
        <f t="shared" si="56"/>
        <v>#REF!</v>
      </c>
      <c r="AC183" s="91" t="e">
        <f>IF(X183="","",IF(D183="2 3D",((F183-0.5)*2+(G183-0.5)*2)*VLOOKUP("3D base",#REF!,2,FALSE),IF(D183="3 Canv", IF(E183="Roll",0,ROUND(SUM(F183:G183)*2,0)),0)*VLOOKUP("Stretcher Bar",#REF!,2,FALSE)))</f>
        <v>#REF!</v>
      </c>
      <c r="AD183" s="91" t="e">
        <f>IF(X183="","",IF(E183="Roll",0,IF(D183="2 3D",(SUM(F183:G183)*2)*VLOOKUP("3D epoxy",#REF!,2,FALSE),IF(D183="3 Canv",VLOOKUP("Wood glue",#REF!,2,FALSE),""))))</f>
        <v>#REF!</v>
      </c>
      <c r="AE183" s="91" t="e">
        <f>IF(D183="3 Canv",(((F183+5)*(G183+5)))*VLOOKUP("Canvas",#REF!,2,FALSE),IF(D183="2 3D",(((F183)*(G183)))*VLOOKUP("Dibond",#REF!,2,FALSE),""))</f>
        <v>#REF!</v>
      </c>
      <c r="AF183" s="91" t="e">
        <f>IF(D183="2 3D",F183*G183*VLOOKUP("3D ink",#REF!,2,FALSE),IF(D183="3 Canv",F183*G183*VLOOKUP("Canvas ink",#REF!,2,FALSE),""))</f>
        <v>#REF!</v>
      </c>
      <c r="AG183" s="91" t="str">
        <f>IF(D183="3 Canv",IF(E183="Roll","",ROUNDUP((SUM(F183:G183)*2)/3,"")*VLOOKUP("Staples",#REF!,2,FALSE)),"")</f>
        <v/>
      </c>
      <c r="AH183" s="91" t="e">
        <f>IF(AF183="","",(SUM(F183:G183)*2)*VLOOKUP(E183,#REF!,2,FALSE))</f>
        <v>#REF!</v>
      </c>
      <c r="AI183" s="18">
        <f t="shared" si="57"/>
        <v>44</v>
      </c>
      <c r="AJ183" s="91" t="e">
        <f>IF(AI183="","",AI183*VLOOKUP("Staples",#REF!,2,FALSE))</f>
        <v>#REF!</v>
      </c>
      <c r="AK183" s="18" t="e">
        <f t="shared" si="58"/>
        <v>#REF!</v>
      </c>
      <c r="AL183" s="91" t="e">
        <f>IF(AK183="","",AK183*VLOOKUP("Frame screw",#REF!,2,FALSE))</f>
        <v>#REF!</v>
      </c>
      <c r="AM183" s="18" t="e">
        <f t="shared" si="59"/>
        <v>#REF!</v>
      </c>
      <c r="AN183" s="91" t="e">
        <f>IF(AM183="","",AM183*VLOOKUP("D ring",#REF!,2,FALSE))</f>
        <v>#REF!</v>
      </c>
      <c r="AO183" s="18" t="e">
        <f t="shared" si="60"/>
        <v>#REF!</v>
      </c>
      <c r="AP183" s="91" t="e">
        <f>IF(AO183="","",IF(G183&gt;59,AO183* VLOOKUP("8 wire",#REF!,2,FALSE)*2,IF(G183&gt;39,AO183* VLOOKUP("8 wire",#REF!,2,FALSE),AO183* VLOOKUP("6 wire",#REF!,2,FALSE))))</f>
        <v>#REF!</v>
      </c>
      <c r="AQ183" s="18">
        <f t="shared" si="61"/>
        <v>4</v>
      </c>
      <c r="AR183" s="18" t="e">
        <f>IF(AQ183="","",AQ183*VLOOKUP("Pads",#REF!,2,FALSE))</f>
        <v>#REF!</v>
      </c>
      <c r="AS183" s="18">
        <f t="shared" si="62"/>
        <v>1</v>
      </c>
      <c r="AT183" s="91" t="e">
        <f>IF(AS183="","",AS183*VLOOKUP("4 mil bag",#REF!,2,FALSE))</f>
        <v>#REF!</v>
      </c>
      <c r="AU183" s="91">
        <f>IF(X183="","",IF(I183="N/A","",IF(I183="CNC",IF(G183&gt;37,20,10),VLOOKUP(I183,#REF!,2,FALSE))))</f>
        <v>10</v>
      </c>
      <c r="AV183" s="91" t="e">
        <f>IF(X183="","",IF(I183="CNC",VLOOKUP("Glue stick",#REF!,2,FALSE),""))</f>
        <v>#REF!</v>
      </c>
      <c r="AW183" s="91" t="e">
        <f>IF(X183="","",IF(I183="CNC",16*VLOOKUP("Box staples",#REF!,2,FALSE),""))</f>
        <v>#REF!</v>
      </c>
      <c r="AX183" s="18" t="e">
        <f>IF(X183="","",IF(I183="CNC",((((G183+6)+(F183+6))*2)+24)*VLOOKUP("sealing tape",#REF!,2,FALSE),VLOOKUP("Strapping tape",#REF!,2,FALSE)))</f>
        <v>#REF!</v>
      </c>
      <c r="AY183" s="17"/>
      <c r="AZ183" s="17"/>
      <c r="BA183" s="17"/>
      <c r="BB183" s="17"/>
      <c r="BC183" s="96"/>
      <c r="BD183" s="96"/>
      <c r="BE183" s="96"/>
      <c r="BF183" s="96"/>
      <c r="BG183" s="96"/>
      <c r="BH183" s="96"/>
      <c r="BI183" s="96"/>
    </row>
    <row r="184" spans="1:61" x14ac:dyDescent="0.45">
      <c r="A184" s="103" t="s">
        <v>947</v>
      </c>
      <c r="B184" s="17" t="s">
        <v>1241</v>
      </c>
      <c r="C184" s="16">
        <v>44609</v>
      </c>
      <c r="D184" s="17" t="s">
        <v>54</v>
      </c>
      <c r="E184" s="15" t="s">
        <v>690</v>
      </c>
      <c r="F184" s="17">
        <v>35</v>
      </c>
      <c r="G184" s="17">
        <v>60</v>
      </c>
      <c r="H184" s="3" t="s">
        <v>43</v>
      </c>
      <c r="I184" s="88" t="s">
        <v>41</v>
      </c>
      <c r="J184" s="87">
        <v>44632</v>
      </c>
      <c r="K184" s="15">
        <v>6300</v>
      </c>
      <c r="L184" s="96">
        <v>315</v>
      </c>
      <c r="M184" s="89">
        <v>129.74</v>
      </c>
      <c r="N184" s="88">
        <v>39</v>
      </c>
      <c r="O184" s="413" t="str">
        <f t="shared" si="1"/>
        <v>35 x 60</v>
      </c>
      <c r="P184" s="18" t="str">
        <f t="shared" si="2"/>
        <v>37 x 62</v>
      </c>
      <c r="Q184" s="91" t="str">
        <f t="shared" si="3"/>
        <v>N/A</v>
      </c>
      <c r="R184" s="18" t="str">
        <f t="shared" si="4"/>
        <v>68 x 44 x 6</v>
      </c>
      <c r="S184" s="18">
        <v>68</v>
      </c>
      <c r="T184" s="18">
        <v>44</v>
      </c>
      <c r="U184" s="18">
        <v>6</v>
      </c>
      <c r="V184" s="18">
        <f t="shared" si="47"/>
        <v>159</v>
      </c>
      <c r="W184" s="287">
        <f t="shared" si="51"/>
        <v>0.41187301587301589</v>
      </c>
      <c r="X184" s="287" t="str">
        <f t="shared" si="52"/>
        <v>Yes</v>
      </c>
      <c r="Y184" s="93" t="e">
        <f t="shared" si="53"/>
        <v>#REF!</v>
      </c>
      <c r="Z184" s="288" t="e">
        <f t="shared" si="54"/>
        <v>#REF!</v>
      </c>
      <c r="AA184" s="94" t="e">
        <f t="shared" si="55"/>
        <v>#REF!</v>
      </c>
      <c r="AB184" s="288" t="e">
        <f t="shared" si="56"/>
        <v>#REF!</v>
      </c>
      <c r="AC184" s="91" t="e">
        <f>IF(X184="","",IF(D184="2 3D",((F184-0.5)*2+(G184-0.5)*2)*VLOOKUP("3D base",#REF!,2,FALSE),IF(D184="3 Canv", IF(E184="Roll",0,ROUND(SUM(F184:G184)*2,0)),0)*VLOOKUP("Stretcher Bar",#REF!,2,FALSE)))</f>
        <v>#REF!</v>
      </c>
      <c r="AD184" s="91" t="e">
        <f>IF(X184="","",IF(E184="Roll",0,IF(D184="2 3D",(SUM(F184:G184)*2)*VLOOKUP("3D epoxy",#REF!,2,FALSE),IF(D184="3 Canv",VLOOKUP("Wood glue",#REF!,2,FALSE),""))))</f>
        <v>#REF!</v>
      </c>
      <c r="AE184" s="91" t="e">
        <f>IF(D184="3 Canv",(((F184+5)*(G184+5)))*VLOOKUP("Canvas",#REF!,2,FALSE),IF(D184="2 3D",(((F184)*(G184)))*VLOOKUP("Dibond",#REF!,2,FALSE),""))</f>
        <v>#REF!</v>
      </c>
      <c r="AF184" s="91" t="e">
        <f>IF(D184="2 3D",F184*G184*VLOOKUP("3D ink",#REF!,2,FALSE),IF(D184="3 Canv",F184*G184*VLOOKUP("Canvas ink",#REF!,2,FALSE),""))</f>
        <v>#REF!</v>
      </c>
      <c r="AG184" s="91" t="str">
        <f>IF(D184="3 Canv",IF(E184="Roll","",ROUNDUP((SUM(F184:G184)*2)/3,"")*VLOOKUP("Staples",#REF!,2,FALSE)),"")</f>
        <v/>
      </c>
      <c r="AH184" s="91" t="e">
        <f>IF(AF184="","",(SUM(F184:G184)*2)*VLOOKUP(E184,#REF!,2,FALSE))</f>
        <v>#REF!</v>
      </c>
      <c r="AI184" s="18">
        <f t="shared" si="57"/>
        <v>44</v>
      </c>
      <c r="AJ184" s="91" t="e">
        <f>IF(AI184="","",AI184*VLOOKUP("Staples",#REF!,2,FALSE))</f>
        <v>#REF!</v>
      </c>
      <c r="AK184" s="18" t="e">
        <f t="shared" si="58"/>
        <v>#REF!</v>
      </c>
      <c r="AL184" s="91" t="e">
        <f>IF(AK184="","",AK184*VLOOKUP("Frame screw",#REF!,2,FALSE))</f>
        <v>#REF!</v>
      </c>
      <c r="AM184" s="18" t="e">
        <f t="shared" si="59"/>
        <v>#REF!</v>
      </c>
      <c r="AN184" s="91" t="e">
        <f>IF(AM184="","",AM184*VLOOKUP("D ring",#REF!,2,FALSE))</f>
        <v>#REF!</v>
      </c>
      <c r="AO184" s="18" t="e">
        <f t="shared" si="60"/>
        <v>#REF!</v>
      </c>
      <c r="AP184" s="91" t="e">
        <f>IF(AO184="","",IF(G184&gt;59,AO184* VLOOKUP("8 wire",#REF!,2,FALSE)*2,IF(G184&gt;39,AO184* VLOOKUP("8 wire",#REF!,2,FALSE),AO184* VLOOKUP("6 wire",#REF!,2,FALSE))))</f>
        <v>#REF!</v>
      </c>
      <c r="AQ184" s="18">
        <f t="shared" si="61"/>
        <v>4</v>
      </c>
      <c r="AR184" s="18" t="e">
        <f>IF(AQ184="","",AQ184*VLOOKUP("Pads",#REF!,2,FALSE))</f>
        <v>#REF!</v>
      </c>
      <c r="AS184" s="18">
        <f t="shared" si="62"/>
        <v>1</v>
      </c>
      <c r="AT184" s="91" t="e">
        <f>IF(AS184="","",AS184*VLOOKUP("4 mil bag",#REF!,2,FALSE))</f>
        <v>#REF!</v>
      </c>
      <c r="AU184" s="91">
        <f>IF(X184="","",IF(I184="N/A","",IF(I184="CNC",IF(G184&gt;37,20,10),VLOOKUP(I184,#REF!,2,FALSE))))</f>
        <v>20</v>
      </c>
      <c r="AV184" s="91" t="e">
        <f>IF(X184="","",IF(I184="CNC",VLOOKUP("Glue stick",#REF!,2,FALSE),""))</f>
        <v>#REF!</v>
      </c>
      <c r="AW184" s="91" t="e">
        <f>IF(X184="","",IF(I184="CNC",16*VLOOKUP("Box staples",#REF!,2,FALSE),""))</f>
        <v>#REF!</v>
      </c>
      <c r="AX184" s="18" t="e">
        <f>IF(X184="","",IF(I184="CNC",((((G184+6)+(F184+6))*2)+24)*VLOOKUP("sealing tape",#REF!,2,FALSE),VLOOKUP("Strapping tape",#REF!,2,FALSE)))</f>
        <v>#REF!</v>
      </c>
      <c r="AY184" s="17"/>
      <c r="AZ184" s="17"/>
      <c r="BA184" s="17"/>
      <c r="BB184" s="17"/>
      <c r="BC184" s="96"/>
      <c r="BD184" s="96"/>
      <c r="BE184" s="96"/>
      <c r="BF184" s="96"/>
      <c r="BG184" s="96"/>
      <c r="BH184" s="96"/>
      <c r="BI184" s="96"/>
    </row>
    <row r="185" spans="1:61" x14ac:dyDescent="0.45">
      <c r="A185" s="103" t="s">
        <v>1250</v>
      </c>
      <c r="B185" s="17" t="s">
        <v>1249</v>
      </c>
      <c r="C185" s="16">
        <v>44615</v>
      </c>
      <c r="D185" s="17" t="s">
        <v>66</v>
      </c>
      <c r="E185" s="15" t="s">
        <v>50</v>
      </c>
      <c r="F185" s="17">
        <v>22</v>
      </c>
      <c r="G185" s="17">
        <v>30</v>
      </c>
      <c r="H185" s="3" t="s">
        <v>43</v>
      </c>
      <c r="I185" s="88" t="s">
        <v>41</v>
      </c>
      <c r="J185" s="87">
        <v>44635</v>
      </c>
      <c r="K185" s="15">
        <v>420.75</v>
      </c>
      <c r="L185" s="96">
        <v>25</v>
      </c>
      <c r="M185" s="89">
        <v>24.35</v>
      </c>
      <c r="N185" s="88">
        <v>10</v>
      </c>
      <c r="O185" s="413" t="str">
        <f t="shared" si="1"/>
        <v>22 x 30</v>
      </c>
      <c r="P185" s="18" t="str">
        <f t="shared" si="2"/>
        <v>22 x 30</v>
      </c>
      <c r="Q185" s="91" t="str">
        <f t="shared" si="3"/>
        <v>N/A</v>
      </c>
      <c r="R185" s="18" t="str">
        <f t="shared" si="4"/>
        <v>36 x 28 x 6</v>
      </c>
      <c r="S185" s="18">
        <v>36</v>
      </c>
      <c r="T185" s="18">
        <v>28</v>
      </c>
      <c r="U185" s="18">
        <v>6</v>
      </c>
      <c r="V185" s="18">
        <f t="shared" si="47"/>
        <v>103</v>
      </c>
      <c r="W185" s="287">
        <f t="shared" si="51"/>
        <v>0.97400000000000009</v>
      </c>
      <c r="X185" s="287" t="str">
        <f t="shared" si="52"/>
        <v>Yes</v>
      </c>
      <c r="Y185" s="93" t="e">
        <f t="shared" si="53"/>
        <v>#REF!</v>
      </c>
      <c r="Z185" s="288" t="e">
        <f t="shared" si="54"/>
        <v>#REF!</v>
      </c>
      <c r="AA185" s="94" t="e">
        <f t="shared" si="55"/>
        <v>#REF!</v>
      </c>
      <c r="AB185" s="288" t="e">
        <f t="shared" si="56"/>
        <v>#REF!</v>
      </c>
      <c r="AC185" s="91" t="e">
        <f>IF(X185="","",IF(D185="2 3D",((F185-0.5)*2+(G185-0.5)*2)*VLOOKUP("3D base",#REF!,2,FALSE),IF(D185="3 Canv", IF(E185="Roll",0,ROUND(SUM(F185:G185)*2,0)),0)*VLOOKUP("Stretcher Bar",#REF!,2,FALSE)))</f>
        <v>#REF!</v>
      </c>
      <c r="AD185" s="91" t="e">
        <f>IF(X185="","",IF(E185="Roll",0,IF(D185="2 3D",(SUM(F185:G185)*2)*VLOOKUP("3D epoxy",#REF!,2,FALSE),IF(D185="3 Canv",VLOOKUP("Wood glue",#REF!,2,FALSE),""))))</f>
        <v>#REF!</v>
      </c>
      <c r="AE185" s="91" t="e">
        <f>IF(D185="3 Canv",(((F185+5)*(G185+5)))*VLOOKUP("Canvas",#REF!,2,FALSE),IF(D185="2 3D",(((F185)*(G185)))*VLOOKUP("Dibond",#REF!,2,FALSE),""))</f>
        <v>#REF!</v>
      </c>
      <c r="AF185" s="91" t="e">
        <f>IF(D185="2 3D",F185*G185*VLOOKUP("3D ink",#REF!,2,FALSE),IF(D185="3 Canv",F185*G185*VLOOKUP("Canvas ink",#REF!,2,FALSE),""))</f>
        <v>#REF!</v>
      </c>
      <c r="AG185" s="91" t="e">
        <f>IF(D185="3 Canv",IF(E185="Roll","",ROUNDUP((SUM(F185:G185)*2)/3,"")*VLOOKUP("Staples",#REF!,2,FALSE)),"")</f>
        <v>#VALUE!</v>
      </c>
      <c r="AH185" s="91" t="e">
        <f>IF(AF185="","",(SUM(F185:G185)*2)*VLOOKUP(E185,#REF!,2,FALSE))</f>
        <v>#REF!</v>
      </c>
      <c r="AI185" s="18">
        <f t="shared" si="57"/>
        <v>16</v>
      </c>
      <c r="AJ185" s="91" t="e">
        <f>IF(AI185="","",AI185*VLOOKUP("Staples",#REF!,2,FALSE))</f>
        <v>#REF!</v>
      </c>
      <c r="AK185" s="18" t="e">
        <f t="shared" si="58"/>
        <v>#REF!</v>
      </c>
      <c r="AL185" s="91" t="e">
        <f>IF(AK185="","",AK185*VLOOKUP("Frame screw",#REF!,2,FALSE))</f>
        <v>#REF!</v>
      </c>
      <c r="AM185" s="18" t="e">
        <f t="shared" si="59"/>
        <v>#REF!</v>
      </c>
      <c r="AN185" s="91" t="e">
        <f>IF(AM185="","",AM185*VLOOKUP("D ring",#REF!,2,FALSE))</f>
        <v>#REF!</v>
      </c>
      <c r="AO185" s="18" t="e">
        <f t="shared" si="60"/>
        <v>#REF!</v>
      </c>
      <c r="AP185" s="91" t="e">
        <f>IF(AO185="","",IF(G185&gt;59,AO185* VLOOKUP("8 wire",#REF!,2,FALSE)*2,IF(G185&gt;39,AO185* VLOOKUP("8 wire",#REF!,2,FALSE),AO185* VLOOKUP("6 wire",#REF!,2,FALSE))))</f>
        <v>#REF!</v>
      </c>
      <c r="AQ185" s="18">
        <f t="shared" si="61"/>
        <v>4</v>
      </c>
      <c r="AR185" s="18" t="e">
        <f>IF(AQ185="","",AQ185*VLOOKUP("Pads",#REF!,2,FALSE))</f>
        <v>#REF!</v>
      </c>
      <c r="AS185" s="18">
        <f t="shared" si="62"/>
        <v>1</v>
      </c>
      <c r="AT185" s="91" t="e">
        <f>IF(AS185="","",AS185*VLOOKUP("4 mil bag",#REF!,2,FALSE))</f>
        <v>#REF!</v>
      </c>
      <c r="AU185" s="91">
        <f>IF(X185="","",IF(I185="N/A","",IF(I185="CNC",IF(G185&gt;37,20,10),VLOOKUP(I185,#REF!,2,FALSE))))</f>
        <v>10</v>
      </c>
      <c r="AV185" s="91" t="e">
        <f>IF(X185="","",IF(I185="CNC",VLOOKUP("Glue stick",#REF!,2,FALSE),""))</f>
        <v>#REF!</v>
      </c>
      <c r="AW185" s="91" t="e">
        <f>IF(X185="","",IF(I185="CNC",16*VLOOKUP("Box staples",#REF!,2,FALSE),""))</f>
        <v>#REF!</v>
      </c>
      <c r="AX185" s="18" t="e">
        <f>IF(X185="","",IF(I185="CNC",((((G185+6)+(F185+6))*2)+24)*VLOOKUP("sealing tape",#REF!,2,FALSE),VLOOKUP("Strapping tape",#REF!,2,FALSE)))</f>
        <v>#REF!</v>
      </c>
      <c r="AY185" s="17"/>
      <c r="AZ185" s="17"/>
      <c r="BA185" s="17"/>
      <c r="BB185" s="17"/>
      <c r="BC185" s="96"/>
      <c r="BD185" s="96"/>
      <c r="BE185" s="96"/>
      <c r="BF185" s="96"/>
      <c r="BG185" s="96"/>
      <c r="BH185" s="96"/>
      <c r="BI185" s="96"/>
    </row>
    <row r="186" spans="1:61" x14ac:dyDescent="0.45">
      <c r="A186" s="103" t="s">
        <v>1248</v>
      </c>
      <c r="B186" s="17" t="s">
        <v>1247</v>
      </c>
      <c r="C186" s="16">
        <v>44615</v>
      </c>
      <c r="D186" s="17" t="s">
        <v>66</v>
      </c>
      <c r="E186" s="15" t="s">
        <v>50</v>
      </c>
      <c r="F186" s="17">
        <v>30</v>
      </c>
      <c r="G186" s="17">
        <v>30</v>
      </c>
      <c r="H186" s="3" t="s">
        <v>43</v>
      </c>
      <c r="I186" s="88" t="s">
        <v>41</v>
      </c>
      <c r="J186" s="87">
        <v>44635</v>
      </c>
      <c r="K186" s="15">
        <v>550</v>
      </c>
      <c r="L186" s="96">
        <v>30</v>
      </c>
      <c r="M186" s="89">
        <v>41.62</v>
      </c>
      <c r="N186" s="88">
        <v>13</v>
      </c>
      <c r="O186" s="413" t="str">
        <f t="shared" si="1"/>
        <v>30 x 30</v>
      </c>
      <c r="P186" s="18" t="str">
        <f t="shared" si="2"/>
        <v>30 x 30</v>
      </c>
      <c r="Q186" s="91" t="str">
        <f t="shared" si="3"/>
        <v>N/A</v>
      </c>
      <c r="R186" s="18" t="str">
        <f t="shared" si="4"/>
        <v>36 x 36 x 6</v>
      </c>
      <c r="S186" s="18">
        <v>36</v>
      </c>
      <c r="T186" s="18">
        <v>36</v>
      </c>
      <c r="U186" s="18">
        <v>6</v>
      </c>
      <c r="V186" s="18">
        <f t="shared" si="47"/>
        <v>119</v>
      </c>
      <c r="W186" s="287">
        <f t="shared" si="51"/>
        <v>1.3873333333333333</v>
      </c>
      <c r="X186" s="287" t="str">
        <f t="shared" si="52"/>
        <v>Yes</v>
      </c>
      <c r="Y186" s="93" t="e">
        <f t="shared" si="53"/>
        <v>#REF!</v>
      </c>
      <c r="Z186" s="288" t="e">
        <f t="shared" si="54"/>
        <v>#REF!</v>
      </c>
      <c r="AA186" s="94" t="e">
        <f t="shared" si="55"/>
        <v>#REF!</v>
      </c>
      <c r="AB186" s="288" t="e">
        <f t="shared" si="56"/>
        <v>#REF!</v>
      </c>
      <c r="AC186" s="91" t="e">
        <f>IF(X186="","",IF(D186="2 3D",((F186-0.5)*2+(G186-0.5)*2)*VLOOKUP("3D base",#REF!,2,FALSE),IF(D186="3 Canv", IF(E186="Roll",0,ROUND(SUM(F186:G186)*2,0)),0)*VLOOKUP("Stretcher Bar",#REF!,2,FALSE)))</f>
        <v>#REF!</v>
      </c>
      <c r="AD186" s="91" t="e">
        <f>IF(X186="","",IF(E186="Roll",0,IF(D186="2 3D",(SUM(F186:G186)*2)*VLOOKUP("3D epoxy",#REF!,2,FALSE),IF(D186="3 Canv",VLOOKUP("Wood glue",#REF!,2,FALSE),""))))</f>
        <v>#REF!</v>
      </c>
      <c r="AE186" s="91" t="e">
        <f>IF(D186="3 Canv",(((F186+5)*(G186+5)))*VLOOKUP("Canvas",#REF!,2,FALSE),IF(D186="2 3D",(((F186)*(G186)))*VLOOKUP("Dibond",#REF!,2,FALSE),""))</f>
        <v>#REF!</v>
      </c>
      <c r="AF186" s="91" t="e">
        <f>IF(D186="2 3D",F186*G186*VLOOKUP("3D ink",#REF!,2,FALSE),IF(D186="3 Canv",F186*G186*VLOOKUP("Canvas ink",#REF!,2,FALSE),""))</f>
        <v>#REF!</v>
      </c>
      <c r="AG186" s="91" t="e">
        <f>IF(D186="3 Canv",IF(E186="Roll","",ROUNDUP((SUM(F186:G186)*2)/3,"")*VLOOKUP("Staples",#REF!,2,FALSE)),"")</f>
        <v>#VALUE!</v>
      </c>
      <c r="AH186" s="91" t="e">
        <f>IF(AF186="","",(SUM(F186:G186)*2)*VLOOKUP(E186,#REF!,2,FALSE))</f>
        <v>#REF!</v>
      </c>
      <c r="AI186" s="18">
        <f t="shared" si="57"/>
        <v>16</v>
      </c>
      <c r="AJ186" s="91" t="e">
        <f>IF(AI186="","",AI186*VLOOKUP("Staples",#REF!,2,FALSE))</f>
        <v>#REF!</v>
      </c>
      <c r="AK186" s="18" t="e">
        <f t="shared" si="58"/>
        <v>#REF!</v>
      </c>
      <c r="AL186" s="91" t="e">
        <f>IF(AK186="","",AK186*VLOOKUP("Frame screw",#REF!,2,FALSE))</f>
        <v>#REF!</v>
      </c>
      <c r="AM186" s="18" t="e">
        <f t="shared" si="59"/>
        <v>#REF!</v>
      </c>
      <c r="AN186" s="91" t="e">
        <f>IF(AM186="","",AM186*VLOOKUP("D ring",#REF!,2,FALSE))</f>
        <v>#REF!</v>
      </c>
      <c r="AO186" s="18" t="e">
        <f t="shared" si="60"/>
        <v>#REF!</v>
      </c>
      <c r="AP186" s="91" t="e">
        <f>IF(AO186="","",IF(G186&gt;59,AO186* VLOOKUP("8 wire",#REF!,2,FALSE)*2,IF(G186&gt;39,AO186* VLOOKUP("8 wire",#REF!,2,FALSE),AO186* VLOOKUP("6 wire",#REF!,2,FALSE))))</f>
        <v>#REF!</v>
      </c>
      <c r="AQ186" s="18">
        <f t="shared" si="61"/>
        <v>4</v>
      </c>
      <c r="AR186" s="18" t="e">
        <f>IF(AQ186="","",AQ186*VLOOKUP("Pads",#REF!,2,FALSE))</f>
        <v>#REF!</v>
      </c>
      <c r="AS186" s="18">
        <f t="shared" si="62"/>
        <v>1</v>
      </c>
      <c r="AT186" s="91" t="e">
        <f>IF(AS186="","",AS186*VLOOKUP("4 mil bag",#REF!,2,FALSE))</f>
        <v>#REF!</v>
      </c>
      <c r="AU186" s="91">
        <f>IF(X186="","",IF(I186="N/A","",IF(I186="CNC",IF(G186&gt;37,20,10),VLOOKUP(I186,#REF!,2,FALSE))))</f>
        <v>10</v>
      </c>
      <c r="AV186" s="91" t="e">
        <f>IF(X186="","",IF(I186="CNC",VLOOKUP("Glue stick",#REF!,2,FALSE),""))</f>
        <v>#REF!</v>
      </c>
      <c r="AW186" s="91" t="e">
        <f>IF(X186="","",IF(I186="CNC",16*VLOOKUP("Box staples",#REF!,2,FALSE),""))</f>
        <v>#REF!</v>
      </c>
      <c r="AX186" s="18" t="e">
        <f>IF(X186="","",IF(I186="CNC",((((G186+6)+(F186+6))*2)+24)*VLOOKUP("sealing tape",#REF!,2,FALSE),VLOOKUP("Strapping tape",#REF!,2,FALSE)))</f>
        <v>#REF!</v>
      </c>
      <c r="AY186" s="17"/>
      <c r="AZ186" s="17"/>
      <c r="BA186" s="17"/>
      <c r="BB186" s="17"/>
      <c r="BC186" s="96"/>
      <c r="BD186" s="96"/>
      <c r="BE186" s="96"/>
      <c r="BF186" s="96"/>
      <c r="BG186" s="96"/>
      <c r="BH186" s="96"/>
      <c r="BI186" s="96"/>
    </row>
    <row r="187" spans="1:61" x14ac:dyDescent="0.45">
      <c r="A187" s="103" t="s">
        <v>1180</v>
      </c>
      <c r="B187" s="17" t="s">
        <v>1246</v>
      </c>
      <c r="C187" s="16">
        <v>44626</v>
      </c>
      <c r="D187" s="17" t="s">
        <v>66</v>
      </c>
      <c r="E187" s="15" t="s">
        <v>50</v>
      </c>
      <c r="F187" s="17">
        <v>38</v>
      </c>
      <c r="G187" s="17">
        <v>56</v>
      </c>
      <c r="H187" s="3" t="s">
        <v>43</v>
      </c>
      <c r="I187" s="88" t="s">
        <v>41</v>
      </c>
      <c r="J187" s="87">
        <v>44635</v>
      </c>
      <c r="K187" s="15">
        <v>1235</v>
      </c>
      <c r="L187" s="96">
        <v>0</v>
      </c>
      <c r="M187" s="89">
        <v>75.680000000000007</v>
      </c>
      <c r="N187" s="88">
        <v>26</v>
      </c>
      <c r="O187" s="413" t="str">
        <f t="shared" si="1"/>
        <v>38 x 56</v>
      </c>
      <c r="P187" s="18" t="str">
        <f t="shared" si="2"/>
        <v>38 x 56</v>
      </c>
      <c r="Q187" s="91" t="str">
        <f t="shared" si="3"/>
        <v>N/A</v>
      </c>
      <c r="R187" s="18" t="str">
        <f t="shared" si="4"/>
        <v>62 x 44 x 6</v>
      </c>
      <c r="S187" s="18">
        <v>62</v>
      </c>
      <c r="T187" s="18">
        <v>44</v>
      </c>
      <c r="U187" s="18">
        <v>6</v>
      </c>
      <c r="V187" s="18">
        <f t="shared" si="47"/>
        <v>161</v>
      </c>
      <c r="W187" s="287" t="str">
        <f t="shared" si="51"/>
        <v/>
      </c>
      <c r="X187" s="287" t="str">
        <f t="shared" si="52"/>
        <v>Yes</v>
      </c>
      <c r="Y187" s="93" t="e">
        <f t="shared" si="53"/>
        <v>#REF!</v>
      </c>
      <c r="Z187" s="288" t="e">
        <f t="shared" si="54"/>
        <v>#REF!</v>
      </c>
      <c r="AA187" s="94" t="e">
        <f t="shared" si="55"/>
        <v>#REF!</v>
      </c>
      <c r="AB187" s="288" t="e">
        <f t="shared" si="56"/>
        <v>#REF!</v>
      </c>
      <c r="AC187" s="91" t="e">
        <f>IF(X187="","",IF(D187="2 3D",((F187-0.5)*2+(G187-0.5)*2)*VLOOKUP("3D base",#REF!,2,FALSE),IF(D187="3 Canv", IF(E187="Roll",0,ROUND(SUM(F187:G187)*2,0)),0)*VLOOKUP("Stretcher Bar",#REF!,2,FALSE)))</f>
        <v>#REF!</v>
      </c>
      <c r="AD187" s="91" t="e">
        <f>IF(X187="","",IF(E187="Roll",0,IF(D187="2 3D",(SUM(F187:G187)*2)*VLOOKUP("3D epoxy",#REF!,2,FALSE),IF(D187="3 Canv",VLOOKUP("Wood glue",#REF!,2,FALSE),""))))</f>
        <v>#REF!</v>
      </c>
      <c r="AE187" s="91" t="e">
        <f>IF(D187="3 Canv",(((F187+5)*(G187+5)))*VLOOKUP("Canvas",#REF!,2,FALSE),IF(D187="2 3D",(((F187)*(G187)))*VLOOKUP("Dibond",#REF!,2,FALSE),""))</f>
        <v>#REF!</v>
      </c>
      <c r="AF187" s="91" t="e">
        <f>IF(D187="2 3D",F187*G187*VLOOKUP("3D ink",#REF!,2,FALSE),IF(D187="3 Canv",F187*G187*VLOOKUP("Canvas ink",#REF!,2,FALSE),""))</f>
        <v>#REF!</v>
      </c>
      <c r="AG187" s="91" t="e">
        <f>IF(D187="3 Canv",IF(E187="Roll","",ROUNDUP((SUM(F187:G187)*2)/3,"")*VLOOKUP("Staples",#REF!,2,FALSE)),"")</f>
        <v>#VALUE!</v>
      </c>
      <c r="AH187" s="91" t="e">
        <f>IF(AF187="","",(SUM(F187:G187)*2)*VLOOKUP(E187,#REF!,2,FALSE))</f>
        <v>#REF!</v>
      </c>
      <c r="AI187" s="18">
        <f t="shared" si="57"/>
        <v>16</v>
      </c>
      <c r="AJ187" s="91" t="e">
        <f>IF(AI187="","",AI187*VLOOKUP("Staples",#REF!,2,FALSE))</f>
        <v>#REF!</v>
      </c>
      <c r="AK187" s="18" t="e">
        <f t="shared" si="58"/>
        <v>#REF!</v>
      </c>
      <c r="AL187" s="91" t="e">
        <f>IF(AK187="","",AK187*VLOOKUP("Frame screw",#REF!,2,FALSE))</f>
        <v>#REF!</v>
      </c>
      <c r="AM187" s="18" t="e">
        <f t="shared" si="59"/>
        <v>#REF!</v>
      </c>
      <c r="AN187" s="91" t="e">
        <f>IF(AM187="","",AM187*VLOOKUP("D ring",#REF!,2,FALSE))</f>
        <v>#REF!</v>
      </c>
      <c r="AO187" s="18" t="e">
        <f t="shared" si="60"/>
        <v>#REF!</v>
      </c>
      <c r="AP187" s="91" t="e">
        <f>IF(AO187="","",IF(G187&gt;59,AO187* VLOOKUP("8 wire",#REF!,2,FALSE)*2,IF(G187&gt;39,AO187* VLOOKUP("8 wire",#REF!,2,FALSE),AO187* VLOOKUP("6 wire",#REF!,2,FALSE))))</f>
        <v>#REF!</v>
      </c>
      <c r="AQ187" s="18">
        <f t="shared" si="61"/>
        <v>4</v>
      </c>
      <c r="AR187" s="18" t="e">
        <f>IF(AQ187="","",AQ187*VLOOKUP("Pads",#REF!,2,FALSE))</f>
        <v>#REF!</v>
      </c>
      <c r="AS187" s="18">
        <f t="shared" si="62"/>
        <v>1</v>
      </c>
      <c r="AT187" s="91" t="e">
        <f>IF(AS187="","",AS187*VLOOKUP("4 mil bag",#REF!,2,FALSE))</f>
        <v>#REF!</v>
      </c>
      <c r="AU187" s="91">
        <f>IF(X187="","",IF(I187="N/A","",IF(I187="CNC",IF(G187&gt;37,20,10),VLOOKUP(I187,#REF!,2,FALSE))))</f>
        <v>20</v>
      </c>
      <c r="AV187" s="91" t="e">
        <f>IF(X187="","",IF(I187="CNC",VLOOKUP("Glue stick",#REF!,2,FALSE),""))</f>
        <v>#REF!</v>
      </c>
      <c r="AW187" s="91" t="e">
        <f>IF(X187="","",IF(I187="CNC",16*VLOOKUP("Box staples",#REF!,2,FALSE),""))</f>
        <v>#REF!</v>
      </c>
      <c r="AX187" s="18" t="e">
        <f>IF(X187="","",IF(I187="CNC",((((G187+6)+(F187+6))*2)+24)*VLOOKUP("sealing tape",#REF!,2,FALSE),VLOOKUP("Strapping tape",#REF!,2,FALSE)))</f>
        <v>#REF!</v>
      </c>
      <c r="AY187" s="17"/>
      <c r="AZ187" s="17"/>
      <c r="BA187" s="17"/>
      <c r="BB187" s="17"/>
      <c r="BC187" s="96"/>
      <c r="BD187" s="96"/>
      <c r="BE187" s="96"/>
      <c r="BF187" s="96"/>
      <c r="BG187" s="96"/>
      <c r="BH187" s="96"/>
      <c r="BI187" s="96"/>
    </row>
    <row r="188" spans="1:61" x14ac:dyDescent="0.45">
      <c r="A188" s="103" t="s">
        <v>992</v>
      </c>
      <c r="B188" s="17" t="s">
        <v>1252</v>
      </c>
      <c r="C188" s="16">
        <v>44626</v>
      </c>
      <c r="D188" s="17" t="s">
        <v>66</v>
      </c>
      <c r="E188" s="15" t="s">
        <v>58</v>
      </c>
      <c r="F188" s="17">
        <v>30</v>
      </c>
      <c r="G188" s="17">
        <v>40</v>
      </c>
      <c r="H188" s="3" t="s">
        <v>43</v>
      </c>
      <c r="I188" s="88" t="s">
        <v>41</v>
      </c>
      <c r="J188" s="87">
        <v>44636</v>
      </c>
      <c r="K188" s="15">
        <v>850</v>
      </c>
      <c r="L188" s="96">
        <v>0</v>
      </c>
      <c r="M188" s="89">
        <v>132.03</v>
      </c>
      <c r="N188" s="88">
        <v>19</v>
      </c>
      <c r="O188" s="413" t="str">
        <f t="shared" si="1"/>
        <v>30 x 40</v>
      </c>
      <c r="P188" s="18" t="str">
        <f t="shared" si="2"/>
        <v>32 x 42</v>
      </c>
      <c r="Q188" s="91" t="str">
        <f t="shared" si="3"/>
        <v>N/A</v>
      </c>
      <c r="R188" s="18" t="str">
        <f t="shared" si="4"/>
        <v>48 x 39 x 6</v>
      </c>
      <c r="S188" s="18">
        <v>48</v>
      </c>
      <c r="T188" s="18">
        <v>39</v>
      </c>
      <c r="U188" s="18">
        <v>6</v>
      </c>
      <c r="V188" s="18">
        <f t="shared" si="47"/>
        <v>129</v>
      </c>
      <c r="W188" s="287" t="str">
        <f t="shared" si="51"/>
        <v/>
      </c>
      <c r="X188" s="287" t="str">
        <f t="shared" si="52"/>
        <v>Yes</v>
      </c>
      <c r="Y188" s="93" t="e">
        <f t="shared" si="53"/>
        <v>#REF!</v>
      </c>
      <c r="Z188" s="288" t="e">
        <f t="shared" si="54"/>
        <v>#REF!</v>
      </c>
      <c r="AA188" s="94" t="e">
        <f t="shared" si="55"/>
        <v>#REF!</v>
      </c>
      <c r="AB188" s="288" t="e">
        <f t="shared" si="56"/>
        <v>#REF!</v>
      </c>
      <c r="AC188" s="91" t="e">
        <f>IF(X188="","",IF(D188="2 3D",((F188-0.5)*2+(G188-0.5)*2)*VLOOKUP("3D base",#REF!,2,FALSE),IF(D188="3 Canv", IF(E188="Roll",0,ROUND(SUM(F188:G188)*2,0)),0)*VLOOKUP("Stretcher Bar",#REF!,2,FALSE)))</f>
        <v>#REF!</v>
      </c>
      <c r="AD188" s="91" t="e">
        <f>IF(X188="","",IF(E188="Roll",0,IF(D188="2 3D",(SUM(F188:G188)*2)*VLOOKUP("3D epoxy",#REF!,2,FALSE),IF(D188="3 Canv",VLOOKUP("Wood glue",#REF!,2,FALSE),""))))</f>
        <v>#REF!</v>
      </c>
      <c r="AE188" s="91" t="e">
        <f>IF(D188="3 Canv",(((F188+5)*(G188+5)))*VLOOKUP("Canvas",#REF!,2,FALSE),IF(D188="2 3D",(((F188)*(G188)))*VLOOKUP("Dibond",#REF!,2,FALSE),""))</f>
        <v>#REF!</v>
      </c>
      <c r="AF188" s="91" t="e">
        <f>IF(D188="2 3D",F188*G188*VLOOKUP("3D ink",#REF!,2,FALSE),IF(D188="3 Canv",F188*G188*VLOOKUP("Canvas ink",#REF!,2,FALSE),""))</f>
        <v>#REF!</v>
      </c>
      <c r="AG188" s="91" t="e">
        <f>IF(D188="3 Canv",IF(E188="Roll","",ROUNDUP((SUM(F188:G188)*2)/3,"")*VLOOKUP("Staples",#REF!,2,FALSE)),"")</f>
        <v>#VALUE!</v>
      </c>
      <c r="AH188" s="91" t="e">
        <f>IF(AF188="","",(SUM(F188:G188)*2)*VLOOKUP(E188,#REF!,2,FALSE))</f>
        <v>#REF!</v>
      </c>
      <c r="AI188" s="18">
        <f t="shared" si="57"/>
        <v>44</v>
      </c>
      <c r="AJ188" s="91" t="e">
        <f>IF(AI188="","",AI188*VLOOKUP("Staples",#REF!,2,FALSE))</f>
        <v>#REF!</v>
      </c>
      <c r="AK188" s="18" t="e">
        <f t="shared" si="58"/>
        <v>#REF!</v>
      </c>
      <c r="AL188" s="91" t="e">
        <f>IF(AK188="","",AK188*VLOOKUP("Frame screw",#REF!,2,FALSE))</f>
        <v>#REF!</v>
      </c>
      <c r="AM188" s="18" t="e">
        <f t="shared" si="59"/>
        <v>#REF!</v>
      </c>
      <c r="AN188" s="91" t="e">
        <f>IF(AM188="","",AM188*VLOOKUP("D ring",#REF!,2,FALSE))</f>
        <v>#REF!</v>
      </c>
      <c r="AO188" s="18" t="e">
        <f t="shared" si="60"/>
        <v>#REF!</v>
      </c>
      <c r="AP188" s="91" t="e">
        <f>IF(AO188="","",IF(G188&gt;59,AO188* VLOOKUP("8 wire",#REF!,2,FALSE)*2,IF(G188&gt;39,AO188* VLOOKUP("8 wire",#REF!,2,FALSE),AO188* VLOOKUP("6 wire",#REF!,2,FALSE))))</f>
        <v>#REF!</v>
      </c>
      <c r="AQ188" s="18">
        <f t="shared" si="61"/>
        <v>4</v>
      </c>
      <c r="AR188" s="18" t="e">
        <f>IF(AQ188="","",AQ188*VLOOKUP("Pads",#REF!,2,FALSE))</f>
        <v>#REF!</v>
      </c>
      <c r="AS188" s="18">
        <f t="shared" si="62"/>
        <v>1</v>
      </c>
      <c r="AT188" s="91" t="e">
        <f>IF(AS188="","",AS188*VLOOKUP("4 mil bag",#REF!,2,FALSE))</f>
        <v>#REF!</v>
      </c>
      <c r="AU188" s="91">
        <f>IF(X188="","",IF(I188="N/A","",IF(I188="CNC",IF(G188&gt;37,20,10),VLOOKUP(I188,#REF!,2,FALSE))))</f>
        <v>20</v>
      </c>
      <c r="AV188" s="91" t="e">
        <f>IF(X188="","",IF(I188="CNC",VLOOKUP("Glue stick",#REF!,2,FALSE),""))</f>
        <v>#REF!</v>
      </c>
      <c r="AW188" s="91" t="e">
        <f>IF(X188="","",IF(I188="CNC",16*VLOOKUP("Box staples",#REF!,2,FALSE),""))</f>
        <v>#REF!</v>
      </c>
      <c r="AX188" s="18" t="e">
        <f>IF(X188="","",IF(I188="CNC",((((G188+6)+(F188+6))*2)+24)*VLOOKUP("sealing tape",#REF!,2,FALSE),VLOOKUP("Strapping tape",#REF!,2,FALSE)))</f>
        <v>#REF!</v>
      </c>
      <c r="AY188" s="17"/>
      <c r="AZ188" s="17"/>
      <c r="BA188" s="17"/>
      <c r="BB188" s="17"/>
      <c r="BC188" s="96"/>
      <c r="BD188" s="96"/>
      <c r="BE188" s="96"/>
      <c r="BF188" s="96"/>
      <c r="BG188" s="96"/>
      <c r="BH188" s="96"/>
      <c r="BI188" s="96"/>
    </row>
    <row r="189" spans="1:61" x14ac:dyDescent="0.45">
      <c r="A189" s="17" t="s">
        <v>808</v>
      </c>
      <c r="B189" s="17" t="s">
        <v>2639</v>
      </c>
      <c r="C189" s="16">
        <v>44622</v>
      </c>
      <c r="D189" s="17" t="s">
        <v>66</v>
      </c>
      <c r="E189" s="15" t="s">
        <v>50</v>
      </c>
      <c r="F189" s="17">
        <v>24</v>
      </c>
      <c r="G189" s="17">
        <v>48</v>
      </c>
      <c r="H189" s="3" t="s">
        <v>55</v>
      </c>
      <c r="I189" s="88" t="s">
        <v>45</v>
      </c>
      <c r="J189" s="87">
        <v>44636</v>
      </c>
      <c r="K189" s="15">
        <v>645</v>
      </c>
      <c r="L189" s="96">
        <v>35</v>
      </c>
      <c r="M189" s="89">
        <v>0</v>
      </c>
      <c r="N189" s="88"/>
      <c r="O189" s="413" t="str">
        <f t="shared" si="1"/>
        <v>24 x 48</v>
      </c>
      <c r="P189" s="18" t="str">
        <f t="shared" si="2"/>
        <v>24 x 48</v>
      </c>
      <c r="Q189" s="91" t="str">
        <f t="shared" si="3"/>
        <v>N/A</v>
      </c>
      <c r="R189" s="18" t="str">
        <f t="shared" si="4"/>
        <v>N/A</v>
      </c>
      <c r="S189" s="18" t="s">
        <v>45</v>
      </c>
      <c r="T189" s="18"/>
      <c r="U189" s="18"/>
      <c r="V189" s="91" t="str">
        <f t="shared" si="47"/>
        <v>N/A</v>
      </c>
      <c r="W189" s="287" t="str">
        <f t="shared" si="51"/>
        <v/>
      </c>
      <c r="X189" s="287" t="str">
        <f t="shared" si="52"/>
        <v>Yes</v>
      </c>
      <c r="Y189" s="93" t="e">
        <f t="shared" si="53"/>
        <v>#REF!</v>
      </c>
      <c r="Z189" s="288" t="e">
        <f t="shared" si="54"/>
        <v>#REF!</v>
      </c>
      <c r="AA189" s="94" t="e">
        <f t="shared" si="55"/>
        <v>#REF!</v>
      </c>
      <c r="AB189" s="288" t="e">
        <f t="shared" si="56"/>
        <v>#REF!</v>
      </c>
      <c r="AC189" s="91" t="e">
        <f>IF(X189="","",IF(D189="2 3D",((F189-0.5)*2+(G189-0.5)*2)*VLOOKUP("3D base",#REF!,2,FALSE),IF(D189="3 Canv", IF(E189="Roll",0,ROUND(SUM(F189:G189)*2,0)),0)*VLOOKUP("Stretcher Bar",#REF!,2,FALSE)))</f>
        <v>#REF!</v>
      </c>
      <c r="AD189" s="91" t="e">
        <f>IF(X189="","",IF(E189="Roll",0,IF(D189="2 3D",(SUM(F189:G189)*2)*VLOOKUP("3D epoxy",#REF!,2,FALSE),IF(D189="3 Canv",VLOOKUP("Wood glue",#REF!,2,FALSE),""))))</f>
        <v>#REF!</v>
      </c>
      <c r="AE189" s="91" t="e">
        <f>IF(D189="3 Canv",(((F189+5)*(G189+5)))*VLOOKUP("Canvas",#REF!,2,FALSE),IF(D189="2 3D",(((F189)*(G189)))*VLOOKUP("Dibond",#REF!,2,FALSE),""))</f>
        <v>#REF!</v>
      </c>
      <c r="AF189" s="91" t="e">
        <f>IF(D189="2 3D",F189*G189*VLOOKUP("3D ink",#REF!,2,FALSE),IF(D189="3 Canv",F189*G189*VLOOKUP("Canvas ink",#REF!,2,FALSE),""))</f>
        <v>#REF!</v>
      </c>
      <c r="AG189" s="91" t="e">
        <f>IF(D189="3 Canv",IF(E189="Roll","",ROUNDUP((SUM(F189:G189)*2)/3,"")*VLOOKUP("Staples",#REF!,2,FALSE)),"")</f>
        <v>#VALUE!</v>
      </c>
      <c r="AH189" s="91" t="e">
        <f>IF(AF189="","",(SUM(F189:G189)*2)*VLOOKUP(E189,#REF!,2,FALSE))</f>
        <v>#REF!</v>
      </c>
      <c r="AI189" s="18">
        <f t="shared" si="57"/>
        <v>16</v>
      </c>
      <c r="AJ189" s="91" t="e">
        <f>IF(AI189="","",AI189*VLOOKUP("Staples",#REF!,2,FALSE))</f>
        <v>#REF!</v>
      </c>
      <c r="AK189" s="18" t="e">
        <f t="shared" si="58"/>
        <v>#REF!</v>
      </c>
      <c r="AL189" s="91" t="e">
        <f>IF(AK189="","",AK189*VLOOKUP("Frame screw",#REF!,2,FALSE))</f>
        <v>#REF!</v>
      </c>
      <c r="AM189" s="18" t="e">
        <f t="shared" si="59"/>
        <v>#REF!</v>
      </c>
      <c r="AN189" s="91" t="e">
        <f>IF(AM189="","",AM189*VLOOKUP("D ring",#REF!,2,FALSE))</f>
        <v>#REF!</v>
      </c>
      <c r="AO189" s="18" t="e">
        <f t="shared" si="60"/>
        <v>#REF!</v>
      </c>
      <c r="AP189" s="91" t="e">
        <f>IF(AO189="","",IF(G189&gt;59,AO189* VLOOKUP("8 wire",#REF!,2,FALSE)*2,IF(G189&gt;39,AO189* VLOOKUP("8 wire",#REF!,2,FALSE),AO189* VLOOKUP("6 wire",#REF!,2,FALSE))))</f>
        <v>#REF!</v>
      </c>
      <c r="AQ189" s="18">
        <f t="shared" si="61"/>
        <v>4</v>
      </c>
      <c r="AR189" s="18" t="e">
        <f>IF(AQ189="","",AQ189*VLOOKUP("Pads",#REF!,2,FALSE))</f>
        <v>#REF!</v>
      </c>
      <c r="AS189" s="18">
        <f t="shared" si="62"/>
        <v>1</v>
      </c>
      <c r="AT189" s="91" t="e">
        <f>IF(AS189="","",AS189*VLOOKUP("4 mil bag",#REF!,2,FALSE))</f>
        <v>#REF!</v>
      </c>
      <c r="AU189" s="91" t="str">
        <f>IF(X189="","",IF(I189="N/A","",IF(I189="CNC",IF(G189&gt;37,20,10),VLOOKUP(I189,#REF!,2,FALSE))))</f>
        <v/>
      </c>
      <c r="AV189" s="18" t="str">
        <f>IF(X189="","",IF(I189="CNC",VLOOKUP("Glue stick",#REF!,2,FALSE),""))</f>
        <v/>
      </c>
      <c r="AW189" s="18" t="str">
        <f>IF(X189="","",IF(I189="CNC",16*VLOOKUP("Box staples",#REF!,2,FALSE),""))</f>
        <v/>
      </c>
      <c r="AX189" s="91" t="e">
        <f>IF(X189="","",IF(I189="CNC",((((G189+6)+(F189+6))*2)+24)*VLOOKUP("sealing tape",#REF!,2,FALSE),VLOOKUP("Strapping tape",#REF!,2,FALSE)))</f>
        <v>#REF!</v>
      </c>
      <c r="AY189" s="17"/>
      <c r="AZ189" s="17"/>
      <c r="BA189" s="17"/>
      <c r="BB189" s="17"/>
      <c r="BC189" s="96"/>
      <c r="BD189" s="96"/>
      <c r="BE189" s="96"/>
      <c r="BF189" s="96"/>
      <c r="BG189" s="96"/>
      <c r="BH189" s="96"/>
      <c r="BI189" s="96"/>
    </row>
    <row r="190" spans="1:61" x14ac:dyDescent="0.45">
      <c r="A190" s="103" t="s">
        <v>994</v>
      </c>
      <c r="B190" s="17" t="s">
        <v>1251</v>
      </c>
      <c r="C190" s="16">
        <v>44628</v>
      </c>
      <c r="D190" s="17" t="s">
        <v>66</v>
      </c>
      <c r="E190" s="15" t="s">
        <v>5</v>
      </c>
      <c r="F190" s="17">
        <v>30</v>
      </c>
      <c r="G190" s="17">
        <v>40</v>
      </c>
      <c r="H190" s="3" t="s">
        <v>43</v>
      </c>
      <c r="I190" s="88" t="s">
        <v>41</v>
      </c>
      <c r="J190" s="87">
        <v>44636</v>
      </c>
      <c r="K190" s="15">
        <v>850</v>
      </c>
      <c r="L190" s="96">
        <v>45</v>
      </c>
      <c r="M190" s="89">
        <v>132.03</v>
      </c>
      <c r="N190" s="88">
        <v>18</v>
      </c>
      <c r="O190" s="413" t="str">
        <f t="shared" si="1"/>
        <v>30 x 40</v>
      </c>
      <c r="P190" s="18" t="str">
        <f t="shared" si="2"/>
        <v>32 x 42</v>
      </c>
      <c r="Q190" s="91" t="str">
        <f t="shared" si="3"/>
        <v>N/A</v>
      </c>
      <c r="R190" s="18" t="str">
        <f t="shared" si="4"/>
        <v>48 x 39 x 6</v>
      </c>
      <c r="S190" s="18">
        <v>48</v>
      </c>
      <c r="T190" s="18">
        <v>39</v>
      </c>
      <c r="U190" s="18">
        <v>6</v>
      </c>
      <c r="V190" s="18">
        <f t="shared" si="47"/>
        <v>129</v>
      </c>
      <c r="W190" s="287">
        <f t="shared" si="51"/>
        <v>2.9340000000000002</v>
      </c>
      <c r="X190" s="287" t="str">
        <f t="shared" si="52"/>
        <v>Yes</v>
      </c>
      <c r="Y190" s="93" t="e">
        <f t="shared" si="53"/>
        <v>#REF!</v>
      </c>
      <c r="Z190" s="288" t="e">
        <f t="shared" si="54"/>
        <v>#REF!</v>
      </c>
      <c r="AA190" s="94" t="e">
        <f t="shared" si="55"/>
        <v>#REF!</v>
      </c>
      <c r="AB190" s="288" t="e">
        <f t="shared" si="56"/>
        <v>#REF!</v>
      </c>
      <c r="AC190" s="91" t="e">
        <f>IF(X190="","",IF(D190="2 3D",((F190-0.5)*2+(G190-0.5)*2)*VLOOKUP("3D base",#REF!,2,FALSE),IF(D190="3 Canv", IF(E190="Roll",0,ROUND(SUM(F190:G190)*2,0)),0)*VLOOKUP("Stretcher Bar",#REF!,2,FALSE)))</f>
        <v>#REF!</v>
      </c>
      <c r="AD190" s="91" t="e">
        <f>IF(X190="","",IF(E190="Roll",0,IF(D190="2 3D",(SUM(F190:G190)*2)*VLOOKUP("3D epoxy",#REF!,2,FALSE),IF(D190="3 Canv",VLOOKUP("Wood glue",#REF!,2,FALSE),""))))</f>
        <v>#REF!</v>
      </c>
      <c r="AE190" s="91" t="e">
        <f>IF(D190="3 Canv",(((F190+5)*(G190+5)))*VLOOKUP("Canvas",#REF!,2,FALSE),IF(D190="2 3D",(((F190)*(G190)))*VLOOKUP("Dibond",#REF!,2,FALSE),""))</f>
        <v>#REF!</v>
      </c>
      <c r="AF190" s="91" t="e">
        <f>IF(D190="2 3D",F190*G190*VLOOKUP("3D ink",#REF!,2,FALSE),IF(D190="3 Canv",F190*G190*VLOOKUP("Canvas ink",#REF!,2,FALSE),""))</f>
        <v>#REF!</v>
      </c>
      <c r="AG190" s="91" t="e">
        <f>IF(D190="3 Canv",IF(E190="Roll","",ROUNDUP((SUM(F190:G190)*2)/3,"")*VLOOKUP("Staples",#REF!,2,FALSE)),"")</f>
        <v>#VALUE!</v>
      </c>
      <c r="AH190" s="91" t="e">
        <f>IF(AF190="","",(SUM(F190:G190)*2)*VLOOKUP(E190,#REF!,2,FALSE))</f>
        <v>#REF!</v>
      </c>
      <c r="AI190" s="18">
        <f t="shared" si="57"/>
        <v>44</v>
      </c>
      <c r="AJ190" s="91" t="e">
        <f>IF(AI190="","",AI190*VLOOKUP("Staples",#REF!,2,FALSE))</f>
        <v>#REF!</v>
      </c>
      <c r="AK190" s="18" t="e">
        <f t="shared" si="58"/>
        <v>#REF!</v>
      </c>
      <c r="AL190" s="91" t="e">
        <f>IF(AK190="","",AK190*VLOOKUP("Frame screw",#REF!,2,FALSE))</f>
        <v>#REF!</v>
      </c>
      <c r="AM190" s="18" t="e">
        <f t="shared" si="59"/>
        <v>#REF!</v>
      </c>
      <c r="AN190" s="91" t="e">
        <f>IF(AM190="","",AM190*VLOOKUP("D ring",#REF!,2,FALSE))</f>
        <v>#REF!</v>
      </c>
      <c r="AO190" s="18" t="e">
        <f t="shared" si="60"/>
        <v>#REF!</v>
      </c>
      <c r="AP190" s="91" t="e">
        <f>IF(AO190="","",IF(G190&gt;59,AO190* VLOOKUP("8 wire",#REF!,2,FALSE)*2,IF(G190&gt;39,AO190* VLOOKUP("8 wire",#REF!,2,FALSE),AO190* VLOOKUP("6 wire",#REF!,2,FALSE))))</f>
        <v>#REF!</v>
      </c>
      <c r="AQ190" s="18">
        <f t="shared" si="61"/>
        <v>4</v>
      </c>
      <c r="AR190" s="18" t="e">
        <f>IF(AQ190="","",AQ190*VLOOKUP("Pads",#REF!,2,FALSE))</f>
        <v>#REF!</v>
      </c>
      <c r="AS190" s="18">
        <f t="shared" si="62"/>
        <v>1</v>
      </c>
      <c r="AT190" s="91" t="e">
        <f>IF(AS190="","",AS190*VLOOKUP("4 mil bag",#REF!,2,FALSE))</f>
        <v>#REF!</v>
      </c>
      <c r="AU190" s="91">
        <f>IF(X190="","",IF(I190="N/A","",IF(I190="CNC",IF(G190&gt;37,20,10),VLOOKUP(I190,#REF!,2,FALSE))))</f>
        <v>20</v>
      </c>
      <c r="AV190" s="91" t="e">
        <f>IF(X190="","",IF(I190="CNC",VLOOKUP("Glue stick",#REF!,2,FALSE),""))</f>
        <v>#REF!</v>
      </c>
      <c r="AW190" s="91" t="e">
        <f>IF(X190="","",IF(I190="CNC",16*VLOOKUP("Box staples",#REF!,2,FALSE),""))</f>
        <v>#REF!</v>
      </c>
      <c r="AX190" s="18" t="e">
        <f>IF(X190="","",IF(I190="CNC",((((G190+6)+(F190+6))*2)+24)*VLOOKUP("sealing tape",#REF!,2,FALSE),VLOOKUP("Strapping tape",#REF!,2,FALSE)))</f>
        <v>#REF!</v>
      </c>
      <c r="AY190" s="17"/>
      <c r="AZ190" s="17"/>
      <c r="BA190" s="17"/>
      <c r="BB190" s="17"/>
      <c r="BC190" s="96"/>
      <c r="BD190" s="96"/>
      <c r="BE190" s="96"/>
      <c r="BF190" s="96"/>
      <c r="BG190" s="96"/>
      <c r="BH190" s="96"/>
      <c r="BI190" s="96"/>
    </row>
    <row r="191" spans="1:61" x14ac:dyDescent="0.45">
      <c r="A191" s="103" t="s">
        <v>1235</v>
      </c>
      <c r="B191" s="17" t="s">
        <v>1234</v>
      </c>
      <c r="C191" s="16">
        <v>44637</v>
      </c>
      <c r="D191" s="17" t="s">
        <v>66</v>
      </c>
      <c r="E191" s="15" t="s">
        <v>558</v>
      </c>
      <c r="F191" s="17">
        <v>20</v>
      </c>
      <c r="G191" s="17">
        <v>24</v>
      </c>
      <c r="H191" s="3" t="s">
        <v>43</v>
      </c>
      <c r="I191" s="88" t="s">
        <v>84</v>
      </c>
      <c r="J191" s="87">
        <v>44637</v>
      </c>
      <c r="K191" s="15">
        <v>238</v>
      </c>
      <c r="L191" s="96">
        <v>15</v>
      </c>
      <c r="M191" s="89">
        <v>12.95</v>
      </c>
      <c r="N191" s="88">
        <v>2</v>
      </c>
      <c r="O191" s="413" t="str">
        <f t="shared" si="1"/>
        <v>20 x 24</v>
      </c>
      <c r="P191" s="18" t="str">
        <f t="shared" si="2"/>
        <v>N/A</v>
      </c>
      <c r="Q191" s="91">
        <f t="shared" si="3"/>
        <v>2.85</v>
      </c>
      <c r="R191" s="18" t="str">
        <f t="shared" si="4"/>
        <v>37 x 3 x 3</v>
      </c>
      <c r="S191" s="18">
        <v>37</v>
      </c>
      <c r="T191" s="18">
        <v>3</v>
      </c>
      <c r="U191" s="18">
        <v>3</v>
      </c>
      <c r="V191" s="90">
        <f t="shared" si="47"/>
        <v>49</v>
      </c>
      <c r="W191" s="287">
        <f t="shared" si="51"/>
        <v>0.86333333333333329</v>
      </c>
      <c r="X191" s="287" t="str">
        <f t="shared" si="52"/>
        <v>Yes</v>
      </c>
      <c r="Y191" s="93" t="e">
        <f t="shared" si="53"/>
        <v>#REF!</v>
      </c>
      <c r="Z191" s="288" t="e">
        <f t="shared" si="54"/>
        <v>#REF!</v>
      </c>
      <c r="AA191" s="94" t="e">
        <f t="shared" si="55"/>
        <v>#REF!</v>
      </c>
      <c r="AB191" s="288" t="e">
        <f t="shared" si="56"/>
        <v>#REF!</v>
      </c>
      <c r="AC191" s="91" t="e">
        <f>IF(X191="","",IF(D191="2 3D",((F191-0.5)*2+(G191-0.5)*2)*VLOOKUP("3D base",#REF!,2,FALSE),IF(D191="3 Canv", IF(E191="Roll",0,ROUND(SUM(F191:G191)*2,0)),0)*VLOOKUP("Stretcher Bar",#REF!,2,FALSE)))</f>
        <v>#REF!</v>
      </c>
      <c r="AD191" s="91">
        <f>IF(X191="","",IF(E191="Roll",0,IF(D191="2 3D",(SUM(F191:G191)*2)*VLOOKUP("3D epoxy",#REF!,2,FALSE),IF(D191="3 Canv",VLOOKUP("Wood glue",#REF!,2,FALSE),""))))</f>
        <v>0</v>
      </c>
      <c r="AE191" s="91" t="e">
        <f>IF(D191="3 Canv",(((F191+5)*(G191+5)))*VLOOKUP("Canvas",#REF!,2,FALSE),IF(D191="2 3D",(((F191)*(G191)))*VLOOKUP("Dibond",#REF!,2,FALSE),""))</f>
        <v>#REF!</v>
      </c>
      <c r="AF191" s="91" t="e">
        <f>IF(D191="2 3D",F191*G191*VLOOKUP("3D ink",#REF!,2,FALSE),IF(D191="3 Canv",F191*G191*VLOOKUP("Canvas ink",#REF!,2,FALSE),""))</f>
        <v>#REF!</v>
      </c>
      <c r="AG191" s="91" t="str">
        <f>IF(D191="3 Canv",IF(E191="Roll","",ROUNDUP((SUM(F191:G191)*2)/3,"")*VLOOKUP("Staples",#REF!,2,FALSE)),"")</f>
        <v/>
      </c>
      <c r="AH191" s="91" t="e">
        <f>IF(AF191="","",(SUM(F191:G191)*2)*VLOOKUP(E191,#REF!,2,FALSE))</f>
        <v>#REF!</v>
      </c>
      <c r="AI191" s="18" t="str">
        <f t="shared" si="57"/>
        <v/>
      </c>
      <c r="AJ191" s="91" t="str">
        <f>IF(AI191="","",AI191*VLOOKUP("Staples",#REF!,2,FALSE))</f>
        <v/>
      </c>
      <c r="AK191" s="18" t="str">
        <f t="shared" si="58"/>
        <v/>
      </c>
      <c r="AL191" s="91" t="str">
        <f>IF(AK191="","",AK191*VLOOKUP("Frame screw",#REF!,2,FALSE))</f>
        <v/>
      </c>
      <c r="AM191" s="18" t="e">
        <f t="shared" si="59"/>
        <v>#REF!</v>
      </c>
      <c r="AN191" s="91" t="e">
        <f>IF(AM191="","",AM191*VLOOKUP("D ring",#REF!,2,FALSE))</f>
        <v>#REF!</v>
      </c>
      <c r="AO191" s="18" t="e">
        <f t="shared" si="60"/>
        <v>#REF!</v>
      </c>
      <c r="AP191" s="18" t="e">
        <f>IF(AO191="","",IF(G191&gt;59,AO191* VLOOKUP("8 wire",#REF!,2,FALSE)*2,IF(G191&gt;39,AO191* VLOOKUP("8 wire",#REF!,2,FALSE),AO191* VLOOKUP("6 wire",#REF!,2,FALSE))))</f>
        <v>#REF!</v>
      </c>
      <c r="AQ191" s="18" t="str">
        <f t="shared" si="61"/>
        <v/>
      </c>
      <c r="AR191" s="18" t="str">
        <f>IF(AQ191="","",AQ191*VLOOKUP("Pads",#REF!,2,FALSE))</f>
        <v/>
      </c>
      <c r="AS191" s="18" t="str">
        <f t="shared" si="62"/>
        <v/>
      </c>
      <c r="AT191" s="18" t="str">
        <f>IF(AS191="","",AS191*VLOOKUP("4 mil bag",#REF!,2,FALSE))</f>
        <v/>
      </c>
      <c r="AU191" s="91" t="e">
        <f>IF(X191="","",IF(I191="N/A","",IF(I191="CNC",IF(G191&gt;37,20,10),VLOOKUP(I191,#REF!,2,FALSE))))</f>
        <v>#REF!</v>
      </c>
      <c r="AV191" s="18" t="str">
        <f>IF(X191="","",IF(I191="CNC",VLOOKUP("Glue stick",#REF!,2,FALSE),""))</f>
        <v/>
      </c>
      <c r="AW191" s="18" t="str">
        <f>IF(X191="","",IF(I191="CNC",16*VLOOKUP("Box staples",#REF!,2,FALSE),""))</f>
        <v/>
      </c>
      <c r="AX191" s="91" t="e">
        <f>IF(X191="","",IF(I191="CNC",((((G191+6)+(F191+6))*2)+24)*VLOOKUP("sealing tape",#REF!,2,FALSE),VLOOKUP("Strapping tape",#REF!,2,FALSE)))</f>
        <v>#REF!</v>
      </c>
      <c r="AY191" s="17"/>
      <c r="AZ191" s="17"/>
      <c r="BA191" s="17"/>
      <c r="BB191" s="17"/>
      <c r="BC191" s="96"/>
      <c r="BD191" s="96"/>
      <c r="BE191" s="96"/>
      <c r="BF191" s="96"/>
      <c r="BG191" s="96"/>
      <c r="BH191" s="96"/>
      <c r="BI191" s="96"/>
    </row>
    <row r="192" spans="1:61" x14ac:dyDescent="0.45">
      <c r="A192" s="103" t="s">
        <v>1053</v>
      </c>
      <c r="B192" s="17" t="s">
        <v>1255</v>
      </c>
      <c r="C192" s="16">
        <v>44633</v>
      </c>
      <c r="D192" s="17" t="s">
        <v>66</v>
      </c>
      <c r="E192" s="15" t="s">
        <v>558</v>
      </c>
      <c r="F192" s="17">
        <v>36</v>
      </c>
      <c r="G192" s="17">
        <v>48</v>
      </c>
      <c r="H192" s="3" t="s">
        <v>43</v>
      </c>
      <c r="I192" s="88" t="s">
        <v>595</v>
      </c>
      <c r="J192" s="87">
        <v>44637</v>
      </c>
      <c r="K192" s="15">
        <v>550</v>
      </c>
      <c r="L192" s="96">
        <v>30</v>
      </c>
      <c r="M192" s="89">
        <v>24.82</v>
      </c>
      <c r="N192" s="88">
        <v>3</v>
      </c>
      <c r="O192" s="413" t="str">
        <f t="shared" si="1"/>
        <v>36 x 48</v>
      </c>
      <c r="P192" s="18" t="str">
        <f t="shared" si="2"/>
        <v>N/A</v>
      </c>
      <c r="Q192" s="91">
        <f t="shared" si="3"/>
        <v>4.32</v>
      </c>
      <c r="R192" s="18" t="str">
        <f t="shared" si="4"/>
        <v>57 x 3 x 3</v>
      </c>
      <c r="S192" s="18">
        <v>57</v>
      </c>
      <c r="T192" s="18">
        <v>3</v>
      </c>
      <c r="U192" s="18">
        <v>3</v>
      </c>
      <c r="V192" s="90">
        <f t="shared" si="47"/>
        <v>69</v>
      </c>
      <c r="W192" s="287">
        <f t="shared" si="51"/>
        <v>0.82733333333333337</v>
      </c>
      <c r="X192" s="287" t="str">
        <f t="shared" si="52"/>
        <v>Yes</v>
      </c>
      <c r="Y192" s="93" t="e">
        <f t="shared" si="53"/>
        <v>#REF!</v>
      </c>
      <c r="Z192" s="288" t="e">
        <f t="shared" si="54"/>
        <v>#REF!</v>
      </c>
      <c r="AA192" s="94" t="e">
        <f t="shared" si="55"/>
        <v>#REF!</v>
      </c>
      <c r="AB192" s="288" t="e">
        <f t="shared" si="56"/>
        <v>#REF!</v>
      </c>
      <c r="AC192" s="91" t="e">
        <f>IF(X192="","",IF(D192="2 3D",((F192-0.5)*2+(G192-0.5)*2)*VLOOKUP("3D base",#REF!,2,FALSE),IF(D192="3 Canv", IF(E192="Roll",0,ROUND(SUM(F192:G192)*2,0)),0)*VLOOKUP("Stretcher Bar",#REF!,2,FALSE)))</f>
        <v>#REF!</v>
      </c>
      <c r="AD192" s="91">
        <f>IF(X192="","",IF(E192="Roll",0,IF(D192="2 3D",(SUM(F192:G192)*2)*VLOOKUP("3D epoxy",#REF!,2,FALSE),IF(D192="3 Canv",VLOOKUP("Wood glue",#REF!,2,FALSE),""))))</f>
        <v>0</v>
      </c>
      <c r="AE192" s="91" t="e">
        <f>IF(D192="3 Canv",(((F192+5)*(G192+5)))*VLOOKUP("Canvas",#REF!,2,FALSE),IF(D192="2 3D",(((F192)*(G192)))*VLOOKUP("Dibond",#REF!,2,FALSE),""))</f>
        <v>#REF!</v>
      </c>
      <c r="AF192" s="91" t="e">
        <f>IF(D192="2 3D",F192*G192*VLOOKUP("3D ink",#REF!,2,FALSE),IF(D192="3 Canv",F192*G192*VLOOKUP("Canvas ink",#REF!,2,FALSE),""))</f>
        <v>#REF!</v>
      </c>
      <c r="AG192" s="91" t="str">
        <f>IF(D192="3 Canv",IF(E192="Roll","",ROUNDUP((SUM(F192:G192)*2)/3,"")*VLOOKUP("Staples",#REF!,2,FALSE)),"")</f>
        <v/>
      </c>
      <c r="AH192" s="91" t="e">
        <f>IF(AF192="","",(SUM(F192:G192)*2)*VLOOKUP(E192,#REF!,2,FALSE))</f>
        <v>#REF!</v>
      </c>
      <c r="AI192" s="18" t="str">
        <f t="shared" si="57"/>
        <v/>
      </c>
      <c r="AJ192" s="91" t="str">
        <f>IF(AI192="","",AI192*VLOOKUP("Staples",#REF!,2,FALSE))</f>
        <v/>
      </c>
      <c r="AK192" s="18" t="str">
        <f t="shared" si="58"/>
        <v/>
      </c>
      <c r="AL192" s="91" t="str">
        <f>IF(AK192="","",AK192*VLOOKUP("Frame screw",#REF!,2,FALSE))</f>
        <v/>
      </c>
      <c r="AM192" s="18" t="e">
        <f t="shared" si="59"/>
        <v>#REF!</v>
      </c>
      <c r="AN192" s="91" t="e">
        <f>IF(AM192="","",AM192*VLOOKUP("D ring",#REF!,2,FALSE))</f>
        <v>#REF!</v>
      </c>
      <c r="AO192" s="18" t="e">
        <f t="shared" si="60"/>
        <v>#REF!</v>
      </c>
      <c r="AP192" s="18" t="e">
        <f>IF(AO192="","",IF(G192&gt;59,AO192* VLOOKUP("8 wire",#REF!,2,FALSE)*2,IF(G192&gt;39,AO192* VLOOKUP("8 wire",#REF!,2,FALSE),AO192* VLOOKUP("6 wire",#REF!,2,FALSE))))</f>
        <v>#REF!</v>
      </c>
      <c r="AQ192" s="18" t="str">
        <f t="shared" si="61"/>
        <v/>
      </c>
      <c r="AR192" s="18" t="str">
        <f>IF(AQ192="","",AQ192*VLOOKUP("Pads",#REF!,2,FALSE))</f>
        <v/>
      </c>
      <c r="AS192" s="18" t="str">
        <f t="shared" si="62"/>
        <v/>
      </c>
      <c r="AT192" s="18" t="str">
        <f>IF(AS192="","",AS192*VLOOKUP("4 mil bag",#REF!,2,FALSE))</f>
        <v/>
      </c>
      <c r="AU192" s="91" t="e">
        <f>IF(X192="","",IF(I192="N/A","",IF(I192="CNC",IF(G192&gt;37,20,10),VLOOKUP(I192,#REF!,2,FALSE))))</f>
        <v>#REF!</v>
      </c>
      <c r="AV192" s="18" t="str">
        <f>IF(X192="","",IF(I192="CNC",VLOOKUP("Glue stick",#REF!,2,FALSE),""))</f>
        <v/>
      </c>
      <c r="AW192" s="18" t="str">
        <f>IF(X192="","",IF(I192="CNC",16*VLOOKUP("Box staples",#REF!,2,FALSE),""))</f>
        <v/>
      </c>
      <c r="AX192" s="91" t="e">
        <f>IF(X192="","",IF(I192="CNC",((((G192+6)+(F192+6))*2)+24)*VLOOKUP("sealing tape",#REF!,2,FALSE),VLOOKUP("Strapping tape",#REF!,2,FALSE)))</f>
        <v>#REF!</v>
      </c>
      <c r="AY192" s="17"/>
      <c r="AZ192" s="17"/>
      <c r="BA192" s="17"/>
      <c r="BB192" s="17"/>
      <c r="BC192" s="96"/>
      <c r="BD192" s="96"/>
      <c r="BE192" s="96"/>
      <c r="BF192" s="96"/>
      <c r="BG192" s="96"/>
      <c r="BH192" s="96"/>
      <c r="BI192" s="96"/>
    </row>
    <row r="193" spans="1:61" x14ac:dyDescent="0.45">
      <c r="A193" s="103" t="s">
        <v>991</v>
      </c>
      <c r="B193" s="17" t="s">
        <v>1254</v>
      </c>
      <c r="C193" s="16">
        <v>44630</v>
      </c>
      <c r="D193" s="17" t="s">
        <v>66</v>
      </c>
      <c r="E193" s="15" t="s">
        <v>558</v>
      </c>
      <c r="F193" s="17">
        <v>21</v>
      </c>
      <c r="G193" s="17">
        <v>30</v>
      </c>
      <c r="H193" s="3" t="s">
        <v>43</v>
      </c>
      <c r="I193" s="88" t="s">
        <v>84</v>
      </c>
      <c r="J193" s="87">
        <v>44637</v>
      </c>
      <c r="K193" s="15">
        <v>310</v>
      </c>
      <c r="L193" s="96">
        <v>20</v>
      </c>
      <c r="M193" s="89">
        <v>10.210000000000001</v>
      </c>
      <c r="N193" s="88">
        <v>2</v>
      </c>
      <c r="O193" s="413" t="str">
        <f t="shared" si="1"/>
        <v>21 x 30</v>
      </c>
      <c r="P193" s="18" t="str">
        <f t="shared" si="2"/>
        <v>N/A</v>
      </c>
      <c r="Q193" s="91">
        <f t="shared" si="3"/>
        <v>2.85</v>
      </c>
      <c r="R193" s="18" t="str">
        <f t="shared" si="4"/>
        <v>37 x 3 x 3</v>
      </c>
      <c r="S193" s="18">
        <v>37</v>
      </c>
      <c r="T193" s="18">
        <v>3</v>
      </c>
      <c r="U193" s="18">
        <v>3</v>
      </c>
      <c r="V193" s="90">
        <f t="shared" si="47"/>
        <v>49</v>
      </c>
      <c r="W193" s="287">
        <f t="shared" si="51"/>
        <v>0.51050000000000006</v>
      </c>
      <c r="X193" s="287" t="str">
        <f t="shared" si="52"/>
        <v>Yes</v>
      </c>
      <c r="Y193" s="93" t="e">
        <f t="shared" si="53"/>
        <v>#REF!</v>
      </c>
      <c r="Z193" s="288" t="e">
        <f t="shared" si="54"/>
        <v>#REF!</v>
      </c>
      <c r="AA193" s="94" t="e">
        <f t="shared" si="55"/>
        <v>#REF!</v>
      </c>
      <c r="AB193" s="288" t="e">
        <f t="shared" si="56"/>
        <v>#REF!</v>
      </c>
      <c r="AC193" s="91" t="e">
        <f>IF(X193="","",IF(D193="2 3D",((F193-0.5)*2+(G193-0.5)*2)*VLOOKUP("3D base",#REF!,2,FALSE),IF(D193="3 Canv", IF(E193="Roll",0,ROUND(SUM(F193:G193)*2,0)),0)*VLOOKUP("Stretcher Bar",#REF!,2,FALSE)))</f>
        <v>#REF!</v>
      </c>
      <c r="AD193" s="91">
        <f>IF(X193="","",IF(E193="Roll",0,IF(D193="2 3D",(SUM(F193:G193)*2)*VLOOKUP("3D epoxy",#REF!,2,FALSE),IF(D193="3 Canv",VLOOKUP("Wood glue",#REF!,2,FALSE),""))))</f>
        <v>0</v>
      </c>
      <c r="AE193" s="91" t="e">
        <f>IF(D193="3 Canv",(((F193+5)*(G193+5)))*VLOOKUP("Canvas",#REF!,2,FALSE),IF(D193="2 3D",(((F193)*(G193)))*VLOOKUP("Dibond",#REF!,2,FALSE),""))</f>
        <v>#REF!</v>
      </c>
      <c r="AF193" s="91" t="e">
        <f>IF(D193="2 3D",F193*G193*VLOOKUP("3D ink",#REF!,2,FALSE),IF(D193="3 Canv",F193*G193*VLOOKUP("Canvas ink",#REF!,2,FALSE),""))</f>
        <v>#REF!</v>
      </c>
      <c r="AG193" s="91" t="str">
        <f>IF(D193="3 Canv",IF(E193="Roll","",ROUNDUP((SUM(F193:G193)*2)/3,"")*VLOOKUP("Staples",#REF!,2,FALSE)),"")</f>
        <v/>
      </c>
      <c r="AH193" s="91" t="e">
        <f>IF(AF193="","",(SUM(F193:G193)*2)*VLOOKUP(E193,#REF!,2,FALSE))</f>
        <v>#REF!</v>
      </c>
      <c r="AI193" s="18" t="str">
        <f t="shared" si="57"/>
        <v/>
      </c>
      <c r="AJ193" s="91" t="str">
        <f>IF(AI193="","",AI193*VLOOKUP("Staples",#REF!,2,FALSE))</f>
        <v/>
      </c>
      <c r="AK193" s="18" t="str">
        <f t="shared" si="58"/>
        <v/>
      </c>
      <c r="AL193" s="91" t="str">
        <f>IF(AK193="","",AK193*VLOOKUP("Frame screw",#REF!,2,FALSE))</f>
        <v/>
      </c>
      <c r="AM193" s="18" t="e">
        <f t="shared" si="59"/>
        <v>#REF!</v>
      </c>
      <c r="AN193" s="91" t="e">
        <f>IF(AM193="","",AM193*VLOOKUP("D ring",#REF!,2,FALSE))</f>
        <v>#REF!</v>
      </c>
      <c r="AO193" s="18" t="e">
        <f t="shared" si="60"/>
        <v>#REF!</v>
      </c>
      <c r="AP193" s="18" t="e">
        <f>IF(AO193="","",IF(G193&gt;59,AO193* VLOOKUP("8 wire",#REF!,2,FALSE)*2,IF(G193&gt;39,AO193* VLOOKUP("8 wire",#REF!,2,FALSE),AO193* VLOOKUP("6 wire",#REF!,2,FALSE))))</f>
        <v>#REF!</v>
      </c>
      <c r="AQ193" s="18" t="str">
        <f t="shared" si="61"/>
        <v/>
      </c>
      <c r="AR193" s="18" t="str">
        <f>IF(AQ193="","",AQ193*VLOOKUP("Pads",#REF!,2,FALSE))</f>
        <v/>
      </c>
      <c r="AS193" s="18" t="str">
        <f t="shared" si="62"/>
        <v/>
      </c>
      <c r="AT193" s="18" t="str">
        <f>IF(AS193="","",AS193*VLOOKUP("4 mil bag",#REF!,2,FALSE))</f>
        <v/>
      </c>
      <c r="AU193" s="91" t="e">
        <f>IF(X193="","",IF(I193="N/A","",IF(I193="CNC",IF(G193&gt;37,20,10),VLOOKUP(I193,#REF!,2,FALSE))))</f>
        <v>#REF!</v>
      </c>
      <c r="AV193" s="18" t="str">
        <f>IF(X193="","",IF(I193="CNC",VLOOKUP("Glue stick",#REF!,2,FALSE),""))</f>
        <v/>
      </c>
      <c r="AW193" s="18" t="str">
        <f>IF(X193="","",IF(I193="CNC",16*VLOOKUP("Box staples",#REF!,2,FALSE),""))</f>
        <v/>
      </c>
      <c r="AX193" s="91" t="e">
        <f>IF(X193="","",IF(I193="CNC",((((G193+6)+(F193+6))*2)+24)*VLOOKUP("sealing tape",#REF!,2,FALSE),VLOOKUP("Strapping tape",#REF!,2,FALSE)))</f>
        <v>#REF!</v>
      </c>
      <c r="AY193" s="17"/>
      <c r="AZ193" s="17"/>
      <c r="BA193" s="17"/>
      <c r="BB193" s="17"/>
      <c r="BC193" s="96"/>
      <c r="BD193" s="96"/>
      <c r="BE193" s="96"/>
      <c r="BF193" s="96"/>
      <c r="BG193" s="96"/>
      <c r="BH193" s="96"/>
      <c r="BI193" s="96"/>
    </row>
    <row r="194" spans="1:61" x14ac:dyDescent="0.45">
      <c r="A194" s="103" t="s">
        <v>1033</v>
      </c>
      <c r="B194" s="17" t="s">
        <v>2283</v>
      </c>
      <c r="C194" s="16">
        <v>44629</v>
      </c>
      <c r="D194" s="17" t="s">
        <v>66</v>
      </c>
      <c r="E194" s="15" t="s">
        <v>558</v>
      </c>
      <c r="F194" s="17">
        <v>25</v>
      </c>
      <c r="G194" s="17">
        <v>31</v>
      </c>
      <c r="H194" s="3" t="s">
        <v>43</v>
      </c>
      <c r="I194" s="88" t="s">
        <v>84</v>
      </c>
      <c r="J194" s="87">
        <v>44637</v>
      </c>
      <c r="K194" s="15">
        <v>330</v>
      </c>
      <c r="L194" s="96">
        <v>0</v>
      </c>
      <c r="M194" s="89">
        <v>36.99</v>
      </c>
      <c r="N194" s="88">
        <v>2</v>
      </c>
      <c r="O194" s="413" t="str">
        <f t="shared" si="1"/>
        <v>25 x 31</v>
      </c>
      <c r="P194" s="18" t="str">
        <f t="shared" si="2"/>
        <v>N/A</v>
      </c>
      <c r="Q194" s="91">
        <f t="shared" si="3"/>
        <v>2.85</v>
      </c>
      <c r="R194" s="18" t="str">
        <f t="shared" si="4"/>
        <v>37 x 3 x 3</v>
      </c>
      <c r="S194" s="18">
        <v>37</v>
      </c>
      <c r="T194" s="18">
        <v>3</v>
      </c>
      <c r="U194" s="18">
        <v>3</v>
      </c>
      <c r="V194" s="90">
        <f t="shared" si="47"/>
        <v>49</v>
      </c>
      <c r="W194" s="287" t="str">
        <f t="shared" si="51"/>
        <v/>
      </c>
      <c r="X194" s="287" t="str">
        <f t="shared" si="52"/>
        <v>Yes</v>
      </c>
      <c r="Y194" s="93" t="e">
        <f t="shared" si="53"/>
        <v>#REF!</v>
      </c>
      <c r="Z194" s="288" t="e">
        <f t="shared" si="54"/>
        <v>#REF!</v>
      </c>
      <c r="AA194" s="94" t="e">
        <f t="shared" si="55"/>
        <v>#REF!</v>
      </c>
      <c r="AB194" s="288" t="e">
        <f t="shared" si="56"/>
        <v>#REF!</v>
      </c>
      <c r="AC194" s="91" t="e">
        <f>IF(X194="","",IF(D194="2 3D",((F194-0.5)*2+(G194-0.5)*2)*VLOOKUP("3D base",#REF!,2,FALSE),IF(D194="3 Canv", IF(E194="Roll",0,ROUND(SUM(F194:G194)*2,0)),0)*VLOOKUP("Stretcher Bar",#REF!,2,FALSE)))</f>
        <v>#REF!</v>
      </c>
      <c r="AD194" s="91">
        <f>IF(X194="","",IF(E194="Roll",0,IF(D194="2 3D",(SUM(F194:G194)*2)*VLOOKUP("3D epoxy",#REF!,2,FALSE),IF(D194="3 Canv",VLOOKUP("Wood glue",#REF!,2,FALSE),""))))</f>
        <v>0</v>
      </c>
      <c r="AE194" s="91" t="e">
        <f>IF(D194="3 Canv",(((F194+5)*(G194+5)))*VLOOKUP("Canvas",#REF!,2,FALSE),IF(D194="2 3D",(((F194)*(G194)))*VLOOKUP("Dibond",#REF!,2,FALSE),""))</f>
        <v>#REF!</v>
      </c>
      <c r="AF194" s="91" t="e">
        <f>IF(D194="2 3D",F194*G194*VLOOKUP("3D ink",#REF!,2,FALSE),IF(D194="3 Canv",F194*G194*VLOOKUP("Canvas ink",#REF!,2,FALSE),""))</f>
        <v>#REF!</v>
      </c>
      <c r="AG194" s="91" t="str">
        <f>IF(D194="3 Canv",IF(E194="Roll","",ROUNDUP((SUM(F194:G194)*2)/3,"")*VLOOKUP("Staples",#REF!,2,FALSE)),"")</f>
        <v/>
      </c>
      <c r="AH194" s="91" t="e">
        <f>IF(AF194="","",(SUM(F194:G194)*2)*VLOOKUP(E194,#REF!,2,FALSE))</f>
        <v>#REF!</v>
      </c>
      <c r="AI194" s="18" t="str">
        <f t="shared" si="57"/>
        <v/>
      </c>
      <c r="AJ194" s="91" t="str">
        <f>IF(AI194="","",AI194*VLOOKUP("Staples",#REF!,2,FALSE))</f>
        <v/>
      </c>
      <c r="AK194" s="18" t="str">
        <f t="shared" si="58"/>
        <v/>
      </c>
      <c r="AL194" s="91" t="str">
        <f>IF(AK194="","",AK194*VLOOKUP("Frame screw",#REF!,2,FALSE))</f>
        <v/>
      </c>
      <c r="AM194" s="18" t="e">
        <f t="shared" si="59"/>
        <v>#REF!</v>
      </c>
      <c r="AN194" s="91" t="e">
        <f>IF(AM194="","",AM194*VLOOKUP("D ring",#REF!,2,FALSE))</f>
        <v>#REF!</v>
      </c>
      <c r="AO194" s="18" t="e">
        <f t="shared" si="60"/>
        <v>#REF!</v>
      </c>
      <c r="AP194" s="18" t="e">
        <f>IF(AO194="","",IF(G194&gt;59,AO194* VLOOKUP("8 wire",#REF!,2,FALSE)*2,IF(G194&gt;39,AO194* VLOOKUP("8 wire",#REF!,2,FALSE),AO194* VLOOKUP("6 wire",#REF!,2,FALSE))))</f>
        <v>#REF!</v>
      </c>
      <c r="AQ194" s="18" t="str">
        <f t="shared" si="61"/>
        <v/>
      </c>
      <c r="AR194" s="18" t="str">
        <f>IF(AQ194="","",AQ194*VLOOKUP("Pads",#REF!,2,FALSE))</f>
        <v/>
      </c>
      <c r="AS194" s="18" t="str">
        <f t="shared" si="62"/>
        <v/>
      </c>
      <c r="AT194" s="18" t="str">
        <f>IF(AS194="","",AS194*VLOOKUP("4 mil bag",#REF!,2,FALSE))</f>
        <v/>
      </c>
      <c r="AU194" s="91" t="e">
        <f>IF(X194="","",IF(I194="N/A","",IF(I194="CNC",IF(G194&gt;37,20,10),VLOOKUP(I194,#REF!,2,FALSE))))</f>
        <v>#REF!</v>
      </c>
      <c r="AV194" s="18" t="str">
        <f>IF(X194="","",IF(I194="CNC",VLOOKUP("Glue stick",#REF!,2,FALSE),""))</f>
        <v/>
      </c>
      <c r="AW194" s="18" t="str">
        <f>IF(X194="","",IF(I194="CNC",16*VLOOKUP("Box staples",#REF!,2,FALSE),""))</f>
        <v/>
      </c>
      <c r="AX194" s="91" t="e">
        <f>IF(X194="","",IF(I194="CNC",((((G194+6)+(F194+6))*2)+24)*VLOOKUP("sealing tape",#REF!,2,FALSE),VLOOKUP("Strapping tape",#REF!,2,FALSE)))</f>
        <v>#REF!</v>
      </c>
      <c r="AY194" s="17"/>
      <c r="AZ194" s="17"/>
      <c r="BA194" s="17"/>
      <c r="BB194" s="17"/>
      <c r="BC194" s="96"/>
      <c r="BD194" s="96"/>
      <c r="BE194" s="96"/>
      <c r="BF194" s="96"/>
      <c r="BG194" s="96"/>
      <c r="BH194" s="96"/>
      <c r="BI194" s="96"/>
    </row>
    <row r="195" spans="1:61" x14ac:dyDescent="0.45">
      <c r="A195" s="103" t="s">
        <v>610</v>
      </c>
      <c r="B195" s="17" t="s">
        <v>1253</v>
      </c>
      <c r="C195" s="16">
        <v>44636</v>
      </c>
      <c r="D195" s="17" t="s">
        <v>66</v>
      </c>
      <c r="E195" s="15" t="s">
        <v>50</v>
      </c>
      <c r="F195" s="17">
        <v>15</v>
      </c>
      <c r="G195" s="17">
        <v>20</v>
      </c>
      <c r="H195" s="3" t="s">
        <v>43</v>
      </c>
      <c r="I195" s="88" t="s">
        <v>41</v>
      </c>
      <c r="J195" s="87">
        <v>44637</v>
      </c>
      <c r="K195" s="15">
        <v>285.60000000000002</v>
      </c>
      <c r="L195" s="96">
        <v>0</v>
      </c>
      <c r="M195" s="89">
        <v>12.95</v>
      </c>
      <c r="N195" s="88">
        <v>7</v>
      </c>
      <c r="O195" s="413" t="str">
        <f t="shared" si="1"/>
        <v>15 x 20</v>
      </c>
      <c r="P195" s="18" t="str">
        <f t="shared" si="2"/>
        <v>15 x 20</v>
      </c>
      <c r="Q195" s="91" t="str">
        <f t="shared" si="3"/>
        <v>N/A</v>
      </c>
      <c r="R195" s="18" t="str">
        <f t="shared" si="4"/>
        <v>26 x 21 x 6</v>
      </c>
      <c r="S195" s="18">
        <v>26</v>
      </c>
      <c r="T195" s="18">
        <v>21</v>
      </c>
      <c r="U195" s="18">
        <v>6</v>
      </c>
      <c r="V195" s="18">
        <f t="shared" si="47"/>
        <v>79</v>
      </c>
      <c r="W195" s="287" t="str">
        <f t="shared" si="51"/>
        <v/>
      </c>
      <c r="X195" s="287" t="str">
        <f t="shared" si="52"/>
        <v>Yes</v>
      </c>
      <c r="Y195" s="93" t="e">
        <f t="shared" si="53"/>
        <v>#REF!</v>
      </c>
      <c r="Z195" s="288" t="e">
        <f t="shared" si="54"/>
        <v>#REF!</v>
      </c>
      <c r="AA195" s="94" t="e">
        <f t="shared" si="55"/>
        <v>#REF!</v>
      </c>
      <c r="AB195" s="288" t="e">
        <f t="shared" si="56"/>
        <v>#REF!</v>
      </c>
      <c r="AC195" s="91" t="e">
        <f>IF(X195="","",IF(D195="2 3D",((F195-0.5)*2+(G195-0.5)*2)*VLOOKUP("3D base",#REF!,2,FALSE),IF(D195="3 Canv", IF(E195="Roll",0,ROUND(SUM(F195:G195)*2,0)),0)*VLOOKUP("Stretcher Bar",#REF!,2,FALSE)))</f>
        <v>#REF!</v>
      </c>
      <c r="AD195" s="91" t="e">
        <f>IF(X195="","",IF(E195="Roll",0,IF(D195="2 3D",(SUM(F195:G195)*2)*VLOOKUP("3D epoxy",#REF!,2,FALSE),IF(D195="3 Canv",VLOOKUP("Wood glue",#REF!,2,FALSE),""))))</f>
        <v>#REF!</v>
      </c>
      <c r="AE195" s="91" t="e">
        <f>IF(D195="3 Canv",(((F195+5)*(G195+5)))*VLOOKUP("Canvas",#REF!,2,FALSE),IF(D195="2 3D",(((F195)*(G195)))*VLOOKUP("Dibond",#REF!,2,FALSE),""))</f>
        <v>#REF!</v>
      </c>
      <c r="AF195" s="91" t="e">
        <f>IF(D195="2 3D",F195*G195*VLOOKUP("3D ink",#REF!,2,FALSE),IF(D195="3 Canv",F195*G195*VLOOKUP("Canvas ink",#REF!,2,FALSE),""))</f>
        <v>#REF!</v>
      </c>
      <c r="AG195" s="91" t="e">
        <f>IF(D195="3 Canv",IF(E195="Roll","",ROUNDUP((SUM(F195:G195)*2)/3,"")*VLOOKUP("Staples",#REF!,2,FALSE)),"")</f>
        <v>#VALUE!</v>
      </c>
      <c r="AH195" s="91" t="e">
        <f>IF(AF195="","",(SUM(F195:G195)*2)*VLOOKUP(E195,#REF!,2,FALSE))</f>
        <v>#REF!</v>
      </c>
      <c r="AI195" s="18">
        <f t="shared" si="57"/>
        <v>16</v>
      </c>
      <c r="AJ195" s="91" t="e">
        <f>IF(AI195="","",AI195*VLOOKUP("Staples",#REF!,2,FALSE))</f>
        <v>#REF!</v>
      </c>
      <c r="AK195" s="18" t="e">
        <f t="shared" si="58"/>
        <v>#REF!</v>
      </c>
      <c r="AL195" s="91" t="e">
        <f>IF(AK195="","",AK195*VLOOKUP("Frame screw",#REF!,2,FALSE))</f>
        <v>#REF!</v>
      </c>
      <c r="AM195" s="18" t="e">
        <f t="shared" si="59"/>
        <v>#REF!</v>
      </c>
      <c r="AN195" s="91" t="e">
        <f>IF(AM195="","",AM195*VLOOKUP("D ring",#REF!,2,FALSE))</f>
        <v>#REF!</v>
      </c>
      <c r="AO195" s="18" t="e">
        <f t="shared" si="60"/>
        <v>#REF!</v>
      </c>
      <c r="AP195" s="91" t="e">
        <f>IF(AO195="","",IF(G195&gt;59,AO195* VLOOKUP("8 wire",#REF!,2,FALSE)*2,IF(G195&gt;39,AO195* VLOOKUP("8 wire",#REF!,2,FALSE),AO195* VLOOKUP("6 wire",#REF!,2,FALSE))))</f>
        <v>#REF!</v>
      </c>
      <c r="AQ195" s="18">
        <f t="shared" si="61"/>
        <v>4</v>
      </c>
      <c r="AR195" s="18" t="e">
        <f>IF(AQ195="","",AQ195*VLOOKUP("Pads",#REF!,2,FALSE))</f>
        <v>#REF!</v>
      </c>
      <c r="AS195" s="18">
        <f t="shared" si="62"/>
        <v>1</v>
      </c>
      <c r="AT195" s="91" t="e">
        <f>IF(AS195="","",AS195*VLOOKUP("4 mil bag",#REF!,2,FALSE))</f>
        <v>#REF!</v>
      </c>
      <c r="AU195" s="91">
        <f>IF(X195="","",IF(I195="N/A","",IF(I195="CNC",IF(G195&gt;37,20,10),VLOOKUP(I195,#REF!,2,FALSE))))</f>
        <v>10</v>
      </c>
      <c r="AV195" s="91" t="e">
        <f>IF(X195="","",IF(I195="CNC",VLOOKUP("Glue stick",#REF!,2,FALSE),""))</f>
        <v>#REF!</v>
      </c>
      <c r="AW195" s="91" t="e">
        <f>IF(X195="","",IF(I195="CNC",16*VLOOKUP("Box staples",#REF!,2,FALSE),""))</f>
        <v>#REF!</v>
      </c>
      <c r="AX195" s="18" t="e">
        <f>IF(X195="","",IF(I195="CNC",((((G195+6)+(F195+6))*2)+24)*VLOOKUP("sealing tape",#REF!,2,FALSE),VLOOKUP("Strapping tape",#REF!,2,FALSE)))</f>
        <v>#REF!</v>
      </c>
      <c r="AY195" s="17"/>
      <c r="AZ195" s="17"/>
      <c r="BA195" s="17"/>
      <c r="BB195" s="17"/>
      <c r="BC195" s="96"/>
      <c r="BD195" s="96"/>
      <c r="BE195" s="96"/>
      <c r="BF195" s="96"/>
      <c r="BG195" s="96"/>
      <c r="BH195" s="96"/>
      <c r="BI195" s="96"/>
    </row>
    <row r="196" spans="1:61" x14ac:dyDescent="0.45">
      <c r="A196" s="103" t="s">
        <v>1261</v>
      </c>
      <c r="B196" s="17" t="s">
        <v>1260</v>
      </c>
      <c r="C196" s="16">
        <v>44630</v>
      </c>
      <c r="D196" s="17" t="s">
        <v>66</v>
      </c>
      <c r="E196" s="15" t="s">
        <v>1</v>
      </c>
      <c r="F196" s="17">
        <v>31</v>
      </c>
      <c r="G196" s="17">
        <v>39</v>
      </c>
      <c r="H196" s="3" t="s">
        <v>43</v>
      </c>
      <c r="I196" s="88" t="s">
        <v>41</v>
      </c>
      <c r="J196" s="87">
        <v>44638</v>
      </c>
      <c r="K196" s="15">
        <v>855</v>
      </c>
      <c r="L196" s="96">
        <v>85</v>
      </c>
      <c r="M196" s="89">
        <v>132.03</v>
      </c>
      <c r="N196" s="88">
        <v>19</v>
      </c>
      <c r="O196" s="413" t="str">
        <f t="shared" si="1"/>
        <v>31 x 39</v>
      </c>
      <c r="P196" s="18" t="str">
        <f t="shared" si="2"/>
        <v>33 x 41</v>
      </c>
      <c r="Q196" s="91" t="str">
        <f t="shared" si="3"/>
        <v>N/A</v>
      </c>
      <c r="R196" s="18" t="str">
        <f t="shared" si="4"/>
        <v>47 x 40 x 6</v>
      </c>
      <c r="S196" s="18">
        <v>47</v>
      </c>
      <c r="T196" s="18">
        <v>40</v>
      </c>
      <c r="U196" s="18">
        <v>6</v>
      </c>
      <c r="V196" s="18">
        <f t="shared" si="47"/>
        <v>130</v>
      </c>
      <c r="W196" s="287">
        <f t="shared" si="51"/>
        <v>1.5532941176470589</v>
      </c>
      <c r="X196" s="287" t="str">
        <f t="shared" si="52"/>
        <v>Yes</v>
      </c>
      <c r="Y196" s="93" t="e">
        <f t="shared" si="53"/>
        <v>#REF!</v>
      </c>
      <c r="Z196" s="288" t="e">
        <f t="shared" si="54"/>
        <v>#REF!</v>
      </c>
      <c r="AA196" s="94" t="e">
        <f t="shared" si="55"/>
        <v>#REF!</v>
      </c>
      <c r="AB196" s="288" t="e">
        <f t="shared" si="56"/>
        <v>#REF!</v>
      </c>
      <c r="AC196" s="91" t="e">
        <f>IF(X196="","",IF(D196="2 3D",((F196-0.5)*2+(G196-0.5)*2)*VLOOKUP("3D base",#REF!,2,FALSE),IF(D196="3 Canv", IF(E196="Roll",0,ROUND(SUM(F196:G196)*2,0)),0)*VLOOKUP("Stretcher Bar",#REF!,2,FALSE)))</f>
        <v>#REF!</v>
      </c>
      <c r="AD196" s="91" t="e">
        <f>IF(X196="","",IF(E196="Roll",0,IF(D196="2 3D",(SUM(F196:G196)*2)*VLOOKUP("3D epoxy",#REF!,2,FALSE),IF(D196="3 Canv",VLOOKUP("Wood glue",#REF!,2,FALSE),""))))</f>
        <v>#REF!</v>
      </c>
      <c r="AE196" s="91" t="e">
        <f>IF(D196="3 Canv",(((F196+5)*(G196+5)))*VLOOKUP("Canvas",#REF!,2,FALSE),IF(D196="2 3D",(((F196)*(G196)))*VLOOKUP("Dibond",#REF!,2,FALSE),""))</f>
        <v>#REF!</v>
      </c>
      <c r="AF196" s="91" t="e">
        <f>IF(D196="2 3D",F196*G196*VLOOKUP("3D ink",#REF!,2,FALSE),IF(D196="3 Canv",F196*G196*VLOOKUP("Canvas ink",#REF!,2,FALSE),""))</f>
        <v>#REF!</v>
      </c>
      <c r="AG196" s="91" t="e">
        <f>IF(D196="3 Canv",IF(E196="Roll","",ROUNDUP((SUM(F196:G196)*2)/3,"")*VLOOKUP("Staples",#REF!,2,FALSE)),"")</f>
        <v>#VALUE!</v>
      </c>
      <c r="AH196" s="91" t="e">
        <f>IF(AF196="","",(SUM(F196:G196)*2)*VLOOKUP(E196,#REF!,2,FALSE))</f>
        <v>#REF!</v>
      </c>
      <c r="AI196" s="18">
        <f t="shared" si="57"/>
        <v>44</v>
      </c>
      <c r="AJ196" s="91" t="e">
        <f>IF(AI196="","",AI196*VLOOKUP("Staples",#REF!,2,FALSE))</f>
        <v>#REF!</v>
      </c>
      <c r="AK196" s="18" t="e">
        <f t="shared" si="58"/>
        <v>#REF!</v>
      </c>
      <c r="AL196" s="91" t="e">
        <f>IF(AK196="","",AK196*VLOOKUP("Frame screw",#REF!,2,FALSE))</f>
        <v>#REF!</v>
      </c>
      <c r="AM196" s="18" t="e">
        <f t="shared" si="59"/>
        <v>#REF!</v>
      </c>
      <c r="AN196" s="91" t="e">
        <f>IF(AM196="","",AM196*VLOOKUP("D ring",#REF!,2,FALSE))</f>
        <v>#REF!</v>
      </c>
      <c r="AO196" s="18" t="e">
        <f t="shared" si="60"/>
        <v>#REF!</v>
      </c>
      <c r="AP196" s="91" t="e">
        <f>IF(AO196="","",IF(G196&gt;59,AO196* VLOOKUP("8 wire",#REF!,2,FALSE)*2,IF(G196&gt;39,AO196* VLOOKUP("8 wire",#REF!,2,FALSE),AO196* VLOOKUP("6 wire",#REF!,2,FALSE))))</f>
        <v>#REF!</v>
      </c>
      <c r="AQ196" s="18">
        <f t="shared" si="61"/>
        <v>4</v>
      </c>
      <c r="AR196" s="18" t="e">
        <f>IF(AQ196="","",AQ196*VLOOKUP("Pads",#REF!,2,FALSE))</f>
        <v>#REF!</v>
      </c>
      <c r="AS196" s="18">
        <f t="shared" si="62"/>
        <v>1</v>
      </c>
      <c r="AT196" s="91" t="e">
        <f>IF(AS196="","",AS196*VLOOKUP("4 mil bag",#REF!,2,FALSE))</f>
        <v>#REF!</v>
      </c>
      <c r="AU196" s="91">
        <f>IF(X196="","",IF(I196="N/A","",IF(I196="CNC",IF(G196&gt;37,20,10),VLOOKUP(I196,#REF!,2,FALSE))))</f>
        <v>20</v>
      </c>
      <c r="AV196" s="91" t="e">
        <f>IF(X196="","",IF(I196="CNC",VLOOKUP("Glue stick",#REF!,2,FALSE),""))</f>
        <v>#REF!</v>
      </c>
      <c r="AW196" s="91" t="e">
        <f>IF(X196="","",IF(I196="CNC",16*VLOOKUP("Box staples",#REF!,2,FALSE),""))</f>
        <v>#REF!</v>
      </c>
      <c r="AX196" s="18" t="e">
        <f>IF(X196="","",IF(I196="CNC",((((G196+6)+(F196+6))*2)+24)*VLOOKUP("sealing tape",#REF!,2,FALSE),VLOOKUP("Strapping tape",#REF!,2,FALSE)))</f>
        <v>#REF!</v>
      </c>
      <c r="AY196" s="17"/>
      <c r="AZ196" s="17"/>
      <c r="BA196" s="17"/>
      <c r="BB196" s="17"/>
      <c r="BC196" s="96"/>
      <c r="BD196" s="96"/>
      <c r="BE196" s="96"/>
      <c r="BF196" s="96"/>
      <c r="BG196" s="96"/>
      <c r="BH196" s="96"/>
      <c r="BI196" s="96"/>
    </row>
    <row r="197" spans="1:61" x14ac:dyDescent="0.45">
      <c r="A197" s="103" t="s">
        <v>534</v>
      </c>
      <c r="B197" s="17" t="s">
        <v>1259</v>
      </c>
      <c r="C197" s="16">
        <v>44629</v>
      </c>
      <c r="D197" s="17" t="s">
        <v>54</v>
      </c>
      <c r="E197" s="15" t="s">
        <v>690</v>
      </c>
      <c r="F197" s="17">
        <v>28</v>
      </c>
      <c r="G197" s="17">
        <v>42</v>
      </c>
      <c r="H197" s="3" t="s">
        <v>43</v>
      </c>
      <c r="I197" s="88" t="s">
        <v>41</v>
      </c>
      <c r="J197" s="87">
        <v>44638</v>
      </c>
      <c r="K197" s="15">
        <v>3060</v>
      </c>
      <c r="L197" s="96">
        <v>155</v>
      </c>
      <c r="M197" s="89">
        <v>117.8</v>
      </c>
      <c r="N197" s="88">
        <v>25</v>
      </c>
      <c r="O197" s="413" t="str">
        <f t="shared" si="1"/>
        <v>28 x 42</v>
      </c>
      <c r="P197" s="18" t="str">
        <f t="shared" si="2"/>
        <v>30 x 44</v>
      </c>
      <c r="Q197" s="91" t="str">
        <f t="shared" si="3"/>
        <v>N/A</v>
      </c>
      <c r="R197" s="18" t="str">
        <f t="shared" si="4"/>
        <v>50 x 37 x 6</v>
      </c>
      <c r="S197" s="18">
        <v>50</v>
      </c>
      <c r="T197" s="18">
        <v>37</v>
      </c>
      <c r="U197" s="18">
        <v>6</v>
      </c>
      <c r="V197" s="18">
        <f t="shared" si="47"/>
        <v>127</v>
      </c>
      <c r="W197" s="287">
        <f t="shared" si="51"/>
        <v>0.76</v>
      </c>
      <c r="X197" s="287" t="str">
        <f t="shared" si="52"/>
        <v>Yes</v>
      </c>
      <c r="Y197" s="93" t="e">
        <f t="shared" si="53"/>
        <v>#REF!</v>
      </c>
      <c r="Z197" s="288" t="e">
        <f t="shared" si="54"/>
        <v>#REF!</v>
      </c>
      <c r="AA197" s="94" t="e">
        <f t="shared" si="55"/>
        <v>#REF!</v>
      </c>
      <c r="AB197" s="288" t="e">
        <f t="shared" si="56"/>
        <v>#REF!</v>
      </c>
      <c r="AC197" s="91" t="e">
        <f>IF(X197="","",IF(D197="2 3D",((F197-0.5)*2+(G197-0.5)*2)*VLOOKUP("3D base",#REF!,2,FALSE),IF(D197="3 Canv", IF(E197="Roll",0,ROUND(SUM(F197:G197)*2,0)),0)*VLOOKUP("Stretcher Bar",#REF!,2,FALSE)))</f>
        <v>#REF!</v>
      </c>
      <c r="AD197" s="91" t="e">
        <f>IF(X197="","",IF(E197="Roll",0,IF(D197="2 3D",(SUM(F197:G197)*2)*VLOOKUP("3D epoxy",#REF!,2,FALSE),IF(D197="3 Canv",VLOOKUP("Wood glue",#REF!,2,FALSE),""))))</f>
        <v>#REF!</v>
      </c>
      <c r="AE197" s="91" t="e">
        <f>IF(D197="3 Canv",(((F197+5)*(G197+5)))*VLOOKUP("Canvas",#REF!,2,FALSE),IF(D197="2 3D",(((F197)*(G197)))*VLOOKUP("Dibond",#REF!,2,FALSE),""))</f>
        <v>#REF!</v>
      </c>
      <c r="AF197" s="91" t="e">
        <f>IF(D197="2 3D",F197*G197*VLOOKUP("3D ink",#REF!,2,FALSE),IF(D197="3 Canv",F197*G197*VLOOKUP("Canvas ink",#REF!,2,FALSE),""))</f>
        <v>#REF!</v>
      </c>
      <c r="AG197" s="91" t="str">
        <f>IF(D197="3 Canv",IF(E197="Roll","",ROUNDUP((SUM(F197:G197)*2)/3,"")*VLOOKUP("Staples",#REF!,2,FALSE)),"")</f>
        <v/>
      </c>
      <c r="AH197" s="91" t="e">
        <f>IF(AF197="","",(SUM(F197:G197)*2)*VLOOKUP(E197,#REF!,2,FALSE))</f>
        <v>#REF!</v>
      </c>
      <c r="AI197" s="18">
        <f t="shared" si="57"/>
        <v>44</v>
      </c>
      <c r="AJ197" s="91" t="e">
        <f>IF(AI197="","",AI197*VLOOKUP("Staples",#REF!,2,FALSE))</f>
        <v>#REF!</v>
      </c>
      <c r="AK197" s="18" t="e">
        <f t="shared" si="58"/>
        <v>#REF!</v>
      </c>
      <c r="AL197" s="91" t="e">
        <f>IF(AK197="","",AK197*VLOOKUP("Frame screw",#REF!,2,FALSE))</f>
        <v>#REF!</v>
      </c>
      <c r="AM197" s="18" t="e">
        <f t="shared" si="59"/>
        <v>#REF!</v>
      </c>
      <c r="AN197" s="91" t="e">
        <f>IF(AM197="","",AM197*VLOOKUP("D ring",#REF!,2,FALSE))</f>
        <v>#REF!</v>
      </c>
      <c r="AO197" s="18" t="e">
        <f t="shared" si="60"/>
        <v>#REF!</v>
      </c>
      <c r="AP197" s="91" t="e">
        <f>IF(AO197="","",IF(G197&gt;59,AO197* VLOOKUP("8 wire",#REF!,2,FALSE)*2,IF(G197&gt;39,AO197* VLOOKUP("8 wire",#REF!,2,FALSE),AO197* VLOOKUP("6 wire",#REF!,2,FALSE))))</f>
        <v>#REF!</v>
      </c>
      <c r="AQ197" s="18">
        <f t="shared" si="61"/>
        <v>4</v>
      </c>
      <c r="AR197" s="18" t="e">
        <f>IF(AQ197="","",AQ197*VLOOKUP("Pads",#REF!,2,FALSE))</f>
        <v>#REF!</v>
      </c>
      <c r="AS197" s="18">
        <f t="shared" si="62"/>
        <v>1</v>
      </c>
      <c r="AT197" s="91" t="e">
        <f>IF(AS197="","",AS197*VLOOKUP("4 mil bag",#REF!,2,FALSE))</f>
        <v>#REF!</v>
      </c>
      <c r="AU197" s="91">
        <f>IF(X197="","",IF(I197="N/A","",IF(I197="CNC",IF(G197&gt;37,20,10),VLOOKUP(I197,#REF!,2,FALSE))))</f>
        <v>20</v>
      </c>
      <c r="AV197" s="91" t="e">
        <f>IF(X197="","",IF(I197="CNC",VLOOKUP("Glue stick",#REF!,2,FALSE),""))</f>
        <v>#REF!</v>
      </c>
      <c r="AW197" s="91" t="e">
        <f>IF(X197="","",IF(I197="CNC",16*VLOOKUP("Box staples",#REF!,2,FALSE),""))</f>
        <v>#REF!</v>
      </c>
      <c r="AX197" s="18" t="e">
        <f>IF(X197="","",IF(I197="CNC",((((G197+6)+(F197+6))*2)+24)*VLOOKUP("sealing tape",#REF!,2,FALSE),VLOOKUP("Strapping tape",#REF!,2,FALSE)))</f>
        <v>#REF!</v>
      </c>
      <c r="AY197" s="17"/>
      <c r="AZ197" s="17"/>
      <c r="BA197" s="17"/>
      <c r="BB197" s="17"/>
      <c r="BC197" s="96"/>
      <c r="BD197" s="96"/>
      <c r="BE197" s="96"/>
      <c r="BF197" s="96"/>
      <c r="BG197" s="96"/>
      <c r="BH197" s="96"/>
      <c r="BI197" s="96"/>
    </row>
    <row r="198" spans="1:61" x14ac:dyDescent="0.45">
      <c r="A198" s="103" t="s">
        <v>459</v>
      </c>
      <c r="B198" s="17" t="s">
        <v>1258</v>
      </c>
      <c r="C198" s="16">
        <v>44630</v>
      </c>
      <c r="D198" s="17" t="s">
        <v>66</v>
      </c>
      <c r="E198" s="15" t="s">
        <v>50</v>
      </c>
      <c r="F198" s="17">
        <v>23</v>
      </c>
      <c r="G198" s="17">
        <v>37</v>
      </c>
      <c r="H198" s="3" t="s">
        <v>43</v>
      </c>
      <c r="I198" s="88" t="s">
        <v>41</v>
      </c>
      <c r="J198" s="87">
        <v>44638</v>
      </c>
      <c r="K198" s="15">
        <v>540</v>
      </c>
      <c r="L198" s="96">
        <v>30</v>
      </c>
      <c r="M198" s="89">
        <v>28.53</v>
      </c>
      <c r="N198" s="88">
        <v>12</v>
      </c>
      <c r="O198" s="413" t="str">
        <f t="shared" si="1"/>
        <v>23 x 37</v>
      </c>
      <c r="P198" s="18" t="str">
        <f t="shared" si="2"/>
        <v>23 x 37</v>
      </c>
      <c r="Q198" s="91" t="str">
        <f t="shared" si="3"/>
        <v>N/A</v>
      </c>
      <c r="R198" s="18" t="str">
        <f t="shared" si="4"/>
        <v>43 x 29 x 6</v>
      </c>
      <c r="S198" s="18">
        <v>43</v>
      </c>
      <c r="T198" s="18">
        <v>29</v>
      </c>
      <c r="U198" s="18">
        <v>6</v>
      </c>
      <c r="V198" s="18">
        <f t="shared" si="47"/>
        <v>112</v>
      </c>
      <c r="W198" s="287">
        <f t="shared" si="51"/>
        <v>0.95100000000000007</v>
      </c>
      <c r="X198" s="287" t="str">
        <f t="shared" si="52"/>
        <v>Yes</v>
      </c>
      <c r="Y198" s="93" t="e">
        <f t="shared" si="53"/>
        <v>#REF!</v>
      </c>
      <c r="Z198" s="288" t="e">
        <f t="shared" si="54"/>
        <v>#REF!</v>
      </c>
      <c r="AA198" s="94" t="e">
        <f t="shared" si="55"/>
        <v>#REF!</v>
      </c>
      <c r="AB198" s="288" t="e">
        <f t="shared" si="56"/>
        <v>#REF!</v>
      </c>
      <c r="AC198" s="91" t="e">
        <f>IF(X198="","",IF(D198="2 3D",((F198-0.5)*2+(G198-0.5)*2)*VLOOKUP("3D base",#REF!,2,FALSE),IF(D198="3 Canv", IF(E198="Roll",0,ROUND(SUM(F198:G198)*2,0)),0)*VLOOKUP("Stretcher Bar",#REF!,2,FALSE)))</f>
        <v>#REF!</v>
      </c>
      <c r="AD198" s="91" t="e">
        <f>IF(X198="","",IF(E198="Roll",0,IF(D198="2 3D",(SUM(F198:G198)*2)*VLOOKUP("3D epoxy",#REF!,2,FALSE),IF(D198="3 Canv",VLOOKUP("Wood glue",#REF!,2,FALSE),""))))</f>
        <v>#REF!</v>
      </c>
      <c r="AE198" s="91" t="e">
        <f>IF(D198="3 Canv",(((F198+5)*(G198+5)))*VLOOKUP("Canvas",#REF!,2,FALSE),IF(D198="2 3D",(((F198)*(G198)))*VLOOKUP("Dibond",#REF!,2,FALSE),""))</f>
        <v>#REF!</v>
      </c>
      <c r="AF198" s="91" t="e">
        <f>IF(D198="2 3D",F198*G198*VLOOKUP("3D ink",#REF!,2,FALSE),IF(D198="3 Canv",F198*G198*VLOOKUP("Canvas ink",#REF!,2,FALSE),""))</f>
        <v>#REF!</v>
      </c>
      <c r="AG198" s="91" t="e">
        <f>IF(D198="3 Canv",IF(E198="Roll","",ROUNDUP((SUM(F198:G198)*2)/3,"")*VLOOKUP("Staples",#REF!,2,FALSE)),"")</f>
        <v>#VALUE!</v>
      </c>
      <c r="AH198" s="91" t="e">
        <f>IF(AF198="","",(SUM(F198:G198)*2)*VLOOKUP(E198,#REF!,2,FALSE))</f>
        <v>#REF!</v>
      </c>
      <c r="AI198" s="18">
        <f t="shared" si="57"/>
        <v>16</v>
      </c>
      <c r="AJ198" s="91" t="e">
        <f>IF(AI198="","",AI198*VLOOKUP("Staples",#REF!,2,FALSE))</f>
        <v>#REF!</v>
      </c>
      <c r="AK198" s="18" t="e">
        <f t="shared" si="58"/>
        <v>#REF!</v>
      </c>
      <c r="AL198" s="91" t="e">
        <f>IF(AK198="","",AK198*VLOOKUP("Frame screw",#REF!,2,FALSE))</f>
        <v>#REF!</v>
      </c>
      <c r="AM198" s="18" t="e">
        <f t="shared" si="59"/>
        <v>#REF!</v>
      </c>
      <c r="AN198" s="91" t="e">
        <f>IF(AM198="","",AM198*VLOOKUP("D ring",#REF!,2,FALSE))</f>
        <v>#REF!</v>
      </c>
      <c r="AO198" s="18" t="e">
        <f t="shared" si="60"/>
        <v>#REF!</v>
      </c>
      <c r="AP198" s="91" t="e">
        <f>IF(AO198="","",IF(G198&gt;59,AO198* VLOOKUP("8 wire",#REF!,2,FALSE)*2,IF(G198&gt;39,AO198* VLOOKUP("8 wire",#REF!,2,FALSE),AO198* VLOOKUP("6 wire",#REF!,2,FALSE))))</f>
        <v>#REF!</v>
      </c>
      <c r="AQ198" s="18">
        <f t="shared" si="61"/>
        <v>4</v>
      </c>
      <c r="AR198" s="18" t="e">
        <f>IF(AQ198="","",AQ198*VLOOKUP("Pads",#REF!,2,FALSE))</f>
        <v>#REF!</v>
      </c>
      <c r="AS198" s="18">
        <f t="shared" si="62"/>
        <v>1</v>
      </c>
      <c r="AT198" s="91" t="e">
        <f>IF(AS198="","",AS198*VLOOKUP("4 mil bag",#REF!,2,FALSE))</f>
        <v>#REF!</v>
      </c>
      <c r="AU198" s="91">
        <f>IF(X198="","",IF(I198="N/A","",IF(I198="CNC",IF(G198&gt;37,20,10),VLOOKUP(I198,#REF!,2,FALSE))))</f>
        <v>10</v>
      </c>
      <c r="AV198" s="91" t="e">
        <f>IF(X198="","",IF(I198="CNC",VLOOKUP("Glue stick",#REF!,2,FALSE),""))</f>
        <v>#REF!</v>
      </c>
      <c r="AW198" s="91" t="e">
        <f>IF(X198="","",IF(I198="CNC",16*VLOOKUP("Box staples",#REF!,2,FALSE),""))</f>
        <v>#REF!</v>
      </c>
      <c r="AX198" s="18" t="e">
        <f>IF(X198="","",IF(I198="CNC",((((G198+6)+(F198+6))*2)+24)*VLOOKUP("sealing tape",#REF!,2,FALSE),VLOOKUP("Strapping tape",#REF!,2,FALSE)))</f>
        <v>#REF!</v>
      </c>
      <c r="AY198" s="17"/>
      <c r="AZ198" s="17"/>
      <c r="BA198" s="17"/>
      <c r="BB198" s="17"/>
      <c r="BC198" s="96"/>
      <c r="BD198" s="96"/>
      <c r="BE198" s="96"/>
      <c r="BF198" s="96"/>
      <c r="BG198" s="96"/>
      <c r="BH198" s="96"/>
      <c r="BI198" s="96"/>
    </row>
    <row r="199" spans="1:61" x14ac:dyDescent="0.45">
      <c r="A199" s="103" t="s">
        <v>934</v>
      </c>
      <c r="B199" s="17" t="s">
        <v>1257</v>
      </c>
      <c r="C199" s="16">
        <v>44632</v>
      </c>
      <c r="D199" s="17" t="s">
        <v>66</v>
      </c>
      <c r="E199" s="15" t="s">
        <v>1</v>
      </c>
      <c r="F199" s="17">
        <v>30</v>
      </c>
      <c r="G199" s="17">
        <v>45</v>
      </c>
      <c r="H199" s="3" t="s">
        <v>43</v>
      </c>
      <c r="I199" s="88" t="s">
        <v>41</v>
      </c>
      <c r="J199" s="87">
        <v>44638</v>
      </c>
      <c r="K199" s="15">
        <v>930</v>
      </c>
      <c r="L199" s="96">
        <v>50</v>
      </c>
      <c r="M199" s="89">
        <v>117.8</v>
      </c>
      <c r="N199" s="88">
        <v>22</v>
      </c>
      <c r="O199" s="413" t="str">
        <f t="shared" si="1"/>
        <v>30 x 45</v>
      </c>
      <c r="P199" s="18" t="str">
        <f t="shared" si="2"/>
        <v>32 x 47</v>
      </c>
      <c r="Q199" s="91" t="str">
        <f t="shared" si="3"/>
        <v>N/A</v>
      </c>
      <c r="R199" s="18" t="str">
        <f t="shared" si="4"/>
        <v>53 x 39 x 6</v>
      </c>
      <c r="S199" s="18">
        <v>53</v>
      </c>
      <c r="T199" s="18">
        <v>39</v>
      </c>
      <c r="U199" s="18">
        <v>6</v>
      </c>
      <c r="V199" s="18">
        <f t="shared" si="47"/>
        <v>134</v>
      </c>
      <c r="W199" s="287">
        <f t="shared" si="51"/>
        <v>2.3559999999999999</v>
      </c>
      <c r="X199" s="287" t="str">
        <f t="shared" si="52"/>
        <v>Yes</v>
      </c>
      <c r="Y199" s="93" t="e">
        <f t="shared" si="53"/>
        <v>#REF!</v>
      </c>
      <c r="Z199" s="288" t="e">
        <f t="shared" si="54"/>
        <v>#REF!</v>
      </c>
      <c r="AA199" s="94" t="e">
        <f t="shared" si="55"/>
        <v>#REF!</v>
      </c>
      <c r="AB199" s="288" t="e">
        <f t="shared" si="56"/>
        <v>#REF!</v>
      </c>
      <c r="AC199" s="91" t="e">
        <f>IF(X199="","",IF(D199="2 3D",((F199-0.5)*2+(G199-0.5)*2)*VLOOKUP("3D base",#REF!,2,FALSE),IF(D199="3 Canv", IF(E199="Roll",0,ROUND(SUM(F199:G199)*2,0)),0)*VLOOKUP("Stretcher Bar",#REF!,2,FALSE)))</f>
        <v>#REF!</v>
      </c>
      <c r="AD199" s="91" t="e">
        <f>IF(X199="","",IF(E199="Roll",0,IF(D199="2 3D",(SUM(F199:G199)*2)*VLOOKUP("3D epoxy",#REF!,2,FALSE),IF(D199="3 Canv",VLOOKUP("Wood glue",#REF!,2,FALSE),""))))</f>
        <v>#REF!</v>
      </c>
      <c r="AE199" s="91" t="e">
        <f>IF(D199="3 Canv",(((F199+5)*(G199+5)))*VLOOKUP("Canvas",#REF!,2,FALSE),IF(D199="2 3D",(((F199)*(G199)))*VLOOKUP("Dibond",#REF!,2,FALSE),""))</f>
        <v>#REF!</v>
      </c>
      <c r="AF199" s="91" t="e">
        <f>IF(D199="2 3D",F199*G199*VLOOKUP("3D ink",#REF!,2,FALSE),IF(D199="3 Canv",F199*G199*VLOOKUP("Canvas ink",#REF!,2,FALSE),""))</f>
        <v>#REF!</v>
      </c>
      <c r="AG199" s="91" t="e">
        <f>IF(D199="3 Canv",IF(E199="Roll","",ROUNDUP((SUM(F199:G199)*2)/3,"")*VLOOKUP("Staples",#REF!,2,FALSE)),"")</f>
        <v>#VALUE!</v>
      </c>
      <c r="AH199" s="91" t="e">
        <f>IF(AF199="","",(SUM(F199:G199)*2)*VLOOKUP(E199,#REF!,2,FALSE))</f>
        <v>#REF!</v>
      </c>
      <c r="AI199" s="18">
        <f t="shared" si="57"/>
        <v>44</v>
      </c>
      <c r="AJ199" s="91" t="e">
        <f>IF(AI199="","",AI199*VLOOKUP("Staples",#REF!,2,FALSE))</f>
        <v>#REF!</v>
      </c>
      <c r="AK199" s="18" t="e">
        <f t="shared" si="58"/>
        <v>#REF!</v>
      </c>
      <c r="AL199" s="91" t="e">
        <f>IF(AK199="","",AK199*VLOOKUP("Frame screw",#REF!,2,FALSE))</f>
        <v>#REF!</v>
      </c>
      <c r="AM199" s="18" t="e">
        <f t="shared" si="59"/>
        <v>#REF!</v>
      </c>
      <c r="AN199" s="91" t="e">
        <f>IF(AM199="","",AM199*VLOOKUP("D ring",#REF!,2,FALSE))</f>
        <v>#REF!</v>
      </c>
      <c r="AO199" s="18" t="e">
        <f t="shared" si="60"/>
        <v>#REF!</v>
      </c>
      <c r="AP199" s="91" t="e">
        <f>IF(AO199="","",IF(G199&gt;59,AO199* VLOOKUP("8 wire",#REF!,2,FALSE)*2,IF(G199&gt;39,AO199* VLOOKUP("8 wire",#REF!,2,FALSE),AO199* VLOOKUP("6 wire",#REF!,2,FALSE))))</f>
        <v>#REF!</v>
      </c>
      <c r="AQ199" s="18">
        <f t="shared" si="61"/>
        <v>4</v>
      </c>
      <c r="AR199" s="18" t="e">
        <f>IF(AQ199="","",AQ199*VLOOKUP("Pads",#REF!,2,FALSE))</f>
        <v>#REF!</v>
      </c>
      <c r="AS199" s="18">
        <f t="shared" si="62"/>
        <v>1</v>
      </c>
      <c r="AT199" s="91" t="e">
        <f>IF(AS199="","",AS199*VLOOKUP("4 mil bag",#REF!,2,FALSE))</f>
        <v>#REF!</v>
      </c>
      <c r="AU199" s="91">
        <f>IF(X199="","",IF(I199="N/A","",IF(I199="CNC",IF(G199&gt;37,20,10),VLOOKUP(I199,#REF!,2,FALSE))))</f>
        <v>20</v>
      </c>
      <c r="AV199" s="91" t="e">
        <f>IF(X199="","",IF(I199="CNC",VLOOKUP("Glue stick",#REF!,2,FALSE),""))</f>
        <v>#REF!</v>
      </c>
      <c r="AW199" s="91" t="e">
        <f>IF(X199="","",IF(I199="CNC",16*VLOOKUP("Box staples",#REF!,2,FALSE),""))</f>
        <v>#REF!</v>
      </c>
      <c r="AX199" s="18" t="e">
        <f>IF(X199="","",IF(I199="CNC",((((G199+6)+(F199+6))*2)+24)*VLOOKUP("sealing tape",#REF!,2,FALSE),VLOOKUP("Strapping tape",#REF!,2,FALSE)))</f>
        <v>#REF!</v>
      </c>
      <c r="AY199" s="17"/>
      <c r="AZ199" s="17"/>
      <c r="BA199" s="17"/>
      <c r="BB199" s="17"/>
      <c r="BC199" s="96"/>
      <c r="BD199" s="96"/>
      <c r="BE199" s="96"/>
      <c r="BF199" s="96"/>
      <c r="BG199" s="96"/>
      <c r="BH199" s="96"/>
      <c r="BI199" s="96"/>
    </row>
    <row r="200" spans="1:61" x14ac:dyDescent="0.45">
      <c r="A200" s="103" t="s">
        <v>827</v>
      </c>
      <c r="B200" s="17" t="s">
        <v>1256</v>
      </c>
      <c r="C200" s="16">
        <v>44632</v>
      </c>
      <c r="D200" s="17" t="s">
        <v>66</v>
      </c>
      <c r="E200" s="15" t="s">
        <v>51</v>
      </c>
      <c r="F200" s="17">
        <v>28</v>
      </c>
      <c r="G200" s="17">
        <v>39</v>
      </c>
      <c r="H200" s="3" t="s">
        <v>43</v>
      </c>
      <c r="I200" s="88" t="s">
        <v>41</v>
      </c>
      <c r="J200" s="87">
        <v>44638</v>
      </c>
      <c r="K200" s="15">
        <v>795</v>
      </c>
      <c r="L200" s="96">
        <v>40</v>
      </c>
      <c r="M200" s="89">
        <v>46.09</v>
      </c>
      <c r="N200" s="88">
        <v>19</v>
      </c>
      <c r="O200" s="413" t="str">
        <f t="shared" si="1"/>
        <v>28 x 39</v>
      </c>
      <c r="P200" s="18" t="str">
        <f t="shared" si="2"/>
        <v>30 x 41</v>
      </c>
      <c r="Q200" s="91" t="str">
        <f t="shared" si="3"/>
        <v>N/A</v>
      </c>
      <c r="R200" s="18" t="str">
        <f t="shared" si="4"/>
        <v>47 x 37 x 6</v>
      </c>
      <c r="S200" s="18">
        <v>47</v>
      </c>
      <c r="T200" s="18">
        <v>37</v>
      </c>
      <c r="U200" s="18">
        <v>6</v>
      </c>
      <c r="V200" s="18">
        <f t="shared" si="47"/>
        <v>124</v>
      </c>
      <c r="W200" s="287">
        <f t="shared" si="51"/>
        <v>1.15225</v>
      </c>
      <c r="X200" s="287" t="str">
        <f t="shared" si="52"/>
        <v>Yes</v>
      </c>
      <c r="Y200" s="93" t="e">
        <f t="shared" si="53"/>
        <v>#REF!</v>
      </c>
      <c r="Z200" s="288" t="e">
        <f t="shared" si="54"/>
        <v>#REF!</v>
      </c>
      <c r="AA200" s="94" t="e">
        <f t="shared" si="55"/>
        <v>#REF!</v>
      </c>
      <c r="AB200" s="288" t="e">
        <f t="shared" si="56"/>
        <v>#REF!</v>
      </c>
      <c r="AC200" s="91" t="e">
        <f>IF(X200="","",IF(D200="2 3D",((F200-0.5)*2+(G200-0.5)*2)*VLOOKUP("3D base",#REF!,2,FALSE),IF(D200="3 Canv", IF(E200="Roll",0,ROUND(SUM(F200:G200)*2,0)),0)*VLOOKUP("Stretcher Bar",#REF!,2,FALSE)))</f>
        <v>#REF!</v>
      </c>
      <c r="AD200" s="91" t="e">
        <f>IF(X200="","",IF(E200="Roll",0,IF(D200="2 3D",(SUM(F200:G200)*2)*VLOOKUP("3D epoxy",#REF!,2,FALSE),IF(D200="3 Canv",VLOOKUP("Wood glue",#REF!,2,FALSE),""))))</f>
        <v>#REF!</v>
      </c>
      <c r="AE200" s="91" t="e">
        <f>IF(D200="3 Canv",(((F200+5)*(G200+5)))*VLOOKUP("Canvas",#REF!,2,FALSE),IF(D200="2 3D",(((F200)*(G200)))*VLOOKUP("Dibond",#REF!,2,FALSE),""))</f>
        <v>#REF!</v>
      </c>
      <c r="AF200" s="91" t="e">
        <f>IF(D200="2 3D",F200*G200*VLOOKUP("3D ink",#REF!,2,FALSE),IF(D200="3 Canv",F200*G200*VLOOKUP("Canvas ink",#REF!,2,FALSE),""))</f>
        <v>#REF!</v>
      </c>
      <c r="AG200" s="91" t="e">
        <f>IF(D200="3 Canv",IF(E200="Roll","",ROUNDUP((SUM(F200:G200)*2)/3,"")*VLOOKUP("Staples",#REF!,2,FALSE)),"")</f>
        <v>#VALUE!</v>
      </c>
      <c r="AH200" s="91" t="e">
        <f>IF(AF200="","",(SUM(F200:G200)*2)*VLOOKUP(E200,#REF!,2,FALSE))</f>
        <v>#REF!</v>
      </c>
      <c r="AI200" s="18">
        <f t="shared" si="57"/>
        <v>44</v>
      </c>
      <c r="AJ200" s="91" t="e">
        <f>IF(AI200="","",AI200*VLOOKUP("Staples",#REF!,2,FALSE))</f>
        <v>#REF!</v>
      </c>
      <c r="AK200" s="18" t="e">
        <f t="shared" si="58"/>
        <v>#REF!</v>
      </c>
      <c r="AL200" s="91" t="e">
        <f>IF(AK200="","",AK200*VLOOKUP("Frame screw",#REF!,2,FALSE))</f>
        <v>#REF!</v>
      </c>
      <c r="AM200" s="18" t="e">
        <f t="shared" si="59"/>
        <v>#REF!</v>
      </c>
      <c r="AN200" s="91" t="e">
        <f>IF(AM200="","",AM200*VLOOKUP("D ring",#REF!,2,FALSE))</f>
        <v>#REF!</v>
      </c>
      <c r="AO200" s="18" t="e">
        <f t="shared" si="60"/>
        <v>#REF!</v>
      </c>
      <c r="AP200" s="91" t="e">
        <f>IF(AO200="","",IF(G200&gt;59,AO200* VLOOKUP("8 wire",#REF!,2,FALSE)*2,IF(G200&gt;39,AO200* VLOOKUP("8 wire",#REF!,2,FALSE),AO200* VLOOKUP("6 wire",#REF!,2,FALSE))))</f>
        <v>#REF!</v>
      </c>
      <c r="AQ200" s="18">
        <f t="shared" si="61"/>
        <v>4</v>
      </c>
      <c r="AR200" s="18" t="e">
        <f>IF(AQ200="","",AQ200*VLOOKUP("Pads",#REF!,2,FALSE))</f>
        <v>#REF!</v>
      </c>
      <c r="AS200" s="18">
        <f t="shared" si="62"/>
        <v>1</v>
      </c>
      <c r="AT200" s="91" t="e">
        <f>IF(AS200="","",AS200*VLOOKUP("4 mil bag",#REF!,2,FALSE))</f>
        <v>#REF!</v>
      </c>
      <c r="AU200" s="91">
        <f>IF(X200="","",IF(I200="N/A","",IF(I200="CNC",IF(G200&gt;37,20,10),VLOOKUP(I200,#REF!,2,FALSE))))</f>
        <v>20</v>
      </c>
      <c r="AV200" s="91" t="e">
        <f>IF(X200="","",IF(I200="CNC",VLOOKUP("Glue stick",#REF!,2,FALSE),""))</f>
        <v>#REF!</v>
      </c>
      <c r="AW200" s="91" t="e">
        <f>IF(X200="","",IF(I200="CNC",16*VLOOKUP("Box staples",#REF!,2,FALSE),""))</f>
        <v>#REF!</v>
      </c>
      <c r="AX200" s="18" t="e">
        <f>IF(X200="","",IF(I200="CNC",((((G200+6)+(F200+6))*2)+24)*VLOOKUP("sealing tape",#REF!,2,FALSE),VLOOKUP("Strapping tape",#REF!,2,FALSE)))</f>
        <v>#REF!</v>
      </c>
      <c r="AY200" s="17"/>
      <c r="AZ200" s="17"/>
      <c r="BA200" s="17"/>
      <c r="BB200" s="17"/>
      <c r="BC200" s="96"/>
      <c r="BD200" s="96"/>
      <c r="BE200" s="96"/>
      <c r="BF200" s="96"/>
      <c r="BG200" s="96"/>
      <c r="BH200" s="96"/>
      <c r="BI200" s="96"/>
    </row>
    <row r="201" spans="1:61" x14ac:dyDescent="0.45">
      <c r="A201" s="103" t="s">
        <v>1265</v>
      </c>
      <c r="B201" s="17" t="s">
        <v>1264</v>
      </c>
      <c r="C201" s="16">
        <v>44630</v>
      </c>
      <c r="D201" s="17" t="s">
        <v>66</v>
      </c>
      <c r="E201" s="15" t="s">
        <v>51</v>
      </c>
      <c r="F201" s="17">
        <v>16</v>
      </c>
      <c r="G201" s="17">
        <v>20</v>
      </c>
      <c r="H201" s="3" t="s">
        <v>43</v>
      </c>
      <c r="I201" s="88" t="s">
        <v>41</v>
      </c>
      <c r="J201" s="87">
        <v>44641</v>
      </c>
      <c r="K201" s="15">
        <v>480</v>
      </c>
      <c r="L201" s="96">
        <v>25</v>
      </c>
      <c r="M201" s="89">
        <v>10.3</v>
      </c>
      <c r="N201" s="88">
        <v>10</v>
      </c>
      <c r="O201" s="413" t="str">
        <f t="shared" si="1"/>
        <v>16 x 20</v>
      </c>
      <c r="P201" s="18" t="str">
        <f t="shared" si="2"/>
        <v>18 x 22</v>
      </c>
      <c r="Q201" s="91" t="str">
        <f t="shared" si="3"/>
        <v>N/A</v>
      </c>
      <c r="R201" s="18" t="str">
        <f t="shared" si="4"/>
        <v>28 x 25 x 6</v>
      </c>
      <c r="S201" s="18">
        <v>28</v>
      </c>
      <c r="T201" s="18">
        <v>25</v>
      </c>
      <c r="U201" s="18">
        <v>6</v>
      </c>
      <c r="V201" s="18">
        <f t="shared" si="47"/>
        <v>81</v>
      </c>
      <c r="W201" s="287">
        <f t="shared" si="51"/>
        <v>0.41200000000000003</v>
      </c>
      <c r="X201" s="287" t="str">
        <f t="shared" si="52"/>
        <v>Yes</v>
      </c>
      <c r="Y201" s="93" t="e">
        <f t="shared" si="53"/>
        <v>#REF!</v>
      </c>
      <c r="Z201" s="288" t="e">
        <f t="shared" si="54"/>
        <v>#REF!</v>
      </c>
      <c r="AA201" s="94" t="e">
        <f t="shared" si="55"/>
        <v>#REF!</v>
      </c>
      <c r="AB201" s="288" t="e">
        <f t="shared" si="56"/>
        <v>#REF!</v>
      </c>
      <c r="AC201" s="91" t="e">
        <f>IF(X201="","",IF(D201="2 3D",((F201-0.5)*2+(G201-0.5)*2)*VLOOKUP("3D base",#REF!,2,FALSE),IF(D201="3 Canv", IF(E201="Roll",0,ROUND(SUM(F201:G201)*2,0)),0)*VLOOKUP("Stretcher Bar",#REF!,2,FALSE)))</f>
        <v>#REF!</v>
      </c>
      <c r="AD201" s="91" t="e">
        <f>IF(X201="","",IF(E201="Roll",0,IF(D201="2 3D",(SUM(F201:G201)*2)*VLOOKUP("3D epoxy",#REF!,2,FALSE),IF(D201="3 Canv",VLOOKUP("Wood glue",#REF!,2,FALSE),""))))</f>
        <v>#REF!</v>
      </c>
      <c r="AE201" s="91" t="e">
        <f>IF(D201="3 Canv",(((F201+5)*(G201+5)))*VLOOKUP("Canvas",#REF!,2,FALSE),IF(D201="2 3D",(((F201)*(G201)))*VLOOKUP("Dibond",#REF!,2,FALSE),""))</f>
        <v>#REF!</v>
      </c>
      <c r="AF201" s="91" t="e">
        <f>IF(D201="2 3D",F201*G201*VLOOKUP("3D ink",#REF!,2,FALSE),IF(D201="3 Canv",F201*G201*VLOOKUP("Canvas ink",#REF!,2,FALSE),""))</f>
        <v>#REF!</v>
      </c>
      <c r="AG201" s="91" t="e">
        <f>IF(D201="3 Canv",IF(E201="Roll","",ROUNDUP((SUM(F201:G201)*2)/3,"")*VLOOKUP("Staples",#REF!,2,FALSE)),"")</f>
        <v>#VALUE!</v>
      </c>
      <c r="AH201" s="91" t="e">
        <f>IF(AF201="","",(SUM(F201:G201)*2)*VLOOKUP(E201,#REF!,2,FALSE))</f>
        <v>#REF!</v>
      </c>
      <c r="AI201" s="18">
        <f t="shared" si="57"/>
        <v>44</v>
      </c>
      <c r="AJ201" s="91" t="e">
        <f>IF(AI201="","",AI201*VLOOKUP("Staples",#REF!,2,FALSE))</f>
        <v>#REF!</v>
      </c>
      <c r="AK201" s="18" t="e">
        <f t="shared" si="58"/>
        <v>#REF!</v>
      </c>
      <c r="AL201" s="91" t="e">
        <f>IF(AK201="","",AK201*VLOOKUP("Frame screw",#REF!,2,FALSE))</f>
        <v>#REF!</v>
      </c>
      <c r="AM201" s="18" t="e">
        <f t="shared" si="59"/>
        <v>#REF!</v>
      </c>
      <c r="AN201" s="91" t="e">
        <f>IF(AM201="","",AM201*VLOOKUP("D ring",#REF!,2,FALSE))</f>
        <v>#REF!</v>
      </c>
      <c r="AO201" s="18" t="e">
        <f t="shared" si="60"/>
        <v>#REF!</v>
      </c>
      <c r="AP201" s="91" t="e">
        <f>IF(AO201="","",IF(G201&gt;59,AO201* VLOOKUP("8 wire",#REF!,2,FALSE)*2,IF(G201&gt;39,AO201* VLOOKUP("8 wire",#REF!,2,FALSE),AO201* VLOOKUP("6 wire",#REF!,2,FALSE))))</f>
        <v>#REF!</v>
      </c>
      <c r="AQ201" s="18">
        <f t="shared" si="61"/>
        <v>4</v>
      </c>
      <c r="AR201" s="18" t="e">
        <f>IF(AQ201="","",AQ201*VLOOKUP("Pads",#REF!,2,FALSE))</f>
        <v>#REF!</v>
      </c>
      <c r="AS201" s="18">
        <f t="shared" si="62"/>
        <v>1</v>
      </c>
      <c r="AT201" s="91" t="e">
        <f>IF(AS201="","",AS201*VLOOKUP("4 mil bag",#REF!,2,FALSE))</f>
        <v>#REF!</v>
      </c>
      <c r="AU201" s="91">
        <f>IF(X201="","",IF(I201="N/A","",IF(I201="CNC",IF(G201&gt;37,20,10),VLOOKUP(I201,#REF!,2,FALSE))))</f>
        <v>10</v>
      </c>
      <c r="AV201" s="91" t="e">
        <f>IF(X201="","",IF(I201="CNC",VLOOKUP("Glue stick",#REF!,2,FALSE),""))</f>
        <v>#REF!</v>
      </c>
      <c r="AW201" s="91" t="e">
        <f>IF(X201="","",IF(I201="CNC",16*VLOOKUP("Box staples",#REF!,2,FALSE),""))</f>
        <v>#REF!</v>
      </c>
      <c r="AX201" s="18" t="e">
        <f>IF(X201="","",IF(I201="CNC",((((G201+6)+(F201+6))*2)+24)*VLOOKUP("sealing tape",#REF!,2,FALSE),VLOOKUP("Strapping tape",#REF!,2,FALSE)))</f>
        <v>#REF!</v>
      </c>
      <c r="AY201" s="17"/>
      <c r="AZ201" s="17"/>
      <c r="BA201" s="17"/>
      <c r="BB201" s="17"/>
      <c r="BC201" s="96"/>
      <c r="BD201" s="96"/>
      <c r="BE201" s="96"/>
      <c r="BF201" s="96"/>
      <c r="BG201" s="96"/>
      <c r="BH201" s="96"/>
      <c r="BI201" s="96"/>
    </row>
    <row r="202" spans="1:61" x14ac:dyDescent="0.45">
      <c r="A202" s="103" t="s">
        <v>1263</v>
      </c>
      <c r="B202" s="17" t="s">
        <v>1260</v>
      </c>
      <c r="C202" s="16">
        <v>44630</v>
      </c>
      <c r="D202" s="17" t="s">
        <v>66</v>
      </c>
      <c r="E202" s="15" t="s">
        <v>1</v>
      </c>
      <c r="F202" s="17">
        <v>29</v>
      </c>
      <c r="G202" s="17">
        <v>36</v>
      </c>
      <c r="H202" s="3" t="s">
        <v>43</v>
      </c>
      <c r="I202" s="88" t="s">
        <v>41</v>
      </c>
      <c r="J202" s="87">
        <v>44641</v>
      </c>
      <c r="K202" s="15">
        <v>775</v>
      </c>
      <c r="L202" s="96">
        <v>25</v>
      </c>
      <c r="M202" s="89">
        <v>35.18</v>
      </c>
      <c r="N202" s="88">
        <v>18</v>
      </c>
      <c r="O202" s="413" t="str">
        <f t="shared" si="1"/>
        <v>29 x 36</v>
      </c>
      <c r="P202" s="18" t="str">
        <f t="shared" si="2"/>
        <v>31 x 38</v>
      </c>
      <c r="Q202" s="91" t="str">
        <f t="shared" si="3"/>
        <v>N/A</v>
      </c>
      <c r="R202" s="18" t="str">
        <f t="shared" si="4"/>
        <v>44 x 38 x 6</v>
      </c>
      <c r="S202" s="18">
        <v>44</v>
      </c>
      <c r="T202" s="18">
        <v>38</v>
      </c>
      <c r="U202" s="18">
        <v>6</v>
      </c>
      <c r="V202" s="18">
        <f t="shared" si="47"/>
        <v>123</v>
      </c>
      <c r="W202" s="287">
        <f t="shared" si="51"/>
        <v>1.4072</v>
      </c>
      <c r="X202" s="287" t="str">
        <f t="shared" si="52"/>
        <v>Yes</v>
      </c>
      <c r="Y202" s="93" t="e">
        <f t="shared" si="53"/>
        <v>#REF!</v>
      </c>
      <c r="Z202" s="288" t="e">
        <f t="shared" si="54"/>
        <v>#REF!</v>
      </c>
      <c r="AA202" s="94" t="e">
        <f t="shared" si="55"/>
        <v>#REF!</v>
      </c>
      <c r="AB202" s="288" t="e">
        <f t="shared" si="56"/>
        <v>#REF!</v>
      </c>
      <c r="AC202" s="91" t="e">
        <f>IF(X202="","",IF(D202="2 3D",((F202-0.5)*2+(G202-0.5)*2)*VLOOKUP("3D base",#REF!,2,FALSE),IF(D202="3 Canv", IF(E202="Roll",0,ROUND(SUM(F202:G202)*2,0)),0)*VLOOKUP("Stretcher Bar",#REF!,2,FALSE)))</f>
        <v>#REF!</v>
      </c>
      <c r="AD202" s="91" t="e">
        <f>IF(X202="","",IF(E202="Roll",0,IF(D202="2 3D",(SUM(F202:G202)*2)*VLOOKUP("3D epoxy",#REF!,2,FALSE),IF(D202="3 Canv",VLOOKUP("Wood glue",#REF!,2,FALSE),""))))</f>
        <v>#REF!</v>
      </c>
      <c r="AE202" s="91" t="e">
        <f>IF(D202="3 Canv",(((F202+5)*(G202+5)))*VLOOKUP("Canvas",#REF!,2,FALSE),IF(D202="2 3D",(((F202)*(G202)))*VLOOKUP("Dibond",#REF!,2,FALSE),""))</f>
        <v>#REF!</v>
      </c>
      <c r="AF202" s="91" t="e">
        <f>IF(D202="2 3D",F202*G202*VLOOKUP("3D ink",#REF!,2,FALSE),IF(D202="3 Canv",F202*G202*VLOOKUP("Canvas ink",#REF!,2,FALSE),""))</f>
        <v>#REF!</v>
      </c>
      <c r="AG202" s="91" t="e">
        <f>IF(D202="3 Canv",IF(E202="Roll","",ROUNDUP((SUM(F202:G202)*2)/3,"")*VLOOKUP("Staples",#REF!,2,FALSE)),"")</f>
        <v>#VALUE!</v>
      </c>
      <c r="AH202" s="91" t="e">
        <f>IF(AF202="","",(SUM(F202:G202)*2)*VLOOKUP(E202,#REF!,2,FALSE))</f>
        <v>#REF!</v>
      </c>
      <c r="AI202" s="18">
        <f t="shared" si="57"/>
        <v>44</v>
      </c>
      <c r="AJ202" s="91" t="e">
        <f>IF(AI202="","",AI202*VLOOKUP("Staples",#REF!,2,FALSE))</f>
        <v>#REF!</v>
      </c>
      <c r="AK202" s="18" t="e">
        <f t="shared" si="58"/>
        <v>#REF!</v>
      </c>
      <c r="AL202" s="91" t="e">
        <f>IF(AK202="","",AK202*VLOOKUP("Frame screw",#REF!,2,FALSE))</f>
        <v>#REF!</v>
      </c>
      <c r="AM202" s="18" t="e">
        <f t="shared" si="59"/>
        <v>#REF!</v>
      </c>
      <c r="AN202" s="91" t="e">
        <f>IF(AM202="","",AM202*VLOOKUP("D ring",#REF!,2,FALSE))</f>
        <v>#REF!</v>
      </c>
      <c r="AO202" s="18" t="e">
        <f t="shared" si="60"/>
        <v>#REF!</v>
      </c>
      <c r="AP202" s="91" t="e">
        <f>IF(AO202="","",IF(G202&gt;59,AO202* VLOOKUP("8 wire",#REF!,2,FALSE)*2,IF(G202&gt;39,AO202* VLOOKUP("8 wire",#REF!,2,FALSE),AO202* VLOOKUP("6 wire",#REF!,2,FALSE))))</f>
        <v>#REF!</v>
      </c>
      <c r="AQ202" s="18">
        <f t="shared" si="61"/>
        <v>4</v>
      </c>
      <c r="AR202" s="18" t="e">
        <f>IF(AQ202="","",AQ202*VLOOKUP("Pads",#REF!,2,FALSE))</f>
        <v>#REF!</v>
      </c>
      <c r="AS202" s="18">
        <f t="shared" si="62"/>
        <v>1</v>
      </c>
      <c r="AT202" s="91" t="e">
        <f>IF(AS202="","",AS202*VLOOKUP("4 mil bag",#REF!,2,FALSE))</f>
        <v>#REF!</v>
      </c>
      <c r="AU202" s="91">
        <f>IF(X202="","",IF(I202="N/A","",IF(I202="CNC",IF(G202&gt;37,20,10),VLOOKUP(I202,#REF!,2,FALSE))))</f>
        <v>10</v>
      </c>
      <c r="AV202" s="91" t="e">
        <f>IF(X202="","",IF(I202="CNC",VLOOKUP("Glue stick",#REF!,2,FALSE),""))</f>
        <v>#REF!</v>
      </c>
      <c r="AW202" s="91" t="e">
        <f>IF(X202="","",IF(I202="CNC",16*VLOOKUP("Box staples",#REF!,2,FALSE),""))</f>
        <v>#REF!</v>
      </c>
      <c r="AX202" s="18" t="e">
        <f>IF(X202="","",IF(I202="CNC",((((G202+6)+(F202+6))*2)+24)*VLOOKUP("sealing tape",#REF!,2,FALSE),VLOOKUP("Strapping tape",#REF!,2,FALSE)))</f>
        <v>#REF!</v>
      </c>
      <c r="AY202" s="17"/>
      <c r="AZ202" s="17"/>
      <c r="BA202" s="17"/>
      <c r="BB202" s="17"/>
      <c r="BC202" s="96"/>
      <c r="BD202" s="96"/>
      <c r="BE202" s="96"/>
      <c r="BF202" s="96"/>
      <c r="BG202" s="96"/>
      <c r="BH202" s="96"/>
      <c r="BI202" s="96"/>
    </row>
    <row r="203" spans="1:61" x14ac:dyDescent="0.45">
      <c r="A203" s="103" t="s">
        <v>1041</v>
      </c>
      <c r="B203" s="17" t="s">
        <v>1267</v>
      </c>
      <c r="C203" s="16">
        <v>44640</v>
      </c>
      <c r="D203" s="17" t="s">
        <v>66</v>
      </c>
      <c r="E203" s="15" t="s">
        <v>558</v>
      </c>
      <c r="F203" s="17">
        <v>26</v>
      </c>
      <c r="G203" s="17">
        <v>39</v>
      </c>
      <c r="H203" s="3" t="s">
        <v>43</v>
      </c>
      <c r="I203" s="88" t="s">
        <v>84</v>
      </c>
      <c r="J203" s="87">
        <v>44642</v>
      </c>
      <c r="K203" s="15">
        <v>310.25</v>
      </c>
      <c r="L203" s="96">
        <v>20</v>
      </c>
      <c r="M203" s="89">
        <v>10.3</v>
      </c>
      <c r="N203" s="88">
        <v>2</v>
      </c>
      <c r="O203" s="413" t="str">
        <f t="shared" si="1"/>
        <v>26 x 39</v>
      </c>
      <c r="P203" s="18" t="str">
        <f t="shared" si="2"/>
        <v>N/A</v>
      </c>
      <c r="Q203" s="91">
        <f t="shared" si="3"/>
        <v>2.85</v>
      </c>
      <c r="R203" s="18" t="str">
        <f t="shared" si="4"/>
        <v>37 x 3 x 3</v>
      </c>
      <c r="S203" s="18">
        <v>37</v>
      </c>
      <c r="T203" s="18">
        <v>3</v>
      </c>
      <c r="U203" s="18">
        <v>3</v>
      </c>
      <c r="V203" s="90">
        <f t="shared" si="47"/>
        <v>49</v>
      </c>
      <c r="W203" s="287">
        <f t="shared" si="51"/>
        <v>0.51500000000000001</v>
      </c>
      <c r="X203" s="287" t="str">
        <f t="shared" si="52"/>
        <v>Yes</v>
      </c>
      <c r="Y203" s="93" t="e">
        <f t="shared" si="53"/>
        <v>#REF!</v>
      </c>
      <c r="Z203" s="288" t="e">
        <f t="shared" si="54"/>
        <v>#REF!</v>
      </c>
      <c r="AA203" s="94" t="e">
        <f t="shared" si="55"/>
        <v>#REF!</v>
      </c>
      <c r="AB203" s="288" t="e">
        <f t="shared" si="56"/>
        <v>#REF!</v>
      </c>
      <c r="AC203" s="91" t="e">
        <f>IF(X203="","",IF(D203="2 3D",((F203-0.5)*2+(G203-0.5)*2)*VLOOKUP("3D base",#REF!,2,FALSE),IF(D203="3 Canv", IF(E203="Roll",0,ROUND(SUM(F203:G203)*2,0)),0)*VLOOKUP("Stretcher Bar",#REF!,2,FALSE)))</f>
        <v>#REF!</v>
      </c>
      <c r="AD203" s="91">
        <f>IF(X203="","",IF(E203="Roll",0,IF(D203="2 3D",(SUM(F203:G203)*2)*VLOOKUP("3D epoxy",#REF!,2,FALSE),IF(D203="3 Canv",VLOOKUP("Wood glue",#REF!,2,FALSE),""))))</f>
        <v>0</v>
      </c>
      <c r="AE203" s="91" t="e">
        <f>IF(D203="3 Canv",(((F203+5)*(G203+5)))*VLOOKUP("Canvas",#REF!,2,FALSE),IF(D203="2 3D",(((F203)*(G203)))*VLOOKUP("Dibond",#REF!,2,FALSE),""))</f>
        <v>#REF!</v>
      </c>
      <c r="AF203" s="91" t="e">
        <f>IF(D203="2 3D",F203*G203*VLOOKUP("3D ink",#REF!,2,FALSE),IF(D203="3 Canv",F203*G203*VLOOKUP("Canvas ink",#REF!,2,FALSE),""))</f>
        <v>#REF!</v>
      </c>
      <c r="AG203" s="91" t="str">
        <f>IF(D203="3 Canv",IF(E203="Roll","",ROUNDUP((SUM(F203:G203)*2)/3,"")*VLOOKUP("Staples",#REF!,2,FALSE)),"")</f>
        <v/>
      </c>
      <c r="AH203" s="91" t="e">
        <f>IF(AF203="","",(SUM(F203:G203)*2)*VLOOKUP(E203,#REF!,2,FALSE))</f>
        <v>#REF!</v>
      </c>
      <c r="AI203" s="18" t="str">
        <f t="shared" si="57"/>
        <v/>
      </c>
      <c r="AJ203" s="91" t="str">
        <f>IF(AI203="","",AI203*VLOOKUP("Staples",#REF!,2,FALSE))</f>
        <v/>
      </c>
      <c r="AK203" s="18" t="str">
        <f t="shared" si="58"/>
        <v/>
      </c>
      <c r="AL203" s="91" t="str">
        <f>IF(AK203="","",AK203*VLOOKUP("Frame screw",#REF!,2,FALSE))</f>
        <v/>
      </c>
      <c r="AM203" s="18" t="e">
        <f t="shared" si="59"/>
        <v>#REF!</v>
      </c>
      <c r="AN203" s="91" t="e">
        <f>IF(AM203="","",AM203*VLOOKUP("D ring",#REF!,2,FALSE))</f>
        <v>#REF!</v>
      </c>
      <c r="AO203" s="18" t="e">
        <f t="shared" si="60"/>
        <v>#REF!</v>
      </c>
      <c r="AP203" s="18" t="e">
        <f>IF(AO203="","",IF(G203&gt;59,AO203* VLOOKUP("8 wire",#REF!,2,FALSE)*2,IF(G203&gt;39,AO203* VLOOKUP("8 wire",#REF!,2,FALSE),AO203* VLOOKUP("6 wire",#REF!,2,FALSE))))</f>
        <v>#REF!</v>
      </c>
      <c r="AQ203" s="18" t="str">
        <f t="shared" si="61"/>
        <v/>
      </c>
      <c r="AR203" s="18" t="str">
        <f>IF(AQ203="","",AQ203*VLOOKUP("Pads",#REF!,2,FALSE))</f>
        <v/>
      </c>
      <c r="AS203" s="18" t="str">
        <f t="shared" si="62"/>
        <v/>
      </c>
      <c r="AT203" s="18" t="str">
        <f>IF(AS203="","",AS203*VLOOKUP("4 mil bag",#REF!,2,FALSE))</f>
        <v/>
      </c>
      <c r="AU203" s="91" t="e">
        <f>IF(X203="","",IF(I203="N/A","",IF(I203="CNC",IF(G203&gt;37,20,10),VLOOKUP(I203,#REF!,2,FALSE))))</f>
        <v>#REF!</v>
      </c>
      <c r="AV203" s="18" t="str">
        <f>IF(X203="","",IF(I203="CNC",VLOOKUP("Glue stick",#REF!,2,FALSE),""))</f>
        <v/>
      </c>
      <c r="AW203" s="18" t="str">
        <f>IF(X203="","",IF(I203="CNC",16*VLOOKUP("Box staples",#REF!,2,FALSE),""))</f>
        <v/>
      </c>
      <c r="AX203" s="91" t="e">
        <f>IF(X203="","",IF(I203="CNC",((((G203+6)+(F203+6))*2)+24)*VLOOKUP("sealing tape",#REF!,2,FALSE),VLOOKUP("Strapping tape",#REF!,2,FALSE)))</f>
        <v>#REF!</v>
      </c>
      <c r="AY203" s="17"/>
      <c r="AZ203" s="17"/>
      <c r="BA203" s="17"/>
      <c r="BB203" s="17"/>
      <c r="BC203" s="96"/>
      <c r="BD203" s="96"/>
      <c r="BE203" s="96"/>
      <c r="BF203" s="96"/>
      <c r="BG203" s="96"/>
      <c r="BH203" s="96"/>
      <c r="BI203" s="96"/>
    </row>
    <row r="204" spans="1:61" x14ac:dyDescent="0.45">
      <c r="A204" s="103" t="s">
        <v>950</v>
      </c>
      <c r="B204" s="17" t="s">
        <v>2662</v>
      </c>
      <c r="C204" s="16">
        <v>44627</v>
      </c>
      <c r="D204" s="17" t="s">
        <v>54</v>
      </c>
      <c r="E204" s="15" t="s">
        <v>690</v>
      </c>
      <c r="F204" s="17">
        <v>20</v>
      </c>
      <c r="G204" s="17">
        <v>30</v>
      </c>
      <c r="H204" s="3" t="s">
        <v>43</v>
      </c>
      <c r="I204" s="88" t="s">
        <v>41</v>
      </c>
      <c r="J204" s="87">
        <v>44642</v>
      </c>
      <c r="K204" s="15">
        <v>1800</v>
      </c>
      <c r="L204" s="96">
        <v>0</v>
      </c>
      <c r="M204" s="89">
        <v>14.08</v>
      </c>
      <c r="N204" s="88">
        <v>17</v>
      </c>
      <c r="O204" s="413" t="str">
        <f t="shared" si="1"/>
        <v>20 x 30</v>
      </c>
      <c r="P204" s="18" t="str">
        <f t="shared" si="2"/>
        <v>22 x 32</v>
      </c>
      <c r="Q204" s="91" t="str">
        <f t="shared" si="3"/>
        <v>N/A</v>
      </c>
      <c r="R204" s="18" t="str">
        <f t="shared" si="4"/>
        <v>38 x 29 x 6</v>
      </c>
      <c r="S204" s="18">
        <v>38</v>
      </c>
      <c r="T204" s="18">
        <v>29</v>
      </c>
      <c r="U204" s="18">
        <v>6</v>
      </c>
      <c r="V204" s="18">
        <f t="shared" si="47"/>
        <v>99</v>
      </c>
      <c r="W204" s="287" t="str">
        <f t="shared" si="51"/>
        <v/>
      </c>
      <c r="X204" s="287" t="str">
        <f t="shared" si="52"/>
        <v>Yes</v>
      </c>
      <c r="Y204" s="93" t="e">
        <f t="shared" si="53"/>
        <v>#REF!</v>
      </c>
      <c r="Z204" s="288" t="e">
        <f t="shared" si="54"/>
        <v>#REF!</v>
      </c>
      <c r="AA204" s="94" t="e">
        <f t="shared" si="55"/>
        <v>#REF!</v>
      </c>
      <c r="AB204" s="288" t="e">
        <f t="shared" si="56"/>
        <v>#REF!</v>
      </c>
      <c r="AC204" s="91" t="e">
        <f>IF(X204="","",IF(D204="2 3D",((F204-0.5)*2+(G204-0.5)*2)*VLOOKUP("3D base",#REF!,2,FALSE),IF(D204="3 Canv", IF(E204="Roll",0,ROUND(SUM(F204:G204)*2,0)),0)*VLOOKUP("Stretcher Bar",#REF!,2,FALSE)))</f>
        <v>#REF!</v>
      </c>
      <c r="AD204" s="91" t="e">
        <f>IF(X204="","",IF(E204="Roll",0,IF(D204="2 3D",(SUM(F204:G204)*2)*VLOOKUP("3D epoxy",#REF!,2,FALSE),IF(D204="3 Canv",VLOOKUP("Wood glue",#REF!,2,FALSE),""))))</f>
        <v>#REF!</v>
      </c>
      <c r="AE204" s="91" t="e">
        <f>IF(D204="3 Canv",(((F204+5)*(G204+5)))*VLOOKUP("Canvas",#REF!,2,FALSE),IF(D204="2 3D",(((F204)*(G204)))*VLOOKUP("Dibond",#REF!,2,FALSE),""))</f>
        <v>#REF!</v>
      </c>
      <c r="AF204" s="91" t="e">
        <f>IF(D204="2 3D",F204*G204*VLOOKUP("3D ink",#REF!,2,FALSE),IF(D204="3 Canv",F204*G204*VLOOKUP("Canvas ink",#REF!,2,FALSE),""))</f>
        <v>#REF!</v>
      </c>
      <c r="AG204" s="91" t="str">
        <f>IF(D204="3 Canv",IF(E204="Roll","",ROUNDUP((SUM(F204:G204)*2)/3,"")*VLOOKUP("Staples",#REF!,2,FALSE)),"")</f>
        <v/>
      </c>
      <c r="AH204" s="91" t="e">
        <f>IF(AF204="","",(SUM(F204:G204)*2)*VLOOKUP(E204,#REF!,2,FALSE))</f>
        <v>#REF!</v>
      </c>
      <c r="AI204" s="18">
        <f t="shared" si="57"/>
        <v>44</v>
      </c>
      <c r="AJ204" s="91" t="e">
        <f>IF(AI204="","",AI204*VLOOKUP("Staples",#REF!,2,FALSE))</f>
        <v>#REF!</v>
      </c>
      <c r="AK204" s="18" t="e">
        <f t="shared" si="58"/>
        <v>#REF!</v>
      </c>
      <c r="AL204" s="91" t="e">
        <f>IF(AK204="","",AK204*VLOOKUP("Frame screw",#REF!,2,FALSE))</f>
        <v>#REF!</v>
      </c>
      <c r="AM204" s="18" t="e">
        <f t="shared" si="59"/>
        <v>#REF!</v>
      </c>
      <c r="AN204" s="91" t="e">
        <f>IF(AM204="","",AM204*VLOOKUP("D ring",#REF!,2,FALSE))</f>
        <v>#REF!</v>
      </c>
      <c r="AO204" s="18" t="e">
        <f t="shared" si="60"/>
        <v>#REF!</v>
      </c>
      <c r="AP204" s="91" t="e">
        <f>IF(AO204="","",IF(G204&gt;59,AO204* VLOOKUP("8 wire",#REF!,2,FALSE)*2,IF(G204&gt;39,AO204* VLOOKUP("8 wire",#REF!,2,FALSE),AO204* VLOOKUP("6 wire",#REF!,2,FALSE))))</f>
        <v>#REF!</v>
      </c>
      <c r="AQ204" s="18">
        <f t="shared" si="61"/>
        <v>4</v>
      </c>
      <c r="AR204" s="18" t="e">
        <f>IF(AQ204="","",AQ204*VLOOKUP("Pads",#REF!,2,FALSE))</f>
        <v>#REF!</v>
      </c>
      <c r="AS204" s="18">
        <f t="shared" si="62"/>
        <v>1</v>
      </c>
      <c r="AT204" s="91" t="e">
        <f>IF(AS204="","",AS204*VLOOKUP("4 mil bag",#REF!,2,FALSE))</f>
        <v>#REF!</v>
      </c>
      <c r="AU204" s="91">
        <f>IF(X204="","",IF(I204="N/A","",IF(I204="CNC",IF(G204&gt;37,20,10),VLOOKUP(I204,#REF!,2,FALSE))))</f>
        <v>10</v>
      </c>
      <c r="AV204" s="91" t="e">
        <f>IF(X204="","",IF(I204="CNC",VLOOKUP("Glue stick",#REF!,2,FALSE),""))</f>
        <v>#REF!</v>
      </c>
      <c r="AW204" s="91" t="e">
        <f>IF(X204="","",IF(I204="CNC",16*VLOOKUP("Box staples",#REF!,2,FALSE),""))</f>
        <v>#REF!</v>
      </c>
      <c r="AX204" s="18" t="e">
        <f>IF(X204="","",IF(I204="CNC",((((G204+6)+(F204+6))*2)+24)*VLOOKUP("sealing tape",#REF!,2,FALSE),VLOOKUP("Strapping tape",#REF!,2,FALSE)))</f>
        <v>#REF!</v>
      </c>
      <c r="AY204" s="17"/>
      <c r="AZ204" s="17"/>
      <c r="BA204" s="17"/>
      <c r="BB204" s="17"/>
      <c r="BC204" s="96"/>
      <c r="BD204" s="96"/>
      <c r="BE204" s="96"/>
      <c r="BF204" s="96"/>
      <c r="BG204" s="96"/>
      <c r="BH204" s="96"/>
      <c r="BI204" s="96"/>
    </row>
    <row r="205" spans="1:61" x14ac:dyDescent="0.45">
      <c r="A205" s="103" t="s">
        <v>566</v>
      </c>
      <c r="B205" s="17" t="s">
        <v>2662</v>
      </c>
      <c r="C205" s="16">
        <v>44627</v>
      </c>
      <c r="D205" s="17" t="s">
        <v>54</v>
      </c>
      <c r="E205" s="15" t="s">
        <v>690</v>
      </c>
      <c r="F205" s="17">
        <v>32</v>
      </c>
      <c r="G205" s="17">
        <v>40</v>
      </c>
      <c r="H205" s="3" t="s">
        <v>43</v>
      </c>
      <c r="I205" s="88" t="s">
        <v>41</v>
      </c>
      <c r="J205" s="87">
        <v>44642</v>
      </c>
      <c r="K205" s="15">
        <v>3900</v>
      </c>
      <c r="L205" s="96">
        <v>0</v>
      </c>
      <c r="M205" s="89">
        <v>133.18</v>
      </c>
      <c r="N205" s="88">
        <v>27</v>
      </c>
      <c r="O205" s="413" t="str">
        <f t="shared" si="1"/>
        <v>32 x 40</v>
      </c>
      <c r="P205" s="18" t="str">
        <f t="shared" si="2"/>
        <v>34 x 42</v>
      </c>
      <c r="Q205" s="91" t="str">
        <f t="shared" si="3"/>
        <v>N/A</v>
      </c>
      <c r="R205" s="18" t="str">
        <f t="shared" si="4"/>
        <v>48 x 41 x 6</v>
      </c>
      <c r="S205" s="18">
        <v>48</v>
      </c>
      <c r="T205" s="18">
        <v>41</v>
      </c>
      <c r="U205" s="18">
        <v>6</v>
      </c>
      <c r="V205" s="18">
        <f t="shared" si="47"/>
        <v>133</v>
      </c>
      <c r="W205" s="287" t="str">
        <f t="shared" si="51"/>
        <v/>
      </c>
      <c r="X205" s="287" t="str">
        <f t="shared" si="52"/>
        <v>Yes</v>
      </c>
      <c r="Y205" s="93" t="e">
        <f t="shared" si="53"/>
        <v>#REF!</v>
      </c>
      <c r="Z205" s="288" t="e">
        <f t="shared" si="54"/>
        <v>#REF!</v>
      </c>
      <c r="AA205" s="418" t="e">
        <f t="shared" si="55"/>
        <v>#REF!</v>
      </c>
      <c r="AB205" s="288" t="e">
        <f t="shared" si="56"/>
        <v>#REF!</v>
      </c>
      <c r="AC205" s="91" t="e">
        <f>IF(X205="","",IF(D205="2 3D",((F205-0.5)*2+(G205-0.5)*2)*VLOOKUP("3D base",#REF!,2,FALSE),IF(D205="3 Canv", IF(E205="Roll",0,ROUND(SUM(F205:G205)*2,0)),0)*VLOOKUP("Stretcher Bar",#REF!,2,FALSE)))</f>
        <v>#REF!</v>
      </c>
      <c r="AD205" s="91" t="e">
        <f>IF(X205="","",IF(E205="Roll",0,IF(D205="2 3D",(SUM(F205:G205)*2)*VLOOKUP("3D epoxy",#REF!,2,FALSE),IF(D205="3 Canv",VLOOKUP("Wood glue",#REF!,2,FALSE),""))))</f>
        <v>#REF!</v>
      </c>
      <c r="AE205" s="91" t="e">
        <f>IF(D205="3 Canv",(((F205+5)*(G205+5)))*VLOOKUP("Canvas",#REF!,2,FALSE),IF(D205="2 3D",(((F205)*(G205)))*VLOOKUP("Dibond",#REF!,2,FALSE),""))</f>
        <v>#REF!</v>
      </c>
      <c r="AF205" s="91" t="e">
        <f>IF(D205="2 3D",F205*G205*VLOOKUP("3D ink",#REF!,2,FALSE),IF(D205="3 Canv",F205*G205*VLOOKUP("Canvas ink",#REF!,2,FALSE),""))</f>
        <v>#REF!</v>
      </c>
      <c r="AG205" s="91" t="str">
        <f>IF(D205="3 Canv",IF(E205="Roll","",ROUNDUP((SUM(F205:G205)*2)/3,"")*VLOOKUP("Staples",#REF!,2,FALSE)),"")</f>
        <v/>
      </c>
      <c r="AH205" s="91" t="e">
        <f>IF(AF205="","",(SUM(F205:G205)*2)*VLOOKUP(E205,#REF!,2,FALSE))</f>
        <v>#REF!</v>
      </c>
      <c r="AI205" s="18">
        <f t="shared" si="57"/>
        <v>44</v>
      </c>
      <c r="AJ205" s="91" t="e">
        <f>IF(AI205="","",AI205*VLOOKUP("Staples",#REF!,2,FALSE))</f>
        <v>#REF!</v>
      </c>
      <c r="AK205" s="18" t="e">
        <f t="shared" si="58"/>
        <v>#REF!</v>
      </c>
      <c r="AL205" s="91" t="e">
        <f>IF(AK205="","",AK205*VLOOKUP("Frame screw",#REF!,2,FALSE))</f>
        <v>#REF!</v>
      </c>
      <c r="AM205" s="18" t="e">
        <f t="shared" si="59"/>
        <v>#REF!</v>
      </c>
      <c r="AN205" s="91" t="e">
        <f>IF(AM205="","",AM205*VLOOKUP("D ring",#REF!,2,FALSE))</f>
        <v>#REF!</v>
      </c>
      <c r="AO205" s="18" t="e">
        <f t="shared" si="60"/>
        <v>#REF!</v>
      </c>
      <c r="AP205" s="91" t="e">
        <f>IF(AO205="","",IF(G205&gt;59,AO205* VLOOKUP("8 wire",#REF!,2,FALSE)*2,IF(G205&gt;39,AO205* VLOOKUP("8 wire",#REF!,2,FALSE),AO205* VLOOKUP("6 wire",#REF!,2,FALSE))))</f>
        <v>#REF!</v>
      </c>
      <c r="AQ205" s="18">
        <f t="shared" si="61"/>
        <v>4</v>
      </c>
      <c r="AR205" s="18" t="e">
        <f>IF(AQ205="","",AQ205*VLOOKUP("Pads",#REF!,2,FALSE))</f>
        <v>#REF!</v>
      </c>
      <c r="AS205" s="18">
        <f t="shared" si="62"/>
        <v>1</v>
      </c>
      <c r="AT205" s="91" t="e">
        <f>IF(AS205="","",AS205*VLOOKUP("4 mil bag",#REF!,2,FALSE))</f>
        <v>#REF!</v>
      </c>
      <c r="AU205" s="91">
        <f>IF(X205="","",IF(I205="N/A","",IF(I205="CNC",IF(G205&gt;37,20,10),VLOOKUP(I205,#REF!,2,FALSE))))</f>
        <v>20</v>
      </c>
      <c r="AV205" s="91" t="e">
        <f>IF(X205="","",IF(I205="CNC",VLOOKUP("Glue stick",#REF!,2,FALSE),""))</f>
        <v>#REF!</v>
      </c>
      <c r="AW205" s="91" t="e">
        <f>IF(X205="","",IF(I205="CNC",16*VLOOKUP("Box staples",#REF!,2,FALSE),""))</f>
        <v>#REF!</v>
      </c>
      <c r="AX205" s="18" t="e">
        <f>IF(X205="","",IF(I205="CNC",((((G205+6)+(F205+6))*2)+24)*VLOOKUP("sealing tape",#REF!,2,FALSE),VLOOKUP("Strapping tape",#REF!,2,FALSE)))</f>
        <v>#REF!</v>
      </c>
      <c r="AY205" s="17"/>
      <c r="AZ205" s="17"/>
      <c r="BA205" s="17"/>
      <c r="BB205" s="17"/>
      <c r="BC205" s="96"/>
      <c r="BD205" s="96"/>
      <c r="BE205" s="96"/>
      <c r="BF205" s="96"/>
      <c r="BG205" s="96"/>
      <c r="BH205" s="96"/>
      <c r="BI205" s="96"/>
    </row>
    <row r="206" spans="1:61" x14ac:dyDescent="0.45">
      <c r="A206" s="17" t="s">
        <v>320</v>
      </c>
      <c r="B206" s="17" t="s">
        <v>2663</v>
      </c>
      <c r="C206" s="16">
        <v>44639</v>
      </c>
      <c r="D206" s="17" t="s">
        <v>66</v>
      </c>
      <c r="E206" s="15" t="s">
        <v>50</v>
      </c>
      <c r="F206" s="17">
        <v>34</v>
      </c>
      <c r="G206" s="17">
        <v>46</v>
      </c>
      <c r="H206" s="3" t="s">
        <v>55</v>
      </c>
      <c r="I206" s="88" t="s">
        <v>45</v>
      </c>
      <c r="J206" s="87">
        <v>44645</v>
      </c>
      <c r="K206" s="15">
        <v>835</v>
      </c>
      <c r="L206" s="96">
        <v>0</v>
      </c>
      <c r="M206" s="89">
        <v>0</v>
      </c>
      <c r="N206" s="88"/>
      <c r="O206" s="413" t="str">
        <f t="shared" si="1"/>
        <v>34 x 46</v>
      </c>
      <c r="P206" s="18" t="str">
        <f t="shared" si="2"/>
        <v>34 x 46</v>
      </c>
      <c r="Q206" s="91" t="str">
        <f t="shared" si="3"/>
        <v>N/A</v>
      </c>
      <c r="R206" s="18" t="str">
        <f t="shared" si="4"/>
        <v>N/A</v>
      </c>
      <c r="S206" s="18" t="s">
        <v>45</v>
      </c>
      <c r="T206" s="18"/>
      <c r="U206" s="18"/>
      <c r="V206" s="91" t="str">
        <f t="shared" si="47"/>
        <v>N/A</v>
      </c>
      <c r="W206" s="287" t="str">
        <f t="shared" si="51"/>
        <v/>
      </c>
      <c r="X206" s="287" t="str">
        <f t="shared" si="52"/>
        <v>Yes</v>
      </c>
      <c r="Y206" s="93" t="e">
        <f t="shared" si="53"/>
        <v>#REF!</v>
      </c>
      <c r="Z206" s="288" t="e">
        <f t="shared" si="54"/>
        <v>#REF!</v>
      </c>
      <c r="AA206" s="418" t="e">
        <f t="shared" si="55"/>
        <v>#REF!</v>
      </c>
      <c r="AB206" s="288" t="e">
        <f t="shared" si="56"/>
        <v>#REF!</v>
      </c>
      <c r="AC206" s="91" t="e">
        <f>IF(X206="","",IF(D206="2 3D",((F206-0.5)*2+(G206-0.5)*2)*VLOOKUP("3D base",#REF!,2,FALSE),IF(D206="3 Canv", IF(E206="Roll",0,ROUND(SUM(F206:G206)*2,0)),0)*VLOOKUP("Stretcher Bar",#REF!,2,FALSE)))</f>
        <v>#REF!</v>
      </c>
      <c r="AD206" s="91" t="e">
        <f>IF(X206="","",IF(E206="Roll",0,IF(D206="2 3D",(SUM(F206:G206)*2)*VLOOKUP("3D epoxy",#REF!,2,FALSE),IF(D206="3 Canv",VLOOKUP("Wood glue",#REF!,2,FALSE),""))))</f>
        <v>#REF!</v>
      </c>
      <c r="AE206" s="91" t="e">
        <f>IF(D206="3 Canv",(((F206+5)*(G206+5)))*VLOOKUP("Canvas",#REF!,2,FALSE),IF(D206="2 3D",(((F206)*(G206)))*VLOOKUP("Dibond",#REF!,2,FALSE),""))</f>
        <v>#REF!</v>
      </c>
      <c r="AF206" s="91" t="e">
        <f>IF(D206="2 3D",F206*G206*VLOOKUP("3D ink",#REF!,2,FALSE),IF(D206="3 Canv",F206*G206*VLOOKUP("Canvas ink",#REF!,2,FALSE),""))</f>
        <v>#REF!</v>
      </c>
      <c r="AG206" s="91" t="e">
        <f>IF(D206="3 Canv",IF(E206="Roll","",ROUNDUP((SUM(F206:G206)*2)/3,"")*VLOOKUP("Staples",#REF!,2,FALSE)),"")</f>
        <v>#VALUE!</v>
      </c>
      <c r="AH206" s="91" t="e">
        <f>IF(AF206="","",(SUM(F206:G206)*2)*VLOOKUP(E206,#REF!,2,FALSE))</f>
        <v>#REF!</v>
      </c>
      <c r="AI206" s="18">
        <f t="shared" si="57"/>
        <v>16</v>
      </c>
      <c r="AJ206" s="91" t="e">
        <f>IF(AI206="","",AI206*VLOOKUP("Staples",#REF!,2,FALSE))</f>
        <v>#REF!</v>
      </c>
      <c r="AK206" s="18" t="e">
        <f t="shared" si="58"/>
        <v>#REF!</v>
      </c>
      <c r="AL206" s="18" t="e">
        <f>IF(AK206="","",AK206*VLOOKUP("Frame screw",#REF!,2,FALSE))</f>
        <v>#REF!</v>
      </c>
      <c r="AM206" s="18" t="e">
        <f t="shared" si="59"/>
        <v>#REF!</v>
      </c>
      <c r="AN206" s="91" t="e">
        <f>IF(AM206="","",AM206*VLOOKUP("D ring",#REF!,2,FALSE))</f>
        <v>#REF!</v>
      </c>
      <c r="AO206" s="18" t="e">
        <f t="shared" si="60"/>
        <v>#REF!</v>
      </c>
      <c r="AP206" s="91" t="e">
        <f>IF(AO206="","",IF(G206&gt;59,AO206* VLOOKUP("8 wire",#REF!,2,FALSE)*2,IF(G206&gt;39,AO206* VLOOKUP("8 wire",#REF!,2,FALSE),AO206* VLOOKUP("6 wire",#REF!,2,FALSE))))</f>
        <v>#REF!</v>
      </c>
      <c r="AQ206" s="18">
        <f t="shared" si="61"/>
        <v>4</v>
      </c>
      <c r="AR206" s="18" t="e">
        <f>IF(AQ206="","",AQ206*VLOOKUP("Pads",#REF!,2,FALSE))</f>
        <v>#REF!</v>
      </c>
      <c r="AS206" s="18">
        <f t="shared" si="62"/>
        <v>1</v>
      </c>
      <c r="AT206" s="91" t="e">
        <f>IF(AS206="","",AS206*VLOOKUP("4 mil bag",#REF!,2,FALSE))</f>
        <v>#REF!</v>
      </c>
      <c r="AU206" s="91" t="str">
        <f>IF(X206="","",IF(I206="N/A","",IF(I206="CNC",IF(G206&gt;37,20,10),VLOOKUP(I206,#REF!,2,FALSE))))</f>
        <v/>
      </c>
      <c r="AV206" s="18" t="str">
        <f>IF(X206="","",IF(I206="CNC",VLOOKUP("Glue stick",#REF!,2,FALSE),""))</f>
        <v/>
      </c>
      <c r="AW206" s="18" t="str">
        <f>IF(X206="","",IF(I206="CNC",16*VLOOKUP("Box staples",#REF!,2,FALSE),""))</f>
        <v/>
      </c>
      <c r="AX206" s="91" t="e">
        <f>IF(X206="","",IF(I206="CNC",((((G206+6)+(F206+6))*2)+24)*VLOOKUP("sealing tape",#REF!,2,FALSE),VLOOKUP("Strapping tape",#REF!,2,FALSE)))</f>
        <v>#REF!</v>
      </c>
      <c r="AY206" s="17"/>
      <c r="AZ206" s="17"/>
      <c r="BA206" s="17"/>
      <c r="BB206" s="17"/>
      <c r="BC206" s="96"/>
      <c r="BD206" s="96"/>
      <c r="BE206" s="96"/>
      <c r="BF206" s="96"/>
      <c r="BG206" s="96"/>
      <c r="BH206" s="96"/>
      <c r="BI206" s="96"/>
    </row>
    <row r="207" spans="1:61" x14ac:dyDescent="0.45">
      <c r="A207" s="103" t="s">
        <v>1039</v>
      </c>
      <c r="B207" s="17" t="s">
        <v>1274</v>
      </c>
      <c r="C207" s="16">
        <v>44635</v>
      </c>
      <c r="D207" s="17" t="s">
        <v>66</v>
      </c>
      <c r="E207" s="15" t="s">
        <v>50</v>
      </c>
      <c r="F207" s="17">
        <v>25</v>
      </c>
      <c r="G207" s="17">
        <v>33</v>
      </c>
      <c r="H207" s="3" t="s">
        <v>43</v>
      </c>
      <c r="I207" s="88" t="s">
        <v>41</v>
      </c>
      <c r="J207" s="87">
        <v>44647</v>
      </c>
      <c r="K207" s="15">
        <v>454.75</v>
      </c>
      <c r="L207" s="96">
        <v>30</v>
      </c>
      <c r="M207" s="89">
        <v>31.5</v>
      </c>
      <c r="N207" s="88">
        <v>12</v>
      </c>
      <c r="O207" s="413" t="str">
        <f t="shared" si="1"/>
        <v>25 x 33</v>
      </c>
      <c r="P207" s="18" t="str">
        <f t="shared" si="2"/>
        <v>25 x 33</v>
      </c>
      <c r="Q207" s="91" t="str">
        <f t="shared" si="3"/>
        <v>N/A</v>
      </c>
      <c r="R207" s="18" t="str">
        <f t="shared" si="4"/>
        <v>39 x 31 x 6</v>
      </c>
      <c r="S207" s="18">
        <v>39</v>
      </c>
      <c r="T207" s="18">
        <v>31</v>
      </c>
      <c r="U207" s="18">
        <v>6</v>
      </c>
      <c r="V207" s="18">
        <f t="shared" si="47"/>
        <v>112</v>
      </c>
      <c r="W207" s="287">
        <f t="shared" si="51"/>
        <v>1.05</v>
      </c>
      <c r="X207" s="287" t="str">
        <f t="shared" si="52"/>
        <v>Yes</v>
      </c>
      <c r="Y207" s="93" t="e">
        <f t="shared" si="53"/>
        <v>#REF!</v>
      </c>
      <c r="Z207" s="288" t="e">
        <f t="shared" si="54"/>
        <v>#REF!</v>
      </c>
      <c r="AA207" s="418" t="e">
        <f t="shared" si="55"/>
        <v>#REF!</v>
      </c>
      <c r="AB207" s="288" t="e">
        <f t="shared" si="56"/>
        <v>#REF!</v>
      </c>
      <c r="AC207" s="91" t="e">
        <f>IF(X207="","",IF(D207="2 3D",((F207-0.5)*2+(G207-0.5)*2)*VLOOKUP("3D base",#REF!,2,FALSE),IF(D207="3 Canv", IF(E207="Roll",0,ROUND(SUM(F207:G207)*2,0)),0)*VLOOKUP("Stretcher Bar",#REF!,2,FALSE)))</f>
        <v>#REF!</v>
      </c>
      <c r="AD207" s="91" t="e">
        <f>IF(X207="","",IF(E207="Roll",0,IF(D207="2 3D",(SUM(F207:G207)*2)*VLOOKUP("3D epoxy",#REF!,2,FALSE),IF(D207="3 Canv",VLOOKUP("Wood glue",#REF!,2,FALSE),""))))</f>
        <v>#REF!</v>
      </c>
      <c r="AE207" s="91" t="e">
        <f>IF(D207="3 Canv",(((F207+5)*(G207+5)))*VLOOKUP("Canvas",#REF!,2,FALSE),IF(D207="2 3D",(((F207)*(G207)))*VLOOKUP("Dibond",#REF!,2,FALSE),""))</f>
        <v>#REF!</v>
      </c>
      <c r="AF207" s="91" t="e">
        <f>IF(D207="2 3D",F207*G207*VLOOKUP("3D ink",#REF!,2,FALSE),IF(D207="3 Canv",F207*G207*VLOOKUP("Canvas ink",#REF!,2,FALSE),""))</f>
        <v>#REF!</v>
      </c>
      <c r="AG207" s="91" t="e">
        <f>IF(D207="3 Canv",IF(E207="Roll","",ROUNDUP((SUM(F207:G207)*2)/3,"")*VLOOKUP("Staples",#REF!,2,FALSE)),"")</f>
        <v>#VALUE!</v>
      </c>
      <c r="AH207" s="91" t="e">
        <f>IF(AF207="","",(SUM(F207:G207)*2)*VLOOKUP(E207,#REF!,2,FALSE))</f>
        <v>#REF!</v>
      </c>
      <c r="AI207" s="18">
        <f t="shared" si="57"/>
        <v>16</v>
      </c>
      <c r="AJ207" s="91" t="e">
        <f>IF(AI207="","",AI207*VLOOKUP("Staples",#REF!,2,FALSE))</f>
        <v>#REF!</v>
      </c>
      <c r="AK207" s="18" t="e">
        <f t="shared" si="58"/>
        <v>#REF!</v>
      </c>
      <c r="AL207" s="18" t="e">
        <f>IF(AK207="","",AK207*VLOOKUP("Frame screw",#REF!,2,FALSE))</f>
        <v>#REF!</v>
      </c>
      <c r="AM207" s="18" t="e">
        <f t="shared" si="59"/>
        <v>#REF!</v>
      </c>
      <c r="AN207" s="91" t="e">
        <f>IF(AM207="","",AM207*VLOOKUP("D ring",#REF!,2,FALSE))</f>
        <v>#REF!</v>
      </c>
      <c r="AO207" s="18" t="e">
        <f t="shared" si="60"/>
        <v>#REF!</v>
      </c>
      <c r="AP207" s="91" t="e">
        <f>IF(AO207="","",IF(G207&gt;59,AO207* VLOOKUP("8 wire",#REF!,2,FALSE)*2,IF(G207&gt;39,AO207* VLOOKUP("8 wire",#REF!,2,FALSE),AO207* VLOOKUP("6 wire",#REF!,2,FALSE))))</f>
        <v>#REF!</v>
      </c>
      <c r="AQ207" s="18">
        <f t="shared" si="61"/>
        <v>4</v>
      </c>
      <c r="AR207" s="18" t="e">
        <f>IF(AQ207="","",AQ207*VLOOKUP("Pads",#REF!,2,FALSE))</f>
        <v>#REF!</v>
      </c>
      <c r="AS207" s="18">
        <f t="shared" si="62"/>
        <v>1</v>
      </c>
      <c r="AT207" s="91" t="e">
        <f>IF(AS207="","",AS207*VLOOKUP("4 mil bag",#REF!,2,FALSE))</f>
        <v>#REF!</v>
      </c>
      <c r="AU207" s="91">
        <f>IF(X207="","",IF(I207="N/A","",IF(I207="CNC",IF(G207&gt;37,20,10),VLOOKUP(I207,#REF!,2,FALSE))))</f>
        <v>10</v>
      </c>
      <c r="AV207" s="91" t="e">
        <f>IF(X207="","",IF(I207="CNC",VLOOKUP("Glue stick",#REF!,2,FALSE),""))</f>
        <v>#REF!</v>
      </c>
      <c r="AW207" s="91" t="e">
        <f>IF(X207="","",IF(I207="CNC",16*VLOOKUP("Box staples",#REF!,2,FALSE),""))</f>
        <v>#REF!</v>
      </c>
      <c r="AX207" s="18" t="e">
        <f>IF(X207="","",IF(I207="CNC",((((G207+6)+(F207+6))*2)+24)*VLOOKUP("sealing tape",#REF!,2,FALSE),VLOOKUP("Strapping tape",#REF!,2,FALSE)))</f>
        <v>#REF!</v>
      </c>
      <c r="AY207" s="17"/>
      <c r="AZ207" s="17"/>
      <c r="BA207" s="17"/>
      <c r="BB207" s="17"/>
      <c r="BC207" s="96"/>
      <c r="BD207" s="96"/>
      <c r="BE207" s="96"/>
      <c r="BF207" s="96"/>
      <c r="BG207" s="96"/>
      <c r="BH207" s="96"/>
      <c r="BI207" s="96"/>
    </row>
    <row r="208" spans="1:61" x14ac:dyDescent="0.45">
      <c r="A208" s="103" t="s">
        <v>1273</v>
      </c>
      <c r="B208" s="17" t="s">
        <v>2664</v>
      </c>
      <c r="C208" s="16">
        <v>44637</v>
      </c>
      <c r="D208" s="17" t="s">
        <v>66</v>
      </c>
      <c r="E208" s="15" t="s">
        <v>51</v>
      </c>
      <c r="F208" s="17">
        <v>34</v>
      </c>
      <c r="G208" s="17">
        <v>42</v>
      </c>
      <c r="H208" s="3" t="s">
        <v>43</v>
      </c>
      <c r="I208" s="88" t="s">
        <v>41</v>
      </c>
      <c r="J208" s="87">
        <v>44647</v>
      </c>
      <c r="K208" s="15">
        <v>833</v>
      </c>
      <c r="L208" s="96">
        <v>50</v>
      </c>
      <c r="M208" s="89">
        <v>153.88</v>
      </c>
      <c r="N208" s="88">
        <v>22</v>
      </c>
      <c r="O208" s="413" t="str">
        <f t="shared" si="1"/>
        <v>34 x 42</v>
      </c>
      <c r="P208" s="18" t="str">
        <f t="shared" si="2"/>
        <v>36 x 44</v>
      </c>
      <c r="Q208" s="91" t="str">
        <f t="shared" si="3"/>
        <v>N/A</v>
      </c>
      <c r="R208" s="18" t="str">
        <f t="shared" si="4"/>
        <v>50 x 43 x 6</v>
      </c>
      <c r="S208" s="18">
        <v>50</v>
      </c>
      <c r="T208" s="18">
        <v>43</v>
      </c>
      <c r="U208" s="18">
        <v>6</v>
      </c>
      <c r="V208" s="18">
        <f t="shared" si="47"/>
        <v>139</v>
      </c>
      <c r="W208" s="287">
        <f t="shared" si="51"/>
        <v>3.0775999999999999</v>
      </c>
      <c r="X208" s="287" t="str">
        <f t="shared" si="52"/>
        <v>Yes</v>
      </c>
      <c r="Y208" s="93" t="e">
        <f t="shared" si="53"/>
        <v>#REF!</v>
      </c>
      <c r="Z208" s="288" t="e">
        <f t="shared" si="54"/>
        <v>#REF!</v>
      </c>
      <c r="AA208" s="418" t="e">
        <f t="shared" si="55"/>
        <v>#REF!</v>
      </c>
      <c r="AB208" s="288" t="e">
        <f t="shared" si="56"/>
        <v>#REF!</v>
      </c>
      <c r="AC208" s="91" t="e">
        <f>IF(X208="","",IF(D208="2 3D",((F208-0.5)*2+(G208-0.5)*2)*VLOOKUP("3D base",#REF!,2,FALSE),IF(D208="3 Canv", IF(E208="Roll",0,ROUND(SUM(F208:G208)*2,0)),0)*VLOOKUP("Stretcher Bar",#REF!,2,FALSE)))</f>
        <v>#REF!</v>
      </c>
      <c r="AD208" s="91" t="e">
        <f>IF(X208="","",IF(E208="Roll",0,IF(D208="2 3D",(SUM(F208:G208)*2)*VLOOKUP("3D epoxy",#REF!,2,FALSE),IF(D208="3 Canv",VLOOKUP("Wood glue",#REF!,2,FALSE),""))))</f>
        <v>#REF!</v>
      </c>
      <c r="AE208" s="91" t="e">
        <f>IF(D208="3 Canv",(((F208+5)*(G208+5)))*VLOOKUP("Canvas",#REF!,2,FALSE),IF(D208="2 3D",(((F208)*(G208)))*VLOOKUP("Dibond",#REF!,2,FALSE),""))</f>
        <v>#REF!</v>
      </c>
      <c r="AF208" s="91" t="e">
        <f>IF(D208="2 3D",F208*G208*VLOOKUP("3D ink",#REF!,2,FALSE),IF(D208="3 Canv",F208*G208*VLOOKUP("Canvas ink",#REF!,2,FALSE),""))</f>
        <v>#REF!</v>
      </c>
      <c r="AG208" s="91" t="e">
        <f>IF(D208="3 Canv",IF(E208="Roll","",ROUNDUP((SUM(F208:G208)*2)/3,"")*VLOOKUP("Staples",#REF!,2,FALSE)),"")</f>
        <v>#VALUE!</v>
      </c>
      <c r="AH208" s="91" t="e">
        <f>IF(AF208="","",(SUM(F208:G208)*2)*VLOOKUP(E208,#REF!,2,FALSE))</f>
        <v>#REF!</v>
      </c>
      <c r="AI208" s="18">
        <f t="shared" si="57"/>
        <v>44</v>
      </c>
      <c r="AJ208" s="91" t="e">
        <f>IF(AI208="","",AI208*VLOOKUP("Staples",#REF!,2,FALSE))</f>
        <v>#REF!</v>
      </c>
      <c r="AK208" s="18" t="e">
        <f t="shared" si="58"/>
        <v>#REF!</v>
      </c>
      <c r="AL208" s="91" t="e">
        <f>IF(AK208="","",AK208*VLOOKUP("Frame screw",#REF!,2,FALSE))</f>
        <v>#REF!</v>
      </c>
      <c r="AM208" s="18" t="e">
        <f t="shared" si="59"/>
        <v>#REF!</v>
      </c>
      <c r="AN208" s="91" t="e">
        <f>IF(AM208="","",AM208*VLOOKUP("D ring",#REF!,2,FALSE))</f>
        <v>#REF!</v>
      </c>
      <c r="AO208" s="18" t="e">
        <f t="shared" si="60"/>
        <v>#REF!</v>
      </c>
      <c r="AP208" s="91" t="e">
        <f>IF(AO208="","",IF(G208&gt;59,AO208* VLOOKUP("8 wire",#REF!,2,FALSE)*2,IF(G208&gt;39,AO208* VLOOKUP("8 wire",#REF!,2,FALSE),AO208* VLOOKUP("6 wire",#REF!,2,FALSE))))</f>
        <v>#REF!</v>
      </c>
      <c r="AQ208" s="18">
        <f t="shared" si="61"/>
        <v>4</v>
      </c>
      <c r="AR208" s="18" t="e">
        <f>IF(AQ208="","",AQ208*VLOOKUP("Pads",#REF!,2,FALSE))</f>
        <v>#REF!</v>
      </c>
      <c r="AS208" s="18">
        <f t="shared" si="62"/>
        <v>1</v>
      </c>
      <c r="AT208" s="91" t="e">
        <f>IF(AS208="","",AS208*VLOOKUP("4 mil bag",#REF!,2,FALSE))</f>
        <v>#REF!</v>
      </c>
      <c r="AU208" s="91">
        <f>IF(X208="","",IF(I208="N/A","",IF(I208="CNC",IF(G208&gt;37,20,10),VLOOKUP(I208,#REF!,2,FALSE))))</f>
        <v>20</v>
      </c>
      <c r="AV208" s="91" t="e">
        <f>IF(X208="","",IF(I208="CNC",VLOOKUP("Glue stick",#REF!,2,FALSE),""))</f>
        <v>#REF!</v>
      </c>
      <c r="AW208" s="91" t="e">
        <f>IF(X208="","",IF(I208="CNC",16*VLOOKUP("Box staples",#REF!,2,FALSE),""))</f>
        <v>#REF!</v>
      </c>
      <c r="AX208" s="18" t="e">
        <f>IF(X208="","",IF(I208="CNC",((((G208+6)+(F208+6))*2)+24)*VLOOKUP("sealing tape",#REF!,2,FALSE),VLOOKUP("Strapping tape",#REF!,2,FALSE)))</f>
        <v>#REF!</v>
      </c>
      <c r="AY208" s="17"/>
      <c r="AZ208" s="17"/>
      <c r="BA208" s="17"/>
      <c r="BB208" s="17"/>
      <c r="BC208" s="96"/>
      <c r="BD208" s="96"/>
      <c r="BE208" s="96"/>
      <c r="BF208" s="96"/>
      <c r="BG208" s="96"/>
      <c r="BH208" s="96"/>
      <c r="BI208" s="96"/>
    </row>
    <row r="209" spans="1:61" x14ac:dyDescent="0.45">
      <c r="A209" s="103" t="s">
        <v>1272</v>
      </c>
      <c r="B209" s="17" t="s">
        <v>1271</v>
      </c>
      <c r="C209" s="16">
        <v>44640</v>
      </c>
      <c r="D209" s="17" t="s">
        <v>66</v>
      </c>
      <c r="E209" s="15" t="s">
        <v>50</v>
      </c>
      <c r="F209" s="17">
        <v>26</v>
      </c>
      <c r="G209" s="17">
        <v>42</v>
      </c>
      <c r="H209" s="3" t="s">
        <v>43</v>
      </c>
      <c r="I209" s="88" t="s">
        <v>41</v>
      </c>
      <c r="J209" s="87">
        <v>44647</v>
      </c>
      <c r="K209" s="15">
        <v>531.25</v>
      </c>
      <c r="L209" s="96">
        <v>35</v>
      </c>
      <c r="M209" s="89">
        <v>29.63</v>
      </c>
      <c r="N209" s="88">
        <v>14</v>
      </c>
      <c r="O209" s="413" t="str">
        <f t="shared" si="1"/>
        <v>26 x 42</v>
      </c>
      <c r="P209" s="18" t="str">
        <f t="shared" si="2"/>
        <v>26 x 42</v>
      </c>
      <c r="Q209" s="91" t="str">
        <f t="shared" si="3"/>
        <v>N/A</v>
      </c>
      <c r="R209" s="18" t="str">
        <f t="shared" si="4"/>
        <v>48 x 32 x 6</v>
      </c>
      <c r="S209" s="18">
        <v>48</v>
      </c>
      <c r="T209" s="18">
        <v>32</v>
      </c>
      <c r="U209" s="18">
        <v>6</v>
      </c>
      <c r="V209" s="18">
        <f t="shared" si="47"/>
        <v>123</v>
      </c>
      <c r="W209" s="287">
        <f t="shared" si="51"/>
        <v>0.84657142857142853</v>
      </c>
      <c r="X209" s="287" t="str">
        <f t="shared" si="52"/>
        <v>Yes</v>
      </c>
      <c r="Y209" s="93" t="e">
        <f t="shared" si="53"/>
        <v>#REF!</v>
      </c>
      <c r="Z209" s="288" t="e">
        <f t="shared" si="54"/>
        <v>#REF!</v>
      </c>
      <c r="AA209" s="418" t="e">
        <f t="shared" si="55"/>
        <v>#REF!</v>
      </c>
      <c r="AB209" s="288" t="e">
        <f t="shared" si="56"/>
        <v>#REF!</v>
      </c>
      <c r="AC209" s="91" t="e">
        <f>IF(X209="","",IF(D209="2 3D",((F209-0.5)*2+(G209-0.5)*2)*VLOOKUP("3D base",#REF!,2,FALSE),IF(D209="3 Canv", IF(E209="Roll",0,ROUND(SUM(F209:G209)*2,0)),0)*VLOOKUP("Stretcher Bar",#REF!,2,FALSE)))</f>
        <v>#REF!</v>
      </c>
      <c r="AD209" s="91" t="e">
        <f>IF(X209="","",IF(E209="Roll",0,IF(D209="2 3D",(SUM(F209:G209)*2)*VLOOKUP("3D epoxy",#REF!,2,FALSE),IF(D209="3 Canv",VLOOKUP("Wood glue",#REF!,2,FALSE),""))))</f>
        <v>#REF!</v>
      </c>
      <c r="AE209" s="91" t="e">
        <f>IF(D209="3 Canv",(((F209+5)*(G209+5)))*VLOOKUP("Canvas",#REF!,2,FALSE),IF(D209="2 3D",(((F209)*(G209)))*VLOOKUP("Dibond",#REF!,2,FALSE),""))</f>
        <v>#REF!</v>
      </c>
      <c r="AF209" s="91" t="e">
        <f>IF(D209="2 3D",F209*G209*VLOOKUP("3D ink",#REF!,2,FALSE),IF(D209="3 Canv",F209*G209*VLOOKUP("Canvas ink",#REF!,2,FALSE),""))</f>
        <v>#REF!</v>
      </c>
      <c r="AG209" s="91" t="e">
        <f>IF(D209="3 Canv",IF(E209="Roll","",ROUNDUP((SUM(F209:G209)*2)/3,"")*VLOOKUP("Staples",#REF!,2,FALSE)),"")</f>
        <v>#VALUE!</v>
      </c>
      <c r="AH209" s="91" t="e">
        <f>IF(AF209="","",(SUM(F209:G209)*2)*VLOOKUP(E209,#REF!,2,FALSE))</f>
        <v>#REF!</v>
      </c>
      <c r="AI209" s="18">
        <f t="shared" si="57"/>
        <v>16</v>
      </c>
      <c r="AJ209" s="91" t="e">
        <f>IF(AI209="","",AI209*VLOOKUP("Staples",#REF!,2,FALSE))</f>
        <v>#REF!</v>
      </c>
      <c r="AK209" s="18" t="e">
        <f t="shared" si="58"/>
        <v>#REF!</v>
      </c>
      <c r="AL209" s="18" t="e">
        <f>IF(AK209="","",AK209*VLOOKUP("Frame screw",#REF!,2,FALSE))</f>
        <v>#REF!</v>
      </c>
      <c r="AM209" s="18" t="e">
        <f t="shared" si="59"/>
        <v>#REF!</v>
      </c>
      <c r="AN209" s="91" t="e">
        <f>IF(AM209="","",AM209*VLOOKUP("D ring",#REF!,2,FALSE))</f>
        <v>#REF!</v>
      </c>
      <c r="AO209" s="18" t="e">
        <f t="shared" si="60"/>
        <v>#REF!</v>
      </c>
      <c r="AP209" s="91" t="e">
        <f>IF(AO209="","",IF(G209&gt;59,AO209* VLOOKUP("8 wire",#REF!,2,FALSE)*2,IF(G209&gt;39,AO209* VLOOKUP("8 wire",#REF!,2,FALSE),AO209* VLOOKUP("6 wire",#REF!,2,FALSE))))</f>
        <v>#REF!</v>
      </c>
      <c r="AQ209" s="18">
        <f t="shared" si="61"/>
        <v>4</v>
      </c>
      <c r="AR209" s="18" t="e">
        <f>IF(AQ209="","",AQ209*VLOOKUP("Pads",#REF!,2,FALSE))</f>
        <v>#REF!</v>
      </c>
      <c r="AS209" s="18">
        <f t="shared" si="62"/>
        <v>1</v>
      </c>
      <c r="AT209" s="91" t="e">
        <f>IF(AS209="","",AS209*VLOOKUP("4 mil bag",#REF!,2,FALSE))</f>
        <v>#REF!</v>
      </c>
      <c r="AU209" s="91">
        <f>IF(X209="","",IF(I209="N/A","",IF(I209="CNC",IF(G209&gt;37,20,10),VLOOKUP(I209,#REF!,2,FALSE))))</f>
        <v>20</v>
      </c>
      <c r="AV209" s="91" t="e">
        <f>IF(X209="","",IF(I209="CNC",VLOOKUP("Glue stick",#REF!,2,FALSE),""))</f>
        <v>#REF!</v>
      </c>
      <c r="AW209" s="91" t="e">
        <f>IF(X209="","",IF(I209="CNC",16*VLOOKUP("Box staples",#REF!,2,FALSE),""))</f>
        <v>#REF!</v>
      </c>
      <c r="AX209" s="18" t="e">
        <f>IF(X209="","",IF(I209="CNC",((((G209+6)+(F209+6))*2)+24)*VLOOKUP("sealing tape",#REF!,2,FALSE),VLOOKUP("Strapping tape",#REF!,2,FALSE)))</f>
        <v>#REF!</v>
      </c>
      <c r="AY209" s="17"/>
      <c r="AZ209" s="17"/>
      <c r="BA209" s="17"/>
      <c r="BB209" s="17"/>
      <c r="BC209" s="96"/>
      <c r="BD209" s="96"/>
      <c r="BE209" s="96"/>
      <c r="BF209" s="96"/>
      <c r="BG209" s="96"/>
      <c r="BH209" s="96"/>
      <c r="BI209" s="96"/>
    </row>
    <row r="210" spans="1:61" x14ac:dyDescent="0.45">
      <c r="A210" s="103" t="s">
        <v>433</v>
      </c>
      <c r="B210" s="17" t="s">
        <v>1270</v>
      </c>
      <c r="C210" s="16">
        <v>44640</v>
      </c>
      <c r="D210" s="17" t="s">
        <v>66</v>
      </c>
      <c r="E210" s="15" t="s">
        <v>50</v>
      </c>
      <c r="F210" s="17">
        <v>23</v>
      </c>
      <c r="G210" s="17">
        <v>29</v>
      </c>
      <c r="H210" s="3" t="s">
        <v>43</v>
      </c>
      <c r="I210" s="88" t="s">
        <v>41</v>
      </c>
      <c r="J210" s="87">
        <v>44647</v>
      </c>
      <c r="K210" s="15">
        <v>420.75</v>
      </c>
      <c r="L210" s="96">
        <v>25</v>
      </c>
      <c r="M210" s="89">
        <v>22.92</v>
      </c>
      <c r="N210" s="88">
        <v>10</v>
      </c>
      <c r="O210" s="413" t="str">
        <f t="shared" si="1"/>
        <v>23 x 29</v>
      </c>
      <c r="P210" s="18" t="str">
        <f t="shared" si="2"/>
        <v>23 x 29</v>
      </c>
      <c r="Q210" s="91" t="str">
        <f t="shared" si="3"/>
        <v>N/A</v>
      </c>
      <c r="R210" s="18" t="str">
        <f t="shared" si="4"/>
        <v>35 x 29 x 6</v>
      </c>
      <c r="S210" s="18">
        <v>35</v>
      </c>
      <c r="T210" s="18">
        <v>29</v>
      </c>
      <c r="U210" s="18">
        <v>6</v>
      </c>
      <c r="V210" s="18">
        <f t="shared" si="47"/>
        <v>104</v>
      </c>
      <c r="W210" s="287">
        <f t="shared" si="51"/>
        <v>0.91680000000000006</v>
      </c>
      <c r="X210" s="287" t="str">
        <f t="shared" si="52"/>
        <v>Yes</v>
      </c>
      <c r="Y210" s="93" t="e">
        <f t="shared" si="53"/>
        <v>#REF!</v>
      </c>
      <c r="Z210" s="288" t="e">
        <f t="shared" si="54"/>
        <v>#REF!</v>
      </c>
      <c r="AA210" s="418" t="e">
        <f t="shared" si="55"/>
        <v>#REF!</v>
      </c>
      <c r="AB210" s="288" t="e">
        <f t="shared" si="56"/>
        <v>#REF!</v>
      </c>
      <c r="AC210" s="91" t="e">
        <f>IF(X210="","",IF(D210="2 3D",((F210-0.5)*2+(G210-0.5)*2)*VLOOKUP("3D base",#REF!,2,FALSE),IF(D210="3 Canv", IF(E210="Roll",0,ROUND(SUM(F210:G210)*2,0)),0)*VLOOKUP("Stretcher Bar",#REF!,2,FALSE)))</f>
        <v>#REF!</v>
      </c>
      <c r="AD210" s="91" t="e">
        <f>IF(X210="","",IF(E210="Roll",0,IF(D210="2 3D",(SUM(F210:G210)*2)*VLOOKUP("3D epoxy",#REF!,2,FALSE),IF(D210="3 Canv",VLOOKUP("Wood glue",#REF!,2,FALSE),""))))</f>
        <v>#REF!</v>
      </c>
      <c r="AE210" s="91" t="e">
        <f>IF(D210="3 Canv",(((F210+5)*(G210+5)))*VLOOKUP("Canvas",#REF!,2,FALSE),IF(D210="2 3D",(((F210)*(G210)))*VLOOKUP("Dibond",#REF!,2,FALSE),""))</f>
        <v>#REF!</v>
      </c>
      <c r="AF210" s="91" t="e">
        <f>IF(D210="2 3D",F210*G210*VLOOKUP("3D ink",#REF!,2,FALSE),IF(D210="3 Canv",F210*G210*VLOOKUP("Canvas ink",#REF!,2,FALSE),""))</f>
        <v>#REF!</v>
      </c>
      <c r="AG210" s="91" t="e">
        <f>IF(D210="3 Canv",IF(E210="Roll","",ROUNDUP((SUM(F210:G210)*2)/3,"")*VLOOKUP("Staples",#REF!,2,FALSE)),"")</f>
        <v>#VALUE!</v>
      </c>
      <c r="AH210" s="91" t="e">
        <f>IF(AF210="","",(SUM(F210:G210)*2)*VLOOKUP(E210,#REF!,2,FALSE))</f>
        <v>#REF!</v>
      </c>
      <c r="AI210" s="18">
        <f t="shared" si="57"/>
        <v>16</v>
      </c>
      <c r="AJ210" s="91" t="e">
        <f>IF(AI210="","",AI210*VLOOKUP("Staples",#REF!,2,FALSE))</f>
        <v>#REF!</v>
      </c>
      <c r="AK210" s="18" t="e">
        <f t="shared" si="58"/>
        <v>#REF!</v>
      </c>
      <c r="AL210" s="18" t="e">
        <f>IF(AK210="","",AK210*VLOOKUP("Frame screw",#REF!,2,FALSE))</f>
        <v>#REF!</v>
      </c>
      <c r="AM210" s="18" t="e">
        <f t="shared" si="59"/>
        <v>#REF!</v>
      </c>
      <c r="AN210" s="91" t="e">
        <f>IF(AM210="","",AM210*VLOOKUP("D ring",#REF!,2,FALSE))</f>
        <v>#REF!</v>
      </c>
      <c r="AO210" s="18" t="e">
        <f t="shared" si="60"/>
        <v>#REF!</v>
      </c>
      <c r="AP210" s="91" t="e">
        <f>IF(AO210="","",IF(G210&gt;59,AO210* VLOOKUP("8 wire",#REF!,2,FALSE)*2,IF(G210&gt;39,AO210* VLOOKUP("8 wire",#REF!,2,FALSE),AO210* VLOOKUP("6 wire",#REF!,2,FALSE))))</f>
        <v>#REF!</v>
      </c>
      <c r="AQ210" s="18">
        <f t="shared" si="61"/>
        <v>4</v>
      </c>
      <c r="AR210" s="18" t="e">
        <f>IF(AQ210="","",AQ210*VLOOKUP("Pads",#REF!,2,FALSE))</f>
        <v>#REF!</v>
      </c>
      <c r="AS210" s="18">
        <f t="shared" si="62"/>
        <v>1</v>
      </c>
      <c r="AT210" s="91" t="e">
        <f>IF(AS210="","",AS210*VLOOKUP("4 mil bag",#REF!,2,FALSE))</f>
        <v>#REF!</v>
      </c>
      <c r="AU210" s="91">
        <f>IF(X210="","",IF(I210="N/A","",IF(I210="CNC",IF(G210&gt;37,20,10),VLOOKUP(I210,#REF!,2,FALSE))))</f>
        <v>10</v>
      </c>
      <c r="AV210" s="91" t="e">
        <f>IF(X210="","",IF(I210="CNC",VLOOKUP("Glue stick",#REF!,2,FALSE),""))</f>
        <v>#REF!</v>
      </c>
      <c r="AW210" s="91" t="e">
        <f>IF(X210="","",IF(I210="CNC",16*VLOOKUP("Box staples",#REF!,2,FALSE),""))</f>
        <v>#REF!</v>
      </c>
      <c r="AX210" s="18" t="e">
        <f>IF(X210="","",IF(I210="CNC",((((G210+6)+(F210+6))*2)+24)*VLOOKUP("sealing tape",#REF!,2,FALSE),VLOOKUP("Strapping tape",#REF!,2,FALSE)))</f>
        <v>#REF!</v>
      </c>
      <c r="AY210" s="17"/>
      <c r="AZ210" s="17"/>
      <c r="BA210" s="17"/>
      <c r="BB210" s="17"/>
      <c r="BC210" s="96"/>
      <c r="BD210" s="96"/>
      <c r="BE210" s="96"/>
      <c r="BF210" s="96"/>
      <c r="BG210" s="96"/>
      <c r="BH210" s="96"/>
      <c r="BI210" s="96"/>
    </row>
    <row r="211" spans="1:61" x14ac:dyDescent="0.45">
      <c r="A211" s="103" t="s">
        <v>1269</v>
      </c>
      <c r="B211" s="17" t="s">
        <v>1268</v>
      </c>
      <c r="C211" s="16">
        <v>44640</v>
      </c>
      <c r="D211" s="17" t="s">
        <v>66</v>
      </c>
      <c r="E211" s="15" t="s">
        <v>1</v>
      </c>
      <c r="F211" s="17">
        <v>25</v>
      </c>
      <c r="G211" s="17">
        <v>36</v>
      </c>
      <c r="H211" s="3" t="s">
        <v>43</v>
      </c>
      <c r="I211" s="88" t="s">
        <v>41</v>
      </c>
      <c r="J211" s="87">
        <v>44647</v>
      </c>
      <c r="K211" s="15">
        <v>595</v>
      </c>
      <c r="L211" s="96">
        <v>35</v>
      </c>
      <c r="M211" s="89">
        <v>47.07</v>
      </c>
      <c r="N211" s="88">
        <v>18</v>
      </c>
      <c r="O211" s="413" t="str">
        <f t="shared" si="1"/>
        <v>25 x 36</v>
      </c>
      <c r="P211" s="18" t="str">
        <f t="shared" si="2"/>
        <v>27 x 38</v>
      </c>
      <c r="Q211" s="91" t="str">
        <f t="shared" si="3"/>
        <v>N/A</v>
      </c>
      <c r="R211" s="18" t="str">
        <f t="shared" si="4"/>
        <v>44 x 34 x 6</v>
      </c>
      <c r="S211" s="18">
        <v>44</v>
      </c>
      <c r="T211" s="18">
        <v>34</v>
      </c>
      <c r="U211" s="18">
        <v>6</v>
      </c>
      <c r="V211" s="18">
        <f t="shared" si="47"/>
        <v>115</v>
      </c>
      <c r="W211" s="287">
        <f t="shared" si="51"/>
        <v>1.344857142857143</v>
      </c>
      <c r="X211" s="287" t="str">
        <f t="shared" si="52"/>
        <v>Yes</v>
      </c>
      <c r="Y211" s="93" t="e">
        <f t="shared" si="53"/>
        <v>#REF!</v>
      </c>
      <c r="Z211" s="288" t="e">
        <f t="shared" si="54"/>
        <v>#REF!</v>
      </c>
      <c r="AA211" s="418" t="e">
        <f t="shared" si="55"/>
        <v>#REF!</v>
      </c>
      <c r="AB211" s="288" t="e">
        <f t="shared" si="56"/>
        <v>#REF!</v>
      </c>
      <c r="AC211" s="91" t="e">
        <f>IF(X211="","",IF(D211="2 3D",((F211-0.5)*2+(G211-0.5)*2)*VLOOKUP("3D base",#REF!,2,FALSE),IF(D211="3 Canv", IF(E211="Roll",0,ROUND(SUM(F211:G211)*2,0)),0)*VLOOKUP("Stretcher Bar",#REF!,2,FALSE)))</f>
        <v>#REF!</v>
      </c>
      <c r="AD211" s="91" t="e">
        <f>IF(X211="","",IF(E211="Roll",0,IF(D211="2 3D",(SUM(F211:G211)*2)*VLOOKUP("3D epoxy",#REF!,2,FALSE),IF(D211="3 Canv",VLOOKUP("Wood glue",#REF!,2,FALSE),""))))</f>
        <v>#REF!</v>
      </c>
      <c r="AE211" s="91" t="e">
        <f>IF(D211="3 Canv",(((F211+5)*(G211+5)))*VLOOKUP("Canvas",#REF!,2,FALSE),IF(D211="2 3D",(((F211)*(G211)))*VLOOKUP("Dibond",#REF!,2,FALSE),""))</f>
        <v>#REF!</v>
      </c>
      <c r="AF211" s="91" t="e">
        <f>IF(D211="2 3D",F211*G211*VLOOKUP("3D ink",#REF!,2,FALSE),IF(D211="3 Canv",F211*G211*VLOOKUP("Canvas ink",#REF!,2,FALSE),""))</f>
        <v>#REF!</v>
      </c>
      <c r="AG211" s="91" t="e">
        <f>IF(D211="3 Canv",IF(E211="Roll","",ROUNDUP((SUM(F211:G211)*2)/3,"")*VLOOKUP("Staples",#REF!,2,FALSE)),"")</f>
        <v>#VALUE!</v>
      </c>
      <c r="AH211" s="91" t="e">
        <f>IF(AF211="","",(SUM(F211:G211)*2)*VLOOKUP(E211,#REF!,2,FALSE))</f>
        <v>#REF!</v>
      </c>
      <c r="AI211" s="18">
        <f t="shared" si="57"/>
        <v>44</v>
      </c>
      <c r="AJ211" s="91" t="e">
        <f>IF(AI211="","",AI211*VLOOKUP("Staples",#REF!,2,FALSE))</f>
        <v>#REF!</v>
      </c>
      <c r="AK211" s="18" t="e">
        <f t="shared" si="58"/>
        <v>#REF!</v>
      </c>
      <c r="AL211" s="91" t="e">
        <f>IF(AK211="","",AK211*VLOOKUP("Frame screw",#REF!,2,FALSE))</f>
        <v>#REF!</v>
      </c>
      <c r="AM211" s="18" t="e">
        <f t="shared" si="59"/>
        <v>#REF!</v>
      </c>
      <c r="AN211" s="91" t="e">
        <f>IF(AM211="","",AM211*VLOOKUP("D ring",#REF!,2,FALSE))</f>
        <v>#REF!</v>
      </c>
      <c r="AO211" s="18" t="e">
        <f t="shared" si="60"/>
        <v>#REF!</v>
      </c>
      <c r="AP211" s="91" t="e">
        <f>IF(AO211="","",IF(G211&gt;59,AO211* VLOOKUP("8 wire",#REF!,2,FALSE)*2,IF(G211&gt;39,AO211* VLOOKUP("8 wire",#REF!,2,FALSE),AO211* VLOOKUP("6 wire",#REF!,2,FALSE))))</f>
        <v>#REF!</v>
      </c>
      <c r="AQ211" s="18">
        <f t="shared" si="61"/>
        <v>4</v>
      </c>
      <c r="AR211" s="18" t="e">
        <f>IF(AQ211="","",AQ211*VLOOKUP("Pads",#REF!,2,FALSE))</f>
        <v>#REF!</v>
      </c>
      <c r="AS211" s="18">
        <f t="shared" si="62"/>
        <v>1</v>
      </c>
      <c r="AT211" s="91" t="e">
        <f>IF(AS211="","",AS211*VLOOKUP("4 mil bag",#REF!,2,FALSE))</f>
        <v>#REF!</v>
      </c>
      <c r="AU211" s="91">
        <f>IF(X211="","",IF(I211="N/A","",IF(I211="CNC",IF(G211&gt;37,20,10),VLOOKUP(I211,#REF!,2,FALSE))))</f>
        <v>10</v>
      </c>
      <c r="AV211" s="91" t="e">
        <f>IF(X211="","",IF(I211="CNC",VLOOKUP("Glue stick",#REF!,2,FALSE),""))</f>
        <v>#REF!</v>
      </c>
      <c r="AW211" s="91" t="e">
        <f>IF(X211="","",IF(I211="CNC",16*VLOOKUP("Box staples",#REF!,2,FALSE),""))</f>
        <v>#REF!</v>
      </c>
      <c r="AX211" s="18" t="e">
        <f>IF(X211="","",IF(I211="CNC",((((G211+6)+(F211+6))*2)+24)*VLOOKUP("sealing tape",#REF!,2,FALSE),VLOOKUP("Strapping tape",#REF!,2,FALSE)))</f>
        <v>#REF!</v>
      </c>
      <c r="AY211" s="17"/>
      <c r="AZ211" s="17"/>
      <c r="BA211" s="17"/>
      <c r="BB211" s="17"/>
      <c r="BC211" s="96"/>
      <c r="BD211" s="96"/>
      <c r="BE211" s="96"/>
      <c r="BF211" s="96"/>
      <c r="BG211" s="96"/>
      <c r="BH211" s="96"/>
      <c r="BI211" s="96"/>
    </row>
    <row r="212" spans="1:61" x14ac:dyDescent="0.45">
      <c r="A212" s="103" t="s">
        <v>1163</v>
      </c>
      <c r="B212" s="17" t="s">
        <v>2666</v>
      </c>
      <c r="C212" s="16">
        <v>44644</v>
      </c>
      <c r="D212" s="17" t="s">
        <v>54</v>
      </c>
      <c r="E212" s="15" t="s">
        <v>690</v>
      </c>
      <c r="F212" s="17">
        <v>38</v>
      </c>
      <c r="G212" s="17">
        <v>50</v>
      </c>
      <c r="H212" s="3" t="s">
        <v>43</v>
      </c>
      <c r="I212" s="88" t="s">
        <v>41</v>
      </c>
      <c r="J212" s="87">
        <v>44648</v>
      </c>
      <c r="K212" s="15">
        <v>5700</v>
      </c>
      <c r="L212" s="96">
        <v>585</v>
      </c>
      <c r="M212" s="89">
        <v>468.46</v>
      </c>
      <c r="N212" s="88">
        <v>35</v>
      </c>
      <c r="O212" s="413" t="str">
        <f t="shared" si="1"/>
        <v>38 x 50</v>
      </c>
      <c r="P212" s="18" t="str">
        <f t="shared" si="2"/>
        <v>40 x 52</v>
      </c>
      <c r="Q212" s="91" t="str">
        <f t="shared" si="3"/>
        <v>N/A</v>
      </c>
      <c r="R212" s="18" t="str">
        <f t="shared" si="4"/>
        <v>58 x 47 x 6</v>
      </c>
      <c r="S212" s="18">
        <v>58</v>
      </c>
      <c r="T212" s="18">
        <v>47</v>
      </c>
      <c r="U212" s="18">
        <v>6</v>
      </c>
      <c r="V212" s="18">
        <f t="shared" si="47"/>
        <v>155</v>
      </c>
      <c r="W212" s="287">
        <f t="shared" si="51"/>
        <v>0.80078632478632472</v>
      </c>
      <c r="X212" s="287" t="str">
        <f t="shared" si="52"/>
        <v>Yes</v>
      </c>
      <c r="Y212" s="93" t="e">
        <f t="shared" si="53"/>
        <v>#REF!</v>
      </c>
      <c r="Z212" s="288" t="e">
        <f t="shared" si="54"/>
        <v>#REF!</v>
      </c>
      <c r="AA212" s="418" t="e">
        <f t="shared" si="55"/>
        <v>#REF!</v>
      </c>
      <c r="AB212" s="288" t="e">
        <f t="shared" si="56"/>
        <v>#REF!</v>
      </c>
      <c r="AC212" s="91" t="e">
        <f>IF(X212="","",IF(D212="2 3D",((F212-0.5)*2+(G212-0.5)*2)*VLOOKUP("3D base",#REF!,2,FALSE),IF(D212="3 Canv", IF(E212="Roll",0,ROUND(SUM(F212:G212)*2,0)),0)*VLOOKUP("Stretcher Bar",#REF!,2,FALSE)))</f>
        <v>#REF!</v>
      </c>
      <c r="AD212" s="91" t="e">
        <f>IF(X212="","",IF(E212="Roll",0,IF(D212="2 3D",(SUM(F212:G212)*2)*VLOOKUP("3D epoxy",#REF!,2,FALSE),IF(D212="3 Canv",VLOOKUP("Wood glue",#REF!,2,FALSE),""))))</f>
        <v>#REF!</v>
      </c>
      <c r="AE212" s="91" t="e">
        <f>IF(D212="3 Canv",(((F212+5)*(G212+5)))*VLOOKUP("Canvas",#REF!,2,FALSE),IF(D212="2 3D",(((F212)*(G212)))*VLOOKUP("Dibond",#REF!,2,FALSE),""))</f>
        <v>#REF!</v>
      </c>
      <c r="AF212" s="91" t="e">
        <f>IF(D212="2 3D",F212*G212*VLOOKUP("3D ink",#REF!,2,FALSE),IF(D212="3 Canv",F212*G212*VLOOKUP("Canvas ink",#REF!,2,FALSE),""))</f>
        <v>#REF!</v>
      </c>
      <c r="AG212" s="91" t="str">
        <f>IF(D212="3 Canv",IF(E212="Roll","",ROUNDUP((SUM(F212:G212)*2)/3,"")*VLOOKUP("Staples",#REF!,2,FALSE)),"")</f>
        <v/>
      </c>
      <c r="AH212" s="91" t="e">
        <f>IF(AF212="","",(SUM(F212:G212)*2)*VLOOKUP(E212,#REF!,2,FALSE))</f>
        <v>#REF!</v>
      </c>
      <c r="AI212" s="18">
        <f t="shared" si="57"/>
        <v>44</v>
      </c>
      <c r="AJ212" s="91" t="e">
        <f>IF(AI212="","",AI212*VLOOKUP("Staples",#REF!,2,FALSE))</f>
        <v>#REF!</v>
      </c>
      <c r="AK212" s="18" t="e">
        <f t="shared" si="58"/>
        <v>#REF!</v>
      </c>
      <c r="AL212" s="91" t="e">
        <f>IF(AK212="","",AK212*VLOOKUP("Frame screw",#REF!,2,FALSE))</f>
        <v>#REF!</v>
      </c>
      <c r="AM212" s="18" t="e">
        <f t="shared" si="59"/>
        <v>#REF!</v>
      </c>
      <c r="AN212" s="91" t="e">
        <f>IF(AM212="","",AM212*VLOOKUP("D ring",#REF!,2,FALSE))</f>
        <v>#REF!</v>
      </c>
      <c r="AO212" s="18" t="e">
        <f t="shared" si="60"/>
        <v>#REF!</v>
      </c>
      <c r="AP212" s="91" t="e">
        <f>IF(AO212="","",IF(G212&gt;59,AO212* VLOOKUP("8 wire",#REF!,2,FALSE)*2,IF(G212&gt;39,AO212* VLOOKUP("8 wire",#REF!,2,FALSE),AO212* VLOOKUP("6 wire",#REF!,2,FALSE))))</f>
        <v>#REF!</v>
      </c>
      <c r="AQ212" s="18">
        <f t="shared" si="61"/>
        <v>4</v>
      </c>
      <c r="AR212" s="18" t="e">
        <f>IF(AQ212="","",AQ212*VLOOKUP("Pads",#REF!,2,FALSE))</f>
        <v>#REF!</v>
      </c>
      <c r="AS212" s="18">
        <f t="shared" si="62"/>
        <v>1</v>
      </c>
      <c r="AT212" s="91" t="e">
        <f>IF(AS212="","",AS212*VLOOKUP("4 mil bag",#REF!,2,FALSE))</f>
        <v>#REF!</v>
      </c>
      <c r="AU212" s="91">
        <f>IF(X212="","",IF(I212="N/A","",IF(I212="CNC",IF(G212&gt;37,20,10),VLOOKUP(I212,#REF!,2,FALSE))))</f>
        <v>20</v>
      </c>
      <c r="AV212" s="91" t="e">
        <f>IF(X212="","",IF(I212="CNC",VLOOKUP("Glue stick",#REF!,2,FALSE),""))</f>
        <v>#REF!</v>
      </c>
      <c r="AW212" s="91" t="e">
        <f>IF(X212="","",IF(I212="CNC",16*VLOOKUP("Box staples",#REF!,2,FALSE),""))</f>
        <v>#REF!</v>
      </c>
      <c r="AX212" s="18" t="e">
        <f>IF(X212="","",IF(I212="CNC",((((G212+6)+(F212+6))*2)+24)*VLOOKUP("sealing tape",#REF!,2,FALSE),VLOOKUP("Strapping tape",#REF!,2,FALSE)))</f>
        <v>#REF!</v>
      </c>
      <c r="AY212" s="17"/>
      <c r="AZ212" s="17"/>
      <c r="BA212" s="17"/>
      <c r="BB212" s="17"/>
      <c r="BC212" s="96"/>
      <c r="BD212" s="96"/>
      <c r="BE212" s="96"/>
      <c r="BF212" s="96"/>
      <c r="BG212" s="96"/>
      <c r="BH212" s="96"/>
      <c r="BI212" s="96"/>
    </row>
    <row r="213" spans="1:61" x14ac:dyDescent="0.45">
      <c r="A213" s="261" t="s">
        <v>1276</v>
      </c>
      <c r="B213" s="101" t="s">
        <v>1275</v>
      </c>
      <c r="C213" s="263">
        <v>44640</v>
      </c>
      <c r="D213" s="101" t="s">
        <v>66</v>
      </c>
      <c r="E213" s="262" t="s">
        <v>1</v>
      </c>
      <c r="F213" s="101">
        <v>24</v>
      </c>
      <c r="G213" s="101">
        <v>35</v>
      </c>
      <c r="H213" s="264" t="s">
        <v>43</v>
      </c>
      <c r="I213" s="98" t="s">
        <v>41</v>
      </c>
      <c r="J213" s="97">
        <v>44649</v>
      </c>
      <c r="K213" s="262">
        <v>582.25</v>
      </c>
      <c r="L213" s="265">
        <v>35</v>
      </c>
      <c r="M213" s="99">
        <v>30.03</v>
      </c>
      <c r="N213" s="98"/>
      <c r="O213" s="414" t="str">
        <f t="shared" si="1"/>
        <v>24 x 35</v>
      </c>
      <c r="P213" s="100" t="str">
        <f t="shared" si="2"/>
        <v>26 x 37</v>
      </c>
      <c r="Q213" s="274" t="str">
        <f t="shared" si="3"/>
        <v>N/A</v>
      </c>
      <c r="R213" s="100" t="str">
        <f t="shared" si="4"/>
        <v>43 x 33 x 6</v>
      </c>
      <c r="S213" s="100">
        <v>43</v>
      </c>
      <c r="T213" s="100">
        <v>33</v>
      </c>
      <c r="U213" s="100">
        <v>6</v>
      </c>
      <c r="V213" s="100">
        <f t="shared" si="47"/>
        <v>112</v>
      </c>
      <c r="W213" s="289">
        <f t="shared" si="51"/>
        <v>0.85799999999999998</v>
      </c>
      <c r="X213" s="289" t="str">
        <f t="shared" si="52"/>
        <v>Yes</v>
      </c>
      <c r="Y213" s="93" t="e">
        <f t="shared" si="53"/>
        <v>#REF!</v>
      </c>
      <c r="Z213" s="288" t="e">
        <f t="shared" si="54"/>
        <v>#REF!</v>
      </c>
      <c r="AA213" s="419" t="e">
        <f t="shared" si="55"/>
        <v>#REF!</v>
      </c>
      <c r="AB213" s="308" t="e">
        <f t="shared" si="56"/>
        <v>#REF!</v>
      </c>
      <c r="AC213" s="274" t="e">
        <f>IF(X213="","",IF(D213="2 3D",((F213-0.5)*2+(G213-0.5)*2)*VLOOKUP("3D base",#REF!,2,FALSE),IF(D213="3 Canv", IF(E213="Roll",0,ROUND(SUM(F213:G213)*2,0)),0)*VLOOKUP("Stretcher Bar",#REF!,2,FALSE)))</f>
        <v>#REF!</v>
      </c>
      <c r="AD213" s="274" t="e">
        <f>IF(X213="","",IF(E213="Roll",0,IF(D213="2 3D",(SUM(F213:G213)*2)*VLOOKUP("3D epoxy",#REF!,2,FALSE),IF(D213="3 Canv",VLOOKUP("Wood glue",#REF!,2,FALSE),""))))</f>
        <v>#REF!</v>
      </c>
      <c r="AE213" s="274" t="e">
        <f>IF(D213="3 Canv",(((F213+5)*(G213+5)))*VLOOKUP("Canvas",#REF!,2,FALSE),IF(D213="2 3D",(((F213)*(G213)))*VLOOKUP("Dibond",#REF!,2,FALSE),""))</f>
        <v>#REF!</v>
      </c>
      <c r="AF213" s="274" t="e">
        <f>IF(D213="2 3D",F213*G213*VLOOKUP("3D ink",#REF!,2,FALSE),IF(D213="3 Canv",F213*G213*VLOOKUP("Canvas ink",#REF!,2,FALSE),""))</f>
        <v>#REF!</v>
      </c>
      <c r="AG213" s="274" t="e">
        <f>IF(D213="3 Canv",IF(E213="Roll","",ROUNDUP((SUM(F213:G213)*2)/3,"")*VLOOKUP("Staples",#REF!,2,FALSE)),"")</f>
        <v>#VALUE!</v>
      </c>
      <c r="AH213" s="274" t="e">
        <f>IF(AF213="","",(SUM(F213:G213)*2)*VLOOKUP(E213,#REF!,2,FALSE))</f>
        <v>#REF!</v>
      </c>
      <c r="AI213" s="100">
        <f t="shared" si="57"/>
        <v>44</v>
      </c>
      <c r="AJ213" s="274" t="e">
        <f>IF(AI213="","",AI213*VLOOKUP("Staples",#REF!,2,FALSE))</f>
        <v>#REF!</v>
      </c>
      <c r="AK213" s="100" t="e">
        <f t="shared" si="58"/>
        <v>#REF!</v>
      </c>
      <c r="AL213" s="274" t="e">
        <f>IF(AK213="","",AK213*VLOOKUP("Frame screw",#REF!,2,FALSE))</f>
        <v>#REF!</v>
      </c>
      <c r="AM213" s="100" t="e">
        <f t="shared" si="59"/>
        <v>#REF!</v>
      </c>
      <c r="AN213" s="274" t="e">
        <f>IF(AM213="","",AM213*VLOOKUP("D ring",#REF!,2,FALSE))</f>
        <v>#REF!</v>
      </c>
      <c r="AO213" s="100" t="e">
        <f t="shared" si="60"/>
        <v>#REF!</v>
      </c>
      <c r="AP213" s="274" t="e">
        <f>IF(AO213="","",IF(G213&gt;59,AO213* VLOOKUP("8 wire",#REF!,2,FALSE)*2,IF(G213&gt;39,AO213* VLOOKUP("8 wire",#REF!,2,FALSE),AO213* VLOOKUP("6 wire",#REF!,2,FALSE))))</f>
        <v>#REF!</v>
      </c>
      <c r="AQ213" s="100">
        <f t="shared" si="61"/>
        <v>4</v>
      </c>
      <c r="AR213" s="100" t="e">
        <f>IF(AQ213="","",AQ213*VLOOKUP("Pads",#REF!,2,FALSE))</f>
        <v>#REF!</v>
      </c>
      <c r="AS213" s="100">
        <f t="shared" si="62"/>
        <v>1</v>
      </c>
      <c r="AT213" s="274" t="e">
        <f>IF(AS213="","",AS213*VLOOKUP("4 mil bag",#REF!,2,FALSE))</f>
        <v>#REF!</v>
      </c>
      <c r="AU213" s="274">
        <f>IF(X213="","",IF(I213="N/A","",IF(I213="CNC",IF(G213&gt;37,20,10),VLOOKUP(I213,#REF!,2,FALSE))))</f>
        <v>10</v>
      </c>
      <c r="AV213" s="274" t="e">
        <f>IF(X213="","",IF(I213="CNC",VLOOKUP("Glue stick",#REF!,2,FALSE),""))</f>
        <v>#REF!</v>
      </c>
      <c r="AW213" s="274" t="e">
        <f>IF(X213="","",IF(I213="CNC",16*VLOOKUP("Box staples",#REF!,2,FALSE),""))</f>
        <v>#REF!</v>
      </c>
      <c r="AX213" s="100" t="e">
        <f>IF(X213="","",IF(I213="CNC",((((G213+6)+(F213+6))*2)+24)*VLOOKUP("sealing tape",#REF!,2,FALSE),VLOOKUP("Strapping tape",#REF!,2,FALSE)))</f>
        <v>#REF!</v>
      </c>
      <c r="AY213" s="101"/>
      <c r="AZ213" s="101"/>
      <c r="BA213" s="101"/>
      <c r="BB213" s="17"/>
      <c r="BC213" s="96"/>
      <c r="BD213" s="96"/>
      <c r="BE213" s="96"/>
      <c r="BF213" s="96"/>
      <c r="BG213" s="96"/>
      <c r="BH213" s="96"/>
      <c r="BI213" s="96"/>
    </row>
    <row r="214" spans="1:61" x14ac:dyDescent="0.45">
      <c r="A214" s="103" t="s">
        <v>320</v>
      </c>
      <c r="B214" s="17" t="s">
        <v>2667</v>
      </c>
      <c r="C214" s="16">
        <v>44635</v>
      </c>
      <c r="D214" s="17" t="s">
        <v>54</v>
      </c>
      <c r="E214" s="15" t="s">
        <v>1</v>
      </c>
      <c r="F214" s="17">
        <v>22</v>
      </c>
      <c r="G214" s="17">
        <v>30</v>
      </c>
      <c r="H214" s="3" t="s">
        <v>43</v>
      </c>
      <c r="I214" s="88" t="s">
        <v>41</v>
      </c>
      <c r="J214" s="87">
        <v>44651</v>
      </c>
      <c r="K214" s="15">
        <v>1700</v>
      </c>
      <c r="L214" s="96">
        <v>85</v>
      </c>
      <c r="M214" s="89">
        <v>26.46</v>
      </c>
      <c r="N214" s="88"/>
      <c r="O214" s="413" t="str">
        <f t="shared" si="1"/>
        <v>22 x 30</v>
      </c>
      <c r="P214" s="18" t="str">
        <f t="shared" si="2"/>
        <v>24 x 32</v>
      </c>
      <c r="Q214" s="91" t="str">
        <f t="shared" si="3"/>
        <v>N/A</v>
      </c>
      <c r="R214" s="18" t="str">
        <f t="shared" si="4"/>
        <v>38 x 31 x 6</v>
      </c>
      <c r="S214" s="18">
        <v>38</v>
      </c>
      <c r="T214" s="18">
        <v>31</v>
      </c>
      <c r="U214" s="18">
        <v>6</v>
      </c>
      <c r="V214" s="18">
        <f t="shared" si="47"/>
        <v>103</v>
      </c>
      <c r="W214" s="287">
        <f t="shared" si="51"/>
        <v>0.31129411764705883</v>
      </c>
      <c r="X214" s="287" t="str">
        <f t="shared" si="52"/>
        <v>Yes</v>
      </c>
      <c r="Y214" s="93" t="e">
        <f t="shared" si="53"/>
        <v>#REF!</v>
      </c>
      <c r="Z214" s="288" t="e">
        <f t="shared" si="54"/>
        <v>#REF!</v>
      </c>
      <c r="AA214" s="418" t="e">
        <f t="shared" si="55"/>
        <v>#REF!</v>
      </c>
      <c r="AB214" s="288" t="e">
        <f t="shared" si="56"/>
        <v>#REF!</v>
      </c>
      <c r="AC214" s="91" t="e">
        <f>IF(X214="","",IF(D214="2 3D",((F214-0.5)*2+(G214-0.5)*2)*VLOOKUP("3D base",#REF!,2,FALSE),IF(D214="3 Canv", IF(E214="Roll",0,ROUND(SUM(F214:G214)*2,0)),0)*VLOOKUP("Stretcher Bar",#REF!,2,FALSE)))</f>
        <v>#REF!</v>
      </c>
      <c r="AD214" s="91" t="e">
        <f>IF(X214="","",IF(E214="Roll",0,IF(D214="2 3D",(SUM(F214:G214)*2)*VLOOKUP("3D epoxy",#REF!,2,FALSE),IF(D214="3 Canv",VLOOKUP("Wood glue",#REF!,2,FALSE),""))))</f>
        <v>#REF!</v>
      </c>
      <c r="AE214" s="91" t="e">
        <f>IF(D214="3 Canv",(((F214+5)*(G214+5)))*VLOOKUP("Canvas",#REF!,2,FALSE),IF(D214="2 3D",(((F214)*(G214)))*VLOOKUP("Dibond",#REF!,2,FALSE),""))</f>
        <v>#REF!</v>
      </c>
      <c r="AF214" s="91" t="e">
        <f>IF(D214="2 3D",F214*G214*VLOOKUP("3D ink",#REF!,2,FALSE),IF(D214="3 Canv",F214*G214*VLOOKUP("Canvas ink",#REF!,2,FALSE),""))</f>
        <v>#REF!</v>
      </c>
      <c r="AG214" s="91" t="str">
        <f>IF(D214="3 Canv",IF(E214="Roll","",ROUNDUP((SUM(F214:G214)*2)/3,"")*VLOOKUP("Staples",#REF!,2,FALSE)),"")</f>
        <v/>
      </c>
      <c r="AH214" s="91" t="e">
        <f>IF(AF214="","",(SUM(F214:G214)*2)*VLOOKUP(E214,#REF!,2,FALSE))</f>
        <v>#REF!</v>
      </c>
      <c r="AI214" s="18">
        <f t="shared" si="57"/>
        <v>44</v>
      </c>
      <c r="AJ214" s="91" t="e">
        <f>IF(AI214="","",AI214*VLOOKUP("Staples",#REF!,2,FALSE))</f>
        <v>#REF!</v>
      </c>
      <c r="AK214" s="18" t="e">
        <f t="shared" si="58"/>
        <v>#REF!</v>
      </c>
      <c r="AL214" s="91" t="e">
        <f>IF(AK214="","",AK214*VLOOKUP("Frame screw",#REF!,2,FALSE))</f>
        <v>#REF!</v>
      </c>
      <c r="AM214" s="18" t="e">
        <f t="shared" si="59"/>
        <v>#REF!</v>
      </c>
      <c r="AN214" s="91" t="e">
        <f>IF(AM214="","",AM214*VLOOKUP("D ring",#REF!,2,FALSE))</f>
        <v>#REF!</v>
      </c>
      <c r="AO214" s="18" t="e">
        <f t="shared" si="60"/>
        <v>#REF!</v>
      </c>
      <c r="AP214" s="91" t="e">
        <f>IF(AO214="","",IF(G214&gt;59,AO214* VLOOKUP("8 wire",#REF!,2,FALSE)*2,IF(G214&gt;39,AO214* VLOOKUP("8 wire",#REF!,2,FALSE),AO214* VLOOKUP("6 wire",#REF!,2,FALSE))))</f>
        <v>#REF!</v>
      </c>
      <c r="AQ214" s="18">
        <f t="shared" si="61"/>
        <v>4</v>
      </c>
      <c r="AR214" s="18" t="e">
        <f>IF(AQ214="","",AQ214*VLOOKUP("Pads",#REF!,2,FALSE))</f>
        <v>#REF!</v>
      </c>
      <c r="AS214" s="18">
        <f t="shared" si="62"/>
        <v>1</v>
      </c>
      <c r="AT214" s="91" t="e">
        <f>IF(AS214="","",AS214*VLOOKUP("4 mil bag",#REF!,2,FALSE))</f>
        <v>#REF!</v>
      </c>
      <c r="AU214" s="91">
        <f>IF(X214="","",IF(I214="N/A","",IF(I214="CNC",IF(G214&gt;37,20,10),VLOOKUP(I214,#REF!,2,FALSE))))</f>
        <v>10</v>
      </c>
      <c r="AV214" s="91" t="e">
        <f>IF(X214="","",IF(I214="CNC",VLOOKUP("Glue stick",#REF!,2,FALSE),""))</f>
        <v>#REF!</v>
      </c>
      <c r="AW214" s="91" t="e">
        <f>IF(X214="","",IF(I214="CNC",16*VLOOKUP("Box staples",#REF!,2,FALSE),""))</f>
        <v>#REF!</v>
      </c>
      <c r="AX214" s="18" t="e">
        <f>IF(X214="","",IF(I214="CNC",((((G214+6)+(F214+6))*2)+24)*VLOOKUP("sealing tape",#REF!,2,FALSE),VLOOKUP("Strapping tape",#REF!,2,FALSE)))</f>
        <v>#REF!</v>
      </c>
      <c r="AY214" s="17"/>
      <c r="AZ214" s="17"/>
      <c r="BA214" s="17"/>
      <c r="BB214" s="17"/>
      <c r="BC214" s="96"/>
      <c r="BD214" s="96"/>
      <c r="BE214" s="96"/>
      <c r="BF214" s="96"/>
      <c r="BG214" s="96"/>
      <c r="BH214" s="96"/>
      <c r="BI214" s="96"/>
    </row>
    <row r="215" spans="1:61" x14ac:dyDescent="0.45">
      <c r="A215" s="103" t="s">
        <v>68</v>
      </c>
      <c r="B215" s="17" t="s">
        <v>1001</v>
      </c>
      <c r="C215" s="16">
        <v>44636</v>
      </c>
      <c r="D215" s="17" t="s">
        <v>54</v>
      </c>
      <c r="E215" s="15" t="s">
        <v>690</v>
      </c>
      <c r="F215" s="17">
        <v>23</v>
      </c>
      <c r="G215" s="17">
        <v>48</v>
      </c>
      <c r="H215" s="3" t="s">
        <v>43</v>
      </c>
      <c r="I215" s="88" t="s">
        <v>41</v>
      </c>
      <c r="J215" s="87">
        <v>44651</v>
      </c>
      <c r="K215" s="15">
        <v>2975</v>
      </c>
      <c r="L215" s="96">
        <v>150</v>
      </c>
      <c r="M215" s="89">
        <v>35.33</v>
      </c>
      <c r="N215" s="88"/>
      <c r="O215" s="413" t="str">
        <f t="shared" si="1"/>
        <v>23 x 48</v>
      </c>
      <c r="P215" s="18" t="str">
        <f t="shared" si="2"/>
        <v>25 x 50</v>
      </c>
      <c r="Q215" s="91" t="str">
        <f t="shared" si="3"/>
        <v>N/A</v>
      </c>
      <c r="R215" s="18" t="str">
        <f t="shared" si="4"/>
        <v>56 x 32 x 6</v>
      </c>
      <c r="S215" s="18">
        <v>56</v>
      </c>
      <c r="T215" s="18">
        <v>32</v>
      </c>
      <c r="U215" s="18">
        <v>6</v>
      </c>
      <c r="V215" s="18">
        <f t="shared" si="47"/>
        <v>123</v>
      </c>
      <c r="W215" s="287">
        <f t="shared" si="51"/>
        <v>0.23553333333333332</v>
      </c>
      <c r="X215" s="287" t="str">
        <f t="shared" si="52"/>
        <v>Yes</v>
      </c>
      <c r="Y215" s="93" t="e">
        <f t="shared" si="53"/>
        <v>#REF!</v>
      </c>
      <c r="Z215" s="288" t="e">
        <f t="shared" si="54"/>
        <v>#REF!</v>
      </c>
      <c r="AA215" s="418" t="e">
        <f t="shared" si="55"/>
        <v>#REF!</v>
      </c>
      <c r="AB215" s="288" t="e">
        <f t="shared" si="56"/>
        <v>#REF!</v>
      </c>
      <c r="AC215" s="91" t="e">
        <f>IF(X215="","",IF(D215="2 3D",((F215-0.5)*2+(G215-0.5)*2)*VLOOKUP("3D base",#REF!,2,FALSE),IF(D215="3 Canv", IF(E215="Roll",0,ROUND(SUM(F215:G215)*2,0)),0)*VLOOKUP("Stretcher Bar",#REF!,2,FALSE)))</f>
        <v>#REF!</v>
      </c>
      <c r="AD215" s="91" t="e">
        <f>IF(X215="","",IF(E215="Roll",0,IF(D215="2 3D",(SUM(F215:G215)*2)*VLOOKUP("3D epoxy",#REF!,2,FALSE),IF(D215="3 Canv",VLOOKUP("Wood glue",#REF!,2,FALSE),""))))</f>
        <v>#REF!</v>
      </c>
      <c r="AE215" s="91" t="e">
        <f>IF(D215="3 Canv",(((F215+5)*(G215+5)))*VLOOKUP("Canvas",#REF!,2,FALSE),IF(D215="2 3D",(((F215)*(G215)))*VLOOKUP("Dibond",#REF!,2,FALSE),""))</f>
        <v>#REF!</v>
      </c>
      <c r="AF215" s="91" t="e">
        <f>IF(D215="2 3D",F215*G215*VLOOKUP("3D ink",#REF!,2,FALSE),IF(D215="3 Canv",F215*G215*VLOOKUP("Canvas ink",#REF!,2,FALSE),""))</f>
        <v>#REF!</v>
      </c>
      <c r="AG215" s="91" t="str">
        <f>IF(D215="3 Canv",IF(E215="Roll","",ROUNDUP((SUM(F215:G215)*2)/3,"")*VLOOKUP("Staples",#REF!,2,FALSE)),"")</f>
        <v/>
      </c>
      <c r="AH215" s="91" t="e">
        <f>IF(AF215="","",(SUM(F215:G215)*2)*VLOOKUP(E215,#REF!,2,FALSE))</f>
        <v>#REF!</v>
      </c>
      <c r="AI215" s="18">
        <f t="shared" si="57"/>
        <v>44</v>
      </c>
      <c r="AJ215" s="91" t="e">
        <f>IF(AI215="","",AI215*VLOOKUP("Staples",#REF!,2,FALSE))</f>
        <v>#REF!</v>
      </c>
      <c r="AK215" s="18" t="e">
        <f t="shared" si="58"/>
        <v>#REF!</v>
      </c>
      <c r="AL215" s="91" t="e">
        <f>IF(AK215="","",AK215*VLOOKUP("Frame screw",#REF!,2,FALSE))</f>
        <v>#REF!</v>
      </c>
      <c r="AM215" s="18" t="e">
        <f t="shared" si="59"/>
        <v>#REF!</v>
      </c>
      <c r="AN215" s="91" t="e">
        <f>IF(AM215="","",AM215*VLOOKUP("D ring",#REF!,2,FALSE))</f>
        <v>#REF!</v>
      </c>
      <c r="AO215" s="18" t="e">
        <f t="shared" si="60"/>
        <v>#REF!</v>
      </c>
      <c r="AP215" s="91" t="e">
        <f>IF(AO215="","",IF(G215&gt;59,AO215* VLOOKUP("8 wire",#REF!,2,FALSE)*2,IF(G215&gt;39,AO215* VLOOKUP("8 wire",#REF!,2,FALSE),AO215* VLOOKUP("6 wire",#REF!,2,FALSE))))</f>
        <v>#REF!</v>
      </c>
      <c r="AQ215" s="18">
        <f t="shared" si="61"/>
        <v>4</v>
      </c>
      <c r="AR215" s="18" t="e">
        <f>IF(AQ215="","",AQ215*VLOOKUP("Pads",#REF!,2,FALSE))</f>
        <v>#REF!</v>
      </c>
      <c r="AS215" s="18">
        <f t="shared" si="62"/>
        <v>1</v>
      </c>
      <c r="AT215" s="91" t="e">
        <f>IF(AS215="","",AS215*VLOOKUP("4 mil bag",#REF!,2,FALSE))</f>
        <v>#REF!</v>
      </c>
      <c r="AU215" s="91">
        <f>IF(X215="","",IF(I215="N/A","",IF(I215="CNC",IF(G215&gt;37,20,10),VLOOKUP(I215,#REF!,2,FALSE))))</f>
        <v>20</v>
      </c>
      <c r="AV215" s="91" t="e">
        <f>IF(X215="","",IF(I215="CNC",VLOOKUP("Glue stick",#REF!,2,FALSE),""))</f>
        <v>#REF!</v>
      </c>
      <c r="AW215" s="91" t="e">
        <f>IF(X215="","",IF(I215="CNC",16*VLOOKUP("Box staples",#REF!,2,FALSE),""))</f>
        <v>#REF!</v>
      </c>
      <c r="AX215" s="18" t="e">
        <f>IF(X215="","",IF(I215="CNC",((((G215+6)+(F215+6))*2)+24)*VLOOKUP("sealing tape",#REF!,2,FALSE),VLOOKUP("Strapping tape",#REF!,2,FALSE)))</f>
        <v>#REF!</v>
      </c>
      <c r="AY215" s="17"/>
      <c r="AZ215" s="17"/>
      <c r="BA215" s="17"/>
      <c r="BB215" s="17"/>
      <c r="BC215" s="96"/>
      <c r="BD215" s="96"/>
      <c r="BE215" s="96"/>
      <c r="BF215" s="96"/>
      <c r="BG215" s="96"/>
      <c r="BH215" s="96"/>
      <c r="BI215" s="96"/>
    </row>
    <row r="216" spans="1:61" x14ac:dyDescent="0.45">
      <c r="A216" s="103" t="s">
        <v>1197</v>
      </c>
      <c r="B216" s="17" t="s">
        <v>1279</v>
      </c>
      <c r="C216" s="16">
        <v>44638</v>
      </c>
      <c r="D216" s="17" t="s">
        <v>54</v>
      </c>
      <c r="E216" s="15" t="s">
        <v>690</v>
      </c>
      <c r="F216" s="17">
        <v>16</v>
      </c>
      <c r="G216" s="17">
        <v>20</v>
      </c>
      <c r="H216" s="3" t="s">
        <v>43</v>
      </c>
      <c r="I216" s="88" t="s">
        <v>41</v>
      </c>
      <c r="J216" s="87">
        <v>44651</v>
      </c>
      <c r="K216" s="15">
        <v>1020</v>
      </c>
      <c r="L216" s="96">
        <v>55</v>
      </c>
      <c r="M216" s="89">
        <v>11.88</v>
      </c>
      <c r="N216" s="88"/>
      <c r="O216" s="413" t="str">
        <f t="shared" si="1"/>
        <v>16 x 20</v>
      </c>
      <c r="P216" s="18" t="str">
        <f t="shared" si="2"/>
        <v>18 x 22</v>
      </c>
      <c r="Q216" s="91" t="str">
        <f t="shared" si="3"/>
        <v>N/A</v>
      </c>
      <c r="R216" s="18" t="str">
        <f t="shared" si="4"/>
        <v>28 x 25 x 6</v>
      </c>
      <c r="S216" s="18">
        <v>28</v>
      </c>
      <c r="T216" s="18">
        <v>25</v>
      </c>
      <c r="U216" s="18">
        <v>6</v>
      </c>
      <c r="V216" s="18">
        <f t="shared" si="47"/>
        <v>81</v>
      </c>
      <c r="W216" s="287">
        <f t="shared" si="51"/>
        <v>0.21600000000000003</v>
      </c>
      <c r="X216" s="287" t="str">
        <f t="shared" si="52"/>
        <v>Yes</v>
      </c>
      <c r="Y216" s="93" t="e">
        <f t="shared" si="53"/>
        <v>#REF!</v>
      </c>
      <c r="Z216" s="288" t="e">
        <f t="shared" si="54"/>
        <v>#REF!</v>
      </c>
      <c r="AA216" s="418" t="e">
        <f t="shared" si="55"/>
        <v>#REF!</v>
      </c>
      <c r="AB216" s="288" t="e">
        <f t="shared" si="56"/>
        <v>#REF!</v>
      </c>
      <c r="AC216" s="91" t="e">
        <f>IF(X216="","",IF(D216="2 3D",((F216-0.5)*2+(G216-0.5)*2)*VLOOKUP("3D base",#REF!,2,FALSE),IF(D216="3 Canv", IF(E216="Roll",0,ROUND(SUM(F216:G216)*2,0)),0)*VLOOKUP("Stretcher Bar",#REF!,2,FALSE)))</f>
        <v>#REF!</v>
      </c>
      <c r="AD216" s="91" t="e">
        <f>IF(X216="","",IF(E216="Roll",0,IF(D216="2 3D",(SUM(F216:G216)*2)*VLOOKUP("3D epoxy",#REF!,2,FALSE),IF(D216="3 Canv",VLOOKUP("Wood glue",#REF!,2,FALSE),""))))</f>
        <v>#REF!</v>
      </c>
      <c r="AE216" s="91" t="e">
        <f>IF(D216="3 Canv",(((F216+5)*(G216+5)))*VLOOKUP("Canvas",#REF!,2,FALSE),IF(D216="2 3D",(((F216)*(G216)))*VLOOKUP("Dibond",#REF!,2,FALSE),""))</f>
        <v>#REF!</v>
      </c>
      <c r="AF216" s="91" t="e">
        <f>IF(D216="2 3D",F216*G216*VLOOKUP("3D ink",#REF!,2,FALSE),IF(D216="3 Canv",F216*G216*VLOOKUP("Canvas ink",#REF!,2,FALSE),""))</f>
        <v>#REF!</v>
      </c>
      <c r="AG216" s="91" t="str">
        <f>IF(D216="3 Canv",IF(E216="Roll","",ROUNDUP((SUM(F216:G216)*2)/3,"")*VLOOKUP("Staples",#REF!,2,FALSE)),"")</f>
        <v/>
      </c>
      <c r="AH216" s="91" t="e">
        <f>IF(AF216="","",(SUM(F216:G216)*2)*VLOOKUP(E216,#REF!,2,FALSE))</f>
        <v>#REF!</v>
      </c>
      <c r="AI216" s="18">
        <f t="shared" si="57"/>
        <v>44</v>
      </c>
      <c r="AJ216" s="91" t="e">
        <f>IF(AI216="","",AI216*VLOOKUP("Staples",#REF!,2,FALSE))</f>
        <v>#REF!</v>
      </c>
      <c r="AK216" s="18" t="e">
        <f t="shared" si="58"/>
        <v>#REF!</v>
      </c>
      <c r="AL216" s="91" t="e">
        <f>IF(AK216="","",AK216*VLOOKUP("Frame screw",#REF!,2,FALSE))</f>
        <v>#REF!</v>
      </c>
      <c r="AM216" s="18" t="e">
        <f t="shared" si="59"/>
        <v>#REF!</v>
      </c>
      <c r="AN216" s="91" t="e">
        <f>IF(AM216="","",AM216*VLOOKUP("D ring",#REF!,2,FALSE))</f>
        <v>#REF!</v>
      </c>
      <c r="AO216" s="18" t="e">
        <f t="shared" si="60"/>
        <v>#REF!</v>
      </c>
      <c r="AP216" s="91" t="e">
        <f>IF(AO216="","",IF(G216&gt;59,AO216* VLOOKUP("8 wire",#REF!,2,FALSE)*2,IF(G216&gt;39,AO216* VLOOKUP("8 wire",#REF!,2,FALSE),AO216* VLOOKUP("6 wire",#REF!,2,FALSE))))</f>
        <v>#REF!</v>
      </c>
      <c r="AQ216" s="18">
        <f t="shared" si="61"/>
        <v>4</v>
      </c>
      <c r="AR216" s="18" t="e">
        <f>IF(AQ216="","",AQ216*VLOOKUP("Pads",#REF!,2,FALSE))</f>
        <v>#REF!</v>
      </c>
      <c r="AS216" s="18">
        <f t="shared" si="62"/>
        <v>1</v>
      </c>
      <c r="AT216" s="91" t="e">
        <f>IF(AS216="","",AS216*VLOOKUP("4 mil bag",#REF!,2,FALSE))</f>
        <v>#REF!</v>
      </c>
      <c r="AU216" s="91">
        <f>IF(X216="","",IF(I216="N/A","",IF(I216="CNC",IF(G216&gt;37,20,10),VLOOKUP(I216,#REF!,2,FALSE))))</f>
        <v>10</v>
      </c>
      <c r="AV216" s="91" t="e">
        <f>IF(X216="","",IF(I216="CNC",VLOOKUP("Glue stick",#REF!,2,FALSE),""))</f>
        <v>#REF!</v>
      </c>
      <c r="AW216" s="91" t="e">
        <f>IF(X216="","",IF(I216="CNC",16*VLOOKUP("Box staples",#REF!,2,FALSE),""))</f>
        <v>#REF!</v>
      </c>
      <c r="AX216" s="18" t="e">
        <f>IF(X216="","",IF(I216="CNC",((((G216+6)+(F216+6))*2)+24)*VLOOKUP("sealing tape",#REF!,2,FALSE),VLOOKUP("Strapping tape",#REF!,2,FALSE)))</f>
        <v>#REF!</v>
      </c>
      <c r="AY216" s="17"/>
      <c r="AZ216" s="17"/>
      <c r="BA216" s="17"/>
      <c r="BB216" s="17"/>
      <c r="BC216" s="96"/>
      <c r="BD216" s="96"/>
      <c r="BE216" s="96"/>
      <c r="BF216" s="96"/>
      <c r="BG216" s="96"/>
      <c r="BH216" s="96"/>
      <c r="BI216" s="96"/>
    </row>
    <row r="217" spans="1:61" x14ac:dyDescent="0.45">
      <c r="A217" s="103" t="s">
        <v>494</v>
      </c>
      <c r="B217" s="17" t="s">
        <v>1278</v>
      </c>
      <c r="C217" s="16">
        <v>44640</v>
      </c>
      <c r="D217" s="17" t="s">
        <v>54</v>
      </c>
      <c r="E217" s="15" t="s">
        <v>690</v>
      </c>
      <c r="F217" s="17">
        <v>20</v>
      </c>
      <c r="G217" s="17">
        <v>24</v>
      </c>
      <c r="H217" s="3" t="s">
        <v>43</v>
      </c>
      <c r="I217" s="88" t="s">
        <v>41</v>
      </c>
      <c r="J217" s="87">
        <v>44651</v>
      </c>
      <c r="K217" s="15">
        <v>1275</v>
      </c>
      <c r="L217" s="96">
        <v>65</v>
      </c>
      <c r="M217" s="89">
        <v>12.99</v>
      </c>
      <c r="N217" s="88"/>
      <c r="O217" s="413" t="str">
        <f t="shared" si="1"/>
        <v>20 x 24</v>
      </c>
      <c r="P217" s="18" t="str">
        <f t="shared" si="2"/>
        <v>22 x 26</v>
      </c>
      <c r="Q217" s="91" t="str">
        <f t="shared" si="3"/>
        <v>N/A</v>
      </c>
      <c r="R217" s="18" t="str">
        <f t="shared" si="4"/>
        <v>32 x 29 x 6</v>
      </c>
      <c r="S217" s="18">
        <v>32</v>
      </c>
      <c r="T217" s="18">
        <v>29</v>
      </c>
      <c r="U217" s="18">
        <v>6</v>
      </c>
      <c r="V217" s="18">
        <f t="shared" si="47"/>
        <v>93</v>
      </c>
      <c r="W217" s="287">
        <f t="shared" si="51"/>
        <v>0.19984615384615384</v>
      </c>
      <c r="X217" s="287" t="str">
        <f t="shared" si="52"/>
        <v>Yes</v>
      </c>
      <c r="Y217" s="93" t="e">
        <f t="shared" si="53"/>
        <v>#REF!</v>
      </c>
      <c r="Z217" s="288" t="e">
        <f t="shared" si="54"/>
        <v>#REF!</v>
      </c>
      <c r="AA217" s="418" t="e">
        <f t="shared" si="55"/>
        <v>#REF!</v>
      </c>
      <c r="AB217" s="288" t="e">
        <f t="shared" si="56"/>
        <v>#REF!</v>
      </c>
      <c r="AC217" s="91" t="e">
        <f>IF(X217="","",IF(D217="2 3D",((F217-0.5)*2+(G217-0.5)*2)*VLOOKUP("3D base",#REF!,2,FALSE),IF(D217="3 Canv", IF(E217="Roll",0,ROUND(SUM(F217:G217)*2,0)),0)*VLOOKUP("Stretcher Bar",#REF!,2,FALSE)))</f>
        <v>#REF!</v>
      </c>
      <c r="AD217" s="91" t="e">
        <f>IF(X217="","",IF(E217="Roll",0,IF(D217="2 3D",(SUM(F217:G217)*2)*VLOOKUP("3D epoxy",#REF!,2,FALSE),IF(D217="3 Canv",VLOOKUP("Wood glue",#REF!,2,FALSE),""))))</f>
        <v>#REF!</v>
      </c>
      <c r="AE217" s="91" t="e">
        <f>IF(D217="3 Canv",(((F217+5)*(G217+5)))*VLOOKUP("Canvas",#REF!,2,FALSE),IF(D217="2 3D",(((F217)*(G217)))*VLOOKUP("Dibond",#REF!,2,FALSE),""))</f>
        <v>#REF!</v>
      </c>
      <c r="AF217" s="91" t="e">
        <f>IF(D217="2 3D",F217*G217*VLOOKUP("3D ink",#REF!,2,FALSE),IF(D217="3 Canv",F217*G217*VLOOKUP("Canvas ink",#REF!,2,FALSE),""))</f>
        <v>#REF!</v>
      </c>
      <c r="AG217" s="91" t="str">
        <f>IF(D217="3 Canv",IF(E217="Roll","",ROUNDUP((SUM(F217:G217)*2)/3,"")*VLOOKUP("Staples",#REF!,2,FALSE)),"")</f>
        <v/>
      </c>
      <c r="AH217" s="91" t="e">
        <f>IF(AF217="","",(SUM(F217:G217)*2)*VLOOKUP(E217,#REF!,2,FALSE))</f>
        <v>#REF!</v>
      </c>
      <c r="AI217" s="18">
        <f t="shared" si="57"/>
        <v>44</v>
      </c>
      <c r="AJ217" s="91" t="e">
        <f>IF(AI217="","",AI217*VLOOKUP("Staples",#REF!,2,FALSE))</f>
        <v>#REF!</v>
      </c>
      <c r="AK217" s="18" t="e">
        <f t="shared" si="58"/>
        <v>#REF!</v>
      </c>
      <c r="AL217" s="91" t="e">
        <f>IF(AK217="","",AK217*VLOOKUP("Frame screw",#REF!,2,FALSE))</f>
        <v>#REF!</v>
      </c>
      <c r="AM217" s="18" t="e">
        <f t="shared" si="59"/>
        <v>#REF!</v>
      </c>
      <c r="AN217" s="91" t="e">
        <f>IF(AM217="","",AM217*VLOOKUP("D ring",#REF!,2,FALSE))</f>
        <v>#REF!</v>
      </c>
      <c r="AO217" s="18" t="e">
        <f t="shared" si="60"/>
        <v>#REF!</v>
      </c>
      <c r="AP217" s="91" t="e">
        <f>IF(AO217="","",IF(G217&gt;59,AO217* VLOOKUP("8 wire",#REF!,2,FALSE)*2,IF(G217&gt;39,AO217* VLOOKUP("8 wire",#REF!,2,FALSE),AO217* VLOOKUP("6 wire",#REF!,2,FALSE))))</f>
        <v>#REF!</v>
      </c>
      <c r="AQ217" s="18">
        <f t="shared" si="61"/>
        <v>4</v>
      </c>
      <c r="AR217" s="18" t="e">
        <f>IF(AQ217="","",AQ217*VLOOKUP("Pads",#REF!,2,FALSE))</f>
        <v>#REF!</v>
      </c>
      <c r="AS217" s="18">
        <f t="shared" si="62"/>
        <v>1</v>
      </c>
      <c r="AT217" s="91" t="e">
        <f>IF(AS217="","",AS217*VLOOKUP("4 mil bag",#REF!,2,FALSE))</f>
        <v>#REF!</v>
      </c>
      <c r="AU217" s="91">
        <f>IF(X217="","",IF(I217="N/A","",IF(I217="CNC",IF(G217&gt;37,20,10),VLOOKUP(I217,#REF!,2,FALSE))))</f>
        <v>10</v>
      </c>
      <c r="AV217" s="91" t="e">
        <f>IF(X217="","",IF(I217="CNC",VLOOKUP("Glue stick",#REF!,2,FALSE),""))</f>
        <v>#REF!</v>
      </c>
      <c r="AW217" s="91" t="e">
        <f>IF(X217="","",IF(I217="CNC",16*VLOOKUP("Box staples",#REF!,2,FALSE),""))</f>
        <v>#REF!</v>
      </c>
      <c r="AX217" s="18" t="e">
        <f>IF(X217="","",IF(I217="CNC",((((G217+6)+(F217+6))*2)+24)*VLOOKUP("sealing tape",#REF!,2,FALSE),VLOOKUP("Strapping tape",#REF!,2,FALSE)))</f>
        <v>#REF!</v>
      </c>
      <c r="AY217" s="17"/>
      <c r="AZ217" s="17"/>
      <c r="BA217" s="17"/>
      <c r="BB217" s="17"/>
      <c r="BC217" s="96"/>
      <c r="BD217" s="96"/>
      <c r="BE217" s="96"/>
      <c r="BF217" s="96"/>
      <c r="BG217" s="96"/>
      <c r="BH217" s="96"/>
      <c r="BI217" s="96"/>
    </row>
    <row r="218" spans="1:61" x14ac:dyDescent="0.45">
      <c r="A218" s="103" t="s">
        <v>909</v>
      </c>
      <c r="B218" s="17" t="s">
        <v>1277</v>
      </c>
      <c r="C218" s="16">
        <v>44640</v>
      </c>
      <c r="D218" s="17" t="s">
        <v>54</v>
      </c>
      <c r="E218" s="15" t="s">
        <v>690</v>
      </c>
      <c r="F218" s="17">
        <v>16</v>
      </c>
      <c r="G218" s="17">
        <v>24</v>
      </c>
      <c r="H218" s="3" t="s">
        <v>43</v>
      </c>
      <c r="I218" s="88" t="s">
        <v>41</v>
      </c>
      <c r="J218" s="87">
        <v>44651</v>
      </c>
      <c r="K218" s="15">
        <v>1020</v>
      </c>
      <c r="L218" s="96">
        <v>55</v>
      </c>
      <c r="M218" s="89">
        <v>19.239999999999998</v>
      </c>
      <c r="N218" s="88"/>
      <c r="O218" s="413" t="str">
        <f t="shared" si="1"/>
        <v>16 x 24</v>
      </c>
      <c r="P218" s="18" t="str">
        <f t="shared" si="2"/>
        <v>18 x 26</v>
      </c>
      <c r="Q218" s="91" t="str">
        <f t="shared" si="3"/>
        <v>N/A</v>
      </c>
      <c r="R218" s="18" t="str">
        <f t="shared" si="4"/>
        <v>32 x 25 x 6</v>
      </c>
      <c r="S218" s="18">
        <v>32</v>
      </c>
      <c r="T218" s="18">
        <v>25</v>
      </c>
      <c r="U218" s="18">
        <v>6</v>
      </c>
      <c r="V218" s="18">
        <f t="shared" si="47"/>
        <v>85</v>
      </c>
      <c r="W218" s="287">
        <f t="shared" si="51"/>
        <v>0.34981818181818181</v>
      </c>
      <c r="X218" s="287" t="str">
        <f t="shared" si="52"/>
        <v>Yes</v>
      </c>
      <c r="Y218" s="93" t="e">
        <f t="shared" si="53"/>
        <v>#REF!</v>
      </c>
      <c r="Z218" s="288" t="e">
        <f t="shared" si="54"/>
        <v>#REF!</v>
      </c>
      <c r="AA218" s="418" t="e">
        <f t="shared" si="55"/>
        <v>#REF!</v>
      </c>
      <c r="AB218" s="288" t="e">
        <f t="shared" si="56"/>
        <v>#REF!</v>
      </c>
      <c r="AC218" s="91" t="e">
        <f>IF(X218="","",IF(D218="2 3D",((F218-0.5)*2+(G218-0.5)*2)*VLOOKUP("3D base",#REF!,2,FALSE),IF(D218="3 Canv", IF(E218="Roll",0,ROUND(SUM(F218:G218)*2,0)),0)*VLOOKUP("Stretcher Bar",#REF!,2,FALSE)))</f>
        <v>#REF!</v>
      </c>
      <c r="AD218" s="91" t="e">
        <f>IF(X218="","",IF(E218="Roll",0,IF(D218="2 3D",(SUM(F218:G218)*2)*VLOOKUP("3D epoxy",#REF!,2,FALSE),IF(D218="3 Canv",VLOOKUP("Wood glue",#REF!,2,FALSE),""))))</f>
        <v>#REF!</v>
      </c>
      <c r="AE218" s="91" t="e">
        <f>IF(D218="3 Canv",(((F218+5)*(G218+5)))*VLOOKUP("Canvas",#REF!,2,FALSE),IF(D218="2 3D",(((F218)*(G218)))*VLOOKUP("Dibond",#REF!,2,FALSE),""))</f>
        <v>#REF!</v>
      </c>
      <c r="AF218" s="91" t="e">
        <f>IF(D218="2 3D",F218*G218*VLOOKUP("3D ink",#REF!,2,FALSE),IF(D218="3 Canv",F218*G218*VLOOKUP("Canvas ink",#REF!,2,FALSE),""))</f>
        <v>#REF!</v>
      </c>
      <c r="AG218" s="91" t="str">
        <f>IF(D218="3 Canv",IF(E218="Roll","",ROUNDUP((SUM(F218:G218)*2)/3,"")*VLOOKUP("Staples",#REF!,2,FALSE)),"")</f>
        <v/>
      </c>
      <c r="AH218" s="91" t="e">
        <f>IF(AF218="","",(SUM(F218:G218)*2)*VLOOKUP(E218,#REF!,2,FALSE))</f>
        <v>#REF!</v>
      </c>
      <c r="AI218" s="18">
        <f t="shared" si="57"/>
        <v>44</v>
      </c>
      <c r="AJ218" s="91" t="e">
        <f>IF(AI218="","",AI218*VLOOKUP("Staples",#REF!,2,FALSE))</f>
        <v>#REF!</v>
      </c>
      <c r="AK218" s="18" t="e">
        <f t="shared" si="58"/>
        <v>#REF!</v>
      </c>
      <c r="AL218" s="91" t="e">
        <f>IF(AK218="","",AK218*VLOOKUP("Frame screw",#REF!,2,FALSE))</f>
        <v>#REF!</v>
      </c>
      <c r="AM218" s="18" t="e">
        <f t="shared" si="59"/>
        <v>#REF!</v>
      </c>
      <c r="AN218" s="91" t="e">
        <f>IF(AM218="","",AM218*VLOOKUP("D ring",#REF!,2,FALSE))</f>
        <v>#REF!</v>
      </c>
      <c r="AO218" s="18" t="e">
        <f t="shared" si="60"/>
        <v>#REF!</v>
      </c>
      <c r="AP218" s="91" t="e">
        <f>IF(AO218="","",IF(G218&gt;59,AO218* VLOOKUP("8 wire",#REF!,2,FALSE)*2,IF(G218&gt;39,AO218* VLOOKUP("8 wire",#REF!,2,FALSE),AO218* VLOOKUP("6 wire",#REF!,2,FALSE))))</f>
        <v>#REF!</v>
      </c>
      <c r="AQ218" s="18">
        <f t="shared" si="61"/>
        <v>4</v>
      </c>
      <c r="AR218" s="18" t="e">
        <f>IF(AQ218="","",AQ218*VLOOKUP("Pads",#REF!,2,FALSE))</f>
        <v>#REF!</v>
      </c>
      <c r="AS218" s="18">
        <f t="shared" si="62"/>
        <v>1</v>
      </c>
      <c r="AT218" s="91" t="e">
        <f>IF(AS218="","",AS218*VLOOKUP("4 mil bag",#REF!,2,FALSE))</f>
        <v>#REF!</v>
      </c>
      <c r="AU218" s="91">
        <f>IF(X218="","",IF(I218="N/A","",IF(I218="CNC",IF(G218&gt;37,20,10),VLOOKUP(I218,#REF!,2,FALSE))))</f>
        <v>10</v>
      </c>
      <c r="AV218" s="91" t="e">
        <f>IF(X218="","",IF(I218="CNC",VLOOKUP("Glue stick",#REF!,2,FALSE),""))</f>
        <v>#REF!</v>
      </c>
      <c r="AW218" s="91" t="e">
        <f>IF(X218="","",IF(I218="CNC",16*VLOOKUP("Box staples",#REF!,2,FALSE),""))</f>
        <v>#REF!</v>
      </c>
      <c r="AX218" s="18" t="e">
        <f>IF(X218="","",IF(I218="CNC",((((G218+6)+(F218+6))*2)+24)*VLOOKUP("sealing tape",#REF!,2,FALSE),VLOOKUP("Strapping tape",#REF!,2,FALSE)))</f>
        <v>#REF!</v>
      </c>
      <c r="AY218" s="17"/>
      <c r="AZ218" s="17"/>
      <c r="BA218" s="17"/>
      <c r="BB218" s="17"/>
      <c r="BC218" s="96"/>
      <c r="BD218" s="96"/>
      <c r="BE218" s="96"/>
      <c r="BF218" s="96"/>
      <c r="BG218" s="96"/>
      <c r="BH218" s="96"/>
      <c r="BI218" s="96"/>
    </row>
    <row r="219" spans="1:61" x14ac:dyDescent="0.45">
      <c r="A219" s="103" t="s">
        <v>428</v>
      </c>
      <c r="B219" s="17" t="s">
        <v>2668</v>
      </c>
      <c r="C219" s="16">
        <v>44632</v>
      </c>
      <c r="D219" s="17" t="s">
        <v>54</v>
      </c>
      <c r="E219" s="15" t="s">
        <v>690</v>
      </c>
      <c r="F219" s="17">
        <v>9</v>
      </c>
      <c r="G219" s="17">
        <v>12</v>
      </c>
      <c r="H219" s="3" t="s">
        <v>43</v>
      </c>
      <c r="I219" s="88" t="s">
        <v>41</v>
      </c>
      <c r="J219" s="87">
        <v>44651</v>
      </c>
      <c r="K219" s="15">
        <v>760.75</v>
      </c>
      <c r="L219" s="96">
        <v>0</v>
      </c>
      <c r="M219" s="89">
        <v>14.3</v>
      </c>
      <c r="N219" s="88"/>
      <c r="O219" s="413" t="str">
        <f t="shared" si="1"/>
        <v>9 x 12</v>
      </c>
      <c r="P219" s="18" t="str">
        <f t="shared" si="2"/>
        <v>11 x 14</v>
      </c>
      <c r="Q219" s="91" t="str">
        <f t="shared" si="3"/>
        <v>N/A</v>
      </c>
      <c r="R219" s="18" t="str">
        <f t="shared" si="4"/>
        <v>20 x 18 x 6</v>
      </c>
      <c r="S219" s="18">
        <v>20</v>
      </c>
      <c r="T219" s="18">
        <v>18</v>
      </c>
      <c r="U219" s="18">
        <v>6</v>
      </c>
      <c r="V219" s="18">
        <f t="shared" si="47"/>
        <v>59</v>
      </c>
      <c r="W219" s="287" t="str">
        <f t="shared" si="51"/>
        <v/>
      </c>
      <c r="X219" s="287" t="str">
        <f t="shared" si="52"/>
        <v>Yes</v>
      </c>
      <c r="Y219" s="93" t="e">
        <f t="shared" si="53"/>
        <v>#REF!</v>
      </c>
      <c r="Z219" s="288" t="e">
        <f t="shared" si="54"/>
        <v>#REF!</v>
      </c>
      <c r="AA219" s="418" t="e">
        <f t="shared" si="55"/>
        <v>#REF!</v>
      </c>
      <c r="AB219" s="288" t="e">
        <f t="shared" si="56"/>
        <v>#REF!</v>
      </c>
      <c r="AC219" s="91" t="e">
        <f>IF(X219="","",IF(D219="2 3D",((F219-0.5)*2+(G219-0.5)*2)*VLOOKUP("3D base",#REF!,2,FALSE),IF(D219="3 Canv", IF(E219="Roll",0,ROUND(SUM(F219:G219)*2,0)),0)*VLOOKUP("Stretcher Bar",#REF!,2,FALSE)))</f>
        <v>#REF!</v>
      </c>
      <c r="AD219" s="91" t="e">
        <f>IF(X219="","",IF(E219="Roll",0,IF(D219="2 3D",(SUM(F219:G219)*2)*VLOOKUP("3D epoxy",#REF!,2,FALSE),IF(D219="3 Canv",VLOOKUP("Wood glue",#REF!,2,FALSE),""))))</f>
        <v>#REF!</v>
      </c>
      <c r="AE219" s="91" t="e">
        <f>IF(D219="3 Canv",(((F219+5)*(G219+5)))*VLOOKUP("Canvas",#REF!,2,FALSE),IF(D219="2 3D",(((F219)*(G219)))*VLOOKUP("Dibond",#REF!,2,FALSE),""))</f>
        <v>#REF!</v>
      </c>
      <c r="AF219" s="91" t="e">
        <f>IF(D219="2 3D",F219*G219*VLOOKUP("3D ink",#REF!,2,FALSE),IF(D219="3 Canv",F219*G219*VLOOKUP("Canvas ink",#REF!,2,FALSE),""))</f>
        <v>#REF!</v>
      </c>
      <c r="AG219" s="91" t="str">
        <f>IF(D219="3 Canv",IF(E219="Roll","",ROUNDUP((SUM(F219:G219)*2)/3,"")*VLOOKUP("Staples",#REF!,2,FALSE)),"")</f>
        <v/>
      </c>
      <c r="AH219" s="91" t="e">
        <f>IF(AF219="","",(SUM(F219:G219)*2)*VLOOKUP(E219,#REF!,2,FALSE))</f>
        <v>#REF!</v>
      </c>
      <c r="AI219" s="18">
        <f t="shared" si="57"/>
        <v>44</v>
      </c>
      <c r="AJ219" s="91" t="e">
        <f>IF(AI219="","",AI219*VLOOKUP("Staples",#REF!,2,FALSE))</f>
        <v>#REF!</v>
      </c>
      <c r="AK219" s="18" t="e">
        <f t="shared" si="58"/>
        <v>#REF!</v>
      </c>
      <c r="AL219" s="91" t="e">
        <f>IF(AK219="","",AK219*VLOOKUP("Frame screw",#REF!,2,FALSE))</f>
        <v>#REF!</v>
      </c>
      <c r="AM219" s="18" t="e">
        <f t="shared" si="59"/>
        <v>#REF!</v>
      </c>
      <c r="AN219" s="91" t="e">
        <f>IF(AM219="","",AM219*VLOOKUP("D ring",#REF!,2,FALSE))</f>
        <v>#REF!</v>
      </c>
      <c r="AO219" s="18" t="e">
        <f t="shared" si="60"/>
        <v>#REF!</v>
      </c>
      <c r="AP219" s="91" t="e">
        <f>IF(AO219="","",IF(G219&gt;59,AO219* VLOOKUP("8 wire",#REF!,2,FALSE)*2,IF(G219&gt;39,AO219* VLOOKUP("8 wire",#REF!,2,FALSE),AO219* VLOOKUP("6 wire",#REF!,2,FALSE))))</f>
        <v>#REF!</v>
      </c>
      <c r="AQ219" s="18">
        <f t="shared" si="61"/>
        <v>4</v>
      </c>
      <c r="AR219" s="18" t="e">
        <f>IF(AQ219="","",AQ219*VLOOKUP("Pads",#REF!,2,FALSE))</f>
        <v>#REF!</v>
      </c>
      <c r="AS219" s="18">
        <f t="shared" si="62"/>
        <v>1</v>
      </c>
      <c r="AT219" s="91" t="e">
        <f>IF(AS219="","",AS219*VLOOKUP("4 mil bag",#REF!,2,FALSE))</f>
        <v>#REF!</v>
      </c>
      <c r="AU219" s="91">
        <f>IF(X219="","",IF(I219="N/A","",IF(I219="CNC",IF(G219&gt;37,20,10),VLOOKUP(I219,#REF!,2,FALSE))))</f>
        <v>10</v>
      </c>
      <c r="AV219" s="91" t="e">
        <f>IF(X219="","",IF(I219="CNC",VLOOKUP("Glue stick",#REF!,2,FALSE),""))</f>
        <v>#REF!</v>
      </c>
      <c r="AW219" s="91" t="e">
        <f>IF(X219="","",IF(I219="CNC",16*VLOOKUP("Box staples",#REF!,2,FALSE),""))</f>
        <v>#REF!</v>
      </c>
      <c r="AX219" s="18" t="e">
        <f>IF(X219="","",IF(I219="CNC",((((G219+6)+(F219+6))*2)+24)*VLOOKUP("sealing tape",#REF!,2,FALSE),VLOOKUP("Strapping tape",#REF!,2,FALSE)))</f>
        <v>#REF!</v>
      </c>
      <c r="AY219" s="17"/>
      <c r="AZ219" s="17"/>
      <c r="BA219" s="17"/>
      <c r="BB219" s="17"/>
      <c r="BC219" s="96"/>
      <c r="BD219" s="96"/>
      <c r="BE219" s="96"/>
      <c r="BF219" s="96"/>
      <c r="BG219" s="96"/>
      <c r="BH219" s="96"/>
      <c r="BI219" s="96"/>
    </row>
    <row r="220" spans="1:61" x14ac:dyDescent="0.45">
      <c r="A220" s="103" t="s">
        <v>459</v>
      </c>
      <c r="B220" s="17" t="s">
        <v>1006</v>
      </c>
      <c r="C220" s="16">
        <v>44641</v>
      </c>
      <c r="D220" s="17" t="s">
        <v>66</v>
      </c>
      <c r="E220" s="15" t="s">
        <v>558</v>
      </c>
      <c r="F220" s="17">
        <v>30</v>
      </c>
      <c r="G220" s="17">
        <v>48</v>
      </c>
      <c r="H220" s="3" t="s">
        <v>43</v>
      </c>
      <c r="I220" s="88" t="s">
        <v>595</v>
      </c>
      <c r="J220" s="87">
        <v>44651</v>
      </c>
      <c r="K220" s="15">
        <v>450</v>
      </c>
      <c r="L220" s="96">
        <v>25</v>
      </c>
      <c r="M220" s="89">
        <v>24.99</v>
      </c>
      <c r="N220" s="88"/>
      <c r="O220" s="413" t="str">
        <f t="shared" si="1"/>
        <v>30 x 48</v>
      </c>
      <c r="P220" s="18" t="str">
        <f t="shared" si="2"/>
        <v>N/A</v>
      </c>
      <c r="Q220" s="91">
        <f t="shared" si="3"/>
        <v>4.32</v>
      </c>
      <c r="R220" s="18" t="str">
        <f t="shared" si="4"/>
        <v>57 x 3 x 3</v>
      </c>
      <c r="S220" s="18">
        <v>57</v>
      </c>
      <c r="T220" s="18">
        <v>3</v>
      </c>
      <c r="U220" s="18">
        <v>3</v>
      </c>
      <c r="V220" s="90">
        <f t="shared" si="47"/>
        <v>69</v>
      </c>
      <c r="W220" s="287">
        <f t="shared" si="51"/>
        <v>0.99959999999999993</v>
      </c>
      <c r="X220" s="287" t="str">
        <f t="shared" si="52"/>
        <v>Yes</v>
      </c>
      <c r="Y220" s="93" t="e">
        <f t="shared" si="53"/>
        <v>#REF!</v>
      </c>
      <c r="Z220" s="288" t="e">
        <f t="shared" si="54"/>
        <v>#REF!</v>
      </c>
      <c r="AA220" s="94" t="e">
        <f t="shared" si="55"/>
        <v>#REF!</v>
      </c>
      <c r="AB220" s="288" t="e">
        <f t="shared" si="56"/>
        <v>#REF!</v>
      </c>
      <c r="AC220" s="91" t="e">
        <f>IF(X220="","",IF(D220="2 3D",((F220-0.5)*2+(G220-0.5)*2)*VLOOKUP("3D base",#REF!,2,FALSE),IF(D220="3 Canv", IF(E220="Roll",0,ROUND(SUM(F220:G220)*2,0)),0)*VLOOKUP("Stretcher Bar",#REF!,2,FALSE)))</f>
        <v>#REF!</v>
      </c>
      <c r="AD220" s="91">
        <f>IF(X220="","",IF(E220="Roll",0,IF(D220="2 3D",(SUM(F220:G220)*2)*VLOOKUP("3D epoxy",#REF!,2,FALSE),IF(D220="3 Canv",VLOOKUP("Wood glue",#REF!,2,FALSE),""))))</f>
        <v>0</v>
      </c>
      <c r="AE220" s="91" t="e">
        <f>IF(D220="3 Canv",(((F220+5)*(G220+5)))*VLOOKUP("Canvas",#REF!,2,FALSE),IF(D220="2 3D",(((F220)*(G220)))*VLOOKUP("Dibond",#REF!,2,FALSE),""))</f>
        <v>#REF!</v>
      </c>
      <c r="AF220" s="91" t="e">
        <f>IF(D220="2 3D",F220*G220*VLOOKUP("3D ink",#REF!,2,FALSE),IF(D220="3 Canv",F220*G220*VLOOKUP("Canvas ink",#REF!,2,FALSE),""))</f>
        <v>#REF!</v>
      </c>
      <c r="AG220" s="91" t="str">
        <f>IF(D220="3 Canv",IF(E220="Roll","",ROUNDUP((SUM(F220:G220)*2)/3,"")*VLOOKUP("Staples",#REF!,2,FALSE)),"")</f>
        <v/>
      </c>
      <c r="AH220" s="91" t="e">
        <f>IF(AF220="","",(SUM(F220:G220)*2)*VLOOKUP(E220,#REF!,2,FALSE))</f>
        <v>#REF!</v>
      </c>
      <c r="AI220" s="18" t="str">
        <f t="shared" si="57"/>
        <v/>
      </c>
      <c r="AJ220" s="18" t="str">
        <f>IF(AI220="","",AI220*VLOOKUP("Staples",#REF!,2,FALSE))</f>
        <v/>
      </c>
      <c r="AK220" s="18" t="str">
        <f t="shared" si="58"/>
        <v/>
      </c>
      <c r="AL220" s="18" t="str">
        <f>IF(AK220="","",AK220*VLOOKUP("Frame screw",#REF!,2,FALSE))</f>
        <v/>
      </c>
      <c r="AM220" s="18" t="e">
        <f t="shared" si="59"/>
        <v>#REF!</v>
      </c>
      <c r="AN220" s="91" t="e">
        <f>IF(AM220="","",AM220*VLOOKUP("D ring",#REF!,2,FALSE))</f>
        <v>#REF!</v>
      </c>
      <c r="AO220" s="18" t="e">
        <f t="shared" si="60"/>
        <v>#REF!</v>
      </c>
      <c r="AP220" s="18" t="e">
        <f>IF(AO220="","",IF(G220&gt;59,AO220* VLOOKUP("8 wire",#REF!,2,FALSE)*2,IF(G220&gt;39,AO220* VLOOKUP("8 wire",#REF!,2,FALSE),AO220* VLOOKUP("6 wire",#REF!,2,FALSE))))</f>
        <v>#REF!</v>
      </c>
      <c r="AQ220" s="18" t="str">
        <f t="shared" si="61"/>
        <v/>
      </c>
      <c r="AR220" s="18" t="str">
        <f>IF(AQ220="","",AQ220*VLOOKUP("Pads",#REF!,2,FALSE))</f>
        <v/>
      </c>
      <c r="AS220" s="18" t="str">
        <f t="shared" si="62"/>
        <v/>
      </c>
      <c r="AT220" s="18" t="str">
        <f>IF(AS220="","",AS220*VLOOKUP("4 mil bag",#REF!,2,FALSE))</f>
        <v/>
      </c>
      <c r="AU220" s="91" t="e">
        <f>IF(X220="","",IF(I220="N/A","",IF(I220="CNC",IF(G220&gt;37,20,10),VLOOKUP(I220,#REF!,2,FALSE))))</f>
        <v>#REF!</v>
      </c>
      <c r="AV220" s="18" t="str">
        <f>IF(X220="","",IF(I220="CNC",VLOOKUP("Glue stick",#REF!,2,FALSE),""))</f>
        <v/>
      </c>
      <c r="AW220" s="18" t="str">
        <f>IF(X220="","",IF(I220="CNC",16*VLOOKUP("Box staples",#REF!,2,FALSE),""))</f>
        <v/>
      </c>
      <c r="AX220" s="91" t="e">
        <f>IF(X220="","",IF(I220="CNC",((((G220+6)+(F220+6))*2)+24)*VLOOKUP("sealing tape",#REF!,2,FALSE),VLOOKUP("Strapping tape",#REF!,2,FALSE)))</f>
        <v>#REF!</v>
      </c>
      <c r="AY220" s="17"/>
      <c r="AZ220" s="17"/>
      <c r="BA220" s="17"/>
      <c r="BB220" s="17"/>
      <c r="BC220" s="96"/>
      <c r="BD220" s="96"/>
      <c r="BE220" s="96"/>
      <c r="BF220" s="96"/>
      <c r="BG220" s="96"/>
      <c r="BH220" s="96"/>
      <c r="BI220" s="96"/>
    </row>
    <row r="221" spans="1:61" x14ac:dyDescent="0.45">
      <c r="A221" s="103" t="s">
        <v>459</v>
      </c>
      <c r="B221" s="17" t="s">
        <v>1282</v>
      </c>
      <c r="C221" s="16">
        <v>44652</v>
      </c>
      <c r="D221" s="17" t="s">
        <v>66</v>
      </c>
      <c r="E221" s="15" t="s">
        <v>558</v>
      </c>
      <c r="F221" s="17">
        <v>21</v>
      </c>
      <c r="G221" s="17">
        <v>34</v>
      </c>
      <c r="H221" s="3" t="s">
        <v>43</v>
      </c>
      <c r="I221" s="88" t="s">
        <v>84</v>
      </c>
      <c r="J221" s="87">
        <v>44653</v>
      </c>
      <c r="K221" s="15">
        <v>320</v>
      </c>
      <c r="L221" s="96">
        <v>20</v>
      </c>
      <c r="M221" s="89">
        <v>10.28</v>
      </c>
      <c r="N221" s="88"/>
      <c r="O221" s="413" t="str">
        <f t="shared" si="1"/>
        <v>21 x 34</v>
      </c>
      <c r="P221" s="18" t="str">
        <f t="shared" si="2"/>
        <v>N/A</v>
      </c>
      <c r="Q221" s="91">
        <f t="shared" si="3"/>
        <v>2.85</v>
      </c>
      <c r="R221" s="18" t="str">
        <f t="shared" si="4"/>
        <v>37 x 3 x 3</v>
      </c>
      <c r="S221" s="18">
        <v>37</v>
      </c>
      <c r="T221" s="18">
        <v>3</v>
      </c>
      <c r="U221" s="18">
        <v>3</v>
      </c>
      <c r="V221" s="90">
        <f t="shared" si="47"/>
        <v>49</v>
      </c>
      <c r="W221" s="287">
        <f t="shared" si="51"/>
        <v>0.51400000000000001</v>
      </c>
      <c r="X221" s="287" t="str">
        <f t="shared" si="52"/>
        <v>Yes</v>
      </c>
      <c r="Y221" s="93" t="e">
        <f t="shared" si="53"/>
        <v>#REF!</v>
      </c>
      <c r="Z221" s="288" t="e">
        <f t="shared" si="54"/>
        <v>#REF!</v>
      </c>
      <c r="AA221" s="94" t="e">
        <f t="shared" si="55"/>
        <v>#REF!</v>
      </c>
      <c r="AB221" s="288" t="e">
        <f t="shared" si="56"/>
        <v>#REF!</v>
      </c>
      <c r="AC221" s="91" t="e">
        <f>IF(X221="","",IF(D221="2 3D",((F221-0.5)*2+(G221-0.5)*2)*VLOOKUP("3D base",#REF!,2,FALSE),IF(D221="3 Canv", IF(E221="Roll",0,ROUND(SUM(F221:G221)*2,0)),0)*VLOOKUP("Stretcher Bar",#REF!,2,FALSE)))</f>
        <v>#REF!</v>
      </c>
      <c r="AD221" s="91">
        <f>IF(X221="","",IF(E221="Roll",0,IF(D221="2 3D",(SUM(F221:G221)*2)*VLOOKUP("3D epoxy",#REF!,2,FALSE),IF(D221="3 Canv",VLOOKUP("Wood glue",#REF!,2,FALSE),""))))</f>
        <v>0</v>
      </c>
      <c r="AE221" s="91" t="e">
        <f>IF(D221="3 Canv",(((F221+5)*(G221+5)))*VLOOKUP("Canvas",#REF!,2,FALSE),IF(D221="2 3D",(((F221)*(G221)))*VLOOKUP("Dibond",#REF!,2,FALSE),""))</f>
        <v>#REF!</v>
      </c>
      <c r="AF221" s="91" t="e">
        <f>IF(D221="2 3D",F221*G221*VLOOKUP("3D ink",#REF!,2,FALSE),IF(D221="3 Canv",F221*G221*VLOOKUP("Canvas ink",#REF!,2,FALSE),""))</f>
        <v>#REF!</v>
      </c>
      <c r="AG221" s="91" t="str">
        <f>IF(D221="3 Canv",IF(E221="Roll","",ROUNDUP((SUM(F221:G221)*2)/3,"")*VLOOKUP("Staples",#REF!,2,FALSE)),"")</f>
        <v/>
      </c>
      <c r="AH221" s="91" t="e">
        <f>IF(AF221="","",(SUM(F221:G221)*2)*VLOOKUP(E221,#REF!,2,FALSE))</f>
        <v>#REF!</v>
      </c>
      <c r="AI221" s="18" t="str">
        <f t="shared" si="57"/>
        <v/>
      </c>
      <c r="AJ221" s="18" t="str">
        <f>IF(AI221="","",AI221*VLOOKUP("Staples",#REF!,2,FALSE))</f>
        <v/>
      </c>
      <c r="AK221" s="18" t="str">
        <f t="shared" si="58"/>
        <v/>
      </c>
      <c r="AL221" s="18" t="str">
        <f>IF(AK221="","",AK221*VLOOKUP("Frame screw",#REF!,2,FALSE))</f>
        <v/>
      </c>
      <c r="AM221" s="18" t="e">
        <f t="shared" si="59"/>
        <v>#REF!</v>
      </c>
      <c r="AN221" s="91" t="e">
        <f>IF(AM221="","",AM221*VLOOKUP("D ring",#REF!,2,FALSE))</f>
        <v>#REF!</v>
      </c>
      <c r="AO221" s="18" t="e">
        <f t="shared" si="60"/>
        <v>#REF!</v>
      </c>
      <c r="AP221" s="18" t="e">
        <f>IF(AO221="","",IF(G221&gt;59,AO221* VLOOKUP("8 wire",#REF!,2,FALSE)*2,IF(G221&gt;39,AO221* VLOOKUP("8 wire",#REF!,2,FALSE),AO221* VLOOKUP("6 wire",#REF!,2,FALSE))))</f>
        <v>#REF!</v>
      </c>
      <c r="AQ221" s="18" t="str">
        <f t="shared" si="61"/>
        <v/>
      </c>
      <c r="AR221" s="18" t="str">
        <f>IF(AQ221="","",AQ221*VLOOKUP("Pads",#REF!,2,FALSE))</f>
        <v/>
      </c>
      <c r="AS221" s="18" t="str">
        <f t="shared" si="62"/>
        <v/>
      </c>
      <c r="AT221" s="18" t="str">
        <f>IF(AS221="","",AS221*VLOOKUP("4 mil bag",#REF!,2,FALSE))</f>
        <v/>
      </c>
      <c r="AU221" s="91" t="e">
        <f>IF(X221="","",IF(I221="N/A","",IF(I221="CNC",IF(G221&gt;37,20,10),VLOOKUP(I221,#REF!,2,FALSE))))</f>
        <v>#REF!</v>
      </c>
      <c r="AV221" s="18" t="str">
        <f>IF(X221="","",IF(I221="CNC",VLOOKUP("Glue stick",#REF!,2,FALSE),""))</f>
        <v/>
      </c>
      <c r="AW221" s="18" t="str">
        <f>IF(X221="","",IF(I221="CNC",16*VLOOKUP("Box staples",#REF!,2,FALSE),""))</f>
        <v/>
      </c>
      <c r="AX221" s="91" t="e">
        <f>IF(X221="","",IF(I221="CNC",((((G221+6)+(F221+6))*2)+24)*VLOOKUP("sealing tape",#REF!,2,FALSE),VLOOKUP("Strapping tape",#REF!,2,FALSE)))</f>
        <v>#REF!</v>
      </c>
      <c r="AY221" s="17"/>
      <c r="AZ221" s="17"/>
      <c r="BA221" s="17"/>
      <c r="BB221" s="17"/>
      <c r="BC221" s="96"/>
      <c r="BD221" s="96"/>
      <c r="BE221" s="96"/>
      <c r="BF221" s="96"/>
      <c r="BG221" s="96"/>
      <c r="BH221" s="96"/>
      <c r="BI221" s="96"/>
    </row>
    <row r="222" spans="1:61" x14ac:dyDescent="0.45">
      <c r="A222" s="103" t="s">
        <v>74</v>
      </c>
      <c r="B222" s="17" t="s">
        <v>1281</v>
      </c>
      <c r="C222" s="16">
        <v>44643</v>
      </c>
      <c r="D222" s="17" t="s">
        <v>66</v>
      </c>
      <c r="E222" s="15" t="s">
        <v>50</v>
      </c>
      <c r="F222" s="17">
        <v>25</v>
      </c>
      <c r="G222" s="17">
        <v>32</v>
      </c>
      <c r="H222" s="3" t="s">
        <v>43</v>
      </c>
      <c r="I222" s="88" t="s">
        <v>41</v>
      </c>
      <c r="J222" s="87">
        <v>44653</v>
      </c>
      <c r="K222" s="15">
        <v>525</v>
      </c>
      <c r="L222" s="96">
        <v>30</v>
      </c>
      <c r="M222" s="89">
        <v>30.32</v>
      </c>
      <c r="N222" s="88"/>
      <c r="O222" s="413" t="str">
        <f t="shared" si="1"/>
        <v>25 x 32</v>
      </c>
      <c r="P222" s="18" t="str">
        <f t="shared" si="2"/>
        <v>25 x 32</v>
      </c>
      <c r="Q222" s="91" t="str">
        <f t="shared" si="3"/>
        <v>N/A</v>
      </c>
      <c r="R222" s="18" t="str">
        <f t="shared" si="4"/>
        <v>38 x 31 x 6</v>
      </c>
      <c r="S222" s="18">
        <v>38</v>
      </c>
      <c r="T222" s="18">
        <v>31</v>
      </c>
      <c r="U222" s="18">
        <v>6</v>
      </c>
      <c r="V222" s="18">
        <f t="shared" si="47"/>
        <v>111</v>
      </c>
      <c r="W222" s="287">
        <f t="shared" si="51"/>
        <v>1.0106666666666666</v>
      </c>
      <c r="X222" s="287" t="str">
        <f t="shared" si="52"/>
        <v>Yes</v>
      </c>
      <c r="Y222" s="93" t="e">
        <f t="shared" si="53"/>
        <v>#REF!</v>
      </c>
      <c r="Z222" s="288" t="e">
        <f t="shared" si="54"/>
        <v>#REF!</v>
      </c>
      <c r="AA222" s="418" t="e">
        <f t="shared" si="55"/>
        <v>#REF!</v>
      </c>
      <c r="AB222" s="288" t="e">
        <f t="shared" si="56"/>
        <v>#REF!</v>
      </c>
      <c r="AC222" s="91" t="e">
        <f>IF(X222="","",IF(D222="2 3D",((F222-0.5)*2+(G222-0.5)*2)*VLOOKUP("3D base",#REF!,2,FALSE),IF(D222="3 Canv", IF(E222="Roll",0,ROUND(SUM(F222:G222)*2,0)),0)*VLOOKUP("Stretcher Bar",#REF!,2,FALSE)))</f>
        <v>#REF!</v>
      </c>
      <c r="AD222" s="91" t="e">
        <f>IF(X222="","",IF(E222="Roll",0,IF(D222="2 3D",(SUM(F222:G222)*2)*VLOOKUP("3D epoxy",#REF!,2,FALSE),IF(D222="3 Canv",VLOOKUP("Wood glue",#REF!,2,FALSE),""))))</f>
        <v>#REF!</v>
      </c>
      <c r="AE222" s="91" t="e">
        <f>IF(D222="3 Canv",(((F222+5)*(G222+5)))*VLOOKUP("Canvas",#REF!,2,FALSE),IF(D222="2 3D",(((F222)*(G222)))*VLOOKUP("Dibond",#REF!,2,FALSE),""))</f>
        <v>#REF!</v>
      </c>
      <c r="AF222" s="91" t="e">
        <f>IF(D222="2 3D",F222*G222*VLOOKUP("3D ink",#REF!,2,FALSE),IF(D222="3 Canv",F222*G222*VLOOKUP("Canvas ink",#REF!,2,FALSE),""))</f>
        <v>#REF!</v>
      </c>
      <c r="AG222" s="91" t="e">
        <f>IF(D222="3 Canv",IF(E222="Roll","",ROUNDUP((SUM(F222:G222)*2)/3,"")*VLOOKUP("Staples",#REF!,2,FALSE)),"")</f>
        <v>#VALUE!</v>
      </c>
      <c r="AH222" s="91" t="e">
        <f>IF(AF222="","",(SUM(F222:G222)*2)*VLOOKUP(E222,#REF!,2,FALSE))</f>
        <v>#REF!</v>
      </c>
      <c r="AI222" s="18">
        <f t="shared" si="57"/>
        <v>16</v>
      </c>
      <c r="AJ222" s="91" t="e">
        <f>IF(AI222="","",AI222*VLOOKUP("Staples",#REF!,2,FALSE))</f>
        <v>#REF!</v>
      </c>
      <c r="AK222" s="18" t="e">
        <f t="shared" si="58"/>
        <v>#REF!</v>
      </c>
      <c r="AL222" s="18" t="e">
        <f>IF(AK222="","",AK222*VLOOKUP("Frame screw",#REF!,2,FALSE))</f>
        <v>#REF!</v>
      </c>
      <c r="AM222" s="18" t="e">
        <f t="shared" si="59"/>
        <v>#REF!</v>
      </c>
      <c r="AN222" s="91" t="e">
        <f>IF(AM222="","",AM222*VLOOKUP("D ring",#REF!,2,FALSE))</f>
        <v>#REF!</v>
      </c>
      <c r="AO222" s="18" t="e">
        <f t="shared" si="60"/>
        <v>#REF!</v>
      </c>
      <c r="AP222" s="91" t="e">
        <f>IF(AO222="","",IF(G222&gt;59,AO222* VLOOKUP("8 wire",#REF!,2,FALSE)*2,IF(G222&gt;39,AO222* VLOOKUP("8 wire",#REF!,2,FALSE),AO222* VLOOKUP("6 wire",#REF!,2,FALSE))))</f>
        <v>#REF!</v>
      </c>
      <c r="AQ222" s="18">
        <f t="shared" si="61"/>
        <v>4</v>
      </c>
      <c r="AR222" s="18" t="e">
        <f>IF(AQ222="","",AQ222*VLOOKUP("Pads",#REF!,2,FALSE))</f>
        <v>#REF!</v>
      </c>
      <c r="AS222" s="18">
        <f t="shared" si="62"/>
        <v>1</v>
      </c>
      <c r="AT222" s="91" t="e">
        <f>IF(AS222="","",AS222*VLOOKUP("4 mil bag",#REF!,2,FALSE))</f>
        <v>#REF!</v>
      </c>
      <c r="AU222" s="91">
        <f>IF(X222="","",IF(I222="N/A","",IF(I222="CNC",IF(G222&gt;37,20,10),VLOOKUP(I222,#REF!,2,FALSE))))</f>
        <v>10</v>
      </c>
      <c r="AV222" s="91" t="e">
        <f>IF(X222="","",IF(I222="CNC",VLOOKUP("Glue stick",#REF!,2,FALSE),""))</f>
        <v>#REF!</v>
      </c>
      <c r="AW222" s="91" t="e">
        <f>IF(X222="","",IF(I222="CNC",16*VLOOKUP("Box staples",#REF!,2,FALSE),""))</f>
        <v>#REF!</v>
      </c>
      <c r="AX222" s="18" t="e">
        <f>IF(X222="","",IF(I222="CNC",((((G222+6)+(F222+6))*2)+24)*VLOOKUP("sealing tape",#REF!,2,FALSE),VLOOKUP("Strapping tape",#REF!,2,FALSE)))</f>
        <v>#REF!</v>
      </c>
      <c r="AY222" s="17"/>
      <c r="AZ222" s="17"/>
      <c r="BA222" s="17"/>
      <c r="BB222" s="17"/>
      <c r="BC222" s="96"/>
      <c r="BD222" s="96"/>
      <c r="BE222" s="96"/>
      <c r="BF222" s="96"/>
      <c r="BG222" s="96"/>
      <c r="BH222" s="96"/>
      <c r="BI222" s="96"/>
    </row>
    <row r="223" spans="1:61" x14ac:dyDescent="0.45">
      <c r="A223" s="103" t="s">
        <v>1280</v>
      </c>
      <c r="B223" s="17" t="s">
        <v>2669</v>
      </c>
      <c r="C223" s="16">
        <v>44642</v>
      </c>
      <c r="D223" s="17" t="s">
        <v>54</v>
      </c>
      <c r="E223" s="15" t="s">
        <v>37</v>
      </c>
      <c r="F223" s="17">
        <v>11</v>
      </c>
      <c r="G223" s="17">
        <v>14</v>
      </c>
      <c r="H223" s="3" t="s">
        <v>43</v>
      </c>
      <c r="I223" s="88" t="s">
        <v>41</v>
      </c>
      <c r="J223" s="87">
        <v>44653</v>
      </c>
      <c r="K223" s="15">
        <v>450</v>
      </c>
      <c r="L223" s="96">
        <v>25</v>
      </c>
      <c r="M223" s="89">
        <v>10.28</v>
      </c>
      <c r="N223" s="88"/>
      <c r="O223" s="413" t="str">
        <f t="shared" si="1"/>
        <v>11 x 14</v>
      </c>
      <c r="P223" s="18" t="str">
        <f t="shared" si="2"/>
        <v>13 x 16</v>
      </c>
      <c r="Q223" s="91" t="str">
        <f t="shared" si="3"/>
        <v>N/A</v>
      </c>
      <c r="R223" s="18" t="str">
        <f t="shared" si="4"/>
        <v>22 x 20 x 6</v>
      </c>
      <c r="S223" s="18">
        <v>22</v>
      </c>
      <c r="T223" s="18">
        <v>20</v>
      </c>
      <c r="U223" s="18">
        <v>6</v>
      </c>
      <c r="V223" s="18">
        <f t="shared" si="47"/>
        <v>65</v>
      </c>
      <c r="W223" s="287">
        <f t="shared" si="51"/>
        <v>0.41119999999999995</v>
      </c>
      <c r="X223" s="287" t="str">
        <f t="shared" si="52"/>
        <v>Yes</v>
      </c>
      <c r="Y223" s="93" t="e">
        <f t="shared" si="53"/>
        <v>#REF!</v>
      </c>
      <c r="Z223" s="288" t="e">
        <f t="shared" si="54"/>
        <v>#REF!</v>
      </c>
      <c r="AA223" s="418" t="e">
        <f t="shared" si="55"/>
        <v>#REF!</v>
      </c>
      <c r="AB223" s="288" t="e">
        <f t="shared" si="56"/>
        <v>#REF!</v>
      </c>
      <c r="AC223" s="91" t="e">
        <f>IF(X223="","",IF(D223="2 3D",((F223-0.5)*2+(G223-0.5)*2)*VLOOKUP("3D base",#REF!,2,FALSE),IF(D223="3 Canv", IF(E223="Roll",0,ROUND(SUM(F223:G223)*2,0)),0)*VLOOKUP("Stretcher Bar",#REF!,2,FALSE)))</f>
        <v>#REF!</v>
      </c>
      <c r="AD223" s="91" t="e">
        <f>IF(X223="","",IF(E223="Roll",0,IF(D223="2 3D",(SUM(F223:G223)*2)*VLOOKUP("3D epoxy",#REF!,2,FALSE),IF(D223="3 Canv",VLOOKUP("Wood glue",#REF!,2,FALSE),""))))</f>
        <v>#REF!</v>
      </c>
      <c r="AE223" s="91" t="e">
        <f>IF(D223="3 Canv",(((F223+5)*(G223+5)))*VLOOKUP("Canvas",#REF!,2,FALSE),IF(D223="2 3D",(((F223)*(G223)))*VLOOKUP("Dibond",#REF!,2,FALSE),""))</f>
        <v>#REF!</v>
      </c>
      <c r="AF223" s="91" t="e">
        <f>IF(D223="2 3D",F223*G223*VLOOKUP("3D ink",#REF!,2,FALSE),IF(D223="3 Canv",F223*G223*VLOOKUP("Canvas ink",#REF!,2,FALSE),""))</f>
        <v>#REF!</v>
      </c>
      <c r="AG223" s="91" t="str">
        <f>IF(D223="3 Canv",IF(E223="Roll","",ROUNDUP((SUM(F223:G223)*2)/3,"")*VLOOKUP("Staples",#REF!,2,FALSE)),"")</f>
        <v/>
      </c>
      <c r="AH223" s="91" t="e">
        <f>IF(AF223="","",(SUM(F223:G223)*2)*VLOOKUP(E223,#REF!,2,FALSE))</f>
        <v>#REF!</v>
      </c>
      <c r="AI223" s="18">
        <f t="shared" si="57"/>
        <v>44</v>
      </c>
      <c r="AJ223" s="91" t="e">
        <f>IF(AI223="","",AI223*VLOOKUP("Staples",#REF!,2,FALSE))</f>
        <v>#REF!</v>
      </c>
      <c r="AK223" s="18" t="e">
        <f t="shared" si="58"/>
        <v>#REF!</v>
      </c>
      <c r="AL223" s="91" t="e">
        <f>IF(AK223="","",AK223*VLOOKUP("Frame screw",#REF!,2,FALSE))</f>
        <v>#REF!</v>
      </c>
      <c r="AM223" s="18" t="e">
        <f t="shared" si="59"/>
        <v>#REF!</v>
      </c>
      <c r="AN223" s="91" t="e">
        <f>IF(AM223="","",AM223*VLOOKUP("D ring",#REF!,2,FALSE))</f>
        <v>#REF!</v>
      </c>
      <c r="AO223" s="18" t="e">
        <f t="shared" si="60"/>
        <v>#REF!</v>
      </c>
      <c r="AP223" s="91" t="e">
        <f>IF(AO223="","",IF(G223&gt;59,AO223* VLOOKUP("8 wire",#REF!,2,FALSE)*2,IF(G223&gt;39,AO223* VLOOKUP("8 wire",#REF!,2,FALSE),AO223* VLOOKUP("6 wire",#REF!,2,FALSE))))</f>
        <v>#REF!</v>
      </c>
      <c r="AQ223" s="18">
        <f t="shared" si="61"/>
        <v>4</v>
      </c>
      <c r="AR223" s="18" t="e">
        <f>IF(AQ223="","",AQ223*VLOOKUP("Pads",#REF!,2,FALSE))</f>
        <v>#REF!</v>
      </c>
      <c r="AS223" s="18">
        <f t="shared" si="62"/>
        <v>1</v>
      </c>
      <c r="AT223" s="91" t="e">
        <f>IF(AS223="","",AS223*VLOOKUP("4 mil bag",#REF!,2,FALSE))</f>
        <v>#REF!</v>
      </c>
      <c r="AU223" s="91">
        <f>IF(X223="","",IF(I223="N/A","",IF(I223="CNC",IF(G223&gt;37,20,10),VLOOKUP(I223,#REF!,2,FALSE))))</f>
        <v>10</v>
      </c>
      <c r="AV223" s="91" t="e">
        <f>IF(X223="","",IF(I223="CNC",VLOOKUP("Glue stick",#REF!,2,FALSE),""))</f>
        <v>#REF!</v>
      </c>
      <c r="AW223" s="91" t="e">
        <f>IF(X223="","",IF(I223="CNC",16*VLOOKUP("Box staples",#REF!,2,FALSE),""))</f>
        <v>#REF!</v>
      </c>
      <c r="AX223" s="18" t="e">
        <f>IF(X223="","",IF(I223="CNC",((((G223+6)+(F223+6))*2)+24)*VLOOKUP("sealing tape",#REF!,2,FALSE),VLOOKUP("Strapping tape",#REF!,2,FALSE)))</f>
        <v>#REF!</v>
      </c>
      <c r="AY223" s="17"/>
      <c r="AZ223" s="17"/>
      <c r="BA223" s="17"/>
      <c r="BB223" s="17"/>
      <c r="BC223" s="96"/>
      <c r="BD223" s="96"/>
      <c r="BE223" s="96"/>
      <c r="BF223" s="96"/>
      <c r="BG223" s="96"/>
      <c r="BH223" s="96"/>
      <c r="BI223" s="96"/>
    </row>
    <row r="224" spans="1:61" x14ac:dyDescent="0.45">
      <c r="A224" s="261" t="s">
        <v>1286</v>
      </c>
      <c r="B224" s="101" t="s">
        <v>2670</v>
      </c>
      <c r="C224" s="263">
        <v>44646</v>
      </c>
      <c r="D224" s="101" t="s">
        <v>66</v>
      </c>
      <c r="E224" s="262" t="s">
        <v>50</v>
      </c>
      <c r="F224" s="101">
        <v>36</v>
      </c>
      <c r="G224" s="101">
        <v>48</v>
      </c>
      <c r="H224" s="264" t="s">
        <v>43</v>
      </c>
      <c r="I224" s="98" t="s">
        <v>41</v>
      </c>
      <c r="J224" s="97">
        <v>44657</v>
      </c>
      <c r="K224" s="262">
        <v>777.75</v>
      </c>
      <c r="L224" s="265">
        <v>50</v>
      </c>
      <c r="M224" s="99">
        <v>109.41</v>
      </c>
      <c r="N224" s="98"/>
      <c r="O224" s="414" t="str">
        <f t="shared" si="1"/>
        <v>36 x 48</v>
      </c>
      <c r="P224" s="100" t="str">
        <f t="shared" si="2"/>
        <v>36 x 48</v>
      </c>
      <c r="Q224" s="274" t="str">
        <f t="shared" si="3"/>
        <v>N/A</v>
      </c>
      <c r="R224" s="100" t="str">
        <f t="shared" si="4"/>
        <v>54 x 42 x 6</v>
      </c>
      <c r="S224" s="100">
        <v>54</v>
      </c>
      <c r="T224" s="100">
        <v>42</v>
      </c>
      <c r="U224" s="100">
        <v>6</v>
      </c>
      <c r="V224" s="100">
        <f t="shared" si="47"/>
        <v>149</v>
      </c>
      <c r="W224" s="289">
        <f t="shared" si="51"/>
        <v>2.1882000000000001</v>
      </c>
      <c r="X224" s="289" t="str">
        <f t="shared" si="52"/>
        <v>Yes</v>
      </c>
      <c r="Y224" s="275" t="e">
        <f t="shared" si="53"/>
        <v>#REF!</v>
      </c>
      <c r="Z224" s="308" t="e">
        <f t="shared" si="54"/>
        <v>#REF!</v>
      </c>
      <c r="AA224" s="419" t="e">
        <f t="shared" si="55"/>
        <v>#REF!</v>
      </c>
      <c r="AB224" s="308" t="e">
        <f t="shared" si="56"/>
        <v>#REF!</v>
      </c>
      <c r="AC224" s="274" t="e">
        <f>IF(X224="","",IF(D224="2 3D",((F224-0.5)*2+(G224-0.5)*2)*VLOOKUP("3D base",#REF!,2,FALSE),IF(D224="3 Canv", IF(E224="Roll",0,ROUND(SUM(F224:G224)*2,0)),0)*VLOOKUP("Stretcher Bar",#REF!,2,FALSE)))</f>
        <v>#REF!</v>
      </c>
      <c r="AD224" s="274" t="e">
        <f>IF(X224="","",IF(E224="Roll",0,IF(D224="2 3D",(SUM(F224:G224)*2)*VLOOKUP("3D epoxy",#REF!,2,FALSE),IF(D224="3 Canv",VLOOKUP("Wood glue",#REF!,2,FALSE),""))))</f>
        <v>#REF!</v>
      </c>
      <c r="AE224" s="274" t="e">
        <f>IF(D224="3 Canv",(((F224+5)*(G224+5)))*VLOOKUP("Canvas",#REF!,2,FALSE),IF(D224="2 3D",(((F224)*(G224)))*VLOOKUP("Dibond",#REF!,2,FALSE),""))</f>
        <v>#REF!</v>
      </c>
      <c r="AF224" s="274" t="e">
        <f>IF(D224="2 3D",F224*G224*VLOOKUP("3D ink",#REF!,2,FALSE),IF(D224="3 Canv",F224*G224*VLOOKUP("Canvas ink",#REF!,2,FALSE),""))</f>
        <v>#REF!</v>
      </c>
      <c r="AG224" s="274" t="e">
        <f>IF(D224="3 Canv",IF(E224="Roll","",ROUNDUP((SUM(F224:G224)*2)/3,"")*VLOOKUP("Staples",#REF!,2,FALSE)),"")</f>
        <v>#VALUE!</v>
      </c>
      <c r="AH224" s="274" t="e">
        <f>IF(AF224="","",(SUM(F224:G224)*2)*VLOOKUP(E224,#REF!,2,FALSE))</f>
        <v>#REF!</v>
      </c>
      <c r="AI224" s="100">
        <f t="shared" si="57"/>
        <v>16</v>
      </c>
      <c r="AJ224" s="274" t="e">
        <f>IF(AI224="","",AI224*VLOOKUP("Staples",#REF!,2,FALSE))</f>
        <v>#REF!</v>
      </c>
      <c r="AK224" s="100" t="e">
        <f t="shared" si="58"/>
        <v>#REF!</v>
      </c>
      <c r="AL224" s="100" t="e">
        <f>IF(AK224="","",AK224*VLOOKUP("Frame screw",#REF!,2,FALSE))</f>
        <v>#REF!</v>
      </c>
      <c r="AM224" s="100" t="e">
        <f t="shared" si="59"/>
        <v>#REF!</v>
      </c>
      <c r="AN224" s="274" t="e">
        <f>IF(AM224="","",AM224*VLOOKUP("D ring",#REF!,2,FALSE))</f>
        <v>#REF!</v>
      </c>
      <c r="AO224" s="100" t="e">
        <f t="shared" si="60"/>
        <v>#REF!</v>
      </c>
      <c r="AP224" s="274" t="e">
        <f>IF(AO224="","",IF(G224&gt;59,AO224* VLOOKUP("8 wire",#REF!,2,FALSE)*2,IF(G224&gt;39,AO224* VLOOKUP("8 wire",#REF!,2,FALSE),AO224* VLOOKUP("6 wire",#REF!,2,FALSE))))</f>
        <v>#REF!</v>
      </c>
      <c r="AQ224" s="100">
        <f t="shared" si="61"/>
        <v>4</v>
      </c>
      <c r="AR224" s="100" t="e">
        <f>IF(AQ224="","",AQ224*VLOOKUP("Pads",#REF!,2,FALSE))</f>
        <v>#REF!</v>
      </c>
      <c r="AS224" s="100">
        <f t="shared" si="62"/>
        <v>1</v>
      </c>
      <c r="AT224" s="274" t="e">
        <f>IF(AS224="","",AS224*VLOOKUP("4 mil bag",#REF!,2,FALSE))</f>
        <v>#REF!</v>
      </c>
      <c r="AU224" s="274">
        <f>IF(X224="","",IF(I224="N/A","",IF(I224="CNC",IF(G224&gt;37,20,10),VLOOKUP(I224,#REF!,2,FALSE))))</f>
        <v>20</v>
      </c>
      <c r="AV224" s="274" t="e">
        <f>IF(X224="","",IF(I224="CNC",VLOOKUP("Glue stick",#REF!,2,FALSE),""))</f>
        <v>#REF!</v>
      </c>
      <c r="AW224" s="274" t="e">
        <f>IF(X224="","",IF(I224="CNC",16*VLOOKUP("Box staples",#REF!,2,FALSE),""))</f>
        <v>#REF!</v>
      </c>
      <c r="AX224" s="100" t="e">
        <f>IF(X224="","",IF(I224="CNC",((((G224+6)+(F224+6))*2)+24)*VLOOKUP("sealing tape",#REF!,2,FALSE),VLOOKUP("Strapping tape",#REF!,2,FALSE)))</f>
        <v>#REF!</v>
      </c>
      <c r="AY224" s="101"/>
      <c r="AZ224" s="101"/>
      <c r="BA224" s="101"/>
      <c r="BB224" s="17"/>
      <c r="BC224" s="96"/>
      <c r="BD224" s="96"/>
      <c r="BE224" s="96"/>
      <c r="BF224" s="96"/>
      <c r="BG224" s="96"/>
      <c r="BH224" s="96"/>
      <c r="BI224" s="96"/>
    </row>
    <row r="225" spans="1:61" x14ac:dyDescent="0.45">
      <c r="A225" s="17"/>
      <c r="B225" s="17"/>
      <c r="C225" s="17"/>
      <c r="D225" s="17"/>
      <c r="E225" s="15"/>
      <c r="F225" s="17"/>
      <c r="G225" s="17"/>
      <c r="H225" s="3"/>
      <c r="I225" s="88"/>
      <c r="J225" s="88"/>
      <c r="K225" s="15"/>
      <c r="L225" s="96"/>
      <c r="M225" s="89"/>
      <c r="N225" s="88"/>
      <c r="O225" s="413"/>
      <c r="P225" s="18"/>
      <c r="Q225" s="91"/>
      <c r="R225" s="18"/>
      <c r="S225" s="18"/>
      <c r="T225" s="18"/>
      <c r="U225" s="18"/>
      <c r="V225" s="18"/>
      <c r="W225" s="18"/>
      <c r="X225" s="18"/>
      <c r="Y225" s="92"/>
      <c r="Z225" s="92"/>
      <c r="AA225" s="418"/>
      <c r="AB225" s="95"/>
      <c r="AC225" s="18"/>
      <c r="AD225" s="18"/>
      <c r="AE225" s="18"/>
      <c r="AF225" s="18"/>
      <c r="AG225" s="91"/>
      <c r="AH225" s="18"/>
      <c r="AI225" s="18"/>
      <c r="AJ225" s="18"/>
      <c r="AK225" s="18"/>
      <c r="AL225" s="18"/>
      <c r="AM225" s="18"/>
      <c r="AN225" s="18"/>
      <c r="AO225" s="18"/>
      <c r="AP225" s="18"/>
      <c r="AQ225" s="18"/>
      <c r="AR225" s="18"/>
      <c r="AS225" s="18"/>
      <c r="AT225" s="18"/>
      <c r="AU225" s="91"/>
      <c r="AV225" s="18"/>
      <c r="AW225" s="18"/>
      <c r="AX225" s="18"/>
      <c r="AY225" s="17"/>
      <c r="AZ225" s="17"/>
      <c r="BA225" s="17"/>
      <c r="BB225" s="17"/>
      <c r="BC225" s="96"/>
      <c r="BD225" s="96"/>
      <c r="BE225" s="96"/>
      <c r="BF225" s="96"/>
      <c r="BG225" s="96"/>
      <c r="BH225" s="96"/>
      <c r="BI225" s="96"/>
    </row>
    <row r="226" spans="1:61" x14ac:dyDescent="0.45">
      <c r="A226" s="17"/>
      <c r="B226" s="17"/>
      <c r="C226" s="17"/>
      <c r="D226" s="17"/>
      <c r="E226" s="15"/>
      <c r="F226" s="17"/>
      <c r="G226" s="17"/>
      <c r="H226" s="3"/>
      <c r="I226" s="88"/>
      <c r="J226" s="88"/>
      <c r="K226" s="15"/>
      <c r="L226" s="96"/>
      <c r="M226" s="89"/>
      <c r="N226" s="88"/>
      <c r="O226" s="413"/>
      <c r="P226" s="18"/>
      <c r="Q226" s="91"/>
      <c r="R226" s="18"/>
      <c r="S226" s="18"/>
      <c r="T226" s="18"/>
      <c r="U226" s="18"/>
      <c r="V226" s="18"/>
      <c r="W226" s="18"/>
      <c r="X226" s="18"/>
      <c r="Y226" s="92"/>
      <c r="Z226" s="92"/>
      <c r="AA226" s="418"/>
      <c r="AB226" s="95"/>
      <c r="AC226" s="18"/>
      <c r="AD226" s="18"/>
      <c r="AE226" s="18"/>
      <c r="AF226" s="18"/>
      <c r="AG226" s="91"/>
      <c r="AH226" s="18"/>
      <c r="AI226" s="18"/>
      <c r="AJ226" s="18"/>
      <c r="AK226" s="18"/>
      <c r="AL226" s="18"/>
      <c r="AM226" s="18"/>
      <c r="AN226" s="18"/>
      <c r="AO226" s="18"/>
      <c r="AP226" s="18"/>
      <c r="AQ226" s="18"/>
      <c r="AR226" s="18"/>
      <c r="AS226" s="18"/>
      <c r="AT226" s="18"/>
      <c r="AU226" s="91"/>
      <c r="AV226" s="18"/>
      <c r="AW226" s="18"/>
      <c r="AX226" s="18"/>
      <c r="AY226" s="17"/>
      <c r="AZ226" s="17"/>
      <c r="BA226" s="17"/>
      <c r="BB226" s="17"/>
      <c r="BC226" s="96"/>
      <c r="BD226" s="96"/>
      <c r="BE226" s="96"/>
      <c r="BF226" s="96"/>
      <c r="BG226" s="96"/>
      <c r="BH226" s="96"/>
      <c r="BI226" s="96"/>
    </row>
    <row r="227" spans="1:61" x14ac:dyDescent="0.45">
      <c r="A227" s="17"/>
      <c r="B227" s="17"/>
      <c r="C227" s="17"/>
      <c r="D227" s="17"/>
      <c r="E227" s="15"/>
      <c r="F227" s="17"/>
      <c r="G227" s="17"/>
      <c r="H227" s="3"/>
      <c r="I227" s="88"/>
      <c r="J227" s="88"/>
      <c r="K227" s="15"/>
      <c r="L227" s="96"/>
      <c r="M227" s="89"/>
      <c r="N227" s="88"/>
      <c r="O227" s="413"/>
      <c r="P227" s="18"/>
      <c r="Q227" s="91"/>
      <c r="R227" s="18"/>
      <c r="S227" s="18"/>
      <c r="T227" s="18"/>
      <c r="U227" s="18"/>
      <c r="V227" s="18"/>
      <c r="W227" s="18"/>
      <c r="X227" s="18"/>
      <c r="Y227" s="92"/>
      <c r="Z227" s="92"/>
      <c r="AA227" s="418"/>
      <c r="AB227" s="95"/>
      <c r="AC227" s="18"/>
      <c r="AD227" s="18"/>
      <c r="AE227" s="18"/>
      <c r="AF227" s="18"/>
      <c r="AG227" s="91"/>
      <c r="AH227" s="18"/>
      <c r="AI227" s="18"/>
      <c r="AJ227" s="18"/>
      <c r="AK227" s="18"/>
      <c r="AL227" s="18"/>
      <c r="AM227" s="18"/>
      <c r="AN227" s="18"/>
      <c r="AO227" s="18"/>
      <c r="AP227" s="18"/>
      <c r="AQ227" s="18"/>
      <c r="AR227" s="18"/>
      <c r="AS227" s="18"/>
      <c r="AT227" s="18"/>
      <c r="AU227" s="91"/>
      <c r="AV227" s="18"/>
      <c r="AW227" s="18"/>
      <c r="AX227" s="18"/>
      <c r="AY227" s="17"/>
      <c r="AZ227" s="17"/>
      <c r="BA227" s="17"/>
      <c r="BB227" s="17"/>
      <c r="BC227" s="96"/>
      <c r="BD227" s="96"/>
      <c r="BE227" s="96"/>
      <c r="BF227" s="96"/>
      <c r="BG227" s="96"/>
      <c r="BH227" s="96"/>
      <c r="BI227" s="96"/>
    </row>
    <row r="228" spans="1:61" x14ac:dyDescent="0.45">
      <c r="A228" s="17"/>
      <c r="B228" s="17"/>
      <c r="C228" s="17"/>
      <c r="D228" s="17"/>
      <c r="E228" s="15"/>
      <c r="F228" s="17"/>
      <c r="G228" s="17"/>
      <c r="H228" s="3"/>
      <c r="I228" s="88"/>
      <c r="J228" s="88"/>
      <c r="K228" s="15"/>
      <c r="L228" s="96"/>
      <c r="M228" s="89"/>
      <c r="N228" s="88"/>
      <c r="O228" s="413"/>
      <c r="P228" s="18"/>
      <c r="Q228" s="91"/>
      <c r="R228" s="18"/>
      <c r="S228" s="18"/>
      <c r="T228" s="18"/>
      <c r="U228" s="18"/>
      <c r="V228" s="18"/>
      <c r="W228" s="18"/>
      <c r="X228" s="18"/>
      <c r="Y228" s="92"/>
      <c r="Z228" s="92"/>
      <c r="AA228" s="418"/>
      <c r="AB228" s="95"/>
      <c r="AC228" s="18"/>
      <c r="AD228" s="18"/>
      <c r="AE228" s="18"/>
      <c r="AF228" s="18"/>
      <c r="AG228" s="91"/>
      <c r="AH228" s="18"/>
      <c r="AI228" s="18"/>
      <c r="AJ228" s="18"/>
      <c r="AK228" s="18"/>
      <c r="AL228" s="18"/>
      <c r="AM228" s="18"/>
      <c r="AN228" s="18"/>
      <c r="AO228" s="18"/>
      <c r="AP228" s="18"/>
      <c r="AQ228" s="18"/>
      <c r="AR228" s="18"/>
      <c r="AS228" s="18"/>
      <c r="AT228" s="18"/>
      <c r="AU228" s="91"/>
      <c r="AV228" s="18"/>
      <c r="AW228" s="18"/>
      <c r="AX228" s="18"/>
      <c r="AY228" s="17"/>
      <c r="AZ228" s="17"/>
      <c r="BA228" s="17"/>
      <c r="BB228" s="17"/>
      <c r="BC228" s="96"/>
      <c r="BD228" s="96"/>
      <c r="BE228" s="96"/>
      <c r="BF228" s="96"/>
      <c r="BG228" s="96"/>
      <c r="BH228" s="96"/>
      <c r="BI228" s="96"/>
    </row>
    <row r="229" spans="1:61" x14ac:dyDescent="0.45">
      <c r="A229" s="17"/>
      <c r="B229" s="17"/>
      <c r="C229" s="17"/>
      <c r="D229" s="17"/>
      <c r="E229" s="15"/>
      <c r="F229" s="17"/>
      <c r="G229" s="17"/>
      <c r="H229" s="3"/>
      <c r="I229" s="88"/>
      <c r="J229" s="88"/>
      <c r="K229" s="15"/>
      <c r="L229" s="96"/>
      <c r="M229" s="89"/>
      <c r="N229" s="88"/>
      <c r="O229" s="413"/>
      <c r="P229" s="18"/>
      <c r="Q229" s="91"/>
      <c r="R229" s="18"/>
      <c r="S229" s="18"/>
      <c r="T229" s="18"/>
      <c r="U229" s="18"/>
      <c r="V229" s="18"/>
      <c r="W229" s="18"/>
      <c r="X229" s="18"/>
      <c r="Y229" s="92"/>
      <c r="Z229" s="92"/>
      <c r="AA229" s="418"/>
      <c r="AB229" s="95"/>
      <c r="AC229" s="18"/>
      <c r="AD229" s="18"/>
      <c r="AE229" s="18"/>
      <c r="AF229" s="18"/>
      <c r="AG229" s="91"/>
      <c r="AH229" s="18"/>
      <c r="AI229" s="18"/>
      <c r="AJ229" s="18"/>
      <c r="AK229" s="18"/>
      <c r="AL229" s="18"/>
      <c r="AM229" s="18"/>
      <c r="AN229" s="18"/>
      <c r="AO229" s="18"/>
      <c r="AP229" s="18"/>
      <c r="AQ229" s="18"/>
      <c r="AR229" s="18"/>
      <c r="AS229" s="18"/>
      <c r="AT229" s="18"/>
      <c r="AU229" s="91"/>
      <c r="AV229" s="18"/>
      <c r="AW229" s="18"/>
      <c r="AX229" s="18"/>
      <c r="AY229" s="17"/>
      <c r="AZ229" s="17"/>
      <c r="BA229" s="17"/>
      <c r="BB229" s="17"/>
      <c r="BC229" s="96"/>
      <c r="BD229" s="96"/>
      <c r="BE229" s="96"/>
      <c r="BF229" s="96"/>
      <c r="BG229" s="96"/>
      <c r="BH229" s="96"/>
      <c r="BI229" s="96"/>
    </row>
    <row r="230" spans="1:61" x14ac:dyDescent="0.45">
      <c r="A230" s="17"/>
      <c r="B230" s="17"/>
      <c r="C230" s="17"/>
      <c r="D230" s="17"/>
      <c r="E230" s="15"/>
      <c r="F230" s="17"/>
      <c r="G230" s="17"/>
      <c r="H230" s="3"/>
      <c r="I230" s="88"/>
      <c r="J230" s="88"/>
      <c r="K230" s="15"/>
      <c r="L230" s="96"/>
      <c r="M230" s="89"/>
      <c r="N230" s="88"/>
      <c r="O230" s="413"/>
      <c r="P230" s="18"/>
      <c r="Q230" s="91"/>
      <c r="R230" s="18"/>
      <c r="S230" s="18"/>
      <c r="T230" s="18"/>
      <c r="U230" s="18"/>
      <c r="V230" s="18"/>
      <c r="W230" s="18"/>
      <c r="X230" s="18"/>
      <c r="Y230" s="92"/>
      <c r="Z230" s="92"/>
      <c r="AA230" s="418"/>
      <c r="AB230" s="95"/>
      <c r="AC230" s="18"/>
      <c r="AD230" s="18"/>
      <c r="AE230" s="18"/>
      <c r="AF230" s="18"/>
      <c r="AG230" s="91"/>
      <c r="AH230" s="18"/>
      <c r="AI230" s="18"/>
      <c r="AJ230" s="18"/>
      <c r="AK230" s="18"/>
      <c r="AL230" s="18"/>
      <c r="AM230" s="18"/>
      <c r="AN230" s="18"/>
      <c r="AO230" s="18"/>
      <c r="AP230" s="18"/>
      <c r="AQ230" s="18"/>
      <c r="AR230" s="18"/>
      <c r="AS230" s="18"/>
      <c r="AT230" s="18"/>
      <c r="AU230" s="91"/>
      <c r="AV230" s="18"/>
      <c r="AW230" s="18"/>
      <c r="AX230" s="18"/>
      <c r="AY230" s="17"/>
      <c r="AZ230" s="17"/>
      <c r="BA230" s="17"/>
      <c r="BB230" s="17"/>
      <c r="BC230" s="96"/>
      <c r="BD230" s="96"/>
      <c r="BE230" s="96"/>
      <c r="BF230" s="96"/>
      <c r="BG230" s="96"/>
      <c r="BH230" s="96"/>
      <c r="BI230" s="96"/>
    </row>
    <row r="231" spans="1:61" x14ac:dyDescent="0.45">
      <c r="A231" s="17"/>
      <c r="B231" s="17"/>
      <c r="C231" s="17"/>
      <c r="D231" s="17"/>
      <c r="E231" s="15"/>
      <c r="F231" s="17"/>
      <c r="G231" s="17"/>
      <c r="H231" s="3"/>
      <c r="I231" s="88"/>
      <c r="J231" s="88"/>
      <c r="K231" s="15"/>
      <c r="L231" s="96"/>
      <c r="M231" s="89"/>
      <c r="N231" s="88"/>
      <c r="O231" s="413"/>
      <c r="P231" s="18"/>
      <c r="Q231" s="91"/>
      <c r="R231" s="18"/>
      <c r="S231" s="18"/>
      <c r="T231" s="18"/>
      <c r="U231" s="18"/>
      <c r="V231" s="18"/>
      <c r="W231" s="18"/>
      <c r="X231" s="18"/>
      <c r="Y231" s="92"/>
      <c r="Z231" s="92"/>
      <c r="AA231" s="418"/>
      <c r="AB231" s="95"/>
      <c r="AC231" s="18"/>
      <c r="AD231" s="18"/>
      <c r="AE231" s="18"/>
      <c r="AF231" s="18"/>
      <c r="AG231" s="91"/>
      <c r="AH231" s="18"/>
      <c r="AI231" s="18"/>
      <c r="AJ231" s="18"/>
      <c r="AK231" s="18"/>
      <c r="AL231" s="18"/>
      <c r="AM231" s="18"/>
      <c r="AN231" s="18"/>
      <c r="AO231" s="18"/>
      <c r="AP231" s="18"/>
      <c r="AQ231" s="18"/>
      <c r="AR231" s="18"/>
      <c r="AS231" s="18"/>
      <c r="AT231" s="18"/>
      <c r="AU231" s="91"/>
      <c r="AV231" s="18"/>
      <c r="AW231" s="18"/>
      <c r="AX231" s="18"/>
      <c r="AY231" s="17"/>
      <c r="AZ231" s="17"/>
      <c r="BA231" s="17"/>
      <c r="BB231" s="17"/>
      <c r="BC231" s="96"/>
      <c r="BD231" s="96"/>
      <c r="BE231" s="96"/>
      <c r="BF231" s="96"/>
      <c r="BG231" s="96"/>
      <c r="BH231" s="96"/>
      <c r="BI231" s="96"/>
    </row>
    <row r="232" spans="1:61" x14ac:dyDescent="0.45">
      <c r="A232" s="17"/>
      <c r="B232" s="17"/>
      <c r="C232" s="17"/>
      <c r="D232" s="17"/>
      <c r="E232" s="15"/>
      <c r="F232" s="17"/>
      <c r="G232" s="17"/>
      <c r="H232" s="3"/>
      <c r="I232" s="88"/>
      <c r="J232" s="88"/>
      <c r="K232" s="15"/>
      <c r="L232" s="96"/>
      <c r="M232" s="89"/>
      <c r="N232" s="88"/>
      <c r="O232" s="413"/>
      <c r="P232" s="18"/>
      <c r="Q232" s="91"/>
      <c r="R232" s="18"/>
      <c r="S232" s="18"/>
      <c r="T232" s="18"/>
      <c r="U232" s="18"/>
      <c r="V232" s="18"/>
      <c r="W232" s="18"/>
      <c r="X232" s="18"/>
      <c r="Y232" s="92"/>
      <c r="Z232" s="92"/>
      <c r="AA232" s="418"/>
      <c r="AB232" s="95"/>
      <c r="AC232" s="18"/>
      <c r="AD232" s="18"/>
      <c r="AE232" s="18"/>
      <c r="AF232" s="18"/>
      <c r="AG232" s="91"/>
      <c r="AH232" s="18"/>
      <c r="AI232" s="18"/>
      <c r="AJ232" s="18"/>
      <c r="AK232" s="18"/>
      <c r="AL232" s="18"/>
      <c r="AM232" s="18"/>
      <c r="AN232" s="18"/>
      <c r="AO232" s="18"/>
      <c r="AP232" s="18"/>
      <c r="AQ232" s="18"/>
      <c r="AR232" s="18"/>
      <c r="AS232" s="18"/>
      <c r="AT232" s="18"/>
      <c r="AU232" s="91"/>
      <c r="AV232" s="18"/>
      <c r="AW232" s="18"/>
      <c r="AX232" s="18"/>
      <c r="AY232" s="17"/>
      <c r="AZ232" s="17"/>
      <c r="BA232" s="17"/>
      <c r="BB232" s="17"/>
      <c r="BC232" s="96"/>
      <c r="BD232" s="96"/>
      <c r="BE232" s="96"/>
      <c r="BF232" s="96"/>
      <c r="BG232" s="96"/>
      <c r="BH232" s="96"/>
      <c r="BI232" s="96"/>
    </row>
    <row r="233" spans="1:61" x14ac:dyDescent="0.45">
      <c r="A233" s="17"/>
      <c r="B233" s="17"/>
      <c r="C233" s="17"/>
      <c r="D233" s="17"/>
      <c r="E233" s="15"/>
      <c r="F233" s="17"/>
      <c r="G233" s="17"/>
      <c r="H233" s="3"/>
      <c r="I233" s="88"/>
      <c r="J233" s="88"/>
      <c r="K233" s="15"/>
      <c r="L233" s="96"/>
      <c r="M233" s="89"/>
      <c r="N233" s="88"/>
      <c r="O233" s="413"/>
      <c r="P233" s="18"/>
      <c r="Q233" s="91"/>
      <c r="R233" s="18"/>
      <c r="S233" s="18"/>
      <c r="T233" s="18"/>
      <c r="U233" s="18"/>
      <c r="V233" s="18"/>
      <c r="W233" s="18"/>
      <c r="X233" s="18"/>
      <c r="Y233" s="92"/>
      <c r="Z233" s="92"/>
      <c r="AA233" s="418"/>
      <c r="AB233" s="95"/>
      <c r="AC233" s="18"/>
      <c r="AD233" s="18"/>
      <c r="AE233" s="18"/>
      <c r="AF233" s="18"/>
      <c r="AG233" s="91"/>
      <c r="AH233" s="18"/>
      <c r="AI233" s="18"/>
      <c r="AJ233" s="18"/>
      <c r="AK233" s="18"/>
      <c r="AL233" s="18"/>
      <c r="AM233" s="18"/>
      <c r="AN233" s="18"/>
      <c r="AO233" s="18"/>
      <c r="AP233" s="18"/>
      <c r="AQ233" s="18"/>
      <c r="AR233" s="18"/>
      <c r="AS233" s="18"/>
      <c r="AT233" s="18"/>
      <c r="AU233" s="91"/>
      <c r="AV233" s="18"/>
      <c r="AW233" s="18"/>
      <c r="AX233" s="18"/>
      <c r="AY233" s="17"/>
      <c r="AZ233" s="17"/>
      <c r="BA233" s="17"/>
      <c r="BB233" s="17"/>
      <c r="BC233" s="96"/>
      <c r="BD233" s="96"/>
      <c r="BE233" s="96"/>
      <c r="BF233" s="96"/>
      <c r="BG233" s="96"/>
      <c r="BH233" s="96"/>
      <c r="BI233" s="96"/>
    </row>
    <row r="234" spans="1:61" x14ac:dyDescent="0.45">
      <c r="A234" s="17"/>
      <c r="B234" s="17"/>
      <c r="C234" s="17"/>
      <c r="D234" s="17"/>
      <c r="E234" s="15"/>
      <c r="F234" s="17"/>
      <c r="G234" s="17"/>
      <c r="H234" s="3"/>
      <c r="I234" s="88"/>
      <c r="J234" s="88"/>
      <c r="K234" s="15"/>
      <c r="L234" s="96"/>
      <c r="M234" s="89"/>
      <c r="N234" s="88"/>
      <c r="O234" s="413"/>
      <c r="P234" s="18"/>
      <c r="Q234" s="91"/>
      <c r="R234" s="18"/>
      <c r="S234" s="18"/>
      <c r="T234" s="18"/>
      <c r="U234" s="18"/>
      <c r="V234" s="18"/>
      <c r="W234" s="18"/>
      <c r="X234" s="18"/>
      <c r="Y234" s="92"/>
      <c r="Z234" s="92"/>
      <c r="AA234" s="418"/>
      <c r="AB234" s="95"/>
      <c r="AC234" s="18"/>
      <c r="AD234" s="18"/>
      <c r="AE234" s="18"/>
      <c r="AF234" s="18"/>
      <c r="AG234" s="91"/>
      <c r="AH234" s="18"/>
      <c r="AI234" s="18"/>
      <c r="AJ234" s="18"/>
      <c r="AK234" s="18"/>
      <c r="AL234" s="18"/>
      <c r="AM234" s="18"/>
      <c r="AN234" s="18"/>
      <c r="AO234" s="18"/>
      <c r="AP234" s="18"/>
      <c r="AQ234" s="18"/>
      <c r="AR234" s="18"/>
      <c r="AS234" s="18"/>
      <c r="AT234" s="18"/>
      <c r="AU234" s="91"/>
      <c r="AV234" s="18"/>
      <c r="AW234" s="18"/>
      <c r="AX234" s="18"/>
      <c r="AY234" s="17"/>
      <c r="AZ234" s="17"/>
      <c r="BA234" s="17"/>
      <c r="BB234" s="17"/>
      <c r="BC234" s="96"/>
      <c r="BD234" s="96"/>
      <c r="BE234" s="96"/>
      <c r="BF234" s="96"/>
      <c r="BG234" s="96"/>
      <c r="BH234" s="96"/>
      <c r="BI234" s="96"/>
    </row>
    <row r="235" spans="1:61" x14ac:dyDescent="0.45">
      <c r="A235" s="17"/>
      <c r="B235" s="17"/>
      <c r="C235" s="17"/>
      <c r="D235" s="17"/>
      <c r="E235" s="15"/>
      <c r="F235" s="17"/>
      <c r="G235" s="17"/>
      <c r="H235" s="3"/>
      <c r="I235" s="88"/>
      <c r="J235" s="88"/>
      <c r="K235" s="15"/>
      <c r="L235" s="96"/>
      <c r="M235" s="89"/>
      <c r="N235" s="88"/>
      <c r="O235" s="413"/>
      <c r="P235" s="18"/>
      <c r="Q235" s="91"/>
      <c r="R235" s="18"/>
      <c r="S235" s="18"/>
      <c r="T235" s="18"/>
      <c r="U235" s="18"/>
      <c r="V235" s="18"/>
      <c r="W235" s="18"/>
      <c r="X235" s="18"/>
      <c r="Y235" s="92"/>
      <c r="Z235" s="92"/>
      <c r="AA235" s="418"/>
      <c r="AB235" s="95"/>
      <c r="AC235" s="18"/>
      <c r="AD235" s="18"/>
      <c r="AE235" s="18"/>
      <c r="AF235" s="18"/>
      <c r="AG235" s="91"/>
      <c r="AH235" s="18"/>
      <c r="AI235" s="18"/>
      <c r="AJ235" s="18"/>
      <c r="AK235" s="18"/>
      <c r="AL235" s="18"/>
      <c r="AM235" s="18"/>
      <c r="AN235" s="18"/>
      <c r="AO235" s="18"/>
      <c r="AP235" s="18"/>
      <c r="AQ235" s="18"/>
      <c r="AR235" s="18"/>
      <c r="AS235" s="18"/>
      <c r="AT235" s="18"/>
      <c r="AU235" s="91"/>
      <c r="AV235" s="18"/>
      <c r="AW235" s="18"/>
      <c r="AX235" s="18"/>
      <c r="AY235" s="17"/>
      <c r="AZ235" s="17"/>
      <c r="BA235" s="17"/>
      <c r="BB235" s="17"/>
      <c r="BC235" s="96"/>
      <c r="BD235" s="96"/>
      <c r="BE235" s="96"/>
      <c r="BF235" s="96"/>
      <c r="BG235" s="96"/>
      <c r="BH235" s="96"/>
      <c r="BI235" s="96"/>
    </row>
    <row r="236" spans="1:61" x14ac:dyDescent="0.45">
      <c r="A236" s="17"/>
      <c r="B236" s="17"/>
      <c r="C236" s="17"/>
      <c r="D236" s="17"/>
      <c r="E236" s="15"/>
      <c r="F236" s="17"/>
      <c r="G236" s="17"/>
      <c r="H236" s="3"/>
      <c r="I236" s="88"/>
      <c r="J236" s="88"/>
      <c r="K236" s="15"/>
      <c r="L236" s="96"/>
      <c r="M236" s="89"/>
      <c r="N236" s="88"/>
      <c r="O236" s="413"/>
      <c r="P236" s="18"/>
      <c r="Q236" s="91"/>
      <c r="R236" s="18"/>
      <c r="S236" s="18"/>
      <c r="T236" s="18"/>
      <c r="U236" s="18"/>
      <c r="V236" s="18"/>
      <c r="W236" s="18"/>
      <c r="X236" s="18"/>
      <c r="Y236" s="92"/>
      <c r="Z236" s="92"/>
      <c r="AA236" s="418"/>
      <c r="AB236" s="95"/>
      <c r="AC236" s="18"/>
      <c r="AD236" s="18"/>
      <c r="AE236" s="18"/>
      <c r="AF236" s="18"/>
      <c r="AG236" s="91"/>
      <c r="AH236" s="18"/>
      <c r="AI236" s="18"/>
      <c r="AJ236" s="18"/>
      <c r="AK236" s="18"/>
      <c r="AL236" s="18"/>
      <c r="AM236" s="18"/>
      <c r="AN236" s="18"/>
      <c r="AO236" s="18"/>
      <c r="AP236" s="18"/>
      <c r="AQ236" s="18"/>
      <c r="AR236" s="18"/>
      <c r="AS236" s="18"/>
      <c r="AT236" s="18"/>
      <c r="AU236" s="91"/>
      <c r="AV236" s="18"/>
      <c r="AW236" s="18"/>
      <c r="AX236" s="18"/>
      <c r="AY236" s="17"/>
      <c r="AZ236" s="17"/>
      <c r="BA236" s="17"/>
      <c r="BB236" s="17"/>
      <c r="BC236" s="96"/>
      <c r="BD236" s="96"/>
      <c r="BE236" s="96"/>
      <c r="BF236" s="96"/>
      <c r="BG236" s="96"/>
      <c r="BH236" s="96"/>
      <c r="BI236" s="96"/>
    </row>
    <row r="237" spans="1:61" x14ac:dyDescent="0.45">
      <c r="A237" s="17"/>
      <c r="B237" s="17"/>
      <c r="C237" s="17"/>
      <c r="D237" s="17"/>
      <c r="E237" s="15"/>
      <c r="F237" s="17"/>
      <c r="G237" s="17"/>
      <c r="H237" s="3"/>
      <c r="I237" s="88"/>
      <c r="J237" s="88"/>
      <c r="K237" s="15"/>
      <c r="L237" s="96"/>
      <c r="M237" s="89"/>
      <c r="N237" s="88"/>
      <c r="O237" s="413"/>
      <c r="P237" s="18"/>
      <c r="Q237" s="91"/>
      <c r="R237" s="18"/>
      <c r="S237" s="18"/>
      <c r="T237" s="18"/>
      <c r="U237" s="18"/>
      <c r="V237" s="18"/>
      <c r="W237" s="18"/>
      <c r="X237" s="18"/>
      <c r="Y237" s="92"/>
      <c r="Z237" s="92"/>
      <c r="AA237" s="418"/>
      <c r="AB237" s="95"/>
      <c r="AC237" s="18"/>
      <c r="AD237" s="18"/>
      <c r="AE237" s="18"/>
      <c r="AF237" s="18"/>
      <c r="AG237" s="91"/>
      <c r="AH237" s="18"/>
      <c r="AI237" s="18"/>
      <c r="AJ237" s="18"/>
      <c r="AK237" s="18"/>
      <c r="AL237" s="18"/>
      <c r="AM237" s="18"/>
      <c r="AN237" s="18"/>
      <c r="AO237" s="18"/>
      <c r="AP237" s="18"/>
      <c r="AQ237" s="18"/>
      <c r="AR237" s="18"/>
      <c r="AS237" s="18"/>
      <c r="AT237" s="18"/>
      <c r="AU237" s="91"/>
      <c r="AV237" s="18"/>
      <c r="AW237" s="18"/>
      <c r="AX237" s="18"/>
      <c r="AY237" s="17"/>
      <c r="AZ237" s="17"/>
      <c r="BA237" s="17"/>
      <c r="BB237" s="17"/>
      <c r="BC237" s="96"/>
      <c r="BD237" s="96"/>
      <c r="BE237" s="96"/>
      <c r="BF237" s="96"/>
      <c r="BG237" s="96"/>
      <c r="BH237" s="96"/>
      <c r="BI237" s="96"/>
    </row>
    <row r="238" spans="1:61" x14ac:dyDescent="0.45">
      <c r="A238" s="17"/>
      <c r="B238" s="17"/>
      <c r="C238" s="17"/>
      <c r="D238" s="17"/>
      <c r="E238" s="15"/>
      <c r="F238" s="17"/>
      <c r="G238" s="17"/>
      <c r="H238" s="3"/>
      <c r="I238" s="88"/>
      <c r="J238" s="88"/>
      <c r="K238" s="15"/>
      <c r="L238" s="96"/>
      <c r="M238" s="89"/>
      <c r="N238" s="88"/>
      <c r="O238" s="413"/>
      <c r="P238" s="18"/>
      <c r="Q238" s="91"/>
      <c r="R238" s="18"/>
      <c r="S238" s="18"/>
      <c r="T238" s="18"/>
      <c r="U238" s="18"/>
      <c r="V238" s="18"/>
      <c r="W238" s="18"/>
      <c r="X238" s="18"/>
      <c r="Y238" s="92"/>
      <c r="Z238" s="92"/>
      <c r="AA238" s="418"/>
      <c r="AB238" s="95"/>
      <c r="AC238" s="18"/>
      <c r="AD238" s="18"/>
      <c r="AE238" s="18"/>
      <c r="AF238" s="18"/>
      <c r="AG238" s="91"/>
      <c r="AH238" s="18"/>
      <c r="AI238" s="18"/>
      <c r="AJ238" s="18"/>
      <c r="AK238" s="18"/>
      <c r="AL238" s="18"/>
      <c r="AM238" s="18"/>
      <c r="AN238" s="18"/>
      <c r="AO238" s="18"/>
      <c r="AP238" s="18"/>
      <c r="AQ238" s="18"/>
      <c r="AR238" s="18"/>
      <c r="AS238" s="18"/>
      <c r="AT238" s="18"/>
      <c r="AU238" s="91"/>
      <c r="AV238" s="18"/>
      <c r="AW238" s="18"/>
      <c r="AX238" s="18"/>
      <c r="AY238" s="17"/>
      <c r="AZ238" s="17"/>
      <c r="BA238" s="17"/>
      <c r="BB238" s="17"/>
      <c r="BC238" s="96"/>
      <c r="BD238" s="96"/>
      <c r="BE238" s="96"/>
      <c r="BF238" s="96"/>
      <c r="BG238" s="96"/>
      <c r="BH238" s="96"/>
      <c r="BI238" s="96"/>
    </row>
    <row r="239" spans="1:61" x14ac:dyDescent="0.45">
      <c r="A239" s="17"/>
      <c r="B239" s="17"/>
      <c r="C239" s="17"/>
      <c r="D239" s="17"/>
      <c r="E239" s="15"/>
      <c r="F239" s="17"/>
      <c r="G239" s="17"/>
      <c r="H239" s="3"/>
      <c r="I239" s="88"/>
      <c r="J239" s="88"/>
      <c r="K239" s="15"/>
      <c r="L239" s="96"/>
      <c r="M239" s="89"/>
      <c r="N239" s="88"/>
      <c r="O239" s="413"/>
      <c r="P239" s="18"/>
      <c r="Q239" s="91"/>
      <c r="R239" s="18"/>
      <c r="S239" s="18"/>
      <c r="T239" s="18"/>
      <c r="U239" s="18"/>
      <c r="V239" s="18"/>
      <c r="W239" s="18"/>
      <c r="X239" s="18"/>
      <c r="Y239" s="92"/>
      <c r="Z239" s="92"/>
      <c r="AA239" s="418"/>
      <c r="AB239" s="95"/>
      <c r="AC239" s="18"/>
      <c r="AD239" s="18"/>
      <c r="AE239" s="18"/>
      <c r="AF239" s="18"/>
      <c r="AG239" s="91"/>
      <c r="AH239" s="18"/>
      <c r="AI239" s="18"/>
      <c r="AJ239" s="18"/>
      <c r="AK239" s="18"/>
      <c r="AL239" s="18"/>
      <c r="AM239" s="18"/>
      <c r="AN239" s="18"/>
      <c r="AO239" s="18"/>
      <c r="AP239" s="18"/>
      <c r="AQ239" s="18"/>
      <c r="AR239" s="18"/>
      <c r="AS239" s="18"/>
      <c r="AT239" s="18"/>
      <c r="AU239" s="91"/>
      <c r="AV239" s="18"/>
      <c r="AW239" s="18"/>
      <c r="AX239" s="18"/>
      <c r="AY239" s="17"/>
      <c r="AZ239" s="17"/>
      <c r="BA239" s="17"/>
      <c r="BB239" s="17"/>
      <c r="BC239" s="96"/>
      <c r="BD239" s="96"/>
      <c r="BE239" s="96"/>
      <c r="BF239" s="96"/>
      <c r="BG239" s="96"/>
      <c r="BH239" s="96"/>
      <c r="BI239" s="96"/>
    </row>
    <row r="240" spans="1:61" x14ac:dyDescent="0.45">
      <c r="A240" s="17"/>
      <c r="B240" s="17"/>
      <c r="C240" s="17"/>
      <c r="D240" s="17"/>
      <c r="E240" s="15"/>
      <c r="F240" s="17"/>
      <c r="G240" s="17"/>
      <c r="H240" s="3"/>
      <c r="I240" s="88"/>
      <c r="J240" s="88"/>
      <c r="K240" s="15"/>
      <c r="L240" s="96"/>
      <c r="M240" s="89"/>
      <c r="N240" s="88"/>
      <c r="O240" s="413"/>
      <c r="P240" s="18"/>
      <c r="Q240" s="91"/>
      <c r="R240" s="18"/>
      <c r="S240" s="18"/>
      <c r="T240" s="18"/>
      <c r="U240" s="18"/>
      <c r="V240" s="18"/>
      <c r="W240" s="18"/>
      <c r="X240" s="18"/>
      <c r="Y240" s="92"/>
      <c r="Z240" s="92"/>
      <c r="AA240" s="418"/>
      <c r="AB240" s="95"/>
      <c r="AC240" s="18"/>
      <c r="AD240" s="18"/>
      <c r="AE240" s="18"/>
      <c r="AF240" s="18"/>
      <c r="AG240" s="91"/>
      <c r="AH240" s="18"/>
      <c r="AI240" s="18"/>
      <c r="AJ240" s="18"/>
      <c r="AK240" s="18"/>
      <c r="AL240" s="18"/>
      <c r="AM240" s="18"/>
      <c r="AN240" s="18"/>
      <c r="AO240" s="18"/>
      <c r="AP240" s="18"/>
      <c r="AQ240" s="18"/>
      <c r="AR240" s="18"/>
      <c r="AS240" s="18"/>
      <c r="AT240" s="18"/>
      <c r="AU240" s="91"/>
      <c r="AV240" s="18"/>
      <c r="AW240" s="18"/>
      <c r="AX240" s="18"/>
      <c r="AY240" s="17"/>
      <c r="AZ240" s="17"/>
      <c r="BA240" s="17"/>
      <c r="BB240" s="17"/>
      <c r="BC240" s="96"/>
      <c r="BD240" s="96"/>
      <c r="BE240" s="96"/>
      <c r="BF240" s="96"/>
      <c r="BG240" s="96"/>
      <c r="BH240" s="96"/>
      <c r="BI240" s="96"/>
    </row>
    <row r="241" spans="1:61" x14ac:dyDescent="0.45">
      <c r="A241" s="17"/>
      <c r="B241" s="17"/>
      <c r="C241" s="17"/>
      <c r="D241" s="17"/>
      <c r="E241" s="15"/>
      <c r="F241" s="17"/>
      <c r="G241" s="17"/>
      <c r="H241" s="3"/>
      <c r="I241" s="88"/>
      <c r="J241" s="88"/>
      <c r="K241" s="15"/>
      <c r="L241" s="96"/>
      <c r="M241" s="89"/>
      <c r="N241" s="88"/>
      <c r="O241" s="413"/>
      <c r="P241" s="18"/>
      <c r="Q241" s="91"/>
      <c r="R241" s="18"/>
      <c r="S241" s="18"/>
      <c r="T241" s="18"/>
      <c r="U241" s="18"/>
      <c r="V241" s="18"/>
      <c r="W241" s="18"/>
      <c r="X241" s="18"/>
      <c r="Y241" s="92"/>
      <c r="Z241" s="92"/>
      <c r="AA241" s="418"/>
      <c r="AB241" s="95"/>
      <c r="AC241" s="18"/>
      <c r="AD241" s="18"/>
      <c r="AE241" s="18"/>
      <c r="AF241" s="18"/>
      <c r="AG241" s="91"/>
      <c r="AH241" s="18"/>
      <c r="AI241" s="18"/>
      <c r="AJ241" s="18"/>
      <c r="AK241" s="18"/>
      <c r="AL241" s="18"/>
      <c r="AM241" s="18"/>
      <c r="AN241" s="18"/>
      <c r="AO241" s="18"/>
      <c r="AP241" s="18"/>
      <c r="AQ241" s="18"/>
      <c r="AR241" s="18"/>
      <c r="AS241" s="18"/>
      <c r="AT241" s="18"/>
      <c r="AU241" s="91"/>
      <c r="AV241" s="18"/>
      <c r="AW241" s="18"/>
      <c r="AX241" s="18"/>
      <c r="AY241" s="17"/>
      <c r="AZ241" s="17"/>
      <c r="BA241" s="17"/>
      <c r="BB241" s="17"/>
      <c r="BC241" s="96"/>
      <c r="BD241" s="96"/>
      <c r="BE241" s="96"/>
      <c r="BF241" s="96"/>
      <c r="BG241" s="96"/>
      <c r="BH241" s="96"/>
      <c r="BI241" s="96"/>
    </row>
    <row r="242" spans="1:61" x14ac:dyDescent="0.45">
      <c r="A242" s="17"/>
      <c r="B242" s="17"/>
      <c r="C242" s="17"/>
      <c r="D242" s="17"/>
      <c r="E242" s="15"/>
      <c r="F242" s="17"/>
      <c r="G242" s="17"/>
      <c r="H242" s="3"/>
      <c r="I242" s="88"/>
      <c r="J242" s="88"/>
      <c r="K242" s="15"/>
      <c r="L242" s="96"/>
      <c r="M242" s="89"/>
      <c r="N242" s="88"/>
      <c r="O242" s="413"/>
      <c r="P242" s="18"/>
      <c r="Q242" s="91"/>
      <c r="R242" s="18"/>
      <c r="S242" s="18"/>
      <c r="T242" s="18"/>
      <c r="U242" s="18"/>
      <c r="V242" s="18"/>
      <c r="W242" s="18"/>
      <c r="X242" s="18"/>
      <c r="Y242" s="92"/>
      <c r="Z242" s="92"/>
      <c r="AA242" s="418"/>
      <c r="AB242" s="95"/>
      <c r="AC242" s="18"/>
      <c r="AD242" s="18"/>
      <c r="AE242" s="18"/>
      <c r="AF242" s="18"/>
      <c r="AG242" s="91"/>
      <c r="AH242" s="18"/>
      <c r="AI242" s="18"/>
      <c r="AJ242" s="18"/>
      <c r="AK242" s="18"/>
      <c r="AL242" s="18"/>
      <c r="AM242" s="18"/>
      <c r="AN242" s="18"/>
      <c r="AO242" s="18"/>
      <c r="AP242" s="18"/>
      <c r="AQ242" s="18"/>
      <c r="AR242" s="18"/>
      <c r="AS242" s="18"/>
      <c r="AT242" s="18"/>
      <c r="AU242" s="91"/>
      <c r="AV242" s="18"/>
      <c r="AW242" s="18"/>
      <c r="AX242" s="18"/>
      <c r="AY242" s="17"/>
      <c r="AZ242" s="17"/>
      <c r="BA242" s="17"/>
      <c r="BB242" s="17"/>
      <c r="BC242" s="96"/>
      <c r="BD242" s="96"/>
      <c r="BE242" s="96"/>
      <c r="BF242" s="96"/>
      <c r="BG242" s="96"/>
      <c r="BH242" s="96"/>
      <c r="BI242" s="96"/>
    </row>
    <row r="243" spans="1:61" x14ac:dyDescent="0.45">
      <c r="A243" s="17"/>
      <c r="B243" s="17"/>
      <c r="C243" s="17"/>
      <c r="D243" s="17"/>
      <c r="E243" s="15"/>
      <c r="F243" s="17"/>
      <c r="G243" s="17"/>
      <c r="H243" s="3"/>
      <c r="I243" s="88"/>
      <c r="J243" s="88"/>
      <c r="K243" s="15"/>
      <c r="L243" s="96"/>
      <c r="M243" s="89"/>
      <c r="N243" s="88"/>
      <c r="O243" s="413"/>
      <c r="P243" s="18"/>
      <c r="Q243" s="91"/>
      <c r="R243" s="18"/>
      <c r="S243" s="18"/>
      <c r="T243" s="18"/>
      <c r="U243" s="18"/>
      <c r="V243" s="18"/>
      <c r="W243" s="18"/>
      <c r="X243" s="18"/>
      <c r="Y243" s="92"/>
      <c r="Z243" s="92"/>
      <c r="AA243" s="418"/>
      <c r="AB243" s="95"/>
      <c r="AC243" s="18"/>
      <c r="AD243" s="18"/>
      <c r="AE243" s="18"/>
      <c r="AF243" s="18"/>
      <c r="AG243" s="91"/>
      <c r="AH243" s="18"/>
      <c r="AI243" s="18"/>
      <c r="AJ243" s="18"/>
      <c r="AK243" s="18"/>
      <c r="AL243" s="18"/>
      <c r="AM243" s="18"/>
      <c r="AN243" s="18"/>
      <c r="AO243" s="18"/>
      <c r="AP243" s="18"/>
      <c r="AQ243" s="18"/>
      <c r="AR243" s="18"/>
      <c r="AS243" s="18"/>
      <c r="AT243" s="18"/>
      <c r="AU243" s="91"/>
      <c r="AV243" s="18"/>
      <c r="AW243" s="18"/>
      <c r="AX243" s="18"/>
      <c r="AY243" s="17"/>
      <c r="AZ243" s="17"/>
      <c r="BA243" s="17"/>
      <c r="BB243" s="17"/>
      <c r="BC243" s="96"/>
      <c r="BD243" s="96"/>
      <c r="BE243" s="96"/>
      <c r="BF243" s="96"/>
      <c r="BG243" s="96"/>
      <c r="BH243" s="96"/>
      <c r="BI243" s="96"/>
    </row>
    <row r="244" spans="1:61" x14ac:dyDescent="0.45">
      <c r="A244" s="17"/>
      <c r="B244" s="17"/>
      <c r="C244" s="17"/>
      <c r="D244" s="17"/>
      <c r="E244" s="15"/>
      <c r="F244" s="17"/>
      <c r="G244" s="17"/>
      <c r="H244" s="3"/>
      <c r="I244" s="88"/>
      <c r="J244" s="88"/>
      <c r="K244" s="15"/>
      <c r="L244" s="96"/>
      <c r="M244" s="89"/>
      <c r="N244" s="88"/>
      <c r="O244" s="413"/>
      <c r="P244" s="18"/>
      <c r="Q244" s="91"/>
      <c r="R244" s="18"/>
      <c r="S244" s="18"/>
      <c r="T244" s="18"/>
      <c r="U244" s="18"/>
      <c r="V244" s="18"/>
      <c r="W244" s="18"/>
      <c r="X244" s="18"/>
      <c r="Y244" s="92"/>
      <c r="Z244" s="92"/>
      <c r="AA244" s="418"/>
      <c r="AB244" s="95"/>
      <c r="AC244" s="18"/>
      <c r="AD244" s="18"/>
      <c r="AE244" s="18"/>
      <c r="AF244" s="18"/>
      <c r="AG244" s="91"/>
      <c r="AH244" s="18"/>
      <c r="AI244" s="18"/>
      <c r="AJ244" s="18"/>
      <c r="AK244" s="18"/>
      <c r="AL244" s="18"/>
      <c r="AM244" s="18"/>
      <c r="AN244" s="18"/>
      <c r="AO244" s="18"/>
      <c r="AP244" s="18"/>
      <c r="AQ244" s="18"/>
      <c r="AR244" s="18"/>
      <c r="AS244" s="18"/>
      <c r="AT244" s="18"/>
      <c r="AU244" s="91"/>
      <c r="AV244" s="18"/>
      <c r="AW244" s="18"/>
      <c r="AX244" s="18"/>
      <c r="AY244" s="17"/>
      <c r="AZ244" s="17"/>
      <c r="BA244" s="17"/>
      <c r="BB244" s="17"/>
      <c r="BC244" s="96"/>
      <c r="BD244" s="96"/>
      <c r="BE244" s="96"/>
      <c r="BF244" s="96"/>
      <c r="BG244" s="96"/>
      <c r="BH244" s="96"/>
      <c r="BI244" s="96"/>
    </row>
    <row r="245" spans="1:61" x14ac:dyDescent="0.45">
      <c r="A245" s="17"/>
      <c r="B245" s="17"/>
      <c r="C245" s="17"/>
      <c r="D245" s="17"/>
      <c r="E245" s="15"/>
      <c r="F245" s="17"/>
      <c r="G245" s="17"/>
      <c r="H245" s="3"/>
      <c r="I245" s="88"/>
      <c r="J245" s="88"/>
      <c r="K245" s="15"/>
      <c r="L245" s="96"/>
      <c r="M245" s="89"/>
      <c r="N245" s="88"/>
      <c r="O245" s="413"/>
      <c r="P245" s="18"/>
      <c r="Q245" s="91"/>
      <c r="R245" s="18"/>
      <c r="S245" s="18"/>
      <c r="T245" s="18"/>
      <c r="U245" s="18"/>
      <c r="V245" s="18"/>
      <c r="W245" s="18"/>
      <c r="X245" s="18"/>
      <c r="Y245" s="92"/>
      <c r="Z245" s="92"/>
      <c r="AA245" s="418"/>
      <c r="AB245" s="95"/>
      <c r="AC245" s="18"/>
      <c r="AD245" s="18"/>
      <c r="AE245" s="18"/>
      <c r="AF245" s="18"/>
      <c r="AG245" s="91"/>
      <c r="AH245" s="18"/>
      <c r="AI245" s="18"/>
      <c r="AJ245" s="18"/>
      <c r="AK245" s="18"/>
      <c r="AL245" s="18"/>
      <c r="AM245" s="18"/>
      <c r="AN245" s="18"/>
      <c r="AO245" s="18"/>
      <c r="AP245" s="18"/>
      <c r="AQ245" s="18"/>
      <c r="AR245" s="18"/>
      <c r="AS245" s="18"/>
      <c r="AT245" s="18"/>
      <c r="AU245" s="91"/>
      <c r="AV245" s="18"/>
      <c r="AW245" s="18"/>
      <c r="AX245" s="18"/>
      <c r="AY245" s="17"/>
      <c r="AZ245" s="17"/>
      <c r="BA245" s="17"/>
      <c r="BB245" s="17"/>
      <c r="BC245" s="96"/>
      <c r="BD245" s="96"/>
      <c r="BE245" s="96"/>
      <c r="BF245" s="96"/>
      <c r="BG245" s="96"/>
      <c r="BH245" s="96"/>
      <c r="BI245" s="96"/>
    </row>
    <row r="246" spans="1:61" x14ac:dyDescent="0.45">
      <c r="A246" s="17"/>
      <c r="B246" s="17"/>
      <c r="C246" s="17"/>
      <c r="D246" s="17"/>
      <c r="E246" s="15"/>
      <c r="F246" s="17"/>
      <c r="G246" s="17"/>
      <c r="H246" s="3"/>
      <c r="I246" s="88"/>
      <c r="J246" s="88"/>
      <c r="K246" s="15"/>
      <c r="L246" s="96"/>
      <c r="M246" s="89"/>
      <c r="N246" s="88"/>
      <c r="O246" s="413"/>
      <c r="P246" s="18"/>
      <c r="Q246" s="91"/>
      <c r="R246" s="18"/>
      <c r="S246" s="18"/>
      <c r="T246" s="18"/>
      <c r="U246" s="18"/>
      <c r="V246" s="18"/>
      <c r="W246" s="18"/>
      <c r="X246" s="18"/>
      <c r="Y246" s="92"/>
      <c r="Z246" s="92"/>
      <c r="AA246" s="418"/>
      <c r="AB246" s="95"/>
      <c r="AC246" s="18"/>
      <c r="AD246" s="18"/>
      <c r="AE246" s="18"/>
      <c r="AF246" s="18"/>
      <c r="AG246" s="91"/>
      <c r="AH246" s="18"/>
      <c r="AI246" s="18"/>
      <c r="AJ246" s="18"/>
      <c r="AK246" s="18"/>
      <c r="AL246" s="18"/>
      <c r="AM246" s="18"/>
      <c r="AN246" s="18"/>
      <c r="AO246" s="18"/>
      <c r="AP246" s="18"/>
      <c r="AQ246" s="18"/>
      <c r="AR246" s="18"/>
      <c r="AS246" s="18"/>
      <c r="AT246" s="18"/>
      <c r="AU246" s="91"/>
      <c r="AV246" s="18"/>
      <c r="AW246" s="18"/>
      <c r="AX246" s="18"/>
      <c r="AY246" s="17"/>
      <c r="AZ246" s="17"/>
      <c r="BA246" s="17"/>
      <c r="BB246" s="17"/>
      <c r="BC246" s="96"/>
      <c r="BD246" s="96"/>
      <c r="BE246" s="96"/>
      <c r="BF246" s="96"/>
      <c r="BG246" s="96"/>
      <c r="BH246" s="96"/>
      <c r="BI246" s="96"/>
    </row>
    <row r="247" spans="1:61" x14ac:dyDescent="0.45">
      <c r="A247" s="17"/>
      <c r="B247" s="17"/>
      <c r="C247" s="17"/>
      <c r="D247" s="17"/>
      <c r="E247" s="15"/>
      <c r="F247" s="17"/>
      <c r="G247" s="17"/>
      <c r="H247" s="3"/>
      <c r="I247" s="88"/>
      <c r="J247" s="88"/>
      <c r="K247" s="15"/>
      <c r="L247" s="96"/>
      <c r="M247" s="89"/>
      <c r="N247" s="88"/>
      <c r="O247" s="413"/>
      <c r="P247" s="18"/>
      <c r="Q247" s="91"/>
      <c r="R247" s="18"/>
      <c r="S247" s="18"/>
      <c r="T247" s="18"/>
      <c r="U247" s="18"/>
      <c r="V247" s="18"/>
      <c r="W247" s="18"/>
      <c r="X247" s="18"/>
      <c r="Y247" s="92"/>
      <c r="Z247" s="92"/>
      <c r="AA247" s="418"/>
      <c r="AB247" s="95"/>
      <c r="AC247" s="18"/>
      <c r="AD247" s="18"/>
      <c r="AE247" s="18"/>
      <c r="AF247" s="18"/>
      <c r="AG247" s="91"/>
      <c r="AH247" s="18"/>
      <c r="AI247" s="18"/>
      <c r="AJ247" s="18"/>
      <c r="AK247" s="18"/>
      <c r="AL247" s="18"/>
      <c r="AM247" s="18"/>
      <c r="AN247" s="18"/>
      <c r="AO247" s="18"/>
      <c r="AP247" s="18"/>
      <c r="AQ247" s="18"/>
      <c r="AR247" s="18"/>
      <c r="AS247" s="18"/>
      <c r="AT247" s="18"/>
      <c r="AU247" s="91"/>
      <c r="AV247" s="18"/>
      <c r="AW247" s="18"/>
      <c r="AX247" s="18"/>
      <c r="AY247" s="17"/>
      <c r="AZ247" s="17"/>
      <c r="BA247" s="17"/>
      <c r="BB247" s="17"/>
      <c r="BC247" s="96"/>
      <c r="BD247" s="96"/>
      <c r="BE247" s="96"/>
      <c r="BF247" s="96"/>
      <c r="BG247" s="96"/>
      <c r="BH247" s="96"/>
      <c r="BI247" s="96"/>
    </row>
    <row r="248" spans="1:61" x14ac:dyDescent="0.45">
      <c r="A248" s="17"/>
      <c r="B248" s="17"/>
      <c r="C248" s="17"/>
      <c r="D248" s="17"/>
      <c r="E248" s="15"/>
      <c r="F248" s="17"/>
      <c r="G248" s="17"/>
      <c r="H248" s="3"/>
      <c r="I248" s="88"/>
      <c r="J248" s="88"/>
      <c r="K248" s="15"/>
      <c r="L248" s="96"/>
      <c r="M248" s="89"/>
      <c r="N248" s="88"/>
      <c r="O248" s="413"/>
      <c r="P248" s="18"/>
      <c r="Q248" s="91"/>
      <c r="R248" s="18"/>
      <c r="S248" s="18"/>
      <c r="T248" s="18"/>
      <c r="U248" s="18"/>
      <c r="V248" s="18"/>
      <c r="W248" s="18"/>
      <c r="X248" s="18"/>
      <c r="Y248" s="92"/>
      <c r="Z248" s="92"/>
      <c r="AA248" s="418"/>
      <c r="AB248" s="95"/>
      <c r="AC248" s="18"/>
      <c r="AD248" s="18"/>
      <c r="AE248" s="18"/>
      <c r="AF248" s="18"/>
      <c r="AG248" s="91"/>
      <c r="AH248" s="18"/>
      <c r="AI248" s="18"/>
      <c r="AJ248" s="18"/>
      <c r="AK248" s="18"/>
      <c r="AL248" s="18"/>
      <c r="AM248" s="18"/>
      <c r="AN248" s="18"/>
      <c r="AO248" s="18"/>
      <c r="AP248" s="18"/>
      <c r="AQ248" s="18"/>
      <c r="AR248" s="18"/>
      <c r="AS248" s="18"/>
      <c r="AT248" s="18"/>
      <c r="AU248" s="91"/>
      <c r="AV248" s="18"/>
      <c r="AW248" s="18"/>
      <c r="AX248" s="18"/>
      <c r="AY248" s="17"/>
      <c r="AZ248" s="17"/>
      <c r="BA248" s="17"/>
      <c r="BB248" s="17"/>
      <c r="BC248" s="96"/>
      <c r="BD248" s="96"/>
      <c r="BE248" s="96"/>
      <c r="BF248" s="96"/>
      <c r="BG248" s="96"/>
      <c r="BH248" s="96"/>
      <c r="BI248" s="96"/>
    </row>
    <row r="249" spans="1:61" x14ac:dyDescent="0.45">
      <c r="A249" s="17"/>
      <c r="B249" s="17"/>
      <c r="C249" s="17"/>
      <c r="D249" s="17"/>
      <c r="E249" s="15"/>
      <c r="F249" s="17"/>
      <c r="G249" s="17"/>
      <c r="H249" s="3"/>
      <c r="I249" s="88"/>
      <c r="J249" s="88"/>
      <c r="K249" s="15"/>
      <c r="L249" s="96"/>
      <c r="M249" s="89"/>
      <c r="N249" s="88"/>
      <c r="O249" s="413"/>
      <c r="P249" s="18"/>
      <c r="Q249" s="91"/>
      <c r="R249" s="18"/>
      <c r="S249" s="18"/>
      <c r="T249" s="18"/>
      <c r="U249" s="18"/>
      <c r="V249" s="18"/>
      <c r="W249" s="18"/>
      <c r="X249" s="18"/>
      <c r="Y249" s="92"/>
      <c r="Z249" s="92"/>
      <c r="AA249" s="418"/>
      <c r="AB249" s="95"/>
      <c r="AC249" s="18"/>
      <c r="AD249" s="18"/>
      <c r="AE249" s="18"/>
      <c r="AF249" s="18"/>
      <c r="AG249" s="91"/>
      <c r="AH249" s="18"/>
      <c r="AI249" s="18"/>
      <c r="AJ249" s="18"/>
      <c r="AK249" s="18"/>
      <c r="AL249" s="18"/>
      <c r="AM249" s="18"/>
      <c r="AN249" s="18"/>
      <c r="AO249" s="18"/>
      <c r="AP249" s="18"/>
      <c r="AQ249" s="18"/>
      <c r="AR249" s="18"/>
      <c r="AS249" s="18"/>
      <c r="AT249" s="18"/>
      <c r="AU249" s="91"/>
      <c r="AV249" s="18"/>
      <c r="AW249" s="18"/>
      <c r="AX249" s="18"/>
      <c r="AY249" s="17"/>
      <c r="AZ249" s="17"/>
      <c r="BA249" s="17"/>
      <c r="BB249" s="17"/>
      <c r="BC249" s="96"/>
      <c r="BD249" s="96"/>
      <c r="BE249" s="96"/>
      <c r="BF249" s="96"/>
      <c r="BG249" s="96"/>
      <c r="BH249" s="96"/>
      <c r="BI249" s="96"/>
    </row>
    <row r="250" spans="1:61" x14ac:dyDescent="0.45">
      <c r="A250" s="17"/>
      <c r="B250" s="17"/>
      <c r="C250" s="17"/>
      <c r="D250" s="17"/>
      <c r="E250" s="15"/>
      <c r="F250" s="17"/>
      <c r="G250" s="17"/>
      <c r="H250" s="3"/>
      <c r="I250" s="88"/>
      <c r="J250" s="88"/>
      <c r="K250" s="15"/>
      <c r="L250" s="96"/>
      <c r="M250" s="89"/>
      <c r="N250" s="88"/>
      <c r="O250" s="413"/>
      <c r="P250" s="18"/>
      <c r="Q250" s="91"/>
      <c r="R250" s="18"/>
      <c r="S250" s="18"/>
      <c r="T250" s="18"/>
      <c r="U250" s="18"/>
      <c r="V250" s="18"/>
      <c r="W250" s="18"/>
      <c r="X250" s="18"/>
      <c r="Y250" s="92"/>
      <c r="Z250" s="92"/>
      <c r="AA250" s="418"/>
      <c r="AB250" s="95"/>
      <c r="AC250" s="18"/>
      <c r="AD250" s="18"/>
      <c r="AE250" s="18"/>
      <c r="AF250" s="18"/>
      <c r="AG250" s="91"/>
      <c r="AH250" s="18"/>
      <c r="AI250" s="18"/>
      <c r="AJ250" s="18"/>
      <c r="AK250" s="18"/>
      <c r="AL250" s="18"/>
      <c r="AM250" s="18"/>
      <c r="AN250" s="18"/>
      <c r="AO250" s="18"/>
      <c r="AP250" s="18"/>
      <c r="AQ250" s="18"/>
      <c r="AR250" s="18"/>
      <c r="AS250" s="18"/>
      <c r="AT250" s="18"/>
      <c r="AU250" s="91"/>
      <c r="AV250" s="18"/>
      <c r="AW250" s="18"/>
      <c r="AX250" s="18"/>
      <c r="AY250" s="17"/>
      <c r="AZ250" s="17"/>
      <c r="BA250" s="17"/>
      <c r="BB250" s="17"/>
      <c r="BC250" s="96"/>
      <c r="BD250" s="96"/>
      <c r="BE250" s="96"/>
      <c r="BF250" s="96"/>
      <c r="BG250" s="96"/>
      <c r="BH250" s="96"/>
      <c r="BI250" s="96"/>
    </row>
    <row r="251" spans="1:61" x14ac:dyDescent="0.45">
      <c r="A251" s="17"/>
      <c r="B251" s="17"/>
      <c r="C251" s="17"/>
      <c r="D251" s="17"/>
      <c r="E251" s="15"/>
      <c r="F251" s="17"/>
      <c r="G251" s="17"/>
      <c r="H251" s="3"/>
      <c r="I251" s="88"/>
      <c r="J251" s="88"/>
      <c r="K251" s="15"/>
      <c r="L251" s="96"/>
      <c r="M251" s="89"/>
      <c r="N251" s="88"/>
      <c r="O251" s="413"/>
      <c r="P251" s="18"/>
      <c r="Q251" s="91"/>
      <c r="R251" s="18"/>
      <c r="S251" s="18"/>
      <c r="T251" s="18"/>
      <c r="U251" s="18"/>
      <c r="V251" s="18"/>
      <c r="W251" s="18"/>
      <c r="X251" s="18"/>
      <c r="Y251" s="92"/>
      <c r="Z251" s="92"/>
      <c r="AA251" s="418"/>
      <c r="AB251" s="95"/>
      <c r="AC251" s="18"/>
      <c r="AD251" s="18"/>
      <c r="AE251" s="18"/>
      <c r="AF251" s="18"/>
      <c r="AG251" s="91"/>
      <c r="AH251" s="18"/>
      <c r="AI251" s="18"/>
      <c r="AJ251" s="18"/>
      <c r="AK251" s="18"/>
      <c r="AL251" s="18"/>
      <c r="AM251" s="18"/>
      <c r="AN251" s="18"/>
      <c r="AO251" s="18"/>
      <c r="AP251" s="18"/>
      <c r="AQ251" s="18"/>
      <c r="AR251" s="18"/>
      <c r="AS251" s="18"/>
      <c r="AT251" s="18"/>
      <c r="AU251" s="91"/>
      <c r="AV251" s="18"/>
      <c r="AW251" s="18"/>
      <c r="AX251" s="18"/>
      <c r="AY251" s="17"/>
      <c r="AZ251" s="17"/>
      <c r="BA251" s="17"/>
      <c r="BB251" s="17"/>
      <c r="BC251" s="96"/>
      <c r="BD251" s="96"/>
      <c r="BE251" s="96"/>
      <c r="BF251" s="96"/>
      <c r="BG251" s="96"/>
      <c r="BH251" s="96"/>
      <c r="BI251" s="96"/>
    </row>
    <row r="252" spans="1:61" x14ac:dyDescent="0.45">
      <c r="A252" s="17"/>
      <c r="B252" s="17"/>
      <c r="C252" s="17"/>
      <c r="D252" s="17"/>
      <c r="E252" s="15"/>
      <c r="F252" s="17"/>
      <c r="G252" s="17"/>
      <c r="H252" s="3"/>
      <c r="I252" s="88"/>
      <c r="J252" s="88"/>
      <c r="K252" s="15"/>
      <c r="L252" s="96"/>
      <c r="M252" s="89"/>
      <c r="N252" s="88"/>
      <c r="O252" s="413"/>
      <c r="P252" s="18"/>
      <c r="Q252" s="91"/>
      <c r="R252" s="18"/>
      <c r="S252" s="18"/>
      <c r="T252" s="18"/>
      <c r="U252" s="18"/>
      <c r="V252" s="18"/>
      <c r="W252" s="18"/>
      <c r="X252" s="18"/>
      <c r="Y252" s="92"/>
      <c r="Z252" s="92"/>
      <c r="AA252" s="418"/>
      <c r="AB252" s="95"/>
      <c r="AC252" s="18"/>
      <c r="AD252" s="18"/>
      <c r="AE252" s="18"/>
      <c r="AF252" s="18"/>
      <c r="AG252" s="91"/>
      <c r="AH252" s="18"/>
      <c r="AI252" s="18"/>
      <c r="AJ252" s="18"/>
      <c r="AK252" s="18"/>
      <c r="AL252" s="18"/>
      <c r="AM252" s="18"/>
      <c r="AN252" s="18"/>
      <c r="AO252" s="18"/>
      <c r="AP252" s="18"/>
      <c r="AQ252" s="18"/>
      <c r="AR252" s="18"/>
      <c r="AS252" s="18"/>
      <c r="AT252" s="18"/>
      <c r="AU252" s="91"/>
      <c r="AV252" s="18"/>
      <c r="AW252" s="18"/>
      <c r="AX252" s="18"/>
      <c r="AY252" s="17"/>
      <c r="AZ252" s="17"/>
      <c r="BA252" s="17"/>
      <c r="BB252" s="17"/>
      <c r="BC252" s="96"/>
      <c r="BD252" s="96"/>
      <c r="BE252" s="96"/>
      <c r="BF252" s="96"/>
      <c r="BG252" s="96"/>
      <c r="BH252" s="96"/>
      <c r="BI252" s="96"/>
    </row>
    <row r="253" spans="1:61" x14ac:dyDescent="0.45">
      <c r="A253" s="17"/>
      <c r="B253" s="17"/>
      <c r="C253" s="17"/>
      <c r="D253" s="17"/>
      <c r="E253" s="15"/>
      <c r="F253" s="17"/>
      <c r="G253" s="17"/>
      <c r="H253" s="3"/>
      <c r="I253" s="88"/>
      <c r="J253" s="88"/>
      <c r="K253" s="15"/>
      <c r="L253" s="96"/>
      <c r="M253" s="89"/>
      <c r="N253" s="88"/>
      <c r="O253" s="413"/>
      <c r="P253" s="18"/>
      <c r="Q253" s="91"/>
      <c r="R253" s="18"/>
      <c r="S253" s="18"/>
      <c r="T253" s="18"/>
      <c r="U253" s="18"/>
      <c r="V253" s="18"/>
      <c r="W253" s="18"/>
      <c r="X253" s="18"/>
      <c r="Y253" s="92"/>
      <c r="Z253" s="92"/>
      <c r="AA253" s="418"/>
      <c r="AB253" s="95"/>
      <c r="AC253" s="18"/>
      <c r="AD253" s="18"/>
      <c r="AE253" s="18"/>
      <c r="AF253" s="18"/>
      <c r="AG253" s="91"/>
      <c r="AH253" s="18"/>
      <c r="AI253" s="18"/>
      <c r="AJ253" s="18"/>
      <c r="AK253" s="18"/>
      <c r="AL253" s="18"/>
      <c r="AM253" s="18"/>
      <c r="AN253" s="18"/>
      <c r="AO253" s="18"/>
      <c r="AP253" s="18"/>
      <c r="AQ253" s="18"/>
      <c r="AR253" s="18"/>
      <c r="AS253" s="18"/>
      <c r="AT253" s="18"/>
      <c r="AU253" s="91"/>
      <c r="AV253" s="18"/>
      <c r="AW253" s="18"/>
      <c r="AX253" s="18"/>
      <c r="AY253" s="17"/>
      <c r="AZ253" s="17"/>
      <c r="BA253" s="17"/>
      <c r="BB253" s="17"/>
      <c r="BC253" s="96"/>
      <c r="BD253" s="96"/>
      <c r="BE253" s="96"/>
      <c r="BF253" s="96"/>
      <c r="BG253" s="96"/>
      <c r="BH253" s="96"/>
      <c r="BI253" s="96"/>
    </row>
    <row r="254" spans="1:61" x14ac:dyDescent="0.45">
      <c r="A254" s="17"/>
      <c r="B254" s="17"/>
      <c r="C254" s="17"/>
      <c r="D254" s="17"/>
      <c r="E254" s="15"/>
      <c r="F254" s="17"/>
      <c r="G254" s="17"/>
      <c r="H254" s="3"/>
      <c r="I254" s="88"/>
      <c r="J254" s="88"/>
      <c r="K254" s="15"/>
      <c r="L254" s="96"/>
      <c r="M254" s="89"/>
      <c r="N254" s="88"/>
      <c r="O254" s="413"/>
      <c r="P254" s="18"/>
      <c r="Q254" s="91"/>
      <c r="R254" s="18"/>
      <c r="S254" s="18"/>
      <c r="T254" s="18"/>
      <c r="U254" s="18"/>
      <c r="V254" s="18"/>
      <c r="W254" s="18"/>
      <c r="X254" s="18"/>
      <c r="Y254" s="92"/>
      <c r="Z254" s="92"/>
      <c r="AA254" s="418"/>
      <c r="AB254" s="95"/>
      <c r="AC254" s="18"/>
      <c r="AD254" s="18"/>
      <c r="AE254" s="18"/>
      <c r="AF254" s="18"/>
      <c r="AG254" s="91"/>
      <c r="AH254" s="18"/>
      <c r="AI254" s="18"/>
      <c r="AJ254" s="18"/>
      <c r="AK254" s="18"/>
      <c r="AL254" s="18"/>
      <c r="AM254" s="18"/>
      <c r="AN254" s="18"/>
      <c r="AO254" s="18"/>
      <c r="AP254" s="18"/>
      <c r="AQ254" s="18"/>
      <c r="AR254" s="18"/>
      <c r="AS254" s="18"/>
      <c r="AT254" s="18"/>
      <c r="AU254" s="91"/>
      <c r="AV254" s="18"/>
      <c r="AW254" s="18"/>
      <c r="AX254" s="18"/>
      <c r="AY254" s="17"/>
      <c r="AZ254" s="17"/>
      <c r="BA254" s="17"/>
      <c r="BB254" s="17"/>
      <c r="BC254" s="96"/>
      <c r="BD254" s="96"/>
      <c r="BE254" s="96"/>
      <c r="BF254" s="96"/>
      <c r="BG254" s="96"/>
      <c r="BH254" s="96"/>
      <c r="BI254" s="96"/>
    </row>
    <row r="255" spans="1:61" x14ac:dyDescent="0.45">
      <c r="A255" s="17"/>
      <c r="B255" s="17"/>
      <c r="C255" s="17"/>
      <c r="D255" s="17"/>
      <c r="E255" s="15"/>
      <c r="F255" s="17"/>
      <c r="G255" s="17"/>
      <c r="H255" s="3"/>
      <c r="I255" s="88"/>
      <c r="J255" s="88"/>
      <c r="K255" s="15"/>
      <c r="L255" s="96"/>
      <c r="M255" s="89"/>
      <c r="N255" s="88"/>
      <c r="O255" s="413"/>
      <c r="P255" s="18"/>
      <c r="Q255" s="91"/>
      <c r="R255" s="18"/>
      <c r="S255" s="18"/>
      <c r="T255" s="18"/>
      <c r="U255" s="18"/>
      <c r="V255" s="18"/>
      <c r="W255" s="18"/>
      <c r="X255" s="18"/>
      <c r="Y255" s="92"/>
      <c r="Z255" s="92"/>
      <c r="AA255" s="418"/>
      <c r="AB255" s="95"/>
      <c r="AC255" s="18"/>
      <c r="AD255" s="18"/>
      <c r="AE255" s="18"/>
      <c r="AF255" s="18"/>
      <c r="AG255" s="91"/>
      <c r="AH255" s="18"/>
      <c r="AI255" s="18"/>
      <c r="AJ255" s="18"/>
      <c r="AK255" s="18"/>
      <c r="AL255" s="18"/>
      <c r="AM255" s="18"/>
      <c r="AN255" s="18"/>
      <c r="AO255" s="18"/>
      <c r="AP255" s="18"/>
      <c r="AQ255" s="18"/>
      <c r="AR255" s="18"/>
      <c r="AS255" s="18"/>
      <c r="AT255" s="18"/>
      <c r="AU255" s="91"/>
      <c r="AV255" s="18"/>
      <c r="AW255" s="18"/>
      <c r="AX255" s="18"/>
      <c r="AY255" s="17"/>
      <c r="AZ255" s="17"/>
      <c r="BA255" s="17"/>
      <c r="BB255" s="17"/>
      <c r="BC255" s="96"/>
      <c r="BD255" s="96"/>
      <c r="BE255" s="96"/>
      <c r="BF255" s="96"/>
      <c r="BG255" s="96"/>
      <c r="BH255" s="96"/>
      <c r="BI255" s="96"/>
    </row>
    <row r="256" spans="1:61" x14ac:dyDescent="0.45">
      <c r="A256" s="17"/>
      <c r="B256" s="17"/>
      <c r="C256" s="17"/>
      <c r="D256" s="17"/>
      <c r="E256" s="15"/>
      <c r="F256" s="17"/>
      <c r="G256" s="17"/>
      <c r="H256" s="3"/>
      <c r="I256" s="88"/>
      <c r="J256" s="88"/>
      <c r="K256" s="15"/>
      <c r="L256" s="96"/>
      <c r="M256" s="89"/>
      <c r="N256" s="88"/>
      <c r="O256" s="413"/>
      <c r="P256" s="18"/>
      <c r="Q256" s="91"/>
      <c r="R256" s="18"/>
      <c r="S256" s="18"/>
      <c r="T256" s="18"/>
      <c r="U256" s="18"/>
      <c r="V256" s="18"/>
      <c r="W256" s="18"/>
      <c r="X256" s="18"/>
      <c r="Y256" s="92"/>
      <c r="Z256" s="92"/>
      <c r="AA256" s="418"/>
      <c r="AB256" s="95"/>
      <c r="AC256" s="18"/>
      <c r="AD256" s="18"/>
      <c r="AE256" s="18"/>
      <c r="AF256" s="18"/>
      <c r="AG256" s="91"/>
      <c r="AH256" s="18"/>
      <c r="AI256" s="18"/>
      <c r="AJ256" s="18"/>
      <c r="AK256" s="18"/>
      <c r="AL256" s="18"/>
      <c r="AM256" s="18"/>
      <c r="AN256" s="18"/>
      <c r="AO256" s="18"/>
      <c r="AP256" s="18"/>
      <c r="AQ256" s="18"/>
      <c r="AR256" s="18"/>
      <c r="AS256" s="18"/>
      <c r="AT256" s="18"/>
      <c r="AU256" s="91"/>
      <c r="AV256" s="18"/>
      <c r="AW256" s="18"/>
      <c r="AX256" s="18"/>
      <c r="AY256" s="17"/>
      <c r="AZ256" s="17"/>
      <c r="BA256" s="17"/>
      <c r="BB256" s="17"/>
      <c r="BC256" s="96"/>
      <c r="BD256" s="96"/>
      <c r="BE256" s="96"/>
      <c r="BF256" s="96"/>
      <c r="BG256" s="96"/>
      <c r="BH256" s="96"/>
      <c r="BI256" s="96"/>
    </row>
    <row r="257" spans="1:61" x14ac:dyDescent="0.45">
      <c r="A257" s="17"/>
      <c r="B257" s="17"/>
      <c r="C257" s="17"/>
      <c r="D257" s="17"/>
      <c r="E257" s="15"/>
      <c r="F257" s="17"/>
      <c r="G257" s="17"/>
      <c r="H257" s="3"/>
      <c r="I257" s="88"/>
      <c r="J257" s="88"/>
      <c r="K257" s="15"/>
      <c r="L257" s="96"/>
      <c r="M257" s="89"/>
      <c r="N257" s="88"/>
      <c r="O257" s="413"/>
      <c r="P257" s="18"/>
      <c r="Q257" s="91"/>
      <c r="R257" s="18"/>
      <c r="S257" s="18"/>
      <c r="T257" s="18"/>
      <c r="U257" s="18"/>
      <c r="V257" s="18"/>
      <c r="W257" s="18"/>
      <c r="X257" s="18"/>
      <c r="Y257" s="92"/>
      <c r="Z257" s="92"/>
      <c r="AA257" s="418"/>
      <c r="AB257" s="95"/>
      <c r="AC257" s="18"/>
      <c r="AD257" s="18"/>
      <c r="AE257" s="18"/>
      <c r="AF257" s="18"/>
      <c r="AG257" s="91"/>
      <c r="AH257" s="18"/>
      <c r="AI257" s="18"/>
      <c r="AJ257" s="18"/>
      <c r="AK257" s="18"/>
      <c r="AL257" s="18"/>
      <c r="AM257" s="18"/>
      <c r="AN257" s="18"/>
      <c r="AO257" s="18"/>
      <c r="AP257" s="18"/>
      <c r="AQ257" s="18"/>
      <c r="AR257" s="18"/>
      <c r="AS257" s="18"/>
      <c r="AT257" s="18"/>
      <c r="AU257" s="91"/>
      <c r="AV257" s="18"/>
      <c r="AW257" s="18"/>
      <c r="AX257" s="18"/>
      <c r="AY257" s="17"/>
      <c r="AZ257" s="17"/>
      <c r="BA257" s="17"/>
      <c r="BB257" s="17"/>
      <c r="BC257" s="96"/>
      <c r="BD257" s="96"/>
      <c r="BE257" s="96"/>
      <c r="BF257" s="96"/>
      <c r="BG257" s="96"/>
      <c r="BH257" s="96"/>
      <c r="BI257" s="96"/>
    </row>
    <row r="258" spans="1:61" x14ac:dyDescent="0.45">
      <c r="A258" s="17"/>
      <c r="B258" s="17"/>
      <c r="C258" s="17"/>
      <c r="D258" s="17"/>
      <c r="E258" s="15"/>
      <c r="F258" s="17"/>
      <c r="G258" s="17"/>
      <c r="H258" s="3"/>
      <c r="I258" s="88"/>
      <c r="J258" s="88"/>
      <c r="K258" s="15"/>
      <c r="L258" s="96"/>
      <c r="M258" s="89"/>
      <c r="N258" s="88"/>
      <c r="O258" s="413"/>
      <c r="P258" s="18"/>
      <c r="Q258" s="91"/>
      <c r="R258" s="18"/>
      <c r="S258" s="18"/>
      <c r="T258" s="18"/>
      <c r="U258" s="18"/>
      <c r="V258" s="18"/>
      <c r="W258" s="18"/>
      <c r="X258" s="18"/>
      <c r="Y258" s="92"/>
      <c r="Z258" s="92"/>
      <c r="AA258" s="418"/>
      <c r="AB258" s="95"/>
      <c r="AC258" s="18"/>
      <c r="AD258" s="18"/>
      <c r="AE258" s="18"/>
      <c r="AF258" s="18"/>
      <c r="AG258" s="91"/>
      <c r="AH258" s="18"/>
      <c r="AI258" s="18"/>
      <c r="AJ258" s="18"/>
      <c r="AK258" s="18"/>
      <c r="AL258" s="18"/>
      <c r="AM258" s="18"/>
      <c r="AN258" s="18"/>
      <c r="AO258" s="18"/>
      <c r="AP258" s="18"/>
      <c r="AQ258" s="18"/>
      <c r="AR258" s="18"/>
      <c r="AS258" s="18"/>
      <c r="AT258" s="18"/>
      <c r="AU258" s="91"/>
      <c r="AV258" s="18"/>
      <c r="AW258" s="18"/>
      <c r="AX258" s="18"/>
      <c r="AY258" s="17"/>
      <c r="AZ258" s="17"/>
      <c r="BA258" s="17"/>
      <c r="BB258" s="17"/>
      <c r="BC258" s="96"/>
      <c r="BD258" s="96"/>
      <c r="BE258" s="96"/>
      <c r="BF258" s="96"/>
      <c r="BG258" s="96"/>
      <c r="BH258" s="96"/>
      <c r="BI258" s="96"/>
    </row>
    <row r="259" spans="1:61" x14ac:dyDescent="0.45">
      <c r="A259" s="17"/>
      <c r="B259" s="17"/>
      <c r="C259" s="17"/>
      <c r="D259" s="17"/>
      <c r="E259" s="15"/>
      <c r="F259" s="17"/>
      <c r="G259" s="17"/>
      <c r="H259" s="3"/>
      <c r="I259" s="88"/>
      <c r="J259" s="88"/>
      <c r="K259" s="15"/>
      <c r="L259" s="96"/>
      <c r="M259" s="89"/>
      <c r="N259" s="88"/>
      <c r="O259" s="413"/>
      <c r="P259" s="18"/>
      <c r="Q259" s="91"/>
      <c r="R259" s="18"/>
      <c r="S259" s="18"/>
      <c r="T259" s="18"/>
      <c r="U259" s="18"/>
      <c r="V259" s="18"/>
      <c r="W259" s="18"/>
      <c r="X259" s="18"/>
      <c r="Y259" s="92"/>
      <c r="Z259" s="92"/>
      <c r="AA259" s="418"/>
      <c r="AB259" s="95"/>
      <c r="AC259" s="18"/>
      <c r="AD259" s="18"/>
      <c r="AE259" s="18"/>
      <c r="AF259" s="18"/>
      <c r="AG259" s="91"/>
      <c r="AH259" s="18"/>
      <c r="AI259" s="18"/>
      <c r="AJ259" s="18"/>
      <c r="AK259" s="18"/>
      <c r="AL259" s="18"/>
      <c r="AM259" s="18"/>
      <c r="AN259" s="18"/>
      <c r="AO259" s="18"/>
      <c r="AP259" s="18"/>
      <c r="AQ259" s="18"/>
      <c r="AR259" s="18"/>
      <c r="AS259" s="18"/>
      <c r="AT259" s="18"/>
      <c r="AU259" s="91"/>
      <c r="AV259" s="18"/>
      <c r="AW259" s="18"/>
      <c r="AX259" s="18"/>
      <c r="AY259" s="17"/>
      <c r="AZ259" s="17"/>
      <c r="BA259" s="17"/>
      <c r="BB259" s="17"/>
      <c r="BC259" s="96"/>
      <c r="BD259" s="96"/>
      <c r="BE259" s="96"/>
      <c r="BF259" s="96"/>
      <c r="BG259" s="96"/>
      <c r="BH259" s="96"/>
      <c r="BI259" s="96"/>
    </row>
    <row r="260" spans="1:61" x14ac:dyDescent="0.45">
      <c r="A260" s="17"/>
      <c r="B260" s="17"/>
      <c r="C260" s="17"/>
      <c r="D260" s="17"/>
      <c r="E260" s="15"/>
      <c r="F260" s="17"/>
      <c r="G260" s="17"/>
      <c r="H260" s="3"/>
      <c r="I260" s="88"/>
      <c r="J260" s="88"/>
      <c r="K260" s="15"/>
      <c r="L260" s="96"/>
      <c r="M260" s="89"/>
      <c r="N260" s="88"/>
      <c r="O260" s="413"/>
      <c r="P260" s="18"/>
      <c r="Q260" s="91"/>
      <c r="R260" s="18"/>
      <c r="S260" s="18"/>
      <c r="T260" s="18"/>
      <c r="U260" s="18"/>
      <c r="V260" s="18"/>
      <c r="W260" s="18"/>
      <c r="X260" s="18"/>
      <c r="Y260" s="92"/>
      <c r="Z260" s="92"/>
      <c r="AA260" s="418"/>
      <c r="AB260" s="95"/>
      <c r="AC260" s="18"/>
      <c r="AD260" s="18"/>
      <c r="AE260" s="18"/>
      <c r="AF260" s="18"/>
      <c r="AG260" s="91"/>
      <c r="AH260" s="18"/>
      <c r="AI260" s="18"/>
      <c r="AJ260" s="18"/>
      <c r="AK260" s="18"/>
      <c r="AL260" s="18"/>
      <c r="AM260" s="18"/>
      <c r="AN260" s="18"/>
      <c r="AO260" s="18"/>
      <c r="AP260" s="18"/>
      <c r="AQ260" s="18"/>
      <c r="AR260" s="18"/>
      <c r="AS260" s="18"/>
      <c r="AT260" s="18"/>
      <c r="AU260" s="91"/>
      <c r="AV260" s="18"/>
      <c r="AW260" s="18"/>
      <c r="AX260" s="18"/>
      <c r="AY260" s="17"/>
      <c r="AZ260" s="17"/>
      <c r="BA260" s="17"/>
      <c r="BB260" s="17"/>
      <c r="BC260" s="96"/>
      <c r="BD260" s="96"/>
      <c r="BE260" s="96"/>
      <c r="BF260" s="96"/>
      <c r="BG260" s="96"/>
      <c r="BH260" s="96"/>
      <c r="BI260" s="96"/>
    </row>
    <row r="261" spans="1:61" x14ac:dyDescent="0.45">
      <c r="A261" s="17"/>
      <c r="B261" s="17"/>
      <c r="C261" s="17"/>
      <c r="D261" s="17"/>
      <c r="E261" s="15"/>
      <c r="F261" s="17"/>
      <c r="G261" s="17"/>
      <c r="H261" s="3"/>
      <c r="I261" s="88"/>
      <c r="J261" s="88"/>
      <c r="K261" s="15"/>
      <c r="L261" s="96"/>
      <c r="M261" s="89"/>
      <c r="N261" s="88"/>
      <c r="O261" s="413"/>
      <c r="P261" s="18"/>
      <c r="Q261" s="91"/>
      <c r="R261" s="18"/>
      <c r="S261" s="18"/>
      <c r="T261" s="18"/>
      <c r="U261" s="18"/>
      <c r="V261" s="18"/>
      <c r="W261" s="18"/>
      <c r="X261" s="18"/>
      <c r="Y261" s="92"/>
      <c r="Z261" s="92"/>
      <c r="AA261" s="418"/>
      <c r="AB261" s="95"/>
      <c r="AC261" s="18"/>
      <c r="AD261" s="18"/>
      <c r="AE261" s="18"/>
      <c r="AF261" s="18"/>
      <c r="AG261" s="91"/>
      <c r="AH261" s="18"/>
      <c r="AI261" s="18"/>
      <c r="AJ261" s="18"/>
      <c r="AK261" s="18"/>
      <c r="AL261" s="18"/>
      <c r="AM261" s="18"/>
      <c r="AN261" s="18"/>
      <c r="AO261" s="18"/>
      <c r="AP261" s="18"/>
      <c r="AQ261" s="18"/>
      <c r="AR261" s="18"/>
      <c r="AS261" s="18"/>
      <c r="AT261" s="18"/>
      <c r="AU261" s="91"/>
      <c r="AV261" s="18"/>
      <c r="AW261" s="18"/>
      <c r="AX261" s="18"/>
      <c r="AY261" s="17"/>
      <c r="AZ261" s="17"/>
      <c r="BA261" s="17"/>
      <c r="BB261" s="17"/>
      <c r="BC261" s="96"/>
      <c r="BD261" s="96"/>
      <c r="BE261" s="96"/>
      <c r="BF261" s="96"/>
      <c r="BG261" s="96"/>
      <c r="BH261" s="96"/>
      <c r="BI261" s="96"/>
    </row>
    <row r="262" spans="1:61" x14ac:dyDescent="0.45">
      <c r="A262" s="17"/>
      <c r="B262" s="17"/>
      <c r="C262" s="17"/>
      <c r="D262" s="17"/>
      <c r="E262" s="15"/>
      <c r="F262" s="17"/>
      <c r="G262" s="17"/>
      <c r="H262" s="3"/>
      <c r="I262" s="88"/>
      <c r="J262" s="88"/>
      <c r="K262" s="15"/>
      <c r="L262" s="96"/>
      <c r="M262" s="89"/>
      <c r="N262" s="88"/>
      <c r="O262" s="413"/>
      <c r="P262" s="18"/>
      <c r="Q262" s="91"/>
      <c r="R262" s="18"/>
      <c r="S262" s="18"/>
      <c r="T262" s="18"/>
      <c r="U262" s="18"/>
      <c r="V262" s="18"/>
      <c r="W262" s="18"/>
      <c r="X262" s="18"/>
      <c r="Y262" s="92"/>
      <c r="Z262" s="92"/>
      <c r="AA262" s="418"/>
      <c r="AB262" s="95"/>
      <c r="AC262" s="18"/>
      <c r="AD262" s="18"/>
      <c r="AE262" s="18"/>
      <c r="AF262" s="18"/>
      <c r="AG262" s="91"/>
      <c r="AH262" s="18"/>
      <c r="AI262" s="18"/>
      <c r="AJ262" s="18"/>
      <c r="AK262" s="18"/>
      <c r="AL262" s="18"/>
      <c r="AM262" s="18"/>
      <c r="AN262" s="18"/>
      <c r="AO262" s="18"/>
      <c r="AP262" s="18"/>
      <c r="AQ262" s="18"/>
      <c r="AR262" s="18"/>
      <c r="AS262" s="18"/>
      <c r="AT262" s="18"/>
      <c r="AU262" s="91"/>
      <c r="AV262" s="18"/>
      <c r="AW262" s="18"/>
      <c r="AX262" s="18"/>
      <c r="AY262" s="17"/>
      <c r="AZ262" s="17"/>
      <c r="BA262" s="17"/>
      <c r="BB262" s="17"/>
      <c r="BC262" s="96"/>
      <c r="BD262" s="96"/>
      <c r="BE262" s="96"/>
      <c r="BF262" s="96"/>
      <c r="BG262" s="96"/>
      <c r="BH262" s="96"/>
      <c r="BI262" s="96"/>
    </row>
    <row r="263" spans="1:61" x14ac:dyDescent="0.45">
      <c r="A263" s="17"/>
      <c r="B263" s="17"/>
      <c r="C263" s="17"/>
      <c r="D263" s="17"/>
      <c r="E263" s="15"/>
      <c r="F263" s="17"/>
      <c r="G263" s="17"/>
      <c r="H263" s="3"/>
      <c r="I263" s="88"/>
      <c r="J263" s="88"/>
      <c r="K263" s="15"/>
      <c r="L263" s="96"/>
      <c r="M263" s="89"/>
      <c r="N263" s="88"/>
      <c r="O263" s="413"/>
      <c r="P263" s="18"/>
      <c r="Q263" s="91"/>
      <c r="R263" s="18"/>
      <c r="S263" s="18"/>
      <c r="T263" s="18"/>
      <c r="U263" s="18"/>
      <c r="V263" s="18"/>
      <c r="W263" s="18"/>
      <c r="X263" s="18"/>
      <c r="Y263" s="92"/>
      <c r="Z263" s="92"/>
      <c r="AA263" s="418"/>
      <c r="AB263" s="95"/>
      <c r="AC263" s="18"/>
      <c r="AD263" s="18"/>
      <c r="AE263" s="18"/>
      <c r="AF263" s="18"/>
      <c r="AG263" s="91"/>
      <c r="AH263" s="18"/>
      <c r="AI263" s="18"/>
      <c r="AJ263" s="18"/>
      <c r="AK263" s="18"/>
      <c r="AL263" s="18"/>
      <c r="AM263" s="18"/>
      <c r="AN263" s="18"/>
      <c r="AO263" s="18"/>
      <c r="AP263" s="18"/>
      <c r="AQ263" s="18"/>
      <c r="AR263" s="18"/>
      <c r="AS263" s="18"/>
      <c r="AT263" s="18"/>
      <c r="AU263" s="91"/>
      <c r="AV263" s="18"/>
      <c r="AW263" s="18"/>
      <c r="AX263" s="18"/>
      <c r="AY263" s="17"/>
      <c r="AZ263" s="17"/>
      <c r="BA263" s="17"/>
      <c r="BB263" s="17"/>
      <c r="BC263" s="96"/>
      <c r="BD263" s="96"/>
      <c r="BE263" s="96"/>
      <c r="BF263" s="96"/>
      <c r="BG263" s="96"/>
      <c r="BH263" s="96"/>
      <c r="BI263" s="96"/>
    </row>
    <row r="264" spans="1:61" x14ac:dyDescent="0.45">
      <c r="A264" s="17"/>
      <c r="B264" s="17"/>
      <c r="C264" s="17"/>
      <c r="D264" s="17"/>
      <c r="E264" s="15"/>
      <c r="F264" s="17"/>
      <c r="G264" s="17"/>
      <c r="H264" s="3"/>
      <c r="I264" s="88"/>
      <c r="J264" s="88"/>
      <c r="K264" s="15"/>
      <c r="L264" s="96"/>
      <c r="M264" s="89"/>
      <c r="N264" s="88"/>
      <c r="O264" s="413"/>
      <c r="P264" s="18"/>
      <c r="Q264" s="91"/>
      <c r="R264" s="18"/>
      <c r="S264" s="18"/>
      <c r="T264" s="18"/>
      <c r="U264" s="18"/>
      <c r="V264" s="18"/>
      <c r="W264" s="18"/>
      <c r="X264" s="18"/>
      <c r="Y264" s="92"/>
      <c r="Z264" s="92"/>
      <c r="AA264" s="418"/>
      <c r="AB264" s="95"/>
      <c r="AC264" s="18"/>
      <c r="AD264" s="18"/>
      <c r="AE264" s="18"/>
      <c r="AF264" s="18"/>
      <c r="AG264" s="91"/>
      <c r="AH264" s="18"/>
      <c r="AI264" s="18"/>
      <c r="AJ264" s="18"/>
      <c r="AK264" s="18"/>
      <c r="AL264" s="18"/>
      <c r="AM264" s="18"/>
      <c r="AN264" s="18"/>
      <c r="AO264" s="18"/>
      <c r="AP264" s="18"/>
      <c r="AQ264" s="18"/>
      <c r="AR264" s="18"/>
      <c r="AS264" s="18"/>
      <c r="AT264" s="18"/>
      <c r="AU264" s="91"/>
      <c r="AV264" s="18"/>
      <c r="AW264" s="18"/>
      <c r="AX264" s="18"/>
      <c r="AY264" s="17"/>
      <c r="AZ264" s="17"/>
      <c r="BA264" s="17"/>
      <c r="BB264" s="17"/>
      <c r="BC264" s="96"/>
      <c r="BD264" s="96"/>
      <c r="BE264" s="96"/>
      <c r="BF264" s="96"/>
      <c r="BG264" s="96"/>
      <c r="BH264" s="96"/>
      <c r="BI264" s="96"/>
    </row>
    <row r="265" spans="1:61" x14ac:dyDescent="0.45">
      <c r="A265" s="17"/>
      <c r="B265" s="17"/>
      <c r="C265" s="17"/>
      <c r="D265" s="17"/>
      <c r="E265" s="15"/>
      <c r="F265" s="17"/>
      <c r="G265" s="17"/>
      <c r="H265" s="3"/>
      <c r="I265" s="88"/>
      <c r="J265" s="88"/>
      <c r="K265" s="15"/>
      <c r="L265" s="96"/>
      <c r="M265" s="89"/>
      <c r="N265" s="88"/>
      <c r="O265" s="413"/>
      <c r="P265" s="18"/>
      <c r="Q265" s="91"/>
      <c r="R265" s="18"/>
      <c r="S265" s="18"/>
      <c r="T265" s="18"/>
      <c r="U265" s="18"/>
      <c r="V265" s="18"/>
      <c r="W265" s="18"/>
      <c r="X265" s="18"/>
      <c r="Y265" s="92"/>
      <c r="Z265" s="92"/>
      <c r="AA265" s="418"/>
      <c r="AB265" s="95"/>
      <c r="AC265" s="18"/>
      <c r="AD265" s="18"/>
      <c r="AE265" s="18"/>
      <c r="AF265" s="18"/>
      <c r="AG265" s="91"/>
      <c r="AH265" s="18"/>
      <c r="AI265" s="18"/>
      <c r="AJ265" s="18"/>
      <c r="AK265" s="18"/>
      <c r="AL265" s="18"/>
      <c r="AM265" s="18"/>
      <c r="AN265" s="18"/>
      <c r="AO265" s="18"/>
      <c r="AP265" s="18"/>
      <c r="AQ265" s="18"/>
      <c r="AR265" s="18"/>
      <c r="AS265" s="18"/>
      <c r="AT265" s="18"/>
      <c r="AU265" s="91"/>
      <c r="AV265" s="18"/>
      <c r="AW265" s="18"/>
      <c r="AX265" s="18"/>
      <c r="AY265" s="17"/>
      <c r="AZ265" s="17"/>
      <c r="BA265" s="17"/>
      <c r="BB265" s="17"/>
      <c r="BC265" s="96"/>
      <c r="BD265" s="96"/>
      <c r="BE265" s="96"/>
      <c r="BF265" s="96"/>
      <c r="BG265" s="96"/>
      <c r="BH265" s="96"/>
      <c r="BI265" s="96"/>
    </row>
    <row r="266" spans="1:61" x14ac:dyDescent="0.45">
      <c r="A266" s="17"/>
      <c r="B266" s="17"/>
      <c r="C266" s="17"/>
      <c r="D266" s="17"/>
      <c r="E266" s="15"/>
      <c r="F266" s="17"/>
      <c r="G266" s="17"/>
      <c r="H266" s="3"/>
      <c r="I266" s="88"/>
      <c r="J266" s="88"/>
      <c r="K266" s="15"/>
      <c r="L266" s="96"/>
      <c r="M266" s="89"/>
      <c r="N266" s="88"/>
      <c r="O266" s="413"/>
      <c r="P266" s="18"/>
      <c r="Q266" s="91"/>
      <c r="R266" s="18"/>
      <c r="S266" s="18"/>
      <c r="T266" s="18"/>
      <c r="U266" s="18"/>
      <c r="V266" s="18"/>
      <c r="W266" s="18"/>
      <c r="X266" s="18"/>
      <c r="Y266" s="92"/>
      <c r="Z266" s="92"/>
      <c r="AA266" s="418"/>
      <c r="AB266" s="95"/>
      <c r="AC266" s="18"/>
      <c r="AD266" s="18"/>
      <c r="AE266" s="18"/>
      <c r="AF266" s="18"/>
      <c r="AG266" s="91"/>
      <c r="AH266" s="18"/>
      <c r="AI266" s="18"/>
      <c r="AJ266" s="18"/>
      <c r="AK266" s="18"/>
      <c r="AL266" s="18"/>
      <c r="AM266" s="18"/>
      <c r="AN266" s="18"/>
      <c r="AO266" s="18"/>
      <c r="AP266" s="18"/>
      <c r="AQ266" s="18"/>
      <c r="AR266" s="18"/>
      <c r="AS266" s="18"/>
      <c r="AT266" s="18"/>
      <c r="AU266" s="91"/>
      <c r="AV266" s="18"/>
      <c r="AW266" s="18"/>
      <c r="AX266" s="18"/>
      <c r="AY266" s="17"/>
      <c r="AZ266" s="17"/>
      <c r="BA266" s="17"/>
      <c r="BB266" s="17"/>
      <c r="BC266" s="96"/>
      <c r="BD266" s="96"/>
      <c r="BE266" s="96"/>
      <c r="BF266" s="96"/>
      <c r="BG266" s="96"/>
      <c r="BH266" s="96"/>
      <c r="BI266" s="96"/>
    </row>
    <row r="267" spans="1:61" x14ac:dyDescent="0.45">
      <c r="A267" s="17"/>
      <c r="B267" s="17"/>
      <c r="C267" s="17"/>
      <c r="D267" s="17"/>
      <c r="E267" s="15"/>
      <c r="F267" s="17"/>
      <c r="G267" s="17"/>
      <c r="H267" s="3"/>
      <c r="I267" s="88"/>
      <c r="J267" s="88"/>
      <c r="K267" s="15"/>
      <c r="L267" s="96"/>
      <c r="M267" s="89"/>
      <c r="N267" s="88"/>
      <c r="O267" s="413"/>
      <c r="P267" s="18"/>
      <c r="Q267" s="91"/>
      <c r="R267" s="18"/>
      <c r="S267" s="18"/>
      <c r="T267" s="18"/>
      <c r="U267" s="18"/>
      <c r="V267" s="18"/>
      <c r="W267" s="18"/>
      <c r="X267" s="18"/>
      <c r="Y267" s="92"/>
      <c r="Z267" s="92"/>
      <c r="AA267" s="418"/>
      <c r="AB267" s="95"/>
      <c r="AC267" s="18"/>
      <c r="AD267" s="18"/>
      <c r="AE267" s="18"/>
      <c r="AF267" s="18"/>
      <c r="AG267" s="91"/>
      <c r="AH267" s="18"/>
      <c r="AI267" s="18"/>
      <c r="AJ267" s="18"/>
      <c r="AK267" s="18"/>
      <c r="AL267" s="18"/>
      <c r="AM267" s="18"/>
      <c r="AN267" s="18"/>
      <c r="AO267" s="18"/>
      <c r="AP267" s="18"/>
      <c r="AQ267" s="18"/>
      <c r="AR267" s="18"/>
      <c r="AS267" s="18"/>
      <c r="AT267" s="18"/>
      <c r="AU267" s="91"/>
      <c r="AV267" s="18"/>
      <c r="AW267" s="18"/>
      <c r="AX267" s="18"/>
      <c r="AY267" s="17"/>
      <c r="AZ267" s="17"/>
      <c r="BA267" s="17"/>
      <c r="BB267" s="17"/>
      <c r="BC267" s="96"/>
      <c r="BD267" s="96"/>
      <c r="BE267" s="96"/>
      <c r="BF267" s="96"/>
      <c r="BG267" s="96"/>
      <c r="BH267" s="96"/>
      <c r="BI267" s="96"/>
    </row>
    <row r="268" spans="1:61" x14ac:dyDescent="0.45">
      <c r="A268" s="17"/>
      <c r="B268" s="17"/>
      <c r="C268" s="17"/>
      <c r="D268" s="17"/>
      <c r="E268" s="15"/>
      <c r="F268" s="17"/>
      <c r="G268" s="17"/>
      <c r="H268" s="3"/>
      <c r="I268" s="88"/>
      <c r="J268" s="88"/>
      <c r="K268" s="15"/>
      <c r="L268" s="96"/>
      <c r="M268" s="89"/>
      <c r="N268" s="88"/>
      <c r="O268" s="413"/>
      <c r="P268" s="18"/>
      <c r="Q268" s="91"/>
      <c r="R268" s="18"/>
      <c r="S268" s="18"/>
      <c r="T268" s="18"/>
      <c r="U268" s="18"/>
      <c r="V268" s="18"/>
      <c r="W268" s="18"/>
      <c r="X268" s="18"/>
      <c r="Y268" s="92"/>
      <c r="Z268" s="92"/>
      <c r="AA268" s="418"/>
      <c r="AB268" s="95"/>
      <c r="AC268" s="18"/>
      <c r="AD268" s="18"/>
      <c r="AE268" s="18"/>
      <c r="AF268" s="18"/>
      <c r="AG268" s="91"/>
      <c r="AH268" s="18"/>
      <c r="AI268" s="18"/>
      <c r="AJ268" s="18"/>
      <c r="AK268" s="18"/>
      <c r="AL268" s="18"/>
      <c r="AM268" s="18"/>
      <c r="AN268" s="18"/>
      <c r="AO268" s="18"/>
      <c r="AP268" s="18"/>
      <c r="AQ268" s="18"/>
      <c r="AR268" s="18"/>
      <c r="AS268" s="18"/>
      <c r="AT268" s="18"/>
      <c r="AU268" s="91"/>
      <c r="AV268" s="18"/>
      <c r="AW268" s="18"/>
      <c r="AX268" s="18"/>
      <c r="AY268" s="17"/>
      <c r="AZ268" s="17"/>
      <c r="BA268" s="17"/>
      <c r="BB268" s="17"/>
      <c r="BC268" s="96"/>
      <c r="BD268" s="96"/>
      <c r="BE268" s="96"/>
      <c r="BF268" s="96"/>
      <c r="BG268" s="96"/>
      <c r="BH268" s="96"/>
      <c r="BI268" s="96"/>
    </row>
    <row r="269" spans="1:61" x14ac:dyDescent="0.45">
      <c r="A269" s="17"/>
      <c r="B269" s="17"/>
      <c r="C269" s="17"/>
      <c r="D269" s="17"/>
      <c r="E269" s="15"/>
      <c r="F269" s="17"/>
      <c r="G269" s="17"/>
      <c r="H269" s="3"/>
      <c r="I269" s="88"/>
      <c r="J269" s="88"/>
      <c r="K269" s="15"/>
      <c r="L269" s="96"/>
      <c r="M269" s="89"/>
      <c r="N269" s="88"/>
      <c r="O269" s="413"/>
      <c r="P269" s="18"/>
      <c r="Q269" s="91"/>
      <c r="R269" s="18"/>
      <c r="S269" s="18"/>
      <c r="T269" s="18"/>
      <c r="U269" s="18"/>
      <c r="V269" s="18"/>
      <c r="W269" s="18"/>
      <c r="X269" s="18"/>
      <c r="Y269" s="92"/>
      <c r="Z269" s="92"/>
      <c r="AA269" s="418"/>
      <c r="AB269" s="95"/>
      <c r="AC269" s="18"/>
      <c r="AD269" s="18"/>
      <c r="AE269" s="18"/>
      <c r="AF269" s="18"/>
      <c r="AG269" s="91"/>
      <c r="AH269" s="18"/>
      <c r="AI269" s="18"/>
      <c r="AJ269" s="18"/>
      <c r="AK269" s="18"/>
      <c r="AL269" s="18"/>
      <c r="AM269" s="18"/>
      <c r="AN269" s="18"/>
      <c r="AO269" s="18"/>
      <c r="AP269" s="18"/>
      <c r="AQ269" s="18"/>
      <c r="AR269" s="18"/>
      <c r="AS269" s="18"/>
      <c r="AT269" s="18"/>
      <c r="AU269" s="91"/>
      <c r="AV269" s="18"/>
      <c r="AW269" s="18"/>
      <c r="AX269" s="18"/>
      <c r="AY269" s="17"/>
      <c r="AZ269" s="17"/>
      <c r="BA269" s="17"/>
      <c r="BB269" s="17"/>
      <c r="BC269" s="96"/>
      <c r="BD269" s="96"/>
      <c r="BE269" s="96"/>
      <c r="BF269" s="96"/>
      <c r="BG269" s="96"/>
      <c r="BH269" s="96"/>
      <c r="BI269" s="96"/>
    </row>
    <row r="270" spans="1:61" x14ac:dyDescent="0.45">
      <c r="A270" s="17"/>
      <c r="B270" s="17"/>
      <c r="C270" s="17"/>
      <c r="D270" s="17"/>
      <c r="E270" s="15"/>
      <c r="F270" s="17"/>
      <c r="G270" s="17"/>
      <c r="H270" s="3"/>
      <c r="I270" s="88"/>
      <c r="J270" s="88"/>
      <c r="K270" s="15"/>
      <c r="L270" s="96"/>
      <c r="M270" s="89"/>
      <c r="N270" s="88"/>
      <c r="O270" s="413"/>
      <c r="P270" s="18"/>
      <c r="Q270" s="91"/>
      <c r="R270" s="18"/>
      <c r="S270" s="18"/>
      <c r="T270" s="18"/>
      <c r="U270" s="18"/>
      <c r="V270" s="18"/>
      <c r="W270" s="18"/>
      <c r="X270" s="18"/>
      <c r="Y270" s="92"/>
      <c r="Z270" s="92"/>
      <c r="AA270" s="418"/>
      <c r="AB270" s="95"/>
      <c r="AC270" s="18"/>
      <c r="AD270" s="18"/>
      <c r="AE270" s="18"/>
      <c r="AF270" s="18"/>
      <c r="AG270" s="91"/>
      <c r="AH270" s="18"/>
      <c r="AI270" s="18"/>
      <c r="AJ270" s="18"/>
      <c r="AK270" s="18"/>
      <c r="AL270" s="18"/>
      <c r="AM270" s="18"/>
      <c r="AN270" s="18"/>
      <c r="AO270" s="18"/>
      <c r="AP270" s="18"/>
      <c r="AQ270" s="18"/>
      <c r="AR270" s="18"/>
      <c r="AS270" s="18"/>
      <c r="AT270" s="18"/>
      <c r="AU270" s="91"/>
      <c r="AV270" s="18"/>
      <c r="AW270" s="18"/>
      <c r="AX270" s="18"/>
      <c r="AY270" s="17"/>
      <c r="AZ270" s="17"/>
      <c r="BA270" s="17"/>
      <c r="BB270" s="17"/>
      <c r="BC270" s="96"/>
      <c r="BD270" s="96"/>
      <c r="BE270" s="96"/>
      <c r="BF270" s="96"/>
      <c r="BG270" s="96"/>
      <c r="BH270" s="96"/>
      <c r="BI270" s="96"/>
    </row>
    <row r="271" spans="1:61" x14ac:dyDescent="0.45">
      <c r="A271" s="17"/>
      <c r="B271" s="17"/>
      <c r="C271" s="17"/>
      <c r="D271" s="17"/>
      <c r="E271" s="15"/>
      <c r="F271" s="17"/>
      <c r="G271" s="17"/>
      <c r="H271" s="3"/>
      <c r="I271" s="88"/>
      <c r="J271" s="88"/>
      <c r="K271" s="15"/>
      <c r="L271" s="96"/>
      <c r="M271" s="89"/>
      <c r="N271" s="88"/>
      <c r="O271" s="413"/>
      <c r="P271" s="18"/>
      <c r="Q271" s="91"/>
      <c r="R271" s="18"/>
      <c r="S271" s="18"/>
      <c r="T271" s="18"/>
      <c r="U271" s="18"/>
      <c r="V271" s="18"/>
      <c r="W271" s="18"/>
      <c r="X271" s="18"/>
      <c r="Y271" s="92"/>
      <c r="Z271" s="92"/>
      <c r="AA271" s="418"/>
      <c r="AB271" s="95"/>
      <c r="AC271" s="18"/>
      <c r="AD271" s="18"/>
      <c r="AE271" s="18"/>
      <c r="AF271" s="18"/>
      <c r="AG271" s="91"/>
      <c r="AH271" s="18"/>
      <c r="AI271" s="18"/>
      <c r="AJ271" s="18"/>
      <c r="AK271" s="18"/>
      <c r="AL271" s="18"/>
      <c r="AM271" s="18"/>
      <c r="AN271" s="18"/>
      <c r="AO271" s="18"/>
      <c r="AP271" s="18"/>
      <c r="AQ271" s="18"/>
      <c r="AR271" s="18"/>
      <c r="AS271" s="18"/>
      <c r="AT271" s="18"/>
      <c r="AU271" s="91"/>
      <c r="AV271" s="18"/>
      <c r="AW271" s="18"/>
      <c r="AX271" s="18"/>
      <c r="AY271" s="17"/>
      <c r="AZ271" s="17"/>
      <c r="BA271" s="17"/>
      <c r="BB271" s="17"/>
      <c r="BC271" s="96"/>
      <c r="BD271" s="96"/>
      <c r="BE271" s="96"/>
      <c r="BF271" s="96"/>
      <c r="BG271" s="96"/>
      <c r="BH271" s="96"/>
      <c r="BI271" s="96"/>
    </row>
    <row r="272" spans="1:61" x14ac:dyDescent="0.45">
      <c r="A272" s="17"/>
      <c r="B272" s="17"/>
      <c r="C272" s="17"/>
      <c r="D272" s="17"/>
      <c r="E272" s="15"/>
      <c r="F272" s="17"/>
      <c r="G272" s="17"/>
      <c r="H272" s="3"/>
      <c r="I272" s="88"/>
      <c r="J272" s="88"/>
      <c r="K272" s="15"/>
      <c r="L272" s="96"/>
      <c r="M272" s="89"/>
      <c r="N272" s="88"/>
      <c r="O272" s="413"/>
      <c r="P272" s="18"/>
      <c r="Q272" s="91"/>
      <c r="R272" s="18"/>
      <c r="S272" s="18"/>
      <c r="T272" s="18"/>
      <c r="U272" s="18"/>
      <c r="V272" s="18"/>
      <c r="W272" s="18"/>
      <c r="X272" s="18"/>
      <c r="Y272" s="92"/>
      <c r="Z272" s="92"/>
      <c r="AA272" s="418"/>
      <c r="AB272" s="95"/>
      <c r="AC272" s="18"/>
      <c r="AD272" s="18"/>
      <c r="AE272" s="18"/>
      <c r="AF272" s="18"/>
      <c r="AG272" s="91"/>
      <c r="AH272" s="18"/>
      <c r="AI272" s="18"/>
      <c r="AJ272" s="18"/>
      <c r="AK272" s="18"/>
      <c r="AL272" s="18"/>
      <c r="AM272" s="18"/>
      <c r="AN272" s="18"/>
      <c r="AO272" s="18"/>
      <c r="AP272" s="18"/>
      <c r="AQ272" s="18"/>
      <c r="AR272" s="18"/>
      <c r="AS272" s="18"/>
      <c r="AT272" s="18"/>
      <c r="AU272" s="91"/>
      <c r="AV272" s="18"/>
      <c r="AW272" s="18"/>
      <c r="AX272" s="18"/>
      <c r="AY272" s="17"/>
      <c r="AZ272" s="17"/>
      <c r="BA272" s="17"/>
      <c r="BB272" s="17"/>
      <c r="BC272" s="96"/>
      <c r="BD272" s="96"/>
      <c r="BE272" s="96"/>
      <c r="BF272" s="96"/>
      <c r="BG272" s="96"/>
      <c r="BH272" s="96"/>
      <c r="BI272" s="96"/>
    </row>
    <row r="273" spans="1:61" x14ac:dyDescent="0.45">
      <c r="A273" s="17"/>
      <c r="B273" s="17"/>
      <c r="C273" s="17"/>
      <c r="D273" s="17"/>
      <c r="E273" s="15"/>
      <c r="F273" s="17"/>
      <c r="G273" s="17"/>
      <c r="H273" s="3"/>
      <c r="I273" s="88"/>
      <c r="J273" s="88"/>
      <c r="K273" s="15"/>
      <c r="L273" s="96"/>
      <c r="M273" s="89"/>
      <c r="N273" s="88"/>
      <c r="O273" s="413"/>
      <c r="P273" s="18"/>
      <c r="Q273" s="91"/>
      <c r="R273" s="18"/>
      <c r="S273" s="18"/>
      <c r="T273" s="18"/>
      <c r="U273" s="18"/>
      <c r="V273" s="18"/>
      <c r="W273" s="18"/>
      <c r="X273" s="18"/>
      <c r="Y273" s="92"/>
      <c r="Z273" s="92"/>
      <c r="AA273" s="418"/>
      <c r="AB273" s="95"/>
      <c r="AC273" s="18"/>
      <c r="AD273" s="18"/>
      <c r="AE273" s="18"/>
      <c r="AF273" s="18"/>
      <c r="AG273" s="91"/>
      <c r="AH273" s="18"/>
      <c r="AI273" s="18"/>
      <c r="AJ273" s="18"/>
      <c r="AK273" s="18"/>
      <c r="AL273" s="18"/>
      <c r="AM273" s="18"/>
      <c r="AN273" s="18"/>
      <c r="AO273" s="18"/>
      <c r="AP273" s="18"/>
      <c r="AQ273" s="18"/>
      <c r="AR273" s="18"/>
      <c r="AS273" s="18"/>
      <c r="AT273" s="18"/>
      <c r="AU273" s="91"/>
      <c r="AV273" s="18"/>
      <c r="AW273" s="18"/>
      <c r="AX273" s="18"/>
      <c r="AY273" s="17"/>
      <c r="AZ273" s="17"/>
      <c r="BA273" s="17"/>
      <c r="BB273" s="17"/>
      <c r="BC273" s="96"/>
      <c r="BD273" s="96"/>
      <c r="BE273" s="96"/>
      <c r="BF273" s="96"/>
      <c r="BG273" s="96"/>
      <c r="BH273" s="96"/>
      <c r="BI273" s="96"/>
    </row>
    <row r="274" spans="1:61" x14ac:dyDescent="0.45">
      <c r="A274" s="17"/>
      <c r="B274" s="17"/>
      <c r="C274" s="17"/>
      <c r="D274" s="17"/>
      <c r="E274" s="15"/>
      <c r="F274" s="17"/>
      <c r="G274" s="17"/>
      <c r="H274" s="3"/>
      <c r="I274" s="88"/>
      <c r="J274" s="88"/>
      <c r="K274" s="15"/>
      <c r="L274" s="96"/>
      <c r="M274" s="89"/>
      <c r="N274" s="88"/>
      <c r="O274" s="413"/>
      <c r="P274" s="18"/>
      <c r="Q274" s="91"/>
      <c r="R274" s="18"/>
      <c r="S274" s="18"/>
      <c r="T274" s="18"/>
      <c r="U274" s="18"/>
      <c r="V274" s="18"/>
      <c r="W274" s="18"/>
      <c r="X274" s="18"/>
      <c r="Y274" s="92"/>
      <c r="Z274" s="92"/>
      <c r="AA274" s="418"/>
      <c r="AB274" s="95"/>
      <c r="AC274" s="18"/>
      <c r="AD274" s="18"/>
      <c r="AE274" s="18"/>
      <c r="AF274" s="18"/>
      <c r="AG274" s="91"/>
      <c r="AH274" s="18"/>
      <c r="AI274" s="18"/>
      <c r="AJ274" s="18"/>
      <c r="AK274" s="18"/>
      <c r="AL274" s="18"/>
      <c r="AM274" s="18"/>
      <c r="AN274" s="18"/>
      <c r="AO274" s="18"/>
      <c r="AP274" s="18"/>
      <c r="AQ274" s="18"/>
      <c r="AR274" s="18"/>
      <c r="AS274" s="18"/>
      <c r="AT274" s="18"/>
      <c r="AU274" s="91"/>
      <c r="AV274" s="18"/>
      <c r="AW274" s="18"/>
      <c r="AX274" s="18"/>
      <c r="AY274" s="17"/>
      <c r="AZ274" s="17"/>
      <c r="BA274" s="17"/>
      <c r="BB274" s="17"/>
      <c r="BC274" s="96"/>
      <c r="BD274" s="96"/>
      <c r="BE274" s="96"/>
      <c r="BF274" s="96"/>
      <c r="BG274" s="96"/>
      <c r="BH274" s="96"/>
      <c r="BI274" s="96"/>
    </row>
    <row r="275" spans="1:61" x14ac:dyDescent="0.45">
      <c r="A275" s="17"/>
      <c r="B275" s="17"/>
      <c r="C275" s="17"/>
      <c r="D275" s="17"/>
      <c r="E275" s="15"/>
      <c r="F275" s="17"/>
      <c r="G275" s="17"/>
      <c r="H275" s="3"/>
      <c r="I275" s="88"/>
      <c r="J275" s="88"/>
      <c r="K275" s="15"/>
      <c r="L275" s="96"/>
      <c r="M275" s="89"/>
      <c r="N275" s="88"/>
      <c r="O275" s="413"/>
      <c r="P275" s="18"/>
      <c r="Q275" s="91"/>
      <c r="R275" s="18"/>
      <c r="S275" s="18"/>
      <c r="T275" s="18"/>
      <c r="U275" s="18"/>
      <c r="V275" s="18"/>
      <c r="W275" s="18"/>
      <c r="X275" s="18"/>
      <c r="Y275" s="92"/>
      <c r="Z275" s="92"/>
      <c r="AA275" s="418"/>
      <c r="AB275" s="95"/>
      <c r="AC275" s="18"/>
      <c r="AD275" s="18"/>
      <c r="AE275" s="18"/>
      <c r="AF275" s="18"/>
      <c r="AG275" s="91"/>
      <c r="AH275" s="18"/>
      <c r="AI275" s="18"/>
      <c r="AJ275" s="18"/>
      <c r="AK275" s="18"/>
      <c r="AL275" s="18"/>
      <c r="AM275" s="18"/>
      <c r="AN275" s="18"/>
      <c r="AO275" s="18"/>
      <c r="AP275" s="18"/>
      <c r="AQ275" s="18"/>
      <c r="AR275" s="18"/>
      <c r="AS275" s="18"/>
      <c r="AT275" s="18"/>
      <c r="AU275" s="91"/>
      <c r="AV275" s="18"/>
      <c r="AW275" s="18"/>
      <c r="AX275" s="18"/>
      <c r="AY275" s="17"/>
      <c r="AZ275" s="17"/>
      <c r="BA275" s="17"/>
      <c r="BB275" s="17"/>
      <c r="BC275" s="96"/>
      <c r="BD275" s="96"/>
      <c r="BE275" s="96"/>
      <c r="BF275" s="96"/>
      <c r="BG275" s="96"/>
      <c r="BH275" s="96"/>
      <c r="BI275" s="96"/>
    </row>
    <row r="276" spans="1:61" x14ac:dyDescent="0.45">
      <c r="A276" s="17"/>
      <c r="B276" s="17"/>
      <c r="C276" s="17"/>
      <c r="D276" s="17"/>
      <c r="E276" s="15"/>
      <c r="F276" s="17"/>
      <c r="G276" s="17"/>
      <c r="H276" s="3"/>
      <c r="I276" s="88"/>
      <c r="J276" s="88"/>
      <c r="K276" s="15"/>
      <c r="L276" s="96"/>
      <c r="M276" s="89"/>
      <c r="N276" s="88"/>
      <c r="O276" s="413"/>
      <c r="P276" s="18"/>
      <c r="Q276" s="91"/>
      <c r="R276" s="18"/>
      <c r="S276" s="18"/>
      <c r="T276" s="18"/>
      <c r="U276" s="18"/>
      <c r="V276" s="18"/>
      <c r="W276" s="18"/>
      <c r="X276" s="18"/>
      <c r="Y276" s="92"/>
      <c r="Z276" s="92"/>
      <c r="AA276" s="418"/>
      <c r="AB276" s="95"/>
      <c r="AC276" s="18"/>
      <c r="AD276" s="18"/>
      <c r="AE276" s="18"/>
      <c r="AF276" s="18"/>
      <c r="AG276" s="91"/>
      <c r="AH276" s="18"/>
      <c r="AI276" s="18"/>
      <c r="AJ276" s="18"/>
      <c r="AK276" s="18"/>
      <c r="AL276" s="18"/>
      <c r="AM276" s="18"/>
      <c r="AN276" s="18"/>
      <c r="AO276" s="18"/>
      <c r="AP276" s="18"/>
      <c r="AQ276" s="18"/>
      <c r="AR276" s="18"/>
      <c r="AS276" s="18"/>
      <c r="AT276" s="18"/>
      <c r="AU276" s="91"/>
      <c r="AV276" s="18"/>
      <c r="AW276" s="18"/>
      <c r="AX276" s="18"/>
      <c r="AY276" s="17"/>
      <c r="AZ276" s="17"/>
      <c r="BA276" s="17"/>
      <c r="BB276" s="17"/>
      <c r="BC276" s="96"/>
      <c r="BD276" s="96"/>
      <c r="BE276" s="96"/>
      <c r="BF276" s="96"/>
      <c r="BG276" s="96"/>
      <c r="BH276" s="96"/>
      <c r="BI276" s="96"/>
    </row>
    <row r="277" spans="1:61" x14ac:dyDescent="0.45">
      <c r="A277" s="17"/>
      <c r="B277" s="17"/>
      <c r="C277" s="17"/>
      <c r="D277" s="17"/>
      <c r="E277" s="15"/>
      <c r="F277" s="17"/>
      <c r="G277" s="17"/>
      <c r="H277" s="3"/>
      <c r="I277" s="88"/>
      <c r="J277" s="88"/>
      <c r="K277" s="15"/>
      <c r="L277" s="96"/>
      <c r="M277" s="89"/>
      <c r="N277" s="88"/>
      <c r="O277" s="413"/>
      <c r="P277" s="18"/>
      <c r="Q277" s="91"/>
      <c r="R277" s="18"/>
      <c r="S277" s="18"/>
      <c r="T277" s="18"/>
      <c r="U277" s="18"/>
      <c r="V277" s="18"/>
      <c r="W277" s="18"/>
      <c r="X277" s="18"/>
      <c r="Y277" s="92"/>
      <c r="Z277" s="92"/>
      <c r="AA277" s="418"/>
      <c r="AB277" s="95"/>
      <c r="AC277" s="18"/>
      <c r="AD277" s="18"/>
      <c r="AE277" s="18"/>
      <c r="AF277" s="18"/>
      <c r="AG277" s="91"/>
      <c r="AH277" s="18"/>
      <c r="AI277" s="18"/>
      <c r="AJ277" s="18"/>
      <c r="AK277" s="18"/>
      <c r="AL277" s="18"/>
      <c r="AM277" s="18"/>
      <c r="AN277" s="18"/>
      <c r="AO277" s="18"/>
      <c r="AP277" s="18"/>
      <c r="AQ277" s="18"/>
      <c r="AR277" s="18"/>
      <c r="AS277" s="18"/>
      <c r="AT277" s="18"/>
      <c r="AU277" s="91"/>
      <c r="AV277" s="18"/>
      <c r="AW277" s="18"/>
      <c r="AX277" s="18"/>
      <c r="AY277" s="17"/>
      <c r="AZ277" s="17"/>
      <c r="BA277" s="17"/>
      <c r="BB277" s="17"/>
      <c r="BC277" s="96"/>
      <c r="BD277" s="96"/>
      <c r="BE277" s="96"/>
      <c r="BF277" s="96"/>
      <c r="BG277" s="96"/>
      <c r="BH277" s="96"/>
      <c r="BI277" s="96"/>
    </row>
    <row r="278" spans="1:61" x14ac:dyDescent="0.45">
      <c r="A278" s="17"/>
      <c r="B278" s="17"/>
      <c r="C278" s="17"/>
      <c r="D278" s="17"/>
      <c r="E278" s="15"/>
      <c r="F278" s="17"/>
      <c r="G278" s="17"/>
      <c r="H278" s="3"/>
      <c r="I278" s="88"/>
      <c r="J278" s="88"/>
      <c r="K278" s="15"/>
      <c r="L278" s="96"/>
      <c r="M278" s="89"/>
      <c r="N278" s="88"/>
      <c r="O278" s="413"/>
      <c r="P278" s="18"/>
      <c r="Q278" s="91"/>
      <c r="R278" s="18"/>
      <c r="S278" s="18"/>
      <c r="T278" s="18"/>
      <c r="U278" s="18"/>
      <c r="V278" s="18"/>
      <c r="W278" s="18"/>
      <c r="X278" s="18"/>
      <c r="Y278" s="92"/>
      <c r="Z278" s="92"/>
      <c r="AA278" s="418"/>
      <c r="AB278" s="95"/>
      <c r="AC278" s="18"/>
      <c r="AD278" s="18"/>
      <c r="AE278" s="18"/>
      <c r="AF278" s="18"/>
      <c r="AG278" s="91"/>
      <c r="AH278" s="18"/>
      <c r="AI278" s="18"/>
      <c r="AJ278" s="18"/>
      <c r="AK278" s="18"/>
      <c r="AL278" s="18"/>
      <c r="AM278" s="18"/>
      <c r="AN278" s="18"/>
      <c r="AO278" s="18"/>
      <c r="AP278" s="18"/>
      <c r="AQ278" s="18"/>
      <c r="AR278" s="18"/>
      <c r="AS278" s="18"/>
      <c r="AT278" s="18"/>
      <c r="AU278" s="91"/>
      <c r="AV278" s="18"/>
      <c r="AW278" s="18"/>
      <c r="AX278" s="18"/>
      <c r="AY278" s="17"/>
      <c r="AZ278" s="17"/>
      <c r="BA278" s="17"/>
      <c r="BB278" s="17"/>
      <c r="BC278" s="96"/>
      <c r="BD278" s="96"/>
      <c r="BE278" s="96"/>
      <c r="BF278" s="96"/>
      <c r="BG278" s="96"/>
      <c r="BH278" s="96"/>
      <c r="BI278" s="96"/>
    </row>
    <row r="279" spans="1:61" x14ac:dyDescent="0.45">
      <c r="A279" s="17"/>
      <c r="B279" s="17"/>
      <c r="C279" s="17"/>
      <c r="D279" s="17"/>
      <c r="E279" s="15"/>
      <c r="F279" s="17"/>
      <c r="G279" s="17"/>
      <c r="H279" s="3"/>
      <c r="I279" s="88"/>
      <c r="J279" s="88"/>
      <c r="K279" s="15"/>
      <c r="L279" s="96"/>
      <c r="M279" s="89"/>
      <c r="N279" s="88"/>
      <c r="O279" s="413"/>
      <c r="P279" s="18"/>
      <c r="Q279" s="91"/>
      <c r="R279" s="18"/>
      <c r="S279" s="18"/>
      <c r="T279" s="18"/>
      <c r="U279" s="18"/>
      <c r="V279" s="18"/>
      <c r="W279" s="18"/>
      <c r="X279" s="18"/>
      <c r="Y279" s="92"/>
      <c r="Z279" s="92"/>
      <c r="AA279" s="418"/>
      <c r="AB279" s="95"/>
      <c r="AC279" s="18"/>
      <c r="AD279" s="18"/>
      <c r="AE279" s="18"/>
      <c r="AF279" s="18"/>
      <c r="AG279" s="91"/>
      <c r="AH279" s="18"/>
      <c r="AI279" s="18"/>
      <c r="AJ279" s="18"/>
      <c r="AK279" s="18"/>
      <c r="AL279" s="18"/>
      <c r="AM279" s="18"/>
      <c r="AN279" s="18"/>
      <c r="AO279" s="18"/>
      <c r="AP279" s="18"/>
      <c r="AQ279" s="18"/>
      <c r="AR279" s="18"/>
      <c r="AS279" s="18"/>
      <c r="AT279" s="18"/>
      <c r="AU279" s="91"/>
      <c r="AV279" s="18"/>
      <c r="AW279" s="18"/>
      <c r="AX279" s="18"/>
      <c r="AY279" s="17"/>
      <c r="AZ279" s="17"/>
      <c r="BA279" s="17"/>
      <c r="BB279" s="17"/>
      <c r="BC279" s="96"/>
      <c r="BD279" s="96"/>
      <c r="BE279" s="96"/>
      <c r="BF279" s="96"/>
      <c r="BG279" s="96"/>
      <c r="BH279" s="96"/>
      <c r="BI279" s="96"/>
    </row>
    <row r="280" spans="1:61" x14ac:dyDescent="0.45">
      <c r="A280" s="17"/>
      <c r="B280" s="17"/>
      <c r="C280" s="17"/>
      <c r="D280" s="17"/>
      <c r="E280" s="15"/>
      <c r="F280" s="17"/>
      <c r="G280" s="17"/>
      <c r="H280" s="3"/>
      <c r="I280" s="88"/>
      <c r="J280" s="88"/>
      <c r="K280" s="15"/>
      <c r="L280" s="96"/>
      <c r="M280" s="89"/>
      <c r="N280" s="88"/>
      <c r="O280" s="413"/>
      <c r="P280" s="18"/>
      <c r="Q280" s="91"/>
      <c r="R280" s="18"/>
      <c r="S280" s="18"/>
      <c r="T280" s="18"/>
      <c r="U280" s="18"/>
      <c r="V280" s="18"/>
      <c r="W280" s="18"/>
      <c r="X280" s="18"/>
      <c r="Y280" s="92"/>
      <c r="Z280" s="92"/>
      <c r="AA280" s="418"/>
      <c r="AB280" s="95"/>
      <c r="AC280" s="18"/>
      <c r="AD280" s="18"/>
      <c r="AE280" s="18"/>
      <c r="AF280" s="18"/>
      <c r="AG280" s="91"/>
      <c r="AH280" s="18"/>
      <c r="AI280" s="18"/>
      <c r="AJ280" s="18"/>
      <c r="AK280" s="18"/>
      <c r="AL280" s="18"/>
      <c r="AM280" s="18"/>
      <c r="AN280" s="18"/>
      <c r="AO280" s="18"/>
      <c r="AP280" s="18"/>
      <c r="AQ280" s="18"/>
      <c r="AR280" s="18"/>
      <c r="AS280" s="18"/>
      <c r="AT280" s="18"/>
      <c r="AU280" s="91"/>
      <c r="AV280" s="18"/>
      <c r="AW280" s="18"/>
      <c r="AX280" s="18"/>
      <c r="AY280" s="17"/>
      <c r="AZ280" s="17"/>
      <c r="BA280" s="17"/>
      <c r="BB280" s="17"/>
      <c r="BC280" s="96"/>
      <c r="BD280" s="96"/>
      <c r="BE280" s="96"/>
      <c r="BF280" s="96"/>
      <c r="BG280" s="96"/>
      <c r="BH280" s="96"/>
      <c r="BI280" s="96"/>
    </row>
    <row r="281" spans="1:61" x14ac:dyDescent="0.45">
      <c r="A281" s="17"/>
      <c r="B281" s="17"/>
      <c r="C281" s="17"/>
      <c r="D281" s="17"/>
      <c r="E281" s="15"/>
      <c r="F281" s="17"/>
      <c r="G281" s="17"/>
      <c r="H281" s="3"/>
      <c r="I281" s="88"/>
      <c r="J281" s="88"/>
      <c r="K281" s="15"/>
      <c r="L281" s="96"/>
      <c r="M281" s="89"/>
      <c r="N281" s="88"/>
      <c r="O281" s="413"/>
      <c r="P281" s="18"/>
      <c r="Q281" s="91"/>
      <c r="R281" s="18"/>
      <c r="S281" s="18"/>
      <c r="T281" s="18"/>
      <c r="U281" s="18"/>
      <c r="V281" s="18"/>
      <c r="W281" s="18"/>
      <c r="X281" s="18"/>
      <c r="Y281" s="92"/>
      <c r="Z281" s="92"/>
      <c r="AA281" s="418"/>
      <c r="AB281" s="95"/>
      <c r="AC281" s="18"/>
      <c r="AD281" s="18"/>
      <c r="AE281" s="18"/>
      <c r="AF281" s="18"/>
      <c r="AG281" s="91"/>
      <c r="AH281" s="18"/>
      <c r="AI281" s="18"/>
      <c r="AJ281" s="18"/>
      <c r="AK281" s="18"/>
      <c r="AL281" s="18"/>
      <c r="AM281" s="18"/>
      <c r="AN281" s="18"/>
      <c r="AO281" s="18"/>
      <c r="AP281" s="18"/>
      <c r="AQ281" s="18"/>
      <c r="AR281" s="18"/>
      <c r="AS281" s="18"/>
      <c r="AT281" s="18"/>
      <c r="AU281" s="91"/>
      <c r="AV281" s="18"/>
      <c r="AW281" s="18"/>
      <c r="AX281" s="18"/>
      <c r="AY281" s="17"/>
      <c r="AZ281" s="17"/>
      <c r="BA281" s="17"/>
      <c r="BB281" s="17"/>
      <c r="BC281" s="96"/>
      <c r="BD281" s="96"/>
      <c r="BE281" s="96"/>
      <c r="BF281" s="96"/>
      <c r="BG281" s="96"/>
      <c r="BH281" s="96"/>
      <c r="BI281" s="96"/>
    </row>
    <row r="282" spans="1:61" x14ac:dyDescent="0.45">
      <c r="A282" s="17"/>
      <c r="B282" s="17"/>
      <c r="C282" s="17"/>
      <c r="D282" s="17"/>
      <c r="E282" s="15"/>
      <c r="F282" s="17"/>
      <c r="G282" s="17"/>
      <c r="H282" s="3"/>
      <c r="I282" s="88"/>
      <c r="J282" s="88"/>
      <c r="K282" s="15"/>
      <c r="L282" s="96"/>
      <c r="M282" s="89"/>
      <c r="N282" s="88"/>
      <c r="O282" s="413"/>
      <c r="P282" s="18"/>
      <c r="Q282" s="91"/>
      <c r="R282" s="18"/>
      <c r="S282" s="18"/>
      <c r="T282" s="18"/>
      <c r="U282" s="18"/>
      <c r="V282" s="18"/>
      <c r="W282" s="18"/>
      <c r="X282" s="18"/>
      <c r="Y282" s="92"/>
      <c r="Z282" s="92"/>
      <c r="AA282" s="418"/>
      <c r="AB282" s="95"/>
      <c r="AC282" s="18"/>
      <c r="AD282" s="18"/>
      <c r="AE282" s="18"/>
      <c r="AF282" s="18"/>
      <c r="AG282" s="91"/>
      <c r="AH282" s="18"/>
      <c r="AI282" s="18"/>
      <c r="AJ282" s="18"/>
      <c r="AK282" s="18"/>
      <c r="AL282" s="18"/>
      <c r="AM282" s="18"/>
      <c r="AN282" s="18"/>
      <c r="AO282" s="18"/>
      <c r="AP282" s="18"/>
      <c r="AQ282" s="18"/>
      <c r="AR282" s="18"/>
      <c r="AS282" s="18"/>
      <c r="AT282" s="18"/>
      <c r="AU282" s="91"/>
      <c r="AV282" s="18"/>
      <c r="AW282" s="18"/>
      <c r="AX282" s="18"/>
      <c r="AY282" s="17"/>
      <c r="AZ282" s="17"/>
      <c r="BA282" s="17"/>
      <c r="BB282" s="17"/>
      <c r="BC282" s="96"/>
      <c r="BD282" s="96"/>
      <c r="BE282" s="96"/>
      <c r="BF282" s="96"/>
      <c r="BG282" s="96"/>
      <c r="BH282" s="96"/>
      <c r="BI282" s="96"/>
    </row>
    <row r="283" spans="1:61" x14ac:dyDescent="0.45">
      <c r="A283" s="17"/>
      <c r="B283" s="17"/>
      <c r="C283" s="17"/>
      <c r="D283" s="17"/>
      <c r="E283" s="15"/>
      <c r="F283" s="17"/>
      <c r="G283" s="17"/>
      <c r="H283" s="3"/>
      <c r="I283" s="88"/>
      <c r="J283" s="88"/>
      <c r="K283" s="15"/>
      <c r="L283" s="96"/>
      <c r="M283" s="89"/>
      <c r="N283" s="88"/>
      <c r="O283" s="413"/>
      <c r="P283" s="18"/>
      <c r="Q283" s="91"/>
      <c r="R283" s="18"/>
      <c r="S283" s="18"/>
      <c r="T283" s="18"/>
      <c r="U283" s="18"/>
      <c r="V283" s="18"/>
      <c r="W283" s="18"/>
      <c r="X283" s="18"/>
      <c r="Y283" s="92"/>
      <c r="Z283" s="92"/>
      <c r="AA283" s="418"/>
      <c r="AB283" s="95"/>
      <c r="AC283" s="18"/>
      <c r="AD283" s="18"/>
      <c r="AE283" s="18"/>
      <c r="AF283" s="18"/>
      <c r="AG283" s="91"/>
      <c r="AH283" s="18"/>
      <c r="AI283" s="18"/>
      <c r="AJ283" s="18"/>
      <c r="AK283" s="18"/>
      <c r="AL283" s="18"/>
      <c r="AM283" s="18"/>
      <c r="AN283" s="18"/>
      <c r="AO283" s="18"/>
      <c r="AP283" s="18"/>
      <c r="AQ283" s="18"/>
      <c r="AR283" s="18"/>
      <c r="AS283" s="18"/>
      <c r="AT283" s="18"/>
      <c r="AU283" s="91"/>
      <c r="AV283" s="18"/>
      <c r="AW283" s="18"/>
      <c r="AX283" s="18"/>
      <c r="AY283" s="17"/>
      <c r="AZ283" s="17"/>
      <c r="BA283" s="17"/>
      <c r="BB283" s="17"/>
      <c r="BC283" s="96"/>
      <c r="BD283" s="96"/>
      <c r="BE283" s="96"/>
      <c r="BF283" s="96"/>
      <c r="BG283" s="96"/>
      <c r="BH283" s="96"/>
      <c r="BI283" s="96"/>
    </row>
    <row r="284" spans="1:61" x14ac:dyDescent="0.45">
      <c r="A284" s="17"/>
      <c r="B284" s="17"/>
      <c r="C284" s="17"/>
      <c r="D284" s="17"/>
      <c r="E284" s="15"/>
      <c r="F284" s="17"/>
      <c r="G284" s="17"/>
      <c r="H284" s="3"/>
      <c r="I284" s="88"/>
      <c r="J284" s="88"/>
      <c r="K284" s="15"/>
      <c r="L284" s="96"/>
      <c r="M284" s="89"/>
      <c r="N284" s="88"/>
      <c r="O284" s="413"/>
      <c r="P284" s="18"/>
      <c r="Q284" s="91"/>
      <c r="R284" s="18"/>
      <c r="S284" s="18"/>
      <c r="T284" s="18"/>
      <c r="U284" s="18"/>
      <c r="V284" s="18"/>
      <c r="W284" s="18"/>
      <c r="X284" s="18"/>
      <c r="Y284" s="92"/>
      <c r="Z284" s="92"/>
      <c r="AA284" s="418"/>
      <c r="AB284" s="95"/>
      <c r="AC284" s="18"/>
      <c r="AD284" s="18"/>
      <c r="AE284" s="18"/>
      <c r="AF284" s="18"/>
      <c r="AG284" s="91"/>
      <c r="AH284" s="18"/>
      <c r="AI284" s="18"/>
      <c r="AJ284" s="18"/>
      <c r="AK284" s="18"/>
      <c r="AL284" s="18"/>
      <c r="AM284" s="18"/>
      <c r="AN284" s="18"/>
      <c r="AO284" s="18"/>
      <c r="AP284" s="18"/>
      <c r="AQ284" s="18"/>
      <c r="AR284" s="18"/>
      <c r="AS284" s="18"/>
      <c r="AT284" s="18"/>
      <c r="AU284" s="91"/>
      <c r="AV284" s="18"/>
      <c r="AW284" s="18"/>
      <c r="AX284" s="18"/>
      <c r="AY284" s="17"/>
      <c r="AZ284" s="17"/>
      <c r="BA284" s="17"/>
      <c r="BB284" s="17"/>
      <c r="BC284" s="96"/>
      <c r="BD284" s="96"/>
      <c r="BE284" s="96"/>
      <c r="BF284" s="96"/>
      <c r="BG284" s="96"/>
      <c r="BH284" s="96"/>
      <c r="BI284" s="96"/>
    </row>
    <row r="285" spans="1:61" x14ac:dyDescent="0.45">
      <c r="A285" s="17"/>
      <c r="B285" s="17"/>
      <c r="C285" s="17"/>
      <c r="D285" s="17"/>
      <c r="E285" s="15"/>
      <c r="F285" s="17"/>
      <c r="G285" s="17"/>
      <c r="H285" s="3"/>
      <c r="I285" s="88"/>
      <c r="J285" s="88"/>
      <c r="K285" s="15"/>
      <c r="L285" s="96"/>
      <c r="M285" s="89"/>
      <c r="N285" s="88"/>
      <c r="O285" s="413"/>
      <c r="P285" s="18"/>
      <c r="Q285" s="91"/>
      <c r="R285" s="18"/>
      <c r="S285" s="18"/>
      <c r="T285" s="18"/>
      <c r="U285" s="18"/>
      <c r="V285" s="18"/>
      <c r="W285" s="18"/>
      <c r="X285" s="18"/>
      <c r="Y285" s="92"/>
      <c r="Z285" s="92"/>
      <c r="AA285" s="418"/>
      <c r="AB285" s="95"/>
      <c r="AC285" s="18"/>
      <c r="AD285" s="18"/>
      <c r="AE285" s="18"/>
      <c r="AF285" s="18"/>
      <c r="AG285" s="91"/>
      <c r="AH285" s="18"/>
      <c r="AI285" s="18"/>
      <c r="AJ285" s="18"/>
      <c r="AK285" s="18"/>
      <c r="AL285" s="18"/>
      <c r="AM285" s="18"/>
      <c r="AN285" s="18"/>
      <c r="AO285" s="18"/>
      <c r="AP285" s="18"/>
      <c r="AQ285" s="18"/>
      <c r="AR285" s="18"/>
      <c r="AS285" s="18"/>
      <c r="AT285" s="18"/>
      <c r="AU285" s="91"/>
      <c r="AV285" s="18"/>
      <c r="AW285" s="18"/>
      <c r="AX285" s="18"/>
      <c r="AY285" s="17"/>
      <c r="AZ285" s="17"/>
      <c r="BA285" s="17"/>
      <c r="BB285" s="17"/>
      <c r="BC285" s="96"/>
      <c r="BD285" s="96"/>
      <c r="BE285" s="96"/>
      <c r="BF285" s="96"/>
      <c r="BG285" s="96"/>
      <c r="BH285" s="96"/>
      <c r="BI285" s="96"/>
    </row>
    <row r="286" spans="1:61" x14ac:dyDescent="0.45">
      <c r="A286" s="17"/>
      <c r="B286" s="17"/>
      <c r="C286" s="17"/>
      <c r="D286" s="17"/>
      <c r="E286" s="15"/>
      <c r="F286" s="17"/>
      <c r="G286" s="17"/>
      <c r="H286" s="3"/>
      <c r="I286" s="88"/>
      <c r="J286" s="88"/>
      <c r="K286" s="15"/>
      <c r="L286" s="96"/>
      <c r="M286" s="89"/>
      <c r="N286" s="88"/>
      <c r="O286" s="413"/>
      <c r="P286" s="18"/>
      <c r="Q286" s="91"/>
      <c r="R286" s="18"/>
      <c r="S286" s="18"/>
      <c r="T286" s="18"/>
      <c r="U286" s="18"/>
      <c r="V286" s="18"/>
      <c r="W286" s="18"/>
      <c r="X286" s="18"/>
      <c r="Y286" s="92"/>
      <c r="Z286" s="92"/>
      <c r="AA286" s="418"/>
      <c r="AB286" s="95"/>
      <c r="AC286" s="18"/>
      <c r="AD286" s="18"/>
      <c r="AE286" s="18"/>
      <c r="AF286" s="18"/>
      <c r="AG286" s="91"/>
      <c r="AH286" s="18"/>
      <c r="AI286" s="18"/>
      <c r="AJ286" s="18"/>
      <c r="AK286" s="18"/>
      <c r="AL286" s="18"/>
      <c r="AM286" s="18"/>
      <c r="AN286" s="18"/>
      <c r="AO286" s="18"/>
      <c r="AP286" s="18"/>
      <c r="AQ286" s="18"/>
      <c r="AR286" s="18"/>
      <c r="AS286" s="18"/>
      <c r="AT286" s="18"/>
      <c r="AU286" s="91"/>
      <c r="AV286" s="18"/>
      <c r="AW286" s="18"/>
      <c r="AX286" s="18"/>
      <c r="AY286" s="17"/>
      <c r="AZ286" s="17"/>
      <c r="BA286" s="17"/>
      <c r="BB286" s="17"/>
      <c r="BC286" s="96"/>
      <c r="BD286" s="96"/>
      <c r="BE286" s="96"/>
      <c r="BF286" s="96"/>
      <c r="BG286" s="96"/>
      <c r="BH286" s="96"/>
      <c r="BI286" s="96"/>
    </row>
    <row r="287" spans="1:61" x14ac:dyDescent="0.45">
      <c r="A287" s="17"/>
      <c r="B287" s="17"/>
      <c r="C287" s="17"/>
      <c r="D287" s="17"/>
      <c r="E287" s="15"/>
      <c r="F287" s="17"/>
      <c r="G287" s="17"/>
      <c r="H287" s="3"/>
      <c r="I287" s="88"/>
      <c r="J287" s="88"/>
      <c r="K287" s="15"/>
      <c r="L287" s="96"/>
      <c r="M287" s="89"/>
      <c r="N287" s="88"/>
      <c r="O287" s="413"/>
      <c r="P287" s="18"/>
      <c r="Q287" s="91"/>
      <c r="R287" s="18"/>
      <c r="S287" s="18"/>
      <c r="T287" s="18"/>
      <c r="U287" s="18"/>
      <c r="V287" s="18"/>
      <c r="W287" s="18"/>
      <c r="X287" s="18"/>
      <c r="Y287" s="92"/>
      <c r="Z287" s="92"/>
      <c r="AA287" s="418"/>
      <c r="AB287" s="95"/>
      <c r="AC287" s="18"/>
      <c r="AD287" s="18"/>
      <c r="AE287" s="18"/>
      <c r="AF287" s="18"/>
      <c r="AG287" s="91"/>
      <c r="AH287" s="18"/>
      <c r="AI287" s="18"/>
      <c r="AJ287" s="18"/>
      <c r="AK287" s="18"/>
      <c r="AL287" s="18"/>
      <c r="AM287" s="18"/>
      <c r="AN287" s="18"/>
      <c r="AO287" s="18"/>
      <c r="AP287" s="18"/>
      <c r="AQ287" s="18"/>
      <c r="AR287" s="18"/>
      <c r="AS287" s="18"/>
      <c r="AT287" s="18"/>
      <c r="AU287" s="91"/>
      <c r="AV287" s="18"/>
      <c r="AW287" s="18"/>
      <c r="AX287" s="18"/>
      <c r="AY287" s="17"/>
      <c r="AZ287" s="17"/>
      <c r="BA287" s="17"/>
      <c r="BB287" s="17"/>
      <c r="BC287" s="96"/>
      <c r="BD287" s="96"/>
      <c r="BE287" s="96"/>
      <c r="BF287" s="96"/>
      <c r="BG287" s="96"/>
      <c r="BH287" s="96"/>
      <c r="BI287" s="96"/>
    </row>
    <row r="288" spans="1:61" x14ac:dyDescent="0.45">
      <c r="A288" s="17"/>
      <c r="B288" s="17"/>
      <c r="C288" s="17"/>
      <c r="D288" s="17"/>
      <c r="E288" s="15"/>
      <c r="F288" s="17"/>
      <c r="G288" s="17"/>
      <c r="H288" s="3"/>
      <c r="I288" s="88"/>
      <c r="J288" s="88"/>
      <c r="K288" s="15"/>
      <c r="L288" s="96"/>
      <c r="M288" s="89"/>
      <c r="N288" s="88"/>
      <c r="O288" s="413"/>
      <c r="P288" s="18"/>
      <c r="Q288" s="91"/>
      <c r="R288" s="18"/>
      <c r="S288" s="18"/>
      <c r="T288" s="18"/>
      <c r="U288" s="18"/>
      <c r="V288" s="18"/>
      <c r="W288" s="18"/>
      <c r="X288" s="18"/>
      <c r="Y288" s="92"/>
      <c r="Z288" s="92"/>
      <c r="AA288" s="418"/>
      <c r="AB288" s="95"/>
      <c r="AC288" s="18"/>
      <c r="AD288" s="18"/>
      <c r="AE288" s="18"/>
      <c r="AF288" s="18"/>
      <c r="AG288" s="91"/>
      <c r="AH288" s="18"/>
      <c r="AI288" s="18"/>
      <c r="AJ288" s="18"/>
      <c r="AK288" s="18"/>
      <c r="AL288" s="18"/>
      <c r="AM288" s="18"/>
      <c r="AN288" s="18"/>
      <c r="AO288" s="18"/>
      <c r="AP288" s="18"/>
      <c r="AQ288" s="18"/>
      <c r="AR288" s="18"/>
      <c r="AS288" s="18"/>
      <c r="AT288" s="18"/>
      <c r="AU288" s="91"/>
      <c r="AV288" s="18"/>
      <c r="AW288" s="18"/>
      <c r="AX288" s="18"/>
      <c r="AY288" s="17"/>
      <c r="AZ288" s="17"/>
      <c r="BA288" s="17"/>
      <c r="BB288" s="17"/>
      <c r="BC288" s="96"/>
      <c r="BD288" s="96"/>
      <c r="BE288" s="96"/>
      <c r="BF288" s="96"/>
      <c r="BG288" s="96"/>
      <c r="BH288" s="96"/>
      <c r="BI288" s="96"/>
    </row>
    <row r="289" spans="1:61" x14ac:dyDescent="0.45">
      <c r="A289" s="17"/>
      <c r="B289" s="17"/>
      <c r="C289" s="17"/>
      <c r="D289" s="17"/>
      <c r="E289" s="15"/>
      <c r="F289" s="17"/>
      <c r="G289" s="17"/>
      <c r="H289" s="3"/>
      <c r="I289" s="88"/>
      <c r="J289" s="88"/>
      <c r="K289" s="15"/>
      <c r="L289" s="96"/>
      <c r="M289" s="89"/>
      <c r="N289" s="88"/>
      <c r="O289" s="413"/>
      <c r="P289" s="18"/>
      <c r="Q289" s="91"/>
      <c r="R289" s="18"/>
      <c r="S289" s="18"/>
      <c r="T289" s="18"/>
      <c r="U289" s="18"/>
      <c r="V289" s="18"/>
      <c r="W289" s="18"/>
      <c r="X289" s="18"/>
      <c r="Y289" s="92"/>
      <c r="Z289" s="92"/>
      <c r="AA289" s="418"/>
      <c r="AB289" s="95"/>
      <c r="AC289" s="18"/>
      <c r="AD289" s="18"/>
      <c r="AE289" s="18"/>
      <c r="AF289" s="18"/>
      <c r="AG289" s="91"/>
      <c r="AH289" s="18"/>
      <c r="AI289" s="18"/>
      <c r="AJ289" s="18"/>
      <c r="AK289" s="18"/>
      <c r="AL289" s="18"/>
      <c r="AM289" s="18"/>
      <c r="AN289" s="18"/>
      <c r="AO289" s="18"/>
      <c r="AP289" s="18"/>
      <c r="AQ289" s="18"/>
      <c r="AR289" s="18"/>
      <c r="AS289" s="18"/>
      <c r="AT289" s="18"/>
      <c r="AU289" s="91"/>
      <c r="AV289" s="18"/>
      <c r="AW289" s="18"/>
      <c r="AX289" s="18"/>
      <c r="AY289" s="17"/>
      <c r="AZ289" s="17"/>
      <c r="BA289" s="17"/>
      <c r="BB289" s="17"/>
      <c r="BC289" s="96"/>
      <c r="BD289" s="96"/>
      <c r="BE289" s="96"/>
      <c r="BF289" s="96"/>
      <c r="BG289" s="96"/>
      <c r="BH289" s="96"/>
      <c r="BI289" s="96"/>
    </row>
    <row r="290" spans="1:61" x14ac:dyDescent="0.45">
      <c r="A290" s="17"/>
      <c r="B290" s="17"/>
      <c r="C290" s="17"/>
      <c r="D290" s="17"/>
      <c r="E290" s="15"/>
      <c r="F290" s="17"/>
      <c r="G290" s="17"/>
      <c r="H290" s="3"/>
      <c r="I290" s="88"/>
      <c r="J290" s="88"/>
      <c r="K290" s="15"/>
      <c r="L290" s="96"/>
      <c r="M290" s="89"/>
      <c r="N290" s="88"/>
      <c r="O290" s="413"/>
      <c r="P290" s="18"/>
      <c r="Q290" s="91"/>
      <c r="R290" s="18"/>
      <c r="S290" s="18"/>
      <c r="T290" s="18"/>
      <c r="U290" s="18"/>
      <c r="V290" s="18"/>
      <c r="W290" s="18"/>
      <c r="X290" s="18"/>
      <c r="Y290" s="92"/>
      <c r="Z290" s="92"/>
      <c r="AA290" s="418"/>
      <c r="AB290" s="95"/>
      <c r="AC290" s="18"/>
      <c r="AD290" s="18"/>
      <c r="AE290" s="18"/>
      <c r="AF290" s="18"/>
      <c r="AG290" s="91"/>
      <c r="AH290" s="18"/>
      <c r="AI290" s="18"/>
      <c r="AJ290" s="18"/>
      <c r="AK290" s="18"/>
      <c r="AL290" s="18"/>
      <c r="AM290" s="18"/>
      <c r="AN290" s="18"/>
      <c r="AO290" s="18"/>
      <c r="AP290" s="18"/>
      <c r="AQ290" s="18"/>
      <c r="AR290" s="18"/>
      <c r="AS290" s="18"/>
      <c r="AT290" s="18"/>
      <c r="AU290" s="91"/>
      <c r="AV290" s="18"/>
      <c r="AW290" s="18"/>
      <c r="AX290" s="18"/>
      <c r="AY290" s="17"/>
      <c r="AZ290" s="17"/>
      <c r="BA290" s="17"/>
      <c r="BB290" s="17"/>
      <c r="BC290" s="96"/>
      <c r="BD290" s="96"/>
      <c r="BE290" s="96"/>
      <c r="BF290" s="96"/>
      <c r="BG290" s="96"/>
      <c r="BH290" s="96"/>
      <c r="BI290" s="96"/>
    </row>
    <row r="291" spans="1:61" x14ac:dyDescent="0.45">
      <c r="A291" s="17"/>
      <c r="B291" s="17"/>
      <c r="C291" s="17"/>
      <c r="D291" s="17"/>
      <c r="E291" s="15"/>
      <c r="F291" s="17"/>
      <c r="G291" s="17"/>
      <c r="H291" s="3"/>
      <c r="I291" s="88"/>
      <c r="J291" s="88"/>
      <c r="K291" s="15"/>
      <c r="L291" s="96"/>
      <c r="M291" s="89"/>
      <c r="N291" s="88"/>
      <c r="O291" s="413"/>
      <c r="P291" s="18"/>
      <c r="Q291" s="91"/>
      <c r="R291" s="18"/>
      <c r="S291" s="18"/>
      <c r="T291" s="18"/>
      <c r="U291" s="18"/>
      <c r="V291" s="18"/>
      <c r="W291" s="18"/>
      <c r="X291" s="18"/>
      <c r="Y291" s="92"/>
      <c r="Z291" s="92"/>
      <c r="AA291" s="418"/>
      <c r="AB291" s="95"/>
      <c r="AC291" s="18"/>
      <c r="AD291" s="18"/>
      <c r="AE291" s="18"/>
      <c r="AF291" s="18"/>
      <c r="AG291" s="91"/>
      <c r="AH291" s="18"/>
      <c r="AI291" s="18"/>
      <c r="AJ291" s="18"/>
      <c r="AK291" s="18"/>
      <c r="AL291" s="18"/>
      <c r="AM291" s="18"/>
      <c r="AN291" s="18"/>
      <c r="AO291" s="18"/>
      <c r="AP291" s="18"/>
      <c r="AQ291" s="18"/>
      <c r="AR291" s="18"/>
      <c r="AS291" s="18"/>
      <c r="AT291" s="18"/>
      <c r="AU291" s="91"/>
      <c r="AV291" s="18"/>
      <c r="AW291" s="18"/>
      <c r="AX291" s="18"/>
      <c r="AY291" s="17"/>
      <c r="AZ291" s="17"/>
      <c r="BA291" s="17"/>
      <c r="BB291" s="17"/>
      <c r="BC291" s="96"/>
      <c r="BD291" s="96"/>
      <c r="BE291" s="96"/>
      <c r="BF291" s="96"/>
      <c r="BG291" s="96"/>
      <c r="BH291" s="96"/>
      <c r="BI291" s="96"/>
    </row>
    <row r="292" spans="1:61" x14ac:dyDescent="0.45">
      <c r="A292" s="17"/>
      <c r="B292" s="17"/>
      <c r="C292" s="17"/>
      <c r="D292" s="17"/>
      <c r="E292" s="15"/>
      <c r="F292" s="17"/>
      <c r="G292" s="17"/>
      <c r="H292" s="3"/>
      <c r="I292" s="88"/>
      <c r="J292" s="88"/>
      <c r="K292" s="15"/>
      <c r="L292" s="96"/>
      <c r="M292" s="89"/>
      <c r="N292" s="88"/>
      <c r="O292" s="413"/>
      <c r="P292" s="18"/>
      <c r="Q292" s="91"/>
      <c r="R292" s="18"/>
      <c r="S292" s="18"/>
      <c r="T292" s="18"/>
      <c r="U292" s="18"/>
      <c r="V292" s="18"/>
      <c r="W292" s="18"/>
      <c r="X292" s="18"/>
      <c r="Y292" s="92"/>
      <c r="Z292" s="92"/>
      <c r="AA292" s="418"/>
      <c r="AB292" s="95"/>
      <c r="AC292" s="18"/>
      <c r="AD292" s="18"/>
      <c r="AE292" s="18"/>
      <c r="AF292" s="18"/>
      <c r="AG292" s="91"/>
      <c r="AH292" s="18"/>
      <c r="AI292" s="18"/>
      <c r="AJ292" s="18"/>
      <c r="AK292" s="18"/>
      <c r="AL292" s="18"/>
      <c r="AM292" s="18"/>
      <c r="AN292" s="18"/>
      <c r="AO292" s="18"/>
      <c r="AP292" s="18"/>
      <c r="AQ292" s="18"/>
      <c r="AR292" s="18"/>
      <c r="AS292" s="18"/>
      <c r="AT292" s="18"/>
      <c r="AU292" s="91"/>
      <c r="AV292" s="18"/>
      <c r="AW292" s="18"/>
      <c r="AX292" s="18"/>
      <c r="AY292" s="17"/>
      <c r="AZ292" s="17"/>
      <c r="BA292" s="17"/>
      <c r="BB292" s="17"/>
      <c r="BC292" s="96"/>
      <c r="BD292" s="96"/>
      <c r="BE292" s="96"/>
      <c r="BF292" s="96"/>
      <c r="BG292" s="96"/>
      <c r="BH292" s="96"/>
      <c r="BI292" s="96"/>
    </row>
    <row r="293" spans="1:61" x14ac:dyDescent="0.45">
      <c r="A293" s="17"/>
      <c r="B293" s="17"/>
      <c r="C293" s="17"/>
      <c r="D293" s="17"/>
      <c r="E293" s="15"/>
      <c r="F293" s="17"/>
      <c r="G293" s="17"/>
      <c r="H293" s="3"/>
      <c r="I293" s="88"/>
      <c r="J293" s="88"/>
      <c r="K293" s="15"/>
      <c r="L293" s="96"/>
      <c r="M293" s="89"/>
      <c r="N293" s="88"/>
      <c r="O293" s="413"/>
      <c r="P293" s="18"/>
      <c r="Q293" s="91"/>
      <c r="R293" s="18"/>
      <c r="S293" s="18"/>
      <c r="T293" s="18"/>
      <c r="U293" s="18"/>
      <c r="V293" s="18"/>
      <c r="W293" s="18"/>
      <c r="X293" s="18"/>
      <c r="Y293" s="92"/>
      <c r="Z293" s="92"/>
      <c r="AA293" s="418"/>
      <c r="AB293" s="95"/>
      <c r="AC293" s="18"/>
      <c r="AD293" s="18"/>
      <c r="AE293" s="18"/>
      <c r="AF293" s="18"/>
      <c r="AG293" s="91"/>
      <c r="AH293" s="18"/>
      <c r="AI293" s="18"/>
      <c r="AJ293" s="18"/>
      <c r="AK293" s="18"/>
      <c r="AL293" s="18"/>
      <c r="AM293" s="18"/>
      <c r="AN293" s="18"/>
      <c r="AO293" s="18"/>
      <c r="AP293" s="18"/>
      <c r="AQ293" s="18"/>
      <c r="AR293" s="18"/>
      <c r="AS293" s="18"/>
      <c r="AT293" s="18"/>
      <c r="AU293" s="91"/>
      <c r="AV293" s="18"/>
      <c r="AW293" s="18"/>
      <c r="AX293" s="18"/>
      <c r="AY293" s="17"/>
      <c r="AZ293" s="17"/>
      <c r="BA293" s="17"/>
      <c r="BB293" s="17"/>
      <c r="BC293" s="96"/>
      <c r="BD293" s="96"/>
      <c r="BE293" s="96"/>
      <c r="BF293" s="96"/>
      <c r="BG293" s="96"/>
      <c r="BH293" s="96"/>
      <c r="BI293" s="96"/>
    </row>
    <row r="294" spans="1:61" x14ac:dyDescent="0.45">
      <c r="A294" s="17"/>
      <c r="B294" s="17"/>
      <c r="C294" s="17"/>
      <c r="D294" s="17"/>
      <c r="E294" s="15"/>
      <c r="F294" s="17"/>
      <c r="G294" s="17"/>
      <c r="H294" s="3"/>
      <c r="I294" s="88"/>
      <c r="J294" s="88"/>
      <c r="K294" s="15"/>
      <c r="L294" s="96"/>
      <c r="M294" s="89"/>
      <c r="N294" s="88"/>
      <c r="O294" s="413"/>
      <c r="P294" s="18"/>
      <c r="Q294" s="91"/>
      <c r="R294" s="18"/>
      <c r="S294" s="18"/>
      <c r="T294" s="18"/>
      <c r="U294" s="18"/>
      <c r="V294" s="18"/>
      <c r="W294" s="18"/>
      <c r="X294" s="18"/>
      <c r="Y294" s="92"/>
      <c r="Z294" s="92"/>
      <c r="AA294" s="418"/>
      <c r="AB294" s="95"/>
      <c r="AC294" s="18"/>
      <c r="AD294" s="18"/>
      <c r="AE294" s="18"/>
      <c r="AF294" s="18"/>
      <c r="AG294" s="91"/>
      <c r="AH294" s="18"/>
      <c r="AI294" s="18"/>
      <c r="AJ294" s="18"/>
      <c r="AK294" s="18"/>
      <c r="AL294" s="18"/>
      <c r="AM294" s="18"/>
      <c r="AN294" s="18"/>
      <c r="AO294" s="18"/>
      <c r="AP294" s="18"/>
      <c r="AQ294" s="18"/>
      <c r="AR294" s="18"/>
      <c r="AS294" s="18"/>
      <c r="AT294" s="18"/>
      <c r="AU294" s="91"/>
      <c r="AV294" s="18"/>
      <c r="AW294" s="18"/>
      <c r="AX294" s="18"/>
      <c r="AY294" s="17"/>
      <c r="AZ294" s="17"/>
      <c r="BA294" s="17"/>
      <c r="BB294" s="17"/>
      <c r="BC294" s="96"/>
      <c r="BD294" s="96"/>
      <c r="BE294" s="96"/>
      <c r="BF294" s="96"/>
      <c r="BG294" s="96"/>
      <c r="BH294" s="96"/>
      <c r="BI294" s="96"/>
    </row>
    <row r="295" spans="1:61" x14ac:dyDescent="0.45">
      <c r="A295" s="17"/>
      <c r="B295" s="17"/>
      <c r="C295" s="17"/>
      <c r="D295" s="17"/>
      <c r="E295" s="15"/>
      <c r="F295" s="17"/>
      <c r="G295" s="17"/>
      <c r="H295" s="3"/>
      <c r="I295" s="88"/>
      <c r="J295" s="88"/>
      <c r="K295" s="15"/>
      <c r="L295" s="96"/>
      <c r="M295" s="89"/>
      <c r="N295" s="88"/>
      <c r="O295" s="413"/>
      <c r="P295" s="18"/>
      <c r="Q295" s="91"/>
      <c r="R295" s="18"/>
      <c r="S295" s="18"/>
      <c r="T295" s="18"/>
      <c r="U295" s="18"/>
      <c r="V295" s="18"/>
      <c r="W295" s="18"/>
      <c r="X295" s="18"/>
      <c r="Y295" s="92"/>
      <c r="Z295" s="92"/>
      <c r="AA295" s="418"/>
      <c r="AB295" s="95"/>
      <c r="AC295" s="18"/>
      <c r="AD295" s="18"/>
      <c r="AE295" s="18"/>
      <c r="AF295" s="18"/>
      <c r="AG295" s="91"/>
      <c r="AH295" s="18"/>
      <c r="AI295" s="18"/>
      <c r="AJ295" s="18"/>
      <c r="AK295" s="18"/>
      <c r="AL295" s="18"/>
      <c r="AM295" s="18"/>
      <c r="AN295" s="18"/>
      <c r="AO295" s="18"/>
      <c r="AP295" s="18"/>
      <c r="AQ295" s="18"/>
      <c r="AR295" s="18"/>
      <c r="AS295" s="18"/>
      <c r="AT295" s="18"/>
      <c r="AU295" s="91"/>
      <c r="AV295" s="18"/>
      <c r="AW295" s="18"/>
      <c r="AX295" s="18"/>
      <c r="AY295" s="17"/>
      <c r="AZ295" s="17"/>
      <c r="BA295" s="17"/>
      <c r="BB295" s="17"/>
      <c r="BC295" s="96"/>
      <c r="BD295" s="96"/>
      <c r="BE295" s="96"/>
      <c r="BF295" s="96"/>
      <c r="BG295" s="96"/>
      <c r="BH295" s="96"/>
      <c r="BI295" s="96"/>
    </row>
    <row r="296" spans="1:61" x14ac:dyDescent="0.45">
      <c r="A296" s="17"/>
      <c r="B296" s="17"/>
      <c r="C296" s="17"/>
      <c r="D296" s="17"/>
      <c r="E296" s="15"/>
      <c r="F296" s="17"/>
      <c r="G296" s="17"/>
      <c r="H296" s="3"/>
      <c r="I296" s="88"/>
      <c r="J296" s="88"/>
      <c r="K296" s="15"/>
      <c r="L296" s="96"/>
      <c r="M296" s="89"/>
      <c r="N296" s="88"/>
      <c r="O296" s="413"/>
      <c r="P296" s="18"/>
      <c r="Q296" s="91"/>
      <c r="R296" s="18"/>
      <c r="S296" s="18"/>
      <c r="T296" s="18"/>
      <c r="U296" s="18"/>
      <c r="V296" s="18"/>
      <c r="W296" s="18"/>
      <c r="X296" s="18"/>
      <c r="Y296" s="92"/>
      <c r="Z296" s="92"/>
      <c r="AA296" s="418"/>
      <c r="AB296" s="95"/>
      <c r="AC296" s="18"/>
      <c r="AD296" s="18"/>
      <c r="AE296" s="18"/>
      <c r="AF296" s="18"/>
      <c r="AG296" s="91"/>
      <c r="AH296" s="18"/>
      <c r="AI296" s="18"/>
      <c r="AJ296" s="18"/>
      <c r="AK296" s="18"/>
      <c r="AL296" s="18"/>
      <c r="AM296" s="18"/>
      <c r="AN296" s="18"/>
      <c r="AO296" s="18"/>
      <c r="AP296" s="18"/>
      <c r="AQ296" s="18"/>
      <c r="AR296" s="18"/>
      <c r="AS296" s="18"/>
      <c r="AT296" s="18"/>
      <c r="AU296" s="91"/>
      <c r="AV296" s="18"/>
      <c r="AW296" s="18"/>
      <c r="AX296" s="18"/>
      <c r="AY296" s="17"/>
      <c r="AZ296" s="17"/>
      <c r="BA296" s="17"/>
      <c r="BB296" s="17"/>
      <c r="BC296" s="96"/>
      <c r="BD296" s="96"/>
      <c r="BE296" s="96"/>
      <c r="BF296" s="96"/>
      <c r="BG296" s="96"/>
      <c r="BH296" s="96"/>
      <c r="BI296" s="96"/>
    </row>
    <row r="297" spans="1:61" x14ac:dyDescent="0.45">
      <c r="A297" s="17"/>
      <c r="B297" s="17"/>
      <c r="C297" s="17"/>
      <c r="D297" s="17"/>
      <c r="E297" s="15"/>
      <c r="F297" s="17"/>
      <c r="G297" s="17"/>
      <c r="H297" s="3"/>
      <c r="I297" s="88"/>
      <c r="J297" s="88"/>
      <c r="K297" s="15"/>
      <c r="L297" s="96"/>
      <c r="M297" s="89"/>
      <c r="N297" s="88"/>
      <c r="O297" s="413"/>
      <c r="P297" s="18"/>
      <c r="Q297" s="91"/>
      <c r="R297" s="18"/>
      <c r="S297" s="18"/>
      <c r="T297" s="18"/>
      <c r="U297" s="18"/>
      <c r="V297" s="18"/>
      <c r="W297" s="18"/>
      <c r="X297" s="18"/>
      <c r="Y297" s="92"/>
      <c r="Z297" s="92"/>
      <c r="AA297" s="418"/>
      <c r="AB297" s="95"/>
      <c r="AC297" s="18"/>
      <c r="AD297" s="18"/>
      <c r="AE297" s="18"/>
      <c r="AF297" s="18"/>
      <c r="AG297" s="91"/>
      <c r="AH297" s="18"/>
      <c r="AI297" s="18"/>
      <c r="AJ297" s="18"/>
      <c r="AK297" s="18"/>
      <c r="AL297" s="18"/>
      <c r="AM297" s="18"/>
      <c r="AN297" s="18"/>
      <c r="AO297" s="18"/>
      <c r="AP297" s="18"/>
      <c r="AQ297" s="18"/>
      <c r="AR297" s="18"/>
      <c r="AS297" s="18"/>
      <c r="AT297" s="18"/>
      <c r="AU297" s="91"/>
      <c r="AV297" s="18"/>
      <c r="AW297" s="18"/>
      <c r="AX297" s="18"/>
      <c r="AY297" s="17"/>
      <c r="AZ297" s="17"/>
      <c r="BA297" s="17"/>
      <c r="BB297" s="17"/>
      <c r="BC297" s="96"/>
      <c r="BD297" s="96"/>
      <c r="BE297" s="96"/>
      <c r="BF297" s="96"/>
      <c r="BG297" s="96"/>
      <c r="BH297" s="96"/>
      <c r="BI297" s="96"/>
    </row>
    <row r="298" spans="1:61" x14ac:dyDescent="0.45">
      <c r="A298" s="17"/>
      <c r="B298" s="17"/>
      <c r="C298" s="17"/>
      <c r="D298" s="17"/>
      <c r="E298" s="15"/>
      <c r="F298" s="17"/>
      <c r="G298" s="17"/>
      <c r="H298" s="3"/>
      <c r="I298" s="88"/>
      <c r="J298" s="88"/>
      <c r="K298" s="15"/>
      <c r="L298" s="96"/>
      <c r="M298" s="89"/>
      <c r="N298" s="88"/>
      <c r="O298" s="413"/>
      <c r="P298" s="18"/>
      <c r="Q298" s="91"/>
      <c r="R298" s="18"/>
      <c r="S298" s="18"/>
      <c r="T298" s="18"/>
      <c r="U298" s="18"/>
      <c r="V298" s="18"/>
      <c r="W298" s="18"/>
      <c r="X298" s="18"/>
      <c r="Y298" s="92"/>
      <c r="Z298" s="92"/>
      <c r="AA298" s="418"/>
      <c r="AB298" s="95"/>
      <c r="AC298" s="18"/>
      <c r="AD298" s="18"/>
      <c r="AE298" s="18"/>
      <c r="AF298" s="18"/>
      <c r="AG298" s="91"/>
      <c r="AH298" s="18"/>
      <c r="AI298" s="18"/>
      <c r="AJ298" s="18"/>
      <c r="AK298" s="18"/>
      <c r="AL298" s="18"/>
      <c r="AM298" s="18"/>
      <c r="AN298" s="18"/>
      <c r="AO298" s="18"/>
      <c r="AP298" s="18"/>
      <c r="AQ298" s="18"/>
      <c r="AR298" s="18"/>
      <c r="AS298" s="18"/>
      <c r="AT298" s="18"/>
      <c r="AU298" s="91"/>
      <c r="AV298" s="18"/>
      <c r="AW298" s="18"/>
      <c r="AX298" s="18"/>
      <c r="AY298" s="17"/>
      <c r="AZ298" s="17"/>
      <c r="BA298" s="17"/>
      <c r="BB298" s="17"/>
      <c r="BC298" s="96"/>
      <c r="BD298" s="96"/>
      <c r="BE298" s="96"/>
      <c r="BF298" s="96"/>
      <c r="BG298" s="96"/>
      <c r="BH298" s="96"/>
      <c r="BI298" s="96"/>
    </row>
    <row r="299" spans="1:61" x14ac:dyDescent="0.45">
      <c r="A299" s="17"/>
      <c r="B299" s="17"/>
      <c r="C299" s="17"/>
      <c r="D299" s="17"/>
      <c r="E299" s="15"/>
      <c r="F299" s="17"/>
      <c r="G299" s="17"/>
      <c r="H299" s="3"/>
      <c r="I299" s="88"/>
      <c r="J299" s="88"/>
      <c r="K299" s="15"/>
      <c r="L299" s="96"/>
      <c r="M299" s="89"/>
      <c r="N299" s="88"/>
      <c r="O299" s="413"/>
      <c r="P299" s="18"/>
      <c r="Q299" s="91"/>
      <c r="R299" s="18"/>
      <c r="S299" s="18"/>
      <c r="T299" s="18"/>
      <c r="U299" s="18"/>
      <c r="V299" s="18"/>
      <c r="W299" s="18"/>
      <c r="X299" s="18"/>
      <c r="Y299" s="92"/>
      <c r="Z299" s="92"/>
      <c r="AA299" s="418"/>
      <c r="AB299" s="95"/>
      <c r="AC299" s="18"/>
      <c r="AD299" s="18"/>
      <c r="AE299" s="18"/>
      <c r="AF299" s="18"/>
      <c r="AG299" s="91"/>
      <c r="AH299" s="18"/>
      <c r="AI299" s="18"/>
      <c r="AJ299" s="18"/>
      <c r="AK299" s="18"/>
      <c r="AL299" s="18"/>
      <c r="AM299" s="18"/>
      <c r="AN299" s="18"/>
      <c r="AO299" s="18"/>
      <c r="AP299" s="18"/>
      <c r="AQ299" s="18"/>
      <c r="AR299" s="18"/>
      <c r="AS299" s="18"/>
      <c r="AT299" s="18"/>
      <c r="AU299" s="91"/>
      <c r="AV299" s="18"/>
      <c r="AW299" s="18"/>
      <c r="AX299" s="18"/>
      <c r="AY299" s="17"/>
      <c r="AZ299" s="17"/>
      <c r="BA299" s="17"/>
      <c r="BB299" s="17"/>
      <c r="BC299" s="96"/>
      <c r="BD299" s="96"/>
      <c r="BE299" s="96"/>
      <c r="BF299" s="96"/>
      <c r="BG299" s="96"/>
      <c r="BH299" s="96"/>
      <c r="BI299" s="96"/>
    </row>
    <row r="300" spans="1:61" x14ac:dyDescent="0.45">
      <c r="A300" s="17"/>
      <c r="B300" s="17"/>
      <c r="C300" s="17"/>
      <c r="D300" s="17"/>
      <c r="E300" s="15"/>
      <c r="F300" s="17"/>
      <c r="G300" s="17"/>
      <c r="H300" s="3"/>
      <c r="I300" s="88"/>
      <c r="J300" s="88"/>
      <c r="K300" s="15"/>
      <c r="L300" s="96"/>
      <c r="M300" s="89"/>
      <c r="N300" s="88"/>
      <c r="O300" s="413"/>
      <c r="P300" s="18"/>
      <c r="Q300" s="91"/>
      <c r="R300" s="18"/>
      <c r="S300" s="18"/>
      <c r="T300" s="18"/>
      <c r="U300" s="18"/>
      <c r="V300" s="18"/>
      <c r="W300" s="18"/>
      <c r="X300" s="18"/>
      <c r="Y300" s="92"/>
      <c r="Z300" s="92"/>
      <c r="AA300" s="418"/>
      <c r="AB300" s="95"/>
      <c r="AC300" s="18"/>
      <c r="AD300" s="18"/>
      <c r="AE300" s="18"/>
      <c r="AF300" s="18"/>
      <c r="AG300" s="91"/>
      <c r="AH300" s="18"/>
      <c r="AI300" s="18"/>
      <c r="AJ300" s="18"/>
      <c r="AK300" s="18"/>
      <c r="AL300" s="18"/>
      <c r="AM300" s="18"/>
      <c r="AN300" s="18"/>
      <c r="AO300" s="18"/>
      <c r="AP300" s="18"/>
      <c r="AQ300" s="18"/>
      <c r="AR300" s="18"/>
      <c r="AS300" s="18"/>
      <c r="AT300" s="18"/>
      <c r="AU300" s="91"/>
      <c r="AV300" s="18"/>
      <c r="AW300" s="18"/>
      <c r="AX300" s="18"/>
      <c r="AY300" s="17"/>
      <c r="AZ300" s="17"/>
      <c r="BA300" s="17"/>
      <c r="BB300" s="17"/>
      <c r="BC300" s="96"/>
      <c r="BD300" s="96"/>
      <c r="BE300" s="96"/>
      <c r="BF300" s="96"/>
      <c r="BG300" s="96"/>
      <c r="BH300" s="96"/>
      <c r="BI300" s="96"/>
    </row>
    <row r="301" spans="1:61" x14ac:dyDescent="0.45">
      <c r="A301" s="17"/>
      <c r="B301" s="17"/>
      <c r="C301" s="17"/>
      <c r="D301" s="17"/>
      <c r="E301" s="15"/>
      <c r="F301" s="17"/>
      <c r="G301" s="17"/>
      <c r="H301" s="3"/>
      <c r="I301" s="88"/>
      <c r="J301" s="88"/>
      <c r="K301" s="15"/>
      <c r="L301" s="96"/>
      <c r="M301" s="89"/>
      <c r="N301" s="88"/>
      <c r="O301" s="413"/>
      <c r="P301" s="18"/>
      <c r="Q301" s="91"/>
      <c r="R301" s="18"/>
      <c r="S301" s="18"/>
      <c r="T301" s="18"/>
      <c r="U301" s="18"/>
      <c r="V301" s="18"/>
      <c r="W301" s="18"/>
      <c r="X301" s="18"/>
      <c r="Y301" s="92"/>
      <c r="Z301" s="92"/>
      <c r="AA301" s="418"/>
      <c r="AB301" s="95"/>
      <c r="AC301" s="18"/>
      <c r="AD301" s="18"/>
      <c r="AE301" s="18"/>
      <c r="AF301" s="18"/>
      <c r="AG301" s="91"/>
      <c r="AH301" s="18"/>
      <c r="AI301" s="18"/>
      <c r="AJ301" s="18"/>
      <c r="AK301" s="18"/>
      <c r="AL301" s="18"/>
      <c r="AM301" s="18"/>
      <c r="AN301" s="18"/>
      <c r="AO301" s="18"/>
      <c r="AP301" s="18"/>
      <c r="AQ301" s="18"/>
      <c r="AR301" s="18"/>
      <c r="AS301" s="18"/>
      <c r="AT301" s="18"/>
      <c r="AU301" s="91"/>
      <c r="AV301" s="18"/>
      <c r="AW301" s="18"/>
      <c r="AX301" s="18"/>
      <c r="AY301" s="17"/>
      <c r="AZ301" s="17"/>
      <c r="BA301" s="17"/>
      <c r="BB301" s="17"/>
      <c r="BC301" s="96"/>
      <c r="BD301" s="96"/>
      <c r="BE301" s="96"/>
      <c r="BF301" s="96"/>
      <c r="BG301" s="96"/>
      <c r="BH301" s="96"/>
      <c r="BI301" s="96"/>
    </row>
    <row r="302" spans="1:61" x14ac:dyDescent="0.45">
      <c r="A302" s="17"/>
      <c r="B302" s="17"/>
      <c r="C302" s="17"/>
      <c r="D302" s="17"/>
      <c r="E302" s="15"/>
      <c r="F302" s="17"/>
      <c r="G302" s="17"/>
      <c r="H302" s="3"/>
      <c r="I302" s="88"/>
      <c r="J302" s="88"/>
      <c r="K302" s="15"/>
      <c r="L302" s="96"/>
      <c r="M302" s="89"/>
      <c r="N302" s="88"/>
      <c r="O302" s="413"/>
      <c r="P302" s="18"/>
      <c r="Q302" s="91"/>
      <c r="R302" s="18"/>
      <c r="S302" s="18"/>
      <c r="T302" s="18"/>
      <c r="U302" s="18"/>
      <c r="V302" s="18"/>
      <c r="W302" s="18"/>
      <c r="X302" s="18"/>
      <c r="Y302" s="92"/>
      <c r="Z302" s="92"/>
      <c r="AA302" s="418"/>
      <c r="AB302" s="95"/>
      <c r="AC302" s="18"/>
      <c r="AD302" s="18"/>
      <c r="AE302" s="18"/>
      <c r="AF302" s="18"/>
      <c r="AG302" s="91"/>
      <c r="AH302" s="18"/>
      <c r="AI302" s="18"/>
      <c r="AJ302" s="18"/>
      <c r="AK302" s="18"/>
      <c r="AL302" s="18"/>
      <c r="AM302" s="18"/>
      <c r="AN302" s="18"/>
      <c r="AO302" s="18"/>
      <c r="AP302" s="18"/>
      <c r="AQ302" s="18"/>
      <c r="AR302" s="18"/>
      <c r="AS302" s="18"/>
      <c r="AT302" s="18"/>
      <c r="AU302" s="91"/>
      <c r="AV302" s="18"/>
      <c r="AW302" s="18"/>
      <c r="AX302" s="18"/>
      <c r="AY302" s="17"/>
      <c r="AZ302" s="17"/>
      <c r="BA302" s="17"/>
      <c r="BB302" s="17"/>
      <c r="BC302" s="96"/>
      <c r="BD302" s="96"/>
      <c r="BE302" s="96"/>
      <c r="BF302" s="96"/>
      <c r="BG302" s="96"/>
      <c r="BH302" s="96"/>
      <c r="BI302" s="96"/>
    </row>
    <row r="303" spans="1:61" x14ac:dyDescent="0.45">
      <c r="A303" s="17"/>
      <c r="B303" s="17"/>
      <c r="C303" s="17"/>
      <c r="D303" s="17"/>
      <c r="E303" s="15"/>
      <c r="F303" s="17"/>
      <c r="G303" s="17"/>
      <c r="H303" s="3"/>
      <c r="I303" s="88"/>
      <c r="J303" s="88"/>
      <c r="K303" s="15"/>
      <c r="L303" s="96"/>
      <c r="M303" s="89"/>
      <c r="N303" s="88"/>
      <c r="O303" s="413"/>
      <c r="P303" s="18"/>
      <c r="Q303" s="91"/>
      <c r="R303" s="18"/>
      <c r="S303" s="18"/>
      <c r="T303" s="18"/>
      <c r="U303" s="18"/>
      <c r="V303" s="18"/>
      <c r="W303" s="18"/>
      <c r="X303" s="18"/>
      <c r="Y303" s="92"/>
      <c r="Z303" s="92"/>
      <c r="AA303" s="418"/>
      <c r="AB303" s="95"/>
      <c r="AC303" s="18"/>
      <c r="AD303" s="18"/>
      <c r="AE303" s="18"/>
      <c r="AF303" s="18"/>
      <c r="AG303" s="91"/>
      <c r="AH303" s="18"/>
      <c r="AI303" s="18"/>
      <c r="AJ303" s="18"/>
      <c r="AK303" s="18"/>
      <c r="AL303" s="18"/>
      <c r="AM303" s="18"/>
      <c r="AN303" s="18"/>
      <c r="AO303" s="18"/>
      <c r="AP303" s="18"/>
      <c r="AQ303" s="18"/>
      <c r="AR303" s="18"/>
      <c r="AS303" s="18"/>
      <c r="AT303" s="18"/>
      <c r="AU303" s="91"/>
      <c r="AV303" s="18"/>
      <c r="AW303" s="18"/>
      <c r="AX303" s="18"/>
      <c r="AY303" s="17"/>
      <c r="AZ303" s="17"/>
      <c r="BA303" s="17"/>
      <c r="BB303" s="17"/>
      <c r="BC303" s="96"/>
      <c r="BD303" s="96"/>
      <c r="BE303" s="96"/>
      <c r="BF303" s="96"/>
      <c r="BG303" s="96"/>
      <c r="BH303" s="96"/>
      <c r="BI303" s="96"/>
    </row>
    <row r="304" spans="1:61" x14ac:dyDescent="0.45">
      <c r="A304" s="17"/>
      <c r="B304" s="17"/>
      <c r="C304" s="17"/>
      <c r="D304" s="17"/>
      <c r="E304" s="15"/>
      <c r="F304" s="17"/>
      <c r="G304" s="17"/>
      <c r="H304" s="3"/>
      <c r="I304" s="88"/>
      <c r="J304" s="88"/>
      <c r="K304" s="15"/>
      <c r="L304" s="96"/>
      <c r="M304" s="89"/>
      <c r="N304" s="88"/>
      <c r="O304" s="413"/>
      <c r="P304" s="18"/>
      <c r="Q304" s="91"/>
      <c r="R304" s="18"/>
      <c r="S304" s="18"/>
      <c r="T304" s="18"/>
      <c r="U304" s="18"/>
      <c r="V304" s="18"/>
      <c r="W304" s="18"/>
      <c r="X304" s="18"/>
      <c r="Y304" s="92"/>
      <c r="Z304" s="92"/>
      <c r="AA304" s="418"/>
      <c r="AB304" s="95"/>
      <c r="AC304" s="18"/>
      <c r="AD304" s="18"/>
      <c r="AE304" s="18"/>
      <c r="AF304" s="18"/>
      <c r="AG304" s="91"/>
      <c r="AH304" s="18"/>
      <c r="AI304" s="18"/>
      <c r="AJ304" s="18"/>
      <c r="AK304" s="18"/>
      <c r="AL304" s="18"/>
      <c r="AM304" s="18"/>
      <c r="AN304" s="18"/>
      <c r="AO304" s="18"/>
      <c r="AP304" s="18"/>
      <c r="AQ304" s="18"/>
      <c r="AR304" s="18"/>
      <c r="AS304" s="18"/>
      <c r="AT304" s="18"/>
      <c r="AU304" s="91"/>
      <c r="AV304" s="18"/>
      <c r="AW304" s="18"/>
      <c r="AX304" s="18"/>
      <c r="AY304" s="17"/>
      <c r="AZ304" s="17"/>
      <c r="BA304" s="17"/>
      <c r="BB304" s="17"/>
      <c r="BC304" s="96"/>
      <c r="BD304" s="96"/>
      <c r="BE304" s="96"/>
      <c r="BF304" s="96"/>
      <c r="BG304" s="96"/>
      <c r="BH304" s="96"/>
      <c r="BI304" s="96"/>
    </row>
    <row r="305" spans="1:61" x14ac:dyDescent="0.45">
      <c r="A305" s="17"/>
      <c r="B305" s="17"/>
      <c r="C305" s="17"/>
      <c r="D305" s="17"/>
      <c r="E305" s="15"/>
      <c r="F305" s="17"/>
      <c r="G305" s="17"/>
      <c r="H305" s="3"/>
      <c r="I305" s="88"/>
      <c r="J305" s="88"/>
      <c r="K305" s="15"/>
      <c r="L305" s="96"/>
      <c r="M305" s="89"/>
      <c r="N305" s="88"/>
      <c r="O305" s="413"/>
      <c r="P305" s="18"/>
      <c r="Q305" s="91"/>
      <c r="R305" s="18"/>
      <c r="S305" s="18"/>
      <c r="T305" s="18"/>
      <c r="U305" s="18"/>
      <c r="V305" s="18"/>
      <c r="W305" s="18"/>
      <c r="X305" s="18"/>
      <c r="Y305" s="92"/>
      <c r="Z305" s="92"/>
      <c r="AA305" s="418"/>
      <c r="AB305" s="95"/>
      <c r="AC305" s="18"/>
      <c r="AD305" s="18"/>
      <c r="AE305" s="18"/>
      <c r="AF305" s="18"/>
      <c r="AG305" s="91"/>
      <c r="AH305" s="18"/>
      <c r="AI305" s="18"/>
      <c r="AJ305" s="18"/>
      <c r="AK305" s="18"/>
      <c r="AL305" s="18"/>
      <c r="AM305" s="18"/>
      <c r="AN305" s="18"/>
      <c r="AO305" s="18"/>
      <c r="AP305" s="18"/>
      <c r="AQ305" s="18"/>
      <c r="AR305" s="18"/>
      <c r="AS305" s="18"/>
      <c r="AT305" s="18"/>
      <c r="AU305" s="91"/>
      <c r="AV305" s="18"/>
      <c r="AW305" s="18"/>
      <c r="AX305" s="18"/>
      <c r="AY305" s="17"/>
      <c r="AZ305" s="17"/>
      <c r="BA305" s="17"/>
      <c r="BB305" s="17"/>
      <c r="BC305" s="96"/>
      <c r="BD305" s="96"/>
      <c r="BE305" s="96"/>
      <c r="BF305" s="96"/>
      <c r="BG305" s="96"/>
      <c r="BH305" s="96"/>
      <c r="BI305" s="96"/>
    </row>
    <row r="306" spans="1:61" x14ac:dyDescent="0.45">
      <c r="A306" s="17"/>
      <c r="B306" s="17"/>
      <c r="C306" s="17"/>
      <c r="D306" s="17"/>
      <c r="E306" s="15"/>
      <c r="F306" s="17"/>
      <c r="G306" s="17"/>
      <c r="H306" s="3"/>
      <c r="I306" s="88"/>
      <c r="J306" s="88"/>
      <c r="K306" s="15"/>
      <c r="L306" s="96"/>
      <c r="M306" s="89"/>
      <c r="N306" s="88"/>
      <c r="O306" s="413"/>
      <c r="P306" s="18"/>
      <c r="Q306" s="91"/>
      <c r="R306" s="18"/>
      <c r="S306" s="18"/>
      <c r="T306" s="18"/>
      <c r="U306" s="18"/>
      <c r="V306" s="18"/>
      <c r="W306" s="18"/>
      <c r="X306" s="18"/>
      <c r="Y306" s="92"/>
      <c r="Z306" s="92"/>
      <c r="AA306" s="418"/>
      <c r="AB306" s="95"/>
      <c r="AC306" s="18"/>
      <c r="AD306" s="18"/>
      <c r="AE306" s="18"/>
      <c r="AF306" s="18"/>
      <c r="AG306" s="91"/>
      <c r="AH306" s="18"/>
      <c r="AI306" s="18"/>
      <c r="AJ306" s="18"/>
      <c r="AK306" s="18"/>
      <c r="AL306" s="18"/>
      <c r="AM306" s="18"/>
      <c r="AN306" s="18"/>
      <c r="AO306" s="18"/>
      <c r="AP306" s="18"/>
      <c r="AQ306" s="18"/>
      <c r="AR306" s="18"/>
      <c r="AS306" s="18"/>
      <c r="AT306" s="18"/>
      <c r="AU306" s="91"/>
      <c r="AV306" s="18"/>
      <c r="AW306" s="18"/>
      <c r="AX306" s="18"/>
      <c r="AY306" s="17"/>
      <c r="AZ306" s="17"/>
      <c r="BA306" s="17"/>
      <c r="BB306" s="17"/>
      <c r="BC306" s="96"/>
      <c r="BD306" s="96"/>
      <c r="BE306" s="96"/>
      <c r="BF306" s="96"/>
      <c r="BG306" s="96"/>
      <c r="BH306" s="96"/>
      <c r="BI306" s="96"/>
    </row>
    <row r="307" spans="1:61" x14ac:dyDescent="0.45">
      <c r="A307" s="17"/>
      <c r="B307" s="17"/>
      <c r="C307" s="17"/>
      <c r="D307" s="17"/>
      <c r="E307" s="15"/>
      <c r="F307" s="17"/>
      <c r="G307" s="17"/>
      <c r="H307" s="3"/>
      <c r="I307" s="88"/>
      <c r="J307" s="88"/>
      <c r="K307" s="15"/>
      <c r="L307" s="96"/>
      <c r="M307" s="89"/>
      <c r="N307" s="88"/>
      <c r="O307" s="413"/>
      <c r="P307" s="18"/>
      <c r="Q307" s="91"/>
      <c r="R307" s="18"/>
      <c r="S307" s="18"/>
      <c r="T307" s="18"/>
      <c r="U307" s="18"/>
      <c r="V307" s="18"/>
      <c r="W307" s="18"/>
      <c r="X307" s="18"/>
      <c r="Y307" s="92"/>
      <c r="Z307" s="92"/>
      <c r="AA307" s="418"/>
      <c r="AB307" s="95"/>
      <c r="AC307" s="18"/>
      <c r="AD307" s="18"/>
      <c r="AE307" s="18"/>
      <c r="AF307" s="18"/>
      <c r="AG307" s="91"/>
      <c r="AH307" s="18"/>
      <c r="AI307" s="18"/>
      <c r="AJ307" s="18"/>
      <c r="AK307" s="18"/>
      <c r="AL307" s="18"/>
      <c r="AM307" s="18"/>
      <c r="AN307" s="18"/>
      <c r="AO307" s="18"/>
      <c r="AP307" s="18"/>
      <c r="AQ307" s="18"/>
      <c r="AR307" s="18"/>
      <c r="AS307" s="18"/>
      <c r="AT307" s="18"/>
      <c r="AU307" s="91"/>
      <c r="AV307" s="18"/>
      <c r="AW307" s="18"/>
      <c r="AX307" s="18"/>
      <c r="AY307" s="17"/>
      <c r="AZ307" s="17"/>
      <c r="BA307" s="17"/>
      <c r="BB307" s="17"/>
      <c r="BC307" s="96"/>
      <c r="BD307" s="96"/>
      <c r="BE307" s="96"/>
      <c r="BF307" s="96"/>
      <c r="BG307" s="96"/>
      <c r="BH307" s="96"/>
      <c r="BI307" s="96"/>
    </row>
    <row r="308" spans="1:61" x14ac:dyDescent="0.45">
      <c r="A308" s="17"/>
      <c r="B308" s="17"/>
      <c r="C308" s="17"/>
      <c r="D308" s="17"/>
      <c r="E308" s="15"/>
      <c r="F308" s="17"/>
      <c r="G308" s="17"/>
      <c r="H308" s="3"/>
      <c r="I308" s="88"/>
      <c r="J308" s="88"/>
      <c r="K308" s="15"/>
      <c r="L308" s="96"/>
      <c r="M308" s="89"/>
      <c r="N308" s="88"/>
      <c r="O308" s="413"/>
      <c r="P308" s="18"/>
      <c r="Q308" s="91"/>
      <c r="R308" s="18"/>
      <c r="S308" s="18"/>
      <c r="T308" s="18"/>
      <c r="U308" s="18"/>
      <c r="V308" s="18"/>
      <c r="W308" s="18"/>
      <c r="X308" s="18"/>
      <c r="Y308" s="92"/>
      <c r="Z308" s="92"/>
      <c r="AA308" s="418"/>
      <c r="AB308" s="95"/>
      <c r="AC308" s="18"/>
      <c r="AD308" s="18"/>
      <c r="AE308" s="18"/>
      <c r="AF308" s="18"/>
      <c r="AG308" s="91"/>
      <c r="AH308" s="18"/>
      <c r="AI308" s="18"/>
      <c r="AJ308" s="18"/>
      <c r="AK308" s="18"/>
      <c r="AL308" s="18"/>
      <c r="AM308" s="18"/>
      <c r="AN308" s="18"/>
      <c r="AO308" s="18"/>
      <c r="AP308" s="18"/>
      <c r="AQ308" s="18"/>
      <c r="AR308" s="18"/>
      <c r="AS308" s="18"/>
      <c r="AT308" s="18"/>
      <c r="AU308" s="91"/>
      <c r="AV308" s="18"/>
      <c r="AW308" s="18"/>
      <c r="AX308" s="18"/>
      <c r="AY308" s="17"/>
      <c r="AZ308" s="17"/>
      <c r="BA308" s="17"/>
      <c r="BB308" s="17"/>
      <c r="BC308" s="96"/>
      <c r="BD308" s="96"/>
      <c r="BE308" s="96"/>
      <c r="BF308" s="96"/>
      <c r="BG308" s="96"/>
      <c r="BH308" s="96"/>
      <c r="BI308" s="96"/>
    </row>
    <row r="309" spans="1:61" x14ac:dyDescent="0.45">
      <c r="A309" s="17"/>
      <c r="B309" s="17"/>
      <c r="C309" s="17"/>
      <c r="D309" s="17"/>
      <c r="E309" s="15"/>
      <c r="F309" s="17"/>
      <c r="G309" s="17"/>
      <c r="H309" s="3"/>
      <c r="I309" s="88"/>
      <c r="J309" s="88"/>
      <c r="K309" s="15"/>
      <c r="L309" s="96"/>
      <c r="M309" s="89"/>
      <c r="N309" s="88"/>
      <c r="O309" s="413"/>
      <c r="P309" s="18"/>
      <c r="Q309" s="91"/>
      <c r="R309" s="18"/>
      <c r="S309" s="18"/>
      <c r="T309" s="18"/>
      <c r="U309" s="18"/>
      <c r="V309" s="18"/>
      <c r="W309" s="18"/>
      <c r="X309" s="18"/>
      <c r="Y309" s="92"/>
      <c r="Z309" s="92"/>
      <c r="AA309" s="418"/>
      <c r="AB309" s="95"/>
      <c r="AC309" s="18"/>
      <c r="AD309" s="18"/>
      <c r="AE309" s="18"/>
      <c r="AF309" s="18"/>
      <c r="AG309" s="91"/>
      <c r="AH309" s="18"/>
      <c r="AI309" s="18"/>
      <c r="AJ309" s="18"/>
      <c r="AK309" s="18"/>
      <c r="AL309" s="18"/>
      <c r="AM309" s="18"/>
      <c r="AN309" s="18"/>
      <c r="AO309" s="18"/>
      <c r="AP309" s="18"/>
      <c r="AQ309" s="18"/>
      <c r="AR309" s="18"/>
      <c r="AS309" s="18"/>
      <c r="AT309" s="18"/>
      <c r="AU309" s="91"/>
      <c r="AV309" s="18"/>
      <c r="AW309" s="18"/>
      <c r="AX309" s="18"/>
      <c r="AY309" s="17"/>
      <c r="AZ309" s="17"/>
      <c r="BA309" s="17"/>
      <c r="BB309" s="17"/>
      <c r="BC309" s="96"/>
      <c r="BD309" s="96"/>
      <c r="BE309" s="96"/>
      <c r="BF309" s="96"/>
      <c r="BG309" s="96"/>
      <c r="BH309" s="96"/>
      <c r="BI309" s="96"/>
    </row>
    <row r="310" spans="1:61" x14ac:dyDescent="0.45">
      <c r="A310" s="17"/>
      <c r="B310" s="17"/>
      <c r="C310" s="17"/>
      <c r="D310" s="17"/>
      <c r="E310" s="15"/>
      <c r="F310" s="17"/>
      <c r="G310" s="17"/>
      <c r="H310" s="3"/>
      <c r="I310" s="88"/>
      <c r="J310" s="88"/>
      <c r="K310" s="15"/>
      <c r="L310" s="96"/>
      <c r="M310" s="89"/>
      <c r="N310" s="88"/>
      <c r="O310" s="413"/>
      <c r="P310" s="18"/>
      <c r="Q310" s="91"/>
      <c r="R310" s="18"/>
      <c r="S310" s="18"/>
      <c r="T310" s="18"/>
      <c r="U310" s="18"/>
      <c r="V310" s="18"/>
      <c r="W310" s="18"/>
      <c r="X310" s="18"/>
      <c r="Y310" s="92"/>
      <c r="Z310" s="92"/>
      <c r="AA310" s="418"/>
      <c r="AB310" s="95"/>
      <c r="AC310" s="18"/>
      <c r="AD310" s="18"/>
      <c r="AE310" s="18"/>
      <c r="AF310" s="18"/>
      <c r="AG310" s="91"/>
      <c r="AH310" s="18"/>
      <c r="AI310" s="18"/>
      <c r="AJ310" s="18"/>
      <c r="AK310" s="18"/>
      <c r="AL310" s="18"/>
      <c r="AM310" s="18"/>
      <c r="AN310" s="18"/>
      <c r="AO310" s="18"/>
      <c r="AP310" s="18"/>
      <c r="AQ310" s="18"/>
      <c r="AR310" s="18"/>
      <c r="AS310" s="18"/>
      <c r="AT310" s="18"/>
      <c r="AU310" s="91"/>
      <c r="AV310" s="18"/>
      <c r="AW310" s="18"/>
      <c r="AX310" s="18"/>
      <c r="AY310" s="17"/>
      <c r="AZ310" s="17"/>
      <c r="BA310" s="17"/>
      <c r="BB310" s="17"/>
      <c r="BC310" s="96"/>
      <c r="BD310" s="96"/>
      <c r="BE310" s="96"/>
      <c r="BF310" s="96"/>
      <c r="BG310" s="96"/>
      <c r="BH310" s="96"/>
      <c r="BI310" s="96"/>
    </row>
    <row r="311" spans="1:61" x14ac:dyDescent="0.45">
      <c r="A311" s="17"/>
      <c r="B311" s="17"/>
      <c r="C311" s="17"/>
      <c r="D311" s="17"/>
      <c r="E311" s="15"/>
      <c r="F311" s="17"/>
      <c r="G311" s="17"/>
      <c r="H311" s="3"/>
      <c r="I311" s="88"/>
      <c r="J311" s="88"/>
      <c r="K311" s="15"/>
      <c r="L311" s="96"/>
      <c r="M311" s="89"/>
      <c r="N311" s="88"/>
      <c r="O311" s="413"/>
      <c r="P311" s="18"/>
      <c r="Q311" s="91"/>
      <c r="R311" s="18"/>
      <c r="S311" s="18"/>
      <c r="T311" s="18"/>
      <c r="U311" s="18"/>
      <c r="V311" s="18"/>
      <c r="W311" s="18"/>
      <c r="X311" s="18"/>
      <c r="Y311" s="92"/>
      <c r="Z311" s="92"/>
      <c r="AA311" s="418"/>
      <c r="AB311" s="95"/>
      <c r="AC311" s="18"/>
      <c r="AD311" s="18"/>
      <c r="AE311" s="18"/>
      <c r="AF311" s="18"/>
      <c r="AG311" s="91"/>
      <c r="AH311" s="18"/>
      <c r="AI311" s="18"/>
      <c r="AJ311" s="18"/>
      <c r="AK311" s="18"/>
      <c r="AL311" s="18"/>
      <c r="AM311" s="18"/>
      <c r="AN311" s="18"/>
      <c r="AO311" s="18"/>
      <c r="AP311" s="18"/>
      <c r="AQ311" s="18"/>
      <c r="AR311" s="18"/>
      <c r="AS311" s="18"/>
      <c r="AT311" s="18"/>
      <c r="AU311" s="91"/>
      <c r="AV311" s="18"/>
      <c r="AW311" s="18"/>
      <c r="AX311" s="18"/>
      <c r="AY311" s="17"/>
      <c r="AZ311" s="17"/>
      <c r="BA311" s="17"/>
      <c r="BB311" s="17"/>
      <c r="BC311" s="96"/>
      <c r="BD311" s="96"/>
      <c r="BE311" s="96"/>
      <c r="BF311" s="96"/>
      <c r="BG311" s="96"/>
      <c r="BH311" s="96"/>
      <c r="BI311" s="96"/>
    </row>
    <row r="312" spans="1:61" x14ac:dyDescent="0.45">
      <c r="A312" s="17"/>
      <c r="B312" s="17"/>
      <c r="C312" s="17"/>
      <c r="D312" s="17"/>
      <c r="E312" s="15"/>
      <c r="F312" s="17"/>
      <c r="G312" s="17"/>
      <c r="H312" s="3"/>
      <c r="I312" s="88"/>
      <c r="J312" s="88"/>
      <c r="K312" s="15"/>
      <c r="L312" s="96"/>
      <c r="M312" s="89"/>
      <c r="N312" s="88"/>
      <c r="O312" s="413"/>
      <c r="P312" s="18"/>
      <c r="Q312" s="91"/>
      <c r="R312" s="18"/>
      <c r="S312" s="18"/>
      <c r="T312" s="18"/>
      <c r="U312" s="18"/>
      <c r="V312" s="18"/>
      <c r="W312" s="18"/>
      <c r="X312" s="18"/>
      <c r="Y312" s="92"/>
      <c r="Z312" s="92"/>
      <c r="AA312" s="418"/>
      <c r="AB312" s="95"/>
      <c r="AC312" s="18"/>
      <c r="AD312" s="18"/>
      <c r="AE312" s="18"/>
      <c r="AF312" s="18"/>
      <c r="AG312" s="91"/>
      <c r="AH312" s="18"/>
      <c r="AI312" s="18"/>
      <c r="AJ312" s="18"/>
      <c r="AK312" s="18"/>
      <c r="AL312" s="18"/>
      <c r="AM312" s="18"/>
      <c r="AN312" s="18"/>
      <c r="AO312" s="18"/>
      <c r="AP312" s="18"/>
      <c r="AQ312" s="18"/>
      <c r="AR312" s="18"/>
      <c r="AS312" s="18"/>
      <c r="AT312" s="18"/>
      <c r="AU312" s="91"/>
      <c r="AV312" s="18"/>
      <c r="AW312" s="18"/>
      <c r="AX312" s="18"/>
      <c r="AY312" s="17"/>
      <c r="AZ312" s="17"/>
      <c r="BA312" s="17"/>
      <c r="BB312" s="17"/>
      <c r="BC312" s="96"/>
      <c r="BD312" s="96"/>
      <c r="BE312" s="96"/>
      <c r="BF312" s="96"/>
      <c r="BG312" s="96"/>
      <c r="BH312" s="96"/>
      <c r="BI312" s="96"/>
    </row>
    <row r="313" spans="1:61" x14ac:dyDescent="0.45">
      <c r="A313" s="17"/>
      <c r="B313" s="17"/>
      <c r="C313" s="17"/>
      <c r="D313" s="17"/>
      <c r="E313" s="15"/>
      <c r="F313" s="17"/>
      <c r="G313" s="17"/>
      <c r="H313" s="3"/>
      <c r="I313" s="88"/>
      <c r="J313" s="88"/>
      <c r="K313" s="15"/>
      <c r="L313" s="96"/>
      <c r="M313" s="89"/>
      <c r="N313" s="88"/>
      <c r="O313" s="413"/>
      <c r="P313" s="18"/>
      <c r="Q313" s="91"/>
      <c r="R313" s="18"/>
      <c r="S313" s="18"/>
      <c r="T313" s="18"/>
      <c r="U313" s="18"/>
      <c r="V313" s="18"/>
      <c r="W313" s="18"/>
      <c r="X313" s="18"/>
      <c r="Y313" s="92"/>
      <c r="Z313" s="92"/>
      <c r="AA313" s="418"/>
      <c r="AB313" s="95"/>
      <c r="AC313" s="18"/>
      <c r="AD313" s="18"/>
      <c r="AE313" s="18"/>
      <c r="AF313" s="18"/>
      <c r="AG313" s="91"/>
      <c r="AH313" s="18"/>
      <c r="AI313" s="18"/>
      <c r="AJ313" s="18"/>
      <c r="AK313" s="18"/>
      <c r="AL313" s="18"/>
      <c r="AM313" s="18"/>
      <c r="AN313" s="18"/>
      <c r="AO313" s="18"/>
      <c r="AP313" s="18"/>
      <c r="AQ313" s="18"/>
      <c r="AR313" s="18"/>
      <c r="AS313" s="18"/>
      <c r="AT313" s="18"/>
      <c r="AU313" s="91"/>
      <c r="AV313" s="18"/>
      <c r="AW313" s="18"/>
      <c r="AX313" s="18"/>
      <c r="AY313" s="17"/>
      <c r="AZ313" s="17"/>
      <c r="BA313" s="17"/>
      <c r="BB313" s="17"/>
      <c r="BC313" s="96"/>
      <c r="BD313" s="96"/>
      <c r="BE313" s="96"/>
      <c r="BF313" s="96"/>
      <c r="BG313" s="96"/>
      <c r="BH313" s="96"/>
      <c r="BI313" s="96"/>
    </row>
    <row r="314" spans="1:61" x14ac:dyDescent="0.45">
      <c r="A314" s="17"/>
      <c r="B314" s="17"/>
      <c r="C314" s="17"/>
      <c r="D314" s="17"/>
      <c r="E314" s="15"/>
      <c r="F314" s="17"/>
      <c r="G314" s="17"/>
      <c r="H314" s="3"/>
      <c r="I314" s="88"/>
      <c r="J314" s="88"/>
      <c r="K314" s="15"/>
      <c r="L314" s="96"/>
      <c r="M314" s="89"/>
      <c r="N314" s="88"/>
      <c r="O314" s="413"/>
      <c r="P314" s="18"/>
      <c r="Q314" s="91"/>
      <c r="R314" s="18"/>
      <c r="S314" s="18"/>
      <c r="T314" s="18"/>
      <c r="U314" s="18"/>
      <c r="V314" s="18"/>
      <c r="W314" s="18"/>
      <c r="X314" s="18"/>
      <c r="Y314" s="92"/>
      <c r="Z314" s="92"/>
      <c r="AA314" s="418"/>
      <c r="AB314" s="95"/>
      <c r="AC314" s="18"/>
      <c r="AD314" s="18"/>
      <c r="AE314" s="18"/>
      <c r="AF314" s="18"/>
      <c r="AG314" s="91"/>
      <c r="AH314" s="18"/>
      <c r="AI314" s="18"/>
      <c r="AJ314" s="18"/>
      <c r="AK314" s="18"/>
      <c r="AL314" s="18"/>
      <c r="AM314" s="18"/>
      <c r="AN314" s="18"/>
      <c r="AO314" s="18"/>
      <c r="AP314" s="18"/>
      <c r="AQ314" s="18"/>
      <c r="AR314" s="18"/>
      <c r="AS314" s="18"/>
      <c r="AT314" s="18"/>
      <c r="AU314" s="91"/>
      <c r="AV314" s="18"/>
      <c r="AW314" s="18"/>
      <c r="AX314" s="18"/>
      <c r="AY314" s="17"/>
      <c r="AZ314" s="17"/>
      <c r="BA314" s="17"/>
      <c r="BB314" s="17"/>
      <c r="BC314" s="96"/>
      <c r="BD314" s="96"/>
      <c r="BE314" s="96"/>
      <c r="BF314" s="96"/>
      <c r="BG314" s="96"/>
      <c r="BH314" s="96"/>
      <c r="BI314" s="96"/>
    </row>
    <row r="315" spans="1:61" x14ac:dyDescent="0.45">
      <c r="A315" s="17"/>
      <c r="B315" s="17"/>
      <c r="C315" s="17"/>
      <c r="D315" s="17"/>
      <c r="E315" s="15"/>
      <c r="F315" s="17"/>
      <c r="G315" s="17"/>
      <c r="H315" s="3"/>
      <c r="I315" s="88"/>
      <c r="J315" s="88"/>
      <c r="K315" s="15"/>
      <c r="L315" s="96"/>
      <c r="M315" s="89"/>
      <c r="N315" s="88"/>
      <c r="O315" s="413"/>
      <c r="P315" s="18"/>
      <c r="Q315" s="91"/>
      <c r="R315" s="18"/>
      <c r="S315" s="18"/>
      <c r="T315" s="18"/>
      <c r="U315" s="18"/>
      <c r="V315" s="18"/>
      <c r="W315" s="18"/>
      <c r="X315" s="18"/>
      <c r="Y315" s="92"/>
      <c r="Z315" s="92"/>
      <c r="AA315" s="418"/>
      <c r="AB315" s="95"/>
      <c r="AC315" s="18"/>
      <c r="AD315" s="18"/>
      <c r="AE315" s="18"/>
      <c r="AF315" s="18"/>
      <c r="AG315" s="91"/>
      <c r="AH315" s="18"/>
      <c r="AI315" s="18"/>
      <c r="AJ315" s="18"/>
      <c r="AK315" s="18"/>
      <c r="AL315" s="18"/>
      <c r="AM315" s="18"/>
      <c r="AN315" s="18"/>
      <c r="AO315" s="18"/>
      <c r="AP315" s="18"/>
      <c r="AQ315" s="18"/>
      <c r="AR315" s="18"/>
      <c r="AS315" s="18"/>
      <c r="AT315" s="18"/>
      <c r="AU315" s="91"/>
      <c r="AV315" s="18"/>
      <c r="AW315" s="18"/>
      <c r="AX315" s="18"/>
      <c r="AY315" s="17"/>
      <c r="AZ315" s="17"/>
      <c r="BA315" s="17"/>
      <c r="BB315" s="17"/>
      <c r="BC315" s="96"/>
      <c r="BD315" s="96"/>
      <c r="BE315" s="96"/>
      <c r="BF315" s="96"/>
      <c r="BG315" s="96"/>
      <c r="BH315" s="96"/>
      <c r="BI315" s="96"/>
    </row>
    <row r="316" spans="1:61" x14ac:dyDescent="0.45">
      <c r="A316" s="17"/>
      <c r="B316" s="17"/>
      <c r="C316" s="17"/>
      <c r="D316" s="17"/>
      <c r="E316" s="15"/>
      <c r="F316" s="17"/>
      <c r="G316" s="17"/>
      <c r="H316" s="3"/>
      <c r="I316" s="88"/>
      <c r="J316" s="88"/>
      <c r="K316" s="15"/>
      <c r="L316" s="96"/>
      <c r="M316" s="89"/>
      <c r="N316" s="88"/>
      <c r="O316" s="413"/>
      <c r="P316" s="18"/>
      <c r="Q316" s="91"/>
      <c r="R316" s="18"/>
      <c r="S316" s="18"/>
      <c r="T316" s="18"/>
      <c r="U316" s="18"/>
      <c r="V316" s="18"/>
      <c r="W316" s="18"/>
      <c r="X316" s="18"/>
      <c r="Y316" s="92"/>
      <c r="Z316" s="92"/>
      <c r="AA316" s="418"/>
      <c r="AB316" s="95"/>
      <c r="AC316" s="18"/>
      <c r="AD316" s="18"/>
      <c r="AE316" s="18"/>
      <c r="AF316" s="18"/>
      <c r="AG316" s="91"/>
      <c r="AH316" s="18"/>
      <c r="AI316" s="18"/>
      <c r="AJ316" s="18"/>
      <c r="AK316" s="18"/>
      <c r="AL316" s="18"/>
      <c r="AM316" s="18"/>
      <c r="AN316" s="18"/>
      <c r="AO316" s="18"/>
      <c r="AP316" s="18"/>
      <c r="AQ316" s="18"/>
      <c r="AR316" s="18"/>
      <c r="AS316" s="18"/>
      <c r="AT316" s="18"/>
      <c r="AU316" s="91"/>
      <c r="AV316" s="18"/>
      <c r="AW316" s="18"/>
      <c r="AX316" s="18"/>
      <c r="AY316" s="17"/>
      <c r="AZ316" s="17"/>
      <c r="BA316" s="17"/>
      <c r="BB316" s="17"/>
      <c r="BC316" s="96"/>
      <c r="BD316" s="96"/>
      <c r="BE316" s="96"/>
      <c r="BF316" s="96"/>
      <c r="BG316" s="96"/>
      <c r="BH316" s="96"/>
      <c r="BI316" s="96"/>
    </row>
    <row r="317" spans="1:61" x14ac:dyDescent="0.45">
      <c r="A317" s="17"/>
      <c r="B317" s="17"/>
      <c r="C317" s="17"/>
      <c r="D317" s="17"/>
      <c r="E317" s="15"/>
      <c r="F317" s="17"/>
      <c r="G317" s="17"/>
      <c r="H317" s="3"/>
      <c r="I317" s="88"/>
      <c r="J317" s="88"/>
      <c r="K317" s="15"/>
      <c r="L317" s="96"/>
      <c r="M317" s="89"/>
      <c r="N317" s="88"/>
      <c r="O317" s="413"/>
      <c r="P317" s="18"/>
      <c r="Q317" s="91"/>
      <c r="R317" s="18"/>
      <c r="S317" s="18"/>
      <c r="T317" s="18"/>
      <c r="U317" s="18"/>
      <c r="V317" s="18"/>
      <c r="W317" s="18"/>
      <c r="X317" s="18"/>
      <c r="Y317" s="92"/>
      <c r="Z317" s="92"/>
      <c r="AA317" s="418"/>
      <c r="AB317" s="95"/>
      <c r="AC317" s="18"/>
      <c r="AD317" s="18"/>
      <c r="AE317" s="18"/>
      <c r="AF317" s="18"/>
      <c r="AG317" s="91"/>
      <c r="AH317" s="18"/>
      <c r="AI317" s="18"/>
      <c r="AJ317" s="18"/>
      <c r="AK317" s="18"/>
      <c r="AL317" s="18"/>
      <c r="AM317" s="18"/>
      <c r="AN317" s="18"/>
      <c r="AO317" s="18"/>
      <c r="AP317" s="18"/>
      <c r="AQ317" s="18"/>
      <c r="AR317" s="18"/>
      <c r="AS317" s="18"/>
      <c r="AT317" s="18"/>
      <c r="AU317" s="91"/>
      <c r="AV317" s="18"/>
      <c r="AW317" s="18"/>
      <c r="AX317" s="18"/>
      <c r="AY317" s="17"/>
      <c r="AZ317" s="17"/>
      <c r="BA317" s="17"/>
      <c r="BB317" s="17"/>
      <c r="BC317" s="96"/>
      <c r="BD317" s="96"/>
      <c r="BE317" s="96"/>
      <c r="BF317" s="96"/>
      <c r="BG317" s="96"/>
      <c r="BH317" s="96"/>
      <c r="BI317" s="96"/>
    </row>
    <row r="318" spans="1:61" x14ac:dyDescent="0.45">
      <c r="A318" s="17"/>
      <c r="B318" s="17"/>
      <c r="C318" s="17"/>
      <c r="D318" s="17"/>
      <c r="E318" s="15"/>
      <c r="F318" s="17"/>
      <c r="G318" s="17"/>
      <c r="H318" s="3"/>
      <c r="I318" s="88"/>
      <c r="J318" s="88"/>
      <c r="K318" s="15"/>
      <c r="L318" s="96"/>
      <c r="M318" s="89"/>
      <c r="N318" s="88"/>
      <c r="O318" s="413"/>
      <c r="P318" s="18"/>
      <c r="Q318" s="91"/>
      <c r="R318" s="18"/>
      <c r="S318" s="18"/>
      <c r="T318" s="18"/>
      <c r="U318" s="18"/>
      <c r="V318" s="18"/>
      <c r="W318" s="18"/>
      <c r="X318" s="18"/>
      <c r="Y318" s="92"/>
      <c r="Z318" s="92"/>
      <c r="AA318" s="418"/>
      <c r="AB318" s="95"/>
      <c r="AC318" s="18"/>
      <c r="AD318" s="18"/>
      <c r="AE318" s="18"/>
      <c r="AF318" s="18"/>
      <c r="AG318" s="91"/>
      <c r="AH318" s="18"/>
      <c r="AI318" s="18"/>
      <c r="AJ318" s="18"/>
      <c r="AK318" s="18"/>
      <c r="AL318" s="18"/>
      <c r="AM318" s="18"/>
      <c r="AN318" s="18"/>
      <c r="AO318" s="18"/>
      <c r="AP318" s="18"/>
      <c r="AQ318" s="18"/>
      <c r="AR318" s="18"/>
      <c r="AS318" s="18"/>
      <c r="AT318" s="18"/>
      <c r="AU318" s="91"/>
      <c r="AV318" s="18"/>
      <c r="AW318" s="18"/>
      <c r="AX318" s="18"/>
      <c r="AY318" s="17"/>
      <c r="AZ318" s="17"/>
      <c r="BA318" s="17"/>
      <c r="BB318" s="17"/>
      <c r="BC318" s="96"/>
      <c r="BD318" s="96"/>
      <c r="BE318" s="96"/>
      <c r="BF318" s="96"/>
      <c r="BG318" s="96"/>
      <c r="BH318" s="96"/>
      <c r="BI318" s="96"/>
    </row>
    <row r="319" spans="1:61" x14ac:dyDescent="0.45">
      <c r="A319" s="17"/>
      <c r="B319" s="17"/>
      <c r="C319" s="17"/>
      <c r="D319" s="17"/>
      <c r="E319" s="15"/>
      <c r="F319" s="17"/>
      <c r="G319" s="17"/>
      <c r="H319" s="3"/>
      <c r="I319" s="88"/>
      <c r="J319" s="88"/>
      <c r="K319" s="15"/>
      <c r="L319" s="96"/>
      <c r="M319" s="89"/>
      <c r="N319" s="88"/>
      <c r="O319" s="413"/>
      <c r="P319" s="18"/>
      <c r="Q319" s="91"/>
      <c r="R319" s="18"/>
      <c r="S319" s="18"/>
      <c r="T319" s="18"/>
      <c r="U319" s="18"/>
      <c r="V319" s="18"/>
      <c r="W319" s="18"/>
      <c r="X319" s="18"/>
      <c r="Y319" s="92"/>
      <c r="Z319" s="92"/>
      <c r="AA319" s="418"/>
      <c r="AB319" s="95"/>
      <c r="AC319" s="18"/>
      <c r="AD319" s="18"/>
      <c r="AE319" s="18"/>
      <c r="AF319" s="18"/>
      <c r="AG319" s="91"/>
      <c r="AH319" s="18"/>
      <c r="AI319" s="18"/>
      <c r="AJ319" s="18"/>
      <c r="AK319" s="18"/>
      <c r="AL319" s="18"/>
      <c r="AM319" s="18"/>
      <c r="AN319" s="18"/>
      <c r="AO319" s="18"/>
      <c r="AP319" s="18"/>
      <c r="AQ319" s="18"/>
      <c r="AR319" s="18"/>
      <c r="AS319" s="18"/>
      <c r="AT319" s="18"/>
      <c r="AU319" s="91"/>
      <c r="AV319" s="18"/>
      <c r="AW319" s="18"/>
      <c r="AX319" s="18"/>
      <c r="AY319" s="17"/>
      <c r="AZ319" s="17"/>
      <c r="BA319" s="17"/>
      <c r="BB319" s="17"/>
      <c r="BC319" s="96"/>
      <c r="BD319" s="96"/>
      <c r="BE319" s="96"/>
      <c r="BF319" s="96"/>
      <c r="BG319" s="96"/>
      <c r="BH319" s="96"/>
      <c r="BI319" s="96"/>
    </row>
    <row r="320" spans="1:61" x14ac:dyDescent="0.45">
      <c r="A320" s="17"/>
      <c r="B320" s="17"/>
      <c r="C320" s="17"/>
      <c r="D320" s="17"/>
      <c r="E320" s="15"/>
      <c r="F320" s="17"/>
      <c r="G320" s="17"/>
      <c r="H320" s="3"/>
      <c r="I320" s="88"/>
      <c r="J320" s="88"/>
      <c r="K320" s="15"/>
      <c r="L320" s="96"/>
      <c r="M320" s="89"/>
      <c r="N320" s="88"/>
      <c r="O320" s="413"/>
      <c r="P320" s="18"/>
      <c r="Q320" s="91"/>
      <c r="R320" s="18"/>
      <c r="S320" s="18"/>
      <c r="T320" s="18"/>
      <c r="U320" s="18"/>
      <c r="V320" s="18"/>
      <c r="W320" s="18"/>
      <c r="X320" s="18"/>
      <c r="Y320" s="92"/>
      <c r="Z320" s="92"/>
      <c r="AA320" s="418"/>
      <c r="AB320" s="95"/>
      <c r="AC320" s="18"/>
      <c r="AD320" s="18"/>
      <c r="AE320" s="18"/>
      <c r="AF320" s="18"/>
      <c r="AG320" s="91"/>
      <c r="AH320" s="18"/>
      <c r="AI320" s="18"/>
      <c r="AJ320" s="18"/>
      <c r="AK320" s="18"/>
      <c r="AL320" s="18"/>
      <c r="AM320" s="18"/>
      <c r="AN320" s="18"/>
      <c r="AO320" s="18"/>
      <c r="AP320" s="18"/>
      <c r="AQ320" s="18"/>
      <c r="AR320" s="18"/>
      <c r="AS320" s="18"/>
      <c r="AT320" s="18"/>
      <c r="AU320" s="91"/>
      <c r="AV320" s="18"/>
      <c r="AW320" s="18"/>
      <c r="AX320" s="18"/>
      <c r="AY320" s="17"/>
      <c r="AZ320" s="17"/>
      <c r="BA320" s="17"/>
      <c r="BB320" s="17"/>
      <c r="BC320" s="96"/>
      <c r="BD320" s="96"/>
      <c r="BE320" s="96"/>
      <c r="BF320" s="96"/>
      <c r="BG320" s="96"/>
      <c r="BH320" s="96"/>
      <c r="BI320" s="96"/>
    </row>
    <row r="321" spans="1:61" x14ac:dyDescent="0.45">
      <c r="A321" s="17"/>
      <c r="B321" s="17"/>
      <c r="C321" s="17"/>
      <c r="D321" s="17"/>
      <c r="E321" s="15"/>
      <c r="F321" s="17"/>
      <c r="G321" s="17"/>
      <c r="H321" s="3"/>
      <c r="I321" s="88"/>
      <c r="J321" s="88"/>
      <c r="K321" s="15"/>
      <c r="L321" s="96"/>
      <c r="M321" s="89"/>
      <c r="N321" s="88"/>
      <c r="O321" s="413"/>
      <c r="P321" s="18"/>
      <c r="Q321" s="91"/>
      <c r="R321" s="18"/>
      <c r="S321" s="18"/>
      <c r="T321" s="18"/>
      <c r="U321" s="18"/>
      <c r="V321" s="18"/>
      <c r="W321" s="18"/>
      <c r="X321" s="18"/>
      <c r="Y321" s="92"/>
      <c r="Z321" s="92"/>
      <c r="AA321" s="418"/>
      <c r="AB321" s="95"/>
      <c r="AC321" s="18"/>
      <c r="AD321" s="18"/>
      <c r="AE321" s="18"/>
      <c r="AF321" s="18"/>
      <c r="AG321" s="91"/>
      <c r="AH321" s="18"/>
      <c r="AI321" s="18"/>
      <c r="AJ321" s="18"/>
      <c r="AK321" s="18"/>
      <c r="AL321" s="18"/>
      <c r="AM321" s="18"/>
      <c r="AN321" s="18"/>
      <c r="AO321" s="18"/>
      <c r="AP321" s="18"/>
      <c r="AQ321" s="18"/>
      <c r="AR321" s="18"/>
      <c r="AS321" s="18"/>
      <c r="AT321" s="18"/>
      <c r="AU321" s="91"/>
      <c r="AV321" s="18"/>
      <c r="AW321" s="18"/>
      <c r="AX321" s="18"/>
      <c r="AY321" s="17"/>
      <c r="AZ321" s="17"/>
      <c r="BA321" s="17"/>
      <c r="BB321" s="17"/>
      <c r="BC321" s="96"/>
      <c r="BD321" s="96"/>
      <c r="BE321" s="96"/>
      <c r="BF321" s="96"/>
      <c r="BG321" s="96"/>
      <c r="BH321" s="96"/>
      <c r="BI321" s="96"/>
    </row>
    <row r="322" spans="1:61" x14ac:dyDescent="0.45">
      <c r="A322" s="17"/>
      <c r="B322" s="17"/>
      <c r="C322" s="17"/>
      <c r="D322" s="17"/>
      <c r="E322" s="15"/>
      <c r="F322" s="17"/>
      <c r="G322" s="17"/>
      <c r="H322" s="3"/>
      <c r="I322" s="88"/>
      <c r="J322" s="88"/>
      <c r="K322" s="15"/>
      <c r="L322" s="96"/>
      <c r="M322" s="89"/>
      <c r="N322" s="88"/>
      <c r="O322" s="413"/>
      <c r="P322" s="18"/>
      <c r="Q322" s="91"/>
      <c r="R322" s="18"/>
      <c r="S322" s="18"/>
      <c r="T322" s="18"/>
      <c r="U322" s="18"/>
      <c r="V322" s="18"/>
      <c r="W322" s="18"/>
      <c r="X322" s="18"/>
      <c r="Y322" s="92"/>
      <c r="Z322" s="92"/>
      <c r="AA322" s="418"/>
      <c r="AB322" s="95"/>
      <c r="AC322" s="18"/>
      <c r="AD322" s="18"/>
      <c r="AE322" s="18"/>
      <c r="AF322" s="18"/>
      <c r="AG322" s="91"/>
      <c r="AH322" s="18"/>
      <c r="AI322" s="18"/>
      <c r="AJ322" s="18"/>
      <c r="AK322" s="18"/>
      <c r="AL322" s="18"/>
      <c r="AM322" s="18"/>
      <c r="AN322" s="18"/>
      <c r="AO322" s="18"/>
      <c r="AP322" s="18"/>
      <c r="AQ322" s="18"/>
      <c r="AR322" s="18"/>
      <c r="AS322" s="18"/>
      <c r="AT322" s="18"/>
      <c r="AU322" s="91"/>
      <c r="AV322" s="18"/>
      <c r="AW322" s="18"/>
      <c r="AX322" s="18"/>
      <c r="AY322" s="17"/>
      <c r="AZ322" s="17"/>
      <c r="BA322" s="17"/>
      <c r="BB322" s="17"/>
      <c r="BC322" s="96"/>
      <c r="BD322" s="96"/>
      <c r="BE322" s="96"/>
      <c r="BF322" s="96"/>
      <c r="BG322" s="96"/>
      <c r="BH322" s="96"/>
      <c r="BI322" s="96"/>
    </row>
    <row r="323" spans="1:61" x14ac:dyDescent="0.45">
      <c r="A323" s="17"/>
      <c r="B323" s="17"/>
      <c r="C323" s="17"/>
      <c r="D323" s="17"/>
      <c r="E323" s="15"/>
      <c r="F323" s="17"/>
      <c r="G323" s="17"/>
      <c r="H323" s="3"/>
      <c r="I323" s="88"/>
      <c r="J323" s="88"/>
      <c r="K323" s="15"/>
      <c r="L323" s="96"/>
      <c r="M323" s="89"/>
      <c r="N323" s="88"/>
      <c r="O323" s="413"/>
      <c r="P323" s="18"/>
      <c r="Q323" s="91"/>
      <c r="R323" s="18"/>
      <c r="S323" s="18"/>
      <c r="T323" s="18"/>
      <c r="U323" s="18"/>
      <c r="V323" s="18"/>
      <c r="W323" s="18"/>
      <c r="X323" s="18"/>
      <c r="Y323" s="92"/>
      <c r="Z323" s="92"/>
      <c r="AA323" s="418"/>
      <c r="AB323" s="95"/>
      <c r="AC323" s="18"/>
      <c r="AD323" s="18"/>
      <c r="AE323" s="18"/>
      <c r="AF323" s="18"/>
      <c r="AG323" s="91"/>
      <c r="AH323" s="18"/>
      <c r="AI323" s="18"/>
      <c r="AJ323" s="18"/>
      <c r="AK323" s="18"/>
      <c r="AL323" s="18"/>
      <c r="AM323" s="18"/>
      <c r="AN323" s="18"/>
      <c r="AO323" s="18"/>
      <c r="AP323" s="18"/>
      <c r="AQ323" s="18"/>
      <c r="AR323" s="18"/>
      <c r="AS323" s="18"/>
      <c r="AT323" s="18"/>
      <c r="AU323" s="91"/>
      <c r="AV323" s="18"/>
      <c r="AW323" s="18"/>
      <c r="AX323" s="18"/>
      <c r="AY323" s="17"/>
      <c r="AZ323" s="17"/>
      <c r="BA323" s="17"/>
      <c r="BB323" s="17"/>
      <c r="BC323" s="96"/>
      <c r="BD323" s="96"/>
      <c r="BE323" s="96"/>
      <c r="BF323" s="96"/>
      <c r="BG323" s="96"/>
      <c r="BH323" s="96"/>
      <c r="BI323" s="96"/>
    </row>
    <row r="324" spans="1:61" x14ac:dyDescent="0.45">
      <c r="A324" s="17"/>
      <c r="B324" s="17"/>
      <c r="C324" s="17"/>
      <c r="D324" s="17"/>
      <c r="E324" s="15"/>
      <c r="F324" s="17"/>
      <c r="G324" s="17"/>
      <c r="H324" s="3"/>
      <c r="I324" s="88"/>
      <c r="J324" s="88"/>
      <c r="K324" s="15"/>
      <c r="L324" s="96"/>
      <c r="M324" s="89"/>
      <c r="N324" s="88"/>
      <c r="O324" s="413"/>
      <c r="P324" s="18"/>
      <c r="Q324" s="91"/>
      <c r="R324" s="18"/>
      <c r="S324" s="18"/>
      <c r="T324" s="18"/>
      <c r="U324" s="18"/>
      <c r="V324" s="18"/>
      <c r="W324" s="18"/>
      <c r="X324" s="18"/>
      <c r="Y324" s="92"/>
      <c r="Z324" s="92"/>
      <c r="AA324" s="418"/>
      <c r="AB324" s="95"/>
      <c r="AC324" s="18"/>
      <c r="AD324" s="18"/>
      <c r="AE324" s="18"/>
      <c r="AF324" s="18"/>
      <c r="AG324" s="91"/>
      <c r="AH324" s="18"/>
      <c r="AI324" s="18"/>
      <c r="AJ324" s="18"/>
      <c r="AK324" s="18"/>
      <c r="AL324" s="18"/>
      <c r="AM324" s="18"/>
      <c r="AN324" s="18"/>
      <c r="AO324" s="18"/>
      <c r="AP324" s="18"/>
      <c r="AQ324" s="18"/>
      <c r="AR324" s="18"/>
      <c r="AS324" s="18"/>
      <c r="AT324" s="18"/>
      <c r="AU324" s="91"/>
      <c r="AV324" s="18"/>
      <c r="AW324" s="18"/>
      <c r="AX324" s="18"/>
      <c r="AY324" s="17"/>
      <c r="AZ324" s="17"/>
      <c r="BA324" s="17"/>
      <c r="BB324" s="17"/>
      <c r="BC324" s="96"/>
      <c r="BD324" s="96"/>
      <c r="BE324" s="96"/>
      <c r="BF324" s="96"/>
      <c r="BG324" s="96"/>
      <c r="BH324" s="96"/>
      <c r="BI324" s="96"/>
    </row>
    <row r="325" spans="1:61" x14ac:dyDescent="0.45">
      <c r="A325" s="17"/>
      <c r="B325" s="17"/>
      <c r="C325" s="17"/>
      <c r="D325" s="17"/>
      <c r="E325" s="15"/>
      <c r="F325" s="17"/>
      <c r="G325" s="17"/>
      <c r="H325" s="3"/>
      <c r="I325" s="88"/>
      <c r="J325" s="88"/>
      <c r="K325" s="15"/>
      <c r="L325" s="96"/>
      <c r="M325" s="89"/>
      <c r="N325" s="88"/>
      <c r="O325" s="413"/>
      <c r="P325" s="18"/>
      <c r="Q325" s="91"/>
      <c r="R325" s="18"/>
      <c r="S325" s="18"/>
      <c r="T325" s="18"/>
      <c r="U325" s="18"/>
      <c r="V325" s="18"/>
      <c r="W325" s="18"/>
      <c r="X325" s="18"/>
      <c r="Y325" s="92"/>
      <c r="Z325" s="92"/>
      <c r="AA325" s="418"/>
      <c r="AB325" s="95"/>
      <c r="AC325" s="18"/>
      <c r="AD325" s="18"/>
      <c r="AE325" s="18"/>
      <c r="AF325" s="18"/>
      <c r="AG325" s="91"/>
      <c r="AH325" s="18"/>
      <c r="AI325" s="18"/>
      <c r="AJ325" s="18"/>
      <c r="AK325" s="18"/>
      <c r="AL325" s="18"/>
      <c r="AM325" s="18"/>
      <c r="AN325" s="18"/>
      <c r="AO325" s="18"/>
      <c r="AP325" s="18"/>
      <c r="AQ325" s="18"/>
      <c r="AR325" s="18"/>
      <c r="AS325" s="18"/>
      <c r="AT325" s="18"/>
      <c r="AU325" s="91"/>
      <c r="AV325" s="18"/>
      <c r="AW325" s="18"/>
      <c r="AX325" s="18"/>
      <c r="AY325" s="17"/>
      <c r="AZ325" s="17"/>
      <c r="BA325" s="17"/>
      <c r="BB325" s="17"/>
      <c r="BC325" s="96"/>
      <c r="BD325" s="96"/>
      <c r="BE325" s="96"/>
      <c r="BF325" s="96"/>
      <c r="BG325" s="96"/>
      <c r="BH325" s="96"/>
      <c r="BI325" s="96"/>
    </row>
    <row r="326" spans="1:61" x14ac:dyDescent="0.45">
      <c r="A326" s="17"/>
      <c r="B326" s="17"/>
      <c r="C326" s="17"/>
      <c r="D326" s="17"/>
      <c r="E326" s="15"/>
      <c r="F326" s="17"/>
      <c r="G326" s="17"/>
      <c r="H326" s="3"/>
      <c r="I326" s="88"/>
      <c r="J326" s="88"/>
      <c r="K326" s="15"/>
      <c r="L326" s="96"/>
      <c r="M326" s="89"/>
      <c r="N326" s="88"/>
      <c r="O326" s="413"/>
      <c r="P326" s="18"/>
      <c r="Q326" s="91"/>
      <c r="R326" s="18"/>
      <c r="S326" s="18"/>
      <c r="T326" s="18"/>
      <c r="U326" s="18"/>
      <c r="V326" s="18"/>
      <c r="W326" s="18"/>
      <c r="X326" s="18"/>
      <c r="Y326" s="92"/>
      <c r="Z326" s="92"/>
      <c r="AA326" s="418"/>
      <c r="AB326" s="95"/>
      <c r="AC326" s="18"/>
      <c r="AD326" s="18"/>
      <c r="AE326" s="18"/>
      <c r="AF326" s="18"/>
      <c r="AG326" s="91"/>
      <c r="AH326" s="18"/>
      <c r="AI326" s="18"/>
      <c r="AJ326" s="18"/>
      <c r="AK326" s="18"/>
      <c r="AL326" s="18"/>
      <c r="AM326" s="18"/>
      <c r="AN326" s="18"/>
      <c r="AO326" s="18"/>
      <c r="AP326" s="18"/>
      <c r="AQ326" s="18"/>
      <c r="AR326" s="18"/>
      <c r="AS326" s="18"/>
      <c r="AT326" s="18"/>
      <c r="AU326" s="91"/>
      <c r="AV326" s="18"/>
      <c r="AW326" s="18"/>
      <c r="AX326" s="18"/>
      <c r="AY326" s="17"/>
      <c r="AZ326" s="17"/>
      <c r="BA326" s="17"/>
      <c r="BB326" s="17"/>
      <c r="BC326" s="96"/>
      <c r="BD326" s="96"/>
      <c r="BE326" s="96"/>
      <c r="BF326" s="96"/>
      <c r="BG326" s="96"/>
      <c r="BH326" s="96"/>
      <c r="BI326" s="96"/>
    </row>
    <row r="327" spans="1:61" x14ac:dyDescent="0.45">
      <c r="A327" s="17"/>
      <c r="B327" s="17"/>
      <c r="C327" s="17"/>
      <c r="D327" s="17"/>
      <c r="E327" s="15"/>
      <c r="F327" s="17"/>
      <c r="G327" s="17"/>
      <c r="H327" s="3"/>
      <c r="I327" s="88"/>
      <c r="J327" s="88"/>
      <c r="K327" s="15"/>
      <c r="L327" s="96"/>
      <c r="M327" s="89"/>
      <c r="N327" s="88"/>
      <c r="O327" s="413"/>
      <c r="P327" s="18"/>
      <c r="Q327" s="91"/>
      <c r="R327" s="18"/>
      <c r="S327" s="18"/>
      <c r="T327" s="18"/>
      <c r="U327" s="18"/>
      <c r="V327" s="18"/>
      <c r="W327" s="18"/>
      <c r="X327" s="18"/>
      <c r="Y327" s="92"/>
      <c r="Z327" s="92"/>
      <c r="AA327" s="418"/>
      <c r="AB327" s="95"/>
      <c r="AC327" s="18"/>
      <c r="AD327" s="18"/>
      <c r="AE327" s="18"/>
      <c r="AF327" s="18"/>
      <c r="AG327" s="91"/>
      <c r="AH327" s="18"/>
      <c r="AI327" s="18"/>
      <c r="AJ327" s="18"/>
      <c r="AK327" s="18"/>
      <c r="AL327" s="18"/>
      <c r="AM327" s="18"/>
      <c r="AN327" s="18"/>
      <c r="AO327" s="18"/>
      <c r="AP327" s="18"/>
      <c r="AQ327" s="18"/>
      <c r="AR327" s="18"/>
      <c r="AS327" s="18"/>
      <c r="AT327" s="18"/>
      <c r="AU327" s="91"/>
      <c r="AV327" s="18"/>
      <c r="AW327" s="18"/>
      <c r="AX327" s="18"/>
      <c r="AY327" s="17"/>
      <c r="AZ327" s="17"/>
      <c r="BA327" s="17"/>
      <c r="BB327" s="17"/>
      <c r="BC327" s="96"/>
      <c r="BD327" s="96"/>
      <c r="BE327" s="96"/>
      <c r="BF327" s="96"/>
      <c r="BG327" s="96"/>
      <c r="BH327" s="96"/>
      <c r="BI327" s="96"/>
    </row>
    <row r="328" spans="1:61" x14ac:dyDescent="0.45">
      <c r="A328" s="17"/>
      <c r="B328" s="17"/>
      <c r="C328" s="17"/>
      <c r="D328" s="17"/>
      <c r="E328" s="15"/>
      <c r="F328" s="17"/>
      <c r="G328" s="17"/>
      <c r="H328" s="3"/>
      <c r="I328" s="88"/>
      <c r="J328" s="88"/>
      <c r="K328" s="15"/>
      <c r="L328" s="96"/>
      <c r="M328" s="89"/>
      <c r="N328" s="88"/>
      <c r="O328" s="413"/>
      <c r="P328" s="18"/>
      <c r="Q328" s="91"/>
      <c r="R328" s="18"/>
      <c r="S328" s="18"/>
      <c r="T328" s="18"/>
      <c r="U328" s="18"/>
      <c r="V328" s="18"/>
      <c r="W328" s="18"/>
      <c r="X328" s="18"/>
      <c r="Y328" s="92"/>
      <c r="Z328" s="92"/>
      <c r="AA328" s="418"/>
      <c r="AB328" s="95"/>
      <c r="AC328" s="18"/>
      <c r="AD328" s="18"/>
      <c r="AE328" s="18"/>
      <c r="AF328" s="18"/>
      <c r="AG328" s="91"/>
      <c r="AH328" s="18"/>
      <c r="AI328" s="18"/>
      <c r="AJ328" s="18"/>
      <c r="AK328" s="18"/>
      <c r="AL328" s="18"/>
      <c r="AM328" s="18"/>
      <c r="AN328" s="18"/>
      <c r="AO328" s="18"/>
      <c r="AP328" s="18"/>
      <c r="AQ328" s="18"/>
      <c r="AR328" s="18"/>
      <c r="AS328" s="18"/>
      <c r="AT328" s="18"/>
      <c r="AU328" s="91"/>
      <c r="AV328" s="18"/>
      <c r="AW328" s="18"/>
      <c r="AX328" s="18"/>
      <c r="AY328" s="17"/>
      <c r="AZ328" s="17"/>
      <c r="BA328" s="17"/>
      <c r="BB328" s="17"/>
      <c r="BC328" s="96"/>
      <c r="BD328" s="96"/>
      <c r="BE328" s="96"/>
      <c r="BF328" s="96"/>
      <c r="BG328" s="96"/>
      <c r="BH328" s="96"/>
      <c r="BI328" s="96"/>
    </row>
    <row r="329" spans="1:61" x14ac:dyDescent="0.45">
      <c r="A329" s="17"/>
      <c r="B329" s="17"/>
      <c r="C329" s="17"/>
      <c r="D329" s="17"/>
      <c r="E329" s="15"/>
      <c r="F329" s="17"/>
      <c r="G329" s="17"/>
      <c r="H329" s="3"/>
      <c r="I329" s="88"/>
      <c r="J329" s="88"/>
      <c r="K329" s="15"/>
      <c r="L329" s="96"/>
      <c r="M329" s="89"/>
      <c r="N329" s="88"/>
      <c r="O329" s="413"/>
      <c r="P329" s="18"/>
      <c r="Q329" s="91"/>
      <c r="R329" s="18"/>
      <c r="S329" s="18"/>
      <c r="T329" s="18"/>
      <c r="U329" s="18"/>
      <c r="V329" s="18"/>
      <c r="W329" s="18"/>
      <c r="X329" s="18"/>
      <c r="Y329" s="92"/>
      <c r="Z329" s="92"/>
      <c r="AA329" s="418"/>
      <c r="AB329" s="95"/>
      <c r="AC329" s="18"/>
      <c r="AD329" s="18"/>
      <c r="AE329" s="18"/>
      <c r="AF329" s="18"/>
      <c r="AG329" s="91"/>
      <c r="AH329" s="18"/>
      <c r="AI329" s="18"/>
      <c r="AJ329" s="18"/>
      <c r="AK329" s="18"/>
      <c r="AL329" s="18"/>
      <c r="AM329" s="18"/>
      <c r="AN329" s="18"/>
      <c r="AO329" s="18"/>
      <c r="AP329" s="18"/>
      <c r="AQ329" s="18"/>
      <c r="AR329" s="18"/>
      <c r="AS329" s="18"/>
      <c r="AT329" s="18"/>
      <c r="AU329" s="91"/>
      <c r="AV329" s="18"/>
      <c r="AW329" s="18"/>
      <c r="AX329" s="18"/>
      <c r="AY329" s="17"/>
      <c r="AZ329" s="17"/>
      <c r="BA329" s="17"/>
      <c r="BB329" s="17"/>
      <c r="BC329" s="96"/>
      <c r="BD329" s="96"/>
      <c r="BE329" s="96"/>
      <c r="BF329" s="96"/>
      <c r="BG329" s="96"/>
      <c r="BH329" s="96"/>
      <c r="BI329" s="96"/>
    </row>
    <row r="330" spans="1:61" x14ac:dyDescent="0.45">
      <c r="A330" s="17"/>
      <c r="B330" s="17"/>
      <c r="C330" s="17"/>
      <c r="D330" s="17"/>
      <c r="E330" s="15"/>
      <c r="F330" s="17"/>
      <c r="G330" s="17"/>
      <c r="H330" s="3"/>
      <c r="I330" s="88"/>
      <c r="J330" s="88"/>
      <c r="K330" s="15"/>
      <c r="L330" s="96"/>
      <c r="M330" s="89"/>
      <c r="N330" s="88"/>
      <c r="O330" s="413"/>
      <c r="P330" s="18"/>
      <c r="Q330" s="91"/>
      <c r="R330" s="18"/>
      <c r="S330" s="18"/>
      <c r="T330" s="18"/>
      <c r="U330" s="18"/>
      <c r="V330" s="18"/>
      <c r="W330" s="18"/>
      <c r="X330" s="18"/>
      <c r="Y330" s="92"/>
      <c r="Z330" s="92"/>
      <c r="AA330" s="418"/>
      <c r="AB330" s="95"/>
      <c r="AC330" s="18"/>
      <c r="AD330" s="18"/>
      <c r="AE330" s="18"/>
      <c r="AF330" s="18"/>
      <c r="AG330" s="91"/>
      <c r="AH330" s="18"/>
      <c r="AI330" s="18"/>
      <c r="AJ330" s="18"/>
      <c r="AK330" s="18"/>
      <c r="AL330" s="18"/>
      <c r="AM330" s="18"/>
      <c r="AN330" s="18"/>
      <c r="AO330" s="18"/>
      <c r="AP330" s="18"/>
      <c r="AQ330" s="18"/>
      <c r="AR330" s="18"/>
      <c r="AS330" s="18"/>
      <c r="AT330" s="18"/>
      <c r="AU330" s="91"/>
      <c r="AV330" s="18"/>
      <c r="AW330" s="18"/>
      <c r="AX330" s="18"/>
      <c r="AY330" s="17"/>
      <c r="AZ330" s="17"/>
      <c r="BA330" s="17"/>
      <c r="BB330" s="17"/>
      <c r="BC330" s="96"/>
      <c r="BD330" s="96"/>
      <c r="BE330" s="96"/>
      <c r="BF330" s="96"/>
      <c r="BG330" s="96"/>
      <c r="BH330" s="96"/>
      <c r="BI330" s="96"/>
    </row>
    <row r="331" spans="1:61" x14ac:dyDescent="0.45">
      <c r="A331" s="17"/>
      <c r="B331" s="17"/>
      <c r="C331" s="17"/>
      <c r="D331" s="17"/>
      <c r="E331" s="15"/>
      <c r="F331" s="17"/>
      <c r="G331" s="17"/>
      <c r="H331" s="3"/>
      <c r="I331" s="88"/>
      <c r="J331" s="88"/>
      <c r="K331" s="15"/>
      <c r="L331" s="96"/>
      <c r="M331" s="89"/>
      <c r="N331" s="88"/>
      <c r="O331" s="413"/>
      <c r="P331" s="18"/>
      <c r="Q331" s="91"/>
      <c r="R331" s="18"/>
      <c r="S331" s="18"/>
      <c r="T331" s="18"/>
      <c r="U331" s="18"/>
      <c r="V331" s="18"/>
      <c r="W331" s="18"/>
      <c r="X331" s="18"/>
      <c r="Y331" s="92"/>
      <c r="Z331" s="92"/>
      <c r="AA331" s="418"/>
      <c r="AB331" s="95"/>
      <c r="AC331" s="18"/>
      <c r="AD331" s="18"/>
      <c r="AE331" s="18"/>
      <c r="AF331" s="18"/>
      <c r="AG331" s="91"/>
      <c r="AH331" s="18"/>
      <c r="AI331" s="18"/>
      <c r="AJ331" s="18"/>
      <c r="AK331" s="18"/>
      <c r="AL331" s="18"/>
      <c r="AM331" s="18"/>
      <c r="AN331" s="18"/>
      <c r="AO331" s="18"/>
      <c r="AP331" s="18"/>
      <c r="AQ331" s="18"/>
      <c r="AR331" s="18"/>
      <c r="AS331" s="18"/>
      <c r="AT331" s="18"/>
      <c r="AU331" s="91"/>
      <c r="AV331" s="18"/>
      <c r="AW331" s="18"/>
      <c r="AX331" s="18"/>
      <c r="AY331" s="17"/>
      <c r="AZ331" s="17"/>
      <c r="BA331" s="17"/>
      <c r="BB331" s="17"/>
      <c r="BC331" s="96"/>
      <c r="BD331" s="96"/>
      <c r="BE331" s="96"/>
      <c r="BF331" s="96"/>
      <c r="BG331" s="96"/>
      <c r="BH331" s="96"/>
      <c r="BI331" s="96"/>
    </row>
    <row r="332" spans="1:61" x14ac:dyDescent="0.45">
      <c r="A332" s="17"/>
      <c r="B332" s="17"/>
      <c r="C332" s="17"/>
      <c r="D332" s="17"/>
      <c r="E332" s="15"/>
      <c r="F332" s="17"/>
      <c r="G332" s="17"/>
      <c r="H332" s="3"/>
      <c r="I332" s="88"/>
      <c r="J332" s="88"/>
      <c r="K332" s="15"/>
      <c r="L332" s="96"/>
      <c r="M332" s="89"/>
      <c r="N332" s="88"/>
      <c r="O332" s="413"/>
      <c r="P332" s="18"/>
      <c r="Q332" s="91"/>
      <c r="R332" s="18"/>
      <c r="S332" s="18"/>
      <c r="T332" s="18"/>
      <c r="U332" s="18"/>
      <c r="V332" s="18"/>
      <c r="W332" s="18"/>
      <c r="X332" s="18"/>
      <c r="Y332" s="92"/>
      <c r="Z332" s="92"/>
      <c r="AA332" s="418"/>
      <c r="AB332" s="95"/>
      <c r="AC332" s="18"/>
      <c r="AD332" s="18"/>
      <c r="AE332" s="18"/>
      <c r="AF332" s="18"/>
      <c r="AG332" s="91"/>
      <c r="AH332" s="18"/>
      <c r="AI332" s="18"/>
      <c r="AJ332" s="18"/>
      <c r="AK332" s="18"/>
      <c r="AL332" s="18"/>
      <c r="AM332" s="18"/>
      <c r="AN332" s="18"/>
      <c r="AO332" s="18"/>
      <c r="AP332" s="18"/>
      <c r="AQ332" s="18"/>
      <c r="AR332" s="18"/>
      <c r="AS332" s="18"/>
      <c r="AT332" s="18"/>
      <c r="AU332" s="91"/>
      <c r="AV332" s="18"/>
      <c r="AW332" s="18"/>
      <c r="AX332" s="18"/>
      <c r="AY332" s="17"/>
      <c r="AZ332" s="17"/>
      <c r="BA332" s="17"/>
      <c r="BB332" s="17"/>
      <c r="BC332" s="96"/>
      <c r="BD332" s="96"/>
      <c r="BE332" s="96"/>
      <c r="BF332" s="96"/>
      <c r="BG332" s="96"/>
      <c r="BH332" s="96"/>
      <c r="BI332" s="96"/>
    </row>
    <row r="333" spans="1:61" x14ac:dyDescent="0.45">
      <c r="A333" s="17"/>
      <c r="B333" s="17"/>
      <c r="C333" s="17"/>
      <c r="D333" s="17"/>
      <c r="E333" s="15"/>
      <c r="F333" s="17"/>
      <c r="G333" s="17"/>
      <c r="H333" s="3"/>
      <c r="I333" s="88"/>
      <c r="J333" s="88"/>
      <c r="K333" s="15"/>
      <c r="L333" s="96"/>
      <c r="M333" s="89"/>
      <c r="N333" s="88"/>
      <c r="O333" s="413"/>
      <c r="P333" s="18"/>
      <c r="Q333" s="91"/>
      <c r="R333" s="18"/>
      <c r="S333" s="18"/>
      <c r="T333" s="18"/>
      <c r="U333" s="18"/>
      <c r="V333" s="18"/>
      <c r="W333" s="18"/>
      <c r="X333" s="18"/>
      <c r="Y333" s="92"/>
      <c r="Z333" s="92"/>
      <c r="AA333" s="418"/>
      <c r="AB333" s="95"/>
      <c r="AC333" s="18"/>
      <c r="AD333" s="18"/>
      <c r="AE333" s="18"/>
      <c r="AF333" s="18"/>
      <c r="AG333" s="91"/>
      <c r="AH333" s="18"/>
      <c r="AI333" s="18"/>
      <c r="AJ333" s="18"/>
      <c r="AK333" s="18"/>
      <c r="AL333" s="18"/>
      <c r="AM333" s="18"/>
      <c r="AN333" s="18"/>
      <c r="AO333" s="18"/>
      <c r="AP333" s="18"/>
      <c r="AQ333" s="18"/>
      <c r="AR333" s="18"/>
      <c r="AS333" s="18"/>
      <c r="AT333" s="18"/>
      <c r="AU333" s="91"/>
      <c r="AV333" s="18"/>
      <c r="AW333" s="18"/>
      <c r="AX333" s="18"/>
      <c r="AY333" s="17"/>
      <c r="AZ333" s="17"/>
      <c r="BA333" s="17"/>
      <c r="BB333" s="17"/>
      <c r="BC333" s="96"/>
      <c r="BD333" s="96"/>
      <c r="BE333" s="96"/>
      <c r="BF333" s="96"/>
      <c r="BG333" s="96"/>
      <c r="BH333" s="96"/>
      <c r="BI333" s="96"/>
    </row>
    <row r="334" spans="1:61" x14ac:dyDescent="0.45">
      <c r="A334" s="17"/>
      <c r="B334" s="17"/>
      <c r="C334" s="17"/>
      <c r="D334" s="17"/>
      <c r="E334" s="15"/>
      <c r="F334" s="17"/>
      <c r="G334" s="17"/>
      <c r="H334" s="3"/>
      <c r="I334" s="88"/>
      <c r="J334" s="88"/>
      <c r="K334" s="15"/>
      <c r="L334" s="96"/>
      <c r="M334" s="89"/>
      <c r="N334" s="88"/>
      <c r="O334" s="413"/>
      <c r="P334" s="18"/>
      <c r="Q334" s="91"/>
      <c r="R334" s="18"/>
      <c r="S334" s="18"/>
      <c r="T334" s="18"/>
      <c r="U334" s="18"/>
      <c r="V334" s="18"/>
      <c r="W334" s="18"/>
      <c r="X334" s="18"/>
      <c r="Y334" s="92"/>
      <c r="Z334" s="92"/>
      <c r="AA334" s="418"/>
      <c r="AB334" s="95"/>
      <c r="AC334" s="18"/>
      <c r="AD334" s="18"/>
      <c r="AE334" s="18"/>
      <c r="AF334" s="18"/>
      <c r="AG334" s="91"/>
      <c r="AH334" s="18"/>
      <c r="AI334" s="18"/>
      <c r="AJ334" s="18"/>
      <c r="AK334" s="18"/>
      <c r="AL334" s="18"/>
      <c r="AM334" s="18"/>
      <c r="AN334" s="18"/>
      <c r="AO334" s="18"/>
      <c r="AP334" s="18"/>
      <c r="AQ334" s="18"/>
      <c r="AR334" s="18"/>
      <c r="AS334" s="18"/>
      <c r="AT334" s="18"/>
      <c r="AU334" s="91"/>
      <c r="AV334" s="18"/>
      <c r="AW334" s="18"/>
      <c r="AX334" s="18"/>
      <c r="AY334" s="17"/>
      <c r="AZ334" s="17"/>
      <c r="BA334" s="17"/>
      <c r="BB334" s="17"/>
      <c r="BC334" s="96"/>
      <c r="BD334" s="96"/>
      <c r="BE334" s="96"/>
      <c r="BF334" s="96"/>
      <c r="BG334" s="96"/>
      <c r="BH334" s="96"/>
      <c r="BI334" s="96"/>
    </row>
    <row r="335" spans="1:61" x14ac:dyDescent="0.45">
      <c r="A335" s="17"/>
      <c r="B335" s="17"/>
      <c r="C335" s="17"/>
      <c r="D335" s="17"/>
      <c r="E335" s="15"/>
      <c r="F335" s="17"/>
      <c r="G335" s="17"/>
      <c r="H335" s="3"/>
      <c r="I335" s="88"/>
      <c r="J335" s="88"/>
      <c r="K335" s="15"/>
      <c r="L335" s="96"/>
      <c r="M335" s="89"/>
      <c r="N335" s="88"/>
      <c r="O335" s="413"/>
      <c r="P335" s="18"/>
      <c r="Q335" s="91"/>
      <c r="R335" s="18"/>
      <c r="S335" s="18"/>
      <c r="T335" s="18"/>
      <c r="U335" s="18"/>
      <c r="V335" s="18"/>
      <c r="W335" s="18"/>
      <c r="X335" s="18"/>
      <c r="Y335" s="92"/>
      <c r="Z335" s="92"/>
      <c r="AA335" s="418"/>
      <c r="AB335" s="95"/>
      <c r="AC335" s="18"/>
      <c r="AD335" s="18"/>
      <c r="AE335" s="18"/>
      <c r="AF335" s="18"/>
      <c r="AG335" s="91"/>
      <c r="AH335" s="18"/>
      <c r="AI335" s="18"/>
      <c r="AJ335" s="18"/>
      <c r="AK335" s="18"/>
      <c r="AL335" s="18"/>
      <c r="AM335" s="18"/>
      <c r="AN335" s="18"/>
      <c r="AO335" s="18"/>
      <c r="AP335" s="18"/>
      <c r="AQ335" s="18"/>
      <c r="AR335" s="18"/>
      <c r="AS335" s="18"/>
      <c r="AT335" s="18"/>
      <c r="AU335" s="91"/>
      <c r="AV335" s="18"/>
      <c r="AW335" s="18"/>
      <c r="AX335" s="18"/>
      <c r="AY335" s="17"/>
      <c r="AZ335" s="17"/>
      <c r="BA335" s="17"/>
      <c r="BB335" s="17"/>
      <c r="BC335" s="96"/>
      <c r="BD335" s="96"/>
      <c r="BE335" s="96"/>
      <c r="BF335" s="96"/>
      <c r="BG335" s="96"/>
      <c r="BH335" s="96"/>
      <c r="BI335" s="96"/>
    </row>
    <row r="336" spans="1:61" x14ac:dyDescent="0.45">
      <c r="A336" s="17"/>
      <c r="B336" s="17"/>
      <c r="C336" s="17"/>
      <c r="D336" s="17"/>
      <c r="E336" s="15"/>
      <c r="F336" s="17"/>
      <c r="G336" s="17"/>
      <c r="H336" s="3"/>
      <c r="I336" s="88"/>
      <c r="J336" s="88"/>
      <c r="K336" s="15"/>
      <c r="L336" s="96"/>
      <c r="M336" s="89"/>
      <c r="N336" s="88"/>
      <c r="O336" s="413"/>
      <c r="P336" s="18"/>
      <c r="Q336" s="91"/>
      <c r="R336" s="18"/>
      <c r="S336" s="18"/>
      <c r="T336" s="18"/>
      <c r="U336" s="18"/>
      <c r="V336" s="18"/>
      <c r="W336" s="18"/>
      <c r="X336" s="18"/>
      <c r="Y336" s="92"/>
      <c r="Z336" s="92"/>
      <c r="AA336" s="418"/>
      <c r="AB336" s="95"/>
      <c r="AC336" s="18"/>
      <c r="AD336" s="18"/>
      <c r="AE336" s="18"/>
      <c r="AF336" s="18"/>
      <c r="AG336" s="91"/>
      <c r="AH336" s="18"/>
      <c r="AI336" s="18"/>
      <c r="AJ336" s="18"/>
      <c r="AK336" s="18"/>
      <c r="AL336" s="18"/>
      <c r="AM336" s="18"/>
      <c r="AN336" s="18"/>
      <c r="AO336" s="18"/>
      <c r="AP336" s="18"/>
      <c r="AQ336" s="18"/>
      <c r="AR336" s="18"/>
      <c r="AS336" s="18"/>
      <c r="AT336" s="18"/>
      <c r="AU336" s="91"/>
      <c r="AV336" s="18"/>
      <c r="AW336" s="18"/>
      <c r="AX336" s="18"/>
      <c r="AY336" s="17"/>
      <c r="AZ336" s="17"/>
      <c r="BA336" s="17"/>
      <c r="BB336" s="17"/>
      <c r="BC336" s="96"/>
      <c r="BD336" s="96"/>
      <c r="BE336" s="96"/>
      <c r="BF336" s="96"/>
      <c r="BG336" s="96"/>
      <c r="BH336" s="96"/>
      <c r="BI336" s="96"/>
    </row>
    <row r="337" spans="1:61" x14ac:dyDescent="0.45">
      <c r="A337" s="17"/>
      <c r="B337" s="17"/>
      <c r="C337" s="17"/>
      <c r="D337" s="17"/>
      <c r="E337" s="15"/>
      <c r="F337" s="17"/>
      <c r="G337" s="17"/>
      <c r="H337" s="3"/>
      <c r="I337" s="88"/>
      <c r="J337" s="88"/>
      <c r="K337" s="15"/>
      <c r="L337" s="96"/>
      <c r="M337" s="89"/>
      <c r="N337" s="88"/>
      <c r="O337" s="413"/>
      <c r="P337" s="18"/>
      <c r="Q337" s="91"/>
      <c r="R337" s="18"/>
      <c r="S337" s="18"/>
      <c r="T337" s="18"/>
      <c r="U337" s="18"/>
      <c r="V337" s="18"/>
      <c r="W337" s="18"/>
      <c r="X337" s="18"/>
      <c r="Y337" s="92"/>
      <c r="Z337" s="92"/>
      <c r="AA337" s="418"/>
      <c r="AB337" s="95"/>
      <c r="AC337" s="18"/>
      <c r="AD337" s="18"/>
      <c r="AE337" s="18"/>
      <c r="AF337" s="18"/>
      <c r="AG337" s="91"/>
      <c r="AH337" s="18"/>
      <c r="AI337" s="18"/>
      <c r="AJ337" s="18"/>
      <c r="AK337" s="18"/>
      <c r="AL337" s="18"/>
      <c r="AM337" s="18"/>
      <c r="AN337" s="18"/>
      <c r="AO337" s="18"/>
      <c r="AP337" s="18"/>
      <c r="AQ337" s="18"/>
      <c r="AR337" s="18"/>
      <c r="AS337" s="18"/>
      <c r="AT337" s="18"/>
      <c r="AU337" s="91"/>
      <c r="AV337" s="18"/>
      <c r="AW337" s="18"/>
      <c r="AX337" s="18"/>
      <c r="AY337" s="17"/>
      <c r="AZ337" s="17"/>
      <c r="BA337" s="17"/>
      <c r="BB337" s="17"/>
      <c r="BC337" s="96"/>
      <c r="BD337" s="96"/>
      <c r="BE337" s="96"/>
      <c r="BF337" s="96"/>
      <c r="BG337" s="96"/>
      <c r="BH337" s="96"/>
      <c r="BI337" s="96"/>
    </row>
    <row r="338" spans="1:61" x14ac:dyDescent="0.45">
      <c r="A338" s="17"/>
      <c r="B338" s="17"/>
      <c r="C338" s="17"/>
      <c r="D338" s="17"/>
      <c r="E338" s="15"/>
      <c r="F338" s="17"/>
      <c r="G338" s="17"/>
      <c r="H338" s="3"/>
      <c r="I338" s="88"/>
      <c r="J338" s="88"/>
      <c r="K338" s="15"/>
      <c r="L338" s="96"/>
      <c r="M338" s="89"/>
      <c r="N338" s="88"/>
      <c r="O338" s="413"/>
      <c r="P338" s="18"/>
      <c r="Q338" s="91"/>
      <c r="R338" s="18"/>
      <c r="S338" s="18"/>
      <c r="T338" s="18"/>
      <c r="U338" s="18"/>
      <c r="V338" s="18"/>
      <c r="W338" s="18"/>
      <c r="X338" s="18"/>
      <c r="Y338" s="92"/>
      <c r="Z338" s="92"/>
      <c r="AA338" s="418"/>
      <c r="AB338" s="95"/>
      <c r="AC338" s="18"/>
      <c r="AD338" s="18"/>
      <c r="AE338" s="18"/>
      <c r="AF338" s="18"/>
      <c r="AG338" s="91"/>
      <c r="AH338" s="18"/>
      <c r="AI338" s="18"/>
      <c r="AJ338" s="18"/>
      <c r="AK338" s="18"/>
      <c r="AL338" s="18"/>
      <c r="AM338" s="18"/>
      <c r="AN338" s="18"/>
      <c r="AO338" s="18"/>
      <c r="AP338" s="18"/>
      <c r="AQ338" s="18"/>
      <c r="AR338" s="18"/>
      <c r="AS338" s="18"/>
      <c r="AT338" s="18"/>
      <c r="AU338" s="91"/>
      <c r="AV338" s="18"/>
      <c r="AW338" s="18"/>
      <c r="AX338" s="18"/>
      <c r="AY338" s="17"/>
      <c r="AZ338" s="17"/>
      <c r="BA338" s="17"/>
      <c r="BB338" s="17"/>
      <c r="BC338" s="96"/>
      <c r="BD338" s="96"/>
      <c r="BE338" s="96"/>
      <c r="BF338" s="96"/>
      <c r="BG338" s="96"/>
      <c r="BH338" s="96"/>
      <c r="BI338" s="96"/>
    </row>
    <row r="339" spans="1:61" x14ac:dyDescent="0.45">
      <c r="A339" s="17"/>
      <c r="B339" s="17"/>
      <c r="C339" s="17"/>
      <c r="D339" s="17"/>
      <c r="E339" s="15"/>
      <c r="F339" s="17"/>
      <c r="G339" s="17"/>
      <c r="H339" s="3"/>
      <c r="I339" s="88"/>
      <c r="J339" s="88"/>
      <c r="K339" s="15"/>
      <c r="L339" s="96"/>
      <c r="M339" s="89"/>
      <c r="N339" s="88"/>
      <c r="O339" s="413"/>
      <c r="P339" s="18"/>
      <c r="Q339" s="91"/>
      <c r="R339" s="18"/>
      <c r="S339" s="18"/>
      <c r="T339" s="18"/>
      <c r="U339" s="18"/>
      <c r="V339" s="18"/>
      <c r="W339" s="18"/>
      <c r="X339" s="18"/>
      <c r="Y339" s="92"/>
      <c r="Z339" s="92"/>
      <c r="AA339" s="418"/>
      <c r="AB339" s="95"/>
      <c r="AC339" s="18"/>
      <c r="AD339" s="18"/>
      <c r="AE339" s="18"/>
      <c r="AF339" s="18"/>
      <c r="AG339" s="91"/>
      <c r="AH339" s="18"/>
      <c r="AI339" s="18"/>
      <c r="AJ339" s="18"/>
      <c r="AK339" s="18"/>
      <c r="AL339" s="18"/>
      <c r="AM339" s="18"/>
      <c r="AN339" s="18"/>
      <c r="AO339" s="18"/>
      <c r="AP339" s="18"/>
      <c r="AQ339" s="18"/>
      <c r="AR339" s="18"/>
      <c r="AS339" s="18"/>
      <c r="AT339" s="18"/>
      <c r="AU339" s="91"/>
      <c r="AV339" s="18"/>
      <c r="AW339" s="18"/>
      <c r="AX339" s="18"/>
      <c r="AY339" s="17"/>
      <c r="AZ339" s="17"/>
      <c r="BA339" s="17"/>
      <c r="BB339" s="17"/>
      <c r="BC339" s="96"/>
      <c r="BD339" s="96"/>
      <c r="BE339" s="96"/>
      <c r="BF339" s="96"/>
      <c r="BG339" s="96"/>
      <c r="BH339" s="96"/>
      <c r="BI339" s="96"/>
    </row>
    <row r="340" spans="1:61" x14ac:dyDescent="0.45">
      <c r="A340" s="17"/>
      <c r="B340" s="17"/>
      <c r="C340" s="17"/>
      <c r="D340" s="17"/>
      <c r="E340" s="15"/>
      <c r="F340" s="17"/>
      <c r="G340" s="17"/>
      <c r="H340" s="3"/>
      <c r="I340" s="88"/>
      <c r="J340" s="88"/>
      <c r="K340" s="15"/>
      <c r="L340" s="96"/>
      <c r="M340" s="89"/>
      <c r="N340" s="88"/>
      <c r="O340" s="413"/>
      <c r="P340" s="18"/>
      <c r="Q340" s="91"/>
      <c r="R340" s="18"/>
      <c r="S340" s="18"/>
      <c r="T340" s="18"/>
      <c r="U340" s="18"/>
      <c r="V340" s="18"/>
      <c r="W340" s="18"/>
      <c r="X340" s="18"/>
      <c r="Y340" s="92"/>
      <c r="Z340" s="92"/>
      <c r="AA340" s="418"/>
      <c r="AB340" s="95"/>
      <c r="AC340" s="18"/>
      <c r="AD340" s="18"/>
      <c r="AE340" s="18"/>
      <c r="AF340" s="18"/>
      <c r="AG340" s="91"/>
      <c r="AH340" s="18"/>
      <c r="AI340" s="18"/>
      <c r="AJ340" s="18"/>
      <c r="AK340" s="18"/>
      <c r="AL340" s="18"/>
      <c r="AM340" s="18"/>
      <c r="AN340" s="18"/>
      <c r="AO340" s="18"/>
      <c r="AP340" s="18"/>
      <c r="AQ340" s="18"/>
      <c r="AR340" s="18"/>
      <c r="AS340" s="18"/>
      <c r="AT340" s="18"/>
      <c r="AU340" s="91"/>
      <c r="AV340" s="18"/>
      <c r="AW340" s="18"/>
      <c r="AX340" s="18"/>
      <c r="AY340" s="17"/>
      <c r="AZ340" s="17"/>
      <c r="BA340" s="17"/>
      <c r="BB340" s="17"/>
      <c r="BC340" s="96"/>
      <c r="BD340" s="96"/>
      <c r="BE340" s="96"/>
      <c r="BF340" s="96"/>
      <c r="BG340" s="96"/>
      <c r="BH340" s="96"/>
      <c r="BI340" s="96"/>
    </row>
    <row r="341" spans="1:61" x14ac:dyDescent="0.45">
      <c r="A341" s="17"/>
      <c r="B341" s="17"/>
      <c r="C341" s="17"/>
      <c r="D341" s="17"/>
      <c r="E341" s="15"/>
      <c r="F341" s="17"/>
      <c r="G341" s="17"/>
      <c r="H341" s="3"/>
      <c r="I341" s="88"/>
      <c r="J341" s="88"/>
      <c r="K341" s="15"/>
      <c r="L341" s="96"/>
      <c r="M341" s="89"/>
      <c r="N341" s="88"/>
      <c r="O341" s="413"/>
      <c r="P341" s="18"/>
      <c r="Q341" s="91"/>
      <c r="R341" s="18"/>
      <c r="S341" s="18"/>
      <c r="T341" s="18"/>
      <c r="U341" s="18"/>
      <c r="V341" s="18"/>
      <c r="W341" s="18"/>
      <c r="X341" s="18"/>
      <c r="Y341" s="92"/>
      <c r="Z341" s="92"/>
      <c r="AA341" s="418"/>
      <c r="AB341" s="95"/>
      <c r="AC341" s="18"/>
      <c r="AD341" s="18"/>
      <c r="AE341" s="18"/>
      <c r="AF341" s="18"/>
      <c r="AG341" s="91"/>
      <c r="AH341" s="18"/>
      <c r="AI341" s="18"/>
      <c r="AJ341" s="18"/>
      <c r="AK341" s="18"/>
      <c r="AL341" s="18"/>
      <c r="AM341" s="18"/>
      <c r="AN341" s="18"/>
      <c r="AO341" s="18"/>
      <c r="AP341" s="18"/>
      <c r="AQ341" s="18"/>
      <c r="AR341" s="18"/>
      <c r="AS341" s="18"/>
      <c r="AT341" s="18"/>
      <c r="AU341" s="91"/>
      <c r="AV341" s="18"/>
      <c r="AW341" s="18"/>
      <c r="AX341" s="18"/>
      <c r="AY341" s="17"/>
      <c r="AZ341" s="17"/>
      <c r="BA341" s="17"/>
      <c r="BB341" s="17"/>
      <c r="BC341" s="96"/>
      <c r="BD341" s="96"/>
      <c r="BE341" s="96"/>
      <c r="BF341" s="96"/>
      <c r="BG341" s="96"/>
      <c r="BH341" s="96"/>
      <c r="BI341" s="96"/>
    </row>
    <row r="342" spans="1:61" x14ac:dyDescent="0.45">
      <c r="A342" s="17"/>
      <c r="B342" s="17"/>
      <c r="C342" s="17"/>
      <c r="D342" s="17"/>
      <c r="E342" s="15"/>
      <c r="F342" s="17"/>
      <c r="G342" s="17"/>
      <c r="H342" s="3"/>
      <c r="I342" s="88"/>
      <c r="J342" s="88"/>
      <c r="K342" s="15"/>
      <c r="L342" s="96"/>
      <c r="M342" s="89"/>
      <c r="N342" s="88"/>
      <c r="O342" s="413"/>
      <c r="P342" s="18"/>
      <c r="Q342" s="91"/>
      <c r="R342" s="18"/>
      <c r="S342" s="18"/>
      <c r="T342" s="18"/>
      <c r="U342" s="18"/>
      <c r="V342" s="18"/>
      <c r="W342" s="18"/>
      <c r="X342" s="18"/>
      <c r="Y342" s="92"/>
      <c r="Z342" s="92"/>
      <c r="AA342" s="418"/>
      <c r="AB342" s="95"/>
      <c r="AC342" s="18"/>
      <c r="AD342" s="18"/>
      <c r="AE342" s="18"/>
      <c r="AF342" s="18"/>
      <c r="AG342" s="91"/>
      <c r="AH342" s="18"/>
      <c r="AI342" s="18"/>
      <c r="AJ342" s="18"/>
      <c r="AK342" s="18"/>
      <c r="AL342" s="18"/>
      <c r="AM342" s="18"/>
      <c r="AN342" s="18"/>
      <c r="AO342" s="18"/>
      <c r="AP342" s="18"/>
      <c r="AQ342" s="18"/>
      <c r="AR342" s="18"/>
      <c r="AS342" s="18"/>
      <c r="AT342" s="18"/>
      <c r="AU342" s="91"/>
      <c r="AV342" s="18"/>
      <c r="AW342" s="18"/>
      <c r="AX342" s="18"/>
      <c r="AY342" s="17"/>
      <c r="AZ342" s="17"/>
      <c r="BA342" s="17"/>
      <c r="BB342" s="17"/>
      <c r="BC342" s="96"/>
      <c r="BD342" s="96"/>
      <c r="BE342" s="96"/>
      <c r="BF342" s="96"/>
      <c r="BG342" s="96"/>
      <c r="BH342" s="96"/>
      <c r="BI342" s="96"/>
    </row>
    <row r="343" spans="1:61" x14ac:dyDescent="0.45">
      <c r="A343" s="17"/>
      <c r="B343" s="17"/>
      <c r="C343" s="17"/>
      <c r="D343" s="17"/>
      <c r="E343" s="15"/>
      <c r="F343" s="17"/>
      <c r="G343" s="17"/>
      <c r="H343" s="3"/>
      <c r="I343" s="88"/>
      <c r="J343" s="88"/>
      <c r="K343" s="15"/>
      <c r="L343" s="96"/>
      <c r="M343" s="89"/>
      <c r="N343" s="88"/>
      <c r="O343" s="413"/>
      <c r="P343" s="18"/>
      <c r="Q343" s="91"/>
      <c r="R343" s="18"/>
      <c r="S343" s="18"/>
      <c r="T343" s="18"/>
      <c r="U343" s="18"/>
      <c r="V343" s="18"/>
      <c r="W343" s="18"/>
      <c r="X343" s="18"/>
      <c r="Y343" s="92"/>
      <c r="Z343" s="92"/>
      <c r="AA343" s="418"/>
      <c r="AB343" s="95"/>
      <c r="AC343" s="18"/>
      <c r="AD343" s="18"/>
      <c r="AE343" s="18"/>
      <c r="AF343" s="18"/>
      <c r="AG343" s="91"/>
      <c r="AH343" s="18"/>
      <c r="AI343" s="18"/>
      <c r="AJ343" s="18"/>
      <c r="AK343" s="18"/>
      <c r="AL343" s="18"/>
      <c r="AM343" s="18"/>
      <c r="AN343" s="18"/>
      <c r="AO343" s="18"/>
      <c r="AP343" s="18"/>
      <c r="AQ343" s="18"/>
      <c r="AR343" s="18"/>
      <c r="AS343" s="18"/>
      <c r="AT343" s="18"/>
      <c r="AU343" s="91"/>
      <c r="AV343" s="18"/>
      <c r="AW343" s="18"/>
      <c r="AX343" s="18"/>
      <c r="AY343" s="17"/>
      <c r="AZ343" s="17"/>
      <c r="BA343" s="17"/>
      <c r="BB343" s="17"/>
      <c r="BC343" s="96"/>
      <c r="BD343" s="96"/>
      <c r="BE343" s="96"/>
      <c r="BF343" s="96"/>
      <c r="BG343" s="96"/>
      <c r="BH343" s="96"/>
      <c r="BI343" s="96"/>
    </row>
    <row r="344" spans="1:61" x14ac:dyDescent="0.45">
      <c r="A344" s="17"/>
      <c r="B344" s="17"/>
      <c r="C344" s="17"/>
      <c r="D344" s="17"/>
      <c r="E344" s="15"/>
      <c r="F344" s="17"/>
      <c r="G344" s="17"/>
      <c r="H344" s="3"/>
      <c r="I344" s="88"/>
      <c r="J344" s="88"/>
      <c r="K344" s="15"/>
      <c r="L344" s="96"/>
      <c r="M344" s="89"/>
      <c r="N344" s="88"/>
      <c r="O344" s="413"/>
      <c r="P344" s="18"/>
      <c r="Q344" s="91"/>
      <c r="R344" s="18"/>
      <c r="S344" s="18"/>
      <c r="T344" s="18"/>
      <c r="U344" s="18"/>
      <c r="V344" s="18"/>
      <c r="W344" s="18"/>
      <c r="X344" s="18"/>
      <c r="Y344" s="92"/>
      <c r="Z344" s="92"/>
      <c r="AA344" s="418"/>
      <c r="AB344" s="95"/>
      <c r="AC344" s="18"/>
      <c r="AD344" s="18"/>
      <c r="AE344" s="18"/>
      <c r="AF344" s="18"/>
      <c r="AG344" s="91"/>
      <c r="AH344" s="18"/>
      <c r="AI344" s="18"/>
      <c r="AJ344" s="18"/>
      <c r="AK344" s="18"/>
      <c r="AL344" s="18"/>
      <c r="AM344" s="18"/>
      <c r="AN344" s="18"/>
      <c r="AO344" s="18"/>
      <c r="AP344" s="18"/>
      <c r="AQ344" s="18"/>
      <c r="AR344" s="18"/>
      <c r="AS344" s="18"/>
      <c r="AT344" s="18"/>
      <c r="AU344" s="91"/>
      <c r="AV344" s="18"/>
      <c r="AW344" s="18"/>
      <c r="AX344" s="18"/>
      <c r="AY344" s="17"/>
      <c r="AZ344" s="17"/>
      <c r="BA344" s="17"/>
      <c r="BB344" s="17"/>
      <c r="BC344" s="96"/>
      <c r="BD344" s="96"/>
      <c r="BE344" s="96"/>
      <c r="BF344" s="96"/>
      <c r="BG344" s="96"/>
      <c r="BH344" s="96"/>
      <c r="BI344" s="96"/>
    </row>
    <row r="345" spans="1:61" x14ac:dyDescent="0.45">
      <c r="A345" s="17"/>
      <c r="B345" s="17"/>
      <c r="C345" s="17"/>
      <c r="D345" s="17"/>
      <c r="E345" s="15"/>
      <c r="F345" s="17"/>
      <c r="G345" s="17"/>
      <c r="H345" s="3"/>
      <c r="I345" s="88"/>
      <c r="J345" s="88"/>
      <c r="K345" s="15"/>
      <c r="L345" s="96"/>
      <c r="M345" s="89"/>
      <c r="N345" s="88"/>
      <c r="O345" s="413"/>
      <c r="P345" s="18"/>
      <c r="Q345" s="91"/>
      <c r="R345" s="18"/>
      <c r="S345" s="18"/>
      <c r="T345" s="18"/>
      <c r="U345" s="18"/>
      <c r="V345" s="18"/>
      <c r="W345" s="18"/>
      <c r="X345" s="18"/>
      <c r="Y345" s="92"/>
      <c r="Z345" s="92"/>
      <c r="AA345" s="418"/>
      <c r="AB345" s="95"/>
      <c r="AC345" s="18"/>
      <c r="AD345" s="18"/>
      <c r="AE345" s="18"/>
      <c r="AF345" s="18"/>
      <c r="AG345" s="91"/>
      <c r="AH345" s="18"/>
      <c r="AI345" s="18"/>
      <c r="AJ345" s="18"/>
      <c r="AK345" s="18"/>
      <c r="AL345" s="18"/>
      <c r="AM345" s="18"/>
      <c r="AN345" s="18"/>
      <c r="AO345" s="18"/>
      <c r="AP345" s="18"/>
      <c r="AQ345" s="18"/>
      <c r="AR345" s="18"/>
      <c r="AS345" s="18"/>
      <c r="AT345" s="18"/>
      <c r="AU345" s="91"/>
      <c r="AV345" s="18"/>
      <c r="AW345" s="18"/>
      <c r="AX345" s="18"/>
      <c r="AY345" s="17"/>
      <c r="AZ345" s="17"/>
      <c r="BA345" s="17"/>
      <c r="BB345" s="17"/>
      <c r="BC345" s="96"/>
      <c r="BD345" s="96"/>
      <c r="BE345" s="96"/>
      <c r="BF345" s="96"/>
      <c r="BG345" s="96"/>
      <c r="BH345" s="96"/>
      <c r="BI345" s="96"/>
    </row>
    <row r="346" spans="1:61" x14ac:dyDescent="0.45">
      <c r="A346" s="17"/>
      <c r="B346" s="17"/>
      <c r="C346" s="17"/>
      <c r="D346" s="17"/>
      <c r="E346" s="15"/>
      <c r="F346" s="17"/>
      <c r="G346" s="17"/>
      <c r="H346" s="3"/>
      <c r="I346" s="88"/>
      <c r="J346" s="88"/>
      <c r="K346" s="15"/>
      <c r="L346" s="96"/>
      <c r="M346" s="89"/>
      <c r="N346" s="88"/>
      <c r="O346" s="413"/>
      <c r="P346" s="18"/>
      <c r="Q346" s="91"/>
      <c r="R346" s="18"/>
      <c r="S346" s="18"/>
      <c r="T346" s="18"/>
      <c r="U346" s="18"/>
      <c r="V346" s="18"/>
      <c r="W346" s="18"/>
      <c r="X346" s="18"/>
      <c r="Y346" s="92"/>
      <c r="Z346" s="92"/>
      <c r="AA346" s="418"/>
      <c r="AB346" s="95"/>
      <c r="AC346" s="18"/>
      <c r="AD346" s="18"/>
      <c r="AE346" s="18"/>
      <c r="AF346" s="18"/>
      <c r="AG346" s="91"/>
      <c r="AH346" s="18"/>
      <c r="AI346" s="18"/>
      <c r="AJ346" s="18"/>
      <c r="AK346" s="18"/>
      <c r="AL346" s="18"/>
      <c r="AM346" s="18"/>
      <c r="AN346" s="18"/>
      <c r="AO346" s="18"/>
      <c r="AP346" s="18"/>
      <c r="AQ346" s="18"/>
      <c r="AR346" s="18"/>
      <c r="AS346" s="18"/>
      <c r="AT346" s="18"/>
      <c r="AU346" s="91"/>
      <c r="AV346" s="18"/>
      <c r="AW346" s="18"/>
      <c r="AX346" s="18"/>
      <c r="AY346" s="17"/>
      <c r="AZ346" s="17"/>
      <c r="BA346" s="17"/>
      <c r="BB346" s="17"/>
      <c r="BC346" s="96"/>
      <c r="BD346" s="96"/>
      <c r="BE346" s="96"/>
      <c r="BF346" s="96"/>
      <c r="BG346" s="96"/>
      <c r="BH346" s="96"/>
      <c r="BI346" s="96"/>
    </row>
    <row r="347" spans="1:61" x14ac:dyDescent="0.45">
      <c r="A347" s="17"/>
      <c r="B347" s="17"/>
      <c r="C347" s="17"/>
      <c r="D347" s="17"/>
      <c r="E347" s="15"/>
      <c r="F347" s="17"/>
      <c r="G347" s="17"/>
      <c r="H347" s="3"/>
      <c r="I347" s="88"/>
      <c r="J347" s="88"/>
      <c r="K347" s="15"/>
      <c r="L347" s="96"/>
      <c r="M347" s="89"/>
      <c r="N347" s="88"/>
      <c r="O347" s="413"/>
      <c r="P347" s="18"/>
      <c r="Q347" s="91"/>
      <c r="R347" s="18"/>
      <c r="S347" s="18"/>
      <c r="T347" s="18"/>
      <c r="U347" s="18"/>
      <c r="V347" s="18"/>
      <c r="W347" s="18"/>
      <c r="X347" s="18"/>
      <c r="Y347" s="92"/>
      <c r="Z347" s="92"/>
      <c r="AA347" s="418"/>
      <c r="AB347" s="95"/>
      <c r="AC347" s="18"/>
      <c r="AD347" s="18"/>
      <c r="AE347" s="18"/>
      <c r="AF347" s="18"/>
      <c r="AG347" s="91"/>
      <c r="AH347" s="18"/>
      <c r="AI347" s="18"/>
      <c r="AJ347" s="18"/>
      <c r="AK347" s="18"/>
      <c r="AL347" s="18"/>
      <c r="AM347" s="18"/>
      <c r="AN347" s="18"/>
      <c r="AO347" s="18"/>
      <c r="AP347" s="18"/>
      <c r="AQ347" s="18"/>
      <c r="AR347" s="18"/>
      <c r="AS347" s="18"/>
      <c r="AT347" s="18"/>
      <c r="AU347" s="91"/>
      <c r="AV347" s="18"/>
      <c r="AW347" s="18"/>
      <c r="AX347" s="18"/>
      <c r="AY347" s="17"/>
      <c r="AZ347" s="17"/>
      <c r="BA347" s="17"/>
      <c r="BB347" s="17"/>
      <c r="BC347" s="96"/>
      <c r="BD347" s="96"/>
      <c r="BE347" s="96"/>
      <c r="BF347" s="96"/>
      <c r="BG347" s="96"/>
      <c r="BH347" s="96"/>
      <c r="BI347" s="96"/>
    </row>
    <row r="348" spans="1:61" x14ac:dyDescent="0.45">
      <c r="A348" s="17"/>
      <c r="B348" s="17"/>
      <c r="C348" s="17"/>
      <c r="D348" s="17"/>
      <c r="E348" s="15"/>
      <c r="F348" s="17"/>
      <c r="G348" s="17"/>
      <c r="H348" s="3"/>
      <c r="I348" s="88"/>
      <c r="J348" s="88"/>
      <c r="K348" s="15"/>
      <c r="L348" s="96"/>
      <c r="M348" s="89"/>
      <c r="N348" s="88"/>
      <c r="O348" s="413"/>
      <c r="P348" s="18"/>
      <c r="Q348" s="91"/>
      <c r="R348" s="18"/>
      <c r="S348" s="18"/>
      <c r="T348" s="18"/>
      <c r="U348" s="18"/>
      <c r="V348" s="18"/>
      <c r="W348" s="18"/>
      <c r="X348" s="18"/>
      <c r="Y348" s="92"/>
      <c r="Z348" s="92"/>
      <c r="AA348" s="418"/>
      <c r="AB348" s="95"/>
      <c r="AC348" s="18"/>
      <c r="AD348" s="18"/>
      <c r="AE348" s="18"/>
      <c r="AF348" s="18"/>
      <c r="AG348" s="91"/>
      <c r="AH348" s="18"/>
      <c r="AI348" s="18"/>
      <c r="AJ348" s="18"/>
      <c r="AK348" s="18"/>
      <c r="AL348" s="18"/>
      <c r="AM348" s="18"/>
      <c r="AN348" s="18"/>
      <c r="AO348" s="18"/>
      <c r="AP348" s="18"/>
      <c r="AQ348" s="18"/>
      <c r="AR348" s="18"/>
      <c r="AS348" s="18"/>
      <c r="AT348" s="18"/>
      <c r="AU348" s="91"/>
      <c r="AV348" s="18"/>
      <c r="AW348" s="18"/>
      <c r="AX348" s="18"/>
      <c r="AY348" s="17"/>
      <c r="AZ348" s="17"/>
      <c r="BA348" s="17"/>
      <c r="BB348" s="17"/>
      <c r="BC348" s="96"/>
      <c r="BD348" s="96"/>
      <c r="BE348" s="96"/>
      <c r="BF348" s="96"/>
      <c r="BG348" s="96"/>
      <c r="BH348" s="96"/>
      <c r="BI348" s="96"/>
    </row>
    <row r="349" spans="1:61" x14ac:dyDescent="0.45">
      <c r="A349" s="17"/>
      <c r="B349" s="17"/>
      <c r="C349" s="17"/>
      <c r="D349" s="17"/>
      <c r="E349" s="15"/>
      <c r="F349" s="17"/>
      <c r="G349" s="17"/>
      <c r="H349" s="3"/>
      <c r="I349" s="88"/>
      <c r="J349" s="88"/>
      <c r="K349" s="15"/>
      <c r="L349" s="96"/>
      <c r="M349" s="89"/>
      <c r="N349" s="88"/>
      <c r="O349" s="413"/>
      <c r="P349" s="18"/>
      <c r="Q349" s="91"/>
      <c r="R349" s="18"/>
      <c r="S349" s="18"/>
      <c r="T349" s="18"/>
      <c r="U349" s="18"/>
      <c r="V349" s="18"/>
      <c r="W349" s="18"/>
      <c r="X349" s="18"/>
      <c r="Y349" s="92"/>
      <c r="Z349" s="92"/>
      <c r="AA349" s="418"/>
      <c r="AB349" s="95"/>
      <c r="AC349" s="18"/>
      <c r="AD349" s="18"/>
      <c r="AE349" s="18"/>
      <c r="AF349" s="18"/>
      <c r="AG349" s="91"/>
      <c r="AH349" s="18"/>
      <c r="AI349" s="18"/>
      <c r="AJ349" s="18"/>
      <c r="AK349" s="18"/>
      <c r="AL349" s="18"/>
      <c r="AM349" s="18"/>
      <c r="AN349" s="18"/>
      <c r="AO349" s="18"/>
      <c r="AP349" s="18"/>
      <c r="AQ349" s="18"/>
      <c r="AR349" s="18"/>
      <c r="AS349" s="18"/>
      <c r="AT349" s="18"/>
      <c r="AU349" s="91"/>
      <c r="AV349" s="18"/>
      <c r="AW349" s="18"/>
      <c r="AX349" s="18"/>
      <c r="AY349" s="17"/>
      <c r="AZ349" s="17"/>
      <c r="BA349" s="17"/>
      <c r="BB349" s="17"/>
      <c r="BC349" s="96"/>
      <c r="BD349" s="96"/>
      <c r="BE349" s="96"/>
      <c r="BF349" s="96"/>
      <c r="BG349" s="96"/>
      <c r="BH349" s="96"/>
      <c r="BI349" s="96"/>
    </row>
    <row r="350" spans="1:61" x14ac:dyDescent="0.45">
      <c r="A350" s="17"/>
      <c r="B350" s="17"/>
      <c r="C350" s="17"/>
      <c r="D350" s="17"/>
      <c r="E350" s="15"/>
      <c r="F350" s="17"/>
      <c r="G350" s="17"/>
      <c r="H350" s="3"/>
      <c r="I350" s="88"/>
      <c r="J350" s="88"/>
      <c r="K350" s="15"/>
      <c r="L350" s="96"/>
      <c r="M350" s="89"/>
      <c r="N350" s="88"/>
      <c r="O350" s="413"/>
      <c r="P350" s="18"/>
      <c r="Q350" s="91"/>
      <c r="R350" s="18"/>
      <c r="S350" s="18"/>
      <c r="T350" s="18"/>
      <c r="U350" s="18"/>
      <c r="V350" s="18"/>
      <c r="W350" s="18"/>
      <c r="X350" s="18"/>
      <c r="Y350" s="92"/>
      <c r="Z350" s="92"/>
      <c r="AA350" s="418"/>
      <c r="AB350" s="95"/>
      <c r="AC350" s="18"/>
      <c r="AD350" s="18"/>
      <c r="AE350" s="18"/>
      <c r="AF350" s="18"/>
      <c r="AG350" s="91"/>
      <c r="AH350" s="18"/>
      <c r="AI350" s="18"/>
      <c r="AJ350" s="18"/>
      <c r="AK350" s="18"/>
      <c r="AL350" s="18"/>
      <c r="AM350" s="18"/>
      <c r="AN350" s="18"/>
      <c r="AO350" s="18"/>
      <c r="AP350" s="18"/>
      <c r="AQ350" s="18"/>
      <c r="AR350" s="18"/>
      <c r="AS350" s="18"/>
      <c r="AT350" s="18"/>
      <c r="AU350" s="91"/>
      <c r="AV350" s="18"/>
      <c r="AW350" s="18"/>
      <c r="AX350" s="18"/>
      <c r="AY350" s="17"/>
      <c r="AZ350" s="17"/>
      <c r="BA350" s="17"/>
      <c r="BB350" s="17"/>
      <c r="BC350" s="96"/>
      <c r="BD350" s="96"/>
      <c r="BE350" s="96"/>
      <c r="BF350" s="96"/>
      <c r="BG350" s="96"/>
      <c r="BH350" s="96"/>
      <c r="BI350" s="96"/>
    </row>
    <row r="351" spans="1:61" x14ac:dyDescent="0.45">
      <c r="A351" s="17"/>
      <c r="B351" s="17"/>
      <c r="C351" s="17"/>
      <c r="D351" s="17"/>
      <c r="E351" s="15"/>
      <c r="F351" s="17"/>
      <c r="G351" s="17"/>
      <c r="H351" s="3"/>
      <c r="I351" s="88"/>
      <c r="J351" s="88"/>
      <c r="K351" s="15"/>
      <c r="L351" s="96"/>
      <c r="M351" s="89"/>
      <c r="N351" s="88"/>
      <c r="O351" s="413"/>
      <c r="P351" s="18"/>
      <c r="Q351" s="91"/>
      <c r="R351" s="18"/>
      <c r="S351" s="18"/>
      <c r="T351" s="18"/>
      <c r="U351" s="18"/>
      <c r="V351" s="18"/>
      <c r="W351" s="18"/>
      <c r="X351" s="18"/>
      <c r="Y351" s="92"/>
      <c r="Z351" s="92"/>
      <c r="AA351" s="418"/>
      <c r="AB351" s="95"/>
      <c r="AC351" s="18"/>
      <c r="AD351" s="18"/>
      <c r="AE351" s="18"/>
      <c r="AF351" s="18"/>
      <c r="AG351" s="91"/>
      <c r="AH351" s="18"/>
      <c r="AI351" s="18"/>
      <c r="AJ351" s="18"/>
      <c r="AK351" s="18"/>
      <c r="AL351" s="18"/>
      <c r="AM351" s="18"/>
      <c r="AN351" s="18"/>
      <c r="AO351" s="18"/>
      <c r="AP351" s="18"/>
      <c r="AQ351" s="18"/>
      <c r="AR351" s="18"/>
      <c r="AS351" s="18"/>
      <c r="AT351" s="18"/>
      <c r="AU351" s="91"/>
      <c r="AV351" s="18"/>
      <c r="AW351" s="18"/>
      <c r="AX351" s="18"/>
      <c r="AY351" s="17"/>
      <c r="AZ351" s="17"/>
      <c r="BA351" s="17"/>
      <c r="BB351" s="17"/>
      <c r="BC351" s="96"/>
      <c r="BD351" s="96"/>
      <c r="BE351" s="96"/>
      <c r="BF351" s="96"/>
      <c r="BG351" s="96"/>
      <c r="BH351" s="96"/>
      <c r="BI351" s="96"/>
    </row>
    <row r="352" spans="1:61" x14ac:dyDescent="0.45">
      <c r="A352" s="17"/>
      <c r="B352" s="17"/>
      <c r="C352" s="17"/>
      <c r="D352" s="17"/>
      <c r="E352" s="15"/>
      <c r="F352" s="17"/>
      <c r="G352" s="17"/>
      <c r="H352" s="3"/>
      <c r="I352" s="88"/>
      <c r="J352" s="88"/>
      <c r="K352" s="15"/>
      <c r="L352" s="96"/>
      <c r="M352" s="89"/>
      <c r="N352" s="88"/>
      <c r="O352" s="413"/>
      <c r="P352" s="18"/>
      <c r="Q352" s="91"/>
      <c r="R352" s="18"/>
      <c r="S352" s="18"/>
      <c r="T352" s="18"/>
      <c r="U352" s="18"/>
      <c r="V352" s="18"/>
      <c r="W352" s="18"/>
      <c r="X352" s="18"/>
      <c r="Y352" s="92"/>
      <c r="Z352" s="92"/>
      <c r="AA352" s="418"/>
      <c r="AB352" s="95"/>
      <c r="AC352" s="18"/>
      <c r="AD352" s="18"/>
      <c r="AE352" s="18"/>
      <c r="AF352" s="18"/>
      <c r="AG352" s="91"/>
      <c r="AH352" s="18"/>
      <c r="AI352" s="18"/>
      <c r="AJ352" s="18"/>
      <c r="AK352" s="18"/>
      <c r="AL352" s="18"/>
      <c r="AM352" s="18"/>
      <c r="AN352" s="18"/>
      <c r="AO352" s="18"/>
      <c r="AP352" s="18"/>
      <c r="AQ352" s="18"/>
      <c r="AR352" s="18"/>
      <c r="AS352" s="18"/>
      <c r="AT352" s="18"/>
      <c r="AU352" s="91"/>
      <c r="AV352" s="18"/>
      <c r="AW352" s="18"/>
      <c r="AX352" s="18"/>
      <c r="AY352" s="17"/>
      <c r="AZ352" s="17"/>
      <c r="BA352" s="17"/>
      <c r="BB352" s="17"/>
      <c r="BC352" s="96"/>
      <c r="BD352" s="96"/>
      <c r="BE352" s="96"/>
      <c r="BF352" s="96"/>
      <c r="BG352" s="96"/>
      <c r="BH352" s="96"/>
      <c r="BI352" s="96"/>
    </row>
    <row r="353" spans="1:61" x14ac:dyDescent="0.45">
      <c r="A353" s="17"/>
      <c r="B353" s="17"/>
      <c r="C353" s="17"/>
      <c r="D353" s="17"/>
      <c r="E353" s="15"/>
      <c r="F353" s="17"/>
      <c r="G353" s="17"/>
      <c r="H353" s="3"/>
      <c r="I353" s="88"/>
      <c r="J353" s="88"/>
      <c r="K353" s="15"/>
      <c r="L353" s="96"/>
      <c r="M353" s="89"/>
      <c r="N353" s="88"/>
      <c r="O353" s="413"/>
      <c r="P353" s="18"/>
      <c r="Q353" s="91"/>
      <c r="R353" s="18"/>
      <c r="S353" s="18"/>
      <c r="T353" s="18"/>
      <c r="U353" s="18"/>
      <c r="V353" s="18"/>
      <c r="W353" s="18"/>
      <c r="X353" s="18"/>
      <c r="Y353" s="92"/>
      <c r="Z353" s="92"/>
      <c r="AA353" s="418"/>
      <c r="AB353" s="95"/>
      <c r="AC353" s="18"/>
      <c r="AD353" s="18"/>
      <c r="AE353" s="18"/>
      <c r="AF353" s="18"/>
      <c r="AG353" s="91"/>
      <c r="AH353" s="18"/>
      <c r="AI353" s="18"/>
      <c r="AJ353" s="18"/>
      <c r="AK353" s="18"/>
      <c r="AL353" s="18"/>
      <c r="AM353" s="18"/>
      <c r="AN353" s="18"/>
      <c r="AO353" s="18"/>
      <c r="AP353" s="18"/>
      <c r="AQ353" s="18"/>
      <c r="AR353" s="18"/>
      <c r="AS353" s="18"/>
      <c r="AT353" s="18"/>
      <c r="AU353" s="91"/>
      <c r="AV353" s="18"/>
      <c r="AW353" s="18"/>
      <c r="AX353" s="18"/>
      <c r="AY353" s="17"/>
      <c r="AZ353" s="17"/>
      <c r="BA353" s="17"/>
      <c r="BB353" s="17"/>
      <c r="BC353" s="96"/>
      <c r="BD353" s="96"/>
      <c r="BE353" s="96"/>
      <c r="BF353" s="96"/>
      <c r="BG353" s="96"/>
      <c r="BH353" s="96"/>
      <c r="BI353" s="96"/>
    </row>
    <row r="354" spans="1:61" x14ac:dyDescent="0.45">
      <c r="A354" s="17"/>
      <c r="B354" s="17"/>
      <c r="C354" s="17"/>
      <c r="D354" s="17"/>
      <c r="E354" s="15"/>
      <c r="F354" s="17"/>
      <c r="G354" s="17"/>
      <c r="H354" s="3"/>
      <c r="I354" s="88"/>
      <c r="J354" s="88"/>
      <c r="K354" s="15"/>
      <c r="L354" s="96"/>
      <c r="M354" s="89"/>
      <c r="N354" s="88"/>
      <c r="O354" s="413"/>
      <c r="P354" s="18"/>
      <c r="Q354" s="91"/>
      <c r="R354" s="18"/>
      <c r="S354" s="18"/>
      <c r="T354" s="18"/>
      <c r="U354" s="18"/>
      <c r="V354" s="18"/>
      <c r="W354" s="18"/>
      <c r="X354" s="18"/>
      <c r="Y354" s="92"/>
      <c r="Z354" s="92"/>
      <c r="AA354" s="418"/>
      <c r="AB354" s="95"/>
      <c r="AC354" s="18"/>
      <c r="AD354" s="18"/>
      <c r="AE354" s="18"/>
      <c r="AF354" s="18"/>
      <c r="AG354" s="91"/>
      <c r="AH354" s="18"/>
      <c r="AI354" s="18"/>
      <c r="AJ354" s="18"/>
      <c r="AK354" s="18"/>
      <c r="AL354" s="18"/>
      <c r="AM354" s="18"/>
      <c r="AN354" s="18"/>
      <c r="AO354" s="18"/>
      <c r="AP354" s="18"/>
      <c r="AQ354" s="18"/>
      <c r="AR354" s="18"/>
      <c r="AS354" s="18"/>
      <c r="AT354" s="18"/>
      <c r="AU354" s="91"/>
      <c r="AV354" s="18"/>
      <c r="AW354" s="18"/>
      <c r="AX354" s="18"/>
      <c r="AY354" s="17"/>
      <c r="AZ354" s="17"/>
      <c r="BA354" s="17"/>
      <c r="BB354" s="17"/>
      <c r="BC354" s="96"/>
      <c r="BD354" s="96"/>
      <c r="BE354" s="96"/>
      <c r="BF354" s="96"/>
      <c r="BG354" s="96"/>
      <c r="BH354" s="96"/>
      <c r="BI354" s="96"/>
    </row>
    <row r="355" spans="1:61" x14ac:dyDescent="0.45">
      <c r="A355" s="17"/>
      <c r="B355" s="17"/>
      <c r="C355" s="17"/>
      <c r="D355" s="17"/>
      <c r="E355" s="15"/>
      <c r="F355" s="17"/>
      <c r="G355" s="17"/>
      <c r="H355" s="3"/>
      <c r="I355" s="88"/>
      <c r="J355" s="88"/>
      <c r="K355" s="15"/>
      <c r="L355" s="96"/>
      <c r="M355" s="89"/>
      <c r="N355" s="88"/>
      <c r="O355" s="413"/>
      <c r="P355" s="18"/>
      <c r="Q355" s="91"/>
      <c r="R355" s="18"/>
      <c r="S355" s="18"/>
      <c r="T355" s="18"/>
      <c r="U355" s="18"/>
      <c r="V355" s="18"/>
      <c r="W355" s="18"/>
      <c r="X355" s="18"/>
      <c r="Y355" s="92"/>
      <c r="Z355" s="92"/>
      <c r="AA355" s="418"/>
      <c r="AB355" s="95"/>
      <c r="AC355" s="18"/>
      <c r="AD355" s="18"/>
      <c r="AE355" s="18"/>
      <c r="AF355" s="18"/>
      <c r="AG355" s="91"/>
      <c r="AH355" s="18"/>
      <c r="AI355" s="18"/>
      <c r="AJ355" s="18"/>
      <c r="AK355" s="18"/>
      <c r="AL355" s="18"/>
      <c r="AM355" s="18"/>
      <c r="AN355" s="18"/>
      <c r="AO355" s="18"/>
      <c r="AP355" s="18"/>
      <c r="AQ355" s="18"/>
      <c r="AR355" s="18"/>
      <c r="AS355" s="18"/>
      <c r="AT355" s="18"/>
      <c r="AU355" s="91"/>
      <c r="AV355" s="18"/>
      <c r="AW355" s="18"/>
      <c r="AX355" s="18"/>
      <c r="AY355" s="17"/>
      <c r="AZ355" s="17"/>
      <c r="BA355" s="17"/>
      <c r="BB355" s="17"/>
      <c r="BC355" s="96"/>
      <c r="BD355" s="96"/>
      <c r="BE355" s="96"/>
      <c r="BF355" s="96"/>
      <c r="BG355" s="96"/>
      <c r="BH355" s="96"/>
      <c r="BI355" s="96"/>
    </row>
    <row r="356" spans="1:61" x14ac:dyDescent="0.45">
      <c r="A356" s="17"/>
      <c r="B356" s="17"/>
      <c r="C356" s="17"/>
      <c r="D356" s="17"/>
      <c r="E356" s="15"/>
      <c r="F356" s="17"/>
      <c r="G356" s="17"/>
      <c r="H356" s="3"/>
      <c r="I356" s="88"/>
      <c r="J356" s="88"/>
      <c r="K356" s="15"/>
      <c r="L356" s="96"/>
      <c r="M356" s="89"/>
      <c r="N356" s="88"/>
      <c r="O356" s="413"/>
      <c r="P356" s="18"/>
      <c r="Q356" s="91"/>
      <c r="R356" s="18"/>
      <c r="S356" s="18"/>
      <c r="T356" s="18"/>
      <c r="U356" s="18"/>
      <c r="V356" s="18"/>
      <c r="W356" s="18"/>
      <c r="X356" s="18"/>
      <c r="Y356" s="92"/>
      <c r="Z356" s="92"/>
      <c r="AA356" s="418"/>
      <c r="AB356" s="95"/>
      <c r="AC356" s="18"/>
      <c r="AD356" s="18"/>
      <c r="AE356" s="18"/>
      <c r="AF356" s="18"/>
      <c r="AG356" s="91"/>
      <c r="AH356" s="18"/>
      <c r="AI356" s="18"/>
      <c r="AJ356" s="18"/>
      <c r="AK356" s="18"/>
      <c r="AL356" s="18"/>
      <c r="AM356" s="18"/>
      <c r="AN356" s="18"/>
      <c r="AO356" s="18"/>
      <c r="AP356" s="18"/>
      <c r="AQ356" s="18"/>
      <c r="AR356" s="18"/>
      <c r="AS356" s="18"/>
      <c r="AT356" s="18"/>
      <c r="AU356" s="91"/>
      <c r="AV356" s="18"/>
      <c r="AW356" s="18"/>
      <c r="AX356" s="18"/>
      <c r="AY356" s="17"/>
      <c r="AZ356" s="17"/>
      <c r="BA356" s="17"/>
      <c r="BB356" s="17"/>
      <c r="BC356" s="96"/>
      <c r="BD356" s="96"/>
      <c r="BE356" s="96"/>
      <c r="BF356" s="96"/>
      <c r="BG356" s="96"/>
      <c r="BH356" s="96"/>
      <c r="BI356" s="96"/>
    </row>
    <row r="357" spans="1:61" x14ac:dyDescent="0.45">
      <c r="A357" s="17"/>
      <c r="B357" s="17"/>
      <c r="C357" s="17"/>
      <c r="D357" s="17"/>
      <c r="E357" s="15"/>
      <c r="F357" s="17"/>
      <c r="G357" s="17"/>
      <c r="H357" s="3"/>
      <c r="I357" s="88"/>
      <c r="J357" s="88"/>
      <c r="K357" s="15"/>
      <c r="L357" s="96"/>
      <c r="M357" s="89"/>
      <c r="N357" s="88"/>
      <c r="O357" s="413"/>
      <c r="P357" s="18"/>
      <c r="Q357" s="91"/>
      <c r="R357" s="18"/>
      <c r="S357" s="18"/>
      <c r="T357" s="18"/>
      <c r="U357" s="18"/>
      <c r="V357" s="18"/>
      <c r="W357" s="18"/>
      <c r="X357" s="18"/>
      <c r="Y357" s="92"/>
      <c r="Z357" s="92"/>
      <c r="AA357" s="418"/>
      <c r="AB357" s="95"/>
      <c r="AC357" s="18"/>
      <c r="AD357" s="18"/>
      <c r="AE357" s="18"/>
      <c r="AF357" s="18"/>
      <c r="AG357" s="91"/>
      <c r="AH357" s="18"/>
      <c r="AI357" s="18"/>
      <c r="AJ357" s="18"/>
      <c r="AK357" s="18"/>
      <c r="AL357" s="18"/>
      <c r="AM357" s="18"/>
      <c r="AN357" s="18"/>
      <c r="AO357" s="18"/>
      <c r="AP357" s="18"/>
      <c r="AQ357" s="18"/>
      <c r="AR357" s="18"/>
      <c r="AS357" s="18"/>
      <c r="AT357" s="18"/>
      <c r="AU357" s="91"/>
      <c r="AV357" s="18"/>
      <c r="AW357" s="18"/>
      <c r="AX357" s="18"/>
      <c r="AY357" s="17"/>
      <c r="AZ357" s="17"/>
      <c r="BA357" s="17"/>
      <c r="BB357" s="17"/>
      <c r="BC357" s="96"/>
      <c r="BD357" s="96"/>
      <c r="BE357" s="96"/>
      <c r="BF357" s="96"/>
      <c r="BG357" s="96"/>
      <c r="BH357" s="96"/>
      <c r="BI357" s="96"/>
    </row>
    <row r="358" spans="1:61" x14ac:dyDescent="0.45">
      <c r="A358" s="17"/>
      <c r="B358" s="17"/>
      <c r="C358" s="17"/>
      <c r="D358" s="17"/>
      <c r="E358" s="15"/>
      <c r="F358" s="17"/>
      <c r="G358" s="17"/>
      <c r="H358" s="3"/>
      <c r="I358" s="88"/>
      <c r="J358" s="88"/>
      <c r="K358" s="15"/>
      <c r="L358" s="96"/>
      <c r="M358" s="89"/>
      <c r="N358" s="88"/>
      <c r="O358" s="413"/>
      <c r="P358" s="18"/>
      <c r="Q358" s="91"/>
      <c r="R358" s="18"/>
      <c r="S358" s="18"/>
      <c r="T358" s="18"/>
      <c r="U358" s="18"/>
      <c r="V358" s="18"/>
      <c r="W358" s="18"/>
      <c r="X358" s="18"/>
      <c r="Y358" s="92"/>
      <c r="Z358" s="92"/>
      <c r="AA358" s="418"/>
      <c r="AB358" s="95"/>
      <c r="AC358" s="18"/>
      <c r="AD358" s="18"/>
      <c r="AE358" s="18"/>
      <c r="AF358" s="18"/>
      <c r="AG358" s="91"/>
      <c r="AH358" s="18"/>
      <c r="AI358" s="18"/>
      <c r="AJ358" s="18"/>
      <c r="AK358" s="18"/>
      <c r="AL358" s="18"/>
      <c r="AM358" s="18"/>
      <c r="AN358" s="18"/>
      <c r="AO358" s="18"/>
      <c r="AP358" s="18"/>
      <c r="AQ358" s="18"/>
      <c r="AR358" s="18"/>
      <c r="AS358" s="18"/>
      <c r="AT358" s="18"/>
      <c r="AU358" s="91"/>
      <c r="AV358" s="18"/>
      <c r="AW358" s="18"/>
      <c r="AX358" s="18"/>
      <c r="AY358" s="17"/>
      <c r="AZ358" s="17"/>
      <c r="BA358" s="17"/>
      <c r="BB358" s="17"/>
      <c r="BC358" s="96"/>
      <c r="BD358" s="96"/>
      <c r="BE358" s="96"/>
      <c r="BF358" s="96"/>
      <c r="BG358" s="96"/>
      <c r="BH358" s="96"/>
      <c r="BI358" s="96"/>
    </row>
    <row r="359" spans="1:61" x14ac:dyDescent="0.45">
      <c r="A359" s="17"/>
      <c r="B359" s="17"/>
      <c r="C359" s="17"/>
      <c r="D359" s="17"/>
      <c r="E359" s="15"/>
      <c r="F359" s="17"/>
      <c r="G359" s="17"/>
      <c r="H359" s="3"/>
      <c r="I359" s="88"/>
      <c r="J359" s="88"/>
      <c r="K359" s="15"/>
      <c r="L359" s="96"/>
      <c r="M359" s="89"/>
      <c r="N359" s="88"/>
      <c r="O359" s="413"/>
      <c r="P359" s="18"/>
      <c r="Q359" s="91"/>
      <c r="R359" s="18"/>
      <c r="S359" s="18"/>
      <c r="T359" s="18"/>
      <c r="U359" s="18"/>
      <c r="V359" s="18"/>
      <c r="W359" s="18"/>
      <c r="X359" s="18"/>
      <c r="Y359" s="92"/>
      <c r="Z359" s="92"/>
      <c r="AA359" s="418"/>
      <c r="AB359" s="95"/>
      <c r="AC359" s="18"/>
      <c r="AD359" s="18"/>
      <c r="AE359" s="18"/>
      <c r="AF359" s="18"/>
      <c r="AG359" s="91"/>
      <c r="AH359" s="18"/>
      <c r="AI359" s="18"/>
      <c r="AJ359" s="18"/>
      <c r="AK359" s="18"/>
      <c r="AL359" s="18"/>
      <c r="AM359" s="18"/>
      <c r="AN359" s="18"/>
      <c r="AO359" s="18"/>
      <c r="AP359" s="18"/>
      <c r="AQ359" s="18"/>
      <c r="AR359" s="18"/>
      <c r="AS359" s="18"/>
      <c r="AT359" s="18"/>
      <c r="AU359" s="91"/>
      <c r="AV359" s="18"/>
      <c r="AW359" s="18"/>
      <c r="AX359" s="18"/>
      <c r="AY359" s="17"/>
      <c r="AZ359" s="17"/>
      <c r="BA359" s="17"/>
      <c r="BB359" s="17"/>
      <c r="BC359" s="96"/>
      <c r="BD359" s="96"/>
      <c r="BE359" s="96"/>
      <c r="BF359" s="96"/>
      <c r="BG359" s="96"/>
      <c r="BH359" s="96"/>
      <c r="BI359" s="96"/>
    </row>
    <row r="360" spans="1:61" x14ac:dyDescent="0.45">
      <c r="A360" s="17"/>
      <c r="B360" s="17"/>
      <c r="C360" s="17"/>
      <c r="D360" s="17"/>
      <c r="E360" s="15"/>
      <c r="F360" s="17"/>
      <c r="G360" s="17"/>
      <c r="H360" s="3"/>
      <c r="I360" s="88"/>
      <c r="J360" s="88"/>
      <c r="K360" s="15"/>
      <c r="L360" s="96"/>
      <c r="M360" s="89"/>
      <c r="N360" s="88"/>
      <c r="O360" s="413"/>
      <c r="P360" s="18"/>
      <c r="Q360" s="91"/>
      <c r="R360" s="18"/>
      <c r="S360" s="18"/>
      <c r="T360" s="18"/>
      <c r="U360" s="18"/>
      <c r="V360" s="18"/>
      <c r="W360" s="18"/>
      <c r="X360" s="18"/>
      <c r="Y360" s="92"/>
      <c r="Z360" s="92"/>
      <c r="AA360" s="418"/>
      <c r="AB360" s="95"/>
      <c r="AC360" s="18"/>
      <c r="AD360" s="18"/>
      <c r="AE360" s="18"/>
      <c r="AF360" s="18"/>
      <c r="AG360" s="91"/>
      <c r="AH360" s="18"/>
      <c r="AI360" s="18"/>
      <c r="AJ360" s="18"/>
      <c r="AK360" s="18"/>
      <c r="AL360" s="18"/>
      <c r="AM360" s="18"/>
      <c r="AN360" s="18"/>
      <c r="AO360" s="18"/>
      <c r="AP360" s="18"/>
      <c r="AQ360" s="18"/>
      <c r="AR360" s="18"/>
      <c r="AS360" s="18"/>
      <c r="AT360" s="18"/>
      <c r="AU360" s="91"/>
      <c r="AV360" s="18"/>
      <c r="AW360" s="18"/>
      <c r="AX360" s="18"/>
      <c r="AY360" s="17"/>
      <c r="AZ360" s="17"/>
      <c r="BA360" s="17"/>
      <c r="BB360" s="17"/>
      <c r="BC360" s="96"/>
      <c r="BD360" s="96"/>
      <c r="BE360" s="96"/>
      <c r="BF360" s="96"/>
      <c r="BG360" s="96"/>
      <c r="BH360" s="96"/>
      <c r="BI360" s="96"/>
    </row>
    <row r="361" spans="1:61" x14ac:dyDescent="0.45">
      <c r="A361" s="17"/>
      <c r="B361" s="17"/>
      <c r="C361" s="17"/>
      <c r="D361" s="17"/>
      <c r="E361" s="15"/>
      <c r="F361" s="17"/>
      <c r="G361" s="17"/>
      <c r="H361" s="3"/>
      <c r="I361" s="88"/>
      <c r="J361" s="88"/>
      <c r="K361" s="15"/>
      <c r="L361" s="96"/>
      <c r="M361" s="89"/>
      <c r="N361" s="88"/>
      <c r="O361" s="413"/>
      <c r="P361" s="18"/>
      <c r="Q361" s="91"/>
      <c r="R361" s="18"/>
      <c r="S361" s="18"/>
      <c r="T361" s="18"/>
      <c r="U361" s="18"/>
      <c r="V361" s="18"/>
      <c r="W361" s="18"/>
      <c r="X361" s="18"/>
      <c r="Y361" s="92"/>
      <c r="Z361" s="92"/>
      <c r="AA361" s="418"/>
      <c r="AB361" s="95"/>
      <c r="AC361" s="18"/>
      <c r="AD361" s="18"/>
      <c r="AE361" s="18"/>
      <c r="AF361" s="18"/>
      <c r="AG361" s="91"/>
      <c r="AH361" s="18"/>
      <c r="AI361" s="18"/>
      <c r="AJ361" s="18"/>
      <c r="AK361" s="18"/>
      <c r="AL361" s="18"/>
      <c r="AM361" s="18"/>
      <c r="AN361" s="18"/>
      <c r="AO361" s="18"/>
      <c r="AP361" s="18"/>
      <c r="AQ361" s="18"/>
      <c r="AR361" s="18"/>
      <c r="AS361" s="18"/>
      <c r="AT361" s="18"/>
      <c r="AU361" s="91"/>
      <c r="AV361" s="18"/>
      <c r="AW361" s="18"/>
      <c r="AX361" s="18"/>
      <c r="AY361" s="17"/>
      <c r="AZ361" s="17"/>
      <c r="BA361" s="17"/>
      <c r="BB361" s="17"/>
      <c r="BC361" s="96"/>
      <c r="BD361" s="96"/>
      <c r="BE361" s="96"/>
      <c r="BF361" s="96"/>
      <c r="BG361" s="96"/>
      <c r="BH361" s="96"/>
      <c r="BI361" s="96"/>
    </row>
    <row r="362" spans="1:61" x14ac:dyDescent="0.45">
      <c r="A362" s="17"/>
      <c r="B362" s="17"/>
      <c r="C362" s="17"/>
      <c r="D362" s="17"/>
      <c r="E362" s="15"/>
      <c r="F362" s="17"/>
      <c r="G362" s="17"/>
      <c r="H362" s="3"/>
      <c r="I362" s="88"/>
      <c r="J362" s="88"/>
      <c r="K362" s="15"/>
      <c r="L362" s="96"/>
      <c r="M362" s="89"/>
      <c r="N362" s="88"/>
      <c r="O362" s="413"/>
      <c r="P362" s="18"/>
      <c r="Q362" s="91"/>
      <c r="R362" s="18"/>
      <c r="S362" s="18"/>
      <c r="T362" s="18"/>
      <c r="U362" s="18"/>
      <c r="V362" s="18"/>
      <c r="W362" s="18"/>
      <c r="X362" s="18"/>
      <c r="Y362" s="92"/>
      <c r="Z362" s="92"/>
      <c r="AA362" s="418"/>
      <c r="AB362" s="95"/>
      <c r="AC362" s="18"/>
      <c r="AD362" s="18"/>
      <c r="AE362" s="18"/>
      <c r="AF362" s="18"/>
      <c r="AG362" s="91"/>
      <c r="AH362" s="18"/>
      <c r="AI362" s="18"/>
      <c r="AJ362" s="18"/>
      <c r="AK362" s="18"/>
      <c r="AL362" s="18"/>
      <c r="AM362" s="18"/>
      <c r="AN362" s="18"/>
      <c r="AO362" s="18"/>
      <c r="AP362" s="18"/>
      <c r="AQ362" s="18"/>
      <c r="AR362" s="18"/>
      <c r="AS362" s="18"/>
      <c r="AT362" s="18"/>
      <c r="AU362" s="91"/>
      <c r="AV362" s="18"/>
      <c r="AW362" s="18"/>
      <c r="AX362" s="18"/>
      <c r="AY362" s="17"/>
      <c r="AZ362" s="17"/>
      <c r="BA362" s="17"/>
      <c r="BB362" s="17"/>
      <c r="BC362" s="96"/>
      <c r="BD362" s="96"/>
      <c r="BE362" s="96"/>
      <c r="BF362" s="96"/>
      <c r="BG362" s="96"/>
      <c r="BH362" s="96"/>
      <c r="BI362" s="96"/>
    </row>
    <row r="363" spans="1:61" x14ac:dyDescent="0.45">
      <c r="A363" s="17"/>
      <c r="B363" s="17"/>
      <c r="C363" s="17"/>
      <c r="D363" s="17"/>
      <c r="E363" s="15"/>
      <c r="F363" s="17"/>
      <c r="G363" s="17"/>
      <c r="H363" s="3"/>
      <c r="I363" s="88"/>
      <c r="J363" s="88"/>
      <c r="K363" s="15"/>
      <c r="L363" s="96"/>
      <c r="M363" s="89"/>
      <c r="N363" s="88"/>
      <c r="O363" s="413"/>
      <c r="P363" s="18"/>
      <c r="Q363" s="91"/>
      <c r="R363" s="18"/>
      <c r="S363" s="18"/>
      <c r="T363" s="18"/>
      <c r="U363" s="18"/>
      <c r="V363" s="18"/>
      <c r="W363" s="18"/>
      <c r="X363" s="18"/>
      <c r="Y363" s="92"/>
      <c r="Z363" s="92"/>
      <c r="AA363" s="418"/>
      <c r="AB363" s="95"/>
      <c r="AC363" s="18"/>
      <c r="AD363" s="18"/>
      <c r="AE363" s="18"/>
      <c r="AF363" s="18"/>
      <c r="AG363" s="91"/>
      <c r="AH363" s="18"/>
      <c r="AI363" s="18"/>
      <c r="AJ363" s="18"/>
      <c r="AK363" s="18"/>
      <c r="AL363" s="18"/>
      <c r="AM363" s="18"/>
      <c r="AN363" s="18"/>
      <c r="AO363" s="18"/>
      <c r="AP363" s="18"/>
      <c r="AQ363" s="18"/>
      <c r="AR363" s="18"/>
      <c r="AS363" s="18"/>
      <c r="AT363" s="18"/>
      <c r="AU363" s="91"/>
      <c r="AV363" s="18"/>
      <c r="AW363" s="18"/>
      <c r="AX363" s="18"/>
      <c r="AY363" s="17"/>
      <c r="AZ363" s="17"/>
      <c r="BA363" s="17"/>
      <c r="BB363" s="17"/>
      <c r="BC363" s="96"/>
      <c r="BD363" s="96"/>
      <c r="BE363" s="96"/>
      <c r="BF363" s="96"/>
      <c r="BG363" s="96"/>
      <c r="BH363" s="96"/>
      <c r="BI363" s="96"/>
    </row>
    <row r="364" spans="1:61" x14ac:dyDescent="0.45">
      <c r="A364" s="17"/>
      <c r="B364" s="17"/>
      <c r="C364" s="17"/>
      <c r="D364" s="17"/>
      <c r="E364" s="15"/>
      <c r="F364" s="17"/>
      <c r="G364" s="17"/>
      <c r="H364" s="3"/>
      <c r="I364" s="88"/>
      <c r="J364" s="88"/>
      <c r="K364" s="15"/>
      <c r="L364" s="96"/>
      <c r="M364" s="89"/>
      <c r="N364" s="88"/>
      <c r="O364" s="413"/>
      <c r="P364" s="18"/>
      <c r="Q364" s="91"/>
      <c r="R364" s="18"/>
      <c r="S364" s="18"/>
      <c r="T364" s="18"/>
      <c r="U364" s="18"/>
      <c r="V364" s="18"/>
      <c r="W364" s="18"/>
      <c r="X364" s="18"/>
      <c r="Y364" s="92"/>
      <c r="Z364" s="92"/>
      <c r="AA364" s="418"/>
      <c r="AB364" s="95"/>
      <c r="AC364" s="18"/>
      <c r="AD364" s="18"/>
      <c r="AE364" s="18"/>
      <c r="AF364" s="18"/>
      <c r="AG364" s="91"/>
      <c r="AH364" s="18"/>
      <c r="AI364" s="18"/>
      <c r="AJ364" s="18"/>
      <c r="AK364" s="18"/>
      <c r="AL364" s="18"/>
      <c r="AM364" s="18"/>
      <c r="AN364" s="18"/>
      <c r="AO364" s="18"/>
      <c r="AP364" s="18"/>
      <c r="AQ364" s="18"/>
      <c r="AR364" s="18"/>
      <c r="AS364" s="18"/>
      <c r="AT364" s="18"/>
      <c r="AU364" s="91"/>
      <c r="AV364" s="18"/>
      <c r="AW364" s="18"/>
      <c r="AX364" s="18"/>
      <c r="AY364" s="17"/>
      <c r="AZ364" s="17"/>
      <c r="BA364" s="17"/>
      <c r="BB364" s="17"/>
      <c r="BC364" s="96"/>
      <c r="BD364" s="96"/>
      <c r="BE364" s="96"/>
      <c r="BF364" s="96"/>
      <c r="BG364" s="96"/>
      <c r="BH364" s="96"/>
      <c r="BI364" s="96"/>
    </row>
    <row r="365" spans="1:61" x14ac:dyDescent="0.45">
      <c r="A365" s="17"/>
      <c r="B365" s="17"/>
      <c r="C365" s="17"/>
      <c r="D365" s="17"/>
      <c r="E365" s="15"/>
      <c r="F365" s="17"/>
      <c r="G365" s="17"/>
      <c r="H365" s="3"/>
      <c r="I365" s="88"/>
      <c r="J365" s="88"/>
      <c r="K365" s="15"/>
      <c r="L365" s="96"/>
      <c r="M365" s="89"/>
      <c r="N365" s="88"/>
      <c r="O365" s="413"/>
      <c r="P365" s="18"/>
      <c r="Q365" s="91"/>
      <c r="R365" s="18"/>
      <c r="S365" s="18"/>
      <c r="T365" s="18"/>
      <c r="U365" s="18"/>
      <c r="V365" s="18"/>
      <c r="W365" s="18"/>
      <c r="X365" s="18"/>
      <c r="Y365" s="92"/>
      <c r="Z365" s="92"/>
      <c r="AA365" s="418"/>
      <c r="AB365" s="95"/>
      <c r="AC365" s="18"/>
      <c r="AD365" s="18"/>
      <c r="AE365" s="18"/>
      <c r="AF365" s="18"/>
      <c r="AG365" s="91"/>
      <c r="AH365" s="18"/>
      <c r="AI365" s="18"/>
      <c r="AJ365" s="18"/>
      <c r="AK365" s="18"/>
      <c r="AL365" s="18"/>
      <c r="AM365" s="18"/>
      <c r="AN365" s="18"/>
      <c r="AO365" s="18"/>
      <c r="AP365" s="18"/>
      <c r="AQ365" s="18"/>
      <c r="AR365" s="18"/>
      <c r="AS365" s="18"/>
      <c r="AT365" s="18"/>
      <c r="AU365" s="91"/>
      <c r="AV365" s="18"/>
      <c r="AW365" s="18"/>
      <c r="AX365" s="18"/>
      <c r="AY365" s="17"/>
      <c r="AZ365" s="17"/>
      <c r="BA365" s="17"/>
      <c r="BB365" s="17"/>
      <c r="BC365" s="96"/>
      <c r="BD365" s="96"/>
      <c r="BE365" s="96"/>
      <c r="BF365" s="96"/>
      <c r="BG365" s="96"/>
      <c r="BH365" s="96"/>
      <c r="BI365" s="96"/>
    </row>
    <row r="366" spans="1:61" x14ac:dyDescent="0.45">
      <c r="A366" s="17"/>
      <c r="B366" s="17"/>
      <c r="C366" s="17"/>
      <c r="D366" s="17"/>
      <c r="E366" s="15"/>
      <c r="F366" s="17"/>
      <c r="G366" s="17"/>
      <c r="H366" s="3"/>
      <c r="I366" s="88"/>
      <c r="J366" s="88"/>
      <c r="K366" s="15"/>
      <c r="L366" s="96"/>
      <c r="M366" s="89"/>
      <c r="N366" s="88"/>
      <c r="O366" s="413"/>
      <c r="P366" s="18"/>
      <c r="Q366" s="91"/>
      <c r="R366" s="18"/>
      <c r="S366" s="18"/>
      <c r="T366" s="18"/>
      <c r="U366" s="18"/>
      <c r="V366" s="18"/>
      <c r="W366" s="18"/>
      <c r="X366" s="18"/>
      <c r="Y366" s="92"/>
      <c r="Z366" s="92"/>
      <c r="AA366" s="418"/>
      <c r="AB366" s="95"/>
      <c r="AC366" s="18"/>
      <c r="AD366" s="18"/>
      <c r="AE366" s="18"/>
      <c r="AF366" s="18"/>
      <c r="AG366" s="91"/>
      <c r="AH366" s="18"/>
      <c r="AI366" s="18"/>
      <c r="AJ366" s="18"/>
      <c r="AK366" s="18"/>
      <c r="AL366" s="18"/>
      <c r="AM366" s="18"/>
      <c r="AN366" s="18"/>
      <c r="AO366" s="18"/>
      <c r="AP366" s="18"/>
      <c r="AQ366" s="18"/>
      <c r="AR366" s="18"/>
      <c r="AS366" s="18"/>
      <c r="AT366" s="18"/>
      <c r="AU366" s="91"/>
      <c r="AV366" s="18"/>
      <c r="AW366" s="18"/>
      <c r="AX366" s="18"/>
      <c r="AY366" s="17"/>
      <c r="AZ366" s="17"/>
      <c r="BA366" s="17"/>
      <c r="BB366" s="17"/>
      <c r="BC366" s="96"/>
      <c r="BD366" s="96"/>
      <c r="BE366" s="96"/>
      <c r="BF366" s="96"/>
      <c r="BG366" s="96"/>
      <c r="BH366" s="96"/>
      <c r="BI366" s="96"/>
    </row>
    <row r="367" spans="1:61" x14ac:dyDescent="0.45">
      <c r="A367" s="17"/>
      <c r="B367" s="17"/>
      <c r="C367" s="17"/>
      <c r="D367" s="17"/>
      <c r="E367" s="15"/>
      <c r="F367" s="17"/>
      <c r="G367" s="17"/>
      <c r="H367" s="3"/>
      <c r="I367" s="88"/>
      <c r="J367" s="88"/>
      <c r="K367" s="15"/>
      <c r="L367" s="96"/>
      <c r="M367" s="89"/>
      <c r="N367" s="88"/>
      <c r="O367" s="413"/>
      <c r="P367" s="18"/>
      <c r="Q367" s="91"/>
      <c r="R367" s="18"/>
      <c r="S367" s="18"/>
      <c r="T367" s="18"/>
      <c r="U367" s="18"/>
      <c r="V367" s="18"/>
      <c r="W367" s="18"/>
      <c r="X367" s="18"/>
      <c r="Y367" s="92"/>
      <c r="Z367" s="92"/>
      <c r="AA367" s="418"/>
      <c r="AB367" s="95"/>
      <c r="AC367" s="18"/>
      <c r="AD367" s="18"/>
      <c r="AE367" s="18"/>
      <c r="AF367" s="18"/>
      <c r="AG367" s="91"/>
      <c r="AH367" s="18"/>
      <c r="AI367" s="18"/>
      <c r="AJ367" s="18"/>
      <c r="AK367" s="18"/>
      <c r="AL367" s="18"/>
      <c r="AM367" s="18"/>
      <c r="AN367" s="18"/>
      <c r="AO367" s="18"/>
      <c r="AP367" s="18"/>
      <c r="AQ367" s="18"/>
      <c r="AR367" s="18"/>
      <c r="AS367" s="18"/>
      <c r="AT367" s="18"/>
      <c r="AU367" s="91"/>
      <c r="AV367" s="18"/>
      <c r="AW367" s="18"/>
      <c r="AX367" s="18"/>
      <c r="AY367" s="17"/>
      <c r="AZ367" s="17"/>
      <c r="BA367" s="17"/>
      <c r="BB367" s="17"/>
      <c r="BC367" s="96"/>
      <c r="BD367" s="96"/>
      <c r="BE367" s="96"/>
      <c r="BF367" s="96"/>
      <c r="BG367" s="96"/>
      <c r="BH367" s="96"/>
      <c r="BI367" s="96"/>
    </row>
    <row r="368" spans="1:61" x14ac:dyDescent="0.45">
      <c r="A368" s="17"/>
      <c r="B368" s="17"/>
      <c r="C368" s="17"/>
      <c r="D368" s="17"/>
      <c r="E368" s="15"/>
      <c r="F368" s="17"/>
      <c r="G368" s="17"/>
      <c r="H368" s="3"/>
      <c r="I368" s="88"/>
      <c r="J368" s="88"/>
      <c r="K368" s="15"/>
      <c r="L368" s="96"/>
      <c r="M368" s="89"/>
      <c r="N368" s="88"/>
      <c r="O368" s="413"/>
      <c r="P368" s="18"/>
      <c r="Q368" s="91"/>
      <c r="R368" s="18"/>
      <c r="S368" s="18"/>
      <c r="T368" s="18"/>
      <c r="U368" s="18"/>
      <c r="V368" s="18"/>
      <c r="W368" s="18"/>
      <c r="X368" s="18"/>
      <c r="Y368" s="92"/>
      <c r="Z368" s="92"/>
      <c r="AA368" s="418"/>
      <c r="AB368" s="95"/>
      <c r="AC368" s="18"/>
      <c r="AD368" s="18"/>
      <c r="AE368" s="18"/>
      <c r="AF368" s="18"/>
      <c r="AG368" s="91"/>
      <c r="AH368" s="18"/>
      <c r="AI368" s="18"/>
      <c r="AJ368" s="18"/>
      <c r="AK368" s="18"/>
      <c r="AL368" s="18"/>
      <c r="AM368" s="18"/>
      <c r="AN368" s="18"/>
      <c r="AO368" s="18"/>
      <c r="AP368" s="18"/>
      <c r="AQ368" s="18"/>
      <c r="AR368" s="18"/>
      <c r="AS368" s="18"/>
      <c r="AT368" s="18"/>
      <c r="AU368" s="91"/>
      <c r="AV368" s="18"/>
      <c r="AW368" s="18"/>
      <c r="AX368" s="18"/>
      <c r="AY368" s="17"/>
      <c r="AZ368" s="17"/>
      <c r="BA368" s="17"/>
      <c r="BB368" s="17"/>
      <c r="BC368" s="96"/>
      <c r="BD368" s="96"/>
      <c r="BE368" s="96"/>
      <c r="BF368" s="96"/>
      <c r="BG368" s="96"/>
      <c r="BH368" s="96"/>
      <c r="BI368" s="96"/>
    </row>
    <row r="369" spans="1:61" x14ac:dyDescent="0.45">
      <c r="A369" s="17"/>
      <c r="B369" s="17"/>
      <c r="C369" s="17"/>
      <c r="D369" s="17"/>
      <c r="E369" s="15"/>
      <c r="F369" s="17"/>
      <c r="G369" s="17"/>
      <c r="H369" s="3"/>
      <c r="I369" s="88"/>
      <c r="J369" s="88"/>
      <c r="K369" s="15"/>
      <c r="L369" s="96"/>
      <c r="M369" s="89"/>
      <c r="N369" s="88"/>
      <c r="O369" s="413"/>
      <c r="P369" s="18"/>
      <c r="Q369" s="91"/>
      <c r="R369" s="18"/>
      <c r="S369" s="18"/>
      <c r="T369" s="18"/>
      <c r="U369" s="18"/>
      <c r="V369" s="18"/>
      <c r="W369" s="18"/>
      <c r="X369" s="18"/>
      <c r="Y369" s="92"/>
      <c r="Z369" s="92"/>
      <c r="AA369" s="418"/>
      <c r="AB369" s="95"/>
      <c r="AC369" s="18"/>
      <c r="AD369" s="18"/>
      <c r="AE369" s="18"/>
      <c r="AF369" s="18"/>
      <c r="AG369" s="91"/>
      <c r="AH369" s="18"/>
      <c r="AI369" s="18"/>
      <c r="AJ369" s="18"/>
      <c r="AK369" s="18"/>
      <c r="AL369" s="18"/>
      <c r="AM369" s="18"/>
      <c r="AN369" s="18"/>
      <c r="AO369" s="18"/>
      <c r="AP369" s="18"/>
      <c r="AQ369" s="18"/>
      <c r="AR369" s="18"/>
      <c r="AS369" s="18"/>
      <c r="AT369" s="18"/>
      <c r="AU369" s="91"/>
      <c r="AV369" s="18"/>
      <c r="AW369" s="18"/>
      <c r="AX369" s="18"/>
      <c r="AY369" s="17"/>
      <c r="AZ369" s="17"/>
      <c r="BA369" s="17"/>
      <c r="BB369" s="17"/>
      <c r="BC369" s="96"/>
      <c r="BD369" s="96"/>
      <c r="BE369" s="96"/>
      <c r="BF369" s="96"/>
      <c r="BG369" s="96"/>
      <c r="BH369" s="96"/>
      <c r="BI369" s="96"/>
    </row>
    <row r="370" spans="1:61" x14ac:dyDescent="0.45">
      <c r="A370" s="17"/>
      <c r="B370" s="17"/>
      <c r="C370" s="17"/>
      <c r="D370" s="17"/>
      <c r="E370" s="15"/>
      <c r="F370" s="17"/>
      <c r="G370" s="17"/>
      <c r="H370" s="3"/>
      <c r="I370" s="88"/>
      <c r="J370" s="88"/>
      <c r="K370" s="15"/>
      <c r="L370" s="96"/>
      <c r="M370" s="89"/>
      <c r="N370" s="88"/>
      <c r="O370" s="413"/>
      <c r="P370" s="18"/>
      <c r="Q370" s="91"/>
      <c r="R370" s="18"/>
      <c r="S370" s="18"/>
      <c r="T370" s="18"/>
      <c r="U370" s="18"/>
      <c r="V370" s="18"/>
      <c r="W370" s="18"/>
      <c r="X370" s="18"/>
      <c r="Y370" s="92"/>
      <c r="Z370" s="92"/>
      <c r="AA370" s="418"/>
      <c r="AB370" s="95"/>
      <c r="AC370" s="18"/>
      <c r="AD370" s="18"/>
      <c r="AE370" s="18"/>
      <c r="AF370" s="18"/>
      <c r="AG370" s="91"/>
      <c r="AH370" s="18"/>
      <c r="AI370" s="18"/>
      <c r="AJ370" s="18"/>
      <c r="AK370" s="18"/>
      <c r="AL370" s="18"/>
      <c r="AM370" s="18"/>
      <c r="AN370" s="18"/>
      <c r="AO370" s="18"/>
      <c r="AP370" s="18"/>
      <c r="AQ370" s="18"/>
      <c r="AR370" s="18"/>
      <c r="AS370" s="18"/>
      <c r="AT370" s="18"/>
      <c r="AU370" s="91"/>
      <c r="AV370" s="18"/>
      <c r="AW370" s="18"/>
      <c r="AX370" s="18"/>
      <c r="AY370" s="17"/>
      <c r="AZ370" s="17"/>
      <c r="BA370" s="17"/>
      <c r="BB370" s="17"/>
      <c r="BC370" s="96"/>
      <c r="BD370" s="96"/>
      <c r="BE370" s="96"/>
      <c r="BF370" s="96"/>
      <c r="BG370" s="96"/>
      <c r="BH370" s="96"/>
      <c r="BI370" s="96"/>
    </row>
    <row r="371" spans="1:61" x14ac:dyDescent="0.45">
      <c r="A371" s="17"/>
      <c r="B371" s="17"/>
      <c r="C371" s="17"/>
      <c r="D371" s="17"/>
      <c r="E371" s="15"/>
      <c r="F371" s="17"/>
      <c r="G371" s="17"/>
      <c r="H371" s="3"/>
      <c r="I371" s="88"/>
      <c r="J371" s="88"/>
      <c r="K371" s="15"/>
      <c r="L371" s="96"/>
      <c r="M371" s="89"/>
      <c r="N371" s="88"/>
      <c r="O371" s="413"/>
      <c r="P371" s="18"/>
      <c r="Q371" s="91"/>
      <c r="R371" s="18"/>
      <c r="S371" s="18"/>
      <c r="T371" s="18"/>
      <c r="U371" s="18"/>
      <c r="V371" s="18"/>
      <c r="W371" s="18"/>
      <c r="X371" s="18"/>
      <c r="Y371" s="92"/>
      <c r="Z371" s="92"/>
      <c r="AA371" s="418"/>
      <c r="AB371" s="95"/>
      <c r="AC371" s="18"/>
      <c r="AD371" s="18"/>
      <c r="AE371" s="18"/>
      <c r="AF371" s="18"/>
      <c r="AG371" s="91"/>
      <c r="AH371" s="18"/>
      <c r="AI371" s="18"/>
      <c r="AJ371" s="18"/>
      <c r="AK371" s="18"/>
      <c r="AL371" s="18"/>
      <c r="AM371" s="18"/>
      <c r="AN371" s="18"/>
      <c r="AO371" s="18"/>
      <c r="AP371" s="18"/>
      <c r="AQ371" s="18"/>
      <c r="AR371" s="18"/>
      <c r="AS371" s="18"/>
      <c r="AT371" s="18"/>
      <c r="AU371" s="91"/>
      <c r="AV371" s="18"/>
      <c r="AW371" s="18"/>
      <c r="AX371" s="18"/>
      <c r="AY371" s="17"/>
      <c r="AZ371" s="17"/>
      <c r="BA371" s="17"/>
      <c r="BB371" s="17"/>
      <c r="BC371" s="96"/>
      <c r="BD371" s="96"/>
      <c r="BE371" s="96"/>
      <c r="BF371" s="96"/>
      <c r="BG371" s="96"/>
      <c r="BH371" s="96"/>
      <c r="BI371" s="96"/>
    </row>
    <row r="372" spans="1:61" x14ac:dyDescent="0.45">
      <c r="A372" s="17"/>
      <c r="B372" s="17"/>
      <c r="C372" s="17"/>
      <c r="D372" s="17"/>
      <c r="E372" s="15"/>
      <c r="F372" s="17"/>
      <c r="G372" s="17"/>
      <c r="H372" s="3"/>
      <c r="I372" s="88"/>
      <c r="J372" s="88"/>
      <c r="K372" s="15"/>
      <c r="L372" s="96"/>
      <c r="M372" s="89"/>
      <c r="N372" s="88"/>
      <c r="O372" s="413"/>
      <c r="P372" s="18"/>
      <c r="Q372" s="91"/>
      <c r="R372" s="18"/>
      <c r="S372" s="18"/>
      <c r="T372" s="18"/>
      <c r="U372" s="18"/>
      <c r="V372" s="18"/>
      <c r="W372" s="18"/>
      <c r="X372" s="18"/>
      <c r="Y372" s="92"/>
      <c r="Z372" s="92"/>
      <c r="AA372" s="418"/>
      <c r="AB372" s="95"/>
      <c r="AC372" s="18"/>
      <c r="AD372" s="18"/>
      <c r="AE372" s="18"/>
      <c r="AF372" s="18"/>
      <c r="AG372" s="91"/>
      <c r="AH372" s="18"/>
      <c r="AI372" s="18"/>
      <c r="AJ372" s="18"/>
      <c r="AK372" s="18"/>
      <c r="AL372" s="18"/>
      <c r="AM372" s="18"/>
      <c r="AN372" s="18"/>
      <c r="AO372" s="18"/>
      <c r="AP372" s="18"/>
      <c r="AQ372" s="18"/>
      <c r="AR372" s="18"/>
      <c r="AS372" s="18"/>
      <c r="AT372" s="18"/>
      <c r="AU372" s="91"/>
      <c r="AV372" s="18"/>
      <c r="AW372" s="18"/>
      <c r="AX372" s="18"/>
      <c r="AY372" s="17"/>
      <c r="AZ372" s="17"/>
      <c r="BA372" s="17"/>
      <c r="BB372" s="17"/>
      <c r="BC372" s="96"/>
      <c r="BD372" s="96"/>
      <c r="BE372" s="96"/>
      <c r="BF372" s="96"/>
      <c r="BG372" s="96"/>
      <c r="BH372" s="96"/>
      <c r="BI372" s="96"/>
    </row>
    <row r="373" spans="1:61" x14ac:dyDescent="0.45">
      <c r="A373" s="17"/>
      <c r="B373" s="17"/>
      <c r="C373" s="17"/>
      <c r="D373" s="17"/>
      <c r="E373" s="15"/>
      <c r="F373" s="17"/>
      <c r="G373" s="17"/>
      <c r="H373" s="3"/>
      <c r="I373" s="88"/>
      <c r="J373" s="88"/>
      <c r="K373" s="15"/>
      <c r="L373" s="96"/>
      <c r="M373" s="89"/>
      <c r="N373" s="88"/>
      <c r="O373" s="413"/>
      <c r="P373" s="18"/>
      <c r="Q373" s="91"/>
      <c r="R373" s="18"/>
      <c r="S373" s="18"/>
      <c r="T373" s="18"/>
      <c r="U373" s="18"/>
      <c r="V373" s="18"/>
      <c r="W373" s="18"/>
      <c r="X373" s="18"/>
      <c r="Y373" s="92"/>
      <c r="Z373" s="92"/>
      <c r="AA373" s="418"/>
      <c r="AB373" s="95"/>
      <c r="AC373" s="18"/>
      <c r="AD373" s="18"/>
      <c r="AE373" s="18"/>
      <c r="AF373" s="18"/>
      <c r="AG373" s="91"/>
      <c r="AH373" s="18"/>
      <c r="AI373" s="18"/>
      <c r="AJ373" s="18"/>
      <c r="AK373" s="18"/>
      <c r="AL373" s="18"/>
      <c r="AM373" s="18"/>
      <c r="AN373" s="18"/>
      <c r="AO373" s="18"/>
      <c r="AP373" s="18"/>
      <c r="AQ373" s="18"/>
      <c r="AR373" s="18"/>
      <c r="AS373" s="18"/>
      <c r="AT373" s="18"/>
      <c r="AU373" s="91"/>
      <c r="AV373" s="18"/>
      <c r="AW373" s="18"/>
      <c r="AX373" s="18"/>
      <c r="AY373" s="17"/>
      <c r="AZ373" s="17"/>
      <c r="BA373" s="17"/>
      <c r="BB373" s="17"/>
      <c r="BC373" s="96"/>
      <c r="BD373" s="96"/>
      <c r="BE373" s="96"/>
      <c r="BF373" s="96"/>
      <c r="BG373" s="96"/>
      <c r="BH373" s="96"/>
      <c r="BI373" s="96"/>
    </row>
    <row r="374" spans="1:61" x14ac:dyDescent="0.45">
      <c r="A374" s="17"/>
      <c r="B374" s="17"/>
      <c r="C374" s="17"/>
      <c r="D374" s="17"/>
      <c r="E374" s="15"/>
      <c r="F374" s="17"/>
      <c r="G374" s="17"/>
      <c r="H374" s="3"/>
      <c r="I374" s="88"/>
      <c r="J374" s="88"/>
      <c r="K374" s="15"/>
      <c r="L374" s="96"/>
      <c r="M374" s="89"/>
      <c r="N374" s="88"/>
      <c r="O374" s="413"/>
      <c r="P374" s="18"/>
      <c r="Q374" s="91"/>
      <c r="R374" s="18"/>
      <c r="S374" s="18"/>
      <c r="T374" s="18"/>
      <c r="U374" s="18"/>
      <c r="V374" s="18"/>
      <c r="W374" s="18"/>
      <c r="X374" s="18"/>
      <c r="Y374" s="92"/>
      <c r="Z374" s="92"/>
      <c r="AA374" s="418"/>
      <c r="AB374" s="95"/>
      <c r="AC374" s="18"/>
      <c r="AD374" s="18"/>
      <c r="AE374" s="18"/>
      <c r="AF374" s="18"/>
      <c r="AG374" s="91"/>
      <c r="AH374" s="18"/>
      <c r="AI374" s="18"/>
      <c r="AJ374" s="18"/>
      <c r="AK374" s="18"/>
      <c r="AL374" s="18"/>
      <c r="AM374" s="18"/>
      <c r="AN374" s="18"/>
      <c r="AO374" s="18"/>
      <c r="AP374" s="18"/>
      <c r="AQ374" s="18"/>
      <c r="AR374" s="18"/>
      <c r="AS374" s="18"/>
      <c r="AT374" s="18"/>
      <c r="AU374" s="91"/>
      <c r="AV374" s="18"/>
      <c r="AW374" s="18"/>
      <c r="AX374" s="18"/>
      <c r="AY374" s="17"/>
      <c r="AZ374" s="17"/>
      <c r="BA374" s="17"/>
      <c r="BB374" s="17"/>
      <c r="BC374" s="96"/>
      <c r="BD374" s="96"/>
      <c r="BE374" s="96"/>
      <c r="BF374" s="96"/>
      <c r="BG374" s="96"/>
      <c r="BH374" s="96"/>
      <c r="BI374" s="96"/>
    </row>
    <row r="375" spans="1:61" x14ac:dyDescent="0.45">
      <c r="A375" s="17"/>
      <c r="B375" s="17"/>
      <c r="C375" s="17"/>
      <c r="D375" s="17"/>
      <c r="E375" s="15"/>
      <c r="F375" s="17"/>
      <c r="G375" s="17"/>
      <c r="H375" s="3"/>
      <c r="I375" s="88"/>
      <c r="J375" s="88"/>
      <c r="K375" s="15"/>
      <c r="L375" s="96"/>
      <c r="M375" s="89"/>
      <c r="N375" s="88"/>
      <c r="O375" s="413"/>
      <c r="P375" s="18"/>
      <c r="Q375" s="91"/>
      <c r="R375" s="18"/>
      <c r="S375" s="18"/>
      <c r="T375" s="18"/>
      <c r="U375" s="18"/>
      <c r="V375" s="18"/>
      <c r="W375" s="18"/>
      <c r="X375" s="18"/>
      <c r="Y375" s="92"/>
      <c r="Z375" s="92"/>
      <c r="AA375" s="418"/>
      <c r="AB375" s="95"/>
      <c r="AC375" s="18"/>
      <c r="AD375" s="18"/>
      <c r="AE375" s="18"/>
      <c r="AF375" s="18"/>
      <c r="AG375" s="91"/>
      <c r="AH375" s="18"/>
      <c r="AI375" s="18"/>
      <c r="AJ375" s="18"/>
      <c r="AK375" s="18"/>
      <c r="AL375" s="18"/>
      <c r="AM375" s="18"/>
      <c r="AN375" s="18"/>
      <c r="AO375" s="18"/>
      <c r="AP375" s="18"/>
      <c r="AQ375" s="18"/>
      <c r="AR375" s="18"/>
      <c r="AS375" s="18"/>
      <c r="AT375" s="18"/>
      <c r="AU375" s="91"/>
      <c r="AV375" s="18"/>
      <c r="AW375" s="18"/>
      <c r="AX375" s="18"/>
      <c r="AY375" s="17"/>
      <c r="AZ375" s="17"/>
      <c r="BA375" s="17"/>
      <c r="BB375" s="17"/>
      <c r="BC375" s="96"/>
      <c r="BD375" s="96"/>
      <c r="BE375" s="96"/>
      <c r="BF375" s="96"/>
      <c r="BG375" s="96"/>
      <c r="BH375" s="96"/>
      <c r="BI375" s="96"/>
    </row>
    <row r="376" spans="1:61" x14ac:dyDescent="0.45">
      <c r="A376" s="17"/>
      <c r="B376" s="17"/>
      <c r="C376" s="17"/>
      <c r="D376" s="17"/>
      <c r="E376" s="15"/>
      <c r="F376" s="17"/>
      <c r="G376" s="17"/>
      <c r="H376" s="3"/>
      <c r="I376" s="88"/>
      <c r="J376" s="88"/>
      <c r="K376" s="15"/>
      <c r="L376" s="96"/>
      <c r="M376" s="89"/>
      <c r="N376" s="88"/>
      <c r="O376" s="413"/>
      <c r="P376" s="18"/>
      <c r="Q376" s="91"/>
      <c r="R376" s="18"/>
      <c r="S376" s="18"/>
      <c r="T376" s="18"/>
      <c r="U376" s="18"/>
      <c r="V376" s="18"/>
      <c r="W376" s="18"/>
      <c r="X376" s="18"/>
      <c r="Y376" s="92"/>
      <c r="Z376" s="92"/>
      <c r="AA376" s="418"/>
      <c r="AB376" s="95"/>
      <c r="AC376" s="18"/>
      <c r="AD376" s="18"/>
      <c r="AE376" s="18"/>
      <c r="AF376" s="18"/>
      <c r="AG376" s="91"/>
      <c r="AH376" s="18"/>
      <c r="AI376" s="18"/>
      <c r="AJ376" s="18"/>
      <c r="AK376" s="18"/>
      <c r="AL376" s="18"/>
      <c r="AM376" s="18"/>
      <c r="AN376" s="18"/>
      <c r="AO376" s="18"/>
      <c r="AP376" s="18"/>
      <c r="AQ376" s="18"/>
      <c r="AR376" s="18"/>
      <c r="AS376" s="18"/>
      <c r="AT376" s="18"/>
      <c r="AU376" s="91"/>
      <c r="AV376" s="18"/>
      <c r="AW376" s="18"/>
      <c r="AX376" s="18"/>
      <c r="AY376" s="17"/>
      <c r="AZ376" s="17"/>
      <c r="BA376" s="17"/>
      <c r="BB376" s="17"/>
      <c r="BC376" s="96"/>
      <c r="BD376" s="96"/>
      <c r="BE376" s="96"/>
      <c r="BF376" s="96"/>
      <c r="BG376" s="96"/>
      <c r="BH376" s="96"/>
      <c r="BI376" s="96"/>
    </row>
    <row r="377" spans="1:61" x14ac:dyDescent="0.45">
      <c r="A377" s="17"/>
      <c r="B377" s="17"/>
      <c r="C377" s="17"/>
      <c r="D377" s="17"/>
      <c r="E377" s="15"/>
      <c r="F377" s="17"/>
      <c r="G377" s="17"/>
      <c r="H377" s="3"/>
      <c r="I377" s="88"/>
      <c r="J377" s="88"/>
      <c r="K377" s="15"/>
      <c r="L377" s="96"/>
      <c r="M377" s="89"/>
      <c r="N377" s="88"/>
      <c r="O377" s="413"/>
      <c r="P377" s="18"/>
      <c r="Q377" s="91"/>
      <c r="R377" s="18"/>
      <c r="S377" s="18"/>
      <c r="T377" s="18"/>
      <c r="U377" s="18"/>
      <c r="V377" s="18"/>
      <c r="W377" s="18"/>
      <c r="X377" s="18"/>
      <c r="Y377" s="92"/>
      <c r="Z377" s="92"/>
      <c r="AA377" s="418"/>
      <c r="AB377" s="95"/>
      <c r="AC377" s="18"/>
      <c r="AD377" s="18"/>
      <c r="AE377" s="18"/>
      <c r="AF377" s="18"/>
      <c r="AG377" s="91"/>
      <c r="AH377" s="18"/>
      <c r="AI377" s="18"/>
      <c r="AJ377" s="18"/>
      <c r="AK377" s="18"/>
      <c r="AL377" s="18"/>
      <c r="AM377" s="18"/>
      <c r="AN377" s="18"/>
      <c r="AO377" s="18"/>
      <c r="AP377" s="18"/>
      <c r="AQ377" s="18"/>
      <c r="AR377" s="18"/>
      <c r="AS377" s="18"/>
      <c r="AT377" s="18"/>
      <c r="AU377" s="91"/>
      <c r="AV377" s="18"/>
      <c r="AW377" s="18"/>
      <c r="AX377" s="18"/>
      <c r="AY377" s="17"/>
      <c r="AZ377" s="17"/>
      <c r="BA377" s="17"/>
      <c r="BB377" s="17"/>
      <c r="BC377" s="96"/>
      <c r="BD377" s="96"/>
      <c r="BE377" s="96"/>
      <c r="BF377" s="96"/>
      <c r="BG377" s="96"/>
      <c r="BH377" s="96"/>
      <c r="BI377" s="96"/>
    </row>
    <row r="378" spans="1:61" x14ac:dyDescent="0.45">
      <c r="A378" s="17"/>
      <c r="B378" s="17"/>
      <c r="C378" s="17"/>
      <c r="D378" s="17"/>
      <c r="E378" s="15"/>
      <c r="F378" s="17"/>
      <c r="G378" s="17"/>
      <c r="H378" s="3"/>
      <c r="I378" s="88"/>
      <c r="J378" s="88"/>
      <c r="K378" s="15"/>
      <c r="L378" s="96"/>
      <c r="M378" s="89"/>
      <c r="N378" s="88"/>
      <c r="O378" s="413"/>
      <c r="P378" s="18"/>
      <c r="Q378" s="91"/>
      <c r="R378" s="18"/>
      <c r="S378" s="18"/>
      <c r="T378" s="18"/>
      <c r="U378" s="18"/>
      <c r="V378" s="18"/>
      <c r="W378" s="18"/>
      <c r="X378" s="18"/>
      <c r="Y378" s="92"/>
      <c r="Z378" s="92"/>
      <c r="AA378" s="418"/>
      <c r="AB378" s="95"/>
      <c r="AC378" s="18"/>
      <c r="AD378" s="18"/>
      <c r="AE378" s="18"/>
      <c r="AF378" s="18"/>
      <c r="AG378" s="91"/>
      <c r="AH378" s="18"/>
      <c r="AI378" s="18"/>
      <c r="AJ378" s="18"/>
      <c r="AK378" s="18"/>
      <c r="AL378" s="18"/>
      <c r="AM378" s="18"/>
      <c r="AN378" s="18"/>
      <c r="AO378" s="18"/>
      <c r="AP378" s="18"/>
      <c r="AQ378" s="18"/>
      <c r="AR378" s="18"/>
      <c r="AS378" s="18"/>
      <c r="AT378" s="18"/>
      <c r="AU378" s="91"/>
      <c r="AV378" s="18"/>
      <c r="AW378" s="18"/>
      <c r="AX378" s="18"/>
      <c r="AY378" s="17"/>
      <c r="AZ378" s="17"/>
      <c r="BA378" s="17"/>
      <c r="BB378" s="17"/>
      <c r="BC378" s="96"/>
      <c r="BD378" s="96"/>
      <c r="BE378" s="96"/>
      <c r="BF378" s="96"/>
      <c r="BG378" s="96"/>
      <c r="BH378" s="96"/>
      <c r="BI378" s="96"/>
    </row>
    <row r="379" spans="1:61" x14ac:dyDescent="0.45">
      <c r="A379" s="17"/>
      <c r="B379" s="17"/>
      <c r="C379" s="17"/>
      <c r="D379" s="17"/>
      <c r="E379" s="15"/>
      <c r="F379" s="17"/>
      <c r="G379" s="17"/>
      <c r="H379" s="3"/>
      <c r="I379" s="88"/>
      <c r="J379" s="88"/>
      <c r="K379" s="15"/>
      <c r="L379" s="96"/>
      <c r="M379" s="89"/>
      <c r="N379" s="88"/>
      <c r="O379" s="413"/>
      <c r="P379" s="18"/>
      <c r="Q379" s="91"/>
      <c r="R379" s="18"/>
      <c r="S379" s="18"/>
      <c r="T379" s="18"/>
      <c r="U379" s="18"/>
      <c r="V379" s="18"/>
      <c r="W379" s="18"/>
      <c r="X379" s="18"/>
      <c r="Y379" s="92"/>
      <c r="Z379" s="92"/>
      <c r="AA379" s="418"/>
      <c r="AB379" s="95"/>
      <c r="AC379" s="18"/>
      <c r="AD379" s="18"/>
      <c r="AE379" s="18"/>
      <c r="AF379" s="18"/>
      <c r="AG379" s="91"/>
      <c r="AH379" s="18"/>
      <c r="AI379" s="18"/>
      <c r="AJ379" s="18"/>
      <c r="AK379" s="18"/>
      <c r="AL379" s="18"/>
      <c r="AM379" s="18"/>
      <c r="AN379" s="18"/>
      <c r="AO379" s="18"/>
      <c r="AP379" s="18"/>
      <c r="AQ379" s="18"/>
      <c r="AR379" s="18"/>
      <c r="AS379" s="18"/>
      <c r="AT379" s="18"/>
      <c r="AU379" s="91"/>
      <c r="AV379" s="18"/>
      <c r="AW379" s="18"/>
      <c r="AX379" s="18"/>
      <c r="AY379" s="17"/>
      <c r="AZ379" s="17"/>
      <c r="BA379" s="17"/>
      <c r="BB379" s="17"/>
      <c r="BC379" s="96"/>
      <c r="BD379" s="96"/>
      <c r="BE379" s="96"/>
      <c r="BF379" s="96"/>
      <c r="BG379" s="96"/>
      <c r="BH379" s="96"/>
      <c r="BI379" s="96"/>
    </row>
    <row r="380" spans="1:61" x14ac:dyDescent="0.45">
      <c r="A380" s="17"/>
      <c r="B380" s="17"/>
      <c r="C380" s="17"/>
      <c r="D380" s="17"/>
      <c r="E380" s="15"/>
      <c r="F380" s="17"/>
      <c r="G380" s="17"/>
      <c r="H380" s="3"/>
      <c r="I380" s="88"/>
      <c r="J380" s="88"/>
      <c r="K380" s="15"/>
      <c r="L380" s="96"/>
      <c r="M380" s="89"/>
      <c r="N380" s="88"/>
      <c r="O380" s="413"/>
      <c r="P380" s="18"/>
      <c r="Q380" s="91"/>
      <c r="R380" s="18"/>
      <c r="S380" s="18"/>
      <c r="T380" s="18"/>
      <c r="U380" s="18"/>
      <c r="V380" s="18"/>
      <c r="W380" s="18"/>
      <c r="X380" s="18"/>
      <c r="Y380" s="92"/>
      <c r="Z380" s="92"/>
      <c r="AA380" s="418"/>
      <c r="AB380" s="95"/>
      <c r="AC380" s="18"/>
      <c r="AD380" s="18"/>
      <c r="AE380" s="18"/>
      <c r="AF380" s="18"/>
      <c r="AG380" s="91"/>
      <c r="AH380" s="18"/>
      <c r="AI380" s="18"/>
      <c r="AJ380" s="18"/>
      <c r="AK380" s="18"/>
      <c r="AL380" s="18"/>
      <c r="AM380" s="18"/>
      <c r="AN380" s="18"/>
      <c r="AO380" s="18"/>
      <c r="AP380" s="18"/>
      <c r="AQ380" s="18"/>
      <c r="AR380" s="18"/>
      <c r="AS380" s="18"/>
      <c r="AT380" s="18"/>
      <c r="AU380" s="91"/>
      <c r="AV380" s="18"/>
      <c r="AW380" s="18"/>
      <c r="AX380" s="18"/>
      <c r="AY380" s="17"/>
      <c r="AZ380" s="17"/>
      <c r="BA380" s="17"/>
      <c r="BB380" s="17"/>
      <c r="BC380" s="96"/>
      <c r="BD380" s="96"/>
      <c r="BE380" s="96"/>
      <c r="BF380" s="96"/>
      <c r="BG380" s="96"/>
      <c r="BH380" s="96"/>
      <c r="BI380" s="96"/>
    </row>
    <row r="381" spans="1:61" x14ac:dyDescent="0.45">
      <c r="A381" s="17"/>
      <c r="B381" s="17"/>
      <c r="C381" s="17"/>
      <c r="D381" s="17"/>
      <c r="E381" s="15"/>
      <c r="F381" s="17"/>
      <c r="G381" s="17"/>
      <c r="H381" s="3"/>
      <c r="I381" s="88"/>
      <c r="J381" s="88"/>
      <c r="K381" s="15"/>
      <c r="L381" s="96"/>
      <c r="M381" s="89"/>
      <c r="N381" s="88"/>
      <c r="O381" s="413"/>
      <c r="P381" s="18"/>
      <c r="Q381" s="91"/>
      <c r="R381" s="18"/>
      <c r="S381" s="18"/>
      <c r="T381" s="18"/>
      <c r="U381" s="18"/>
      <c r="V381" s="18"/>
      <c r="W381" s="18"/>
      <c r="X381" s="18"/>
      <c r="Y381" s="92"/>
      <c r="Z381" s="92"/>
      <c r="AA381" s="418"/>
      <c r="AB381" s="95"/>
      <c r="AC381" s="18"/>
      <c r="AD381" s="18"/>
      <c r="AE381" s="18"/>
      <c r="AF381" s="18"/>
      <c r="AG381" s="91"/>
      <c r="AH381" s="18"/>
      <c r="AI381" s="18"/>
      <c r="AJ381" s="18"/>
      <c r="AK381" s="18"/>
      <c r="AL381" s="18"/>
      <c r="AM381" s="18"/>
      <c r="AN381" s="18"/>
      <c r="AO381" s="18"/>
      <c r="AP381" s="18"/>
      <c r="AQ381" s="18"/>
      <c r="AR381" s="18"/>
      <c r="AS381" s="18"/>
      <c r="AT381" s="18"/>
      <c r="AU381" s="91"/>
      <c r="AV381" s="18"/>
      <c r="AW381" s="18"/>
      <c r="AX381" s="18"/>
      <c r="AY381" s="17"/>
      <c r="AZ381" s="17"/>
      <c r="BA381" s="17"/>
      <c r="BB381" s="17"/>
      <c r="BC381" s="96"/>
      <c r="BD381" s="96"/>
      <c r="BE381" s="96"/>
      <c r="BF381" s="96"/>
      <c r="BG381" s="96"/>
      <c r="BH381" s="96"/>
      <c r="BI381" s="96"/>
    </row>
    <row r="382" spans="1:61" x14ac:dyDescent="0.45">
      <c r="A382" s="17"/>
      <c r="B382" s="17"/>
      <c r="C382" s="17"/>
      <c r="D382" s="17"/>
      <c r="E382" s="15"/>
      <c r="F382" s="17"/>
      <c r="G382" s="17"/>
      <c r="H382" s="3"/>
      <c r="I382" s="88"/>
      <c r="J382" s="88"/>
      <c r="K382" s="15"/>
      <c r="L382" s="96"/>
      <c r="M382" s="89"/>
      <c r="N382" s="88"/>
      <c r="O382" s="413"/>
      <c r="P382" s="18"/>
      <c r="Q382" s="91"/>
      <c r="R382" s="18"/>
      <c r="S382" s="18"/>
      <c r="T382" s="18"/>
      <c r="U382" s="18"/>
      <c r="V382" s="18"/>
      <c r="W382" s="18"/>
      <c r="X382" s="18"/>
      <c r="Y382" s="92"/>
      <c r="Z382" s="92"/>
      <c r="AA382" s="418"/>
      <c r="AB382" s="95"/>
      <c r="AC382" s="18"/>
      <c r="AD382" s="18"/>
      <c r="AE382" s="18"/>
      <c r="AF382" s="18"/>
      <c r="AG382" s="91"/>
      <c r="AH382" s="18"/>
      <c r="AI382" s="18"/>
      <c r="AJ382" s="18"/>
      <c r="AK382" s="18"/>
      <c r="AL382" s="18"/>
      <c r="AM382" s="18"/>
      <c r="AN382" s="18"/>
      <c r="AO382" s="18"/>
      <c r="AP382" s="18"/>
      <c r="AQ382" s="18"/>
      <c r="AR382" s="18"/>
      <c r="AS382" s="18"/>
      <c r="AT382" s="18"/>
      <c r="AU382" s="91"/>
      <c r="AV382" s="18"/>
      <c r="AW382" s="18"/>
      <c r="AX382" s="18"/>
      <c r="AY382" s="17"/>
      <c r="AZ382" s="17"/>
      <c r="BA382" s="17"/>
      <c r="BB382" s="17"/>
      <c r="BC382" s="96"/>
      <c r="BD382" s="96"/>
      <c r="BE382" s="96"/>
      <c r="BF382" s="96"/>
      <c r="BG382" s="96"/>
      <c r="BH382" s="96"/>
      <c r="BI382" s="96"/>
    </row>
    <row r="383" spans="1:61" x14ac:dyDescent="0.45">
      <c r="A383" s="17"/>
      <c r="B383" s="17"/>
      <c r="C383" s="17"/>
      <c r="D383" s="17"/>
      <c r="E383" s="15"/>
      <c r="F383" s="17"/>
      <c r="G383" s="17"/>
      <c r="H383" s="3"/>
      <c r="I383" s="88"/>
      <c r="J383" s="88"/>
      <c r="K383" s="15"/>
      <c r="L383" s="96"/>
      <c r="M383" s="89"/>
      <c r="N383" s="88"/>
      <c r="O383" s="413"/>
      <c r="P383" s="18"/>
      <c r="Q383" s="91"/>
      <c r="R383" s="18"/>
      <c r="S383" s="18"/>
      <c r="T383" s="18"/>
      <c r="U383" s="18"/>
      <c r="V383" s="18"/>
      <c r="W383" s="18"/>
      <c r="X383" s="18"/>
      <c r="Y383" s="92"/>
      <c r="Z383" s="92"/>
      <c r="AA383" s="418"/>
      <c r="AB383" s="95"/>
      <c r="AC383" s="18"/>
      <c r="AD383" s="18"/>
      <c r="AE383" s="18"/>
      <c r="AF383" s="18"/>
      <c r="AG383" s="91"/>
      <c r="AH383" s="18"/>
      <c r="AI383" s="18"/>
      <c r="AJ383" s="18"/>
      <c r="AK383" s="18"/>
      <c r="AL383" s="18"/>
      <c r="AM383" s="18"/>
      <c r="AN383" s="18"/>
      <c r="AO383" s="18"/>
      <c r="AP383" s="18"/>
      <c r="AQ383" s="18"/>
      <c r="AR383" s="18"/>
      <c r="AS383" s="18"/>
      <c r="AT383" s="18"/>
      <c r="AU383" s="91"/>
      <c r="AV383" s="18"/>
      <c r="AW383" s="18"/>
      <c r="AX383" s="18"/>
      <c r="AY383" s="17"/>
      <c r="AZ383" s="17"/>
      <c r="BA383" s="17"/>
      <c r="BB383" s="17"/>
      <c r="BC383" s="96"/>
      <c r="BD383" s="96"/>
      <c r="BE383" s="96"/>
      <c r="BF383" s="96"/>
      <c r="BG383" s="96"/>
      <c r="BH383" s="96"/>
      <c r="BI383" s="96"/>
    </row>
    <row r="384" spans="1:61" x14ac:dyDescent="0.45">
      <c r="A384" s="17"/>
      <c r="B384" s="17"/>
      <c r="C384" s="17"/>
      <c r="D384" s="17"/>
      <c r="E384" s="15"/>
      <c r="F384" s="17"/>
      <c r="G384" s="17"/>
      <c r="H384" s="3"/>
      <c r="I384" s="88"/>
      <c r="J384" s="88"/>
      <c r="K384" s="15"/>
      <c r="L384" s="96"/>
      <c r="M384" s="89"/>
      <c r="N384" s="88"/>
      <c r="O384" s="413"/>
      <c r="P384" s="18"/>
      <c r="Q384" s="91"/>
      <c r="R384" s="18"/>
      <c r="S384" s="18"/>
      <c r="T384" s="18"/>
      <c r="U384" s="18"/>
      <c r="V384" s="18"/>
      <c r="W384" s="18"/>
      <c r="X384" s="18"/>
      <c r="Y384" s="92"/>
      <c r="Z384" s="92"/>
      <c r="AA384" s="418"/>
      <c r="AB384" s="95"/>
      <c r="AC384" s="18"/>
      <c r="AD384" s="18"/>
      <c r="AE384" s="18"/>
      <c r="AF384" s="18"/>
      <c r="AG384" s="91"/>
      <c r="AH384" s="18"/>
      <c r="AI384" s="18"/>
      <c r="AJ384" s="18"/>
      <c r="AK384" s="18"/>
      <c r="AL384" s="18"/>
      <c r="AM384" s="18"/>
      <c r="AN384" s="18"/>
      <c r="AO384" s="18"/>
      <c r="AP384" s="18"/>
      <c r="AQ384" s="18"/>
      <c r="AR384" s="18"/>
      <c r="AS384" s="18"/>
      <c r="AT384" s="18"/>
      <c r="AU384" s="91"/>
      <c r="AV384" s="18"/>
      <c r="AW384" s="18"/>
      <c r="AX384" s="18"/>
      <c r="AY384" s="17"/>
      <c r="AZ384" s="17"/>
      <c r="BA384" s="17"/>
      <c r="BB384" s="17"/>
      <c r="BC384" s="96"/>
      <c r="BD384" s="96"/>
      <c r="BE384" s="96"/>
      <c r="BF384" s="96"/>
      <c r="BG384" s="96"/>
      <c r="BH384" s="96"/>
      <c r="BI384" s="96"/>
    </row>
    <row r="385" spans="1:61" x14ac:dyDescent="0.45">
      <c r="A385" s="17"/>
      <c r="B385" s="17"/>
      <c r="C385" s="17"/>
      <c r="D385" s="17"/>
      <c r="E385" s="15"/>
      <c r="F385" s="17"/>
      <c r="G385" s="17"/>
      <c r="H385" s="3"/>
      <c r="I385" s="88"/>
      <c r="J385" s="88"/>
      <c r="K385" s="15"/>
      <c r="L385" s="96"/>
      <c r="M385" s="89"/>
      <c r="N385" s="88"/>
      <c r="O385" s="413"/>
      <c r="P385" s="18"/>
      <c r="Q385" s="91"/>
      <c r="R385" s="18"/>
      <c r="S385" s="18"/>
      <c r="T385" s="18"/>
      <c r="U385" s="18"/>
      <c r="V385" s="18"/>
      <c r="W385" s="18"/>
      <c r="X385" s="18"/>
      <c r="Y385" s="92"/>
      <c r="Z385" s="92"/>
      <c r="AA385" s="418"/>
      <c r="AB385" s="95"/>
      <c r="AC385" s="18"/>
      <c r="AD385" s="18"/>
      <c r="AE385" s="18"/>
      <c r="AF385" s="18"/>
      <c r="AG385" s="91"/>
      <c r="AH385" s="18"/>
      <c r="AI385" s="18"/>
      <c r="AJ385" s="18"/>
      <c r="AK385" s="18"/>
      <c r="AL385" s="18"/>
      <c r="AM385" s="18"/>
      <c r="AN385" s="18"/>
      <c r="AO385" s="18"/>
      <c r="AP385" s="18"/>
      <c r="AQ385" s="18"/>
      <c r="AR385" s="18"/>
      <c r="AS385" s="18"/>
      <c r="AT385" s="18"/>
      <c r="AU385" s="91"/>
      <c r="AV385" s="18"/>
      <c r="AW385" s="18"/>
      <c r="AX385" s="18"/>
      <c r="AY385" s="17"/>
      <c r="AZ385" s="17"/>
      <c r="BA385" s="17"/>
      <c r="BB385" s="17"/>
      <c r="BC385" s="96"/>
      <c r="BD385" s="96"/>
      <c r="BE385" s="96"/>
      <c r="BF385" s="96"/>
      <c r="BG385" s="96"/>
      <c r="BH385" s="96"/>
      <c r="BI385" s="96"/>
    </row>
    <row r="386" spans="1:61" x14ac:dyDescent="0.45">
      <c r="A386" s="17"/>
      <c r="B386" s="17"/>
      <c r="C386" s="17"/>
      <c r="D386" s="17"/>
      <c r="E386" s="15"/>
      <c r="F386" s="17"/>
      <c r="G386" s="17"/>
      <c r="H386" s="3"/>
      <c r="I386" s="88"/>
      <c r="J386" s="88"/>
      <c r="K386" s="15"/>
      <c r="L386" s="96"/>
      <c r="M386" s="89"/>
      <c r="N386" s="88"/>
      <c r="O386" s="413"/>
      <c r="P386" s="18"/>
      <c r="Q386" s="91"/>
      <c r="R386" s="18"/>
      <c r="S386" s="18"/>
      <c r="T386" s="18"/>
      <c r="U386" s="18"/>
      <c r="V386" s="18"/>
      <c r="W386" s="18"/>
      <c r="X386" s="18"/>
      <c r="Y386" s="92"/>
      <c r="Z386" s="92"/>
      <c r="AA386" s="418"/>
      <c r="AB386" s="95"/>
      <c r="AC386" s="18"/>
      <c r="AD386" s="18"/>
      <c r="AE386" s="18"/>
      <c r="AF386" s="18"/>
      <c r="AG386" s="91"/>
      <c r="AH386" s="18"/>
      <c r="AI386" s="18"/>
      <c r="AJ386" s="18"/>
      <c r="AK386" s="18"/>
      <c r="AL386" s="18"/>
      <c r="AM386" s="18"/>
      <c r="AN386" s="18"/>
      <c r="AO386" s="18"/>
      <c r="AP386" s="18"/>
      <c r="AQ386" s="18"/>
      <c r="AR386" s="18"/>
      <c r="AS386" s="18"/>
      <c r="AT386" s="18"/>
      <c r="AU386" s="91"/>
      <c r="AV386" s="18"/>
      <c r="AW386" s="18"/>
      <c r="AX386" s="18"/>
      <c r="AY386" s="17"/>
      <c r="AZ386" s="17"/>
      <c r="BA386" s="17"/>
      <c r="BB386" s="17"/>
      <c r="BC386" s="96"/>
      <c r="BD386" s="96"/>
      <c r="BE386" s="96"/>
      <c r="BF386" s="96"/>
      <c r="BG386" s="96"/>
      <c r="BH386" s="96"/>
      <c r="BI386" s="96"/>
    </row>
    <row r="387" spans="1:61" x14ac:dyDescent="0.45">
      <c r="A387" s="17"/>
      <c r="B387" s="17"/>
      <c r="C387" s="17"/>
      <c r="D387" s="17"/>
      <c r="E387" s="15"/>
      <c r="F387" s="17"/>
      <c r="G387" s="17"/>
      <c r="H387" s="3"/>
      <c r="I387" s="88"/>
      <c r="J387" s="88"/>
      <c r="K387" s="15"/>
      <c r="L387" s="96"/>
      <c r="M387" s="89"/>
      <c r="N387" s="88"/>
      <c r="O387" s="413"/>
      <c r="P387" s="18"/>
      <c r="Q387" s="91"/>
      <c r="R387" s="18"/>
      <c r="S387" s="18"/>
      <c r="T387" s="18"/>
      <c r="U387" s="18"/>
      <c r="V387" s="18"/>
      <c r="W387" s="18"/>
      <c r="X387" s="18"/>
      <c r="Y387" s="92"/>
      <c r="Z387" s="92"/>
      <c r="AA387" s="418"/>
      <c r="AB387" s="95"/>
      <c r="AC387" s="18"/>
      <c r="AD387" s="18"/>
      <c r="AE387" s="18"/>
      <c r="AF387" s="18"/>
      <c r="AG387" s="91"/>
      <c r="AH387" s="18"/>
      <c r="AI387" s="18"/>
      <c r="AJ387" s="18"/>
      <c r="AK387" s="18"/>
      <c r="AL387" s="18"/>
      <c r="AM387" s="18"/>
      <c r="AN387" s="18"/>
      <c r="AO387" s="18"/>
      <c r="AP387" s="18"/>
      <c r="AQ387" s="18"/>
      <c r="AR387" s="18"/>
      <c r="AS387" s="18"/>
      <c r="AT387" s="18"/>
      <c r="AU387" s="91"/>
      <c r="AV387" s="18"/>
      <c r="AW387" s="18"/>
      <c r="AX387" s="18"/>
      <c r="AY387" s="17"/>
      <c r="AZ387" s="17"/>
      <c r="BA387" s="17"/>
      <c r="BB387" s="17"/>
      <c r="BC387" s="96"/>
      <c r="BD387" s="96"/>
      <c r="BE387" s="96"/>
      <c r="BF387" s="96"/>
      <c r="BG387" s="96"/>
      <c r="BH387" s="96"/>
      <c r="BI387" s="96"/>
    </row>
    <row r="388" spans="1:61" x14ac:dyDescent="0.45">
      <c r="A388" s="17"/>
      <c r="B388" s="17"/>
      <c r="C388" s="17"/>
      <c r="D388" s="17"/>
      <c r="E388" s="15"/>
      <c r="F388" s="17"/>
      <c r="G388" s="17"/>
      <c r="H388" s="3"/>
      <c r="I388" s="88"/>
      <c r="J388" s="88"/>
      <c r="K388" s="15"/>
      <c r="L388" s="96"/>
      <c r="M388" s="89"/>
      <c r="N388" s="88"/>
      <c r="O388" s="413"/>
      <c r="P388" s="18"/>
      <c r="Q388" s="91"/>
      <c r="R388" s="18"/>
      <c r="S388" s="18"/>
      <c r="T388" s="18"/>
      <c r="U388" s="18"/>
      <c r="V388" s="18"/>
      <c r="W388" s="18"/>
      <c r="X388" s="18"/>
      <c r="Y388" s="92"/>
      <c r="Z388" s="92"/>
      <c r="AA388" s="418"/>
      <c r="AB388" s="95"/>
      <c r="AC388" s="18"/>
      <c r="AD388" s="18"/>
      <c r="AE388" s="18"/>
      <c r="AF388" s="18"/>
      <c r="AG388" s="91"/>
      <c r="AH388" s="18"/>
      <c r="AI388" s="18"/>
      <c r="AJ388" s="18"/>
      <c r="AK388" s="18"/>
      <c r="AL388" s="18"/>
      <c r="AM388" s="18"/>
      <c r="AN388" s="18"/>
      <c r="AO388" s="18"/>
      <c r="AP388" s="18"/>
      <c r="AQ388" s="18"/>
      <c r="AR388" s="18"/>
      <c r="AS388" s="18"/>
      <c r="AT388" s="18"/>
      <c r="AU388" s="91"/>
      <c r="AV388" s="18"/>
      <c r="AW388" s="18"/>
      <c r="AX388" s="18"/>
      <c r="AY388" s="17"/>
      <c r="AZ388" s="17"/>
      <c r="BA388" s="17"/>
      <c r="BB388" s="17"/>
      <c r="BC388" s="96"/>
      <c r="BD388" s="96"/>
      <c r="BE388" s="96"/>
      <c r="BF388" s="96"/>
      <c r="BG388" s="96"/>
      <c r="BH388" s="96"/>
      <c r="BI388" s="96"/>
    </row>
    <row r="389" spans="1:61" x14ac:dyDescent="0.45">
      <c r="A389" s="17"/>
      <c r="B389" s="17"/>
      <c r="C389" s="17"/>
      <c r="D389" s="17"/>
      <c r="E389" s="15"/>
      <c r="F389" s="17"/>
      <c r="G389" s="17"/>
      <c r="H389" s="3"/>
      <c r="I389" s="88"/>
      <c r="J389" s="88"/>
      <c r="K389" s="15"/>
      <c r="L389" s="96"/>
      <c r="M389" s="89"/>
      <c r="N389" s="88"/>
      <c r="O389" s="413"/>
      <c r="P389" s="18"/>
      <c r="Q389" s="91"/>
      <c r="R389" s="18"/>
      <c r="S389" s="18"/>
      <c r="T389" s="18"/>
      <c r="U389" s="18"/>
      <c r="V389" s="18"/>
      <c r="W389" s="18"/>
      <c r="X389" s="18"/>
      <c r="Y389" s="92"/>
      <c r="Z389" s="92"/>
      <c r="AA389" s="418"/>
      <c r="AB389" s="95"/>
      <c r="AC389" s="18"/>
      <c r="AD389" s="18"/>
      <c r="AE389" s="18"/>
      <c r="AF389" s="18"/>
      <c r="AG389" s="91"/>
      <c r="AH389" s="18"/>
      <c r="AI389" s="18"/>
      <c r="AJ389" s="18"/>
      <c r="AK389" s="18"/>
      <c r="AL389" s="18"/>
      <c r="AM389" s="18"/>
      <c r="AN389" s="18"/>
      <c r="AO389" s="18"/>
      <c r="AP389" s="18"/>
      <c r="AQ389" s="18"/>
      <c r="AR389" s="18"/>
      <c r="AS389" s="18"/>
      <c r="AT389" s="18"/>
      <c r="AU389" s="91"/>
      <c r="AV389" s="18"/>
      <c r="AW389" s="18"/>
      <c r="AX389" s="18"/>
      <c r="AY389" s="17"/>
      <c r="AZ389" s="17"/>
      <c r="BA389" s="17"/>
      <c r="BB389" s="17"/>
      <c r="BC389" s="96"/>
      <c r="BD389" s="96"/>
      <c r="BE389" s="96"/>
      <c r="BF389" s="96"/>
      <c r="BG389" s="96"/>
      <c r="BH389" s="96"/>
      <c r="BI389" s="96"/>
    </row>
    <row r="390" spans="1:61" x14ac:dyDescent="0.45">
      <c r="A390" s="17"/>
      <c r="B390" s="17"/>
      <c r="C390" s="17"/>
      <c r="D390" s="17"/>
      <c r="E390" s="15"/>
      <c r="F390" s="17"/>
      <c r="G390" s="17"/>
      <c r="H390" s="3"/>
      <c r="I390" s="88"/>
      <c r="J390" s="88"/>
      <c r="K390" s="15"/>
      <c r="L390" s="96"/>
      <c r="M390" s="89"/>
      <c r="N390" s="88"/>
      <c r="O390" s="413"/>
      <c r="P390" s="18"/>
      <c r="Q390" s="91"/>
      <c r="R390" s="18"/>
      <c r="S390" s="18"/>
      <c r="T390" s="18"/>
      <c r="U390" s="18"/>
      <c r="V390" s="18"/>
      <c r="W390" s="18"/>
      <c r="X390" s="18"/>
      <c r="Y390" s="92"/>
      <c r="Z390" s="92"/>
      <c r="AA390" s="418"/>
      <c r="AB390" s="95"/>
      <c r="AC390" s="18"/>
      <c r="AD390" s="18"/>
      <c r="AE390" s="18"/>
      <c r="AF390" s="18"/>
      <c r="AG390" s="91"/>
      <c r="AH390" s="18"/>
      <c r="AI390" s="18"/>
      <c r="AJ390" s="18"/>
      <c r="AK390" s="18"/>
      <c r="AL390" s="18"/>
      <c r="AM390" s="18"/>
      <c r="AN390" s="18"/>
      <c r="AO390" s="18"/>
      <c r="AP390" s="18"/>
      <c r="AQ390" s="18"/>
      <c r="AR390" s="18"/>
      <c r="AS390" s="18"/>
      <c r="AT390" s="18"/>
      <c r="AU390" s="91"/>
      <c r="AV390" s="18"/>
      <c r="AW390" s="18"/>
      <c r="AX390" s="18"/>
      <c r="AY390" s="17"/>
      <c r="AZ390" s="17"/>
      <c r="BA390" s="17"/>
      <c r="BB390" s="17"/>
      <c r="BC390" s="96"/>
      <c r="BD390" s="96"/>
      <c r="BE390" s="96"/>
      <c r="BF390" s="96"/>
      <c r="BG390" s="96"/>
      <c r="BH390" s="96"/>
      <c r="BI390" s="96"/>
    </row>
    <row r="391" spans="1:61" x14ac:dyDescent="0.45">
      <c r="A391" s="17"/>
      <c r="B391" s="17"/>
      <c r="C391" s="17"/>
      <c r="D391" s="17"/>
      <c r="E391" s="15"/>
      <c r="F391" s="17"/>
      <c r="G391" s="17"/>
      <c r="H391" s="3"/>
      <c r="I391" s="88"/>
      <c r="J391" s="88"/>
      <c r="K391" s="15"/>
      <c r="L391" s="96"/>
      <c r="M391" s="89"/>
      <c r="N391" s="88"/>
      <c r="O391" s="413"/>
      <c r="P391" s="18"/>
      <c r="Q391" s="91"/>
      <c r="R391" s="18"/>
      <c r="S391" s="18"/>
      <c r="T391" s="18"/>
      <c r="U391" s="18"/>
      <c r="V391" s="18"/>
      <c r="W391" s="18"/>
      <c r="X391" s="18"/>
      <c r="Y391" s="92"/>
      <c r="Z391" s="92"/>
      <c r="AA391" s="418"/>
      <c r="AB391" s="95"/>
      <c r="AC391" s="18"/>
      <c r="AD391" s="18"/>
      <c r="AE391" s="18"/>
      <c r="AF391" s="18"/>
      <c r="AG391" s="91"/>
      <c r="AH391" s="18"/>
      <c r="AI391" s="18"/>
      <c r="AJ391" s="18"/>
      <c r="AK391" s="18"/>
      <c r="AL391" s="18"/>
      <c r="AM391" s="18"/>
      <c r="AN391" s="18"/>
      <c r="AO391" s="18"/>
      <c r="AP391" s="18"/>
      <c r="AQ391" s="18"/>
      <c r="AR391" s="18"/>
      <c r="AS391" s="18"/>
      <c r="AT391" s="18"/>
      <c r="AU391" s="91"/>
      <c r="AV391" s="18"/>
      <c r="AW391" s="18"/>
      <c r="AX391" s="18"/>
      <c r="AY391" s="17"/>
      <c r="AZ391" s="17"/>
      <c r="BA391" s="17"/>
      <c r="BB391" s="17"/>
      <c r="BC391" s="96"/>
      <c r="BD391" s="96"/>
      <c r="BE391" s="96"/>
      <c r="BF391" s="96"/>
      <c r="BG391" s="96"/>
      <c r="BH391" s="96"/>
      <c r="BI391" s="96"/>
    </row>
    <row r="392" spans="1:61" x14ac:dyDescent="0.45">
      <c r="A392" s="17"/>
      <c r="B392" s="17"/>
      <c r="C392" s="17"/>
      <c r="D392" s="17"/>
      <c r="E392" s="15"/>
      <c r="F392" s="17"/>
      <c r="G392" s="17"/>
      <c r="H392" s="3"/>
      <c r="I392" s="88"/>
      <c r="J392" s="88"/>
      <c r="K392" s="15"/>
      <c r="L392" s="96"/>
      <c r="M392" s="89"/>
      <c r="N392" s="88"/>
      <c r="O392" s="413"/>
      <c r="P392" s="18"/>
      <c r="Q392" s="91"/>
      <c r="R392" s="18"/>
      <c r="S392" s="18"/>
      <c r="T392" s="18"/>
      <c r="U392" s="18"/>
      <c r="V392" s="18"/>
      <c r="W392" s="18"/>
      <c r="X392" s="18"/>
      <c r="Y392" s="92"/>
      <c r="Z392" s="92"/>
      <c r="AA392" s="418"/>
      <c r="AB392" s="95"/>
      <c r="AC392" s="18"/>
      <c r="AD392" s="18"/>
      <c r="AE392" s="18"/>
      <c r="AF392" s="18"/>
      <c r="AG392" s="91"/>
      <c r="AH392" s="18"/>
      <c r="AI392" s="18"/>
      <c r="AJ392" s="18"/>
      <c r="AK392" s="18"/>
      <c r="AL392" s="18"/>
      <c r="AM392" s="18"/>
      <c r="AN392" s="18"/>
      <c r="AO392" s="18"/>
      <c r="AP392" s="18"/>
      <c r="AQ392" s="18"/>
      <c r="AR392" s="18"/>
      <c r="AS392" s="18"/>
      <c r="AT392" s="18"/>
      <c r="AU392" s="91"/>
      <c r="AV392" s="18"/>
      <c r="AW392" s="18"/>
      <c r="AX392" s="18"/>
      <c r="AY392" s="17"/>
      <c r="AZ392" s="17"/>
      <c r="BA392" s="17"/>
      <c r="BB392" s="17"/>
      <c r="BC392" s="96"/>
      <c r="BD392" s="96"/>
      <c r="BE392" s="96"/>
      <c r="BF392" s="96"/>
      <c r="BG392" s="96"/>
      <c r="BH392" s="96"/>
      <c r="BI392" s="96"/>
    </row>
    <row r="393" spans="1:61" x14ac:dyDescent="0.45">
      <c r="A393" s="17"/>
      <c r="B393" s="17"/>
      <c r="C393" s="17"/>
      <c r="D393" s="17"/>
      <c r="E393" s="15"/>
      <c r="F393" s="17"/>
      <c r="G393" s="17"/>
      <c r="H393" s="3"/>
      <c r="I393" s="88"/>
      <c r="J393" s="88"/>
      <c r="K393" s="15"/>
      <c r="L393" s="96"/>
      <c r="M393" s="89"/>
      <c r="N393" s="88"/>
      <c r="O393" s="413"/>
      <c r="P393" s="18"/>
      <c r="Q393" s="91"/>
      <c r="R393" s="18"/>
      <c r="S393" s="18"/>
      <c r="T393" s="18"/>
      <c r="U393" s="18"/>
      <c r="V393" s="18"/>
      <c r="W393" s="18"/>
      <c r="X393" s="18"/>
      <c r="Y393" s="92"/>
      <c r="Z393" s="92"/>
      <c r="AA393" s="418"/>
      <c r="AB393" s="95"/>
      <c r="AC393" s="18"/>
      <c r="AD393" s="18"/>
      <c r="AE393" s="18"/>
      <c r="AF393" s="18"/>
      <c r="AG393" s="91"/>
      <c r="AH393" s="18"/>
      <c r="AI393" s="18"/>
      <c r="AJ393" s="18"/>
      <c r="AK393" s="18"/>
      <c r="AL393" s="18"/>
      <c r="AM393" s="18"/>
      <c r="AN393" s="18"/>
      <c r="AO393" s="18"/>
      <c r="AP393" s="18"/>
      <c r="AQ393" s="18"/>
      <c r="AR393" s="18"/>
      <c r="AS393" s="18"/>
      <c r="AT393" s="18"/>
      <c r="AU393" s="91"/>
      <c r="AV393" s="18"/>
      <c r="AW393" s="18"/>
      <c r="AX393" s="18"/>
      <c r="AY393" s="17"/>
      <c r="AZ393" s="17"/>
      <c r="BA393" s="17"/>
      <c r="BB393" s="17"/>
      <c r="BC393" s="96"/>
      <c r="BD393" s="96"/>
      <c r="BE393" s="96"/>
      <c r="BF393" s="96"/>
      <c r="BG393" s="96"/>
      <c r="BH393" s="96"/>
      <c r="BI393" s="96"/>
    </row>
    <row r="394" spans="1:61" x14ac:dyDescent="0.45">
      <c r="A394" s="17"/>
      <c r="B394" s="17"/>
      <c r="C394" s="17"/>
      <c r="D394" s="17"/>
      <c r="E394" s="15"/>
      <c r="F394" s="17"/>
      <c r="G394" s="17"/>
      <c r="H394" s="3"/>
      <c r="I394" s="88"/>
      <c r="J394" s="88"/>
      <c r="K394" s="15"/>
      <c r="L394" s="96"/>
      <c r="M394" s="89"/>
      <c r="N394" s="88"/>
      <c r="O394" s="413"/>
      <c r="P394" s="18"/>
      <c r="Q394" s="91"/>
      <c r="R394" s="18"/>
      <c r="S394" s="18"/>
      <c r="T394" s="18"/>
      <c r="U394" s="18"/>
      <c r="V394" s="18"/>
      <c r="W394" s="18"/>
      <c r="X394" s="18"/>
      <c r="Y394" s="92"/>
      <c r="Z394" s="92"/>
      <c r="AA394" s="418"/>
      <c r="AB394" s="95"/>
      <c r="AC394" s="18"/>
      <c r="AD394" s="18"/>
      <c r="AE394" s="18"/>
      <c r="AF394" s="18"/>
      <c r="AG394" s="91"/>
      <c r="AH394" s="18"/>
      <c r="AI394" s="18"/>
      <c r="AJ394" s="18"/>
      <c r="AK394" s="18"/>
      <c r="AL394" s="18"/>
      <c r="AM394" s="18"/>
      <c r="AN394" s="18"/>
      <c r="AO394" s="18"/>
      <c r="AP394" s="18"/>
      <c r="AQ394" s="18"/>
      <c r="AR394" s="18"/>
      <c r="AS394" s="18"/>
      <c r="AT394" s="18"/>
      <c r="AU394" s="91"/>
      <c r="AV394" s="18"/>
      <c r="AW394" s="18"/>
      <c r="AX394" s="18"/>
      <c r="AY394" s="17"/>
      <c r="AZ394" s="17"/>
      <c r="BA394" s="17"/>
      <c r="BB394" s="17"/>
      <c r="BC394" s="96"/>
      <c r="BD394" s="96"/>
      <c r="BE394" s="96"/>
      <c r="BF394" s="96"/>
      <c r="BG394" s="96"/>
      <c r="BH394" s="96"/>
      <c r="BI394" s="96"/>
    </row>
    <row r="395" spans="1:61" x14ac:dyDescent="0.45">
      <c r="A395" s="17"/>
      <c r="B395" s="17"/>
      <c r="C395" s="17"/>
      <c r="D395" s="17"/>
      <c r="E395" s="15"/>
      <c r="F395" s="17"/>
      <c r="G395" s="17"/>
      <c r="H395" s="3"/>
      <c r="I395" s="88"/>
      <c r="J395" s="88"/>
      <c r="K395" s="15"/>
      <c r="L395" s="96"/>
      <c r="M395" s="89"/>
      <c r="N395" s="88"/>
      <c r="O395" s="413"/>
      <c r="P395" s="18"/>
      <c r="Q395" s="91"/>
      <c r="R395" s="18"/>
      <c r="S395" s="18"/>
      <c r="T395" s="18"/>
      <c r="U395" s="18"/>
      <c r="V395" s="18"/>
      <c r="W395" s="18"/>
      <c r="X395" s="18"/>
      <c r="Y395" s="92"/>
      <c r="Z395" s="92"/>
      <c r="AA395" s="418"/>
      <c r="AB395" s="95"/>
      <c r="AC395" s="18"/>
      <c r="AD395" s="18"/>
      <c r="AE395" s="18"/>
      <c r="AF395" s="18"/>
      <c r="AG395" s="91"/>
      <c r="AH395" s="18"/>
      <c r="AI395" s="18"/>
      <c r="AJ395" s="18"/>
      <c r="AK395" s="18"/>
      <c r="AL395" s="18"/>
      <c r="AM395" s="18"/>
      <c r="AN395" s="18"/>
      <c r="AO395" s="18"/>
      <c r="AP395" s="18"/>
      <c r="AQ395" s="18"/>
      <c r="AR395" s="18"/>
      <c r="AS395" s="18"/>
      <c r="AT395" s="18"/>
      <c r="AU395" s="91"/>
      <c r="AV395" s="18"/>
      <c r="AW395" s="18"/>
      <c r="AX395" s="18"/>
      <c r="AY395" s="17"/>
      <c r="AZ395" s="17"/>
      <c r="BA395" s="17"/>
      <c r="BB395" s="17"/>
      <c r="BC395" s="96"/>
      <c r="BD395" s="96"/>
      <c r="BE395" s="96"/>
      <c r="BF395" s="96"/>
      <c r="BG395" s="96"/>
      <c r="BH395" s="96"/>
      <c r="BI395" s="96"/>
    </row>
    <row r="396" spans="1:61" x14ac:dyDescent="0.45">
      <c r="A396" s="17"/>
      <c r="B396" s="17"/>
      <c r="C396" s="17"/>
      <c r="D396" s="17"/>
      <c r="E396" s="15"/>
      <c r="F396" s="17"/>
      <c r="G396" s="17"/>
      <c r="H396" s="3"/>
      <c r="I396" s="88"/>
      <c r="J396" s="88"/>
      <c r="K396" s="15"/>
      <c r="L396" s="96"/>
      <c r="M396" s="89"/>
      <c r="N396" s="88"/>
      <c r="O396" s="413"/>
      <c r="P396" s="18"/>
      <c r="Q396" s="91"/>
      <c r="R396" s="18"/>
      <c r="S396" s="18"/>
      <c r="T396" s="18"/>
      <c r="U396" s="18"/>
      <c r="V396" s="18"/>
      <c r="W396" s="18"/>
      <c r="X396" s="18"/>
      <c r="Y396" s="92"/>
      <c r="Z396" s="92"/>
      <c r="AA396" s="418"/>
      <c r="AB396" s="95"/>
      <c r="AC396" s="18"/>
      <c r="AD396" s="18"/>
      <c r="AE396" s="18"/>
      <c r="AF396" s="18"/>
      <c r="AG396" s="91"/>
      <c r="AH396" s="18"/>
      <c r="AI396" s="18"/>
      <c r="AJ396" s="18"/>
      <c r="AK396" s="18"/>
      <c r="AL396" s="18"/>
      <c r="AM396" s="18"/>
      <c r="AN396" s="18"/>
      <c r="AO396" s="18"/>
      <c r="AP396" s="18"/>
      <c r="AQ396" s="18"/>
      <c r="AR396" s="18"/>
      <c r="AS396" s="18"/>
      <c r="AT396" s="18"/>
      <c r="AU396" s="91"/>
      <c r="AV396" s="18"/>
      <c r="AW396" s="18"/>
      <c r="AX396" s="18"/>
      <c r="AY396" s="17"/>
      <c r="AZ396" s="17"/>
      <c r="BA396" s="17"/>
      <c r="BB396" s="17"/>
      <c r="BC396" s="96"/>
      <c r="BD396" s="96"/>
      <c r="BE396" s="96"/>
      <c r="BF396" s="96"/>
      <c r="BG396" s="96"/>
      <c r="BH396" s="96"/>
      <c r="BI396" s="96"/>
    </row>
    <row r="397" spans="1:61" x14ac:dyDescent="0.45">
      <c r="A397" s="17"/>
      <c r="B397" s="17"/>
      <c r="C397" s="17"/>
      <c r="D397" s="17"/>
      <c r="E397" s="15"/>
      <c r="F397" s="17"/>
      <c r="G397" s="17"/>
      <c r="H397" s="3"/>
      <c r="I397" s="88"/>
      <c r="J397" s="88"/>
      <c r="K397" s="15"/>
      <c r="L397" s="96"/>
      <c r="M397" s="89"/>
      <c r="N397" s="88"/>
      <c r="O397" s="413"/>
      <c r="P397" s="18"/>
      <c r="Q397" s="91"/>
      <c r="R397" s="18"/>
      <c r="S397" s="18"/>
      <c r="T397" s="18"/>
      <c r="U397" s="18"/>
      <c r="V397" s="18"/>
      <c r="W397" s="18"/>
      <c r="X397" s="18"/>
      <c r="Y397" s="92"/>
      <c r="Z397" s="92"/>
      <c r="AA397" s="418"/>
      <c r="AB397" s="95"/>
      <c r="AC397" s="18"/>
      <c r="AD397" s="18"/>
      <c r="AE397" s="18"/>
      <c r="AF397" s="18"/>
      <c r="AG397" s="91"/>
      <c r="AH397" s="18"/>
      <c r="AI397" s="18"/>
      <c r="AJ397" s="18"/>
      <c r="AK397" s="18"/>
      <c r="AL397" s="18"/>
      <c r="AM397" s="18"/>
      <c r="AN397" s="18"/>
      <c r="AO397" s="18"/>
      <c r="AP397" s="18"/>
      <c r="AQ397" s="18"/>
      <c r="AR397" s="18"/>
      <c r="AS397" s="18"/>
      <c r="AT397" s="18"/>
      <c r="AU397" s="91"/>
      <c r="AV397" s="18"/>
      <c r="AW397" s="18"/>
      <c r="AX397" s="18"/>
      <c r="AY397" s="17"/>
      <c r="AZ397" s="17"/>
      <c r="BA397" s="17"/>
      <c r="BB397" s="17"/>
      <c r="BC397" s="96"/>
      <c r="BD397" s="96"/>
      <c r="BE397" s="96"/>
      <c r="BF397" s="96"/>
      <c r="BG397" s="96"/>
      <c r="BH397" s="96"/>
      <c r="BI397" s="96"/>
    </row>
    <row r="398" spans="1:61" x14ac:dyDescent="0.45">
      <c r="A398" s="17"/>
      <c r="B398" s="17"/>
      <c r="C398" s="17"/>
      <c r="D398" s="17"/>
      <c r="E398" s="15"/>
      <c r="F398" s="17"/>
      <c r="G398" s="17"/>
      <c r="H398" s="3"/>
      <c r="I398" s="88"/>
      <c r="J398" s="88"/>
      <c r="K398" s="15"/>
      <c r="L398" s="96"/>
      <c r="M398" s="89"/>
      <c r="N398" s="88"/>
      <c r="O398" s="413"/>
      <c r="P398" s="18"/>
      <c r="Q398" s="91"/>
      <c r="R398" s="18"/>
      <c r="S398" s="18"/>
      <c r="T398" s="18"/>
      <c r="U398" s="18"/>
      <c r="V398" s="18"/>
      <c r="W398" s="18"/>
      <c r="X398" s="18"/>
      <c r="Y398" s="92"/>
      <c r="Z398" s="92"/>
      <c r="AA398" s="418"/>
      <c r="AB398" s="95"/>
      <c r="AC398" s="18"/>
      <c r="AD398" s="18"/>
      <c r="AE398" s="18"/>
      <c r="AF398" s="18"/>
      <c r="AG398" s="91"/>
      <c r="AH398" s="18"/>
      <c r="AI398" s="18"/>
      <c r="AJ398" s="18"/>
      <c r="AK398" s="18"/>
      <c r="AL398" s="18"/>
      <c r="AM398" s="18"/>
      <c r="AN398" s="18"/>
      <c r="AO398" s="18"/>
      <c r="AP398" s="18"/>
      <c r="AQ398" s="18"/>
      <c r="AR398" s="18"/>
      <c r="AS398" s="18"/>
      <c r="AT398" s="18"/>
      <c r="AU398" s="91"/>
      <c r="AV398" s="18"/>
      <c r="AW398" s="18"/>
      <c r="AX398" s="18"/>
      <c r="AY398" s="17"/>
      <c r="AZ398" s="17"/>
      <c r="BA398" s="17"/>
      <c r="BB398" s="17"/>
      <c r="BC398" s="96"/>
      <c r="BD398" s="96"/>
      <c r="BE398" s="96"/>
      <c r="BF398" s="96"/>
      <c r="BG398" s="96"/>
      <c r="BH398" s="96"/>
      <c r="BI398" s="96"/>
    </row>
    <row r="399" spans="1:61" x14ac:dyDescent="0.45">
      <c r="A399" s="17"/>
      <c r="B399" s="17"/>
      <c r="C399" s="17"/>
      <c r="D399" s="17"/>
      <c r="E399" s="15"/>
      <c r="F399" s="17"/>
      <c r="G399" s="17"/>
      <c r="H399" s="3"/>
      <c r="I399" s="88"/>
      <c r="J399" s="88"/>
      <c r="K399" s="15"/>
      <c r="L399" s="96"/>
      <c r="M399" s="89"/>
      <c r="N399" s="88"/>
      <c r="O399" s="413"/>
      <c r="P399" s="18"/>
      <c r="Q399" s="91"/>
      <c r="R399" s="18"/>
      <c r="S399" s="18"/>
      <c r="T399" s="18"/>
      <c r="U399" s="18"/>
      <c r="V399" s="18"/>
      <c r="W399" s="18"/>
      <c r="X399" s="18"/>
      <c r="Y399" s="92"/>
      <c r="Z399" s="92"/>
      <c r="AA399" s="418"/>
      <c r="AB399" s="95"/>
      <c r="AC399" s="18"/>
      <c r="AD399" s="18"/>
      <c r="AE399" s="18"/>
      <c r="AF399" s="18"/>
      <c r="AG399" s="91"/>
      <c r="AH399" s="18"/>
      <c r="AI399" s="18"/>
      <c r="AJ399" s="18"/>
      <c r="AK399" s="18"/>
      <c r="AL399" s="18"/>
      <c r="AM399" s="18"/>
      <c r="AN399" s="18"/>
      <c r="AO399" s="18"/>
      <c r="AP399" s="18"/>
      <c r="AQ399" s="18"/>
      <c r="AR399" s="18"/>
      <c r="AS399" s="18"/>
      <c r="AT399" s="18"/>
      <c r="AU399" s="91"/>
      <c r="AV399" s="18"/>
      <c r="AW399" s="18"/>
      <c r="AX399" s="18"/>
      <c r="AY399" s="17"/>
      <c r="AZ399" s="17"/>
      <c r="BA399" s="17"/>
      <c r="BB399" s="17"/>
      <c r="BC399" s="96"/>
      <c r="BD399" s="96"/>
      <c r="BE399" s="96"/>
      <c r="BF399" s="96"/>
      <c r="BG399" s="96"/>
      <c r="BH399" s="96"/>
      <c r="BI399" s="96"/>
    </row>
    <row r="400" spans="1:61" x14ac:dyDescent="0.45">
      <c r="A400" s="17"/>
      <c r="B400" s="17"/>
      <c r="C400" s="17"/>
      <c r="D400" s="17"/>
      <c r="E400" s="15"/>
      <c r="F400" s="17"/>
      <c r="G400" s="17"/>
      <c r="H400" s="3"/>
      <c r="I400" s="88"/>
      <c r="J400" s="88"/>
      <c r="K400" s="15"/>
      <c r="L400" s="96"/>
      <c r="M400" s="89"/>
      <c r="N400" s="88"/>
      <c r="O400" s="413"/>
      <c r="P400" s="18"/>
      <c r="Q400" s="91"/>
      <c r="R400" s="18"/>
      <c r="S400" s="18"/>
      <c r="T400" s="18"/>
      <c r="U400" s="18"/>
      <c r="V400" s="18"/>
      <c r="W400" s="18"/>
      <c r="X400" s="18"/>
      <c r="Y400" s="92"/>
      <c r="Z400" s="92"/>
      <c r="AA400" s="418"/>
      <c r="AB400" s="95"/>
      <c r="AC400" s="18"/>
      <c r="AD400" s="18"/>
      <c r="AE400" s="18"/>
      <c r="AF400" s="18"/>
      <c r="AG400" s="91"/>
      <c r="AH400" s="18"/>
      <c r="AI400" s="18"/>
      <c r="AJ400" s="18"/>
      <c r="AK400" s="18"/>
      <c r="AL400" s="18"/>
      <c r="AM400" s="18"/>
      <c r="AN400" s="18"/>
      <c r="AO400" s="18"/>
      <c r="AP400" s="18"/>
      <c r="AQ400" s="18"/>
      <c r="AR400" s="18"/>
      <c r="AS400" s="18"/>
      <c r="AT400" s="18"/>
      <c r="AU400" s="91"/>
      <c r="AV400" s="18"/>
      <c r="AW400" s="18"/>
      <c r="AX400" s="18"/>
      <c r="AY400" s="17"/>
      <c r="AZ400" s="17"/>
      <c r="BA400" s="17"/>
      <c r="BB400" s="17"/>
      <c r="BC400" s="96"/>
      <c r="BD400" s="96"/>
      <c r="BE400" s="96"/>
      <c r="BF400" s="96"/>
      <c r="BG400" s="96"/>
      <c r="BH400" s="96"/>
      <c r="BI400" s="96"/>
    </row>
    <row r="401" spans="1:61" x14ac:dyDescent="0.45">
      <c r="A401" s="17"/>
      <c r="B401" s="17"/>
      <c r="C401" s="17"/>
      <c r="D401" s="17"/>
      <c r="E401" s="15"/>
      <c r="F401" s="17"/>
      <c r="G401" s="17"/>
      <c r="H401" s="3"/>
      <c r="I401" s="88"/>
      <c r="J401" s="88"/>
      <c r="K401" s="15"/>
      <c r="L401" s="96"/>
      <c r="M401" s="89"/>
      <c r="N401" s="88"/>
      <c r="O401" s="413"/>
      <c r="P401" s="18"/>
      <c r="Q401" s="91"/>
      <c r="R401" s="18"/>
      <c r="S401" s="18"/>
      <c r="T401" s="18"/>
      <c r="U401" s="18"/>
      <c r="V401" s="18"/>
      <c r="W401" s="18"/>
      <c r="X401" s="18"/>
      <c r="Y401" s="92"/>
      <c r="Z401" s="92"/>
      <c r="AA401" s="418"/>
      <c r="AB401" s="95"/>
      <c r="AC401" s="18"/>
      <c r="AD401" s="18"/>
      <c r="AE401" s="18"/>
      <c r="AF401" s="18"/>
      <c r="AG401" s="91"/>
      <c r="AH401" s="18"/>
      <c r="AI401" s="18"/>
      <c r="AJ401" s="18"/>
      <c r="AK401" s="18"/>
      <c r="AL401" s="18"/>
      <c r="AM401" s="18"/>
      <c r="AN401" s="18"/>
      <c r="AO401" s="18"/>
      <c r="AP401" s="18"/>
      <c r="AQ401" s="18"/>
      <c r="AR401" s="18"/>
      <c r="AS401" s="18"/>
      <c r="AT401" s="18"/>
      <c r="AU401" s="91"/>
      <c r="AV401" s="18"/>
      <c r="AW401" s="18"/>
      <c r="AX401" s="18"/>
      <c r="AY401" s="17"/>
      <c r="AZ401" s="17"/>
      <c r="BA401" s="17"/>
      <c r="BB401" s="17"/>
      <c r="BC401" s="96"/>
      <c r="BD401" s="96"/>
      <c r="BE401" s="96"/>
      <c r="BF401" s="96"/>
      <c r="BG401" s="96"/>
      <c r="BH401" s="96"/>
      <c r="BI401" s="96"/>
    </row>
    <row r="402" spans="1:61" x14ac:dyDescent="0.45">
      <c r="A402" s="17"/>
      <c r="B402" s="17"/>
      <c r="C402" s="17"/>
      <c r="D402" s="17"/>
      <c r="E402" s="15"/>
      <c r="F402" s="17"/>
      <c r="G402" s="17"/>
      <c r="H402" s="3"/>
      <c r="I402" s="88"/>
      <c r="J402" s="88"/>
      <c r="K402" s="15"/>
      <c r="L402" s="96"/>
      <c r="M402" s="89"/>
      <c r="N402" s="88"/>
      <c r="O402" s="413"/>
      <c r="P402" s="18"/>
      <c r="Q402" s="91"/>
      <c r="R402" s="18"/>
      <c r="S402" s="18"/>
      <c r="T402" s="18"/>
      <c r="U402" s="18"/>
      <c r="V402" s="18"/>
      <c r="W402" s="18"/>
      <c r="X402" s="18"/>
      <c r="Y402" s="92"/>
      <c r="Z402" s="92"/>
      <c r="AA402" s="418"/>
      <c r="AB402" s="95"/>
      <c r="AC402" s="18"/>
      <c r="AD402" s="18"/>
      <c r="AE402" s="18"/>
      <c r="AF402" s="18"/>
      <c r="AG402" s="91"/>
      <c r="AH402" s="18"/>
      <c r="AI402" s="18"/>
      <c r="AJ402" s="18"/>
      <c r="AK402" s="18"/>
      <c r="AL402" s="18"/>
      <c r="AM402" s="18"/>
      <c r="AN402" s="18"/>
      <c r="AO402" s="18"/>
      <c r="AP402" s="18"/>
      <c r="AQ402" s="18"/>
      <c r="AR402" s="18"/>
      <c r="AS402" s="18"/>
      <c r="AT402" s="18"/>
      <c r="AU402" s="91"/>
      <c r="AV402" s="18"/>
      <c r="AW402" s="18"/>
      <c r="AX402" s="18"/>
      <c r="AY402" s="17"/>
      <c r="AZ402" s="17"/>
      <c r="BA402" s="17"/>
      <c r="BB402" s="17"/>
      <c r="BC402" s="96"/>
      <c r="BD402" s="96"/>
      <c r="BE402" s="96"/>
      <c r="BF402" s="96"/>
      <c r="BG402" s="96"/>
      <c r="BH402" s="96"/>
      <c r="BI402" s="96"/>
    </row>
    <row r="403" spans="1:61" x14ac:dyDescent="0.45">
      <c r="A403" s="17"/>
      <c r="B403" s="17"/>
      <c r="C403" s="17"/>
      <c r="D403" s="17"/>
      <c r="E403" s="15"/>
      <c r="F403" s="17"/>
      <c r="G403" s="17"/>
      <c r="H403" s="3"/>
      <c r="I403" s="88"/>
      <c r="J403" s="88"/>
      <c r="K403" s="15"/>
      <c r="L403" s="96"/>
      <c r="M403" s="89"/>
      <c r="N403" s="88"/>
      <c r="O403" s="413"/>
      <c r="P403" s="18"/>
      <c r="Q403" s="91"/>
      <c r="R403" s="18"/>
      <c r="S403" s="18"/>
      <c r="T403" s="18"/>
      <c r="U403" s="18"/>
      <c r="V403" s="18"/>
      <c r="W403" s="18"/>
      <c r="X403" s="18"/>
      <c r="Y403" s="92"/>
      <c r="Z403" s="92"/>
      <c r="AA403" s="418"/>
      <c r="AB403" s="95"/>
      <c r="AC403" s="18"/>
      <c r="AD403" s="18"/>
      <c r="AE403" s="18"/>
      <c r="AF403" s="18"/>
      <c r="AG403" s="91"/>
      <c r="AH403" s="18"/>
      <c r="AI403" s="18"/>
      <c r="AJ403" s="18"/>
      <c r="AK403" s="18"/>
      <c r="AL403" s="18"/>
      <c r="AM403" s="18"/>
      <c r="AN403" s="18"/>
      <c r="AO403" s="18"/>
      <c r="AP403" s="18"/>
      <c r="AQ403" s="18"/>
      <c r="AR403" s="18"/>
      <c r="AS403" s="18"/>
      <c r="AT403" s="18"/>
      <c r="AU403" s="91"/>
      <c r="AV403" s="18"/>
      <c r="AW403" s="18"/>
      <c r="AX403" s="18"/>
      <c r="AY403" s="17"/>
      <c r="AZ403" s="17"/>
      <c r="BA403" s="17"/>
      <c r="BB403" s="17"/>
      <c r="BC403" s="96"/>
      <c r="BD403" s="96"/>
      <c r="BE403" s="96"/>
      <c r="BF403" s="96"/>
      <c r="BG403" s="96"/>
      <c r="BH403" s="96"/>
      <c r="BI403" s="96"/>
    </row>
    <row r="404" spans="1:61" x14ac:dyDescent="0.45">
      <c r="A404" s="17"/>
      <c r="B404" s="17"/>
      <c r="C404" s="17"/>
      <c r="D404" s="17"/>
      <c r="E404" s="15"/>
      <c r="F404" s="17"/>
      <c r="G404" s="17"/>
      <c r="H404" s="3"/>
      <c r="I404" s="88"/>
      <c r="J404" s="88"/>
      <c r="K404" s="15"/>
      <c r="L404" s="96"/>
      <c r="M404" s="89"/>
      <c r="N404" s="88"/>
      <c r="O404" s="413"/>
      <c r="P404" s="18"/>
      <c r="Q404" s="91"/>
      <c r="R404" s="18"/>
      <c r="S404" s="18"/>
      <c r="T404" s="18"/>
      <c r="U404" s="18"/>
      <c r="V404" s="18"/>
      <c r="W404" s="18"/>
      <c r="X404" s="18"/>
      <c r="Y404" s="92"/>
      <c r="Z404" s="92"/>
      <c r="AA404" s="418"/>
      <c r="AB404" s="95"/>
      <c r="AC404" s="18"/>
      <c r="AD404" s="18"/>
      <c r="AE404" s="18"/>
      <c r="AF404" s="18"/>
      <c r="AG404" s="91"/>
      <c r="AH404" s="18"/>
      <c r="AI404" s="18"/>
      <c r="AJ404" s="18"/>
      <c r="AK404" s="18"/>
      <c r="AL404" s="18"/>
      <c r="AM404" s="18"/>
      <c r="AN404" s="18"/>
      <c r="AO404" s="18"/>
      <c r="AP404" s="18"/>
      <c r="AQ404" s="18"/>
      <c r="AR404" s="18"/>
      <c r="AS404" s="18"/>
      <c r="AT404" s="18"/>
      <c r="AU404" s="91"/>
      <c r="AV404" s="18"/>
      <c r="AW404" s="18"/>
      <c r="AX404" s="18"/>
      <c r="AY404" s="17"/>
      <c r="AZ404" s="17"/>
      <c r="BA404" s="17"/>
      <c r="BB404" s="17"/>
      <c r="BC404" s="96"/>
      <c r="BD404" s="96"/>
      <c r="BE404" s="96"/>
      <c r="BF404" s="96"/>
      <c r="BG404" s="96"/>
      <c r="BH404" s="96"/>
      <c r="BI404" s="96"/>
    </row>
    <row r="405" spans="1:61" x14ac:dyDescent="0.45">
      <c r="A405" s="17"/>
      <c r="B405" s="17"/>
      <c r="C405" s="17"/>
      <c r="D405" s="17"/>
      <c r="E405" s="15"/>
      <c r="F405" s="17"/>
      <c r="G405" s="17"/>
      <c r="H405" s="3"/>
      <c r="I405" s="88"/>
      <c r="J405" s="88"/>
      <c r="K405" s="15"/>
      <c r="L405" s="96"/>
      <c r="M405" s="89"/>
      <c r="N405" s="88"/>
      <c r="O405" s="413"/>
      <c r="P405" s="18"/>
      <c r="Q405" s="91"/>
      <c r="R405" s="18"/>
      <c r="S405" s="18"/>
      <c r="T405" s="18"/>
      <c r="U405" s="18"/>
      <c r="V405" s="18"/>
      <c r="W405" s="18"/>
      <c r="X405" s="18"/>
      <c r="Y405" s="92"/>
      <c r="Z405" s="92"/>
      <c r="AA405" s="418"/>
      <c r="AB405" s="95"/>
      <c r="AC405" s="18"/>
      <c r="AD405" s="18"/>
      <c r="AE405" s="18"/>
      <c r="AF405" s="18"/>
      <c r="AG405" s="91"/>
      <c r="AH405" s="18"/>
      <c r="AI405" s="18"/>
      <c r="AJ405" s="18"/>
      <c r="AK405" s="18"/>
      <c r="AL405" s="18"/>
      <c r="AM405" s="18"/>
      <c r="AN405" s="18"/>
      <c r="AO405" s="18"/>
      <c r="AP405" s="18"/>
      <c r="AQ405" s="18"/>
      <c r="AR405" s="18"/>
      <c r="AS405" s="18"/>
      <c r="AT405" s="18"/>
      <c r="AU405" s="91"/>
      <c r="AV405" s="18"/>
      <c r="AW405" s="18"/>
      <c r="AX405" s="18"/>
      <c r="AY405" s="17"/>
      <c r="AZ405" s="17"/>
      <c r="BA405" s="17"/>
      <c r="BB405" s="17"/>
      <c r="BC405" s="96"/>
      <c r="BD405" s="96"/>
      <c r="BE405" s="96"/>
      <c r="BF405" s="96"/>
      <c r="BG405" s="96"/>
      <c r="BH405" s="96"/>
      <c r="BI405" s="96"/>
    </row>
    <row r="406" spans="1:61" x14ac:dyDescent="0.45">
      <c r="A406" s="17"/>
      <c r="B406" s="17"/>
      <c r="C406" s="17"/>
      <c r="D406" s="17"/>
      <c r="E406" s="15"/>
      <c r="F406" s="17"/>
      <c r="G406" s="17"/>
      <c r="H406" s="3"/>
      <c r="I406" s="88"/>
      <c r="J406" s="88"/>
      <c r="K406" s="15"/>
      <c r="L406" s="96"/>
      <c r="M406" s="89"/>
      <c r="N406" s="88"/>
      <c r="O406" s="413"/>
      <c r="P406" s="18"/>
      <c r="Q406" s="91"/>
      <c r="R406" s="18"/>
      <c r="S406" s="18"/>
      <c r="T406" s="18"/>
      <c r="U406" s="18"/>
      <c r="V406" s="18"/>
      <c r="W406" s="18"/>
      <c r="X406" s="18"/>
      <c r="Y406" s="92"/>
      <c r="Z406" s="92"/>
      <c r="AA406" s="418"/>
      <c r="AB406" s="95"/>
      <c r="AC406" s="18"/>
      <c r="AD406" s="18"/>
      <c r="AE406" s="18"/>
      <c r="AF406" s="18"/>
      <c r="AG406" s="91"/>
      <c r="AH406" s="18"/>
      <c r="AI406" s="18"/>
      <c r="AJ406" s="18"/>
      <c r="AK406" s="18"/>
      <c r="AL406" s="18"/>
      <c r="AM406" s="18"/>
      <c r="AN406" s="18"/>
      <c r="AO406" s="18"/>
      <c r="AP406" s="18"/>
      <c r="AQ406" s="18"/>
      <c r="AR406" s="18"/>
      <c r="AS406" s="18"/>
      <c r="AT406" s="18"/>
      <c r="AU406" s="91"/>
      <c r="AV406" s="18"/>
      <c r="AW406" s="18"/>
      <c r="AX406" s="18"/>
      <c r="AY406" s="17"/>
      <c r="AZ406" s="17"/>
      <c r="BA406" s="17"/>
      <c r="BB406" s="17"/>
      <c r="BC406" s="96"/>
      <c r="BD406" s="96"/>
      <c r="BE406" s="96"/>
      <c r="BF406" s="96"/>
      <c r="BG406" s="96"/>
      <c r="BH406" s="96"/>
      <c r="BI406" s="96"/>
    </row>
    <row r="407" spans="1:61" x14ac:dyDescent="0.45">
      <c r="A407" s="17"/>
      <c r="B407" s="17"/>
      <c r="C407" s="17"/>
      <c r="D407" s="17"/>
      <c r="E407" s="15"/>
      <c r="F407" s="17"/>
      <c r="G407" s="17"/>
      <c r="H407" s="3"/>
      <c r="I407" s="88"/>
      <c r="J407" s="88"/>
      <c r="K407" s="15"/>
      <c r="L407" s="96"/>
      <c r="M407" s="89"/>
      <c r="N407" s="88"/>
      <c r="O407" s="413"/>
      <c r="P407" s="18"/>
      <c r="Q407" s="91"/>
      <c r="R407" s="18"/>
      <c r="S407" s="18"/>
      <c r="T407" s="18"/>
      <c r="U407" s="18"/>
      <c r="V407" s="18"/>
      <c r="W407" s="18"/>
      <c r="X407" s="18"/>
      <c r="Y407" s="92"/>
      <c r="Z407" s="92"/>
      <c r="AA407" s="418"/>
      <c r="AB407" s="95"/>
      <c r="AC407" s="18"/>
      <c r="AD407" s="18"/>
      <c r="AE407" s="18"/>
      <c r="AF407" s="18"/>
      <c r="AG407" s="91"/>
      <c r="AH407" s="18"/>
      <c r="AI407" s="18"/>
      <c r="AJ407" s="18"/>
      <c r="AK407" s="18"/>
      <c r="AL407" s="18"/>
      <c r="AM407" s="18"/>
      <c r="AN407" s="18"/>
      <c r="AO407" s="18"/>
      <c r="AP407" s="18"/>
      <c r="AQ407" s="18"/>
      <c r="AR407" s="18"/>
      <c r="AS407" s="18"/>
      <c r="AT407" s="18"/>
      <c r="AU407" s="91"/>
      <c r="AV407" s="18"/>
      <c r="AW407" s="18"/>
      <c r="AX407" s="18"/>
      <c r="AY407" s="17"/>
      <c r="AZ407" s="17"/>
      <c r="BA407" s="17"/>
      <c r="BB407" s="17"/>
      <c r="BC407" s="96"/>
      <c r="BD407" s="96"/>
      <c r="BE407" s="96"/>
      <c r="BF407" s="96"/>
      <c r="BG407" s="96"/>
      <c r="BH407" s="96"/>
      <c r="BI407" s="96"/>
    </row>
    <row r="408" spans="1:61" x14ac:dyDescent="0.45">
      <c r="A408" s="17"/>
      <c r="B408" s="17"/>
      <c r="C408" s="17"/>
      <c r="D408" s="17"/>
      <c r="E408" s="15"/>
      <c r="F408" s="17"/>
      <c r="G408" s="17"/>
      <c r="H408" s="3"/>
      <c r="I408" s="88"/>
      <c r="J408" s="88"/>
      <c r="K408" s="15"/>
      <c r="L408" s="96"/>
      <c r="M408" s="89"/>
      <c r="N408" s="88"/>
      <c r="O408" s="413"/>
      <c r="P408" s="18"/>
      <c r="Q408" s="91"/>
      <c r="R408" s="18"/>
      <c r="S408" s="18"/>
      <c r="T408" s="18"/>
      <c r="U408" s="18"/>
      <c r="V408" s="18"/>
      <c r="W408" s="18"/>
      <c r="X408" s="18"/>
      <c r="Y408" s="92"/>
      <c r="Z408" s="92"/>
      <c r="AA408" s="418"/>
      <c r="AB408" s="95"/>
      <c r="AC408" s="18"/>
      <c r="AD408" s="18"/>
      <c r="AE408" s="18"/>
      <c r="AF408" s="18"/>
      <c r="AG408" s="91"/>
      <c r="AH408" s="18"/>
      <c r="AI408" s="18"/>
      <c r="AJ408" s="18"/>
      <c r="AK408" s="18"/>
      <c r="AL408" s="18"/>
      <c r="AM408" s="18"/>
      <c r="AN408" s="18"/>
      <c r="AO408" s="18"/>
      <c r="AP408" s="18"/>
      <c r="AQ408" s="18"/>
      <c r="AR408" s="18"/>
      <c r="AS408" s="18"/>
      <c r="AT408" s="18"/>
      <c r="AU408" s="91"/>
      <c r="AV408" s="18"/>
      <c r="AW408" s="18"/>
      <c r="AX408" s="18"/>
      <c r="AY408" s="17"/>
      <c r="AZ408" s="17"/>
      <c r="BA408" s="17"/>
      <c r="BB408" s="17"/>
      <c r="BC408" s="96"/>
      <c r="BD408" s="96"/>
      <c r="BE408" s="96"/>
      <c r="BF408" s="96"/>
      <c r="BG408" s="96"/>
      <c r="BH408" s="96"/>
      <c r="BI408" s="96"/>
    </row>
    <row r="409" spans="1:61" x14ac:dyDescent="0.45">
      <c r="A409" s="17"/>
      <c r="B409" s="17"/>
      <c r="C409" s="17"/>
      <c r="D409" s="17"/>
      <c r="E409" s="15"/>
      <c r="F409" s="17"/>
      <c r="G409" s="17"/>
      <c r="H409" s="3"/>
      <c r="I409" s="88"/>
      <c r="J409" s="88"/>
      <c r="K409" s="15"/>
      <c r="L409" s="96"/>
      <c r="M409" s="89"/>
      <c r="N409" s="88"/>
      <c r="O409" s="413"/>
      <c r="P409" s="18"/>
      <c r="Q409" s="91"/>
      <c r="R409" s="18"/>
      <c r="S409" s="18"/>
      <c r="T409" s="18"/>
      <c r="U409" s="18"/>
      <c r="V409" s="18"/>
      <c r="W409" s="18"/>
      <c r="X409" s="18"/>
      <c r="Y409" s="92"/>
      <c r="Z409" s="92"/>
      <c r="AA409" s="418"/>
      <c r="AB409" s="95"/>
      <c r="AC409" s="18"/>
      <c r="AD409" s="18"/>
      <c r="AE409" s="18"/>
      <c r="AF409" s="18"/>
      <c r="AG409" s="91"/>
      <c r="AH409" s="18"/>
      <c r="AI409" s="18"/>
      <c r="AJ409" s="18"/>
      <c r="AK409" s="18"/>
      <c r="AL409" s="18"/>
      <c r="AM409" s="18"/>
      <c r="AN409" s="18"/>
      <c r="AO409" s="18"/>
      <c r="AP409" s="18"/>
      <c r="AQ409" s="18"/>
      <c r="AR409" s="18"/>
      <c r="AS409" s="18"/>
      <c r="AT409" s="18"/>
      <c r="AU409" s="91"/>
      <c r="AV409" s="18"/>
      <c r="AW409" s="18"/>
      <c r="AX409" s="18"/>
      <c r="AY409" s="17"/>
      <c r="AZ409" s="17"/>
      <c r="BA409" s="17"/>
      <c r="BB409" s="17"/>
      <c r="BC409" s="96"/>
      <c r="BD409" s="96"/>
      <c r="BE409" s="96"/>
      <c r="BF409" s="96"/>
      <c r="BG409" s="96"/>
      <c r="BH409" s="96"/>
      <c r="BI409" s="96"/>
    </row>
    <row r="410" spans="1:61" x14ac:dyDescent="0.45">
      <c r="A410" s="17"/>
      <c r="B410" s="17"/>
      <c r="C410" s="17"/>
      <c r="D410" s="17"/>
      <c r="E410" s="15"/>
      <c r="F410" s="17"/>
      <c r="G410" s="17"/>
      <c r="H410" s="3"/>
      <c r="I410" s="88"/>
      <c r="J410" s="88"/>
      <c r="K410" s="15"/>
      <c r="L410" s="96"/>
      <c r="M410" s="89"/>
      <c r="N410" s="88"/>
      <c r="O410" s="413"/>
      <c r="P410" s="18"/>
      <c r="Q410" s="91"/>
      <c r="R410" s="18"/>
      <c r="S410" s="18"/>
      <c r="T410" s="18"/>
      <c r="U410" s="18"/>
      <c r="V410" s="18"/>
      <c r="W410" s="18"/>
      <c r="X410" s="18"/>
      <c r="Y410" s="92"/>
      <c r="Z410" s="92"/>
      <c r="AA410" s="418"/>
      <c r="AB410" s="95"/>
      <c r="AC410" s="18"/>
      <c r="AD410" s="18"/>
      <c r="AE410" s="18"/>
      <c r="AF410" s="18"/>
      <c r="AG410" s="91"/>
      <c r="AH410" s="18"/>
      <c r="AI410" s="18"/>
      <c r="AJ410" s="18"/>
      <c r="AK410" s="18"/>
      <c r="AL410" s="18"/>
      <c r="AM410" s="18"/>
      <c r="AN410" s="18"/>
      <c r="AO410" s="18"/>
      <c r="AP410" s="18"/>
      <c r="AQ410" s="18"/>
      <c r="AR410" s="18"/>
      <c r="AS410" s="18"/>
      <c r="AT410" s="18"/>
      <c r="AU410" s="91"/>
      <c r="AV410" s="18"/>
      <c r="AW410" s="18"/>
      <c r="AX410" s="18"/>
      <c r="AY410" s="17"/>
      <c r="AZ410" s="17"/>
      <c r="BA410" s="17"/>
      <c r="BB410" s="17"/>
      <c r="BC410" s="96"/>
      <c r="BD410" s="96"/>
      <c r="BE410" s="96"/>
      <c r="BF410" s="96"/>
      <c r="BG410" s="96"/>
      <c r="BH410" s="96"/>
      <c r="BI410" s="96"/>
    </row>
    <row r="411" spans="1:61" x14ac:dyDescent="0.45">
      <c r="A411" s="17"/>
      <c r="B411" s="17"/>
      <c r="C411" s="17"/>
      <c r="D411" s="17"/>
      <c r="E411" s="15"/>
      <c r="F411" s="17"/>
      <c r="G411" s="17"/>
      <c r="H411" s="3"/>
      <c r="I411" s="88"/>
      <c r="J411" s="88"/>
      <c r="K411" s="15"/>
      <c r="L411" s="96"/>
      <c r="M411" s="89"/>
      <c r="N411" s="88"/>
      <c r="O411" s="413"/>
      <c r="P411" s="18"/>
      <c r="Q411" s="91"/>
      <c r="R411" s="18"/>
      <c r="S411" s="18"/>
      <c r="T411" s="18"/>
      <c r="U411" s="18"/>
      <c r="V411" s="18"/>
      <c r="W411" s="18"/>
      <c r="X411" s="18"/>
      <c r="Y411" s="92"/>
      <c r="Z411" s="92"/>
      <c r="AA411" s="418"/>
      <c r="AB411" s="95"/>
      <c r="AC411" s="18"/>
      <c r="AD411" s="18"/>
      <c r="AE411" s="18"/>
      <c r="AF411" s="18"/>
      <c r="AG411" s="91"/>
      <c r="AH411" s="18"/>
      <c r="AI411" s="18"/>
      <c r="AJ411" s="18"/>
      <c r="AK411" s="18"/>
      <c r="AL411" s="18"/>
      <c r="AM411" s="18"/>
      <c r="AN411" s="18"/>
      <c r="AO411" s="18"/>
      <c r="AP411" s="18"/>
      <c r="AQ411" s="18"/>
      <c r="AR411" s="18"/>
      <c r="AS411" s="18"/>
      <c r="AT411" s="18"/>
      <c r="AU411" s="91"/>
      <c r="AV411" s="18"/>
      <c r="AW411" s="18"/>
      <c r="AX411" s="18"/>
      <c r="AY411" s="17"/>
      <c r="AZ411" s="17"/>
      <c r="BA411" s="17"/>
      <c r="BB411" s="17"/>
      <c r="BC411" s="96"/>
      <c r="BD411" s="96"/>
      <c r="BE411" s="96"/>
      <c r="BF411" s="96"/>
      <c r="BG411" s="96"/>
      <c r="BH411" s="96"/>
      <c r="BI411" s="96"/>
    </row>
    <row r="412" spans="1:61" x14ac:dyDescent="0.45">
      <c r="A412" s="17"/>
      <c r="B412" s="17"/>
      <c r="C412" s="17"/>
      <c r="D412" s="17"/>
      <c r="E412" s="15"/>
      <c r="F412" s="17"/>
      <c r="G412" s="17"/>
      <c r="H412" s="3"/>
      <c r="I412" s="88"/>
      <c r="J412" s="88"/>
      <c r="K412" s="15"/>
      <c r="L412" s="96"/>
      <c r="M412" s="89"/>
      <c r="N412" s="88"/>
      <c r="O412" s="413"/>
      <c r="P412" s="18"/>
      <c r="Q412" s="91"/>
      <c r="R412" s="18"/>
      <c r="S412" s="18"/>
      <c r="T412" s="18"/>
      <c r="U412" s="18"/>
      <c r="V412" s="18"/>
      <c r="W412" s="18"/>
      <c r="X412" s="18"/>
      <c r="Y412" s="92"/>
      <c r="Z412" s="92"/>
      <c r="AA412" s="418"/>
      <c r="AB412" s="95"/>
      <c r="AC412" s="18"/>
      <c r="AD412" s="18"/>
      <c r="AE412" s="18"/>
      <c r="AF412" s="18"/>
      <c r="AG412" s="91"/>
      <c r="AH412" s="18"/>
      <c r="AI412" s="18"/>
      <c r="AJ412" s="18"/>
      <c r="AK412" s="18"/>
      <c r="AL412" s="18"/>
      <c r="AM412" s="18"/>
      <c r="AN412" s="18"/>
      <c r="AO412" s="18"/>
      <c r="AP412" s="18"/>
      <c r="AQ412" s="18"/>
      <c r="AR412" s="18"/>
      <c r="AS412" s="18"/>
      <c r="AT412" s="18"/>
      <c r="AU412" s="91"/>
      <c r="AV412" s="18"/>
      <c r="AW412" s="18"/>
      <c r="AX412" s="18"/>
      <c r="AY412" s="17"/>
      <c r="AZ412" s="17"/>
      <c r="BA412" s="17"/>
      <c r="BB412" s="17"/>
      <c r="BC412" s="96"/>
      <c r="BD412" s="96"/>
      <c r="BE412" s="96"/>
      <c r="BF412" s="96"/>
      <c r="BG412" s="96"/>
      <c r="BH412" s="96"/>
      <c r="BI412" s="96"/>
    </row>
    <row r="413" spans="1:61" x14ac:dyDescent="0.45">
      <c r="A413" s="17"/>
      <c r="B413" s="17"/>
      <c r="C413" s="17"/>
      <c r="D413" s="17"/>
      <c r="E413" s="15"/>
      <c r="F413" s="17"/>
      <c r="G413" s="17"/>
      <c r="H413" s="3"/>
      <c r="I413" s="88"/>
      <c r="J413" s="88"/>
      <c r="K413" s="15"/>
      <c r="L413" s="96"/>
      <c r="M413" s="89"/>
      <c r="N413" s="88"/>
      <c r="O413" s="413"/>
      <c r="P413" s="18"/>
      <c r="Q413" s="91"/>
      <c r="R413" s="18"/>
      <c r="S413" s="18"/>
      <c r="T413" s="18"/>
      <c r="U413" s="18"/>
      <c r="V413" s="18"/>
      <c r="W413" s="18"/>
      <c r="X413" s="18"/>
      <c r="Y413" s="92"/>
      <c r="Z413" s="92"/>
      <c r="AA413" s="418"/>
      <c r="AB413" s="95"/>
      <c r="AC413" s="18"/>
      <c r="AD413" s="18"/>
      <c r="AE413" s="18"/>
      <c r="AF413" s="18"/>
      <c r="AG413" s="91"/>
      <c r="AH413" s="18"/>
      <c r="AI413" s="18"/>
      <c r="AJ413" s="18"/>
      <c r="AK413" s="18"/>
      <c r="AL413" s="18"/>
      <c r="AM413" s="18"/>
      <c r="AN413" s="18"/>
      <c r="AO413" s="18"/>
      <c r="AP413" s="18"/>
      <c r="AQ413" s="18"/>
      <c r="AR413" s="18"/>
      <c r="AS413" s="18"/>
      <c r="AT413" s="18"/>
      <c r="AU413" s="91"/>
      <c r="AV413" s="18"/>
      <c r="AW413" s="18"/>
      <c r="AX413" s="18"/>
      <c r="AY413" s="17"/>
      <c r="AZ413" s="17"/>
      <c r="BA413" s="17"/>
      <c r="BB413" s="17"/>
      <c r="BC413" s="96"/>
      <c r="BD413" s="96"/>
      <c r="BE413" s="96"/>
      <c r="BF413" s="96"/>
      <c r="BG413" s="96"/>
      <c r="BH413" s="96"/>
      <c r="BI413" s="96"/>
    </row>
    <row r="414" spans="1:61" x14ac:dyDescent="0.45">
      <c r="A414" s="17"/>
      <c r="B414" s="17"/>
      <c r="C414" s="17"/>
      <c r="D414" s="17"/>
      <c r="E414" s="15"/>
      <c r="F414" s="17"/>
      <c r="G414" s="17"/>
      <c r="H414" s="3"/>
      <c r="I414" s="88"/>
      <c r="J414" s="88"/>
      <c r="K414" s="15"/>
      <c r="L414" s="96"/>
      <c r="M414" s="89"/>
      <c r="N414" s="88"/>
      <c r="O414" s="413"/>
      <c r="P414" s="18"/>
      <c r="Q414" s="91"/>
      <c r="R414" s="18"/>
      <c r="S414" s="18"/>
      <c r="T414" s="18"/>
      <c r="U414" s="18"/>
      <c r="V414" s="18"/>
      <c r="W414" s="18"/>
      <c r="X414" s="18"/>
      <c r="Y414" s="92"/>
      <c r="Z414" s="92"/>
      <c r="AA414" s="418"/>
      <c r="AB414" s="95"/>
      <c r="AC414" s="18"/>
      <c r="AD414" s="18"/>
      <c r="AE414" s="18"/>
      <c r="AF414" s="18"/>
      <c r="AG414" s="91"/>
      <c r="AH414" s="18"/>
      <c r="AI414" s="18"/>
      <c r="AJ414" s="18"/>
      <c r="AK414" s="18"/>
      <c r="AL414" s="18"/>
      <c r="AM414" s="18"/>
      <c r="AN414" s="18"/>
      <c r="AO414" s="18"/>
      <c r="AP414" s="18"/>
      <c r="AQ414" s="18"/>
      <c r="AR414" s="18"/>
      <c r="AS414" s="18"/>
      <c r="AT414" s="18"/>
      <c r="AU414" s="91"/>
      <c r="AV414" s="18"/>
      <c r="AW414" s="18"/>
      <c r="AX414" s="18"/>
      <c r="AY414" s="17"/>
      <c r="AZ414" s="17"/>
      <c r="BA414" s="17"/>
      <c r="BB414" s="17"/>
      <c r="BC414" s="96"/>
      <c r="BD414" s="96"/>
      <c r="BE414" s="96"/>
      <c r="BF414" s="96"/>
      <c r="BG414" s="96"/>
      <c r="BH414" s="96"/>
      <c r="BI414" s="96"/>
    </row>
    <row r="415" spans="1:61" x14ac:dyDescent="0.45">
      <c r="A415" s="17"/>
      <c r="B415" s="17"/>
      <c r="C415" s="17"/>
      <c r="D415" s="17"/>
      <c r="E415" s="15"/>
      <c r="F415" s="17"/>
      <c r="G415" s="17"/>
      <c r="H415" s="3"/>
      <c r="I415" s="88"/>
      <c r="J415" s="88"/>
      <c r="K415" s="15"/>
      <c r="L415" s="96"/>
      <c r="M415" s="89"/>
      <c r="N415" s="88"/>
      <c r="O415" s="413"/>
      <c r="P415" s="18"/>
      <c r="Q415" s="91"/>
      <c r="R415" s="18"/>
      <c r="S415" s="18"/>
      <c r="T415" s="18"/>
      <c r="U415" s="18"/>
      <c r="V415" s="18"/>
      <c r="W415" s="18"/>
      <c r="X415" s="18"/>
      <c r="Y415" s="92"/>
      <c r="Z415" s="92"/>
      <c r="AA415" s="418"/>
      <c r="AB415" s="95"/>
      <c r="AC415" s="18"/>
      <c r="AD415" s="18"/>
      <c r="AE415" s="18"/>
      <c r="AF415" s="18"/>
      <c r="AG415" s="91"/>
      <c r="AH415" s="18"/>
      <c r="AI415" s="18"/>
      <c r="AJ415" s="18"/>
      <c r="AK415" s="18"/>
      <c r="AL415" s="18"/>
      <c r="AM415" s="18"/>
      <c r="AN415" s="18"/>
      <c r="AO415" s="18"/>
      <c r="AP415" s="18"/>
      <c r="AQ415" s="18"/>
      <c r="AR415" s="18"/>
      <c r="AS415" s="18"/>
      <c r="AT415" s="18"/>
      <c r="AU415" s="91"/>
      <c r="AV415" s="18"/>
      <c r="AW415" s="18"/>
      <c r="AX415" s="18"/>
      <c r="AY415" s="17"/>
      <c r="AZ415" s="17"/>
      <c r="BA415" s="17"/>
      <c r="BB415" s="17"/>
      <c r="BC415" s="96"/>
      <c r="BD415" s="96"/>
      <c r="BE415" s="96"/>
      <c r="BF415" s="96"/>
      <c r="BG415" s="96"/>
      <c r="BH415" s="96"/>
      <c r="BI415" s="96"/>
    </row>
    <row r="416" spans="1:61" x14ac:dyDescent="0.45">
      <c r="A416" s="17"/>
      <c r="B416" s="17"/>
      <c r="C416" s="17"/>
      <c r="D416" s="17"/>
      <c r="E416" s="15"/>
      <c r="F416" s="17"/>
      <c r="G416" s="17"/>
      <c r="H416" s="3"/>
      <c r="I416" s="88"/>
      <c r="J416" s="88"/>
      <c r="K416" s="15"/>
      <c r="L416" s="96"/>
      <c r="M416" s="89"/>
      <c r="N416" s="88"/>
      <c r="O416" s="413"/>
      <c r="P416" s="18"/>
      <c r="Q416" s="91"/>
      <c r="R416" s="18"/>
      <c r="S416" s="18"/>
      <c r="T416" s="18"/>
      <c r="U416" s="18"/>
      <c r="V416" s="18"/>
      <c r="W416" s="18"/>
      <c r="X416" s="18"/>
      <c r="Y416" s="92"/>
      <c r="Z416" s="92"/>
      <c r="AA416" s="418"/>
      <c r="AB416" s="95"/>
      <c r="AC416" s="18"/>
      <c r="AD416" s="18"/>
      <c r="AE416" s="18"/>
      <c r="AF416" s="18"/>
      <c r="AG416" s="91"/>
      <c r="AH416" s="18"/>
      <c r="AI416" s="18"/>
      <c r="AJ416" s="18"/>
      <c r="AK416" s="18"/>
      <c r="AL416" s="18"/>
      <c r="AM416" s="18"/>
      <c r="AN416" s="18"/>
      <c r="AO416" s="18"/>
      <c r="AP416" s="18"/>
      <c r="AQ416" s="18"/>
      <c r="AR416" s="18"/>
      <c r="AS416" s="18"/>
      <c r="AT416" s="18"/>
      <c r="AU416" s="91"/>
      <c r="AV416" s="18"/>
      <c r="AW416" s="18"/>
      <c r="AX416" s="18"/>
      <c r="AY416" s="17"/>
      <c r="AZ416" s="17"/>
      <c r="BA416" s="17"/>
      <c r="BB416" s="17"/>
      <c r="BC416" s="96"/>
      <c r="BD416" s="96"/>
      <c r="BE416" s="96"/>
      <c r="BF416" s="96"/>
      <c r="BG416" s="96"/>
      <c r="BH416" s="96"/>
      <c r="BI416" s="96"/>
    </row>
    <row r="417" spans="1:61" x14ac:dyDescent="0.45">
      <c r="A417" s="17"/>
      <c r="B417" s="17"/>
      <c r="C417" s="17"/>
      <c r="D417" s="17"/>
      <c r="E417" s="15"/>
      <c r="F417" s="17"/>
      <c r="G417" s="17"/>
      <c r="H417" s="3"/>
      <c r="I417" s="88"/>
      <c r="J417" s="88"/>
      <c r="K417" s="15"/>
      <c r="L417" s="96"/>
      <c r="M417" s="89"/>
      <c r="N417" s="88"/>
      <c r="O417" s="413"/>
      <c r="P417" s="18"/>
      <c r="Q417" s="91"/>
      <c r="R417" s="18"/>
      <c r="S417" s="18"/>
      <c r="T417" s="18"/>
      <c r="U417" s="18"/>
      <c r="V417" s="18"/>
      <c r="W417" s="18"/>
      <c r="X417" s="18"/>
      <c r="Y417" s="92"/>
      <c r="Z417" s="92"/>
      <c r="AA417" s="418"/>
      <c r="AB417" s="95"/>
      <c r="AC417" s="18"/>
      <c r="AD417" s="18"/>
      <c r="AE417" s="18"/>
      <c r="AF417" s="18"/>
      <c r="AG417" s="91"/>
      <c r="AH417" s="18"/>
      <c r="AI417" s="18"/>
      <c r="AJ417" s="18"/>
      <c r="AK417" s="18"/>
      <c r="AL417" s="18"/>
      <c r="AM417" s="18"/>
      <c r="AN417" s="18"/>
      <c r="AO417" s="18"/>
      <c r="AP417" s="18"/>
      <c r="AQ417" s="18"/>
      <c r="AR417" s="18"/>
      <c r="AS417" s="18"/>
      <c r="AT417" s="18"/>
      <c r="AU417" s="91"/>
      <c r="AV417" s="18"/>
      <c r="AW417" s="18"/>
      <c r="AX417" s="18"/>
      <c r="AY417" s="17"/>
      <c r="AZ417" s="17"/>
      <c r="BA417" s="17"/>
      <c r="BB417" s="17"/>
      <c r="BC417" s="96"/>
      <c r="BD417" s="96"/>
      <c r="BE417" s="96"/>
      <c r="BF417" s="96"/>
      <c r="BG417" s="96"/>
      <c r="BH417" s="96"/>
      <c r="BI417" s="96"/>
    </row>
    <row r="418" spans="1:61" x14ac:dyDescent="0.45">
      <c r="A418" s="17"/>
      <c r="B418" s="17"/>
      <c r="C418" s="17"/>
      <c r="D418" s="17"/>
      <c r="E418" s="15"/>
      <c r="F418" s="17"/>
      <c r="G418" s="17"/>
      <c r="H418" s="3"/>
      <c r="I418" s="88"/>
      <c r="J418" s="88"/>
      <c r="K418" s="15"/>
      <c r="L418" s="96"/>
      <c r="M418" s="89"/>
      <c r="N418" s="88"/>
      <c r="O418" s="413"/>
      <c r="P418" s="18"/>
      <c r="Q418" s="91"/>
      <c r="R418" s="18"/>
      <c r="S418" s="18"/>
      <c r="T418" s="18"/>
      <c r="U418" s="18"/>
      <c r="V418" s="18"/>
      <c r="W418" s="18"/>
      <c r="X418" s="18"/>
      <c r="Y418" s="92"/>
      <c r="Z418" s="92"/>
      <c r="AA418" s="418"/>
      <c r="AB418" s="95"/>
      <c r="AC418" s="18"/>
      <c r="AD418" s="18"/>
      <c r="AE418" s="18"/>
      <c r="AF418" s="18"/>
      <c r="AG418" s="91"/>
      <c r="AH418" s="18"/>
      <c r="AI418" s="18"/>
      <c r="AJ418" s="18"/>
      <c r="AK418" s="18"/>
      <c r="AL418" s="18"/>
      <c r="AM418" s="18"/>
      <c r="AN418" s="18"/>
      <c r="AO418" s="18"/>
      <c r="AP418" s="18"/>
      <c r="AQ418" s="18"/>
      <c r="AR418" s="18"/>
      <c r="AS418" s="18"/>
      <c r="AT418" s="18"/>
      <c r="AU418" s="91"/>
      <c r="AV418" s="18"/>
      <c r="AW418" s="18"/>
      <c r="AX418" s="18"/>
      <c r="AY418" s="17"/>
      <c r="AZ418" s="17"/>
      <c r="BA418" s="17"/>
      <c r="BB418" s="17"/>
      <c r="BC418" s="96"/>
      <c r="BD418" s="96"/>
      <c r="BE418" s="96"/>
      <c r="BF418" s="96"/>
      <c r="BG418" s="96"/>
      <c r="BH418" s="96"/>
      <c r="BI418" s="96"/>
    </row>
    <row r="419" spans="1:61" x14ac:dyDescent="0.45">
      <c r="A419" s="17"/>
      <c r="B419" s="17"/>
      <c r="C419" s="17"/>
      <c r="D419" s="17"/>
      <c r="E419" s="15"/>
      <c r="F419" s="17"/>
      <c r="G419" s="17"/>
      <c r="H419" s="3"/>
      <c r="I419" s="88"/>
      <c r="J419" s="88"/>
      <c r="K419" s="15"/>
      <c r="L419" s="96"/>
      <c r="M419" s="89"/>
      <c r="N419" s="88"/>
      <c r="O419" s="413"/>
      <c r="P419" s="18"/>
      <c r="Q419" s="91"/>
      <c r="R419" s="18"/>
      <c r="S419" s="18"/>
      <c r="T419" s="18"/>
      <c r="U419" s="18"/>
      <c r="V419" s="18"/>
      <c r="W419" s="18"/>
      <c r="X419" s="18"/>
      <c r="Y419" s="92"/>
      <c r="Z419" s="92"/>
      <c r="AA419" s="418"/>
      <c r="AB419" s="95"/>
      <c r="AC419" s="18"/>
      <c r="AD419" s="18"/>
      <c r="AE419" s="18"/>
      <c r="AF419" s="18"/>
      <c r="AG419" s="91"/>
      <c r="AH419" s="18"/>
      <c r="AI419" s="18"/>
      <c r="AJ419" s="18"/>
      <c r="AK419" s="18"/>
      <c r="AL419" s="18"/>
      <c r="AM419" s="18"/>
      <c r="AN419" s="18"/>
      <c r="AO419" s="18"/>
      <c r="AP419" s="18"/>
      <c r="AQ419" s="18"/>
      <c r="AR419" s="18"/>
      <c r="AS419" s="18"/>
      <c r="AT419" s="18"/>
      <c r="AU419" s="91"/>
      <c r="AV419" s="18"/>
      <c r="AW419" s="18"/>
      <c r="AX419" s="18"/>
      <c r="AY419" s="17"/>
      <c r="AZ419" s="17"/>
      <c r="BA419" s="17"/>
      <c r="BB419" s="17"/>
      <c r="BC419" s="96"/>
      <c r="BD419" s="96"/>
      <c r="BE419" s="96"/>
      <c r="BF419" s="96"/>
      <c r="BG419" s="96"/>
      <c r="BH419" s="96"/>
      <c r="BI419" s="96"/>
    </row>
    <row r="420" spans="1:61" x14ac:dyDescent="0.45">
      <c r="A420" s="17"/>
      <c r="B420" s="17"/>
      <c r="C420" s="17"/>
      <c r="D420" s="17"/>
      <c r="E420" s="15"/>
      <c r="F420" s="17"/>
      <c r="G420" s="17"/>
      <c r="H420" s="3"/>
      <c r="I420" s="88"/>
      <c r="J420" s="88"/>
      <c r="K420" s="15"/>
      <c r="L420" s="96"/>
      <c r="M420" s="89"/>
      <c r="N420" s="88"/>
      <c r="O420" s="413"/>
      <c r="P420" s="18"/>
      <c r="Q420" s="91"/>
      <c r="R420" s="18"/>
      <c r="S420" s="18"/>
      <c r="T420" s="18"/>
      <c r="U420" s="18"/>
      <c r="V420" s="18"/>
      <c r="W420" s="18"/>
      <c r="X420" s="18"/>
      <c r="Y420" s="92"/>
      <c r="Z420" s="92"/>
      <c r="AA420" s="418"/>
      <c r="AB420" s="95"/>
      <c r="AC420" s="18"/>
      <c r="AD420" s="18"/>
      <c r="AE420" s="18"/>
      <c r="AF420" s="18"/>
      <c r="AG420" s="91"/>
      <c r="AH420" s="18"/>
      <c r="AI420" s="18"/>
      <c r="AJ420" s="18"/>
      <c r="AK420" s="18"/>
      <c r="AL420" s="18"/>
      <c r="AM420" s="18"/>
      <c r="AN420" s="18"/>
      <c r="AO420" s="18"/>
      <c r="AP420" s="18"/>
      <c r="AQ420" s="18"/>
      <c r="AR420" s="18"/>
      <c r="AS420" s="18"/>
      <c r="AT420" s="18"/>
      <c r="AU420" s="91"/>
      <c r="AV420" s="18"/>
      <c r="AW420" s="18"/>
      <c r="AX420" s="18"/>
      <c r="AY420" s="17"/>
      <c r="AZ420" s="17"/>
      <c r="BA420" s="17"/>
      <c r="BB420" s="17"/>
      <c r="BC420" s="96"/>
      <c r="BD420" s="96"/>
      <c r="BE420" s="96"/>
      <c r="BF420" s="96"/>
      <c r="BG420" s="96"/>
      <c r="BH420" s="96"/>
      <c r="BI420" s="96"/>
    </row>
    <row r="421" spans="1:61" x14ac:dyDescent="0.45">
      <c r="A421" s="17"/>
      <c r="B421" s="17"/>
      <c r="C421" s="17"/>
      <c r="D421" s="17"/>
      <c r="E421" s="15"/>
      <c r="F421" s="17"/>
      <c r="G421" s="17"/>
      <c r="H421" s="3"/>
      <c r="I421" s="88"/>
      <c r="J421" s="88"/>
      <c r="K421" s="15"/>
      <c r="L421" s="96"/>
      <c r="M421" s="89"/>
      <c r="N421" s="88"/>
      <c r="O421" s="413"/>
      <c r="P421" s="18"/>
      <c r="Q421" s="91"/>
      <c r="R421" s="18"/>
      <c r="S421" s="18"/>
      <c r="T421" s="18"/>
      <c r="U421" s="18"/>
      <c r="V421" s="18"/>
      <c r="W421" s="18"/>
      <c r="X421" s="18"/>
      <c r="Y421" s="92"/>
      <c r="Z421" s="92"/>
      <c r="AA421" s="418"/>
      <c r="AB421" s="95"/>
      <c r="AC421" s="18"/>
      <c r="AD421" s="18"/>
      <c r="AE421" s="18"/>
      <c r="AF421" s="18"/>
      <c r="AG421" s="91"/>
      <c r="AH421" s="18"/>
      <c r="AI421" s="18"/>
      <c r="AJ421" s="18"/>
      <c r="AK421" s="18"/>
      <c r="AL421" s="18"/>
      <c r="AM421" s="18"/>
      <c r="AN421" s="18"/>
      <c r="AO421" s="18"/>
      <c r="AP421" s="18"/>
      <c r="AQ421" s="18"/>
      <c r="AR421" s="18"/>
      <c r="AS421" s="18"/>
      <c r="AT421" s="18"/>
      <c r="AU421" s="91"/>
      <c r="AV421" s="18"/>
      <c r="AW421" s="18"/>
      <c r="AX421" s="18"/>
      <c r="AY421" s="17"/>
      <c r="AZ421" s="17"/>
      <c r="BA421" s="17"/>
      <c r="BB421" s="17"/>
      <c r="BC421" s="96"/>
      <c r="BD421" s="96"/>
      <c r="BE421" s="96"/>
      <c r="BF421" s="96"/>
      <c r="BG421" s="96"/>
      <c r="BH421" s="96"/>
      <c r="BI421" s="96"/>
    </row>
    <row r="422" spans="1:61" x14ac:dyDescent="0.45">
      <c r="A422" s="17"/>
      <c r="B422" s="17"/>
      <c r="C422" s="17"/>
      <c r="D422" s="17"/>
      <c r="E422" s="15"/>
      <c r="F422" s="17"/>
      <c r="G422" s="17"/>
      <c r="H422" s="3"/>
      <c r="I422" s="88"/>
      <c r="J422" s="88"/>
      <c r="K422" s="15"/>
      <c r="L422" s="96"/>
      <c r="M422" s="89"/>
      <c r="N422" s="88"/>
      <c r="O422" s="413"/>
      <c r="P422" s="18"/>
      <c r="Q422" s="91"/>
      <c r="R422" s="18"/>
      <c r="S422" s="18"/>
      <c r="T422" s="18"/>
      <c r="U422" s="18"/>
      <c r="V422" s="18"/>
      <c r="W422" s="18"/>
      <c r="X422" s="18"/>
      <c r="Y422" s="92"/>
      <c r="Z422" s="92"/>
      <c r="AA422" s="418"/>
      <c r="AB422" s="95"/>
      <c r="AC422" s="18"/>
      <c r="AD422" s="18"/>
      <c r="AE422" s="18"/>
      <c r="AF422" s="18"/>
      <c r="AG422" s="91"/>
      <c r="AH422" s="18"/>
      <c r="AI422" s="18"/>
      <c r="AJ422" s="18"/>
      <c r="AK422" s="18"/>
      <c r="AL422" s="18"/>
      <c r="AM422" s="18"/>
      <c r="AN422" s="18"/>
      <c r="AO422" s="18"/>
      <c r="AP422" s="18"/>
      <c r="AQ422" s="18"/>
      <c r="AR422" s="18"/>
      <c r="AS422" s="18"/>
      <c r="AT422" s="18"/>
      <c r="AU422" s="91"/>
      <c r="AV422" s="18"/>
      <c r="AW422" s="18"/>
      <c r="AX422" s="18"/>
      <c r="AY422" s="17"/>
      <c r="AZ422" s="17"/>
      <c r="BA422" s="17"/>
      <c r="BB422" s="17"/>
      <c r="BC422" s="96"/>
      <c r="BD422" s="96"/>
      <c r="BE422" s="96"/>
      <c r="BF422" s="96"/>
      <c r="BG422" s="96"/>
      <c r="BH422" s="96"/>
      <c r="BI422" s="96"/>
    </row>
    <row r="423" spans="1:61" x14ac:dyDescent="0.45">
      <c r="A423" s="17"/>
      <c r="B423" s="17"/>
      <c r="C423" s="17"/>
      <c r="D423" s="17"/>
      <c r="E423" s="15"/>
      <c r="F423" s="17"/>
      <c r="G423" s="17"/>
      <c r="H423" s="3"/>
      <c r="I423" s="88"/>
      <c r="J423" s="88"/>
      <c r="K423" s="15"/>
      <c r="L423" s="96"/>
      <c r="M423" s="89"/>
      <c r="N423" s="88"/>
      <c r="O423" s="413"/>
      <c r="P423" s="18"/>
      <c r="Q423" s="91"/>
      <c r="R423" s="18"/>
      <c r="S423" s="18"/>
      <c r="T423" s="18"/>
      <c r="U423" s="18"/>
      <c r="V423" s="18"/>
      <c r="W423" s="18"/>
      <c r="X423" s="18"/>
      <c r="Y423" s="92"/>
      <c r="Z423" s="92"/>
      <c r="AA423" s="418"/>
      <c r="AB423" s="95"/>
      <c r="AC423" s="18"/>
      <c r="AD423" s="18"/>
      <c r="AE423" s="18"/>
      <c r="AF423" s="18"/>
      <c r="AG423" s="91"/>
      <c r="AH423" s="18"/>
      <c r="AI423" s="18"/>
      <c r="AJ423" s="18"/>
      <c r="AK423" s="18"/>
      <c r="AL423" s="18"/>
      <c r="AM423" s="18"/>
      <c r="AN423" s="18"/>
      <c r="AO423" s="18"/>
      <c r="AP423" s="18"/>
      <c r="AQ423" s="18"/>
      <c r="AR423" s="18"/>
      <c r="AS423" s="18"/>
      <c r="AT423" s="18"/>
      <c r="AU423" s="91"/>
      <c r="AV423" s="18"/>
      <c r="AW423" s="18"/>
      <c r="AX423" s="18"/>
      <c r="AY423" s="17"/>
      <c r="AZ423" s="17"/>
      <c r="BA423" s="17"/>
      <c r="BB423" s="17"/>
      <c r="BC423" s="96"/>
      <c r="BD423" s="96"/>
      <c r="BE423" s="96"/>
      <c r="BF423" s="96"/>
      <c r="BG423" s="96"/>
      <c r="BH423" s="96"/>
      <c r="BI423" s="96"/>
    </row>
    <row r="424" spans="1:61" x14ac:dyDescent="0.45">
      <c r="A424" s="17"/>
      <c r="B424" s="17"/>
      <c r="C424" s="17"/>
      <c r="D424" s="17"/>
      <c r="E424" s="15"/>
      <c r="F424" s="17"/>
      <c r="G424" s="17"/>
      <c r="H424" s="3"/>
      <c r="I424" s="88"/>
      <c r="J424" s="88"/>
      <c r="K424" s="15"/>
      <c r="L424" s="96"/>
      <c r="M424" s="89"/>
      <c r="N424" s="88"/>
      <c r="O424" s="413"/>
      <c r="P424" s="18"/>
      <c r="Q424" s="91"/>
      <c r="R424" s="18"/>
      <c r="S424" s="18"/>
      <c r="T424" s="18"/>
      <c r="U424" s="18"/>
      <c r="V424" s="18"/>
      <c r="W424" s="18"/>
      <c r="X424" s="18"/>
      <c r="Y424" s="92"/>
      <c r="Z424" s="92"/>
      <c r="AA424" s="418"/>
      <c r="AB424" s="95"/>
      <c r="AC424" s="18"/>
      <c r="AD424" s="18"/>
      <c r="AE424" s="18"/>
      <c r="AF424" s="18"/>
      <c r="AG424" s="91"/>
      <c r="AH424" s="18"/>
      <c r="AI424" s="18"/>
      <c r="AJ424" s="18"/>
      <c r="AK424" s="18"/>
      <c r="AL424" s="18"/>
      <c r="AM424" s="18"/>
      <c r="AN424" s="18"/>
      <c r="AO424" s="18"/>
      <c r="AP424" s="18"/>
      <c r="AQ424" s="18"/>
      <c r="AR424" s="18"/>
      <c r="AS424" s="18"/>
      <c r="AT424" s="18"/>
      <c r="AU424" s="91"/>
      <c r="AV424" s="18"/>
      <c r="AW424" s="18"/>
      <c r="AX424" s="18"/>
      <c r="AY424" s="17"/>
      <c r="AZ424" s="17"/>
      <c r="BA424" s="17"/>
      <c r="BB424" s="17"/>
      <c r="BC424" s="96"/>
      <c r="BD424" s="96"/>
      <c r="BE424" s="96"/>
      <c r="BF424" s="96"/>
      <c r="BG424" s="96"/>
      <c r="BH424" s="96"/>
      <c r="BI424" s="96"/>
    </row>
    <row r="425" spans="1:61" x14ac:dyDescent="0.45">
      <c r="A425" s="17"/>
      <c r="B425" s="17"/>
      <c r="C425" s="17"/>
      <c r="D425" s="17"/>
      <c r="E425" s="15"/>
      <c r="F425" s="17"/>
      <c r="G425" s="17"/>
      <c r="H425" s="3"/>
      <c r="I425" s="88"/>
      <c r="J425" s="88"/>
      <c r="K425" s="15"/>
      <c r="L425" s="96"/>
      <c r="M425" s="89"/>
      <c r="N425" s="88"/>
      <c r="O425" s="413"/>
      <c r="P425" s="18"/>
      <c r="Q425" s="91"/>
      <c r="R425" s="18"/>
      <c r="S425" s="18"/>
      <c r="T425" s="18"/>
      <c r="U425" s="18"/>
      <c r="V425" s="18"/>
      <c r="W425" s="18"/>
      <c r="X425" s="18"/>
      <c r="Y425" s="92"/>
      <c r="Z425" s="92"/>
      <c r="AA425" s="418"/>
      <c r="AB425" s="95"/>
      <c r="AC425" s="18"/>
      <c r="AD425" s="18"/>
      <c r="AE425" s="18"/>
      <c r="AF425" s="18"/>
      <c r="AG425" s="91"/>
      <c r="AH425" s="18"/>
      <c r="AI425" s="18"/>
      <c r="AJ425" s="18"/>
      <c r="AK425" s="18"/>
      <c r="AL425" s="18"/>
      <c r="AM425" s="18"/>
      <c r="AN425" s="18"/>
      <c r="AO425" s="18"/>
      <c r="AP425" s="18"/>
      <c r="AQ425" s="18"/>
      <c r="AR425" s="18"/>
      <c r="AS425" s="18"/>
      <c r="AT425" s="18"/>
      <c r="AU425" s="91"/>
      <c r="AV425" s="18"/>
      <c r="AW425" s="18"/>
      <c r="AX425" s="18"/>
      <c r="AY425" s="17"/>
      <c r="AZ425" s="17"/>
      <c r="BA425" s="17"/>
      <c r="BB425" s="17"/>
      <c r="BC425" s="96"/>
      <c r="BD425" s="96"/>
      <c r="BE425" s="96"/>
      <c r="BF425" s="96"/>
      <c r="BG425" s="96"/>
      <c r="BH425" s="96"/>
      <c r="BI425" s="96"/>
    </row>
    <row r="426" spans="1:61" x14ac:dyDescent="0.45">
      <c r="A426" s="17"/>
      <c r="B426" s="17"/>
      <c r="C426" s="17"/>
      <c r="D426" s="17"/>
      <c r="E426" s="15"/>
      <c r="F426" s="17"/>
      <c r="G426" s="17"/>
      <c r="H426" s="3"/>
      <c r="I426" s="88"/>
      <c r="J426" s="88"/>
      <c r="K426" s="15"/>
      <c r="L426" s="96"/>
      <c r="M426" s="89"/>
      <c r="N426" s="88"/>
      <c r="O426" s="413"/>
      <c r="P426" s="18"/>
      <c r="Q426" s="91"/>
      <c r="R426" s="18"/>
      <c r="S426" s="18"/>
      <c r="T426" s="18"/>
      <c r="U426" s="18"/>
      <c r="V426" s="18"/>
      <c r="W426" s="18"/>
      <c r="X426" s="18"/>
      <c r="Y426" s="92"/>
      <c r="Z426" s="92"/>
      <c r="AA426" s="418"/>
      <c r="AB426" s="95"/>
      <c r="AC426" s="18"/>
      <c r="AD426" s="18"/>
      <c r="AE426" s="18"/>
      <c r="AF426" s="18"/>
      <c r="AG426" s="91"/>
      <c r="AH426" s="18"/>
      <c r="AI426" s="18"/>
      <c r="AJ426" s="18"/>
      <c r="AK426" s="18"/>
      <c r="AL426" s="18"/>
      <c r="AM426" s="18"/>
      <c r="AN426" s="18"/>
      <c r="AO426" s="18"/>
      <c r="AP426" s="18"/>
      <c r="AQ426" s="18"/>
      <c r="AR426" s="18"/>
      <c r="AS426" s="18"/>
      <c r="AT426" s="18"/>
      <c r="AU426" s="91"/>
      <c r="AV426" s="18"/>
      <c r="AW426" s="18"/>
      <c r="AX426" s="18"/>
      <c r="AY426" s="17"/>
      <c r="AZ426" s="17"/>
      <c r="BA426" s="17"/>
      <c r="BB426" s="17"/>
      <c r="BC426" s="96"/>
      <c r="BD426" s="96"/>
      <c r="BE426" s="96"/>
      <c r="BF426" s="96"/>
      <c r="BG426" s="96"/>
      <c r="BH426" s="96"/>
      <c r="BI426" s="96"/>
    </row>
    <row r="427" spans="1:61" x14ac:dyDescent="0.45">
      <c r="A427" s="17"/>
      <c r="B427" s="17"/>
      <c r="C427" s="17"/>
      <c r="D427" s="17"/>
      <c r="E427" s="15"/>
      <c r="F427" s="17"/>
      <c r="G427" s="17"/>
      <c r="H427" s="3"/>
      <c r="I427" s="88"/>
      <c r="J427" s="88"/>
      <c r="K427" s="15"/>
      <c r="L427" s="96"/>
      <c r="M427" s="89"/>
      <c r="N427" s="88"/>
      <c r="O427" s="413"/>
      <c r="P427" s="18"/>
      <c r="Q427" s="91"/>
      <c r="R427" s="18"/>
      <c r="S427" s="18"/>
      <c r="T427" s="18"/>
      <c r="U427" s="18"/>
      <c r="V427" s="18"/>
      <c r="W427" s="18"/>
      <c r="X427" s="18"/>
      <c r="Y427" s="92"/>
      <c r="Z427" s="92"/>
      <c r="AA427" s="418"/>
      <c r="AB427" s="95"/>
      <c r="AC427" s="18"/>
      <c r="AD427" s="18"/>
      <c r="AE427" s="18"/>
      <c r="AF427" s="18"/>
      <c r="AG427" s="91"/>
      <c r="AH427" s="18"/>
      <c r="AI427" s="18"/>
      <c r="AJ427" s="18"/>
      <c r="AK427" s="18"/>
      <c r="AL427" s="18"/>
      <c r="AM427" s="18"/>
      <c r="AN427" s="18"/>
      <c r="AO427" s="18"/>
      <c r="AP427" s="18"/>
      <c r="AQ427" s="18"/>
      <c r="AR427" s="18"/>
      <c r="AS427" s="18"/>
      <c r="AT427" s="18"/>
      <c r="AU427" s="91"/>
      <c r="AV427" s="18"/>
      <c r="AW427" s="18"/>
      <c r="AX427" s="18"/>
      <c r="AY427" s="17"/>
      <c r="AZ427" s="17"/>
      <c r="BA427" s="17"/>
      <c r="BB427" s="17"/>
      <c r="BC427" s="96"/>
      <c r="BD427" s="96"/>
      <c r="BE427" s="96"/>
      <c r="BF427" s="96"/>
      <c r="BG427" s="96"/>
      <c r="BH427" s="96"/>
      <c r="BI427" s="96"/>
    </row>
    <row r="428" spans="1:61" x14ac:dyDescent="0.45">
      <c r="A428" s="17"/>
      <c r="B428" s="17"/>
      <c r="C428" s="17"/>
      <c r="D428" s="17"/>
      <c r="E428" s="15"/>
      <c r="F428" s="17"/>
      <c r="G428" s="17"/>
      <c r="H428" s="3"/>
      <c r="I428" s="88"/>
      <c r="J428" s="88"/>
      <c r="K428" s="15"/>
      <c r="L428" s="96"/>
      <c r="M428" s="89"/>
      <c r="N428" s="88"/>
      <c r="O428" s="413"/>
      <c r="P428" s="18"/>
      <c r="Q428" s="91"/>
      <c r="R428" s="18"/>
      <c r="S428" s="18"/>
      <c r="T428" s="18"/>
      <c r="U428" s="18"/>
      <c r="V428" s="18"/>
      <c r="W428" s="18"/>
      <c r="X428" s="18"/>
      <c r="Y428" s="92"/>
      <c r="Z428" s="92"/>
      <c r="AA428" s="418"/>
      <c r="AB428" s="95"/>
      <c r="AC428" s="18"/>
      <c r="AD428" s="18"/>
      <c r="AE428" s="18"/>
      <c r="AF428" s="18"/>
      <c r="AG428" s="91"/>
      <c r="AH428" s="18"/>
      <c r="AI428" s="18"/>
      <c r="AJ428" s="18"/>
      <c r="AK428" s="18"/>
      <c r="AL428" s="18"/>
      <c r="AM428" s="18"/>
      <c r="AN428" s="18"/>
      <c r="AO428" s="18"/>
      <c r="AP428" s="18"/>
      <c r="AQ428" s="18"/>
      <c r="AR428" s="18"/>
      <c r="AS428" s="18"/>
      <c r="AT428" s="18"/>
      <c r="AU428" s="91"/>
      <c r="AV428" s="18"/>
      <c r="AW428" s="18"/>
      <c r="AX428" s="18"/>
      <c r="AY428" s="17"/>
      <c r="AZ428" s="17"/>
      <c r="BA428" s="17"/>
      <c r="BB428" s="17"/>
      <c r="BC428" s="96"/>
      <c r="BD428" s="96"/>
      <c r="BE428" s="96"/>
      <c r="BF428" s="96"/>
      <c r="BG428" s="96"/>
      <c r="BH428" s="96"/>
      <c r="BI428" s="96"/>
    </row>
    <row r="429" spans="1:61" x14ac:dyDescent="0.45">
      <c r="A429" s="17"/>
      <c r="B429" s="17"/>
      <c r="C429" s="17"/>
      <c r="D429" s="17"/>
      <c r="E429" s="15"/>
      <c r="F429" s="17"/>
      <c r="G429" s="17"/>
      <c r="H429" s="3"/>
      <c r="I429" s="88"/>
      <c r="J429" s="88"/>
      <c r="K429" s="15"/>
      <c r="L429" s="96"/>
      <c r="M429" s="89"/>
      <c r="N429" s="88"/>
      <c r="O429" s="413"/>
      <c r="P429" s="18"/>
      <c r="Q429" s="91"/>
      <c r="R429" s="18"/>
      <c r="S429" s="18"/>
      <c r="T429" s="18"/>
      <c r="U429" s="18"/>
      <c r="V429" s="18"/>
      <c r="W429" s="18"/>
      <c r="X429" s="18"/>
      <c r="Y429" s="92"/>
      <c r="Z429" s="92"/>
      <c r="AA429" s="418"/>
      <c r="AB429" s="95"/>
      <c r="AC429" s="18"/>
      <c r="AD429" s="18"/>
      <c r="AE429" s="18"/>
      <c r="AF429" s="18"/>
      <c r="AG429" s="91"/>
      <c r="AH429" s="18"/>
      <c r="AI429" s="18"/>
      <c r="AJ429" s="18"/>
      <c r="AK429" s="18"/>
      <c r="AL429" s="18"/>
      <c r="AM429" s="18"/>
      <c r="AN429" s="18"/>
      <c r="AO429" s="18"/>
      <c r="AP429" s="18"/>
      <c r="AQ429" s="18"/>
      <c r="AR429" s="18"/>
      <c r="AS429" s="18"/>
      <c r="AT429" s="18"/>
      <c r="AU429" s="91"/>
      <c r="AV429" s="18"/>
      <c r="AW429" s="18"/>
      <c r="AX429" s="18"/>
      <c r="AY429" s="17"/>
      <c r="AZ429" s="17"/>
      <c r="BA429" s="17"/>
      <c r="BB429" s="17"/>
      <c r="BC429" s="96"/>
      <c r="BD429" s="96"/>
      <c r="BE429" s="96"/>
      <c r="BF429" s="96"/>
      <c r="BG429" s="96"/>
      <c r="BH429" s="96"/>
      <c r="BI429" s="96"/>
    </row>
    <row r="430" spans="1:61" x14ac:dyDescent="0.45">
      <c r="A430" s="17"/>
      <c r="B430" s="17"/>
      <c r="C430" s="17"/>
      <c r="D430" s="17"/>
      <c r="E430" s="15"/>
      <c r="F430" s="17"/>
      <c r="G430" s="17"/>
      <c r="H430" s="3"/>
      <c r="I430" s="88"/>
      <c r="J430" s="88"/>
      <c r="K430" s="15"/>
      <c r="L430" s="96"/>
      <c r="M430" s="89"/>
      <c r="N430" s="88"/>
      <c r="O430" s="413"/>
      <c r="P430" s="18"/>
      <c r="Q430" s="91"/>
      <c r="R430" s="18"/>
      <c r="S430" s="18"/>
      <c r="T430" s="18"/>
      <c r="U430" s="18"/>
      <c r="V430" s="18"/>
      <c r="W430" s="18"/>
      <c r="X430" s="18"/>
      <c r="Y430" s="92"/>
      <c r="Z430" s="92"/>
      <c r="AA430" s="418"/>
      <c r="AB430" s="95"/>
      <c r="AC430" s="18"/>
      <c r="AD430" s="18"/>
      <c r="AE430" s="18"/>
      <c r="AF430" s="18"/>
      <c r="AG430" s="91"/>
      <c r="AH430" s="18"/>
      <c r="AI430" s="18"/>
      <c r="AJ430" s="18"/>
      <c r="AK430" s="18"/>
      <c r="AL430" s="18"/>
      <c r="AM430" s="18"/>
      <c r="AN430" s="18"/>
      <c r="AO430" s="18"/>
      <c r="AP430" s="18"/>
      <c r="AQ430" s="18"/>
      <c r="AR430" s="18"/>
      <c r="AS430" s="18"/>
      <c r="AT430" s="18"/>
      <c r="AU430" s="91"/>
      <c r="AV430" s="18"/>
      <c r="AW430" s="18"/>
      <c r="AX430" s="18"/>
      <c r="AY430" s="17"/>
      <c r="AZ430" s="17"/>
      <c r="BA430" s="17"/>
      <c r="BB430" s="17"/>
      <c r="BC430" s="96"/>
      <c r="BD430" s="96"/>
      <c r="BE430" s="96"/>
      <c r="BF430" s="96"/>
      <c r="BG430" s="96"/>
      <c r="BH430" s="96"/>
      <c r="BI430" s="96"/>
    </row>
    <row r="431" spans="1:61" x14ac:dyDescent="0.45">
      <c r="A431" s="17"/>
      <c r="B431" s="17"/>
      <c r="C431" s="17"/>
      <c r="D431" s="17"/>
      <c r="E431" s="15"/>
      <c r="F431" s="17"/>
      <c r="G431" s="17"/>
      <c r="H431" s="3"/>
      <c r="I431" s="88"/>
      <c r="J431" s="88"/>
      <c r="K431" s="15"/>
      <c r="L431" s="96"/>
      <c r="M431" s="89"/>
      <c r="N431" s="88"/>
      <c r="O431" s="413"/>
      <c r="P431" s="18"/>
      <c r="Q431" s="91"/>
      <c r="R431" s="18"/>
      <c r="S431" s="18"/>
      <c r="T431" s="18"/>
      <c r="U431" s="18"/>
      <c r="V431" s="18"/>
      <c r="W431" s="18"/>
      <c r="X431" s="18"/>
      <c r="Y431" s="92"/>
      <c r="Z431" s="92"/>
      <c r="AA431" s="418"/>
      <c r="AB431" s="95"/>
      <c r="AC431" s="18"/>
      <c r="AD431" s="18"/>
      <c r="AE431" s="18"/>
      <c r="AF431" s="18"/>
      <c r="AG431" s="91"/>
      <c r="AH431" s="18"/>
      <c r="AI431" s="18"/>
      <c r="AJ431" s="18"/>
      <c r="AK431" s="18"/>
      <c r="AL431" s="18"/>
      <c r="AM431" s="18"/>
      <c r="AN431" s="18"/>
      <c r="AO431" s="18"/>
      <c r="AP431" s="18"/>
      <c r="AQ431" s="18"/>
      <c r="AR431" s="18"/>
      <c r="AS431" s="18"/>
      <c r="AT431" s="18"/>
      <c r="AU431" s="91"/>
      <c r="AV431" s="18"/>
      <c r="AW431" s="18"/>
      <c r="AX431" s="18"/>
      <c r="AY431" s="17"/>
      <c r="AZ431" s="17"/>
      <c r="BA431" s="17"/>
      <c r="BB431" s="17"/>
      <c r="BC431" s="96"/>
      <c r="BD431" s="96"/>
      <c r="BE431" s="96"/>
      <c r="BF431" s="96"/>
      <c r="BG431" s="96"/>
      <c r="BH431" s="96"/>
      <c r="BI431" s="96"/>
    </row>
    <row r="432" spans="1:61" x14ac:dyDescent="0.45">
      <c r="A432" s="17"/>
      <c r="B432" s="17"/>
      <c r="C432" s="17"/>
      <c r="D432" s="17"/>
      <c r="E432" s="15"/>
      <c r="F432" s="17"/>
      <c r="G432" s="17"/>
      <c r="H432" s="3"/>
      <c r="I432" s="88"/>
      <c r="J432" s="88"/>
      <c r="K432" s="15"/>
      <c r="L432" s="96"/>
      <c r="M432" s="89"/>
      <c r="N432" s="88"/>
      <c r="O432" s="413"/>
      <c r="P432" s="18"/>
      <c r="Q432" s="91"/>
      <c r="R432" s="18"/>
      <c r="S432" s="18"/>
      <c r="T432" s="18"/>
      <c r="U432" s="18"/>
      <c r="V432" s="18"/>
      <c r="W432" s="18"/>
      <c r="X432" s="18"/>
      <c r="Y432" s="92"/>
      <c r="Z432" s="92"/>
      <c r="AA432" s="418"/>
      <c r="AB432" s="95"/>
      <c r="AC432" s="18"/>
      <c r="AD432" s="18"/>
      <c r="AE432" s="18"/>
      <c r="AF432" s="18"/>
      <c r="AG432" s="91"/>
      <c r="AH432" s="18"/>
      <c r="AI432" s="18"/>
      <c r="AJ432" s="18"/>
      <c r="AK432" s="18"/>
      <c r="AL432" s="18"/>
      <c r="AM432" s="18"/>
      <c r="AN432" s="18"/>
      <c r="AO432" s="18"/>
      <c r="AP432" s="18"/>
      <c r="AQ432" s="18"/>
      <c r="AR432" s="18"/>
      <c r="AS432" s="18"/>
      <c r="AT432" s="18"/>
      <c r="AU432" s="91"/>
      <c r="AV432" s="18"/>
      <c r="AW432" s="18"/>
      <c r="AX432" s="18"/>
      <c r="AY432" s="17"/>
      <c r="AZ432" s="17"/>
      <c r="BA432" s="17"/>
      <c r="BB432" s="17"/>
      <c r="BC432" s="96"/>
      <c r="BD432" s="96"/>
      <c r="BE432" s="96"/>
      <c r="BF432" s="96"/>
      <c r="BG432" s="96"/>
      <c r="BH432" s="96"/>
      <c r="BI432" s="96"/>
    </row>
    <row r="433" spans="1:61" x14ac:dyDescent="0.45">
      <c r="A433" s="17"/>
      <c r="B433" s="17"/>
      <c r="C433" s="17"/>
      <c r="D433" s="17"/>
      <c r="E433" s="15"/>
      <c r="F433" s="17"/>
      <c r="G433" s="17"/>
      <c r="H433" s="3"/>
      <c r="I433" s="88"/>
      <c r="J433" s="88"/>
      <c r="K433" s="15"/>
      <c r="L433" s="96"/>
      <c r="M433" s="89"/>
      <c r="N433" s="88"/>
      <c r="O433" s="413"/>
      <c r="P433" s="18"/>
      <c r="Q433" s="91"/>
      <c r="R433" s="18"/>
      <c r="S433" s="18"/>
      <c r="T433" s="18"/>
      <c r="U433" s="18"/>
      <c r="V433" s="18"/>
      <c r="W433" s="18"/>
      <c r="X433" s="18"/>
      <c r="Y433" s="92"/>
      <c r="Z433" s="92"/>
      <c r="AA433" s="418"/>
      <c r="AB433" s="95"/>
      <c r="AC433" s="18"/>
      <c r="AD433" s="18"/>
      <c r="AE433" s="18"/>
      <c r="AF433" s="18"/>
      <c r="AG433" s="91"/>
      <c r="AH433" s="18"/>
      <c r="AI433" s="18"/>
      <c r="AJ433" s="18"/>
      <c r="AK433" s="18"/>
      <c r="AL433" s="18"/>
      <c r="AM433" s="18"/>
      <c r="AN433" s="18"/>
      <c r="AO433" s="18"/>
      <c r="AP433" s="18"/>
      <c r="AQ433" s="18"/>
      <c r="AR433" s="18"/>
      <c r="AS433" s="18"/>
      <c r="AT433" s="18"/>
      <c r="AU433" s="91"/>
      <c r="AV433" s="18"/>
      <c r="AW433" s="18"/>
      <c r="AX433" s="18"/>
      <c r="AY433" s="17"/>
      <c r="AZ433" s="17"/>
      <c r="BA433" s="17"/>
      <c r="BB433" s="17"/>
      <c r="BC433" s="96"/>
      <c r="BD433" s="96"/>
      <c r="BE433" s="96"/>
      <c r="BF433" s="96"/>
      <c r="BG433" s="96"/>
      <c r="BH433" s="96"/>
      <c r="BI433" s="96"/>
    </row>
    <row r="434" spans="1:61" x14ac:dyDescent="0.45">
      <c r="A434" s="17"/>
      <c r="B434" s="17"/>
      <c r="C434" s="17"/>
      <c r="D434" s="17"/>
      <c r="E434" s="15"/>
      <c r="F434" s="17"/>
      <c r="G434" s="17"/>
      <c r="H434" s="3"/>
      <c r="I434" s="88"/>
      <c r="J434" s="88"/>
      <c r="K434" s="15"/>
      <c r="L434" s="96"/>
      <c r="M434" s="89"/>
      <c r="N434" s="88"/>
      <c r="O434" s="413"/>
      <c r="P434" s="18"/>
      <c r="Q434" s="91"/>
      <c r="R434" s="18"/>
      <c r="S434" s="18"/>
      <c r="T434" s="18"/>
      <c r="U434" s="18"/>
      <c r="V434" s="18"/>
      <c r="W434" s="18"/>
      <c r="X434" s="18"/>
      <c r="Y434" s="92"/>
      <c r="Z434" s="92"/>
      <c r="AA434" s="418"/>
      <c r="AB434" s="95"/>
      <c r="AC434" s="18"/>
      <c r="AD434" s="18"/>
      <c r="AE434" s="18"/>
      <c r="AF434" s="18"/>
      <c r="AG434" s="91"/>
      <c r="AH434" s="18"/>
      <c r="AI434" s="18"/>
      <c r="AJ434" s="18"/>
      <c r="AK434" s="18"/>
      <c r="AL434" s="18"/>
      <c r="AM434" s="18"/>
      <c r="AN434" s="18"/>
      <c r="AO434" s="18"/>
      <c r="AP434" s="18"/>
      <c r="AQ434" s="18"/>
      <c r="AR434" s="18"/>
      <c r="AS434" s="18"/>
      <c r="AT434" s="18"/>
      <c r="AU434" s="91"/>
      <c r="AV434" s="18"/>
      <c r="AW434" s="18"/>
      <c r="AX434" s="18"/>
      <c r="AY434" s="17"/>
      <c r="AZ434" s="17"/>
      <c r="BA434" s="17"/>
      <c r="BB434" s="17"/>
      <c r="BC434" s="96"/>
      <c r="BD434" s="96"/>
      <c r="BE434" s="96"/>
      <c r="BF434" s="96"/>
      <c r="BG434" s="96"/>
      <c r="BH434" s="96"/>
      <c r="BI434" s="96"/>
    </row>
    <row r="435" spans="1:61" x14ac:dyDescent="0.45">
      <c r="A435" s="17"/>
      <c r="B435" s="17"/>
      <c r="C435" s="17"/>
      <c r="D435" s="17"/>
      <c r="E435" s="15"/>
      <c r="F435" s="17"/>
      <c r="G435" s="17"/>
      <c r="H435" s="3"/>
      <c r="I435" s="88"/>
      <c r="J435" s="88"/>
      <c r="K435" s="15"/>
      <c r="L435" s="96"/>
      <c r="M435" s="89"/>
      <c r="N435" s="88"/>
      <c r="O435" s="413"/>
      <c r="P435" s="18"/>
      <c r="Q435" s="91"/>
      <c r="R435" s="18"/>
      <c r="S435" s="18"/>
      <c r="T435" s="18"/>
      <c r="U435" s="18"/>
      <c r="V435" s="18"/>
      <c r="W435" s="18"/>
      <c r="X435" s="18"/>
      <c r="Y435" s="92"/>
      <c r="Z435" s="92"/>
      <c r="AA435" s="418"/>
      <c r="AB435" s="95"/>
      <c r="AC435" s="18"/>
      <c r="AD435" s="18"/>
      <c r="AE435" s="18"/>
      <c r="AF435" s="18"/>
      <c r="AG435" s="91"/>
      <c r="AH435" s="18"/>
      <c r="AI435" s="18"/>
      <c r="AJ435" s="18"/>
      <c r="AK435" s="18"/>
      <c r="AL435" s="18"/>
      <c r="AM435" s="18"/>
      <c r="AN435" s="18"/>
      <c r="AO435" s="18"/>
      <c r="AP435" s="18"/>
      <c r="AQ435" s="18"/>
      <c r="AR435" s="18"/>
      <c r="AS435" s="18"/>
      <c r="AT435" s="18"/>
      <c r="AU435" s="91"/>
      <c r="AV435" s="18"/>
      <c r="AW435" s="18"/>
      <c r="AX435" s="18"/>
      <c r="AY435" s="17"/>
      <c r="AZ435" s="17"/>
      <c r="BA435" s="17"/>
      <c r="BB435" s="17"/>
      <c r="BC435" s="96"/>
      <c r="BD435" s="96"/>
      <c r="BE435" s="96"/>
      <c r="BF435" s="96"/>
      <c r="BG435" s="96"/>
      <c r="BH435" s="96"/>
      <c r="BI435" s="96"/>
    </row>
    <row r="436" spans="1:61" x14ac:dyDescent="0.45">
      <c r="A436" s="17"/>
      <c r="B436" s="17"/>
      <c r="C436" s="17"/>
      <c r="D436" s="17"/>
      <c r="E436" s="15"/>
      <c r="F436" s="17"/>
      <c r="G436" s="17"/>
      <c r="H436" s="3"/>
      <c r="I436" s="88"/>
      <c r="J436" s="88"/>
      <c r="K436" s="15"/>
      <c r="L436" s="96"/>
      <c r="M436" s="89"/>
      <c r="N436" s="88"/>
      <c r="O436" s="413"/>
      <c r="P436" s="18"/>
      <c r="Q436" s="91"/>
      <c r="R436" s="18"/>
      <c r="S436" s="18"/>
      <c r="T436" s="18"/>
      <c r="U436" s="18"/>
      <c r="V436" s="18"/>
      <c r="W436" s="18"/>
      <c r="X436" s="18"/>
      <c r="Y436" s="92"/>
      <c r="Z436" s="92"/>
      <c r="AA436" s="418"/>
      <c r="AB436" s="95"/>
      <c r="AC436" s="18"/>
      <c r="AD436" s="18"/>
      <c r="AE436" s="18"/>
      <c r="AF436" s="18"/>
      <c r="AG436" s="91"/>
      <c r="AH436" s="18"/>
      <c r="AI436" s="18"/>
      <c r="AJ436" s="18"/>
      <c r="AK436" s="18"/>
      <c r="AL436" s="18"/>
      <c r="AM436" s="18"/>
      <c r="AN436" s="18"/>
      <c r="AO436" s="18"/>
      <c r="AP436" s="18"/>
      <c r="AQ436" s="18"/>
      <c r="AR436" s="18"/>
      <c r="AS436" s="18"/>
      <c r="AT436" s="18"/>
      <c r="AU436" s="91"/>
      <c r="AV436" s="18"/>
      <c r="AW436" s="18"/>
      <c r="AX436" s="18"/>
      <c r="AY436" s="17"/>
      <c r="AZ436" s="17"/>
      <c r="BA436" s="17"/>
      <c r="BB436" s="17"/>
      <c r="BC436" s="96"/>
      <c r="BD436" s="96"/>
      <c r="BE436" s="96"/>
      <c r="BF436" s="96"/>
      <c r="BG436" s="96"/>
      <c r="BH436" s="96"/>
      <c r="BI436" s="96"/>
    </row>
    <row r="437" spans="1:61" x14ac:dyDescent="0.45">
      <c r="A437" s="17"/>
      <c r="B437" s="17"/>
      <c r="C437" s="17"/>
      <c r="D437" s="17"/>
      <c r="E437" s="15"/>
      <c r="F437" s="17"/>
      <c r="G437" s="17"/>
      <c r="H437" s="3"/>
      <c r="I437" s="88"/>
      <c r="J437" s="88"/>
      <c r="K437" s="15"/>
      <c r="L437" s="96"/>
      <c r="M437" s="89"/>
      <c r="N437" s="88"/>
      <c r="O437" s="413"/>
      <c r="P437" s="18"/>
      <c r="Q437" s="91"/>
      <c r="R437" s="18"/>
      <c r="S437" s="18"/>
      <c r="T437" s="18"/>
      <c r="U437" s="18"/>
      <c r="V437" s="18"/>
      <c r="W437" s="18"/>
      <c r="X437" s="18"/>
      <c r="Y437" s="92"/>
      <c r="Z437" s="92"/>
      <c r="AA437" s="418"/>
      <c r="AB437" s="95"/>
      <c r="AC437" s="18"/>
      <c r="AD437" s="18"/>
      <c r="AE437" s="18"/>
      <c r="AF437" s="18"/>
      <c r="AG437" s="91"/>
      <c r="AH437" s="18"/>
      <c r="AI437" s="18"/>
      <c r="AJ437" s="18"/>
      <c r="AK437" s="18"/>
      <c r="AL437" s="18"/>
      <c r="AM437" s="18"/>
      <c r="AN437" s="18"/>
      <c r="AO437" s="18"/>
      <c r="AP437" s="18"/>
      <c r="AQ437" s="18"/>
      <c r="AR437" s="18"/>
      <c r="AS437" s="18"/>
      <c r="AT437" s="18"/>
      <c r="AU437" s="91"/>
      <c r="AV437" s="18"/>
      <c r="AW437" s="18"/>
      <c r="AX437" s="18"/>
      <c r="AY437" s="17"/>
      <c r="AZ437" s="17"/>
      <c r="BA437" s="17"/>
      <c r="BB437" s="17"/>
      <c r="BC437" s="96"/>
      <c r="BD437" s="96"/>
      <c r="BE437" s="96"/>
      <c r="BF437" s="96"/>
      <c r="BG437" s="96"/>
      <c r="BH437" s="96"/>
      <c r="BI437" s="96"/>
    </row>
    <row r="438" spans="1:61" x14ac:dyDescent="0.45">
      <c r="A438" s="17"/>
      <c r="B438" s="17"/>
      <c r="C438" s="17"/>
      <c r="D438" s="17"/>
      <c r="E438" s="15"/>
      <c r="F438" s="17"/>
      <c r="G438" s="17"/>
      <c r="H438" s="3"/>
      <c r="I438" s="88"/>
      <c r="J438" s="88"/>
      <c r="K438" s="15"/>
      <c r="L438" s="96"/>
      <c r="M438" s="89"/>
      <c r="N438" s="88"/>
      <c r="O438" s="413"/>
      <c r="P438" s="18"/>
      <c r="Q438" s="91"/>
      <c r="R438" s="18"/>
      <c r="S438" s="18"/>
      <c r="T438" s="18"/>
      <c r="U438" s="18"/>
      <c r="V438" s="18"/>
      <c r="W438" s="18"/>
      <c r="X438" s="18"/>
      <c r="Y438" s="92"/>
      <c r="Z438" s="92"/>
      <c r="AA438" s="418"/>
      <c r="AB438" s="95"/>
      <c r="AC438" s="18"/>
      <c r="AD438" s="18"/>
      <c r="AE438" s="18"/>
      <c r="AF438" s="18"/>
      <c r="AG438" s="91"/>
      <c r="AH438" s="18"/>
      <c r="AI438" s="18"/>
      <c r="AJ438" s="18"/>
      <c r="AK438" s="18"/>
      <c r="AL438" s="18"/>
      <c r="AM438" s="18"/>
      <c r="AN438" s="18"/>
      <c r="AO438" s="18"/>
      <c r="AP438" s="18"/>
      <c r="AQ438" s="18"/>
      <c r="AR438" s="18"/>
      <c r="AS438" s="18"/>
      <c r="AT438" s="18"/>
      <c r="AU438" s="91"/>
      <c r="AV438" s="18"/>
      <c r="AW438" s="18"/>
      <c r="AX438" s="18"/>
      <c r="AY438" s="17"/>
      <c r="AZ438" s="17"/>
      <c r="BA438" s="17"/>
      <c r="BB438" s="17"/>
      <c r="BC438" s="96"/>
      <c r="BD438" s="96"/>
      <c r="BE438" s="96"/>
      <c r="BF438" s="96"/>
      <c r="BG438" s="96"/>
      <c r="BH438" s="96"/>
      <c r="BI438" s="96"/>
    </row>
    <row r="439" spans="1:61" x14ac:dyDescent="0.45">
      <c r="A439" s="17"/>
      <c r="B439" s="17"/>
      <c r="C439" s="17"/>
      <c r="D439" s="17"/>
      <c r="E439" s="15"/>
      <c r="F439" s="17"/>
      <c r="G439" s="17"/>
      <c r="H439" s="3"/>
      <c r="I439" s="88"/>
      <c r="J439" s="88"/>
      <c r="K439" s="15"/>
      <c r="L439" s="96"/>
      <c r="M439" s="89"/>
      <c r="N439" s="88"/>
      <c r="O439" s="413"/>
      <c r="P439" s="18"/>
      <c r="Q439" s="91"/>
      <c r="R439" s="18"/>
      <c r="S439" s="18"/>
      <c r="T439" s="18"/>
      <c r="U439" s="18"/>
      <c r="V439" s="18"/>
      <c r="W439" s="18"/>
      <c r="X439" s="18"/>
      <c r="Y439" s="92"/>
      <c r="Z439" s="92"/>
      <c r="AA439" s="418"/>
      <c r="AB439" s="95"/>
      <c r="AC439" s="18"/>
      <c r="AD439" s="18"/>
      <c r="AE439" s="18"/>
      <c r="AF439" s="18"/>
      <c r="AG439" s="91"/>
      <c r="AH439" s="18"/>
      <c r="AI439" s="18"/>
      <c r="AJ439" s="18"/>
      <c r="AK439" s="18"/>
      <c r="AL439" s="18"/>
      <c r="AM439" s="18"/>
      <c r="AN439" s="18"/>
      <c r="AO439" s="18"/>
      <c r="AP439" s="18"/>
      <c r="AQ439" s="18"/>
      <c r="AR439" s="18"/>
      <c r="AS439" s="18"/>
      <c r="AT439" s="18"/>
      <c r="AU439" s="91"/>
      <c r="AV439" s="18"/>
      <c r="AW439" s="18"/>
      <c r="AX439" s="18"/>
      <c r="AY439" s="17"/>
      <c r="AZ439" s="17"/>
      <c r="BA439" s="17"/>
      <c r="BB439" s="17"/>
      <c r="BC439" s="96"/>
      <c r="BD439" s="96"/>
      <c r="BE439" s="96"/>
      <c r="BF439" s="96"/>
      <c r="BG439" s="96"/>
      <c r="BH439" s="96"/>
      <c r="BI439" s="96"/>
    </row>
    <row r="440" spans="1:61" x14ac:dyDescent="0.45">
      <c r="A440" s="17"/>
      <c r="B440" s="17"/>
      <c r="C440" s="17"/>
      <c r="D440" s="17"/>
      <c r="E440" s="15"/>
      <c r="F440" s="17"/>
      <c r="G440" s="17"/>
      <c r="H440" s="3"/>
      <c r="I440" s="88"/>
      <c r="J440" s="88"/>
      <c r="K440" s="15"/>
      <c r="L440" s="96"/>
      <c r="M440" s="89"/>
      <c r="N440" s="88"/>
      <c r="O440" s="413"/>
      <c r="P440" s="18"/>
      <c r="Q440" s="91"/>
      <c r="R440" s="18"/>
      <c r="S440" s="18"/>
      <c r="T440" s="18"/>
      <c r="U440" s="18"/>
      <c r="V440" s="18"/>
      <c r="W440" s="18"/>
      <c r="X440" s="18"/>
      <c r="Y440" s="92"/>
      <c r="Z440" s="92"/>
      <c r="AA440" s="418"/>
      <c r="AB440" s="95"/>
      <c r="AC440" s="18"/>
      <c r="AD440" s="18"/>
      <c r="AE440" s="18"/>
      <c r="AF440" s="18"/>
      <c r="AG440" s="91"/>
      <c r="AH440" s="18"/>
      <c r="AI440" s="18"/>
      <c r="AJ440" s="18"/>
      <c r="AK440" s="18"/>
      <c r="AL440" s="18"/>
      <c r="AM440" s="18"/>
      <c r="AN440" s="18"/>
      <c r="AO440" s="18"/>
      <c r="AP440" s="18"/>
      <c r="AQ440" s="18"/>
      <c r="AR440" s="18"/>
      <c r="AS440" s="18"/>
      <c r="AT440" s="18"/>
      <c r="AU440" s="91"/>
      <c r="AV440" s="18"/>
      <c r="AW440" s="18"/>
      <c r="AX440" s="18"/>
      <c r="AY440" s="17"/>
      <c r="AZ440" s="17"/>
      <c r="BA440" s="17"/>
      <c r="BB440" s="17"/>
      <c r="BC440" s="96"/>
      <c r="BD440" s="96"/>
      <c r="BE440" s="96"/>
      <c r="BF440" s="96"/>
      <c r="BG440" s="96"/>
      <c r="BH440" s="96"/>
      <c r="BI440" s="96"/>
    </row>
    <row r="441" spans="1:61" x14ac:dyDescent="0.45">
      <c r="A441" s="17"/>
      <c r="B441" s="17"/>
      <c r="C441" s="17"/>
      <c r="D441" s="17"/>
      <c r="E441" s="15"/>
      <c r="F441" s="17"/>
      <c r="G441" s="17"/>
      <c r="H441" s="3"/>
      <c r="I441" s="88"/>
      <c r="J441" s="88"/>
      <c r="K441" s="15"/>
      <c r="L441" s="96"/>
      <c r="M441" s="89"/>
      <c r="N441" s="88"/>
      <c r="O441" s="413"/>
      <c r="P441" s="18"/>
      <c r="Q441" s="91"/>
      <c r="R441" s="18"/>
      <c r="S441" s="18"/>
      <c r="T441" s="18"/>
      <c r="U441" s="18"/>
      <c r="V441" s="18"/>
      <c r="W441" s="18"/>
      <c r="X441" s="18"/>
      <c r="Y441" s="92"/>
      <c r="Z441" s="92"/>
      <c r="AA441" s="418"/>
      <c r="AB441" s="95"/>
      <c r="AC441" s="18"/>
      <c r="AD441" s="18"/>
      <c r="AE441" s="18"/>
      <c r="AF441" s="18"/>
      <c r="AG441" s="91"/>
      <c r="AH441" s="18"/>
      <c r="AI441" s="18"/>
      <c r="AJ441" s="18"/>
      <c r="AK441" s="18"/>
      <c r="AL441" s="18"/>
      <c r="AM441" s="18"/>
      <c r="AN441" s="18"/>
      <c r="AO441" s="18"/>
      <c r="AP441" s="18"/>
      <c r="AQ441" s="18"/>
      <c r="AR441" s="18"/>
      <c r="AS441" s="18"/>
      <c r="AT441" s="18"/>
      <c r="AU441" s="91"/>
      <c r="AV441" s="18"/>
      <c r="AW441" s="18"/>
      <c r="AX441" s="18"/>
      <c r="AY441" s="17"/>
      <c r="AZ441" s="17"/>
      <c r="BA441" s="17"/>
      <c r="BB441" s="17"/>
      <c r="BC441" s="96"/>
      <c r="BD441" s="96"/>
      <c r="BE441" s="96"/>
      <c r="BF441" s="96"/>
      <c r="BG441" s="96"/>
      <c r="BH441" s="96"/>
      <c r="BI441" s="96"/>
    </row>
    <row r="442" spans="1:61" x14ac:dyDescent="0.45">
      <c r="A442" s="17"/>
      <c r="B442" s="17"/>
      <c r="C442" s="17"/>
      <c r="D442" s="17"/>
      <c r="E442" s="15"/>
      <c r="F442" s="17"/>
      <c r="G442" s="17"/>
      <c r="H442" s="3"/>
      <c r="I442" s="88"/>
      <c r="J442" s="88"/>
      <c r="K442" s="15"/>
      <c r="L442" s="96"/>
      <c r="M442" s="89"/>
      <c r="N442" s="88"/>
      <c r="O442" s="413"/>
      <c r="P442" s="18"/>
      <c r="Q442" s="91"/>
      <c r="R442" s="18"/>
      <c r="S442" s="18"/>
      <c r="T442" s="18"/>
      <c r="U442" s="18"/>
      <c r="V442" s="18"/>
      <c r="W442" s="18"/>
      <c r="X442" s="18"/>
      <c r="Y442" s="92"/>
      <c r="Z442" s="92"/>
      <c r="AA442" s="418"/>
      <c r="AB442" s="95"/>
      <c r="AC442" s="18"/>
      <c r="AD442" s="18"/>
      <c r="AE442" s="18"/>
      <c r="AF442" s="18"/>
      <c r="AG442" s="91"/>
      <c r="AH442" s="18"/>
      <c r="AI442" s="18"/>
      <c r="AJ442" s="18"/>
      <c r="AK442" s="18"/>
      <c r="AL442" s="18"/>
      <c r="AM442" s="18"/>
      <c r="AN442" s="18"/>
      <c r="AO442" s="18"/>
      <c r="AP442" s="18"/>
      <c r="AQ442" s="18"/>
      <c r="AR442" s="18"/>
      <c r="AS442" s="18"/>
      <c r="AT442" s="18"/>
      <c r="AU442" s="91"/>
      <c r="AV442" s="18"/>
      <c r="AW442" s="18"/>
      <c r="AX442" s="18"/>
      <c r="AY442" s="17"/>
      <c r="AZ442" s="17"/>
      <c r="BA442" s="17"/>
      <c r="BB442" s="17"/>
      <c r="BC442" s="96"/>
      <c r="BD442" s="96"/>
      <c r="BE442" s="96"/>
      <c r="BF442" s="96"/>
      <c r="BG442" s="96"/>
      <c r="BH442" s="96"/>
      <c r="BI442" s="96"/>
    </row>
    <row r="443" spans="1:61" x14ac:dyDescent="0.45">
      <c r="A443" s="17"/>
      <c r="B443" s="17"/>
      <c r="C443" s="17"/>
      <c r="D443" s="17"/>
      <c r="E443" s="15"/>
      <c r="F443" s="17"/>
      <c r="G443" s="17"/>
      <c r="H443" s="3"/>
      <c r="I443" s="88"/>
      <c r="J443" s="88"/>
      <c r="K443" s="15"/>
      <c r="L443" s="96"/>
      <c r="M443" s="89"/>
      <c r="N443" s="88"/>
      <c r="O443" s="413"/>
      <c r="P443" s="18"/>
      <c r="Q443" s="91"/>
      <c r="R443" s="18"/>
      <c r="S443" s="18"/>
      <c r="T443" s="18"/>
      <c r="U443" s="18"/>
      <c r="V443" s="18"/>
      <c r="W443" s="18"/>
      <c r="X443" s="18"/>
      <c r="Y443" s="92"/>
      <c r="Z443" s="92"/>
      <c r="AA443" s="418"/>
      <c r="AB443" s="95"/>
      <c r="AC443" s="18"/>
      <c r="AD443" s="18"/>
      <c r="AE443" s="18"/>
      <c r="AF443" s="18"/>
      <c r="AG443" s="91"/>
      <c r="AH443" s="18"/>
      <c r="AI443" s="18"/>
      <c r="AJ443" s="18"/>
      <c r="AK443" s="18"/>
      <c r="AL443" s="18"/>
      <c r="AM443" s="18"/>
      <c r="AN443" s="18"/>
      <c r="AO443" s="18"/>
      <c r="AP443" s="18"/>
      <c r="AQ443" s="18"/>
      <c r="AR443" s="18"/>
      <c r="AS443" s="18"/>
      <c r="AT443" s="18"/>
      <c r="AU443" s="91"/>
      <c r="AV443" s="18"/>
      <c r="AW443" s="18"/>
      <c r="AX443" s="18"/>
      <c r="AY443" s="17"/>
      <c r="AZ443" s="17"/>
      <c r="BA443" s="17"/>
      <c r="BB443" s="17"/>
      <c r="BC443" s="96"/>
      <c r="BD443" s="96"/>
      <c r="BE443" s="96"/>
      <c r="BF443" s="96"/>
      <c r="BG443" s="96"/>
      <c r="BH443" s="96"/>
      <c r="BI443" s="96"/>
    </row>
    <row r="444" spans="1:61" x14ac:dyDescent="0.45">
      <c r="A444" s="17"/>
      <c r="B444" s="17"/>
      <c r="C444" s="17"/>
      <c r="D444" s="17"/>
      <c r="E444" s="15"/>
      <c r="F444" s="17"/>
      <c r="G444" s="17"/>
      <c r="H444" s="3"/>
      <c r="I444" s="88"/>
      <c r="J444" s="88"/>
      <c r="K444" s="15"/>
      <c r="L444" s="96"/>
      <c r="M444" s="89"/>
      <c r="N444" s="88"/>
      <c r="O444" s="413"/>
      <c r="P444" s="18"/>
      <c r="Q444" s="91"/>
      <c r="R444" s="18"/>
      <c r="S444" s="18"/>
      <c r="T444" s="18"/>
      <c r="U444" s="18"/>
      <c r="V444" s="18"/>
      <c r="W444" s="18"/>
      <c r="X444" s="18"/>
      <c r="Y444" s="92"/>
      <c r="Z444" s="92"/>
      <c r="AA444" s="418"/>
      <c r="AB444" s="95"/>
      <c r="AC444" s="18"/>
      <c r="AD444" s="18"/>
      <c r="AE444" s="18"/>
      <c r="AF444" s="18"/>
      <c r="AG444" s="91"/>
      <c r="AH444" s="18"/>
      <c r="AI444" s="18"/>
      <c r="AJ444" s="18"/>
      <c r="AK444" s="18"/>
      <c r="AL444" s="18"/>
      <c r="AM444" s="18"/>
      <c r="AN444" s="18"/>
      <c r="AO444" s="18"/>
      <c r="AP444" s="18"/>
      <c r="AQ444" s="18"/>
      <c r="AR444" s="18"/>
      <c r="AS444" s="18"/>
      <c r="AT444" s="18"/>
      <c r="AU444" s="91"/>
      <c r="AV444" s="18"/>
      <c r="AW444" s="18"/>
      <c r="AX444" s="18"/>
      <c r="AY444" s="17"/>
      <c r="AZ444" s="17"/>
      <c r="BA444" s="17"/>
      <c r="BB444" s="17"/>
      <c r="BC444" s="96"/>
      <c r="BD444" s="96"/>
      <c r="BE444" s="96"/>
      <c r="BF444" s="96"/>
      <c r="BG444" s="96"/>
      <c r="BH444" s="96"/>
      <c r="BI444" s="96"/>
    </row>
    <row r="445" spans="1:61" x14ac:dyDescent="0.45">
      <c r="A445" s="17"/>
      <c r="B445" s="17"/>
      <c r="C445" s="17"/>
      <c r="D445" s="17"/>
      <c r="E445" s="15"/>
      <c r="F445" s="17"/>
      <c r="G445" s="17"/>
      <c r="H445" s="3"/>
      <c r="I445" s="88"/>
      <c r="J445" s="88"/>
      <c r="K445" s="15"/>
      <c r="L445" s="96"/>
      <c r="M445" s="89"/>
      <c r="N445" s="88"/>
      <c r="O445" s="413"/>
      <c r="P445" s="18"/>
      <c r="Q445" s="91"/>
      <c r="R445" s="18"/>
      <c r="S445" s="18"/>
      <c r="T445" s="18"/>
      <c r="U445" s="18"/>
      <c r="V445" s="18"/>
      <c r="W445" s="18"/>
      <c r="X445" s="18"/>
      <c r="Y445" s="92"/>
      <c r="Z445" s="92"/>
      <c r="AA445" s="418"/>
      <c r="AB445" s="95"/>
      <c r="AC445" s="18"/>
      <c r="AD445" s="18"/>
      <c r="AE445" s="18"/>
      <c r="AF445" s="18"/>
      <c r="AG445" s="91"/>
      <c r="AH445" s="18"/>
      <c r="AI445" s="18"/>
      <c r="AJ445" s="18"/>
      <c r="AK445" s="18"/>
      <c r="AL445" s="18"/>
      <c r="AM445" s="18"/>
      <c r="AN445" s="18"/>
      <c r="AO445" s="18"/>
      <c r="AP445" s="18"/>
      <c r="AQ445" s="18"/>
      <c r="AR445" s="18"/>
      <c r="AS445" s="18"/>
      <c r="AT445" s="18"/>
      <c r="AU445" s="91"/>
      <c r="AV445" s="18"/>
      <c r="AW445" s="18"/>
      <c r="AX445" s="18"/>
      <c r="AY445" s="17"/>
      <c r="AZ445" s="17"/>
      <c r="BA445" s="17"/>
      <c r="BB445" s="17"/>
      <c r="BC445" s="96"/>
      <c r="BD445" s="96"/>
      <c r="BE445" s="96"/>
      <c r="BF445" s="96"/>
      <c r="BG445" s="96"/>
      <c r="BH445" s="96"/>
      <c r="BI445" s="96"/>
    </row>
    <row r="446" spans="1:61" x14ac:dyDescent="0.45">
      <c r="A446" s="17"/>
      <c r="B446" s="17"/>
      <c r="C446" s="17"/>
      <c r="D446" s="17"/>
      <c r="E446" s="15"/>
      <c r="F446" s="17"/>
      <c r="G446" s="17"/>
      <c r="H446" s="3"/>
      <c r="I446" s="88"/>
      <c r="J446" s="88"/>
      <c r="K446" s="15"/>
      <c r="L446" s="96"/>
      <c r="M446" s="89"/>
      <c r="N446" s="88"/>
      <c r="O446" s="413"/>
      <c r="P446" s="18"/>
      <c r="Q446" s="91"/>
      <c r="R446" s="18"/>
      <c r="S446" s="18"/>
      <c r="T446" s="18"/>
      <c r="U446" s="18"/>
      <c r="V446" s="18"/>
      <c r="W446" s="18"/>
      <c r="X446" s="18"/>
      <c r="Y446" s="92"/>
      <c r="Z446" s="92"/>
      <c r="AA446" s="418"/>
      <c r="AB446" s="95"/>
      <c r="AC446" s="18"/>
      <c r="AD446" s="18"/>
      <c r="AE446" s="18"/>
      <c r="AF446" s="18"/>
      <c r="AG446" s="91"/>
      <c r="AH446" s="18"/>
      <c r="AI446" s="18"/>
      <c r="AJ446" s="18"/>
      <c r="AK446" s="18"/>
      <c r="AL446" s="18"/>
      <c r="AM446" s="18"/>
      <c r="AN446" s="18"/>
      <c r="AO446" s="18"/>
      <c r="AP446" s="18"/>
      <c r="AQ446" s="18"/>
      <c r="AR446" s="18"/>
      <c r="AS446" s="18"/>
      <c r="AT446" s="18"/>
      <c r="AU446" s="91"/>
      <c r="AV446" s="18"/>
      <c r="AW446" s="18"/>
      <c r="AX446" s="18"/>
      <c r="AY446" s="17"/>
      <c r="AZ446" s="17"/>
      <c r="BA446" s="17"/>
      <c r="BB446" s="17"/>
      <c r="BC446" s="96"/>
      <c r="BD446" s="96"/>
      <c r="BE446" s="96"/>
      <c r="BF446" s="96"/>
      <c r="BG446" s="96"/>
      <c r="BH446" s="96"/>
      <c r="BI446" s="96"/>
    </row>
    <row r="447" spans="1:61" x14ac:dyDescent="0.45">
      <c r="A447" s="17"/>
      <c r="B447" s="17"/>
      <c r="C447" s="17"/>
      <c r="D447" s="17"/>
      <c r="E447" s="15"/>
      <c r="F447" s="17"/>
      <c r="G447" s="17"/>
      <c r="H447" s="3"/>
      <c r="I447" s="88"/>
      <c r="J447" s="88"/>
      <c r="K447" s="15"/>
      <c r="L447" s="96"/>
      <c r="M447" s="89"/>
      <c r="N447" s="88"/>
      <c r="O447" s="413"/>
      <c r="P447" s="18"/>
      <c r="Q447" s="91"/>
      <c r="R447" s="18"/>
      <c r="S447" s="18"/>
      <c r="T447" s="18"/>
      <c r="U447" s="18"/>
      <c r="V447" s="18"/>
      <c r="W447" s="18"/>
      <c r="X447" s="18"/>
      <c r="Y447" s="92"/>
      <c r="Z447" s="92"/>
      <c r="AA447" s="418"/>
      <c r="AB447" s="95"/>
      <c r="AC447" s="18"/>
      <c r="AD447" s="18"/>
      <c r="AE447" s="18"/>
      <c r="AF447" s="18"/>
      <c r="AG447" s="91"/>
      <c r="AH447" s="18"/>
      <c r="AI447" s="18"/>
      <c r="AJ447" s="18"/>
      <c r="AK447" s="18"/>
      <c r="AL447" s="18"/>
      <c r="AM447" s="18"/>
      <c r="AN447" s="18"/>
      <c r="AO447" s="18"/>
      <c r="AP447" s="18"/>
      <c r="AQ447" s="18"/>
      <c r="AR447" s="18"/>
      <c r="AS447" s="18"/>
      <c r="AT447" s="18"/>
      <c r="AU447" s="91"/>
      <c r="AV447" s="18"/>
      <c r="AW447" s="18"/>
      <c r="AX447" s="18"/>
      <c r="AY447" s="17"/>
      <c r="AZ447" s="17"/>
      <c r="BA447" s="17"/>
      <c r="BB447" s="17"/>
      <c r="BC447" s="96"/>
      <c r="BD447" s="96"/>
      <c r="BE447" s="96"/>
      <c r="BF447" s="96"/>
      <c r="BG447" s="96"/>
      <c r="BH447" s="96"/>
      <c r="BI447" s="96"/>
    </row>
    <row r="448" spans="1:61" x14ac:dyDescent="0.45">
      <c r="A448" s="17"/>
      <c r="B448" s="17"/>
      <c r="C448" s="17"/>
      <c r="D448" s="17"/>
      <c r="E448" s="15"/>
      <c r="F448" s="17"/>
      <c r="G448" s="17"/>
      <c r="H448" s="3"/>
      <c r="I448" s="88"/>
      <c r="J448" s="88"/>
      <c r="K448" s="15"/>
      <c r="L448" s="96"/>
      <c r="M448" s="89"/>
      <c r="N448" s="88"/>
      <c r="O448" s="413"/>
      <c r="P448" s="18"/>
      <c r="Q448" s="91"/>
      <c r="R448" s="18"/>
      <c r="S448" s="18"/>
      <c r="T448" s="18"/>
      <c r="U448" s="18"/>
      <c r="V448" s="18"/>
      <c r="W448" s="18"/>
      <c r="X448" s="18"/>
      <c r="Y448" s="92"/>
      <c r="Z448" s="92"/>
      <c r="AA448" s="418"/>
      <c r="AB448" s="95"/>
      <c r="AC448" s="18"/>
      <c r="AD448" s="18"/>
      <c r="AE448" s="18"/>
      <c r="AF448" s="18"/>
      <c r="AG448" s="91"/>
      <c r="AH448" s="18"/>
      <c r="AI448" s="18"/>
      <c r="AJ448" s="18"/>
      <c r="AK448" s="18"/>
      <c r="AL448" s="18"/>
      <c r="AM448" s="18"/>
      <c r="AN448" s="18"/>
      <c r="AO448" s="18"/>
      <c r="AP448" s="18"/>
      <c r="AQ448" s="18"/>
      <c r="AR448" s="18"/>
      <c r="AS448" s="18"/>
      <c r="AT448" s="18"/>
      <c r="AU448" s="91"/>
      <c r="AV448" s="18"/>
      <c r="AW448" s="18"/>
      <c r="AX448" s="18"/>
      <c r="AY448" s="17"/>
      <c r="AZ448" s="17"/>
      <c r="BA448" s="17"/>
      <c r="BB448" s="17"/>
      <c r="BC448" s="96"/>
      <c r="BD448" s="96"/>
      <c r="BE448" s="96"/>
      <c r="BF448" s="96"/>
      <c r="BG448" s="96"/>
      <c r="BH448" s="96"/>
      <c r="BI448" s="96"/>
    </row>
    <row r="449" spans="1:61" x14ac:dyDescent="0.45">
      <c r="A449" s="17"/>
      <c r="B449" s="17"/>
      <c r="C449" s="17"/>
      <c r="D449" s="17"/>
      <c r="E449" s="15"/>
      <c r="F449" s="17"/>
      <c r="G449" s="17"/>
      <c r="H449" s="3"/>
      <c r="I449" s="88"/>
      <c r="J449" s="88"/>
      <c r="K449" s="15"/>
      <c r="L449" s="96"/>
      <c r="M449" s="89"/>
      <c r="N449" s="88"/>
      <c r="O449" s="413"/>
      <c r="P449" s="18"/>
      <c r="Q449" s="91"/>
      <c r="R449" s="18"/>
      <c r="S449" s="18"/>
      <c r="T449" s="18"/>
      <c r="U449" s="18"/>
      <c r="V449" s="18"/>
      <c r="W449" s="18"/>
      <c r="X449" s="18"/>
      <c r="Y449" s="92"/>
      <c r="Z449" s="92"/>
      <c r="AA449" s="418"/>
      <c r="AB449" s="95"/>
      <c r="AC449" s="18"/>
      <c r="AD449" s="18"/>
      <c r="AE449" s="18"/>
      <c r="AF449" s="18"/>
      <c r="AG449" s="91"/>
      <c r="AH449" s="18"/>
      <c r="AI449" s="18"/>
      <c r="AJ449" s="18"/>
      <c r="AK449" s="18"/>
      <c r="AL449" s="18"/>
      <c r="AM449" s="18"/>
      <c r="AN449" s="18"/>
      <c r="AO449" s="18"/>
      <c r="AP449" s="18"/>
      <c r="AQ449" s="18"/>
      <c r="AR449" s="18"/>
      <c r="AS449" s="18"/>
      <c r="AT449" s="18"/>
      <c r="AU449" s="91"/>
      <c r="AV449" s="18"/>
      <c r="AW449" s="18"/>
      <c r="AX449" s="18"/>
      <c r="AY449" s="17"/>
      <c r="AZ449" s="17"/>
      <c r="BA449" s="17"/>
      <c r="BB449" s="17"/>
      <c r="BC449" s="96"/>
      <c r="BD449" s="96"/>
      <c r="BE449" s="96"/>
      <c r="BF449" s="96"/>
      <c r="BG449" s="96"/>
      <c r="BH449" s="96"/>
      <c r="BI449" s="96"/>
    </row>
    <row r="450" spans="1:61" x14ac:dyDescent="0.45">
      <c r="A450" s="17"/>
      <c r="B450" s="17"/>
      <c r="C450" s="17"/>
      <c r="D450" s="17"/>
      <c r="E450" s="15"/>
      <c r="F450" s="17"/>
      <c r="G450" s="17"/>
      <c r="H450" s="3"/>
      <c r="I450" s="88"/>
      <c r="J450" s="88"/>
      <c r="K450" s="15"/>
      <c r="L450" s="96"/>
      <c r="M450" s="89"/>
      <c r="N450" s="88"/>
      <c r="O450" s="413"/>
      <c r="P450" s="18"/>
      <c r="Q450" s="91"/>
      <c r="R450" s="18"/>
      <c r="S450" s="18"/>
      <c r="T450" s="18"/>
      <c r="U450" s="18"/>
      <c r="V450" s="18"/>
      <c r="W450" s="18"/>
      <c r="X450" s="18"/>
      <c r="Y450" s="92"/>
      <c r="Z450" s="92"/>
      <c r="AA450" s="418"/>
      <c r="AB450" s="95"/>
      <c r="AC450" s="18"/>
      <c r="AD450" s="18"/>
      <c r="AE450" s="18"/>
      <c r="AF450" s="18"/>
      <c r="AG450" s="91"/>
      <c r="AH450" s="18"/>
      <c r="AI450" s="18"/>
      <c r="AJ450" s="18"/>
      <c r="AK450" s="18"/>
      <c r="AL450" s="18"/>
      <c r="AM450" s="18"/>
      <c r="AN450" s="18"/>
      <c r="AO450" s="18"/>
      <c r="AP450" s="18"/>
      <c r="AQ450" s="18"/>
      <c r="AR450" s="18"/>
      <c r="AS450" s="18"/>
      <c r="AT450" s="18"/>
      <c r="AU450" s="91"/>
      <c r="AV450" s="18"/>
      <c r="AW450" s="18"/>
      <c r="AX450" s="18"/>
      <c r="AY450" s="17"/>
      <c r="AZ450" s="17"/>
      <c r="BA450" s="17"/>
      <c r="BB450" s="17"/>
      <c r="BC450" s="96"/>
      <c r="BD450" s="96"/>
      <c r="BE450" s="96"/>
      <c r="BF450" s="96"/>
      <c r="BG450" s="96"/>
      <c r="BH450" s="96"/>
      <c r="BI450" s="96"/>
    </row>
    <row r="451" spans="1:61" x14ac:dyDescent="0.45">
      <c r="A451" s="17"/>
      <c r="B451" s="17"/>
      <c r="C451" s="17"/>
      <c r="D451" s="17"/>
      <c r="E451" s="15"/>
      <c r="F451" s="17"/>
      <c r="G451" s="17"/>
      <c r="H451" s="3"/>
      <c r="I451" s="88"/>
      <c r="J451" s="88"/>
      <c r="K451" s="15"/>
      <c r="L451" s="96"/>
      <c r="M451" s="89"/>
      <c r="N451" s="88"/>
      <c r="O451" s="413"/>
      <c r="P451" s="18"/>
      <c r="Q451" s="91"/>
      <c r="R451" s="18"/>
      <c r="S451" s="18"/>
      <c r="T451" s="18"/>
      <c r="U451" s="18"/>
      <c r="V451" s="18"/>
      <c r="W451" s="18"/>
      <c r="X451" s="18"/>
      <c r="Y451" s="92"/>
      <c r="Z451" s="92"/>
      <c r="AA451" s="418"/>
      <c r="AB451" s="95"/>
      <c r="AC451" s="18"/>
      <c r="AD451" s="18"/>
      <c r="AE451" s="18"/>
      <c r="AF451" s="18"/>
      <c r="AG451" s="91"/>
      <c r="AH451" s="18"/>
      <c r="AI451" s="18"/>
      <c r="AJ451" s="18"/>
      <c r="AK451" s="18"/>
      <c r="AL451" s="18"/>
      <c r="AM451" s="18"/>
      <c r="AN451" s="18"/>
      <c r="AO451" s="18"/>
      <c r="AP451" s="18"/>
      <c r="AQ451" s="18"/>
      <c r="AR451" s="18"/>
      <c r="AS451" s="18"/>
      <c r="AT451" s="18"/>
      <c r="AU451" s="91"/>
      <c r="AV451" s="18"/>
      <c r="AW451" s="18"/>
      <c r="AX451" s="18"/>
      <c r="AY451" s="17"/>
      <c r="AZ451" s="17"/>
      <c r="BA451" s="17"/>
      <c r="BB451" s="17"/>
      <c r="BC451" s="96"/>
      <c r="BD451" s="96"/>
      <c r="BE451" s="96"/>
      <c r="BF451" s="96"/>
      <c r="BG451" s="96"/>
      <c r="BH451" s="96"/>
      <c r="BI451" s="96"/>
    </row>
    <row r="452" spans="1:61" x14ac:dyDescent="0.45">
      <c r="A452" s="17"/>
      <c r="B452" s="17"/>
      <c r="C452" s="17"/>
      <c r="D452" s="17"/>
      <c r="E452" s="15"/>
      <c r="F452" s="17"/>
      <c r="G452" s="17"/>
      <c r="H452" s="3"/>
      <c r="I452" s="88"/>
      <c r="J452" s="88"/>
      <c r="K452" s="15"/>
      <c r="L452" s="96"/>
      <c r="M452" s="89"/>
      <c r="N452" s="88"/>
      <c r="O452" s="413"/>
      <c r="P452" s="18"/>
      <c r="Q452" s="91"/>
      <c r="R452" s="18"/>
      <c r="S452" s="18"/>
      <c r="T452" s="18"/>
      <c r="U452" s="18"/>
      <c r="V452" s="18"/>
      <c r="W452" s="18"/>
      <c r="X452" s="18"/>
      <c r="Y452" s="92"/>
      <c r="Z452" s="92"/>
      <c r="AA452" s="418"/>
      <c r="AB452" s="95"/>
      <c r="AC452" s="18"/>
      <c r="AD452" s="18"/>
      <c r="AE452" s="18"/>
      <c r="AF452" s="18"/>
      <c r="AG452" s="91"/>
      <c r="AH452" s="18"/>
      <c r="AI452" s="18"/>
      <c r="AJ452" s="18"/>
      <c r="AK452" s="18"/>
      <c r="AL452" s="18"/>
      <c r="AM452" s="18"/>
      <c r="AN452" s="18"/>
      <c r="AO452" s="18"/>
      <c r="AP452" s="18"/>
      <c r="AQ452" s="18"/>
      <c r="AR452" s="18"/>
      <c r="AS452" s="18"/>
      <c r="AT452" s="18"/>
      <c r="AU452" s="91"/>
      <c r="AV452" s="18"/>
      <c r="AW452" s="18"/>
      <c r="AX452" s="18"/>
      <c r="AY452" s="17"/>
      <c r="AZ452" s="17"/>
      <c r="BA452" s="17"/>
      <c r="BB452" s="17"/>
      <c r="BC452" s="96"/>
      <c r="BD452" s="96"/>
      <c r="BE452" s="96"/>
      <c r="BF452" s="96"/>
      <c r="BG452" s="96"/>
      <c r="BH452" s="96"/>
      <c r="BI452" s="96"/>
    </row>
    <row r="453" spans="1:61" x14ac:dyDescent="0.45">
      <c r="A453" s="17"/>
      <c r="B453" s="17"/>
      <c r="C453" s="17"/>
      <c r="D453" s="17"/>
      <c r="E453" s="15"/>
      <c r="F453" s="17"/>
      <c r="G453" s="17"/>
      <c r="H453" s="3"/>
      <c r="I453" s="88"/>
      <c r="J453" s="88"/>
      <c r="K453" s="15"/>
      <c r="L453" s="96"/>
      <c r="M453" s="89"/>
      <c r="N453" s="88"/>
      <c r="O453" s="413"/>
      <c r="P453" s="18"/>
      <c r="Q453" s="91"/>
      <c r="R453" s="18"/>
      <c r="S453" s="18"/>
      <c r="T453" s="18"/>
      <c r="U453" s="18"/>
      <c r="V453" s="18"/>
      <c r="W453" s="18"/>
      <c r="X453" s="18"/>
      <c r="Y453" s="92"/>
      <c r="Z453" s="92"/>
      <c r="AA453" s="418"/>
      <c r="AB453" s="95"/>
      <c r="AC453" s="18"/>
      <c r="AD453" s="18"/>
      <c r="AE453" s="18"/>
      <c r="AF453" s="18"/>
      <c r="AG453" s="91"/>
      <c r="AH453" s="18"/>
      <c r="AI453" s="18"/>
      <c r="AJ453" s="18"/>
      <c r="AK453" s="18"/>
      <c r="AL453" s="18"/>
      <c r="AM453" s="18"/>
      <c r="AN453" s="18"/>
      <c r="AO453" s="18"/>
      <c r="AP453" s="18"/>
      <c r="AQ453" s="18"/>
      <c r="AR453" s="18"/>
      <c r="AS453" s="18"/>
      <c r="AT453" s="18"/>
      <c r="AU453" s="91"/>
      <c r="AV453" s="18"/>
      <c r="AW453" s="18"/>
      <c r="AX453" s="18"/>
      <c r="AY453" s="17"/>
      <c r="AZ453" s="17"/>
      <c r="BA453" s="17"/>
      <c r="BB453" s="17"/>
      <c r="BC453" s="96"/>
      <c r="BD453" s="96"/>
      <c r="BE453" s="96"/>
      <c r="BF453" s="96"/>
      <c r="BG453" s="96"/>
      <c r="BH453" s="96"/>
      <c r="BI453" s="96"/>
    </row>
    <row r="454" spans="1:61" x14ac:dyDescent="0.45">
      <c r="A454" s="17"/>
      <c r="B454" s="17"/>
      <c r="C454" s="17"/>
      <c r="D454" s="17"/>
      <c r="E454" s="15"/>
      <c r="F454" s="17"/>
      <c r="G454" s="17"/>
      <c r="H454" s="3"/>
      <c r="I454" s="88"/>
      <c r="J454" s="88"/>
      <c r="K454" s="15"/>
      <c r="L454" s="96"/>
      <c r="M454" s="89"/>
      <c r="N454" s="88"/>
      <c r="O454" s="413"/>
      <c r="P454" s="18"/>
      <c r="Q454" s="91"/>
      <c r="R454" s="18"/>
      <c r="S454" s="18"/>
      <c r="T454" s="18"/>
      <c r="U454" s="18"/>
      <c r="V454" s="18"/>
      <c r="W454" s="18"/>
      <c r="X454" s="18"/>
      <c r="Y454" s="92"/>
      <c r="Z454" s="92"/>
      <c r="AA454" s="418"/>
      <c r="AB454" s="95"/>
      <c r="AC454" s="18"/>
      <c r="AD454" s="18"/>
      <c r="AE454" s="18"/>
      <c r="AF454" s="18"/>
      <c r="AG454" s="91"/>
      <c r="AH454" s="18"/>
      <c r="AI454" s="18"/>
      <c r="AJ454" s="18"/>
      <c r="AK454" s="18"/>
      <c r="AL454" s="18"/>
      <c r="AM454" s="18"/>
      <c r="AN454" s="18"/>
      <c r="AO454" s="18"/>
      <c r="AP454" s="18"/>
      <c r="AQ454" s="18"/>
      <c r="AR454" s="18"/>
      <c r="AS454" s="18"/>
      <c r="AT454" s="18"/>
      <c r="AU454" s="91"/>
      <c r="AV454" s="18"/>
      <c r="AW454" s="18"/>
      <c r="AX454" s="18"/>
      <c r="AY454" s="17"/>
      <c r="AZ454" s="17"/>
      <c r="BA454" s="17"/>
      <c r="BB454" s="17"/>
      <c r="BC454" s="96"/>
      <c r="BD454" s="96"/>
      <c r="BE454" s="96"/>
      <c r="BF454" s="96"/>
      <c r="BG454" s="96"/>
      <c r="BH454" s="96"/>
      <c r="BI454" s="96"/>
    </row>
    <row r="455" spans="1:61" x14ac:dyDescent="0.45">
      <c r="A455" s="17"/>
      <c r="B455" s="17"/>
      <c r="C455" s="17"/>
      <c r="D455" s="17"/>
      <c r="E455" s="15"/>
      <c r="F455" s="17"/>
      <c r="G455" s="17"/>
      <c r="H455" s="3"/>
      <c r="I455" s="88"/>
      <c r="J455" s="88"/>
      <c r="K455" s="15"/>
      <c r="L455" s="96"/>
      <c r="M455" s="89"/>
      <c r="N455" s="88"/>
      <c r="O455" s="413"/>
      <c r="P455" s="18"/>
      <c r="Q455" s="91"/>
      <c r="R455" s="18"/>
      <c r="S455" s="18"/>
      <c r="T455" s="18"/>
      <c r="U455" s="18"/>
      <c r="V455" s="18"/>
      <c r="W455" s="18"/>
      <c r="X455" s="18"/>
      <c r="Y455" s="92"/>
      <c r="Z455" s="92"/>
      <c r="AA455" s="418"/>
      <c r="AB455" s="95"/>
      <c r="AC455" s="18"/>
      <c r="AD455" s="18"/>
      <c r="AE455" s="18"/>
      <c r="AF455" s="18"/>
      <c r="AG455" s="91"/>
      <c r="AH455" s="18"/>
      <c r="AI455" s="18"/>
      <c r="AJ455" s="18"/>
      <c r="AK455" s="18"/>
      <c r="AL455" s="18"/>
      <c r="AM455" s="18"/>
      <c r="AN455" s="18"/>
      <c r="AO455" s="18"/>
      <c r="AP455" s="18"/>
      <c r="AQ455" s="18"/>
      <c r="AR455" s="18"/>
      <c r="AS455" s="18"/>
      <c r="AT455" s="18"/>
      <c r="AU455" s="91"/>
      <c r="AV455" s="18"/>
      <c r="AW455" s="18"/>
      <c r="AX455" s="18"/>
      <c r="AY455" s="17"/>
      <c r="AZ455" s="17"/>
      <c r="BA455" s="17"/>
      <c r="BB455" s="17"/>
      <c r="BC455" s="96"/>
      <c r="BD455" s="96"/>
      <c r="BE455" s="96"/>
      <c r="BF455" s="96"/>
      <c r="BG455" s="96"/>
      <c r="BH455" s="96"/>
      <c r="BI455" s="96"/>
    </row>
    <row r="456" spans="1:61" x14ac:dyDescent="0.45">
      <c r="A456" s="17"/>
      <c r="B456" s="17"/>
      <c r="C456" s="17"/>
      <c r="D456" s="17"/>
      <c r="E456" s="15"/>
      <c r="F456" s="17"/>
      <c r="G456" s="17"/>
      <c r="H456" s="3"/>
      <c r="I456" s="88"/>
      <c r="J456" s="88"/>
      <c r="K456" s="15"/>
      <c r="L456" s="96"/>
      <c r="M456" s="89"/>
      <c r="N456" s="88"/>
      <c r="O456" s="413"/>
      <c r="P456" s="18"/>
      <c r="Q456" s="91"/>
      <c r="R456" s="18"/>
      <c r="S456" s="18"/>
      <c r="T456" s="18"/>
      <c r="U456" s="18"/>
      <c r="V456" s="18"/>
      <c r="W456" s="18"/>
      <c r="X456" s="18"/>
      <c r="Y456" s="92"/>
      <c r="Z456" s="92"/>
      <c r="AA456" s="418"/>
      <c r="AB456" s="95"/>
      <c r="AC456" s="18"/>
      <c r="AD456" s="18"/>
      <c r="AE456" s="18"/>
      <c r="AF456" s="18"/>
      <c r="AG456" s="91"/>
      <c r="AH456" s="18"/>
      <c r="AI456" s="18"/>
      <c r="AJ456" s="18"/>
      <c r="AK456" s="18"/>
      <c r="AL456" s="18"/>
      <c r="AM456" s="18"/>
      <c r="AN456" s="18"/>
      <c r="AO456" s="18"/>
      <c r="AP456" s="18"/>
      <c r="AQ456" s="18"/>
      <c r="AR456" s="18"/>
      <c r="AS456" s="18"/>
      <c r="AT456" s="18"/>
      <c r="AU456" s="91"/>
      <c r="AV456" s="18"/>
      <c r="AW456" s="18"/>
      <c r="AX456" s="18"/>
      <c r="AY456" s="17"/>
      <c r="AZ456" s="17"/>
      <c r="BA456" s="17"/>
      <c r="BB456" s="17"/>
      <c r="BC456" s="96"/>
      <c r="BD456" s="96"/>
      <c r="BE456" s="96"/>
      <c r="BF456" s="96"/>
      <c r="BG456" s="96"/>
      <c r="BH456" s="96"/>
      <c r="BI456" s="96"/>
    </row>
    <row r="457" spans="1:61" x14ac:dyDescent="0.45">
      <c r="A457" s="17"/>
      <c r="B457" s="17"/>
      <c r="C457" s="17"/>
      <c r="D457" s="17"/>
      <c r="E457" s="15"/>
      <c r="F457" s="17"/>
      <c r="G457" s="17"/>
      <c r="H457" s="3"/>
      <c r="I457" s="88"/>
      <c r="J457" s="88"/>
      <c r="K457" s="15"/>
      <c r="L457" s="96"/>
      <c r="M457" s="89"/>
      <c r="N457" s="88"/>
      <c r="O457" s="413"/>
      <c r="P457" s="18"/>
      <c r="Q457" s="91"/>
      <c r="R457" s="18"/>
      <c r="S457" s="18"/>
      <c r="T457" s="18"/>
      <c r="U457" s="18"/>
      <c r="V457" s="18"/>
      <c r="W457" s="18"/>
      <c r="X457" s="18"/>
      <c r="Y457" s="92"/>
      <c r="Z457" s="92"/>
      <c r="AA457" s="418"/>
      <c r="AB457" s="95"/>
      <c r="AC457" s="18"/>
      <c r="AD457" s="18"/>
      <c r="AE457" s="18"/>
      <c r="AF457" s="18"/>
      <c r="AG457" s="91"/>
      <c r="AH457" s="18"/>
      <c r="AI457" s="18"/>
      <c r="AJ457" s="18"/>
      <c r="AK457" s="18"/>
      <c r="AL457" s="18"/>
      <c r="AM457" s="18"/>
      <c r="AN457" s="18"/>
      <c r="AO457" s="18"/>
      <c r="AP457" s="18"/>
      <c r="AQ457" s="18"/>
      <c r="AR457" s="18"/>
      <c r="AS457" s="18"/>
      <c r="AT457" s="18"/>
      <c r="AU457" s="91"/>
      <c r="AV457" s="18"/>
      <c r="AW457" s="18"/>
      <c r="AX457" s="18"/>
      <c r="AY457" s="17"/>
      <c r="AZ457" s="17"/>
      <c r="BA457" s="17"/>
      <c r="BB457" s="17"/>
      <c r="BC457" s="96"/>
      <c r="BD457" s="96"/>
      <c r="BE457" s="96"/>
      <c r="BF457" s="96"/>
      <c r="BG457" s="96"/>
      <c r="BH457" s="96"/>
      <c r="BI457" s="96"/>
    </row>
    <row r="458" spans="1:61" x14ac:dyDescent="0.45">
      <c r="A458" s="17"/>
      <c r="B458" s="17"/>
      <c r="C458" s="17"/>
      <c r="D458" s="17"/>
      <c r="E458" s="15"/>
      <c r="F458" s="17"/>
      <c r="G458" s="17"/>
      <c r="H458" s="3"/>
      <c r="I458" s="88"/>
      <c r="J458" s="88"/>
      <c r="K458" s="15"/>
      <c r="L458" s="96"/>
      <c r="M458" s="89"/>
      <c r="N458" s="88"/>
      <c r="O458" s="413"/>
      <c r="P458" s="18"/>
      <c r="Q458" s="91"/>
      <c r="R458" s="18"/>
      <c r="S458" s="18"/>
      <c r="T458" s="18"/>
      <c r="U458" s="18"/>
      <c r="V458" s="18"/>
      <c r="W458" s="18"/>
      <c r="X458" s="18"/>
      <c r="Y458" s="92"/>
      <c r="Z458" s="92"/>
      <c r="AA458" s="418"/>
      <c r="AB458" s="95"/>
      <c r="AC458" s="18"/>
      <c r="AD458" s="18"/>
      <c r="AE458" s="18"/>
      <c r="AF458" s="18"/>
      <c r="AG458" s="91"/>
      <c r="AH458" s="18"/>
      <c r="AI458" s="18"/>
      <c r="AJ458" s="18"/>
      <c r="AK458" s="18"/>
      <c r="AL458" s="18"/>
      <c r="AM458" s="18"/>
      <c r="AN458" s="18"/>
      <c r="AO458" s="18"/>
      <c r="AP458" s="18"/>
      <c r="AQ458" s="18"/>
      <c r="AR458" s="18"/>
      <c r="AS458" s="18"/>
      <c r="AT458" s="18"/>
      <c r="AU458" s="91"/>
      <c r="AV458" s="18"/>
      <c r="AW458" s="18"/>
      <c r="AX458" s="18"/>
      <c r="AY458" s="17"/>
      <c r="AZ458" s="17"/>
      <c r="BA458" s="17"/>
      <c r="BB458" s="17"/>
      <c r="BC458" s="96"/>
      <c r="BD458" s="96"/>
      <c r="BE458" s="96"/>
      <c r="BF458" s="96"/>
      <c r="BG458" s="96"/>
      <c r="BH458" s="96"/>
      <c r="BI458" s="96"/>
    </row>
    <row r="459" spans="1:61" x14ac:dyDescent="0.45">
      <c r="A459" s="17"/>
      <c r="B459" s="17"/>
      <c r="C459" s="17"/>
      <c r="D459" s="17"/>
      <c r="E459" s="15"/>
      <c r="F459" s="17"/>
      <c r="G459" s="17"/>
      <c r="H459" s="3"/>
      <c r="I459" s="88"/>
      <c r="J459" s="88"/>
      <c r="K459" s="15"/>
      <c r="L459" s="96"/>
      <c r="M459" s="89"/>
      <c r="N459" s="88"/>
      <c r="O459" s="413"/>
      <c r="P459" s="18"/>
      <c r="Q459" s="91"/>
      <c r="R459" s="18"/>
      <c r="S459" s="18"/>
      <c r="T459" s="18"/>
      <c r="U459" s="18"/>
      <c r="V459" s="18"/>
      <c r="W459" s="18"/>
      <c r="X459" s="18"/>
      <c r="Y459" s="92"/>
      <c r="Z459" s="92"/>
      <c r="AA459" s="418"/>
      <c r="AB459" s="95"/>
      <c r="AC459" s="18"/>
      <c r="AD459" s="18"/>
      <c r="AE459" s="18"/>
      <c r="AF459" s="18"/>
      <c r="AG459" s="91"/>
      <c r="AH459" s="18"/>
      <c r="AI459" s="18"/>
      <c r="AJ459" s="18"/>
      <c r="AK459" s="18"/>
      <c r="AL459" s="18"/>
      <c r="AM459" s="18"/>
      <c r="AN459" s="18"/>
      <c r="AO459" s="18"/>
      <c r="AP459" s="18"/>
      <c r="AQ459" s="18"/>
      <c r="AR459" s="18"/>
      <c r="AS459" s="18"/>
      <c r="AT459" s="18"/>
      <c r="AU459" s="91"/>
      <c r="AV459" s="18"/>
      <c r="AW459" s="18"/>
      <c r="AX459" s="18"/>
      <c r="AY459" s="17"/>
      <c r="AZ459" s="17"/>
      <c r="BA459" s="17"/>
      <c r="BB459" s="17"/>
      <c r="BC459" s="96"/>
      <c r="BD459" s="96"/>
      <c r="BE459" s="96"/>
      <c r="BF459" s="96"/>
      <c r="BG459" s="96"/>
      <c r="BH459" s="96"/>
      <c r="BI459" s="96"/>
    </row>
    <row r="460" spans="1:61" x14ac:dyDescent="0.45">
      <c r="A460" s="17"/>
      <c r="B460" s="17"/>
      <c r="C460" s="17"/>
      <c r="D460" s="17"/>
      <c r="E460" s="15"/>
      <c r="F460" s="17"/>
      <c r="G460" s="17"/>
      <c r="H460" s="3"/>
      <c r="I460" s="88"/>
      <c r="J460" s="88"/>
      <c r="K460" s="15"/>
      <c r="L460" s="96"/>
      <c r="M460" s="89"/>
      <c r="N460" s="88"/>
      <c r="O460" s="413"/>
      <c r="P460" s="18"/>
      <c r="Q460" s="91"/>
      <c r="R460" s="18"/>
      <c r="S460" s="18"/>
      <c r="T460" s="18"/>
      <c r="U460" s="18"/>
      <c r="V460" s="18"/>
      <c r="W460" s="18"/>
      <c r="X460" s="18"/>
      <c r="Y460" s="92"/>
      <c r="Z460" s="92"/>
      <c r="AA460" s="418"/>
      <c r="AB460" s="95"/>
      <c r="AC460" s="18"/>
      <c r="AD460" s="18"/>
      <c r="AE460" s="18"/>
      <c r="AF460" s="18"/>
      <c r="AG460" s="91"/>
      <c r="AH460" s="18"/>
      <c r="AI460" s="18"/>
      <c r="AJ460" s="18"/>
      <c r="AK460" s="18"/>
      <c r="AL460" s="18"/>
      <c r="AM460" s="18"/>
      <c r="AN460" s="18"/>
      <c r="AO460" s="18"/>
      <c r="AP460" s="18"/>
      <c r="AQ460" s="18"/>
      <c r="AR460" s="18"/>
      <c r="AS460" s="18"/>
      <c r="AT460" s="18"/>
      <c r="AU460" s="91"/>
      <c r="AV460" s="18"/>
      <c r="AW460" s="18"/>
      <c r="AX460" s="18"/>
      <c r="AY460" s="17"/>
      <c r="AZ460" s="17"/>
      <c r="BA460" s="17"/>
      <c r="BB460" s="17"/>
      <c r="BC460" s="96"/>
      <c r="BD460" s="96"/>
      <c r="BE460" s="96"/>
      <c r="BF460" s="96"/>
      <c r="BG460" s="96"/>
      <c r="BH460" s="96"/>
      <c r="BI460" s="96"/>
    </row>
    <row r="461" spans="1:61" x14ac:dyDescent="0.45">
      <c r="A461" s="17"/>
      <c r="B461" s="17"/>
      <c r="C461" s="17"/>
      <c r="D461" s="17"/>
      <c r="E461" s="15"/>
      <c r="F461" s="17"/>
      <c r="G461" s="17"/>
      <c r="H461" s="3"/>
      <c r="I461" s="88"/>
      <c r="J461" s="88"/>
      <c r="K461" s="15"/>
      <c r="L461" s="96"/>
      <c r="M461" s="89"/>
      <c r="N461" s="88"/>
      <c r="O461" s="413"/>
      <c r="P461" s="18"/>
      <c r="Q461" s="91"/>
      <c r="R461" s="18"/>
      <c r="S461" s="18"/>
      <c r="T461" s="18"/>
      <c r="U461" s="18"/>
      <c r="V461" s="18"/>
      <c r="W461" s="18"/>
      <c r="X461" s="18"/>
      <c r="Y461" s="92"/>
      <c r="Z461" s="92"/>
      <c r="AA461" s="418"/>
      <c r="AB461" s="95"/>
      <c r="AC461" s="18"/>
      <c r="AD461" s="18"/>
      <c r="AE461" s="18"/>
      <c r="AF461" s="18"/>
      <c r="AG461" s="91"/>
      <c r="AH461" s="18"/>
      <c r="AI461" s="18"/>
      <c r="AJ461" s="18"/>
      <c r="AK461" s="18"/>
      <c r="AL461" s="18"/>
      <c r="AM461" s="18"/>
      <c r="AN461" s="18"/>
      <c r="AO461" s="18"/>
      <c r="AP461" s="18"/>
      <c r="AQ461" s="18"/>
      <c r="AR461" s="18"/>
      <c r="AS461" s="18"/>
      <c r="AT461" s="18"/>
      <c r="AU461" s="91"/>
      <c r="AV461" s="18"/>
      <c r="AW461" s="18"/>
      <c r="AX461" s="18"/>
      <c r="AY461" s="17"/>
      <c r="AZ461" s="17"/>
      <c r="BA461" s="17"/>
      <c r="BB461" s="17"/>
      <c r="BC461" s="96"/>
      <c r="BD461" s="96"/>
      <c r="BE461" s="96"/>
      <c r="BF461" s="96"/>
      <c r="BG461" s="96"/>
      <c r="BH461" s="96"/>
      <c r="BI461" s="96"/>
    </row>
    <row r="462" spans="1:61" x14ac:dyDescent="0.45">
      <c r="A462" s="17"/>
      <c r="B462" s="17"/>
      <c r="C462" s="17"/>
      <c r="D462" s="17"/>
      <c r="E462" s="15"/>
      <c r="F462" s="17"/>
      <c r="G462" s="17"/>
      <c r="H462" s="3"/>
      <c r="I462" s="88"/>
      <c r="J462" s="88"/>
      <c r="K462" s="15"/>
      <c r="L462" s="96"/>
      <c r="M462" s="89"/>
      <c r="N462" s="88"/>
      <c r="O462" s="413"/>
      <c r="P462" s="18"/>
      <c r="Q462" s="91"/>
      <c r="R462" s="18"/>
      <c r="S462" s="18"/>
      <c r="T462" s="18"/>
      <c r="U462" s="18"/>
      <c r="V462" s="18"/>
      <c r="W462" s="18"/>
      <c r="X462" s="18"/>
      <c r="Y462" s="92"/>
      <c r="Z462" s="92"/>
      <c r="AA462" s="418"/>
      <c r="AB462" s="95"/>
      <c r="AC462" s="18"/>
      <c r="AD462" s="18"/>
      <c r="AE462" s="18"/>
      <c r="AF462" s="18"/>
      <c r="AG462" s="91"/>
      <c r="AH462" s="18"/>
      <c r="AI462" s="18"/>
      <c r="AJ462" s="18"/>
      <c r="AK462" s="18"/>
      <c r="AL462" s="18"/>
      <c r="AM462" s="18"/>
      <c r="AN462" s="18"/>
      <c r="AO462" s="18"/>
      <c r="AP462" s="18"/>
      <c r="AQ462" s="18"/>
      <c r="AR462" s="18"/>
      <c r="AS462" s="18"/>
      <c r="AT462" s="18"/>
      <c r="AU462" s="91"/>
      <c r="AV462" s="18"/>
      <c r="AW462" s="18"/>
      <c r="AX462" s="18"/>
      <c r="AY462" s="17"/>
      <c r="AZ462" s="17"/>
      <c r="BA462" s="17"/>
      <c r="BB462" s="17"/>
      <c r="BC462" s="96"/>
      <c r="BD462" s="96"/>
      <c r="BE462" s="96"/>
      <c r="BF462" s="96"/>
      <c r="BG462" s="96"/>
      <c r="BH462" s="96"/>
      <c r="BI462" s="96"/>
    </row>
    <row r="463" spans="1:61" x14ac:dyDescent="0.45">
      <c r="A463" s="17"/>
      <c r="B463" s="17"/>
      <c r="C463" s="17"/>
      <c r="D463" s="17"/>
      <c r="E463" s="15"/>
      <c r="F463" s="17"/>
      <c r="G463" s="17"/>
      <c r="H463" s="3"/>
      <c r="I463" s="88"/>
      <c r="J463" s="88"/>
      <c r="K463" s="15"/>
      <c r="L463" s="96"/>
      <c r="M463" s="89"/>
      <c r="N463" s="88"/>
      <c r="O463" s="413"/>
      <c r="P463" s="18"/>
      <c r="Q463" s="91"/>
      <c r="R463" s="18"/>
      <c r="S463" s="18"/>
      <c r="T463" s="18"/>
      <c r="U463" s="18"/>
      <c r="V463" s="18"/>
      <c r="W463" s="18"/>
      <c r="X463" s="18"/>
      <c r="Y463" s="92"/>
      <c r="Z463" s="92"/>
      <c r="AA463" s="418"/>
      <c r="AB463" s="95"/>
      <c r="AC463" s="18"/>
      <c r="AD463" s="18"/>
      <c r="AE463" s="18"/>
      <c r="AF463" s="18"/>
      <c r="AG463" s="91"/>
      <c r="AH463" s="18"/>
      <c r="AI463" s="18"/>
      <c r="AJ463" s="18"/>
      <c r="AK463" s="18"/>
      <c r="AL463" s="18"/>
      <c r="AM463" s="18"/>
      <c r="AN463" s="18"/>
      <c r="AO463" s="18"/>
      <c r="AP463" s="18"/>
      <c r="AQ463" s="18"/>
      <c r="AR463" s="18"/>
      <c r="AS463" s="18"/>
      <c r="AT463" s="18"/>
      <c r="AU463" s="91"/>
      <c r="AV463" s="18"/>
      <c r="AW463" s="18"/>
      <c r="AX463" s="18"/>
      <c r="AY463" s="17"/>
      <c r="AZ463" s="17"/>
      <c r="BA463" s="17"/>
      <c r="BB463" s="17"/>
      <c r="BC463" s="96"/>
      <c r="BD463" s="96"/>
      <c r="BE463" s="96"/>
      <c r="BF463" s="96"/>
      <c r="BG463" s="96"/>
      <c r="BH463" s="96"/>
      <c r="BI463" s="96"/>
    </row>
    <row r="464" spans="1:61" x14ac:dyDescent="0.45">
      <c r="A464" s="17"/>
      <c r="B464" s="17"/>
      <c r="C464" s="17"/>
      <c r="D464" s="17"/>
      <c r="E464" s="15"/>
      <c r="F464" s="17"/>
      <c r="G464" s="17"/>
      <c r="H464" s="3"/>
      <c r="I464" s="88"/>
      <c r="J464" s="88"/>
      <c r="K464" s="15"/>
      <c r="L464" s="96"/>
      <c r="M464" s="89"/>
      <c r="N464" s="88"/>
      <c r="O464" s="413"/>
      <c r="P464" s="18"/>
      <c r="Q464" s="91"/>
      <c r="R464" s="18"/>
      <c r="S464" s="18"/>
      <c r="T464" s="18"/>
      <c r="U464" s="18"/>
      <c r="V464" s="18"/>
      <c r="W464" s="18"/>
      <c r="X464" s="18"/>
      <c r="Y464" s="92"/>
      <c r="Z464" s="92"/>
      <c r="AA464" s="418"/>
      <c r="AB464" s="95"/>
      <c r="AC464" s="18"/>
      <c r="AD464" s="18"/>
      <c r="AE464" s="18"/>
      <c r="AF464" s="18"/>
      <c r="AG464" s="91"/>
      <c r="AH464" s="18"/>
      <c r="AI464" s="18"/>
      <c r="AJ464" s="18"/>
      <c r="AK464" s="18"/>
      <c r="AL464" s="18"/>
      <c r="AM464" s="18"/>
      <c r="AN464" s="18"/>
      <c r="AO464" s="18"/>
      <c r="AP464" s="18"/>
      <c r="AQ464" s="18"/>
      <c r="AR464" s="18"/>
      <c r="AS464" s="18"/>
      <c r="AT464" s="18"/>
      <c r="AU464" s="91"/>
      <c r="AV464" s="18"/>
      <c r="AW464" s="18"/>
      <c r="AX464" s="18"/>
      <c r="AY464" s="17"/>
      <c r="AZ464" s="17"/>
      <c r="BA464" s="17"/>
      <c r="BB464" s="17"/>
      <c r="BC464" s="96"/>
      <c r="BD464" s="96"/>
      <c r="BE464" s="96"/>
      <c r="BF464" s="96"/>
      <c r="BG464" s="96"/>
      <c r="BH464" s="96"/>
      <c r="BI464" s="96"/>
    </row>
    <row r="465" spans="1:61" x14ac:dyDescent="0.45">
      <c r="A465" s="17"/>
      <c r="B465" s="17"/>
      <c r="C465" s="17"/>
      <c r="D465" s="17"/>
      <c r="E465" s="15"/>
      <c r="F465" s="17"/>
      <c r="G465" s="17"/>
      <c r="H465" s="3"/>
      <c r="I465" s="88"/>
      <c r="J465" s="88"/>
      <c r="K465" s="15"/>
      <c r="L465" s="96"/>
      <c r="M465" s="89"/>
      <c r="N465" s="88"/>
      <c r="O465" s="413"/>
      <c r="P465" s="18"/>
      <c r="Q465" s="91"/>
      <c r="R465" s="18"/>
      <c r="S465" s="18"/>
      <c r="T465" s="18"/>
      <c r="U465" s="18"/>
      <c r="V465" s="18"/>
      <c r="W465" s="18"/>
      <c r="X465" s="18"/>
      <c r="Y465" s="92"/>
      <c r="Z465" s="92"/>
      <c r="AA465" s="418"/>
      <c r="AB465" s="95"/>
      <c r="AC465" s="18"/>
      <c r="AD465" s="18"/>
      <c r="AE465" s="18"/>
      <c r="AF465" s="18"/>
      <c r="AG465" s="91"/>
      <c r="AH465" s="18"/>
      <c r="AI465" s="18"/>
      <c r="AJ465" s="18"/>
      <c r="AK465" s="18"/>
      <c r="AL465" s="18"/>
      <c r="AM465" s="18"/>
      <c r="AN465" s="18"/>
      <c r="AO465" s="18"/>
      <c r="AP465" s="18"/>
      <c r="AQ465" s="18"/>
      <c r="AR465" s="18"/>
      <c r="AS465" s="18"/>
      <c r="AT465" s="18"/>
      <c r="AU465" s="91"/>
      <c r="AV465" s="18"/>
      <c r="AW465" s="18"/>
      <c r="AX465" s="18"/>
      <c r="AY465" s="17"/>
      <c r="AZ465" s="17"/>
      <c r="BA465" s="17"/>
      <c r="BB465" s="17"/>
      <c r="BC465" s="96"/>
      <c r="BD465" s="96"/>
      <c r="BE465" s="96"/>
      <c r="BF465" s="96"/>
      <c r="BG465" s="96"/>
      <c r="BH465" s="96"/>
      <c r="BI465" s="96"/>
    </row>
    <row r="466" spans="1:61" x14ac:dyDescent="0.45">
      <c r="A466" s="17"/>
      <c r="B466" s="17"/>
      <c r="C466" s="17"/>
      <c r="D466" s="17"/>
      <c r="E466" s="15"/>
      <c r="F466" s="17"/>
      <c r="G466" s="17"/>
      <c r="H466" s="3"/>
      <c r="I466" s="88"/>
      <c r="J466" s="88"/>
      <c r="K466" s="15"/>
      <c r="L466" s="96"/>
      <c r="M466" s="89"/>
      <c r="N466" s="88"/>
      <c r="O466" s="413"/>
      <c r="P466" s="18"/>
      <c r="Q466" s="91"/>
      <c r="R466" s="18"/>
      <c r="S466" s="18"/>
      <c r="T466" s="18"/>
      <c r="U466" s="18"/>
      <c r="V466" s="18"/>
      <c r="W466" s="18"/>
      <c r="X466" s="18"/>
      <c r="Y466" s="92"/>
      <c r="Z466" s="92"/>
      <c r="AA466" s="418"/>
      <c r="AB466" s="95"/>
      <c r="AC466" s="18"/>
      <c r="AD466" s="18"/>
      <c r="AE466" s="18"/>
      <c r="AF466" s="18"/>
      <c r="AG466" s="91"/>
      <c r="AH466" s="18"/>
      <c r="AI466" s="18"/>
      <c r="AJ466" s="18"/>
      <c r="AK466" s="18"/>
      <c r="AL466" s="18"/>
      <c r="AM466" s="18"/>
      <c r="AN466" s="18"/>
      <c r="AO466" s="18"/>
      <c r="AP466" s="18"/>
      <c r="AQ466" s="18"/>
      <c r="AR466" s="18"/>
      <c r="AS466" s="18"/>
      <c r="AT466" s="18"/>
      <c r="AU466" s="91"/>
      <c r="AV466" s="18"/>
      <c r="AW466" s="18"/>
      <c r="AX466" s="18"/>
      <c r="AY466" s="17"/>
      <c r="AZ466" s="17"/>
      <c r="BA466" s="17"/>
      <c r="BB466" s="17"/>
      <c r="BC466" s="96"/>
      <c r="BD466" s="96"/>
      <c r="BE466" s="96"/>
      <c r="BF466" s="96"/>
      <c r="BG466" s="96"/>
      <c r="BH466" s="96"/>
      <c r="BI466" s="96"/>
    </row>
    <row r="467" spans="1:61" x14ac:dyDescent="0.45">
      <c r="A467" s="17"/>
      <c r="B467" s="17"/>
      <c r="C467" s="17"/>
      <c r="D467" s="17"/>
      <c r="E467" s="15"/>
      <c r="F467" s="17"/>
      <c r="G467" s="17"/>
      <c r="H467" s="3"/>
      <c r="I467" s="88"/>
      <c r="J467" s="88"/>
      <c r="K467" s="15"/>
      <c r="L467" s="96"/>
      <c r="M467" s="89"/>
      <c r="N467" s="88"/>
      <c r="O467" s="413"/>
      <c r="P467" s="18"/>
      <c r="Q467" s="91"/>
      <c r="R467" s="18"/>
      <c r="S467" s="18"/>
      <c r="T467" s="18"/>
      <c r="U467" s="18"/>
      <c r="V467" s="18"/>
      <c r="W467" s="18"/>
      <c r="X467" s="18"/>
      <c r="Y467" s="92"/>
      <c r="Z467" s="92"/>
      <c r="AA467" s="418"/>
      <c r="AB467" s="95"/>
      <c r="AC467" s="18"/>
      <c r="AD467" s="18"/>
      <c r="AE467" s="18"/>
      <c r="AF467" s="18"/>
      <c r="AG467" s="91"/>
      <c r="AH467" s="18"/>
      <c r="AI467" s="18"/>
      <c r="AJ467" s="18"/>
      <c r="AK467" s="18"/>
      <c r="AL467" s="18"/>
      <c r="AM467" s="18"/>
      <c r="AN467" s="18"/>
      <c r="AO467" s="18"/>
      <c r="AP467" s="18"/>
      <c r="AQ467" s="18"/>
      <c r="AR467" s="18"/>
      <c r="AS467" s="18"/>
      <c r="AT467" s="18"/>
      <c r="AU467" s="91"/>
      <c r="AV467" s="18"/>
      <c r="AW467" s="18"/>
      <c r="AX467" s="18"/>
      <c r="AY467" s="17"/>
      <c r="AZ467" s="17"/>
      <c r="BA467" s="17"/>
      <c r="BB467" s="17"/>
      <c r="BC467" s="96"/>
      <c r="BD467" s="96"/>
      <c r="BE467" s="96"/>
      <c r="BF467" s="96"/>
      <c r="BG467" s="96"/>
      <c r="BH467" s="96"/>
      <c r="BI467" s="96"/>
    </row>
    <row r="468" spans="1:61" x14ac:dyDescent="0.45">
      <c r="A468" s="17"/>
      <c r="B468" s="17"/>
      <c r="C468" s="17"/>
      <c r="D468" s="17"/>
      <c r="E468" s="15"/>
      <c r="F468" s="17"/>
      <c r="G468" s="17"/>
      <c r="H468" s="3"/>
      <c r="I468" s="88"/>
      <c r="J468" s="88"/>
      <c r="K468" s="15"/>
      <c r="L468" s="96"/>
      <c r="M468" s="89"/>
      <c r="N468" s="88"/>
      <c r="O468" s="413"/>
      <c r="P468" s="18"/>
      <c r="Q468" s="91"/>
      <c r="R468" s="18"/>
      <c r="S468" s="18"/>
      <c r="T468" s="18"/>
      <c r="U468" s="18"/>
      <c r="V468" s="18"/>
      <c r="W468" s="18"/>
      <c r="X468" s="18"/>
      <c r="Y468" s="92"/>
      <c r="Z468" s="92"/>
      <c r="AA468" s="418"/>
      <c r="AB468" s="95"/>
      <c r="AC468" s="18"/>
      <c r="AD468" s="18"/>
      <c r="AE468" s="18"/>
      <c r="AF468" s="18"/>
      <c r="AG468" s="91"/>
      <c r="AH468" s="18"/>
      <c r="AI468" s="18"/>
      <c r="AJ468" s="18"/>
      <c r="AK468" s="18"/>
      <c r="AL468" s="18"/>
      <c r="AM468" s="18"/>
      <c r="AN468" s="18"/>
      <c r="AO468" s="18"/>
      <c r="AP468" s="18"/>
      <c r="AQ468" s="18"/>
      <c r="AR468" s="18"/>
      <c r="AS468" s="18"/>
      <c r="AT468" s="18"/>
      <c r="AU468" s="91"/>
      <c r="AV468" s="18"/>
      <c r="AW468" s="18"/>
      <c r="AX468" s="18"/>
      <c r="AY468" s="17"/>
      <c r="AZ468" s="17"/>
      <c r="BA468" s="17"/>
      <c r="BB468" s="17"/>
      <c r="BC468" s="96"/>
      <c r="BD468" s="96"/>
      <c r="BE468" s="96"/>
      <c r="BF468" s="96"/>
      <c r="BG468" s="96"/>
      <c r="BH468" s="96"/>
      <c r="BI468" s="96"/>
    </row>
    <row r="469" spans="1:61" x14ac:dyDescent="0.45">
      <c r="A469" s="17"/>
      <c r="B469" s="17"/>
      <c r="C469" s="17"/>
      <c r="D469" s="17"/>
      <c r="E469" s="15"/>
      <c r="F469" s="17"/>
      <c r="G469" s="17"/>
      <c r="H469" s="3"/>
      <c r="I469" s="88"/>
      <c r="J469" s="88"/>
      <c r="K469" s="15"/>
      <c r="L469" s="96"/>
      <c r="M469" s="89"/>
      <c r="N469" s="88"/>
      <c r="O469" s="413"/>
      <c r="P469" s="18"/>
      <c r="Q469" s="91"/>
      <c r="R469" s="18"/>
      <c r="S469" s="18"/>
      <c r="T469" s="18"/>
      <c r="U469" s="18"/>
      <c r="V469" s="18"/>
      <c r="W469" s="18"/>
      <c r="X469" s="18"/>
      <c r="Y469" s="92"/>
      <c r="Z469" s="92"/>
      <c r="AA469" s="418"/>
      <c r="AB469" s="95"/>
      <c r="AC469" s="18"/>
      <c r="AD469" s="18"/>
      <c r="AE469" s="18"/>
      <c r="AF469" s="18"/>
      <c r="AG469" s="91"/>
      <c r="AH469" s="18"/>
      <c r="AI469" s="18"/>
      <c r="AJ469" s="18"/>
      <c r="AK469" s="18"/>
      <c r="AL469" s="18"/>
      <c r="AM469" s="18"/>
      <c r="AN469" s="18"/>
      <c r="AO469" s="18"/>
      <c r="AP469" s="18"/>
      <c r="AQ469" s="18"/>
      <c r="AR469" s="18"/>
      <c r="AS469" s="18"/>
      <c r="AT469" s="18"/>
      <c r="AU469" s="91"/>
      <c r="AV469" s="18"/>
      <c r="AW469" s="18"/>
      <c r="AX469" s="18"/>
      <c r="AY469" s="17"/>
      <c r="AZ469" s="17"/>
      <c r="BA469" s="17"/>
      <c r="BB469" s="17"/>
      <c r="BC469" s="96"/>
      <c r="BD469" s="96"/>
      <c r="BE469" s="96"/>
      <c r="BF469" s="96"/>
      <c r="BG469" s="96"/>
      <c r="BH469" s="96"/>
      <c r="BI469" s="96"/>
    </row>
    <row r="470" spans="1:61" x14ac:dyDescent="0.45">
      <c r="A470" s="17"/>
      <c r="B470" s="17"/>
      <c r="C470" s="17"/>
      <c r="D470" s="17"/>
      <c r="E470" s="15"/>
      <c r="F470" s="17"/>
      <c r="G470" s="17"/>
      <c r="H470" s="3"/>
      <c r="I470" s="88"/>
      <c r="J470" s="88"/>
      <c r="K470" s="15"/>
      <c r="L470" s="96"/>
      <c r="M470" s="89"/>
      <c r="N470" s="88"/>
      <c r="O470" s="413"/>
      <c r="P470" s="18"/>
      <c r="Q470" s="91"/>
      <c r="R470" s="18"/>
      <c r="S470" s="18"/>
      <c r="T470" s="18"/>
      <c r="U470" s="18"/>
      <c r="V470" s="18"/>
      <c r="W470" s="18"/>
      <c r="X470" s="18"/>
      <c r="Y470" s="92"/>
      <c r="Z470" s="92"/>
      <c r="AA470" s="418"/>
      <c r="AB470" s="95"/>
      <c r="AC470" s="18"/>
      <c r="AD470" s="18"/>
      <c r="AE470" s="18"/>
      <c r="AF470" s="18"/>
      <c r="AG470" s="91"/>
      <c r="AH470" s="18"/>
      <c r="AI470" s="18"/>
      <c r="AJ470" s="18"/>
      <c r="AK470" s="18"/>
      <c r="AL470" s="18"/>
      <c r="AM470" s="18"/>
      <c r="AN470" s="18"/>
      <c r="AO470" s="18"/>
      <c r="AP470" s="18"/>
      <c r="AQ470" s="18"/>
      <c r="AR470" s="18"/>
      <c r="AS470" s="18"/>
      <c r="AT470" s="18"/>
      <c r="AU470" s="91"/>
      <c r="AV470" s="18"/>
      <c r="AW470" s="18"/>
      <c r="AX470" s="18"/>
      <c r="AY470" s="17"/>
      <c r="AZ470" s="17"/>
      <c r="BA470" s="17"/>
      <c r="BB470" s="17"/>
      <c r="BC470" s="96"/>
      <c r="BD470" s="96"/>
      <c r="BE470" s="96"/>
      <c r="BF470" s="96"/>
      <c r="BG470" s="96"/>
      <c r="BH470" s="96"/>
      <c r="BI470" s="96"/>
    </row>
    <row r="471" spans="1:61" x14ac:dyDescent="0.45">
      <c r="A471" s="17"/>
      <c r="B471" s="17"/>
      <c r="C471" s="17"/>
      <c r="D471" s="17"/>
      <c r="E471" s="15"/>
      <c r="F471" s="17"/>
      <c r="G471" s="17"/>
      <c r="H471" s="3"/>
      <c r="I471" s="88"/>
      <c r="J471" s="88"/>
      <c r="K471" s="15"/>
      <c r="L471" s="96"/>
      <c r="M471" s="89"/>
      <c r="N471" s="88"/>
      <c r="O471" s="413"/>
      <c r="P471" s="18"/>
      <c r="Q471" s="91"/>
      <c r="R471" s="18"/>
      <c r="S471" s="18"/>
      <c r="T471" s="18"/>
      <c r="U471" s="18"/>
      <c r="V471" s="18"/>
      <c r="W471" s="18"/>
      <c r="X471" s="18"/>
      <c r="Y471" s="92"/>
      <c r="Z471" s="92"/>
      <c r="AA471" s="418"/>
      <c r="AB471" s="95"/>
      <c r="AC471" s="18"/>
      <c r="AD471" s="18"/>
      <c r="AE471" s="18"/>
      <c r="AF471" s="18"/>
      <c r="AG471" s="91"/>
      <c r="AH471" s="18"/>
      <c r="AI471" s="18"/>
      <c r="AJ471" s="18"/>
      <c r="AK471" s="18"/>
      <c r="AL471" s="18"/>
      <c r="AM471" s="18"/>
      <c r="AN471" s="18"/>
      <c r="AO471" s="18"/>
      <c r="AP471" s="18"/>
      <c r="AQ471" s="18"/>
      <c r="AR471" s="18"/>
      <c r="AS471" s="18"/>
      <c r="AT471" s="18"/>
      <c r="AU471" s="91"/>
      <c r="AV471" s="18"/>
      <c r="AW471" s="18"/>
      <c r="AX471" s="18"/>
      <c r="AY471" s="17"/>
      <c r="AZ471" s="17"/>
      <c r="BA471" s="17"/>
      <c r="BB471" s="17"/>
      <c r="BC471" s="96"/>
      <c r="BD471" s="96"/>
      <c r="BE471" s="96"/>
      <c r="BF471" s="96"/>
      <c r="BG471" s="96"/>
      <c r="BH471" s="96"/>
      <c r="BI471" s="96"/>
    </row>
    <row r="472" spans="1:61" x14ac:dyDescent="0.45">
      <c r="A472" s="17"/>
      <c r="B472" s="17"/>
      <c r="C472" s="17"/>
      <c r="D472" s="17"/>
      <c r="E472" s="15"/>
      <c r="F472" s="17"/>
      <c r="G472" s="17"/>
      <c r="H472" s="3"/>
      <c r="I472" s="88"/>
      <c r="J472" s="88"/>
      <c r="K472" s="15"/>
      <c r="L472" s="96"/>
      <c r="M472" s="89"/>
      <c r="N472" s="88"/>
      <c r="O472" s="413"/>
      <c r="P472" s="18"/>
      <c r="Q472" s="91"/>
      <c r="R472" s="18"/>
      <c r="S472" s="18"/>
      <c r="T472" s="18"/>
      <c r="U472" s="18"/>
      <c r="V472" s="18"/>
      <c r="W472" s="18"/>
      <c r="X472" s="18"/>
      <c r="Y472" s="92"/>
      <c r="Z472" s="92"/>
      <c r="AA472" s="418"/>
      <c r="AB472" s="95"/>
      <c r="AC472" s="18"/>
      <c r="AD472" s="18"/>
      <c r="AE472" s="18"/>
      <c r="AF472" s="18"/>
      <c r="AG472" s="91"/>
      <c r="AH472" s="18"/>
      <c r="AI472" s="18"/>
      <c r="AJ472" s="18"/>
      <c r="AK472" s="18"/>
      <c r="AL472" s="18"/>
      <c r="AM472" s="18"/>
      <c r="AN472" s="18"/>
      <c r="AO472" s="18"/>
      <c r="AP472" s="18"/>
      <c r="AQ472" s="18"/>
      <c r="AR472" s="18"/>
      <c r="AS472" s="18"/>
      <c r="AT472" s="18"/>
      <c r="AU472" s="91"/>
      <c r="AV472" s="18"/>
      <c r="AW472" s="18"/>
      <c r="AX472" s="18"/>
      <c r="AY472" s="17"/>
      <c r="AZ472" s="17"/>
      <c r="BA472" s="17"/>
      <c r="BB472" s="17"/>
      <c r="BC472" s="96"/>
      <c r="BD472" s="96"/>
      <c r="BE472" s="96"/>
      <c r="BF472" s="96"/>
      <c r="BG472" s="96"/>
      <c r="BH472" s="96"/>
      <c r="BI472" s="96"/>
    </row>
    <row r="473" spans="1:61" x14ac:dyDescent="0.45">
      <c r="A473" s="17"/>
      <c r="B473" s="17"/>
      <c r="C473" s="17"/>
      <c r="D473" s="17"/>
      <c r="E473" s="15"/>
      <c r="F473" s="17"/>
      <c r="G473" s="17"/>
      <c r="H473" s="3"/>
      <c r="I473" s="88"/>
      <c r="J473" s="88"/>
      <c r="K473" s="15"/>
      <c r="L473" s="96"/>
      <c r="M473" s="89"/>
      <c r="N473" s="88"/>
      <c r="O473" s="413"/>
      <c r="P473" s="18"/>
      <c r="Q473" s="91"/>
      <c r="R473" s="18"/>
      <c r="S473" s="18"/>
      <c r="T473" s="18"/>
      <c r="U473" s="18"/>
      <c r="V473" s="18"/>
      <c r="W473" s="18"/>
      <c r="X473" s="18"/>
      <c r="Y473" s="92"/>
      <c r="Z473" s="92"/>
      <c r="AA473" s="418"/>
      <c r="AB473" s="95"/>
      <c r="AC473" s="18"/>
      <c r="AD473" s="18"/>
      <c r="AE473" s="18"/>
      <c r="AF473" s="18"/>
      <c r="AG473" s="91"/>
      <c r="AH473" s="18"/>
      <c r="AI473" s="18"/>
      <c r="AJ473" s="18"/>
      <c r="AK473" s="18"/>
      <c r="AL473" s="18"/>
      <c r="AM473" s="18"/>
      <c r="AN473" s="18"/>
      <c r="AO473" s="18"/>
      <c r="AP473" s="18"/>
      <c r="AQ473" s="18"/>
      <c r="AR473" s="18"/>
      <c r="AS473" s="18"/>
      <c r="AT473" s="18"/>
      <c r="AU473" s="91"/>
      <c r="AV473" s="18"/>
      <c r="AW473" s="18"/>
      <c r="AX473" s="18"/>
      <c r="AY473" s="17"/>
      <c r="AZ473" s="17"/>
      <c r="BA473" s="17"/>
      <c r="BB473" s="17"/>
      <c r="BC473" s="96"/>
      <c r="BD473" s="96"/>
      <c r="BE473" s="96"/>
      <c r="BF473" s="96"/>
      <c r="BG473" s="96"/>
      <c r="BH473" s="96"/>
      <c r="BI473" s="96"/>
    </row>
    <row r="474" spans="1:61" x14ac:dyDescent="0.45">
      <c r="A474" s="17"/>
      <c r="B474" s="17"/>
      <c r="C474" s="17"/>
      <c r="D474" s="17"/>
      <c r="E474" s="15"/>
      <c r="F474" s="17"/>
      <c r="G474" s="17"/>
      <c r="H474" s="3"/>
      <c r="I474" s="88"/>
      <c r="J474" s="88"/>
      <c r="K474" s="15"/>
      <c r="L474" s="96"/>
      <c r="M474" s="89"/>
      <c r="N474" s="88"/>
      <c r="O474" s="413"/>
      <c r="P474" s="18"/>
      <c r="Q474" s="91"/>
      <c r="R474" s="18"/>
      <c r="S474" s="18"/>
      <c r="T474" s="18"/>
      <c r="U474" s="18"/>
      <c r="V474" s="18"/>
      <c r="W474" s="18"/>
      <c r="X474" s="18"/>
      <c r="Y474" s="92"/>
      <c r="Z474" s="92"/>
      <c r="AA474" s="418"/>
      <c r="AB474" s="95"/>
      <c r="AC474" s="18"/>
      <c r="AD474" s="18"/>
      <c r="AE474" s="18"/>
      <c r="AF474" s="18"/>
      <c r="AG474" s="91"/>
      <c r="AH474" s="18"/>
      <c r="AI474" s="18"/>
      <c r="AJ474" s="18"/>
      <c r="AK474" s="18"/>
      <c r="AL474" s="18"/>
      <c r="AM474" s="18"/>
      <c r="AN474" s="18"/>
      <c r="AO474" s="18"/>
      <c r="AP474" s="18"/>
      <c r="AQ474" s="18"/>
      <c r="AR474" s="18"/>
      <c r="AS474" s="18"/>
      <c r="AT474" s="18"/>
      <c r="AU474" s="91"/>
      <c r="AV474" s="18"/>
      <c r="AW474" s="18"/>
      <c r="AX474" s="18"/>
      <c r="AY474" s="17"/>
      <c r="AZ474" s="17"/>
      <c r="BA474" s="17"/>
      <c r="BB474" s="17"/>
      <c r="BC474" s="96"/>
      <c r="BD474" s="96"/>
      <c r="BE474" s="96"/>
      <c r="BF474" s="96"/>
      <c r="BG474" s="96"/>
      <c r="BH474" s="96"/>
      <c r="BI474" s="96"/>
    </row>
    <row r="475" spans="1:61" x14ac:dyDescent="0.45">
      <c r="A475" s="17"/>
      <c r="B475" s="17"/>
      <c r="C475" s="17"/>
      <c r="D475" s="17"/>
      <c r="E475" s="15"/>
      <c r="F475" s="17"/>
      <c r="G475" s="17"/>
      <c r="H475" s="3"/>
      <c r="I475" s="88"/>
      <c r="J475" s="88"/>
      <c r="K475" s="15"/>
      <c r="L475" s="96"/>
      <c r="M475" s="89"/>
      <c r="N475" s="88"/>
      <c r="O475" s="413"/>
      <c r="P475" s="18"/>
      <c r="Q475" s="91"/>
      <c r="R475" s="18"/>
      <c r="S475" s="18"/>
      <c r="T475" s="18"/>
      <c r="U475" s="18"/>
      <c r="V475" s="18"/>
      <c r="W475" s="18"/>
      <c r="X475" s="18"/>
      <c r="Y475" s="92"/>
      <c r="Z475" s="92"/>
      <c r="AA475" s="418"/>
      <c r="AB475" s="95"/>
      <c r="AC475" s="18"/>
      <c r="AD475" s="18"/>
      <c r="AE475" s="18"/>
      <c r="AF475" s="18"/>
      <c r="AG475" s="91"/>
      <c r="AH475" s="18"/>
      <c r="AI475" s="18"/>
      <c r="AJ475" s="18"/>
      <c r="AK475" s="18"/>
      <c r="AL475" s="18"/>
      <c r="AM475" s="18"/>
      <c r="AN475" s="18"/>
      <c r="AO475" s="18"/>
      <c r="AP475" s="18"/>
      <c r="AQ475" s="18"/>
      <c r="AR475" s="18"/>
      <c r="AS475" s="18"/>
      <c r="AT475" s="18"/>
      <c r="AU475" s="91"/>
      <c r="AV475" s="18"/>
      <c r="AW475" s="18"/>
      <c r="AX475" s="18"/>
      <c r="AY475" s="17"/>
      <c r="AZ475" s="17"/>
      <c r="BA475" s="17"/>
      <c r="BB475" s="17"/>
      <c r="BC475" s="96"/>
      <c r="BD475" s="96"/>
      <c r="BE475" s="96"/>
      <c r="BF475" s="96"/>
      <c r="BG475" s="96"/>
      <c r="BH475" s="96"/>
      <c r="BI475" s="96"/>
    </row>
    <row r="476" spans="1:61" x14ac:dyDescent="0.45">
      <c r="A476" s="17"/>
      <c r="B476" s="17"/>
      <c r="C476" s="17"/>
      <c r="D476" s="17"/>
      <c r="E476" s="15"/>
      <c r="F476" s="17"/>
      <c r="G476" s="17"/>
      <c r="H476" s="3"/>
      <c r="I476" s="88"/>
      <c r="J476" s="88"/>
      <c r="K476" s="15"/>
      <c r="L476" s="96"/>
      <c r="M476" s="89"/>
      <c r="N476" s="88"/>
      <c r="O476" s="413"/>
      <c r="P476" s="18"/>
      <c r="Q476" s="91"/>
      <c r="R476" s="18"/>
      <c r="S476" s="18"/>
      <c r="T476" s="18"/>
      <c r="U476" s="18"/>
      <c r="V476" s="18"/>
      <c r="W476" s="18"/>
      <c r="X476" s="18"/>
      <c r="Y476" s="92"/>
      <c r="Z476" s="92"/>
      <c r="AA476" s="418"/>
      <c r="AB476" s="95"/>
      <c r="AC476" s="18"/>
      <c r="AD476" s="18"/>
      <c r="AE476" s="18"/>
      <c r="AF476" s="18"/>
      <c r="AG476" s="91"/>
      <c r="AH476" s="18"/>
      <c r="AI476" s="18"/>
      <c r="AJ476" s="18"/>
      <c r="AK476" s="18"/>
      <c r="AL476" s="18"/>
      <c r="AM476" s="18"/>
      <c r="AN476" s="18"/>
      <c r="AO476" s="18"/>
      <c r="AP476" s="18"/>
      <c r="AQ476" s="18"/>
      <c r="AR476" s="18"/>
      <c r="AS476" s="18"/>
      <c r="AT476" s="18"/>
      <c r="AU476" s="91"/>
      <c r="AV476" s="18"/>
      <c r="AW476" s="18"/>
      <c r="AX476" s="18"/>
      <c r="AY476" s="17"/>
      <c r="AZ476" s="17"/>
      <c r="BA476" s="17"/>
      <c r="BB476" s="17"/>
      <c r="BC476" s="96"/>
      <c r="BD476" s="96"/>
      <c r="BE476" s="96"/>
      <c r="BF476" s="96"/>
      <c r="BG476" s="96"/>
      <c r="BH476" s="96"/>
      <c r="BI476" s="96"/>
    </row>
    <row r="477" spans="1:61" x14ac:dyDescent="0.45">
      <c r="A477" s="17"/>
      <c r="B477" s="17"/>
      <c r="C477" s="17"/>
      <c r="D477" s="17"/>
      <c r="E477" s="15"/>
      <c r="F477" s="17"/>
      <c r="G477" s="17"/>
      <c r="H477" s="3"/>
      <c r="I477" s="88"/>
      <c r="J477" s="88"/>
      <c r="K477" s="15"/>
      <c r="L477" s="96"/>
      <c r="M477" s="89"/>
      <c r="N477" s="88"/>
      <c r="O477" s="413"/>
      <c r="P477" s="18"/>
      <c r="Q477" s="91"/>
      <c r="R477" s="18"/>
      <c r="S477" s="18"/>
      <c r="T477" s="18"/>
      <c r="U477" s="18"/>
      <c r="V477" s="18"/>
      <c r="W477" s="18"/>
      <c r="X477" s="18"/>
      <c r="Y477" s="92"/>
      <c r="Z477" s="92"/>
      <c r="AA477" s="418"/>
      <c r="AB477" s="95"/>
      <c r="AC477" s="18"/>
      <c r="AD477" s="18"/>
      <c r="AE477" s="18"/>
      <c r="AF477" s="18"/>
      <c r="AG477" s="91"/>
      <c r="AH477" s="18"/>
      <c r="AI477" s="18"/>
      <c r="AJ477" s="18"/>
      <c r="AK477" s="18"/>
      <c r="AL477" s="18"/>
      <c r="AM477" s="18"/>
      <c r="AN477" s="18"/>
      <c r="AO477" s="18"/>
      <c r="AP477" s="18"/>
      <c r="AQ477" s="18"/>
      <c r="AR477" s="18"/>
      <c r="AS477" s="18"/>
      <c r="AT477" s="18"/>
      <c r="AU477" s="91"/>
      <c r="AV477" s="18"/>
      <c r="AW477" s="18"/>
      <c r="AX477" s="18"/>
      <c r="AY477" s="17"/>
      <c r="AZ477" s="17"/>
      <c r="BA477" s="17"/>
      <c r="BB477" s="17"/>
      <c r="BC477" s="96"/>
      <c r="BD477" s="96"/>
      <c r="BE477" s="96"/>
      <c r="BF477" s="96"/>
      <c r="BG477" s="96"/>
      <c r="BH477" s="96"/>
      <c r="BI477" s="96"/>
    </row>
    <row r="478" spans="1:61" x14ac:dyDescent="0.45">
      <c r="A478" s="17"/>
      <c r="B478" s="17"/>
      <c r="C478" s="17"/>
      <c r="D478" s="17"/>
      <c r="E478" s="15"/>
      <c r="F478" s="17"/>
      <c r="G478" s="17"/>
      <c r="H478" s="3"/>
      <c r="I478" s="88"/>
      <c r="J478" s="88"/>
      <c r="K478" s="15"/>
      <c r="L478" s="96"/>
      <c r="M478" s="89"/>
      <c r="N478" s="88"/>
      <c r="O478" s="413"/>
      <c r="P478" s="18"/>
      <c r="Q478" s="91"/>
      <c r="R478" s="18"/>
      <c r="S478" s="18"/>
      <c r="T478" s="18"/>
      <c r="U478" s="18"/>
      <c r="V478" s="18"/>
      <c r="W478" s="18"/>
      <c r="X478" s="18"/>
      <c r="Y478" s="92"/>
      <c r="Z478" s="92"/>
      <c r="AA478" s="418"/>
      <c r="AB478" s="95"/>
      <c r="AC478" s="18"/>
      <c r="AD478" s="18"/>
      <c r="AE478" s="18"/>
      <c r="AF478" s="18"/>
      <c r="AG478" s="91"/>
      <c r="AH478" s="18"/>
      <c r="AI478" s="18"/>
      <c r="AJ478" s="18"/>
      <c r="AK478" s="18"/>
      <c r="AL478" s="18"/>
      <c r="AM478" s="18"/>
      <c r="AN478" s="18"/>
      <c r="AO478" s="18"/>
      <c r="AP478" s="18"/>
      <c r="AQ478" s="18"/>
      <c r="AR478" s="18"/>
      <c r="AS478" s="18"/>
      <c r="AT478" s="18"/>
      <c r="AU478" s="91"/>
      <c r="AV478" s="18"/>
      <c r="AW478" s="18"/>
      <c r="AX478" s="18"/>
      <c r="AY478" s="17"/>
      <c r="AZ478" s="17"/>
      <c r="BA478" s="17"/>
      <c r="BB478" s="17"/>
      <c r="BC478" s="96"/>
      <c r="BD478" s="96"/>
      <c r="BE478" s="96"/>
      <c r="BF478" s="96"/>
      <c r="BG478" s="96"/>
      <c r="BH478" s="96"/>
      <c r="BI478" s="96"/>
    </row>
    <row r="479" spans="1:61" x14ac:dyDescent="0.45">
      <c r="A479" s="17"/>
      <c r="B479" s="17"/>
      <c r="C479" s="17"/>
      <c r="D479" s="17"/>
      <c r="E479" s="15"/>
      <c r="F479" s="17"/>
      <c r="G479" s="17"/>
      <c r="H479" s="3"/>
      <c r="I479" s="88"/>
      <c r="J479" s="88"/>
      <c r="K479" s="15"/>
      <c r="L479" s="96"/>
      <c r="M479" s="89"/>
      <c r="N479" s="88"/>
      <c r="O479" s="413"/>
      <c r="P479" s="18"/>
      <c r="Q479" s="91"/>
      <c r="R479" s="18"/>
      <c r="S479" s="18"/>
      <c r="T479" s="18"/>
      <c r="U479" s="18"/>
      <c r="V479" s="18"/>
      <c r="W479" s="18"/>
      <c r="X479" s="18"/>
      <c r="Y479" s="92"/>
      <c r="Z479" s="92"/>
      <c r="AA479" s="418"/>
      <c r="AB479" s="95"/>
      <c r="AC479" s="18"/>
      <c r="AD479" s="18"/>
      <c r="AE479" s="18"/>
      <c r="AF479" s="18"/>
      <c r="AG479" s="91"/>
      <c r="AH479" s="18"/>
      <c r="AI479" s="18"/>
      <c r="AJ479" s="18"/>
      <c r="AK479" s="18"/>
      <c r="AL479" s="18"/>
      <c r="AM479" s="18"/>
      <c r="AN479" s="18"/>
      <c r="AO479" s="18"/>
      <c r="AP479" s="18"/>
      <c r="AQ479" s="18"/>
      <c r="AR479" s="18"/>
      <c r="AS479" s="18"/>
      <c r="AT479" s="18"/>
      <c r="AU479" s="91"/>
      <c r="AV479" s="18"/>
      <c r="AW479" s="18"/>
      <c r="AX479" s="18"/>
      <c r="AY479" s="17"/>
      <c r="AZ479" s="17"/>
      <c r="BA479" s="17"/>
      <c r="BB479" s="17"/>
      <c r="BC479" s="96"/>
      <c r="BD479" s="96"/>
      <c r="BE479" s="96"/>
      <c r="BF479" s="96"/>
      <c r="BG479" s="96"/>
      <c r="BH479" s="96"/>
      <c r="BI479" s="96"/>
    </row>
    <row r="480" spans="1:61" x14ac:dyDescent="0.45">
      <c r="A480" s="17"/>
      <c r="B480" s="17"/>
      <c r="C480" s="17"/>
      <c r="D480" s="17"/>
      <c r="E480" s="15"/>
      <c r="F480" s="17"/>
      <c r="G480" s="17"/>
      <c r="H480" s="3"/>
      <c r="I480" s="88"/>
      <c r="J480" s="88"/>
      <c r="K480" s="15"/>
      <c r="L480" s="96"/>
      <c r="M480" s="89"/>
      <c r="N480" s="88"/>
      <c r="O480" s="413"/>
      <c r="P480" s="18"/>
      <c r="Q480" s="91"/>
      <c r="R480" s="18"/>
      <c r="S480" s="18"/>
      <c r="T480" s="18"/>
      <c r="U480" s="18"/>
      <c r="V480" s="18"/>
      <c r="W480" s="18"/>
      <c r="X480" s="18"/>
      <c r="Y480" s="92"/>
      <c r="Z480" s="92"/>
      <c r="AA480" s="418"/>
      <c r="AB480" s="95"/>
      <c r="AC480" s="18"/>
      <c r="AD480" s="18"/>
      <c r="AE480" s="18"/>
      <c r="AF480" s="18"/>
      <c r="AG480" s="91"/>
      <c r="AH480" s="18"/>
      <c r="AI480" s="18"/>
      <c r="AJ480" s="18"/>
      <c r="AK480" s="18"/>
      <c r="AL480" s="18"/>
      <c r="AM480" s="18"/>
      <c r="AN480" s="18"/>
      <c r="AO480" s="18"/>
      <c r="AP480" s="18"/>
      <c r="AQ480" s="18"/>
      <c r="AR480" s="18"/>
      <c r="AS480" s="18"/>
      <c r="AT480" s="18"/>
      <c r="AU480" s="91"/>
      <c r="AV480" s="18"/>
      <c r="AW480" s="18"/>
      <c r="AX480" s="18"/>
      <c r="AY480" s="17"/>
      <c r="AZ480" s="17"/>
      <c r="BA480" s="17"/>
      <c r="BB480" s="17"/>
      <c r="BC480" s="96"/>
      <c r="BD480" s="96"/>
      <c r="BE480" s="96"/>
      <c r="BF480" s="96"/>
      <c r="BG480" s="96"/>
      <c r="BH480" s="96"/>
      <c r="BI480" s="96"/>
    </row>
    <row r="481" spans="1:61" x14ac:dyDescent="0.45">
      <c r="A481" s="17"/>
      <c r="B481" s="17"/>
      <c r="C481" s="17"/>
      <c r="D481" s="17"/>
      <c r="E481" s="15"/>
      <c r="F481" s="17"/>
      <c r="G481" s="17"/>
      <c r="H481" s="3"/>
      <c r="I481" s="88"/>
      <c r="J481" s="88"/>
      <c r="K481" s="15"/>
      <c r="L481" s="96"/>
      <c r="M481" s="89"/>
      <c r="N481" s="88"/>
      <c r="O481" s="413"/>
      <c r="P481" s="18"/>
      <c r="Q481" s="91"/>
      <c r="R481" s="18"/>
      <c r="S481" s="18"/>
      <c r="T481" s="18"/>
      <c r="U481" s="18"/>
      <c r="V481" s="18"/>
      <c r="W481" s="18"/>
      <c r="X481" s="18"/>
      <c r="Y481" s="92"/>
      <c r="Z481" s="92"/>
      <c r="AA481" s="418"/>
      <c r="AB481" s="95"/>
      <c r="AC481" s="18"/>
      <c r="AD481" s="18"/>
      <c r="AE481" s="18"/>
      <c r="AF481" s="18"/>
      <c r="AG481" s="91"/>
      <c r="AH481" s="18"/>
      <c r="AI481" s="18"/>
      <c r="AJ481" s="18"/>
      <c r="AK481" s="18"/>
      <c r="AL481" s="18"/>
      <c r="AM481" s="18"/>
      <c r="AN481" s="18"/>
      <c r="AO481" s="18"/>
      <c r="AP481" s="18"/>
      <c r="AQ481" s="18"/>
      <c r="AR481" s="18"/>
      <c r="AS481" s="18"/>
      <c r="AT481" s="18"/>
      <c r="AU481" s="91"/>
      <c r="AV481" s="18"/>
      <c r="AW481" s="18"/>
      <c r="AX481" s="18"/>
      <c r="AY481" s="17"/>
      <c r="AZ481" s="17"/>
      <c r="BA481" s="17"/>
      <c r="BB481" s="17"/>
      <c r="BC481" s="96"/>
      <c r="BD481" s="96"/>
      <c r="BE481" s="96"/>
      <c r="BF481" s="96"/>
      <c r="BG481" s="96"/>
      <c r="BH481" s="96"/>
      <c r="BI481" s="96"/>
    </row>
    <row r="482" spans="1:61" x14ac:dyDescent="0.45">
      <c r="A482" s="17"/>
      <c r="B482" s="17"/>
      <c r="C482" s="17"/>
      <c r="D482" s="17"/>
      <c r="E482" s="15"/>
      <c r="F482" s="17"/>
      <c r="G482" s="17"/>
      <c r="H482" s="3"/>
      <c r="I482" s="88"/>
      <c r="J482" s="88"/>
      <c r="K482" s="15"/>
      <c r="L482" s="96"/>
      <c r="M482" s="89"/>
      <c r="N482" s="88"/>
      <c r="O482" s="413"/>
      <c r="P482" s="18"/>
      <c r="Q482" s="91"/>
      <c r="R482" s="18"/>
      <c r="S482" s="18"/>
      <c r="T482" s="18"/>
      <c r="U482" s="18"/>
      <c r="V482" s="18"/>
      <c r="W482" s="18"/>
      <c r="X482" s="18"/>
      <c r="Y482" s="92"/>
      <c r="Z482" s="92"/>
      <c r="AA482" s="418"/>
      <c r="AB482" s="95"/>
      <c r="AC482" s="18"/>
      <c r="AD482" s="18"/>
      <c r="AE482" s="18"/>
      <c r="AF482" s="18"/>
      <c r="AG482" s="91"/>
      <c r="AH482" s="18"/>
      <c r="AI482" s="18"/>
      <c r="AJ482" s="18"/>
      <c r="AK482" s="18"/>
      <c r="AL482" s="18"/>
      <c r="AM482" s="18"/>
      <c r="AN482" s="18"/>
      <c r="AO482" s="18"/>
      <c r="AP482" s="18"/>
      <c r="AQ482" s="18"/>
      <c r="AR482" s="18"/>
      <c r="AS482" s="18"/>
      <c r="AT482" s="18"/>
      <c r="AU482" s="91"/>
      <c r="AV482" s="18"/>
      <c r="AW482" s="18"/>
      <c r="AX482" s="18"/>
      <c r="AY482" s="17"/>
      <c r="AZ482" s="17"/>
      <c r="BA482" s="17"/>
      <c r="BB482" s="17"/>
      <c r="BC482" s="96"/>
      <c r="BD482" s="96"/>
      <c r="BE482" s="96"/>
      <c r="BF482" s="96"/>
      <c r="BG482" s="96"/>
      <c r="BH482" s="96"/>
      <c r="BI482" s="96"/>
    </row>
    <row r="483" spans="1:61" x14ac:dyDescent="0.45">
      <c r="A483" s="17"/>
      <c r="B483" s="17"/>
      <c r="C483" s="17"/>
      <c r="D483" s="17"/>
      <c r="E483" s="15"/>
      <c r="F483" s="17"/>
      <c r="G483" s="17"/>
      <c r="H483" s="3"/>
      <c r="I483" s="88"/>
      <c r="J483" s="88"/>
      <c r="K483" s="15"/>
      <c r="L483" s="96"/>
      <c r="M483" s="89"/>
      <c r="N483" s="88"/>
      <c r="O483" s="413"/>
      <c r="P483" s="18"/>
      <c r="Q483" s="91"/>
      <c r="R483" s="18"/>
      <c r="S483" s="18"/>
      <c r="T483" s="18"/>
      <c r="U483" s="18"/>
      <c r="V483" s="18"/>
      <c r="W483" s="18"/>
      <c r="X483" s="18"/>
      <c r="Y483" s="92"/>
      <c r="Z483" s="92"/>
      <c r="AA483" s="418"/>
      <c r="AB483" s="95"/>
      <c r="AC483" s="18"/>
      <c r="AD483" s="18"/>
      <c r="AE483" s="18"/>
      <c r="AF483" s="18"/>
      <c r="AG483" s="91"/>
      <c r="AH483" s="18"/>
      <c r="AI483" s="18"/>
      <c r="AJ483" s="18"/>
      <c r="AK483" s="18"/>
      <c r="AL483" s="18"/>
      <c r="AM483" s="18"/>
      <c r="AN483" s="18"/>
      <c r="AO483" s="18"/>
      <c r="AP483" s="18"/>
      <c r="AQ483" s="18"/>
      <c r="AR483" s="18"/>
      <c r="AS483" s="18"/>
      <c r="AT483" s="18"/>
      <c r="AU483" s="91"/>
      <c r="AV483" s="18"/>
      <c r="AW483" s="18"/>
      <c r="AX483" s="18"/>
      <c r="AY483" s="17"/>
      <c r="AZ483" s="17"/>
      <c r="BA483" s="17"/>
      <c r="BB483" s="17"/>
      <c r="BC483" s="96"/>
      <c r="BD483" s="96"/>
      <c r="BE483" s="96"/>
      <c r="BF483" s="96"/>
      <c r="BG483" s="96"/>
      <c r="BH483" s="96"/>
      <c r="BI483" s="96"/>
    </row>
    <row r="484" spans="1:61" x14ac:dyDescent="0.45">
      <c r="A484" s="17"/>
      <c r="B484" s="17"/>
      <c r="C484" s="17"/>
      <c r="D484" s="17"/>
      <c r="E484" s="15"/>
      <c r="F484" s="17"/>
      <c r="G484" s="17"/>
      <c r="H484" s="3"/>
      <c r="I484" s="88"/>
      <c r="J484" s="88"/>
      <c r="K484" s="15"/>
      <c r="L484" s="96"/>
      <c r="M484" s="89"/>
      <c r="N484" s="88"/>
      <c r="O484" s="413"/>
      <c r="P484" s="18"/>
      <c r="Q484" s="91"/>
      <c r="R484" s="18"/>
      <c r="S484" s="18"/>
      <c r="T484" s="18"/>
      <c r="U484" s="18"/>
      <c r="V484" s="18"/>
      <c r="W484" s="18"/>
      <c r="X484" s="18"/>
      <c r="Y484" s="92"/>
      <c r="Z484" s="92"/>
      <c r="AA484" s="418"/>
      <c r="AB484" s="95"/>
      <c r="AC484" s="18"/>
      <c r="AD484" s="18"/>
      <c r="AE484" s="18"/>
      <c r="AF484" s="18"/>
      <c r="AG484" s="91"/>
      <c r="AH484" s="18"/>
      <c r="AI484" s="18"/>
      <c r="AJ484" s="18"/>
      <c r="AK484" s="18"/>
      <c r="AL484" s="18"/>
      <c r="AM484" s="18"/>
      <c r="AN484" s="18"/>
      <c r="AO484" s="18"/>
      <c r="AP484" s="18"/>
      <c r="AQ484" s="18"/>
      <c r="AR484" s="18"/>
      <c r="AS484" s="18"/>
      <c r="AT484" s="18"/>
      <c r="AU484" s="91"/>
      <c r="AV484" s="18"/>
      <c r="AW484" s="18"/>
      <c r="AX484" s="18"/>
      <c r="AY484" s="17"/>
      <c r="AZ484" s="17"/>
      <c r="BA484" s="17"/>
      <c r="BB484" s="17"/>
      <c r="BC484" s="96"/>
      <c r="BD484" s="96"/>
      <c r="BE484" s="96"/>
      <c r="BF484" s="96"/>
      <c r="BG484" s="96"/>
      <c r="BH484" s="96"/>
      <c r="BI484" s="96"/>
    </row>
    <row r="485" spans="1:61" x14ac:dyDescent="0.45">
      <c r="A485" s="17"/>
      <c r="B485" s="17"/>
      <c r="C485" s="17"/>
      <c r="D485" s="17"/>
      <c r="E485" s="15"/>
      <c r="F485" s="17"/>
      <c r="G485" s="17"/>
      <c r="H485" s="3"/>
      <c r="I485" s="88"/>
      <c r="J485" s="88"/>
      <c r="K485" s="15"/>
      <c r="L485" s="96"/>
      <c r="M485" s="89"/>
      <c r="N485" s="88"/>
      <c r="O485" s="413"/>
      <c r="P485" s="18"/>
      <c r="Q485" s="91"/>
      <c r="R485" s="18"/>
      <c r="S485" s="18"/>
      <c r="T485" s="18"/>
      <c r="U485" s="18"/>
      <c r="V485" s="18"/>
      <c r="W485" s="18"/>
      <c r="X485" s="18"/>
      <c r="Y485" s="92"/>
      <c r="Z485" s="92"/>
      <c r="AA485" s="418"/>
      <c r="AB485" s="95"/>
      <c r="AC485" s="18"/>
      <c r="AD485" s="18"/>
      <c r="AE485" s="18"/>
      <c r="AF485" s="18"/>
      <c r="AG485" s="91"/>
      <c r="AH485" s="18"/>
      <c r="AI485" s="18"/>
      <c r="AJ485" s="18"/>
      <c r="AK485" s="18"/>
      <c r="AL485" s="18"/>
      <c r="AM485" s="18"/>
      <c r="AN485" s="18"/>
      <c r="AO485" s="18"/>
      <c r="AP485" s="18"/>
      <c r="AQ485" s="18"/>
      <c r="AR485" s="18"/>
      <c r="AS485" s="18"/>
      <c r="AT485" s="18"/>
      <c r="AU485" s="91"/>
      <c r="AV485" s="18"/>
      <c r="AW485" s="18"/>
      <c r="AX485" s="18"/>
      <c r="AY485" s="17"/>
      <c r="AZ485" s="17"/>
      <c r="BA485" s="17"/>
      <c r="BB485" s="17"/>
      <c r="BC485" s="96"/>
      <c r="BD485" s="96"/>
      <c r="BE485" s="96"/>
      <c r="BF485" s="96"/>
      <c r="BG485" s="96"/>
      <c r="BH485" s="96"/>
      <c r="BI485" s="96"/>
    </row>
    <row r="486" spans="1:61" x14ac:dyDescent="0.45">
      <c r="A486" s="17"/>
      <c r="B486" s="17"/>
      <c r="C486" s="17"/>
      <c r="D486" s="17"/>
      <c r="E486" s="15"/>
      <c r="F486" s="17"/>
      <c r="G486" s="17"/>
      <c r="H486" s="3"/>
      <c r="I486" s="88"/>
      <c r="J486" s="88"/>
      <c r="K486" s="15"/>
      <c r="L486" s="96"/>
      <c r="M486" s="89"/>
      <c r="N486" s="88"/>
      <c r="O486" s="413"/>
      <c r="P486" s="18"/>
      <c r="Q486" s="91"/>
      <c r="R486" s="18"/>
      <c r="S486" s="18"/>
      <c r="T486" s="18"/>
      <c r="U486" s="18"/>
      <c r="V486" s="18"/>
      <c r="W486" s="18"/>
      <c r="X486" s="18"/>
      <c r="Y486" s="92"/>
      <c r="Z486" s="92"/>
      <c r="AA486" s="418"/>
      <c r="AB486" s="95"/>
      <c r="AC486" s="18"/>
      <c r="AD486" s="18"/>
      <c r="AE486" s="18"/>
      <c r="AF486" s="18"/>
      <c r="AG486" s="91"/>
      <c r="AH486" s="18"/>
      <c r="AI486" s="18"/>
      <c r="AJ486" s="18"/>
      <c r="AK486" s="18"/>
      <c r="AL486" s="18"/>
      <c r="AM486" s="18"/>
      <c r="AN486" s="18"/>
      <c r="AO486" s="18"/>
      <c r="AP486" s="18"/>
      <c r="AQ486" s="18"/>
      <c r="AR486" s="18"/>
      <c r="AS486" s="18"/>
      <c r="AT486" s="18"/>
      <c r="AU486" s="91"/>
      <c r="AV486" s="18"/>
      <c r="AW486" s="18"/>
      <c r="AX486" s="18"/>
      <c r="AY486" s="17"/>
      <c r="AZ486" s="17"/>
      <c r="BA486" s="17"/>
      <c r="BB486" s="17"/>
      <c r="BC486" s="96"/>
      <c r="BD486" s="96"/>
      <c r="BE486" s="96"/>
      <c r="BF486" s="96"/>
      <c r="BG486" s="96"/>
      <c r="BH486" s="96"/>
      <c r="BI486" s="96"/>
    </row>
    <row r="487" spans="1:61" x14ac:dyDescent="0.45">
      <c r="A487" s="17"/>
      <c r="B487" s="17"/>
      <c r="C487" s="17"/>
      <c r="D487" s="17"/>
      <c r="E487" s="15"/>
      <c r="F487" s="17"/>
      <c r="G487" s="17"/>
      <c r="H487" s="3"/>
      <c r="I487" s="88"/>
      <c r="J487" s="88"/>
      <c r="K487" s="15"/>
      <c r="L487" s="96"/>
      <c r="M487" s="89"/>
      <c r="N487" s="88"/>
      <c r="O487" s="413"/>
      <c r="P487" s="18"/>
      <c r="Q487" s="91"/>
      <c r="R487" s="18"/>
      <c r="S487" s="18"/>
      <c r="T487" s="18"/>
      <c r="U487" s="18"/>
      <c r="V487" s="18"/>
      <c r="W487" s="18"/>
      <c r="X487" s="18"/>
      <c r="Y487" s="92"/>
      <c r="Z487" s="92"/>
      <c r="AA487" s="418"/>
      <c r="AB487" s="95"/>
      <c r="AC487" s="18"/>
      <c r="AD487" s="18"/>
      <c r="AE487" s="18"/>
      <c r="AF487" s="18"/>
      <c r="AG487" s="91"/>
      <c r="AH487" s="18"/>
      <c r="AI487" s="18"/>
      <c r="AJ487" s="18"/>
      <c r="AK487" s="18"/>
      <c r="AL487" s="18"/>
      <c r="AM487" s="18"/>
      <c r="AN487" s="18"/>
      <c r="AO487" s="18"/>
      <c r="AP487" s="18"/>
      <c r="AQ487" s="18"/>
      <c r="AR487" s="18"/>
      <c r="AS487" s="18"/>
      <c r="AT487" s="18"/>
      <c r="AU487" s="91"/>
      <c r="AV487" s="18"/>
      <c r="AW487" s="18"/>
      <c r="AX487" s="18"/>
      <c r="AY487" s="17"/>
      <c r="AZ487" s="17"/>
      <c r="BA487" s="17"/>
      <c r="BB487" s="17"/>
      <c r="BC487" s="96"/>
      <c r="BD487" s="96"/>
      <c r="BE487" s="96"/>
      <c r="BF487" s="96"/>
      <c r="BG487" s="96"/>
      <c r="BH487" s="96"/>
      <c r="BI487" s="96"/>
    </row>
    <row r="488" spans="1:61" x14ac:dyDescent="0.45">
      <c r="A488" s="17"/>
      <c r="B488" s="17"/>
      <c r="C488" s="17"/>
      <c r="D488" s="17"/>
      <c r="E488" s="15"/>
      <c r="F488" s="17"/>
      <c r="G488" s="17"/>
      <c r="H488" s="3"/>
      <c r="I488" s="88"/>
      <c r="J488" s="88"/>
      <c r="K488" s="15"/>
      <c r="L488" s="96"/>
      <c r="M488" s="89"/>
      <c r="N488" s="88"/>
      <c r="O488" s="413"/>
      <c r="P488" s="18"/>
      <c r="Q488" s="91"/>
      <c r="R488" s="18"/>
      <c r="S488" s="18"/>
      <c r="T488" s="18"/>
      <c r="U488" s="18"/>
      <c r="V488" s="18"/>
      <c r="W488" s="18"/>
      <c r="X488" s="18"/>
      <c r="Y488" s="92"/>
      <c r="Z488" s="92"/>
      <c r="AA488" s="418"/>
      <c r="AB488" s="95"/>
      <c r="AC488" s="18"/>
      <c r="AD488" s="18"/>
      <c r="AE488" s="18"/>
      <c r="AF488" s="18"/>
      <c r="AG488" s="91"/>
      <c r="AH488" s="18"/>
      <c r="AI488" s="18"/>
      <c r="AJ488" s="18"/>
      <c r="AK488" s="18"/>
      <c r="AL488" s="18"/>
      <c r="AM488" s="18"/>
      <c r="AN488" s="18"/>
      <c r="AO488" s="18"/>
      <c r="AP488" s="18"/>
      <c r="AQ488" s="18"/>
      <c r="AR488" s="18"/>
      <c r="AS488" s="18"/>
      <c r="AT488" s="18"/>
      <c r="AU488" s="91"/>
      <c r="AV488" s="18"/>
      <c r="AW488" s="18"/>
      <c r="AX488" s="18"/>
      <c r="AY488" s="17"/>
      <c r="AZ488" s="17"/>
      <c r="BA488" s="17"/>
      <c r="BB488" s="17"/>
      <c r="BC488" s="96"/>
      <c r="BD488" s="96"/>
      <c r="BE488" s="96"/>
      <c r="BF488" s="96"/>
      <c r="BG488" s="96"/>
      <c r="BH488" s="96"/>
      <c r="BI488" s="96"/>
    </row>
    <row r="489" spans="1:61" x14ac:dyDescent="0.45">
      <c r="A489" s="17"/>
      <c r="B489" s="17"/>
      <c r="C489" s="17"/>
      <c r="D489" s="17"/>
      <c r="E489" s="15"/>
      <c r="F489" s="17"/>
      <c r="G489" s="17"/>
      <c r="H489" s="3"/>
      <c r="I489" s="88"/>
      <c r="J489" s="88"/>
      <c r="K489" s="15"/>
      <c r="L489" s="96"/>
      <c r="M489" s="89"/>
      <c r="N489" s="88"/>
      <c r="O489" s="413"/>
      <c r="P489" s="18"/>
      <c r="Q489" s="91"/>
      <c r="R489" s="18"/>
      <c r="S489" s="18"/>
      <c r="T489" s="18"/>
      <c r="U489" s="18"/>
      <c r="V489" s="18"/>
      <c r="W489" s="18"/>
      <c r="X489" s="18"/>
      <c r="Y489" s="92"/>
      <c r="Z489" s="92"/>
      <c r="AA489" s="418"/>
      <c r="AB489" s="95"/>
      <c r="AC489" s="18"/>
      <c r="AD489" s="18"/>
      <c r="AE489" s="18"/>
      <c r="AF489" s="18"/>
      <c r="AG489" s="91"/>
      <c r="AH489" s="18"/>
      <c r="AI489" s="18"/>
      <c r="AJ489" s="18"/>
      <c r="AK489" s="18"/>
      <c r="AL489" s="18"/>
      <c r="AM489" s="18"/>
      <c r="AN489" s="18"/>
      <c r="AO489" s="18"/>
      <c r="AP489" s="18"/>
      <c r="AQ489" s="18"/>
      <c r="AR489" s="18"/>
      <c r="AS489" s="18"/>
      <c r="AT489" s="18"/>
      <c r="AU489" s="91"/>
      <c r="AV489" s="18"/>
      <c r="AW489" s="18"/>
      <c r="AX489" s="18"/>
      <c r="AY489" s="17"/>
      <c r="AZ489" s="17"/>
      <c r="BA489" s="17"/>
      <c r="BB489" s="17"/>
      <c r="BC489" s="96"/>
      <c r="BD489" s="96"/>
      <c r="BE489" s="96"/>
      <c r="BF489" s="96"/>
      <c r="BG489" s="96"/>
      <c r="BH489" s="96"/>
      <c r="BI489" s="96"/>
    </row>
    <row r="490" spans="1:61" x14ac:dyDescent="0.45">
      <c r="A490" s="17"/>
      <c r="B490" s="17"/>
      <c r="C490" s="17"/>
      <c r="D490" s="17"/>
      <c r="E490" s="15"/>
      <c r="F490" s="17"/>
      <c r="G490" s="17"/>
      <c r="H490" s="3"/>
      <c r="I490" s="88"/>
      <c r="J490" s="88"/>
      <c r="K490" s="15"/>
      <c r="L490" s="96"/>
      <c r="M490" s="89"/>
      <c r="N490" s="88"/>
      <c r="O490" s="413"/>
      <c r="P490" s="18"/>
      <c r="Q490" s="91"/>
      <c r="R490" s="18"/>
      <c r="S490" s="18"/>
      <c r="T490" s="18"/>
      <c r="U490" s="18"/>
      <c r="V490" s="18"/>
      <c r="W490" s="18"/>
      <c r="X490" s="18"/>
      <c r="Y490" s="92"/>
      <c r="Z490" s="92"/>
      <c r="AA490" s="418"/>
      <c r="AB490" s="95"/>
      <c r="AC490" s="18"/>
      <c r="AD490" s="18"/>
      <c r="AE490" s="18"/>
      <c r="AF490" s="18"/>
      <c r="AG490" s="91"/>
      <c r="AH490" s="18"/>
      <c r="AI490" s="18"/>
      <c r="AJ490" s="18"/>
      <c r="AK490" s="18"/>
      <c r="AL490" s="18"/>
      <c r="AM490" s="18"/>
      <c r="AN490" s="18"/>
      <c r="AO490" s="18"/>
      <c r="AP490" s="18"/>
      <c r="AQ490" s="18"/>
      <c r="AR490" s="18"/>
      <c r="AS490" s="18"/>
      <c r="AT490" s="18"/>
      <c r="AU490" s="91"/>
      <c r="AV490" s="18"/>
      <c r="AW490" s="18"/>
      <c r="AX490" s="18"/>
      <c r="AY490" s="17"/>
      <c r="AZ490" s="17"/>
      <c r="BA490" s="17"/>
      <c r="BB490" s="17"/>
      <c r="BC490" s="96"/>
      <c r="BD490" s="96"/>
      <c r="BE490" s="96"/>
      <c r="BF490" s="96"/>
      <c r="BG490" s="96"/>
      <c r="BH490" s="96"/>
      <c r="BI490" s="96"/>
    </row>
    <row r="491" spans="1:61" x14ac:dyDescent="0.45">
      <c r="A491" s="17"/>
      <c r="B491" s="17"/>
      <c r="C491" s="17"/>
      <c r="D491" s="17"/>
      <c r="E491" s="15"/>
      <c r="F491" s="17"/>
      <c r="G491" s="17"/>
      <c r="H491" s="3"/>
      <c r="I491" s="88"/>
      <c r="J491" s="88"/>
      <c r="K491" s="15"/>
      <c r="L491" s="96"/>
      <c r="M491" s="89"/>
      <c r="N491" s="88"/>
      <c r="O491" s="413"/>
      <c r="P491" s="18"/>
      <c r="Q491" s="91"/>
      <c r="R491" s="18"/>
      <c r="S491" s="18"/>
      <c r="T491" s="18"/>
      <c r="U491" s="18"/>
      <c r="V491" s="18"/>
      <c r="W491" s="18"/>
      <c r="X491" s="18"/>
      <c r="Y491" s="92"/>
      <c r="Z491" s="92"/>
      <c r="AA491" s="418"/>
      <c r="AB491" s="95"/>
      <c r="AC491" s="18"/>
      <c r="AD491" s="18"/>
      <c r="AE491" s="18"/>
      <c r="AF491" s="18"/>
      <c r="AG491" s="91"/>
      <c r="AH491" s="18"/>
      <c r="AI491" s="18"/>
      <c r="AJ491" s="18"/>
      <c r="AK491" s="18"/>
      <c r="AL491" s="18"/>
      <c r="AM491" s="18"/>
      <c r="AN491" s="18"/>
      <c r="AO491" s="18"/>
      <c r="AP491" s="18"/>
      <c r="AQ491" s="18"/>
      <c r="AR491" s="18"/>
      <c r="AS491" s="18"/>
      <c r="AT491" s="18"/>
      <c r="AU491" s="91"/>
      <c r="AV491" s="18"/>
      <c r="AW491" s="18"/>
      <c r="AX491" s="18"/>
      <c r="AY491" s="17"/>
      <c r="AZ491" s="17"/>
      <c r="BA491" s="17"/>
      <c r="BB491" s="17"/>
      <c r="BC491" s="96"/>
      <c r="BD491" s="96"/>
      <c r="BE491" s="96"/>
      <c r="BF491" s="96"/>
      <c r="BG491" s="96"/>
      <c r="BH491" s="96"/>
      <c r="BI491" s="96"/>
    </row>
    <row r="492" spans="1:61" x14ac:dyDescent="0.45">
      <c r="A492" s="17"/>
      <c r="B492" s="17"/>
      <c r="C492" s="17"/>
      <c r="D492" s="17"/>
      <c r="E492" s="15"/>
      <c r="F492" s="17"/>
      <c r="G492" s="17"/>
      <c r="H492" s="3"/>
      <c r="I492" s="88"/>
      <c r="J492" s="88"/>
      <c r="K492" s="15"/>
      <c r="L492" s="96"/>
      <c r="M492" s="89"/>
      <c r="N492" s="88"/>
      <c r="O492" s="413"/>
      <c r="P492" s="18"/>
      <c r="Q492" s="91"/>
      <c r="R492" s="18"/>
      <c r="S492" s="18"/>
      <c r="T492" s="18"/>
      <c r="U492" s="18"/>
      <c r="V492" s="18"/>
      <c r="W492" s="18"/>
      <c r="X492" s="18"/>
      <c r="Y492" s="92"/>
      <c r="Z492" s="92"/>
      <c r="AA492" s="418"/>
      <c r="AB492" s="95"/>
      <c r="AC492" s="18"/>
      <c r="AD492" s="18"/>
      <c r="AE492" s="18"/>
      <c r="AF492" s="18"/>
      <c r="AG492" s="91"/>
      <c r="AH492" s="18"/>
      <c r="AI492" s="18"/>
      <c r="AJ492" s="18"/>
      <c r="AK492" s="18"/>
      <c r="AL492" s="18"/>
      <c r="AM492" s="18"/>
      <c r="AN492" s="18"/>
      <c r="AO492" s="18"/>
      <c r="AP492" s="18"/>
      <c r="AQ492" s="18"/>
      <c r="AR492" s="18"/>
      <c r="AS492" s="18"/>
      <c r="AT492" s="18"/>
      <c r="AU492" s="91"/>
      <c r="AV492" s="18"/>
      <c r="AW492" s="18"/>
      <c r="AX492" s="18"/>
      <c r="AY492" s="17"/>
      <c r="AZ492" s="17"/>
      <c r="BA492" s="17"/>
      <c r="BB492" s="17"/>
      <c r="BC492" s="96"/>
      <c r="BD492" s="96"/>
      <c r="BE492" s="96"/>
      <c r="BF492" s="96"/>
      <c r="BG492" s="96"/>
      <c r="BH492" s="96"/>
      <c r="BI492" s="96"/>
    </row>
    <row r="493" spans="1:61" x14ac:dyDescent="0.45">
      <c r="A493" s="17"/>
      <c r="B493" s="17"/>
      <c r="C493" s="17"/>
      <c r="D493" s="17"/>
      <c r="E493" s="15"/>
      <c r="F493" s="17"/>
      <c r="G493" s="17"/>
      <c r="H493" s="3"/>
      <c r="I493" s="88"/>
      <c r="J493" s="88"/>
      <c r="K493" s="15"/>
      <c r="L493" s="96"/>
      <c r="M493" s="89"/>
      <c r="N493" s="88"/>
      <c r="O493" s="413"/>
      <c r="P493" s="18"/>
      <c r="Q493" s="91"/>
      <c r="R493" s="18"/>
      <c r="S493" s="18"/>
      <c r="T493" s="18"/>
      <c r="U493" s="18"/>
      <c r="V493" s="18"/>
      <c r="W493" s="18"/>
      <c r="X493" s="18"/>
      <c r="Y493" s="92"/>
      <c r="Z493" s="92"/>
      <c r="AA493" s="418"/>
      <c r="AB493" s="95"/>
      <c r="AC493" s="18"/>
      <c r="AD493" s="18"/>
      <c r="AE493" s="18"/>
      <c r="AF493" s="18"/>
      <c r="AG493" s="91"/>
      <c r="AH493" s="18"/>
      <c r="AI493" s="18"/>
      <c r="AJ493" s="18"/>
      <c r="AK493" s="18"/>
      <c r="AL493" s="18"/>
      <c r="AM493" s="18"/>
      <c r="AN493" s="18"/>
      <c r="AO493" s="18"/>
      <c r="AP493" s="18"/>
      <c r="AQ493" s="18"/>
      <c r="AR493" s="18"/>
      <c r="AS493" s="18"/>
      <c r="AT493" s="18"/>
      <c r="AU493" s="91"/>
      <c r="AV493" s="18"/>
      <c r="AW493" s="18"/>
      <c r="AX493" s="18"/>
      <c r="AY493" s="17"/>
      <c r="AZ493" s="17"/>
      <c r="BA493" s="17"/>
      <c r="BB493" s="17"/>
      <c r="BC493" s="96"/>
      <c r="BD493" s="96"/>
      <c r="BE493" s="96"/>
      <c r="BF493" s="96"/>
      <c r="BG493" s="96"/>
      <c r="BH493" s="96"/>
      <c r="BI493" s="96"/>
    </row>
    <row r="494" spans="1:61" x14ac:dyDescent="0.45">
      <c r="A494" s="17"/>
      <c r="B494" s="17"/>
      <c r="C494" s="17"/>
      <c r="D494" s="17"/>
      <c r="E494" s="15"/>
      <c r="F494" s="17"/>
      <c r="G494" s="17"/>
      <c r="H494" s="3"/>
      <c r="I494" s="88"/>
      <c r="J494" s="88"/>
      <c r="K494" s="15"/>
      <c r="L494" s="96"/>
      <c r="M494" s="89"/>
      <c r="N494" s="88"/>
      <c r="O494" s="413"/>
      <c r="P494" s="18"/>
      <c r="Q494" s="91"/>
      <c r="R494" s="18"/>
      <c r="S494" s="18"/>
      <c r="T494" s="18"/>
      <c r="U494" s="18"/>
      <c r="V494" s="18"/>
      <c r="W494" s="18"/>
      <c r="X494" s="18"/>
      <c r="Y494" s="92"/>
      <c r="Z494" s="92"/>
      <c r="AA494" s="418"/>
      <c r="AB494" s="95"/>
      <c r="AC494" s="18"/>
      <c r="AD494" s="18"/>
      <c r="AE494" s="18"/>
      <c r="AF494" s="18"/>
      <c r="AG494" s="91"/>
      <c r="AH494" s="18"/>
      <c r="AI494" s="18"/>
      <c r="AJ494" s="18"/>
      <c r="AK494" s="18"/>
      <c r="AL494" s="18"/>
      <c r="AM494" s="18"/>
      <c r="AN494" s="18"/>
      <c r="AO494" s="18"/>
      <c r="AP494" s="18"/>
      <c r="AQ494" s="18"/>
      <c r="AR494" s="18"/>
      <c r="AS494" s="18"/>
      <c r="AT494" s="18"/>
      <c r="AU494" s="91"/>
      <c r="AV494" s="18"/>
      <c r="AW494" s="18"/>
      <c r="AX494" s="18"/>
      <c r="AY494" s="17"/>
      <c r="AZ494" s="17"/>
      <c r="BA494" s="17"/>
      <c r="BB494" s="17"/>
      <c r="BC494" s="96"/>
      <c r="BD494" s="96"/>
      <c r="BE494" s="96"/>
      <c r="BF494" s="96"/>
      <c r="BG494" s="96"/>
      <c r="BH494" s="96"/>
      <c r="BI494" s="96"/>
    </row>
    <row r="495" spans="1:61" x14ac:dyDescent="0.45">
      <c r="A495" s="17"/>
      <c r="B495" s="17"/>
      <c r="C495" s="17"/>
      <c r="D495" s="17"/>
      <c r="E495" s="15"/>
      <c r="F495" s="17"/>
      <c r="G495" s="17"/>
      <c r="H495" s="3"/>
      <c r="I495" s="88"/>
      <c r="J495" s="88"/>
      <c r="K495" s="15"/>
      <c r="L495" s="96"/>
      <c r="M495" s="89"/>
      <c r="N495" s="88"/>
      <c r="O495" s="413"/>
      <c r="P495" s="18"/>
      <c r="Q495" s="91"/>
      <c r="R495" s="18"/>
      <c r="S495" s="18"/>
      <c r="T495" s="18"/>
      <c r="U495" s="18"/>
      <c r="V495" s="18"/>
      <c r="W495" s="18"/>
      <c r="X495" s="18"/>
      <c r="Y495" s="92"/>
      <c r="Z495" s="92"/>
      <c r="AA495" s="418"/>
      <c r="AB495" s="95"/>
      <c r="AC495" s="18"/>
      <c r="AD495" s="18"/>
      <c r="AE495" s="18"/>
      <c r="AF495" s="18"/>
      <c r="AG495" s="91"/>
      <c r="AH495" s="18"/>
      <c r="AI495" s="18"/>
      <c r="AJ495" s="18"/>
      <c r="AK495" s="18"/>
      <c r="AL495" s="18"/>
      <c r="AM495" s="18"/>
      <c r="AN495" s="18"/>
      <c r="AO495" s="18"/>
      <c r="AP495" s="18"/>
      <c r="AQ495" s="18"/>
      <c r="AR495" s="18"/>
      <c r="AS495" s="18"/>
      <c r="AT495" s="18"/>
      <c r="AU495" s="91"/>
      <c r="AV495" s="18"/>
      <c r="AW495" s="18"/>
      <c r="AX495" s="18"/>
      <c r="AY495" s="17"/>
      <c r="AZ495" s="17"/>
      <c r="BA495" s="17"/>
      <c r="BB495" s="17"/>
      <c r="BC495" s="96"/>
      <c r="BD495" s="96"/>
      <c r="BE495" s="96"/>
      <c r="BF495" s="96"/>
      <c r="BG495" s="96"/>
      <c r="BH495" s="96"/>
      <c r="BI495" s="96"/>
    </row>
    <row r="496" spans="1:61" x14ac:dyDescent="0.45">
      <c r="A496" s="17"/>
      <c r="B496" s="17"/>
      <c r="C496" s="17"/>
      <c r="D496" s="17"/>
      <c r="E496" s="15"/>
      <c r="F496" s="17"/>
      <c r="G496" s="17"/>
      <c r="H496" s="3"/>
      <c r="I496" s="88"/>
      <c r="J496" s="88"/>
      <c r="K496" s="15"/>
      <c r="L496" s="96"/>
      <c r="M496" s="89"/>
      <c r="N496" s="88"/>
      <c r="O496" s="413"/>
      <c r="P496" s="18"/>
      <c r="Q496" s="91"/>
      <c r="R496" s="18"/>
      <c r="S496" s="18"/>
      <c r="T496" s="18"/>
      <c r="U496" s="18"/>
      <c r="V496" s="18"/>
      <c r="W496" s="18"/>
      <c r="X496" s="18"/>
      <c r="Y496" s="92"/>
      <c r="Z496" s="92"/>
      <c r="AA496" s="418"/>
      <c r="AB496" s="95"/>
      <c r="AC496" s="18"/>
      <c r="AD496" s="18"/>
      <c r="AE496" s="18"/>
      <c r="AF496" s="18"/>
      <c r="AG496" s="91"/>
      <c r="AH496" s="18"/>
      <c r="AI496" s="18"/>
      <c r="AJ496" s="18"/>
      <c r="AK496" s="18"/>
      <c r="AL496" s="18"/>
      <c r="AM496" s="18"/>
      <c r="AN496" s="18"/>
      <c r="AO496" s="18"/>
      <c r="AP496" s="18"/>
      <c r="AQ496" s="18"/>
      <c r="AR496" s="18"/>
      <c r="AS496" s="18"/>
      <c r="AT496" s="18"/>
      <c r="AU496" s="91"/>
      <c r="AV496" s="18"/>
      <c r="AW496" s="18"/>
      <c r="AX496" s="18"/>
      <c r="AY496" s="17"/>
      <c r="AZ496" s="17"/>
      <c r="BA496" s="17"/>
      <c r="BB496" s="17"/>
      <c r="BC496" s="96"/>
      <c r="BD496" s="96"/>
      <c r="BE496" s="96"/>
      <c r="BF496" s="96"/>
      <c r="BG496" s="96"/>
      <c r="BH496" s="96"/>
      <c r="BI496" s="96"/>
    </row>
    <row r="497" spans="1:61" x14ac:dyDescent="0.45">
      <c r="A497" s="17"/>
      <c r="B497" s="17"/>
      <c r="C497" s="17"/>
      <c r="D497" s="17"/>
      <c r="E497" s="15"/>
      <c r="F497" s="17"/>
      <c r="G497" s="17"/>
      <c r="H497" s="3"/>
      <c r="I497" s="88"/>
      <c r="J497" s="88"/>
      <c r="K497" s="15"/>
      <c r="L497" s="96"/>
      <c r="M497" s="89"/>
      <c r="N497" s="88"/>
      <c r="O497" s="413"/>
      <c r="P497" s="18"/>
      <c r="Q497" s="91"/>
      <c r="R497" s="18"/>
      <c r="S497" s="18"/>
      <c r="T497" s="18"/>
      <c r="U497" s="18"/>
      <c r="V497" s="18"/>
      <c r="W497" s="18"/>
      <c r="X497" s="18"/>
      <c r="Y497" s="92"/>
      <c r="Z497" s="92"/>
      <c r="AA497" s="418"/>
      <c r="AB497" s="95"/>
      <c r="AC497" s="18"/>
      <c r="AD497" s="18"/>
      <c r="AE497" s="18"/>
      <c r="AF497" s="18"/>
      <c r="AG497" s="91"/>
      <c r="AH497" s="18"/>
      <c r="AI497" s="18"/>
      <c r="AJ497" s="18"/>
      <c r="AK497" s="18"/>
      <c r="AL497" s="18"/>
      <c r="AM497" s="18"/>
      <c r="AN497" s="18"/>
      <c r="AO497" s="18"/>
      <c r="AP497" s="18"/>
      <c r="AQ497" s="18"/>
      <c r="AR497" s="18"/>
      <c r="AS497" s="18"/>
      <c r="AT497" s="18"/>
      <c r="AU497" s="91"/>
      <c r="AV497" s="18"/>
      <c r="AW497" s="18"/>
      <c r="AX497" s="18"/>
      <c r="AY497" s="17"/>
      <c r="AZ497" s="17"/>
      <c r="BA497" s="17"/>
      <c r="BB497" s="17"/>
      <c r="BC497" s="96"/>
      <c r="BD497" s="96"/>
      <c r="BE497" s="96"/>
      <c r="BF497" s="96"/>
      <c r="BG497" s="96"/>
      <c r="BH497" s="96"/>
      <c r="BI497" s="96"/>
    </row>
    <row r="498" spans="1:61" x14ac:dyDescent="0.45">
      <c r="A498" s="17"/>
      <c r="B498" s="17"/>
      <c r="C498" s="17"/>
      <c r="D498" s="17"/>
      <c r="E498" s="15"/>
      <c r="F498" s="17"/>
      <c r="G498" s="17"/>
      <c r="H498" s="3"/>
      <c r="I498" s="88"/>
      <c r="J498" s="88"/>
      <c r="K498" s="15"/>
      <c r="L498" s="96"/>
      <c r="M498" s="89"/>
      <c r="N498" s="88"/>
      <c r="O498" s="413"/>
      <c r="P498" s="18"/>
      <c r="Q498" s="91"/>
      <c r="R498" s="18"/>
      <c r="S498" s="18"/>
      <c r="T498" s="18"/>
      <c r="U498" s="18"/>
      <c r="V498" s="18"/>
      <c r="W498" s="18"/>
      <c r="X498" s="18"/>
      <c r="Y498" s="92"/>
      <c r="Z498" s="92"/>
      <c r="AA498" s="418"/>
      <c r="AB498" s="95"/>
      <c r="AC498" s="18"/>
      <c r="AD498" s="18"/>
      <c r="AE498" s="18"/>
      <c r="AF498" s="18"/>
      <c r="AG498" s="91"/>
      <c r="AH498" s="18"/>
      <c r="AI498" s="18"/>
      <c r="AJ498" s="18"/>
      <c r="AK498" s="18"/>
      <c r="AL498" s="18"/>
      <c r="AM498" s="18"/>
      <c r="AN498" s="18"/>
      <c r="AO498" s="18"/>
      <c r="AP498" s="18"/>
      <c r="AQ498" s="18"/>
      <c r="AR498" s="18"/>
      <c r="AS498" s="18"/>
      <c r="AT498" s="18"/>
      <c r="AU498" s="91"/>
      <c r="AV498" s="18"/>
      <c r="AW498" s="18"/>
      <c r="AX498" s="18"/>
      <c r="AY498" s="17"/>
      <c r="AZ498" s="17"/>
      <c r="BA498" s="17"/>
      <c r="BB498" s="17"/>
      <c r="BC498" s="96"/>
      <c r="BD498" s="96"/>
      <c r="BE498" s="96"/>
      <c r="BF498" s="96"/>
      <c r="BG498" s="96"/>
      <c r="BH498" s="96"/>
      <c r="BI498" s="96"/>
    </row>
    <row r="499" spans="1:61" x14ac:dyDescent="0.45">
      <c r="A499" s="17"/>
      <c r="B499" s="17"/>
      <c r="C499" s="17"/>
      <c r="D499" s="17"/>
      <c r="E499" s="15"/>
      <c r="F499" s="17"/>
      <c r="G499" s="17"/>
      <c r="H499" s="3"/>
      <c r="I499" s="88"/>
      <c r="J499" s="88"/>
      <c r="K499" s="15"/>
      <c r="L499" s="96"/>
      <c r="M499" s="89"/>
      <c r="N499" s="88"/>
      <c r="O499" s="413"/>
      <c r="P499" s="18"/>
      <c r="Q499" s="91"/>
      <c r="R499" s="18"/>
      <c r="S499" s="18"/>
      <c r="T499" s="18"/>
      <c r="U499" s="18"/>
      <c r="V499" s="18"/>
      <c r="W499" s="18"/>
      <c r="X499" s="18"/>
      <c r="Y499" s="92"/>
      <c r="Z499" s="92"/>
      <c r="AA499" s="418"/>
      <c r="AB499" s="95"/>
      <c r="AC499" s="18"/>
      <c r="AD499" s="18"/>
      <c r="AE499" s="18"/>
      <c r="AF499" s="18"/>
      <c r="AG499" s="91"/>
      <c r="AH499" s="18"/>
      <c r="AI499" s="18"/>
      <c r="AJ499" s="18"/>
      <c r="AK499" s="18"/>
      <c r="AL499" s="18"/>
      <c r="AM499" s="18"/>
      <c r="AN499" s="18"/>
      <c r="AO499" s="18"/>
      <c r="AP499" s="18"/>
      <c r="AQ499" s="18"/>
      <c r="AR499" s="18"/>
      <c r="AS499" s="18"/>
      <c r="AT499" s="18"/>
      <c r="AU499" s="91"/>
      <c r="AV499" s="18"/>
      <c r="AW499" s="18"/>
      <c r="AX499" s="18"/>
      <c r="AY499" s="17"/>
      <c r="AZ499" s="17"/>
      <c r="BA499" s="17"/>
      <c r="BB499" s="17"/>
      <c r="BC499" s="96"/>
      <c r="BD499" s="96"/>
      <c r="BE499" s="96"/>
      <c r="BF499" s="96"/>
      <c r="BG499" s="96"/>
      <c r="BH499" s="96"/>
      <c r="BI499" s="96"/>
    </row>
    <row r="500" spans="1:61" x14ac:dyDescent="0.45">
      <c r="A500" s="17"/>
      <c r="B500" s="17"/>
      <c r="C500" s="17"/>
      <c r="D500" s="17"/>
      <c r="E500" s="15"/>
      <c r="F500" s="17"/>
      <c r="G500" s="17"/>
      <c r="H500" s="3"/>
      <c r="I500" s="88"/>
      <c r="J500" s="88"/>
      <c r="K500" s="15"/>
      <c r="L500" s="96"/>
      <c r="M500" s="89"/>
      <c r="N500" s="88"/>
      <c r="O500" s="413"/>
      <c r="P500" s="18"/>
      <c r="Q500" s="91"/>
      <c r="R500" s="18"/>
      <c r="S500" s="18"/>
      <c r="T500" s="18"/>
      <c r="U500" s="18"/>
      <c r="V500" s="18"/>
      <c r="W500" s="18"/>
      <c r="X500" s="18"/>
      <c r="Y500" s="92"/>
      <c r="Z500" s="92"/>
      <c r="AA500" s="418"/>
      <c r="AB500" s="95"/>
      <c r="AC500" s="18"/>
      <c r="AD500" s="18"/>
      <c r="AE500" s="18"/>
      <c r="AF500" s="18"/>
      <c r="AG500" s="91"/>
      <c r="AH500" s="18"/>
      <c r="AI500" s="18"/>
      <c r="AJ500" s="18"/>
      <c r="AK500" s="18"/>
      <c r="AL500" s="18"/>
      <c r="AM500" s="18"/>
      <c r="AN500" s="18"/>
      <c r="AO500" s="18"/>
      <c r="AP500" s="18"/>
      <c r="AQ500" s="18"/>
      <c r="AR500" s="18"/>
      <c r="AS500" s="18"/>
      <c r="AT500" s="18"/>
      <c r="AU500" s="91"/>
      <c r="AV500" s="18"/>
      <c r="AW500" s="18"/>
      <c r="AX500" s="18"/>
      <c r="AY500" s="17"/>
      <c r="AZ500" s="17"/>
      <c r="BA500" s="17"/>
      <c r="BB500" s="17"/>
      <c r="BC500" s="96"/>
      <c r="BD500" s="96"/>
      <c r="BE500" s="96"/>
      <c r="BF500" s="96"/>
      <c r="BG500" s="96"/>
      <c r="BH500" s="96"/>
      <c r="BI500" s="96"/>
    </row>
    <row r="501" spans="1:61" x14ac:dyDescent="0.45">
      <c r="A501" s="17"/>
      <c r="B501" s="17"/>
      <c r="C501" s="17"/>
      <c r="D501" s="17"/>
      <c r="E501" s="15"/>
      <c r="F501" s="17"/>
      <c r="G501" s="17"/>
      <c r="H501" s="3"/>
      <c r="I501" s="88"/>
      <c r="J501" s="88"/>
      <c r="K501" s="15"/>
      <c r="L501" s="96"/>
      <c r="M501" s="89"/>
      <c r="N501" s="88"/>
      <c r="O501" s="413"/>
      <c r="P501" s="18"/>
      <c r="Q501" s="91"/>
      <c r="R501" s="18"/>
      <c r="S501" s="18"/>
      <c r="T501" s="18"/>
      <c r="U501" s="18"/>
      <c r="V501" s="18"/>
      <c r="W501" s="18"/>
      <c r="X501" s="18"/>
      <c r="Y501" s="92"/>
      <c r="Z501" s="92"/>
      <c r="AA501" s="418"/>
      <c r="AB501" s="95"/>
      <c r="AC501" s="18"/>
      <c r="AD501" s="18"/>
      <c r="AE501" s="18"/>
      <c r="AF501" s="18"/>
      <c r="AG501" s="91"/>
      <c r="AH501" s="18"/>
      <c r="AI501" s="18"/>
      <c r="AJ501" s="18"/>
      <c r="AK501" s="18"/>
      <c r="AL501" s="18"/>
      <c r="AM501" s="18"/>
      <c r="AN501" s="18"/>
      <c r="AO501" s="18"/>
      <c r="AP501" s="18"/>
      <c r="AQ501" s="18"/>
      <c r="AR501" s="18"/>
      <c r="AS501" s="18"/>
      <c r="AT501" s="18"/>
      <c r="AU501" s="91"/>
      <c r="AV501" s="18"/>
      <c r="AW501" s="18"/>
      <c r="AX501" s="18"/>
      <c r="AY501" s="17"/>
      <c r="AZ501" s="17"/>
      <c r="BA501" s="17"/>
      <c r="BB501" s="17"/>
      <c r="BC501" s="96"/>
      <c r="BD501" s="96"/>
      <c r="BE501" s="96"/>
      <c r="BF501" s="96"/>
      <c r="BG501" s="96"/>
      <c r="BH501" s="96"/>
      <c r="BI501" s="96"/>
    </row>
    <row r="502" spans="1:61" x14ac:dyDescent="0.45">
      <c r="A502" s="17"/>
      <c r="B502" s="17"/>
      <c r="C502" s="17"/>
      <c r="D502" s="17"/>
      <c r="E502" s="15"/>
      <c r="F502" s="17"/>
      <c r="G502" s="17"/>
      <c r="H502" s="3"/>
      <c r="I502" s="88"/>
      <c r="J502" s="88"/>
      <c r="K502" s="15"/>
      <c r="L502" s="96"/>
      <c r="M502" s="89"/>
      <c r="N502" s="88"/>
      <c r="O502" s="413"/>
      <c r="P502" s="18"/>
      <c r="Q502" s="91"/>
      <c r="R502" s="18"/>
      <c r="S502" s="18"/>
      <c r="T502" s="18"/>
      <c r="U502" s="18"/>
      <c r="V502" s="18"/>
      <c r="W502" s="18"/>
      <c r="X502" s="18"/>
      <c r="Y502" s="92"/>
      <c r="Z502" s="92"/>
      <c r="AA502" s="418"/>
      <c r="AB502" s="95"/>
      <c r="AC502" s="18"/>
      <c r="AD502" s="18"/>
      <c r="AE502" s="18"/>
      <c r="AF502" s="18"/>
      <c r="AG502" s="91"/>
      <c r="AH502" s="18"/>
      <c r="AI502" s="18"/>
      <c r="AJ502" s="18"/>
      <c r="AK502" s="18"/>
      <c r="AL502" s="18"/>
      <c r="AM502" s="18"/>
      <c r="AN502" s="18"/>
      <c r="AO502" s="18"/>
      <c r="AP502" s="18"/>
      <c r="AQ502" s="18"/>
      <c r="AR502" s="18"/>
      <c r="AS502" s="18"/>
      <c r="AT502" s="18"/>
      <c r="AU502" s="91"/>
      <c r="AV502" s="18"/>
      <c r="AW502" s="18"/>
      <c r="AX502" s="18"/>
      <c r="AY502" s="17"/>
      <c r="AZ502" s="17"/>
      <c r="BA502" s="17"/>
      <c r="BB502" s="17"/>
      <c r="BC502" s="96"/>
      <c r="BD502" s="96"/>
      <c r="BE502" s="96"/>
      <c r="BF502" s="96"/>
      <c r="BG502" s="96"/>
      <c r="BH502" s="96"/>
      <c r="BI502" s="96"/>
    </row>
    <row r="503" spans="1:61" x14ac:dyDescent="0.45">
      <c r="A503" s="17"/>
      <c r="B503" s="17"/>
      <c r="C503" s="17"/>
      <c r="D503" s="17"/>
      <c r="E503" s="15"/>
      <c r="F503" s="17"/>
      <c r="G503" s="17"/>
      <c r="H503" s="3"/>
      <c r="I503" s="88"/>
      <c r="J503" s="88"/>
      <c r="K503" s="15"/>
      <c r="L503" s="96"/>
      <c r="M503" s="89"/>
      <c r="N503" s="88"/>
      <c r="O503" s="413"/>
      <c r="P503" s="18"/>
      <c r="Q503" s="91"/>
      <c r="R503" s="18"/>
      <c r="S503" s="18"/>
      <c r="T503" s="18"/>
      <c r="U503" s="18"/>
      <c r="V503" s="18"/>
      <c r="W503" s="18"/>
      <c r="X503" s="18"/>
      <c r="Y503" s="92"/>
      <c r="Z503" s="92"/>
      <c r="AA503" s="418"/>
      <c r="AB503" s="95"/>
      <c r="AC503" s="18"/>
      <c r="AD503" s="18"/>
      <c r="AE503" s="18"/>
      <c r="AF503" s="18"/>
      <c r="AG503" s="91"/>
      <c r="AH503" s="18"/>
      <c r="AI503" s="18"/>
      <c r="AJ503" s="18"/>
      <c r="AK503" s="18"/>
      <c r="AL503" s="18"/>
      <c r="AM503" s="18"/>
      <c r="AN503" s="18"/>
      <c r="AO503" s="18"/>
      <c r="AP503" s="18"/>
      <c r="AQ503" s="18"/>
      <c r="AR503" s="18"/>
      <c r="AS503" s="18"/>
      <c r="AT503" s="18"/>
      <c r="AU503" s="91"/>
      <c r="AV503" s="18"/>
      <c r="AW503" s="18"/>
      <c r="AX503" s="18"/>
      <c r="AY503" s="17"/>
      <c r="AZ503" s="17"/>
      <c r="BA503" s="17"/>
      <c r="BB503" s="17"/>
      <c r="BC503" s="96"/>
      <c r="BD503" s="96"/>
      <c r="BE503" s="96"/>
      <c r="BF503" s="96"/>
      <c r="BG503" s="96"/>
      <c r="BH503" s="96"/>
      <c r="BI503" s="96"/>
    </row>
    <row r="504" spans="1:61" x14ac:dyDescent="0.45">
      <c r="A504" s="17"/>
      <c r="B504" s="17"/>
      <c r="C504" s="17"/>
      <c r="D504" s="17"/>
      <c r="E504" s="15"/>
      <c r="F504" s="17"/>
      <c r="G504" s="17"/>
      <c r="H504" s="3"/>
      <c r="I504" s="88"/>
      <c r="J504" s="88"/>
      <c r="K504" s="15"/>
      <c r="L504" s="96"/>
      <c r="M504" s="89"/>
      <c r="N504" s="88"/>
      <c r="O504" s="413"/>
      <c r="P504" s="18"/>
      <c r="Q504" s="91"/>
      <c r="R504" s="18"/>
      <c r="S504" s="18"/>
      <c r="T504" s="18"/>
      <c r="U504" s="18"/>
      <c r="V504" s="18"/>
      <c r="W504" s="18"/>
      <c r="X504" s="18"/>
      <c r="Y504" s="92"/>
      <c r="Z504" s="92"/>
      <c r="AA504" s="418"/>
      <c r="AB504" s="95"/>
      <c r="AC504" s="18"/>
      <c r="AD504" s="18"/>
      <c r="AE504" s="18"/>
      <c r="AF504" s="18"/>
      <c r="AG504" s="91"/>
      <c r="AH504" s="18"/>
      <c r="AI504" s="18"/>
      <c r="AJ504" s="18"/>
      <c r="AK504" s="18"/>
      <c r="AL504" s="18"/>
      <c r="AM504" s="18"/>
      <c r="AN504" s="18"/>
      <c r="AO504" s="18"/>
      <c r="AP504" s="18"/>
      <c r="AQ504" s="18"/>
      <c r="AR504" s="18"/>
      <c r="AS504" s="18"/>
      <c r="AT504" s="18"/>
      <c r="AU504" s="91"/>
      <c r="AV504" s="18"/>
      <c r="AW504" s="18"/>
      <c r="AX504" s="18"/>
      <c r="AY504" s="17"/>
      <c r="AZ504" s="17"/>
      <c r="BA504" s="17"/>
      <c r="BB504" s="17"/>
      <c r="BC504" s="96"/>
      <c r="BD504" s="96"/>
      <c r="BE504" s="96"/>
      <c r="BF504" s="96"/>
      <c r="BG504" s="96"/>
      <c r="BH504" s="96"/>
      <c r="BI504" s="96"/>
    </row>
    <row r="505" spans="1:61" x14ac:dyDescent="0.45">
      <c r="A505" s="17"/>
      <c r="B505" s="17"/>
      <c r="C505" s="17"/>
      <c r="D505" s="17"/>
      <c r="E505" s="15"/>
      <c r="F505" s="17"/>
      <c r="G505" s="17"/>
      <c r="H505" s="3"/>
      <c r="I505" s="88"/>
      <c r="J505" s="88"/>
      <c r="K505" s="15"/>
      <c r="L505" s="96"/>
      <c r="M505" s="89"/>
      <c r="N505" s="88"/>
      <c r="O505" s="413"/>
      <c r="P505" s="18"/>
      <c r="Q505" s="91"/>
      <c r="R505" s="18"/>
      <c r="S505" s="18"/>
      <c r="T505" s="18"/>
      <c r="U505" s="18"/>
      <c r="V505" s="18"/>
      <c r="W505" s="18"/>
      <c r="X505" s="18"/>
      <c r="Y505" s="92"/>
      <c r="Z505" s="92"/>
      <c r="AA505" s="418"/>
      <c r="AB505" s="95"/>
      <c r="AC505" s="18"/>
      <c r="AD505" s="18"/>
      <c r="AE505" s="18"/>
      <c r="AF505" s="18"/>
      <c r="AG505" s="91"/>
      <c r="AH505" s="18"/>
      <c r="AI505" s="18"/>
      <c r="AJ505" s="18"/>
      <c r="AK505" s="18"/>
      <c r="AL505" s="18"/>
      <c r="AM505" s="18"/>
      <c r="AN505" s="18"/>
      <c r="AO505" s="18"/>
      <c r="AP505" s="18"/>
      <c r="AQ505" s="18"/>
      <c r="AR505" s="18"/>
      <c r="AS505" s="18"/>
      <c r="AT505" s="18"/>
      <c r="AU505" s="91"/>
      <c r="AV505" s="18"/>
      <c r="AW505" s="18"/>
      <c r="AX505" s="18"/>
      <c r="AY505" s="17"/>
      <c r="AZ505" s="17"/>
      <c r="BA505" s="17"/>
      <c r="BB505" s="17"/>
      <c r="BC505" s="96"/>
      <c r="BD505" s="96"/>
      <c r="BE505" s="96"/>
      <c r="BF505" s="96"/>
      <c r="BG505" s="96"/>
      <c r="BH505" s="96"/>
      <c r="BI505" s="96"/>
    </row>
    <row r="506" spans="1:61" x14ac:dyDescent="0.45">
      <c r="A506" s="17"/>
      <c r="B506" s="17"/>
      <c r="C506" s="17"/>
      <c r="D506" s="17"/>
      <c r="E506" s="15"/>
      <c r="F506" s="17"/>
      <c r="G506" s="17"/>
      <c r="H506" s="3"/>
      <c r="I506" s="88"/>
      <c r="J506" s="88"/>
      <c r="K506" s="15"/>
      <c r="L506" s="96"/>
      <c r="M506" s="89"/>
      <c r="N506" s="88"/>
      <c r="O506" s="413"/>
      <c r="P506" s="18"/>
      <c r="Q506" s="91"/>
      <c r="R506" s="18"/>
      <c r="S506" s="18"/>
      <c r="T506" s="18"/>
      <c r="U506" s="18"/>
      <c r="V506" s="18"/>
      <c r="W506" s="18"/>
      <c r="X506" s="18"/>
      <c r="Y506" s="92"/>
      <c r="Z506" s="92"/>
      <c r="AA506" s="418"/>
      <c r="AB506" s="95"/>
      <c r="AC506" s="18"/>
      <c r="AD506" s="18"/>
      <c r="AE506" s="18"/>
      <c r="AF506" s="18"/>
      <c r="AG506" s="91"/>
      <c r="AH506" s="18"/>
      <c r="AI506" s="18"/>
      <c r="AJ506" s="18"/>
      <c r="AK506" s="18"/>
      <c r="AL506" s="18"/>
      <c r="AM506" s="18"/>
      <c r="AN506" s="18"/>
      <c r="AO506" s="18"/>
      <c r="AP506" s="18"/>
      <c r="AQ506" s="18"/>
      <c r="AR506" s="18"/>
      <c r="AS506" s="18"/>
      <c r="AT506" s="18"/>
      <c r="AU506" s="91"/>
      <c r="AV506" s="18"/>
      <c r="AW506" s="18"/>
      <c r="AX506" s="18"/>
      <c r="AY506" s="17"/>
      <c r="AZ506" s="17"/>
      <c r="BA506" s="17"/>
      <c r="BB506" s="17"/>
      <c r="BC506" s="96"/>
      <c r="BD506" s="96"/>
      <c r="BE506" s="96"/>
      <c r="BF506" s="96"/>
      <c r="BG506" s="96"/>
      <c r="BH506" s="96"/>
      <c r="BI506" s="96"/>
    </row>
    <row r="507" spans="1:61" x14ac:dyDescent="0.45">
      <c r="A507" s="17"/>
      <c r="B507" s="17"/>
      <c r="C507" s="17"/>
      <c r="D507" s="17"/>
      <c r="E507" s="15"/>
      <c r="F507" s="17"/>
      <c r="G507" s="17"/>
      <c r="H507" s="3"/>
      <c r="I507" s="88"/>
      <c r="J507" s="88"/>
      <c r="K507" s="15"/>
      <c r="L507" s="96"/>
      <c r="M507" s="89"/>
      <c r="N507" s="88"/>
      <c r="O507" s="413"/>
      <c r="P507" s="18"/>
      <c r="Q507" s="91"/>
      <c r="R507" s="18"/>
      <c r="S507" s="18"/>
      <c r="T507" s="18"/>
      <c r="U507" s="18"/>
      <c r="V507" s="18"/>
      <c r="W507" s="18"/>
      <c r="X507" s="18"/>
      <c r="Y507" s="92"/>
      <c r="Z507" s="92"/>
      <c r="AA507" s="418"/>
      <c r="AB507" s="95"/>
      <c r="AC507" s="18"/>
      <c r="AD507" s="18"/>
      <c r="AE507" s="18"/>
      <c r="AF507" s="18"/>
      <c r="AG507" s="91"/>
      <c r="AH507" s="18"/>
      <c r="AI507" s="18"/>
      <c r="AJ507" s="18"/>
      <c r="AK507" s="18"/>
      <c r="AL507" s="18"/>
      <c r="AM507" s="18"/>
      <c r="AN507" s="18"/>
      <c r="AO507" s="18"/>
      <c r="AP507" s="18"/>
      <c r="AQ507" s="18"/>
      <c r="AR507" s="18"/>
      <c r="AS507" s="18"/>
      <c r="AT507" s="18"/>
      <c r="AU507" s="91"/>
      <c r="AV507" s="18"/>
      <c r="AW507" s="18"/>
      <c r="AX507" s="18"/>
      <c r="AY507" s="17"/>
      <c r="AZ507" s="17"/>
      <c r="BA507" s="17"/>
      <c r="BB507" s="17"/>
      <c r="BC507" s="96"/>
      <c r="BD507" s="96"/>
      <c r="BE507" s="96"/>
      <c r="BF507" s="96"/>
      <c r="BG507" s="96"/>
      <c r="BH507" s="96"/>
      <c r="BI507" s="96"/>
    </row>
    <row r="508" spans="1:61" x14ac:dyDescent="0.45">
      <c r="A508" s="17"/>
      <c r="B508" s="17"/>
      <c r="C508" s="17"/>
      <c r="D508" s="17"/>
      <c r="E508" s="15"/>
      <c r="F508" s="17"/>
      <c r="G508" s="17"/>
      <c r="H508" s="3"/>
      <c r="I508" s="88"/>
      <c r="J508" s="88"/>
      <c r="K508" s="15"/>
      <c r="L508" s="96"/>
      <c r="M508" s="89"/>
      <c r="N508" s="88"/>
      <c r="O508" s="413"/>
      <c r="P508" s="18"/>
      <c r="Q508" s="91"/>
      <c r="R508" s="18"/>
      <c r="S508" s="18"/>
      <c r="T508" s="18"/>
      <c r="U508" s="18"/>
      <c r="V508" s="18"/>
      <c r="W508" s="18"/>
      <c r="X508" s="18"/>
      <c r="Y508" s="92"/>
      <c r="Z508" s="92"/>
      <c r="AA508" s="418"/>
      <c r="AB508" s="95"/>
      <c r="AC508" s="18"/>
      <c r="AD508" s="18"/>
      <c r="AE508" s="18"/>
      <c r="AF508" s="18"/>
      <c r="AG508" s="91"/>
      <c r="AH508" s="18"/>
      <c r="AI508" s="18"/>
      <c r="AJ508" s="18"/>
      <c r="AK508" s="18"/>
      <c r="AL508" s="18"/>
      <c r="AM508" s="18"/>
      <c r="AN508" s="18"/>
      <c r="AO508" s="18"/>
      <c r="AP508" s="18"/>
      <c r="AQ508" s="18"/>
      <c r="AR508" s="18"/>
      <c r="AS508" s="18"/>
      <c r="AT508" s="18"/>
      <c r="AU508" s="91"/>
      <c r="AV508" s="18"/>
      <c r="AW508" s="18"/>
      <c r="AX508" s="18"/>
      <c r="AY508" s="17"/>
      <c r="AZ508" s="17"/>
      <c r="BA508" s="17"/>
      <c r="BB508" s="17"/>
      <c r="BC508" s="96"/>
      <c r="BD508" s="96"/>
      <c r="BE508" s="96"/>
      <c r="BF508" s="96"/>
      <c r="BG508" s="96"/>
      <c r="BH508" s="96"/>
      <c r="BI508" s="96"/>
    </row>
    <row r="509" spans="1:61" x14ac:dyDescent="0.45">
      <c r="A509" s="17"/>
      <c r="B509" s="17"/>
      <c r="C509" s="17"/>
      <c r="D509" s="17"/>
      <c r="E509" s="15"/>
      <c r="F509" s="17"/>
      <c r="G509" s="17"/>
      <c r="H509" s="3"/>
      <c r="I509" s="88"/>
      <c r="J509" s="88"/>
      <c r="K509" s="15"/>
      <c r="L509" s="96"/>
      <c r="M509" s="89"/>
      <c r="N509" s="88"/>
      <c r="O509" s="413"/>
      <c r="P509" s="18"/>
      <c r="Q509" s="91"/>
      <c r="R509" s="18"/>
      <c r="S509" s="18"/>
      <c r="T509" s="18"/>
      <c r="U509" s="18"/>
      <c r="V509" s="18"/>
      <c r="W509" s="18"/>
      <c r="X509" s="18"/>
      <c r="Y509" s="92"/>
      <c r="Z509" s="92"/>
      <c r="AA509" s="418"/>
      <c r="AB509" s="95"/>
      <c r="AC509" s="18"/>
      <c r="AD509" s="18"/>
      <c r="AE509" s="18"/>
      <c r="AF509" s="18"/>
      <c r="AG509" s="91"/>
      <c r="AH509" s="18"/>
      <c r="AI509" s="18"/>
      <c r="AJ509" s="18"/>
      <c r="AK509" s="18"/>
      <c r="AL509" s="18"/>
      <c r="AM509" s="18"/>
      <c r="AN509" s="18"/>
      <c r="AO509" s="18"/>
      <c r="AP509" s="18"/>
      <c r="AQ509" s="18"/>
      <c r="AR509" s="18"/>
      <c r="AS509" s="18"/>
      <c r="AT509" s="18"/>
      <c r="AU509" s="91"/>
      <c r="AV509" s="18"/>
      <c r="AW509" s="18"/>
      <c r="AX509" s="18"/>
      <c r="AY509" s="17"/>
      <c r="AZ509" s="17"/>
      <c r="BA509" s="17"/>
      <c r="BB509" s="17"/>
      <c r="BC509" s="96"/>
      <c r="BD509" s="96"/>
      <c r="BE509" s="96"/>
      <c r="BF509" s="96"/>
      <c r="BG509" s="96"/>
      <c r="BH509" s="96"/>
      <c r="BI509" s="96"/>
    </row>
    <row r="510" spans="1:61" x14ac:dyDescent="0.45">
      <c r="A510" s="17"/>
      <c r="B510" s="17"/>
      <c r="C510" s="17"/>
      <c r="D510" s="17"/>
      <c r="E510" s="15"/>
      <c r="F510" s="17"/>
      <c r="G510" s="17"/>
      <c r="H510" s="3"/>
      <c r="I510" s="88"/>
      <c r="J510" s="88"/>
      <c r="K510" s="15"/>
      <c r="L510" s="96"/>
      <c r="M510" s="89"/>
      <c r="N510" s="88"/>
      <c r="O510" s="413"/>
      <c r="P510" s="18"/>
      <c r="Q510" s="91"/>
      <c r="R510" s="18"/>
      <c r="S510" s="18"/>
      <c r="T510" s="18"/>
      <c r="U510" s="18"/>
      <c r="V510" s="18"/>
      <c r="W510" s="18"/>
      <c r="X510" s="18"/>
      <c r="Y510" s="92"/>
      <c r="Z510" s="92"/>
      <c r="AA510" s="418"/>
      <c r="AB510" s="95"/>
      <c r="AC510" s="18"/>
      <c r="AD510" s="18"/>
      <c r="AE510" s="18"/>
      <c r="AF510" s="18"/>
      <c r="AG510" s="91"/>
      <c r="AH510" s="18"/>
      <c r="AI510" s="18"/>
      <c r="AJ510" s="18"/>
      <c r="AK510" s="18"/>
      <c r="AL510" s="18"/>
      <c r="AM510" s="18"/>
      <c r="AN510" s="18"/>
      <c r="AO510" s="18"/>
      <c r="AP510" s="18"/>
      <c r="AQ510" s="18"/>
      <c r="AR510" s="18"/>
      <c r="AS510" s="18"/>
      <c r="AT510" s="18"/>
      <c r="AU510" s="91"/>
      <c r="AV510" s="18"/>
      <c r="AW510" s="18"/>
      <c r="AX510" s="18"/>
      <c r="AY510" s="17"/>
      <c r="AZ510" s="17"/>
      <c r="BA510" s="17"/>
      <c r="BB510" s="17"/>
      <c r="BC510" s="96"/>
      <c r="BD510" s="96"/>
      <c r="BE510" s="96"/>
      <c r="BF510" s="96"/>
      <c r="BG510" s="96"/>
      <c r="BH510" s="96"/>
      <c r="BI510" s="96"/>
    </row>
    <row r="511" spans="1:61" x14ac:dyDescent="0.45">
      <c r="A511" s="17"/>
      <c r="B511" s="17"/>
      <c r="C511" s="17"/>
      <c r="D511" s="17"/>
      <c r="E511" s="15"/>
      <c r="F511" s="17"/>
      <c r="G511" s="17"/>
      <c r="H511" s="3"/>
      <c r="I511" s="88"/>
      <c r="J511" s="88"/>
      <c r="K511" s="15"/>
      <c r="L511" s="96"/>
      <c r="M511" s="89"/>
      <c r="N511" s="88"/>
      <c r="O511" s="413"/>
      <c r="P511" s="18"/>
      <c r="Q511" s="91"/>
      <c r="R511" s="18"/>
      <c r="S511" s="18"/>
      <c r="T511" s="18"/>
      <c r="U511" s="18"/>
      <c r="V511" s="18"/>
      <c r="W511" s="18"/>
      <c r="X511" s="18"/>
      <c r="Y511" s="92"/>
      <c r="Z511" s="92"/>
      <c r="AA511" s="418"/>
      <c r="AB511" s="95"/>
      <c r="AC511" s="18"/>
      <c r="AD511" s="18"/>
      <c r="AE511" s="18"/>
      <c r="AF511" s="18"/>
      <c r="AG511" s="91"/>
      <c r="AH511" s="18"/>
      <c r="AI511" s="18"/>
      <c r="AJ511" s="18"/>
      <c r="AK511" s="18"/>
      <c r="AL511" s="18"/>
      <c r="AM511" s="18"/>
      <c r="AN511" s="18"/>
      <c r="AO511" s="18"/>
      <c r="AP511" s="18"/>
      <c r="AQ511" s="18"/>
      <c r="AR511" s="18"/>
      <c r="AS511" s="18"/>
      <c r="AT511" s="18"/>
      <c r="AU511" s="91"/>
      <c r="AV511" s="18"/>
      <c r="AW511" s="18"/>
      <c r="AX511" s="18"/>
      <c r="AY511" s="17"/>
      <c r="AZ511" s="17"/>
      <c r="BA511" s="17"/>
      <c r="BB511" s="17"/>
      <c r="BC511" s="96"/>
      <c r="BD511" s="96"/>
      <c r="BE511" s="96"/>
      <c r="BF511" s="96"/>
      <c r="BG511" s="96"/>
      <c r="BH511" s="96"/>
      <c r="BI511" s="96"/>
    </row>
    <row r="512" spans="1:61" x14ac:dyDescent="0.45">
      <c r="A512" s="17"/>
      <c r="B512" s="17"/>
      <c r="C512" s="17"/>
      <c r="D512" s="17"/>
      <c r="E512" s="15"/>
      <c r="F512" s="17"/>
      <c r="G512" s="17"/>
      <c r="H512" s="3"/>
      <c r="I512" s="88"/>
      <c r="J512" s="88"/>
      <c r="K512" s="15"/>
      <c r="L512" s="96"/>
      <c r="M512" s="89"/>
      <c r="N512" s="88"/>
      <c r="O512" s="413"/>
      <c r="P512" s="18"/>
      <c r="Q512" s="91"/>
      <c r="R512" s="18"/>
      <c r="S512" s="18"/>
      <c r="T512" s="18"/>
      <c r="U512" s="18"/>
      <c r="V512" s="18"/>
      <c r="W512" s="18"/>
      <c r="X512" s="18"/>
      <c r="Y512" s="92"/>
      <c r="Z512" s="92"/>
      <c r="AA512" s="418"/>
      <c r="AB512" s="95"/>
      <c r="AC512" s="18"/>
      <c r="AD512" s="18"/>
      <c r="AE512" s="18"/>
      <c r="AF512" s="18"/>
      <c r="AG512" s="91"/>
      <c r="AH512" s="18"/>
      <c r="AI512" s="18"/>
      <c r="AJ512" s="18"/>
      <c r="AK512" s="18"/>
      <c r="AL512" s="18"/>
      <c r="AM512" s="18"/>
      <c r="AN512" s="18"/>
      <c r="AO512" s="18"/>
      <c r="AP512" s="18"/>
      <c r="AQ512" s="18"/>
      <c r="AR512" s="18"/>
      <c r="AS512" s="18"/>
      <c r="AT512" s="18"/>
      <c r="AU512" s="91"/>
      <c r="AV512" s="18"/>
      <c r="AW512" s="18"/>
      <c r="AX512" s="18"/>
      <c r="AY512" s="17"/>
      <c r="AZ512" s="17"/>
      <c r="BA512" s="17"/>
      <c r="BB512" s="17"/>
      <c r="BC512" s="96"/>
      <c r="BD512" s="96"/>
      <c r="BE512" s="96"/>
      <c r="BF512" s="96"/>
      <c r="BG512" s="96"/>
      <c r="BH512" s="96"/>
      <c r="BI512" s="96"/>
    </row>
    <row r="513" spans="1:61" x14ac:dyDescent="0.45">
      <c r="A513" s="17"/>
      <c r="B513" s="17"/>
      <c r="C513" s="17"/>
      <c r="D513" s="17"/>
      <c r="E513" s="15"/>
      <c r="F513" s="17"/>
      <c r="G513" s="17"/>
      <c r="H513" s="3"/>
      <c r="I513" s="88"/>
      <c r="J513" s="88"/>
      <c r="K513" s="15"/>
      <c r="L513" s="96"/>
      <c r="M513" s="89"/>
      <c r="N513" s="88"/>
      <c r="O513" s="413"/>
      <c r="P513" s="18"/>
      <c r="Q513" s="91"/>
      <c r="R513" s="18"/>
      <c r="S513" s="18"/>
      <c r="T513" s="18"/>
      <c r="U513" s="18"/>
      <c r="V513" s="18"/>
      <c r="W513" s="18"/>
      <c r="X513" s="18"/>
      <c r="Y513" s="92"/>
      <c r="Z513" s="92"/>
      <c r="AA513" s="418"/>
      <c r="AB513" s="95"/>
      <c r="AC513" s="18"/>
      <c r="AD513" s="18"/>
      <c r="AE513" s="18"/>
      <c r="AF513" s="18"/>
      <c r="AG513" s="91"/>
      <c r="AH513" s="18"/>
      <c r="AI513" s="18"/>
      <c r="AJ513" s="18"/>
      <c r="AK513" s="18"/>
      <c r="AL513" s="18"/>
      <c r="AM513" s="18"/>
      <c r="AN513" s="18"/>
      <c r="AO513" s="18"/>
      <c r="AP513" s="18"/>
      <c r="AQ513" s="18"/>
      <c r="AR513" s="18"/>
      <c r="AS513" s="18"/>
      <c r="AT513" s="18"/>
      <c r="AU513" s="91"/>
      <c r="AV513" s="18"/>
      <c r="AW513" s="18"/>
      <c r="AX513" s="18"/>
      <c r="AY513" s="17"/>
      <c r="AZ513" s="17"/>
      <c r="BA513" s="17"/>
      <c r="BB513" s="17"/>
      <c r="BC513" s="96"/>
      <c r="BD513" s="96"/>
      <c r="BE513" s="96"/>
      <c r="BF513" s="96"/>
      <c r="BG513" s="96"/>
      <c r="BH513" s="96"/>
      <c r="BI513" s="96"/>
    </row>
    <row r="514" spans="1:61" x14ac:dyDescent="0.45">
      <c r="A514" s="17"/>
      <c r="B514" s="17"/>
      <c r="C514" s="17"/>
      <c r="D514" s="17"/>
      <c r="E514" s="15"/>
      <c r="F514" s="17"/>
      <c r="G514" s="17"/>
      <c r="H514" s="3"/>
      <c r="I514" s="88"/>
      <c r="J514" s="88"/>
      <c r="K514" s="15"/>
      <c r="L514" s="96"/>
      <c r="M514" s="89"/>
      <c r="N514" s="88"/>
      <c r="O514" s="413"/>
      <c r="P514" s="18"/>
      <c r="Q514" s="91"/>
      <c r="R514" s="18"/>
      <c r="S514" s="18"/>
      <c r="T514" s="18"/>
      <c r="U514" s="18"/>
      <c r="V514" s="18"/>
      <c r="W514" s="18"/>
      <c r="X514" s="18"/>
      <c r="Y514" s="92"/>
      <c r="Z514" s="92"/>
      <c r="AA514" s="418"/>
      <c r="AB514" s="95"/>
      <c r="AC514" s="18"/>
      <c r="AD514" s="18"/>
      <c r="AE514" s="18"/>
      <c r="AF514" s="18"/>
      <c r="AG514" s="91"/>
      <c r="AH514" s="18"/>
      <c r="AI514" s="18"/>
      <c r="AJ514" s="18"/>
      <c r="AK514" s="18"/>
      <c r="AL514" s="18"/>
      <c r="AM514" s="18"/>
      <c r="AN514" s="18"/>
      <c r="AO514" s="18"/>
      <c r="AP514" s="18"/>
      <c r="AQ514" s="18"/>
      <c r="AR514" s="18"/>
      <c r="AS514" s="18"/>
      <c r="AT514" s="18"/>
      <c r="AU514" s="91"/>
      <c r="AV514" s="18"/>
      <c r="AW514" s="18"/>
      <c r="AX514" s="18"/>
      <c r="AY514" s="17"/>
      <c r="AZ514" s="17"/>
      <c r="BA514" s="17"/>
      <c r="BB514" s="17"/>
      <c r="BC514" s="96"/>
      <c r="BD514" s="96"/>
      <c r="BE514" s="96"/>
      <c r="BF514" s="96"/>
      <c r="BG514" s="96"/>
      <c r="BH514" s="96"/>
      <c r="BI514" s="96"/>
    </row>
    <row r="515" spans="1:61" x14ac:dyDescent="0.45">
      <c r="A515" s="17"/>
      <c r="B515" s="17"/>
      <c r="C515" s="17"/>
      <c r="D515" s="17"/>
      <c r="E515" s="15"/>
      <c r="F515" s="17"/>
      <c r="G515" s="17"/>
      <c r="H515" s="3"/>
      <c r="I515" s="88"/>
      <c r="J515" s="88"/>
      <c r="K515" s="15"/>
      <c r="L515" s="96"/>
      <c r="M515" s="89"/>
      <c r="N515" s="88"/>
      <c r="O515" s="413"/>
      <c r="P515" s="18"/>
      <c r="Q515" s="91"/>
      <c r="R515" s="18"/>
      <c r="S515" s="18"/>
      <c r="T515" s="18"/>
      <c r="U515" s="18"/>
      <c r="V515" s="18"/>
      <c r="W515" s="18"/>
      <c r="X515" s="18"/>
      <c r="Y515" s="92"/>
      <c r="Z515" s="92"/>
      <c r="AA515" s="418"/>
      <c r="AB515" s="95"/>
      <c r="AC515" s="18"/>
      <c r="AD515" s="18"/>
      <c r="AE515" s="18"/>
      <c r="AF515" s="18"/>
      <c r="AG515" s="91"/>
      <c r="AH515" s="18"/>
      <c r="AI515" s="18"/>
      <c r="AJ515" s="18"/>
      <c r="AK515" s="18"/>
      <c r="AL515" s="18"/>
      <c r="AM515" s="18"/>
      <c r="AN515" s="18"/>
      <c r="AO515" s="18"/>
      <c r="AP515" s="18"/>
      <c r="AQ515" s="18"/>
      <c r="AR515" s="18"/>
      <c r="AS515" s="18"/>
      <c r="AT515" s="18"/>
      <c r="AU515" s="91"/>
      <c r="AV515" s="18"/>
      <c r="AW515" s="18"/>
      <c r="AX515" s="18"/>
      <c r="AY515" s="17"/>
      <c r="AZ515" s="17"/>
      <c r="BA515" s="17"/>
      <c r="BB515" s="17"/>
      <c r="BC515" s="96"/>
      <c r="BD515" s="96"/>
      <c r="BE515" s="96"/>
      <c r="BF515" s="96"/>
      <c r="BG515" s="96"/>
      <c r="BH515" s="96"/>
      <c r="BI515" s="96"/>
    </row>
    <row r="516" spans="1:61" x14ac:dyDescent="0.45">
      <c r="A516" s="17"/>
      <c r="B516" s="17"/>
      <c r="C516" s="17"/>
      <c r="D516" s="17"/>
      <c r="E516" s="15"/>
      <c r="F516" s="17"/>
      <c r="G516" s="17"/>
      <c r="H516" s="3"/>
      <c r="I516" s="88"/>
      <c r="J516" s="88"/>
      <c r="K516" s="15"/>
      <c r="L516" s="96"/>
      <c r="M516" s="89"/>
      <c r="N516" s="88"/>
      <c r="O516" s="413"/>
      <c r="P516" s="18"/>
      <c r="Q516" s="91"/>
      <c r="R516" s="18"/>
      <c r="S516" s="18"/>
      <c r="T516" s="18"/>
      <c r="U516" s="18"/>
      <c r="V516" s="18"/>
      <c r="W516" s="18"/>
      <c r="X516" s="18"/>
      <c r="Y516" s="92"/>
      <c r="Z516" s="92"/>
      <c r="AA516" s="418"/>
      <c r="AB516" s="95"/>
      <c r="AC516" s="18"/>
      <c r="AD516" s="18"/>
      <c r="AE516" s="18"/>
      <c r="AF516" s="18"/>
      <c r="AG516" s="91"/>
      <c r="AH516" s="18"/>
      <c r="AI516" s="18"/>
      <c r="AJ516" s="18"/>
      <c r="AK516" s="18"/>
      <c r="AL516" s="18"/>
      <c r="AM516" s="18"/>
      <c r="AN516" s="18"/>
      <c r="AO516" s="18"/>
      <c r="AP516" s="18"/>
      <c r="AQ516" s="18"/>
      <c r="AR516" s="18"/>
      <c r="AS516" s="18"/>
      <c r="AT516" s="18"/>
      <c r="AU516" s="91"/>
      <c r="AV516" s="18"/>
      <c r="AW516" s="18"/>
      <c r="AX516" s="18"/>
      <c r="AY516" s="17"/>
      <c r="AZ516" s="17"/>
      <c r="BA516" s="17"/>
      <c r="BB516" s="17"/>
      <c r="BC516" s="96"/>
      <c r="BD516" s="96"/>
      <c r="BE516" s="96"/>
      <c r="BF516" s="96"/>
      <c r="BG516" s="96"/>
      <c r="BH516" s="96"/>
      <c r="BI516" s="96"/>
    </row>
    <row r="517" spans="1:61" x14ac:dyDescent="0.45">
      <c r="A517" s="17"/>
      <c r="B517" s="17"/>
      <c r="C517" s="17"/>
      <c r="D517" s="17"/>
      <c r="E517" s="15"/>
      <c r="F517" s="17"/>
      <c r="G517" s="17"/>
      <c r="H517" s="3"/>
      <c r="I517" s="88"/>
      <c r="J517" s="88"/>
      <c r="K517" s="15"/>
      <c r="L517" s="96"/>
      <c r="M517" s="89"/>
      <c r="N517" s="88"/>
      <c r="O517" s="413"/>
      <c r="P517" s="18"/>
      <c r="Q517" s="91"/>
      <c r="R517" s="18"/>
      <c r="S517" s="18"/>
      <c r="T517" s="18"/>
      <c r="U517" s="18"/>
      <c r="V517" s="18"/>
      <c r="W517" s="18"/>
      <c r="X517" s="18"/>
      <c r="Y517" s="92"/>
      <c r="Z517" s="92"/>
      <c r="AA517" s="418"/>
      <c r="AB517" s="95"/>
      <c r="AC517" s="18"/>
      <c r="AD517" s="18"/>
      <c r="AE517" s="18"/>
      <c r="AF517" s="18"/>
      <c r="AG517" s="91"/>
      <c r="AH517" s="18"/>
      <c r="AI517" s="18"/>
      <c r="AJ517" s="18"/>
      <c r="AK517" s="18"/>
      <c r="AL517" s="18"/>
      <c r="AM517" s="18"/>
      <c r="AN517" s="18"/>
      <c r="AO517" s="18"/>
      <c r="AP517" s="18"/>
      <c r="AQ517" s="18"/>
      <c r="AR517" s="18"/>
      <c r="AS517" s="18"/>
      <c r="AT517" s="18"/>
      <c r="AU517" s="91"/>
      <c r="AV517" s="18"/>
      <c r="AW517" s="18"/>
      <c r="AX517" s="18"/>
      <c r="AY517" s="17"/>
      <c r="AZ517" s="17"/>
      <c r="BA517" s="17"/>
      <c r="BB517" s="17"/>
      <c r="BC517" s="96"/>
      <c r="BD517" s="96"/>
      <c r="BE517" s="96"/>
      <c r="BF517" s="96"/>
      <c r="BG517" s="96"/>
      <c r="BH517" s="96"/>
      <c r="BI517" s="96"/>
    </row>
    <row r="518" spans="1:61" x14ac:dyDescent="0.45">
      <c r="A518" s="17"/>
      <c r="B518" s="17"/>
      <c r="C518" s="17"/>
      <c r="D518" s="17"/>
      <c r="E518" s="15"/>
      <c r="F518" s="17"/>
      <c r="G518" s="17"/>
      <c r="H518" s="3"/>
      <c r="I518" s="88"/>
      <c r="J518" s="88"/>
      <c r="K518" s="15"/>
      <c r="L518" s="96"/>
      <c r="M518" s="89"/>
      <c r="N518" s="88"/>
      <c r="O518" s="413"/>
      <c r="P518" s="18"/>
      <c r="Q518" s="91"/>
      <c r="R518" s="18"/>
      <c r="S518" s="18"/>
      <c r="T518" s="18"/>
      <c r="U518" s="18"/>
      <c r="V518" s="18"/>
      <c r="W518" s="18"/>
      <c r="X518" s="18"/>
      <c r="Y518" s="92"/>
      <c r="Z518" s="92"/>
      <c r="AA518" s="418"/>
      <c r="AB518" s="95"/>
      <c r="AC518" s="18"/>
      <c r="AD518" s="18"/>
      <c r="AE518" s="18"/>
      <c r="AF518" s="18"/>
      <c r="AG518" s="91"/>
      <c r="AH518" s="18"/>
      <c r="AI518" s="18"/>
      <c r="AJ518" s="18"/>
      <c r="AK518" s="18"/>
      <c r="AL518" s="18"/>
      <c r="AM518" s="18"/>
      <c r="AN518" s="18"/>
      <c r="AO518" s="18"/>
      <c r="AP518" s="18"/>
      <c r="AQ518" s="18"/>
      <c r="AR518" s="18"/>
      <c r="AS518" s="18"/>
      <c r="AT518" s="18"/>
      <c r="AU518" s="91"/>
      <c r="AV518" s="18"/>
      <c r="AW518" s="18"/>
      <c r="AX518" s="18"/>
      <c r="AY518" s="17"/>
      <c r="AZ518" s="17"/>
      <c r="BA518" s="17"/>
      <c r="BB518" s="17"/>
      <c r="BC518" s="96"/>
      <c r="BD518" s="96"/>
      <c r="BE518" s="96"/>
      <c r="BF518" s="96"/>
      <c r="BG518" s="96"/>
      <c r="BH518" s="96"/>
      <c r="BI518" s="96"/>
    </row>
    <row r="519" spans="1:61" x14ac:dyDescent="0.45">
      <c r="A519" s="17"/>
      <c r="B519" s="17"/>
      <c r="C519" s="17"/>
      <c r="D519" s="17"/>
      <c r="E519" s="15"/>
      <c r="F519" s="17"/>
      <c r="G519" s="17"/>
      <c r="H519" s="3"/>
      <c r="I519" s="88"/>
      <c r="J519" s="88"/>
      <c r="K519" s="15"/>
      <c r="L519" s="96"/>
      <c r="M519" s="89"/>
      <c r="N519" s="88"/>
      <c r="O519" s="413"/>
      <c r="P519" s="18"/>
      <c r="Q519" s="91"/>
      <c r="R519" s="18"/>
      <c r="S519" s="18"/>
      <c r="T519" s="18"/>
      <c r="U519" s="18"/>
      <c r="V519" s="18"/>
      <c r="W519" s="18"/>
      <c r="X519" s="18"/>
      <c r="Y519" s="92"/>
      <c r="Z519" s="92"/>
      <c r="AA519" s="418"/>
      <c r="AB519" s="95"/>
      <c r="AC519" s="18"/>
      <c r="AD519" s="18"/>
      <c r="AE519" s="18"/>
      <c r="AF519" s="18"/>
      <c r="AG519" s="91"/>
      <c r="AH519" s="18"/>
      <c r="AI519" s="18"/>
      <c r="AJ519" s="18"/>
      <c r="AK519" s="18"/>
      <c r="AL519" s="18"/>
      <c r="AM519" s="18"/>
      <c r="AN519" s="18"/>
      <c r="AO519" s="18"/>
      <c r="AP519" s="18"/>
      <c r="AQ519" s="18"/>
      <c r="AR519" s="18"/>
      <c r="AS519" s="18"/>
      <c r="AT519" s="18"/>
      <c r="AU519" s="91"/>
      <c r="AV519" s="18"/>
      <c r="AW519" s="18"/>
      <c r="AX519" s="18"/>
      <c r="AY519" s="17"/>
      <c r="AZ519" s="17"/>
      <c r="BA519" s="17"/>
      <c r="BB519" s="17"/>
      <c r="BC519" s="96"/>
      <c r="BD519" s="96"/>
      <c r="BE519" s="96"/>
      <c r="BF519" s="96"/>
      <c r="BG519" s="96"/>
      <c r="BH519" s="96"/>
      <c r="BI519" s="96"/>
    </row>
    <row r="520" spans="1:61" x14ac:dyDescent="0.45">
      <c r="A520" s="17"/>
      <c r="B520" s="17"/>
      <c r="C520" s="17"/>
      <c r="D520" s="17"/>
      <c r="E520" s="15"/>
      <c r="F520" s="17"/>
      <c r="G520" s="17"/>
      <c r="H520" s="3"/>
      <c r="I520" s="88"/>
      <c r="J520" s="88"/>
      <c r="K520" s="15"/>
      <c r="L520" s="96"/>
      <c r="M520" s="89"/>
      <c r="N520" s="88"/>
      <c r="O520" s="413"/>
      <c r="P520" s="18"/>
      <c r="Q520" s="91"/>
      <c r="R520" s="18"/>
      <c r="S520" s="18"/>
      <c r="T520" s="18"/>
      <c r="U520" s="18"/>
      <c r="V520" s="18"/>
      <c r="W520" s="18"/>
      <c r="X520" s="18"/>
      <c r="Y520" s="92"/>
      <c r="Z520" s="92"/>
      <c r="AA520" s="418"/>
      <c r="AB520" s="95"/>
      <c r="AC520" s="18"/>
      <c r="AD520" s="18"/>
      <c r="AE520" s="18"/>
      <c r="AF520" s="18"/>
      <c r="AG520" s="91"/>
      <c r="AH520" s="18"/>
      <c r="AI520" s="18"/>
      <c r="AJ520" s="18"/>
      <c r="AK520" s="18"/>
      <c r="AL520" s="18"/>
      <c r="AM520" s="18"/>
      <c r="AN520" s="18"/>
      <c r="AO520" s="18"/>
      <c r="AP520" s="18"/>
      <c r="AQ520" s="18"/>
      <c r="AR520" s="18"/>
      <c r="AS520" s="18"/>
      <c r="AT520" s="18"/>
      <c r="AU520" s="91"/>
      <c r="AV520" s="18"/>
      <c r="AW520" s="18"/>
      <c r="AX520" s="18"/>
      <c r="AY520" s="17"/>
      <c r="AZ520" s="17"/>
      <c r="BA520" s="17"/>
      <c r="BB520" s="17"/>
      <c r="BC520" s="96"/>
      <c r="BD520" s="96"/>
      <c r="BE520" s="96"/>
      <c r="BF520" s="96"/>
      <c r="BG520" s="96"/>
      <c r="BH520" s="96"/>
      <c r="BI520" s="96"/>
    </row>
    <row r="521" spans="1:61" x14ac:dyDescent="0.45">
      <c r="A521" s="17"/>
      <c r="B521" s="17"/>
      <c r="C521" s="17"/>
      <c r="D521" s="17"/>
      <c r="E521" s="15"/>
      <c r="F521" s="17"/>
      <c r="G521" s="17"/>
      <c r="H521" s="3"/>
      <c r="I521" s="88"/>
      <c r="J521" s="88"/>
      <c r="K521" s="15"/>
      <c r="L521" s="96"/>
      <c r="M521" s="89"/>
      <c r="N521" s="88"/>
      <c r="O521" s="413"/>
      <c r="P521" s="18"/>
      <c r="Q521" s="91"/>
      <c r="R521" s="18"/>
      <c r="S521" s="18"/>
      <c r="T521" s="18"/>
      <c r="U521" s="18"/>
      <c r="V521" s="18"/>
      <c r="W521" s="18"/>
      <c r="X521" s="18"/>
      <c r="Y521" s="92"/>
      <c r="Z521" s="92"/>
      <c r="AA521" s="418"/>
      <c r="AB521" s="95"/>
      <c r="AC521" s="18"/>
      <c r="AD521" s="18"/>
      <c r="AE521" s="18"/>
      <c r="AF521" s="18"/>
      <c r="AG521" s="91"/>
      <c r="AH521" s="18"/>
      <c r="AI521" s="18"/>
      <c r="AJ521" s="18"/>
      <c r="AK521" s="18"/>
      <c r="AL521" s="18"/>
      <c r="AM521" s="18"/>
      <c r="AN521" s="18"/>
      <c r="AO521" s="18"/>
      <c r="AP521" s="18"/>
      <c r="AQ521" s="18"/>
      <c r="AR521" s="18"/>
      <c r="AS521" s="18"/>
      <c r="AT521" s="18"/>
      <c r="AU521" s="91"/>
      <c r="AV521" s="18"/>
      <c r="AW521" s="18"/>
      <c r="AX521" s="18"/>
      <c r="AY521" s="17"/>
      <c r="AZ521" s="17"/>
      <c r="BA521" s="17"/>
      <c r="BB521" s="17"/>
      <c r="BC521" s="96"/>
      <c r="BD521" s="96"/>
      <c r="BE521" s="96"/>
      <c r="BF521" s="96"/>
      <c r="BG521" s="96"/>
      <c r="BH521" s="96"/>
      <c r="BI521" s="96"/>
    </row>
    <row r="522" spans="1:61" x14ac:dyDescent="0.45">
      <c r="A522" s="17"/>
      <c r="B522" s="17"/>
      <c r="C522" s="17"/>
      <c r="D522" s="17"/>
      <c r="E522" s="15"/>
      <c r="F522" s="17"/>
      <c r="G522" s="17"/>
      <c r="H522" s="3"/>
      <c r="I522" s="88"/>
      <c r="J522" s="88"/>
      <c r="K522" s="15"/>
      <c r="L522" s="96"/>
      <c r="M522" s="89"/>
      <c r="N522" s="88"/>
      <c r="O522" s="413"/>
      <c r="P522" s="18"/>
      <c r="Q522" s="91"/>
      <c r="R522" s="18"/>
      <c r="S522" s="18"/>
      <c r="T522" s="18"/>
      <c r="U522" s="18"/>
      <c r="V522" s="18"/>
      <c r="W522" s="18"/>
      <c r="X522" s="18"/>
      <c r="Y522" s="92"/>
      <c r="Z522" s="92"/>
      <c r="AA522" s="418"/>
      <c r="AB522" s="95"/>
      <c r="AC522" s="18"/>
      <c r="AD522" s="18"/>
      <c r="AE522" s="18"/>
      <c r="AF522" s="18"/>
      <c r="AG522" s="91"/>
      <c r="AH522" s="18"/>
      <c r="AI522" s="18"/>
      <c r="AJ522" s="18"/>
      <c r="AK522" s="18"/>
      <c r="AL522" s="18"/>
      <c r="AM522" s="18"/>
      <c r="AN522" s="18"/>
      <c r="AO522" s="18"/>
      <c r="AP522" s="18"/>
      <c r="AQ522" s="18"/>
      <c r="AR522" s="18"/>
      <c r="AS522" s="18"/>
      <c r="AT522" s="18"/>
      <c r="AU522" s="91"/>
      <c r="AV522" s="18"/>
      <c r="AW522" s="18"/>
      <c r="AX522" s="18"/>
      <c r="AY522" s="17"/>
      <c r="AZ522" s="17"/>
      <c r="BA522" s="17"/>
      <c r="BB522" s="17"/>
      <c r="BC522" s="96"/>
      <c r="BD522" s="96"/>
      <c r="BE522" s="96"/>
      <c r="BF522" s="96"/>
      <c r="BG522" s="96"/>
      <c r="BH522" s="96"/>
      <c r="BI522" s="96"/>
    </row>
    <row r="523" spans="1:61" x14ac:dyDescent="0.45">
      <c r="A523" s="17"/>
      <c r="B523" s="17"/>
      <c r="C523" s="17"/>
      <c r="D523" s="17"/>
      <c r="E523" s="15"/>
      <c r="F523" s="17"/>
      <c r="G523" s="17"/>
      <c r="H523" s="3"/>
      <c r="I523" s="88"/>
      <c r="J523" s="88"/>
      <c r="K523" s="15"/>
      <c r="L523" s="96"/>
      <c r="M523" s="89"/>
      <c r="N523" s="88"/>
      <c r="O523" s="413"/>
      <c r="P523" s="18"/>
      <c r="Q523" s="91"/>
      <c r="R523" s="18"/>
      <c r="S523" s="18"/>
      <c r="T523" s="18"/>
      <c r="U523" s="18"/>
      <c r="V523" s="18"/>
      <c r="W523" s="18"/>
      <c r="X523" s="18"/>
      <c r="Y523" s="92"/>
      <c r="Z523" s="92"/>
      <c r="AA523" s="418"/>
      <c r="AB523" s="95"/>
      <c r="AC523" s="18"/>
      <c r="AD523" s="18"/>
      <c r="AE523" s="18"/>
      <c r="AF523" s="18"/>
      <c r="AG523" s="91"/>
      <c r="AH523" s="18"/>
      <c r="AI523" s="18"/>
      <c r="AJ523" s="18"/>
      <c r="AK523" s="18"/>
      <c r="AL523" s="18"/>
      <c r="AM523" s="18"/>
      <c r="AN523" s="18"/>
      <c r="AO523" s="18"/>
      <c r="AP523" s="18"/>
      <c r="AQ523" s="18"/>
      <c r="AR523" s="18"/>
      <c r="AS523" s="18"/>
      <c r="AT523" s="18"/>
      <c r="AU523" s="91"/>
      <c r="AV523" s="18"/>
      <c r="AW523" s="18"/>
      <c r="AX523" s="18"/>
      <c r="AY523" s="17"/>
      <c r="AZ523" s="17"/>
      <c r="BA523" s="17"/>
      <c r="BB523" s="17"/>
      <c r="BC523" s="96"/>
      <c r="BD523" s="96"/>
      <c r="BE523" s="96"/>
      <c r="BF523" s="96"/>
      <c r="BG523" s="96"/>
      <c r="BH523" s="96"/>
      <c r="BI523" s="96"/>
    </row>
    <row r="524" spans="1:61" x14ac:dyDescent="0.45">
      <c r="A524" s="17"/>
      <c r="B524" s="17"/>
      <c r="C524" s="17"/>
      <c r="D524" s="17"/>
      <c r="E524" s="15"/>
      <c r="F524" s="17"/>
      <c r="G524" s="17"/>
      <c r="H524" s="3"/>
      <c r="I524" s="88"/>
      <c r="J524" s="88"/>
      <c r="K524" s="15"/>
      <c r="L524" s="96"/>
      <c r="M524" s="89"/>
      <c r="N524" s="88"/>
      <c r="O524" s="413"/>
      <c r="P524" s="18"/>
      <c r="Q524" s="91"/>
      <c r="R524" s="18"/>
      <c r="S524" s="18"/>
      <c r="T524" s="18"/>
      <c r="U524" s="18"/>
      <c r="V524" s="18"/>
      <c r="W524" s="18"/>
      <c r="X524" s="18"/>
      <c r="Y524" s="92"/>
      <c r="Z524" s="92"/>
      <c r="AA524" s="418"/>
      <c r="AB524" s="95"/>
      <c r="AC524" s="18"/>
      <c r="AD524" s="18"/>
      <c r="AE524" s="18"/>
      <c r="AF524" s="18"/>
      <c r="AG524" s="91"/>
      <c r="AH524" s="18"/>
      <c r="AI524" s="18"/>
      <c r="AJ524" s="18"/>
      <c r="AK524" s="18"/>
      <c r="AL524" s="18"/>
      <c r="AM524" s="18"/>
      <c r="AN524" s="18"/>
      <c r="AO524" s="18"/>
      <c r="AP524" s="18"/>
      <c r="AQ524" s="18"/>
      <c r="AR524" s="18"/>
      <c r="AS524" s="18"/>
      <c r="AT524" s="18"/>
      <c r="AU524" s="91"/>
      <c r="AV524" s="18"/>
      <c r="AW524" s="18"/>
      <c r="AX524" s="18"/>
      <c r="AY524" s="17"/>
      <c r="AZ524" s="17"/>
      <c r="BA524" s="17"/>
      <c r="BB524" s="17"/>
      <c r="BC524" s="96"/>
      <c r="BD524" s="96"/>
      <c r="BE524" s="96"/>
      <c r="BF524" s="96"/>
      <c r="BG524" s="96"/>
      <c r="BH524" s="96"/>
      <c r="BI524" s="96"/>
    </row>
    <row r="525" spans="1:61" x14ac:dyDescent="0.45">
      <c r="A525" s="17"/>
      <c r="B525" s="17"/>
      <c r="C525" s="17"/>
      <c r="D525" s="17"/>
      <c r="E525" s="15"/>
      <c r="F525" s="17"/>
      <c r="G525" s="17"/>
      <c r="H525" s="3"/>
      <c r="I525" s="88"/>
      <c r="J525" s="88"/>
      <c r="K525" s="15"/>
      <c r="L525" s="96"/>
      <c r="M525" s="89"/>
      <c r="N525" s="88"/>
      <c r="O525" s="413"/>
      <c r="P525" s="18"/>
      <c r="Q525" s="91"/>
      <c r="R525" s="18"/>
      <c r="S525" s="18"/>
      <c r="T525" s="18"/>
      <c r="U525" s="18"/>
      <c r="V525" s="18"/>
      <c r="W525" s="18"/>
      <c r="X525" s="18"/>
      <c r="Y525" s="92"/>
      <c r="Z525" s="92"/>
      <c r="AA525" s="418"/>
      <c r="AB525" s="95"/>
      <c r="AC525" s="18"/>
      <c r="AD525" s="18"/>
      <c r="AE525" s="18"/>
      <c r="AF525" s="18"/>
      <c r="AG525" s="91"/>
      <c r="AH525" s="18"/>
      <c r="AI525" s="18"/>
      <c r="AJ525" s="18"/>
      <c r="AK525" s="18"/>
      <c r="AL525" s="18"/>
      <c r="AM525" s="18"/>
      <c r="AN525" s="18"/>
      <c r="AO525" s="18"/>
      <c r="AP525" s="18"/>
      <c r="AQ525" s="18"/>
      <c r="AR525" s="18"/>
      <c r="AS525" s="18"/>
      <c r="AT525" s="18"/>
      <c r="AU525" s="91"/>
      <c r="AV525" s="18"/>
      <c r="AW525" s="18"/>
      <c r="AX525" s="18"/>
      <c r="AY525" s="17"/>
      <c r="AZ525" s="17"/>
      <c r="BA525" s="17"/>
      <c r="BB525" s="17"/>
      <c r="BC525" s="96"/>
      <c r="BD525" s="96"/>
      <c r="BE525" s="96"/>
      <c r="BF525" s="96"/>
      <c r="BG525" s="96"/>
      <c r="BH525" s="96"/>
      <c r="BI525" s="96"/>
    </row>
    <row r="526" spans="1:61" x14ac:dyDescent="0.45">
      <c r="A526" s="17"/>
      <c r="B526" s="17"/>
      <c r="C526" s="17"/>
      <c r="D526" s="17"/>
      <c r="E526" s="15"/>
      <c r="F526" s="17"/>
      <c r="G526" s="17"/>
      <c r="H526" s="3"/>
      <c r="I526" s="88"/>
      <c r="J526" s="88"/>
      <c r="K526" s="15"/>
      <c r="L526" s="96"/>
      <c r="M526" s="89"/>
      <c r="N526" s="88"/>
      <c r="O526" s="413"/>
      <c r="P526" s="18"/>
      <c r="Q526" s="91"/>
      <c r="R526" s="18"/>
      <c r="S526" s="18"/>
      <c r="T526" s="18"/>
      <c r="U526" s="18"/>
      <c r="V526" s="18"/>
      <c r="W526" s="18"/>
      <c r="X526" s="18"/>
      <c r="Y526" s="92"/>
      <c r="Z526" s="92"/>
      <c r="AA526" s="418"/>
      <c r="AB526" s="95"/>
      <c r="AC526" s="18"/>
      <c r="AD526" s="18"/>
      <c r="AE526" s="18"/>
      <c r="AF526" s="18"/>
      <c r="AG526" s="91"/>
      <c r="AH526" s="18"/>
      <c r="AI526" s="18"/>
      <c r="AJ526" s="18"/>
      <c r="AK526" s="18"/>
      <c r="AL526" s="18"/>
      <c r="AM526" s="18"/>
      <c r="AN526" s="18"/>
      <c r="AO526" s="18"/>
      <c r="AP526" s="18"/>
      <c r="AQ526" s="18"/>
      <c r="AR526" s="18"/>
      <c r="AS526" s="18"/>
      <c r="AT526" s="18"/>
      <c r="AU526" s="91"/>
      <c r="AV526" s="18"/>
      <c r="AW526" s="18"/>
      <c r="AX526" s="18"/>
      <c r="AY526" s="17"/>
      <c r="AZ526" s="17"/>
      <c r="BA526" s="17"/>
      <c r="BB526" s="17"/>
      <c r="BC526" s="96"/>
      <c r="BD526" s="96"/>
      <c r="BE526" s="96"/>
      <c r="BF526" s="96"/>
      <c r="BG526" s="96"/>
      <c r="BH526" s="96"/>
      <c r="BI526" s="96"/>
    </row>
    <row r="527" spans="1:61" x14ac:dyDescent="0.45">
      <c r="A527" s="17"/>
      <c r="B527" s="17"/>
      <c r="C527" s="17"/>
      <c r="D527" s="17"/>
      <c r="E527" s="15"/>
      <c r="F527" s="17"/>
      <c r="G527" s="17"/>
      <c r="H527" s="3"/>
      <c r="I527" s="88"/>
      <c r="J527" s="88"/>
      <c r="K527" s="15"/>
      <c r="L527" s="96"/>
      <c r="M527" s="89"/>
      <c r="N527" s="88"/>
      <c r="O527" s="413"/>
      <c r="P527" s="18"/>
      <c r="Q527" s="91"/>
      <c r="R527" s="18"/>
      <c r="S527" s="18"/>
      <c r="T527" s="18"/>
      <c r="U527" s="18"/>
      <c r="V527" s="18"/>
      <c r="W527" s="18"/>
      <c r="X527" s="18"/>
      <c r="Y527" s="92"/>
      <c r="Z527" s="92"/>
      <c r="AA527" s="418"/>
      <c r="AB527" s="95"/>
      <c r="AC527" s="18"/>
      <c r="AD527" s="18"/>
      <c r="AE527" s="18"/>
      <c r="AF527" s="18"/>
      <c r="AG527" s="91"/>
      <c r="AH527" s="18"/>
      <c r="AI527" s="18"/>
      <c r="AJ527" s="18"/>
      <c r="AK527" s="18"/>
      <c r="AL527" s="18"/>
      <c r="AM527" s="18"/>
      <c r="AN527" s="18"/>
      <c r="AO527" s="18"/>
      <c r="AP527" s="18"/>
      <c r="AQ527" s="18"/>
      <c r="AR527" s="18"/>
      <c r="AS527" s="18"/>
      <c r="AT527" s="18"/>
      <c r="AU527" s="91"/>
      <c r="AV527" s="18"/>
      <c r="AW527" s="18"/>
      <c r="AX527" s="18"/>
      <c r="AY527" s="17"/>
      <c r="AZ527" s="17"/>
      <c r="BA527" s="17"/>
      <c r="BB527" s="17"/>
      <c r="BC527" s="96"/>
      <c r="BD527" s="96"/>
      <c r="BE527" s="96"/>
      <c r="BF527" s="96"/>
      <c r="BG527" s="96"/>
      <c r="BH527" s="96"/>
      <c r="BI527" s="96"/>
    </row>
    <row r="528" spans="1:61" x14ac:dyDescent="0.45">
      <c r="A528" s="17"/>
      <c r="B528" s="17"/>
      <c r="C528" s="17"/>
      <c r="D528" s="17"/>
      <c r="E528" s="15"/>
      <c r="F528" s="17"/>
      <c r="G528" s="17"/>
      <c r="H528" s="3"/>
      <c r="I528" s="88"/>
      <c r="J528" s="88"/>
      <c r="K528" s="15"/>
      <c r="L528" s="96"/>
      <c r="M528" s="89"/>
      <c r="N528" s="88"/>
      <c r="O528" s="413"/>
      <c r="P528" s="18"/>
      <c r="Q528" s="91"/>
      <c r="R528" s="18"/>
      <c r="S528" s="18"/>
      <c r="T528" s="18"/>
      <c r="U528" s="18"/>
      <c r="V528" s="18"/>
      <c r="W528" s="18"/>
      <c r="X528" s="18"/>
      <c r="Y528" s="92"/>
      <c r="Z528" s="92"/>
      <c r="AA528" s="418"/>
      <c r="AB528" s="95"/>
      <c r="AC528" s="18"/>
      <c r="AD528" s="18"/>
      <c r="AE528" s="18"/>
      <c r="AF528" s="18"/>
      <c r="AG528" s="91"/>
      <c r="AH528" s="18"/>
      <c r="AI528" s="18"/>
      <c r="AJ528" s="18"/>
      <c r="AK528" s="18"/>
      <c r="AL528" s="18"/>
      <c r="AM528" s="18"/>
      <c r="AN528" s="18"/>
      <c r="AO528" s="18"/>
      <c r="AP528" s="18"/>
      <c r="AQ528" s="18"/>
      <c r="AR528" s="18"/>
      <c r="AS528" s="18"/>
      <c r="AT528" s="18"/>
      <c r="AU528" s="91"/>
      <c r="AV528" s="18"/>
      <c r="AW528" s="18"/>
      <c r="AX528" s="18"/>
      <c r="AY528" s="17"/>
      <c r="AZ528" s="17"/>
      <c r="BA528" s="17"/>
      <c r="BB528" s="17"/>
      <c r="BC528" s="96"/>
      <c r="BD528" s="96"/>
      <c r="BE528" s="96"/>
      <c r="BF528" s="96"/>
      <c r="BG528" s="96"/>
      <c r="BH528" s="96"/>
      <c r="BI528" s="96"/>
    </row>
    <row r="529" spans="1:61" x14ac:dyDescent="0.45">
      <c r="A529" s="17"/>
      <c r="B529" s="17"/>
      <c r="C529" s="17"/>
      <c r="D529" s="17"/>
      <c r="E529" s="15"/>
      <c r="F529" s="17"/>
      <c r="G529" s="17"/>
      <c r="H529" s="3"/>
      <c r="I529" s="88"/>
      <c r="J529" s="88"/>
      <c r="K529" s="15"/>
      <c r="L529" s="96"/>
      <c r="M529" s="89"/>
      <c r="N529" s="88"/>
      <c r="O529" s="413"/>
      <c r="P529" s="18"/>
      <c r="Q529" s="91"/>
      <c r="R529" s="18"/>
      <c r="S529" s="18"/>
      <c r="T529" s="18"/>
      <c r="U529" s="18"/>
      <c r="V529" s="18"/>
      <c r="W529" s="18"/>
      <c r="X529" s="18"/>
      <c r="Y529" s="92"/>
      <c r="Z529" s="92"/>
      <c r="AA529" s="418"/>
      <c r="AB529" s="95"/>
      <c r="AC529" s="18"/>
      <c r="AD529" s="18"/>
      <c r="AE529" s="18"/>
      <c r="AF529" s="18"/>
      <c r="AG529" s="91"/>
      <c r="AH529" s="18"/>
      <c r="AI529" s="18"/>
      <c r="AJ529" s="18"/>
      <c r="AK529" s="18"/>
      <c r="AL529" s="18"/>
      <c r="AM529" s="18"/>
      <c r="AN529" s="18"/>
      <c r="AO529" s="18"/>
      <c r="AP529" s="18"/>
      <c r="AQ529" s="18"/>
      <c r="AR529" s="18"/>
      <c r="AS529" s="18"/>
      <c r="AT529" s="18"/>
      <c r="AU529" s="91"/>
      <c r="AV529" s="18"/>
      <c r="AW529" s="18"/>
      <c r="AX529" s="18"/>
      <c r="AY529" s="17"/>
      <c r="AZ529" s="17"/>
      <c r="BA529" s="17"/>
      <c r="BB529" s="17"/>
      <c r="BC529" s="96"/>
      <c r="BD529" s="96"/>
      <c r="BE529" s="96"/>
      <c r="BF529" s="96"/>
      <c r="BG529" s="96"/>
      <c r="BH529" s="96"/>
      <c r="BI529" s="96"/>
    </row>
    <row r="530" spans="1:61" x14ac:dyDescent="0.45">
      <c r="A530" s="17"/>
      <c r="B530" s="17"/>
      <c r="C530" s="17"/>
      <c r="D530" s="17"/>
      <c r="E530" s="15"/>
      <c r="F530" s="17"/>
      <c r="G530" s="17"/>
      <c r="H530" s="3"/>
      <c r="I530" s="88"/>
      <c r="J530" s="88"/>
      <c r="K530" s="15"/>
      <c r="L530" s="96"/>
      <c r="M530" s="89"/>
      <c r="N530" s="88"/>
      <c r="O530" s="413"/>
      <c r="P530" s="18"/>
      <c r="Q530" s="91"/>
      <c r="R530" s="18"/>
      <c r="S530" s="18"/>
      <c r="T530" s="18"/>
      <c r="U530" s="18"/>
      <c r="V530" s="18"/>
      <c r="W530" s="18"/>
      <c r="X530" s="18"/>
      <c r="Y530" s="92"/>
      <c r="Z530" s="92"/>
      <c r="AA530" s="418"/>
      <c r="AB530" s="95"/>
      <c r="AC530" s="18"/>
      <c r="AD530" s="18"/>
      <c r="AE530" s="18"/>
      <c r="AF530" s="18"/>
      <c r="AG530" s="91"/>
      <c r="AH530" s="18"/>
      <c r="AI530" s="18"/>
      <c r="AJ530" s="18"/>
      <c r="AK530" s="18"/>
      <c r="AL530" s="18"/>
      <c r="AM530" s="18"/>
      <c r="AN530" s="18"/>
      <c r="AO530" s="18"/>
      <c r="AP530" s="18"/>
      <c r="AQ530" s="18"/>
      <c r="AR530" s="18"/>
      <c r="AS530" s="18"/>
      <c r="AT530" s="18"/>
      <c r="AU530" s="91"/>
      <c r="AV530" s="18"/>
      <c r="AW530" s="18"/>
      <c r="AX530" s="18"/>
      <c r="AY530" s="17"/>
      <c r="AZ530" s="17"/>
      <c r="BA530" s="17"/>
      <c r="BB530" s="17"/>
      <c r="BC530" s="96"/>
      <c r="BD530" s="96"/>
      <c r="BE530" s="96"/>
      <c r="BF530" s="96"/>
      <c r="BG530" s="96"/>
      <c r="BH530" s="96"/>
      <c r="BI530" s="96"/>
    </row>
    <row r="531" spans="1:61" x14ac:dyDescent="0.45">
      <c r="A531" s="17"/>
      <c r="B531" s="17"/>
      <c r="C531" s="17"/>
      <c r="D531" s="17"/>
      <c r="E531" s="15"/>
      <c r="F531" s="17"/>
      <c r="G531" s="17"/>
      <c r="H531" s="3"/>
      <c r="I531" s="88"/>
      <c r="J531" s="88"/>
      <c r="K531" s="15"/>
      <c r="L531" s="96"/>
      <c r="M531" s="89"/>
      <c r="N531" s="88"/>
      <c r="O531" s="413"/>
      <c r="P531" s="18"/>
      <c r="Q531" s="91"/>
      <c r="R531" s="18"/>
      <c r="S531" s="18"/>
      <c r="T531" s="18"/>
      <c r="U531" s="18"/>
      <c r="V531" s="18"/>
      <c r="W531" s="18"/>
      <c r="X531" s="18"/>
      <c r="Y531" s="92"/>
      <c r="Z531" s="92"/>
      <c r="AA531" s="418"/>
      <c r="AB531" s="95"/>
      <c r="AC531" s="18"/>
      <c r="AD531" s="18"/>
      <c r="AE531" s="18"/>
      <c r="AF531" s="18"/>
      <c r="AG531" s="91"/>
      <c r="AH531" s="18"/>
      <c r="AI531" s="18"/>
      <c r="AJ531" s="18"/>
      <c r="AK531" s="18"/>
      <c r="AL531" s="18"/>
      <c r="AM531" s="18"/>
      <c r="AN531" s="18"/>
      <c r="AO531" s="18"/>
      <c r="AP531" s="18"/>
      <c r="AQ531" s="18"/>
      <c r="AR531" s="18"/>
      <c r="AS531" s="18"/>
      <c r="AT531" s="18"/>
      <c r="AU531" s="91"/>
      <c r="AV531" s="18"/>
      <c r="AW531" s="18"/>
      <c r="AX531" s="18"/>
      <c r="AY531" s="17"/>
      <c r="AZ531" s="17"/>
      <c r="BA531" s="17"/>
      <c r="BB531" s="17"/>
      <c r="BC531" s="96"/>
      <c r="BD531" s="96"/>
      <c r="BE531" s="96"/>
      <c r="BF531" s="96"/>
      <c r="BG531" s="96"/>
      <c r="BH531" s="96"/>
      <c r="BI531" s="96"/>
    </row>
    <row r="532" spans="1:61" x14ac:dyDescent="0.45">
      <c r="A532" s="17"/>
      <c r="B532" s="17"/>
      <c r="C532" s="17"/>
      <c r="D532" s="17"/>
      <c r="E532" s="15"/>
      <c r="F532" s="17"/>
      <c r="G532" s="17"/>
      <c r="H532" s="3"/>
      <c r="I532" s="88"/>
      <c r="J532" s="88"/>
      <c r="K532" s="15"/>
      <c r="L532" s="96"/>
      <c r="M532" s="89"/>
      <c r="N532" s="88"/>
      <c r="O532" s="413"/>
      <c r="P532" s="18"/>
      <c r="Q532" s="91"/>
      <c r="R532" s="18"/>
      <c r="S532" s="18"/>
      <c r="T532" s="18"/>
      <c r="U532" s="18"/>
      <c r="V532" s="18"/>
      <c r="W532" s="18"/>
      <c r="X532" s="18"/>
      <c r="Y532" s="92"/>
      <c r="Z532" s="92"/>
      <c r="AA532" s="418"/>
      <c r="AB532" s="95"/>
      <c r="AC532" s="18"/>
      <c r="AD532" s="18"/>
      <c r="AE532" s="18"/>
      <c r="AF532" s="18"/>
      <c r="AG532" s="91"/>
      <c r="AH532" s="18"/>
      <c r="AI532" s="18"/>
      <c r="AJ532" s="18"/>
      <c r="AK532" s="18"/>
      <c r="AL532" s="18"/>
      <c r="AM532" s="18"/>
      <c r="AN532" s="18"/>
      <c r="AO532" s="18"/>
      <c r="AP532" s="18"/>
      <c r="AQ532" s="18"/>
      <c r="AR532" s="18"/>
      <c r="AS532" s="18"/>
      <c r="AT532" s="18"/>
      <c r="AU532" s="91"/>
      <c r="AV532" s="18"/>
      <c r="AW532" s="18"/>
      <c r="AX532" s="18"/>
      <c r="AY532" s="17"/>
      <c r="AZ532" s="17"/>
      <c r="BA532" s="17"/>
      <c r="BB532" s="17"/>
      <c r="BC532" s="96"/>
      <c r="BD532" s="96"/>
      <c r="BE532" s="96"/>
      <c r="BF532" s="96"/>
      <c r="BG532" s="96"/>
      <c r="BH532" s="96"/>
      <c r="BI532" s="96"/>
    </row>
    <row r="533" spans="1:61" x14ac:dyDescent="0.45">
      <c r="A533" s="17"/>
      <c r="B533" s="17"/>
      <c r="C533" s="17"/>
      <c r="D533" s="17"/>
      <c r="E533" s="15"/>
      <c r="F533" s="17"/>
      <c r="G533" s="17"/>
      <c r="H533" s="3"/>
      <c r="I533" s="88"/>
      <c r="J533" s="88"/>
      <c r="K533" s="15"/>
      <c r="L533" s="96"/>
      <c r="M533" s="89"/>
      <c r="N533" s="88"/>
      <c r="O533" s="413"/>
      <c r="P533" s="18"/>
      <c r="Q533" s="91"/>
      <c r="R533" s="18"/>
      <c r="S533" s="18"/>
      <c r="T533" s="18"/>
      <c r="U533" s="18"/>
      <c r="V533" s="18"/>
      <c r="W533" s="18"/>
      <c r="X533" s="18"/>
      <c r="Y533" s="92"/>
      <c r="Z533" s="92"/>
      <c r="AA533" s="418"/>
      <c r="AB533" s="95"/>
      <c r="AC533" s="18"/>
      <c r="AD533" s="18"/>
      <c r="AE533" s="18"/>
      <c r="AF533" s="18"/>
      <c r="AG533" s="91"/>
      <c r="AH533" s="18"/>
      <c r="AI533" s="18"/>
      <c r="AJ533" s="18"/>
      <c r="AK533" s="18"/>
      <c r="AL533" s="18"/>
      <c r="AM533" s="18"/>
      <c r="AN533" s="18"/>
      <c r="AO533" s="18"/>
      <c r="AP533" s="18"/>
      <c r="AQ533" s="18"/>
      <c r="AR533" s="18"/>
      <c r="AS533" s="18"/>
      <c r="AT533" s="18"/>
      <c r="AU533" s="91"/>
      <c r="AV533" s="18"/>
      <c r="AW533" s="18"/>
      <c r="AX533" s="18"/>
      <c r="AY533" s="17"/>
      <c r="AZ533" s="17"/>
      <c r="BA533" s="17"/>
      <c r="BB533" s="17"/>
      <c r="BC533" s="96"/>
      <c r="BD533" s="96"/>
      <c r="BE533" s="96"/>
      <c r="BF533" s="96"/>
      <c r="BG533" s="96"/>
      <c r="BH533" s="96"/>
      <c r="BI533" s="96"/>
    </row>
    <row r="534" spans="1:61" x14ac:dyDescent="0.45">
      <c r="A534" s="17"/>
      <c r="B534" s="17"/>
      <c r="C534" s="17"/>
      <c r="D534" s="17"/>
      <c r="E534" s="15"/>
      <c r="F534" s="17"/>
      <c r="G534" s="17"/>
      <c r="H534" s="3"/>
      <c r="I534" s="88"/>
      <c r="J534" s="88"/>
      <c r="K534" s="15"/>
      <c r="L534" s="96"/>
      <c r="M534" s="89"/>
      <c r="N534" s="88"/>
      <c r="O534" s="413"/>
      <c r="P534" s="18"/>
      <c r="Q534" s="91"/>
      <c r="R534" s="18"/>
      <c r="S534" s="18"/>
      <c r="T534" s="18"/>
      <c r="U534" s="18"/>
      <c r="V534" s="18"/>
      <c r="W534" s="18"/>
      <c r="X534" s="18"/>
      <c r="Y534" s="92"/>
      <c r="Z534" s="92"/>
      <c r="AA534" s="418"/>
      <c r="AB534" s="95"/>
      <c r="AC534" s="18"/>
      <c r="AD534" s="18"/>
      <c r="AE534" s="18"/>
      <c r="AF534" s="18"/>
      <c r="AG534" s="91"/>
      <c r="AH534" s="18"/>
      <c r="AI534" s="18"/>
      <c r="AJ534" s="18"/>
      <c r="AK534" s="18"/>
      <c r="AL534" s="18"/>
      <c r="AM534" s="18"/>
      <c r="AN534" s="18"/>
      <c r="AO534" s="18"/>
      <c r="AP534" s="18"/>
      <c r="AQ534" s="18"/>
      <c r="AR534" s="18"/>
      <c r="AS534" s="18"/>
      <c r="AT534" s="18"/>
      <c r="AU534" s="91"/>
      <c r="AV534" s="18"/>
      <c r="AW534" s="18"/>
      <c r="AX534" s="18"/>
      <c r="AY534" s="17"/>
      <c r="AZ534" s="17"/>
      <c r="BA534" s="17"/>
      <c r="BB534" s="17"/>
      <c r="BC534" s="96"/>
      <c r="BD534" s="96"/>
      <c r="BE534" s="96"/>
      <c r="BF534" s="96"/>
      <c r="BG534" s="96"/>
      <c r="BH534" s="96"/>
      <c r="BI534" s="96"/>
    </row>
    <row r="535" spans="1:61" x14ac:dyDescent="0.45">
      <c r="A535" s="17"/>
      <c r="B535" s="17"/>
      <c r="C535" s="17"/>
      <c r="D535" s="17"/>
      <c r="E535" s="15"/>
      <c r="F535" s="17"/>
      <c r="G535" s="17"/>
      <c r="H535" s="3"/>
      <c r="I535" s="88"/>
      <c r="J535" s="88"/>
      <c r="K535" s="15"/>
      <c r="L535" s="96"/>
      <c r="M535" s="89"/>
      <c r="N535" s="88"/>
      <c r="O535" s="413"/>
      <c r="P535" s="18"/>
      <c r="Q535" s="91"/>
      <c r="R535" s="18"/>
      <c r="S535" s="18"/>
      <c r="T535" s="18"/>
      <c r="U535" s="18"/>
      <c r="V535" s="18"/>
      <c r="W535" s="18"/>
      <c r="X535" s="18"/>
      <c r="Y535" s="92"/>
      <c r="Z535" s="92"/>
      <c r="AA535" s="418"/>
      <c r="AB535" s="95"/>
      <c r="AC535" s="18"/>
      <c r="AD535" s="18"/>
      <c r="AE535" s="18"/>
      <c r="AF535" s="18"/>
      <c r="AG535" s="91"/>
      <c r="AH535" s="18"/>
      <c r="AI535" s="18"/>
      <c r="AJ535" s="18"/>
      <c r="AK535" s="18"/>
      <c r="AL535" s="18"/>
      <c r="AM535" s="18"/>
      <c r="AN535" s="18"/>
      <c r="AO535" s="18"/>
      <c r="AP535" s="18"/>
      <c r="AQ535" s="18"/>
      <c r="AR535" s="18"/>
      <c r="AS535" s="18"/>
      <c r="AT535" s="18"/>
      <c r="AU535" s="91"/>
      <c r="AV535" s="18"/>
      <c r="AW535" s="18"/>
      <c r="AX535" s="18"/>
      <c r="AY535" s="17"/>
      <c r="AZ535" s="17"/>
      <c r="BA535" s="17"/>
      <c r="BB535" s="17"/>
      <c r="BC535" s="96"/>
      <c r="BD535" s="96"/>
      <c r="BE535" s="96"/>
      <c r="BF535" s="96"/>
      <c r="BG535" s="96"/>
      <c r="BH535" s="96"/>
      <c r="BI535" s="96"/>
    </row>
    <row r="536" spans="1:61" x14ac:dyDescent="0.45">
      <c r="A536" s="17"/>
      <c r="B536" s="17"/>
      <c r="C536" s="17"/>
      <c r="D536" s="17"/>
      <c r="E536" s="15"/>
      <c r="F536" s="17"/>
      <c r="G536" s="17"/>
      <c r="H536" s="3"/>
      <c r="I536" s="88"/>
      <c r="J536" s="88"/>
      <c r="K536" s="15"/>
      <c r="L536" s="96"/>
      <c r="M536" s="89"/>
      <c r="N536" s="88"/>
      <c r="O536" s="413"/>
      <c r="P536" s="18"/>
      <c r="Q536" s="91"/>
      <c r="R536" s="18"/>
      <c r="S536" s="18"/>
      <c r="T536" s="18"/>
      <c r="U536" s="18"/>
      <c r="V536" s="18"/>
      <c r="W536" s="18"/>
      <c r="X536" s="18"/>
      <c r="Y536" s="92"/>
      <c r="Z536" s="92"/>
      <c r="AA536" s="418"/>
      <c r="AB536" s="95"/>
      <c r="AC536" s="18"/>
      <c r="AD536" s="18"/>
      <c r="AE536" s="18"/>
      <c r="AF536" s="18"/>
      <c r="AG536" s="91"/>
      <c r="AH536" s="18"/>
      <c r="AI536" s="18"/>
      <c r="AJ536" s="18"/>
      <c r="AK536" s="18"/>
      <c r="AL536" s="18"/>
      <c r="AM536" s="18"/>
      <c r="AN536" s="18"/>
      <c r="AO536" s="18"/>
      <c r="AP536" s="18"/>
      <c r="AQ536" s="18"/>
      <c r="AR536" s="18"/>
      <c r="AS536" s="18"/>
      <c r="AT536" s="18"/>
      <c r="AU536" s="91"/>
      <c r="AV536" s="18"/>
      <c r="AW536" s="18"/>
      <c r="AX536" s="18"/>
      <c r="AY536" s="17"/>
      <c r="AZ536" s="17"/>
      <c r="BA536" s="17"/>
      <c r="BB536" s="17"/>
      <c r="BC536" s="96"/>
      <c r="BD536" s="96"/>
      <c r="BE536" s="96"/>
      <c r="BF536" s="96"/>
      <c r="BG536" s="96"/>
      <c r="BH536" s="96"/>
      <c r="BI536" s="96"/>
    </row>
    <row r="537" spans="1:61" x14ac:dyDescent="0.45">
      <c r="A537" s="17"/>
      <c r="B537" s="17"/>
      <c r="C537" s="17"/>
      <c r="D537" s="17"/>
      <c r="E537" s="15"/>
      <c r="F537" s="17"/>
      <c r="G537" s="17"/>
      <c r="H537" s="3"/>
      <c r="I537" s="88"/>
      <c r="J537" s="88"/>
      <c r="K537" s="15"/>
      <c r="L537" s="96"/>
      <c r="M537" s="89"/>
      <c r="N537" s="88"/>
      <c r="O537" s="413"/>
      <c r="P537" s="18"/>
      <c r="Q537" s="91"/>
      <c r="R537" s="18"/>
      <c r="S537" s="18"/>
      <c r="T537" s="18"/>
      <c r="U537" s="18"/>
      <c r="V537" s="18"/>
      <c r="W537" s="18"/>
      <c r="X537" s="18"/>
      <c r="Y537" s="92"/>
      <c r="Z537" s="92"/>
      <c r="AA537" s="418"/>
      <c r="AB537" s="95"/>
      <c r="AC537" s="18"/>
      <c r="AD537" s="18"/>
      <c r="AE537" s="18"/>
      <c r="AF537" s="18"/>
      <c r="AG537" s="91"/>
      <c r="AH537" s="18"/>
      <c r="AI537" s="18"/>
      <c r="AJ537" s="18"/>
      <c r="AK537" s="18"/>
      <c r="AL537" s="18"/>
      <c r="AM537" s="18"/>
      <c r="AN537" s="18"/>
      <c r="AO537" s="18"/>
      <c r="AP537" s="18"/>
      <c r="AQ537" s="18"/>
      <c r="AR537" s="18"/>
      <c r="AS537" s="18"/>
      <c r="AT537" s="18"/>
      <c r="AU537" s="91"/>
      <c r="AV537" s="18"/>
      <c r="AW537" s="18"/>
      <c r="AX537" s="18"/>
      <c r="AY537" s="17"/>
      <c r="AZ537" s="17"/>
      <c r="BA537" s="17"/>
      <c r="BB537" s="17"/>
      <c r="BC537" s="96"/>
      <c r="BD537" s="96"/>
      <c r="BE537" s="96"/>
      <c r="BF537" s="96"/>
      <c r="BG537" s="96"/>
      <c r="BH537" s="96"/>
      <c r="BI537" s="96"/>
    </row>
    <row r="538" spans="1:61" x14ac:dyDescent="0.45">
      <c r="A538" s="17"/>
      <c r="B538" s="17"/>
      <c r="C538" s="17"/>
      <c r="D538" s="17"/>
      <c r="E538" s="15"/>
      <c r="F538" s="17"/>
      <c r="G538" s="17"/>
      <c r="H538" s="3"/>
      <c r="I538" s="88"/>
      <c r="J538" s="88"/>
      <c r="K538" s="15"/>
      <c r="L538" s="96"/>
      <c r="M538" s="89"/>
      <c r="N538" s="88"/>
      <c r="O538" s="413"/>
      <c r="P538" s="18"/>
      <c r="Q538" s="91"/>
      <c r="R538" s="18"/>
      <c r="S538" s="18"/>
      <c r="T538" s="18"/>
      <c r="U538" s="18"/>
      <c r="V538" s="18"/>
      <c r="W538" s="18"/>
      <c r="X538" s="18"/>
      <c r="Y538" s="92"/>
      <c r="Z538" s="92"/>
      <c r="AA538" s="418"/>
      <c r="AB538" s="95"/>
      <c r="AC538" s="18"/>
      <c r="AD538" s="18"/>
      <c r="AE538" s="18"/>
      <c r="AF538" s="18"/>
      <c r="AG538" s="91"/>
      <c r="AH538" s="18"/>
      <c r="AI538" s="18"/>
      <c r="AJ538" s="18"/>
      <c r="AK538" s="18"/>
      <c r="AL538" s="18"/>
      <c r="AM538" s="18"/>
      <c r="AN538" s="18"/>
      <c r="AO538" s="18"/>
      <c r="AP538" s="18"/>
      <c r="AQ538" s="18"/>
      <c r="AR538" s="18"/>
      <c r="AS538" s="18"/>
      <c r="AT538" s="18"/>
      <c r="AU538" s="91"/>
      <c r="AV538" s="18"/>
      <c r="AW538" s="18"/>
      <c r="AX538" s="18"/>
      <c r="AY538" s="17"/>
      <c r="AZ538" s="17"/>
      <c r="BA538" s="17"/>
      <c r="BB538" s="17"/>
      <c r="BC538" s="96"/>
      <c r="BD538" s="96"/>
      <c r="BE538" s="96"/>
      <c r="BF538" s="96"/>
      <c r="BG538" s="96"/>
      <c r="BH538" s="96"/>
      <c r="BI538" s="96"/>
    </row>
    <row r="539" spans="1:61" x14ac:dyDescent="0.45">
      <c r="A539" s="17"/>
      <c r="B539" s="17"/>
      <c r="C539" s="17"/>
      <c r="D539" s="17"/>
      <c r="E539" s="15"/>
      <c r="F539" s="17"/>
      <c r="G539" s="17"/>
      <c r="H539" s="3"/>
      <c r="I539" s="88"/>
      <c r="J539" s="88"/>
      <c r="K539" s="15"/>
      <c r="L539" s="96"/>
      <c r="M539" s="89"/>
      <c r="N539" s="88"/>
      <c r="O539" s="413"/>
      <c r="P539" s="18"/>
      <c r="Q539" s="91"/>
      <c r="R539" s="18"/>
      <c r="S539" s="18"/>
      <c r="T539" s="18"/>
      <c r="U539" s="18"/>
      <c r="V539" s="18"/>
      <c r="W539" s="18"/>
      <c r="X539" s="18"/>
      <c r="Y539" s="92"/>
      <c r="Z539" s="92"/>
      <c r="AA539" s="418"/>
      <c r="AB539" s="95"/>
      <c r="AC539" s="18"/>
      <c r="AD539" s="18"/>
      <c r="AE539" s="18"/>
      <c r="AF539" s="18"/>
      <c r="AG539" s="91"/>
      <c r="AH539" s="18"/>
      <c r="AI539" s="18"/>
      <c r="AJ539" s="18"/>
      <c r="AK539" s="18"/>
      <c r="AL539" s="18"/>
      <c r="AM539" s="18"/>
      <c r="AN539" s="18"/>
      <c r="AO539" s="18"/>
      <c r="AP539" s="18"/>
      <c r="AQ539" s="18"/>
      <c r="AR539" s="18"/>
      <c r="AS539" s="18"/>
      <c r="AT539" s="18"/>
      <c r="AU539" s="91"/>
      <c r="AV539" s="18"/>
      <c r="AW539" s="18"/>
      <c r="AX539" s="18"/>
      <c r="AY539" s="17"/>
      <c r="AZ539" s="17"/>
      <c r="BA539" s="17"/>
      <c r="BB539" s="17"/>
      <c r="BC539" s="96"/>
      <c r="BD539" s="96"/>
      <c r="BE539" s="96"/>
      <c r="BF539" s="96"/>
      <c r="BG539" s="96"/>
      <c r="BH539" s="96"/>
      <c r="BI539" s="96"/>
    </row>
    <row r="540" spans="1:61" x14ac:dyDescent="0.45">
      <c r="A540" s="17"/>
      <c r="B540" s="17"/>
      <c r="C540" s="17"/>
      <c r="D540" s="17"/>
      <c r="E540" s="15"/>
      <c r="F540" s="17"/>
      <c r="G540" s="17"/>
      <c r="H540" s="3"/>
      <c r="I540" s="88"/>
      <c r="J540" s="88"/>
      <c r="K540" s="15"/>
      <c r="L540" s="96"/>
      <c r="M540" s="89"/>
      <c r="N540" s="88"/>
      <c r="O540" s="413"/>
      <c r="P540" s="18"/>
      <c r="Q540" s="91"/>
      <c r="R540" s="18"/>
      <c r="S540" s="18"/>
      <c r="T540" s="18"/>
      <c r="U540" s="18"/>
      <c r="V540" s="18"/>
      <c r="W540" s="18"/>
      <c r="X540" s="18"/>
      <c r="Y540" s="92"/>
      <c r="Z540" s="92"/>
      <c r="AA540" s="418"/>
      <c r="AB540" s="95"/>
      <c r="AC540" s="18"/>
      <c r="AD540" s="18"/>
      <c r="AE540" s="18"/>
      <c r="AF540" s="18"/>
      <c r="AG540" s="91"/>
      <c r="AH540" s="18"/>
      <c r="AI540" s="18"/>
      <c r="AJ540" s="18"/>
      <c r="AK540" s="18"/>
      <c r="AL540" s="18"/>
      <c r="AM540" s="18"/>
      <c r="AN540" s="18"/>
      <c r="AO540" s="18"/>
      <c r="AP540" s="18"/>
      <c r="AQ540" s="18"/>
      <c r="AR540" s="18"/>
      <c r="AS540" s="18"/>
      <c r="AT540" s="18"/>
      <c r="AU540" s="91"/>
      <c r="AV540" s="18"/>
      <c r="AW540" s="18"/>
      <c r="AX540" s="18"/>
      <c r="AY540" s="17"/>
      <c r="AZ540" s="17"/>
      <c r="BA540" s="17"/>
      <c r="BB540" s="17"/>
      <c r="BC540" s="96"/>
      <c r="BD540" s="96"/>
      <c r="BE540" s="96"/>
      <c r="BF540" s="96"/>
      <c r="BG540" s="96"/>
      <c r="BH540" s="96"/>
      <c r="BI540" s="96"/>
    </row>
    <row r="541" spans="1:61" x14ac:dyDescent="0.45">
      <c r="A541" s="17"/>
      <c r="B541" s="17"/>
      <c r="C541" s="17"/>
      <c r="D541" s="17"/>
      <c r="E541" s="15"/>
      <c r="F541" s="17"/>
      <c r="G541" s="17"/>
      <c r="H541" s="3"/>
      <c r="I541" s="88"/>
      <c r="J541" s="88"/>
      <c r="K541" s="15"/>
      <c r="L541" s="96"/>
      <c r="M541" s="89"/>
      <c r="N541" s="88"/>
      <c r="O541" s="413"/>
      <c r="P541" s="18"/>
      <c r="Q541" s="91"/>
      <c r="R541" s="18"/>
      <c r="S541" s="18"/>
      <c r="T541" s="18"/>
      <c r="U541" s="18"/>
      <c r="V541" s="18"/>
      <c r="W541" s="18"/>
      <c r="X541" s="18"/>
      <c r="Y541" s="92"/>
      <c r="Z541" s="92"/>
      <c r="AA541" s="418"/>
      <c r="AB541" s="95"/>
      <c r="AC541" s="18"/>
      <c r="AD541" s="18"/>
      <c r="AE541" s="18"/>
      <c r="AF541" s="18"/>
      <c r="AG541" s="91"/>
      <c r="AH541" s="18"/>
      <c r="AI541" s="18"/>
      <c r="AJ541" s="18"/>
      <c r="AK541" s="18"/>
      <c r="AL541" s="18"/>
      <c r="AM541" s="18"/>
      <c r="AN541" s="18"/>
      <c r="AO541" s="18"/>
      <c r="AP541" s="18"/>
      <c r="AQ541" s="18"/>
      <c r="AR541" s="18"/>
      <c r="AS541" s="18"/>
      <c r="AT541" s="18"/>
      <c r="AU541" s="91"/>
      <c r="AV541" s="18"/>
      <c r="AW541" s="18"/>
      <c r="AX541" s="18"/>
      <c r="AY541" s="17"/>
      <c r="AZ541" s="17"/>
      <c r="BA541" s="17"/>
      <c r="BB541" s="17"/>
      <c r="BC541" s="96"/>
      <c r="BD541" s="96"/>
      <c r="BE541" s="96"/>
      <c r="BF541" s="96"/>
      <c r="BG541" s="96"/>
      <c r="BH541" s="96"/>
      <c r="BI541" s="96"/>
    </row>
    <row r="542" spans="1:61" x14ac:dyDescent="0.45">
      <c r="A542" s="17"/>
      <c r="B542" s="17"/>
      <c r="C542" s="17"/>
      <c r="D542" s="17"/>
      <c r="E542" s="15"/>
      <c r="F542" s="17"/>
      <c r="G542" s="17"/>
      <c r="H542" s="3"/>
      <c r="I542" s="88"/>
      <c r="J542" s="88"/>
      <c r="K542" s="15"/>
      <c r="L542" s="96"/>
      <c r="M542" s="89"/>
      <c r="N542" s="88"/>
      <c r="O542" s="413"/>
      <c r="P542" s="18"/>
      <c r="Q542" s="91"/>
      <c r="R542" s="18"/>
      <c r="S542" s="18"/>
      <c r="T542" s="18"/>
      <c r="U542" s="18"/>
      <c r="V542" s="18"/>
      <c r="W542" s="18"/>
      <c r="X542" s="18"/>
      <c r="Y542" s="92"/>
      <c r="Z542" s="92"/>
      <c r="AA542" s="418"/>
      <c r="AB542" s="95"/>
      <c r="AC542" s="18"/>
      <c r="AD542" s="18"/>
      <c r="AE542" s="18"/>
      <c r="AF542" s="18"/>
      <c r="AG542" s="91"/>
      <c r="AH542" s="18"/>
      <c r="AI542" s="18"/>
      <c r="AJ542" s="18"/>
      <c r="AK542" s="18"/>
      <c r="AL542" s="18"/>
      <c r="AM542" s="18"/>
      <c r="AN542" s="18"/>
      <c r="AO542" s="18"/>
      <c r="AP542" s="18"/>
      <c r="AQ542" s="18"/>
      <c r="AR542" s="18"/>
      <c r="AS542" s="18"/>
      <c r="AT542" s="18"/>
      <c r="AU542" s="91"/>
      <c r="AV542" s="18"/>
      <c r="AW542" s="18"/>
      <c r="AX542" s="18"/>
      <c r="AY542" s="17"/>
      <c r="AZ542" s="17"/>
      <c r="BA542" s="17"/>
      <c r="BB542" s="17"/>
      <c r="BC542" s="96"/>
      <c r="BD542" s="96"/>
      <c r="BE542" s="96"/>
      <c r="BF542" s="96"/>
      <c r="BG542" s="96"/>
      <c r="BH542" s="96"/>
      <c r="BI542" s="96"/>
    </row>
    <row r="543" spans="1:61" x14ac:dyDescent="0.45">
      <c r="A543" s="17"/>
      <c r="B543" s="17"/>
      <c r="C543" s="17"/>
      <c r="D543" s="17"/>
      <c r="E543" s="15"/>
      <c r="F543" s="17"/>
      <c r="G543" s="17"/>
      <c r="H543" s="3"/>
      <c r="I543" s="88"/>
      <c r="J543" s="88"/>
      <c r="K543" s="15"/>
      <c r="L543" s="96"/>
      <c r="M543" s="89"/>
      <c r="N543" s="88"/>
      <c r="O543" s="413"/>
      <c r="P543" s="18"/>
      <c r="Q543" s="91"/>
      <c r="R543" s="18"/>
      <c r="S543" s="18"/>
      <c r="T543" s="18"/>
      <c r="U543" s="18"/>
      <c r="V543" s="18"/>
      <c r="W543" s="18"/>
      <c r="X543" s="18"/>
      <c r="Y543" s="92"/>
      <c r="Z543" s="92"/>
      <c r="AA543" s="418"/>
      <c r="AB543" s="95"/>
      <c r="AC543" s="18"/>
      <c r="AD543" s="18"/>
      <c r="AE543" s="18"/>
      <c r="AF543" s="18"/>
      <c r="AG543" s="91"/>
      <c r="AH543" s="18"/>
      <c r="AI543" s="18"/>
      <c r="AJ543" s="18"/>
      <c r="AK543" s="18"/>
      <c r="AL543" s="18"/>
      <c r="AM543" s="18"/>
      <c r="AN543" s="18"/>
      <c r="AO543" s="18"/>
      <c r="AP543" s="18"/>
      <c r="AQ543" s="18"/>
      <c r="AR543" s="18"/>
      <c r="AS543" s="18"/>
      <c r="AT543" s="18"/>
      <c r="AU543" s="91"/>
      <c r="AV543" s="18"/>
      <c r="AW543" s="18"/>
      <c r="AX543" s="18"/>
      <c r="AY543" s="17"/>
      <c r="AZ543" s="17"/>
      <c r="BA543" s="17"/>
      <c r="BB543" s="17"/>
      <c r="BC543" s="96"/>
      <c r="BD543" s="96"/>
      <c r="BE543" s="96"/>
      <c r="BF543" s="96"/>
      <c r="BG543" s="96"/>
      <c r="BH543" s="96"/>
      <c r="BI543" s="96"/>
    </row>
    <row r="544" spans="1:61" x14ac:dyDescent="0.45">
      <c r="A544" s="17"/>
      <c r="B544" s="17"/>
      <c r="C544" s="17"/>
      <c r="D544" s="17"/>
      <c r="E544" s="15"/>
      <c r="F544" s="17"/>
      <c r="G544" s="17"/>
      <c r="H544" s="3"/>
      <c r="I544" s="88"/>
      <c r="J544" s="88"/>
      <c r="K544" s="15"/>
      <c r="L544" s="96"/>
      <c r="M544" s="89"/>
      <c r="N544" s="88"/>
      <c r="O544" s="413"/>
      <c r="P544" s="18"/>
      <c r="Q544" s="91"/>
      <c r="R544" s="18"/>
      <c r="S544" s="18"/>
      <c r="T544" s="18"/>
      <c r="U544" s="18"/>
      <c r="V544" s="18"/>
      <c r="W544" s="18"/>
      <c r="X544" s="18"/>
      <c r="Y544" s="92"/>
      <c r="Z544" s="92"/>
      <c r="AA544" s="418"/>
      <c r="AB544" s="95"/>
      <c r="AC544" s="18"/>
      <c r="AD544" s="18"/>
      <c r="AE544" s="18"/>
      <c r="AF544" s="18"/>
      <c r="AG544" s="91"/>
      <c r="AH544" s="18"/>
      <c r="AI544" s="18"/>
      <c r="AJ544" s="18"/>
      <c r="AK544" s="18"/>
      <c r="AL544" s="18"/>
      <c r="AM544" s="18"/>
      <c r="AN544" s="18"/>
      <c r="AO544" s="18"/>
      <c r="AP544" s="18"/>
      <c r="AQ544" s="18"/>
      <c r="AR544" s="18"/>
      <c r="AS544" s="18"/>
      <c r="AT544" s="18"/>
      <c r="AU544" s="91"/>
      <c r="AV544" s="18"/>
      <c r="AW544" s="18"/>
      <c r="AX544" s="18"/>
      <c r="AY544" s="17"/>
      <c r="AZ544" s="17"/>
      <c r="BA544" s="17"/>
      <c r="BB544" s="17"/>
      <c r="BC544" s="96"/>
      <c r="BD544" s="96"/>
      <c r="BE544" s="96"/>
      <c r="BF544" s="96"/>
      <c r="BG544" s="96"/>
      <c r="BH544" s="96"/>
      <c r="BI544" s="96"/>
    </row>
    <row r="545" spans="1:61" x14ac:dyDescent="0.45">
      <c r="A545" s="17"/>
      <c r="B545" s="17"/>
      <c r="C545" s="17"/>
      <c r="D545" s="17"/>
      <c r="E545" s="15"/>
      <c r="F545" s="17"/>
      <c r="G545" s="17"/>
      <c r="H545" s="3"/>
      <c r="I545" s="88"/>
      <c r="J545" s="88"/>
      <c r="K545" s="15"/>
      <c r="L545" s="96"/>
      <c r="M545" s="89"/>
      <c r="N545" s="88"/>
      <c r="O545" s="413"/>
      <c r="P545" s="18"/>
      <c r="Q545" s="91"/>
      <c r="R545" s="18"/>
      <c r="S545" s="18"/>
      <c r="T545" s="18"/>
      <c r="U545" s="18"/>
      <c r="V545" s="18"/>
      <c r="W545" s="18"/>
      <c r="X545" s="18"/>
      <c r="Y545" s="92"/>
      <c r="Z545" s="92"/>
      <c r="AA545" s="418"/>
      <c r="AB545" s="95"/>
      <c r="AC545" s="18"/>
      <c r="AD545" s="18"/>
      <c r="AE545" s="18"/>
      <c r="AF545" s="18"/>
      <c r="AG545" s="91"/>
      <c r="AH545" s="18"/>
      <c r="AI545" s="18"/>
      <c r="AJ545" s="18"/>
      <c r="AK545" s="18"/>
      <c r="AL545" s="18"/>
      <c r="AM545" s="18"/>
      <c r="AN545" s="18"/>
      <c r="AO545" s="18"/>
      <c r="AP545" s="18"/>
      <c r="AQ545" s="18"/>
      <c r="AR545" s="18"/>
      <c r="AS545" s="18"/>
      <c r="AT545" s="18"/>
      <c r="AU545" s="91"/>
      <c r="AV545" s="18"/>
      <c r="AW545" s="18"/>
      <c r="AX545" s="18"/>
      <c r="AY545" s="17"/>
      <c r="AZ545" s="17"/>
      <c r="BA545" s="17"/>
      <c r="BB545" s="17"/>
      <c r="BC545" s="96"/>
      <c r="BD545" s="96"/>
      <c r="BE545" s="96"/>
      <c r="BF545" s="96"/>
      <c r="BG545" s="96"/>
      <c r="BH545" s="96"/>
      <c r="BI545" s="96"/>
    </row>
    <row r="546" spans="1:61" x14ac:dyDescent="0.45">
      <c r="A546" s="17"/>
      <c r="B546" s="17"/>
      <c r="C546" s="17"/>
      <c r="D546" s="17"/>
      <c r="E546" s="15"/>
      <c r="F546" s="17"/>
      <c r="G546" s="17"/>
      <c r="H546" s="3"/>
      <c r="I546" s="88"/>
      <c r="J546" s="88"/>
      <c r="K546" s="15"/>
      <c r="L546" s="96"/>
      <c r="M546" s="89"/>
      <c r="N546" s="88"/>
      <c r="O546" s="413"/>
      <c r="P546" s="18"/>
      <c r="Q546" s="91"/>
      <c r="R546" s="18"/>
      <c r="S546" s="18"/>
      <c r="T546" s="18"/>
      <c r="U546" s="18"/>
      <c r="V546" s="18"/>
      <c r="W546" s="18"/>
      <c r="X546" s="18"/>
      <c r="Y546" s="92"/>
      <c r="Z546" s="92"/>
      <c r="AA546" s="418"/>
      <c r="AB546" s="95"/>
      <c r="AC546" s="18"/>
      <c r="AD546" s="18"/>
      <c r="AE546" s="18"/>
      <c r="AF546" s="18"/>
      <c r="AG546" s="91"/>
      <c r="AH546" s="18"/>
      <c r="AI546" s="18"/>
      <c r="AJ546" s="18"/>
      <c r="AK546" s="18"/>
      <c r="AL546" s="18"/>
      <c r="AM546" s="18"/>
      <c r="AN546" s="18"/>
      <c r="AO546" s="18"/>
      <c r="AP546" s="18"/>
      <c r="AQ546" s="18"/>
      <c r="AR546" s="18"/>
      <c r="AS546" s="18"/>
      <c r="AT546" s="18"/>
      <c r="AU546" s="91"/>
      <c r="AV546" s="18"/>
      <c r="AW546" s="18"/>
      <c r="AX546" s="18"/>
      <c r="AY546" s="17"/>
      <c r="AZ546" s="17"/>
      <c r="BA546" s="17"/>
      <c r="BB546" s="17"/>
      <c r="BC546" s="96"/>
      <c r="BD546" s="96"/>
      <c r="BE546" s="96"/>
      <c r="BF546" s="96"/>
      <c r="BG546" s="96"/>
      <c r="BH546" s="96"/>
      <c r="BI546" s="96"/>
    </row>
    <row r="547" spans="1:61" x14ac:dyDescent="0.45">
      <c r="A547" s="17"/>
      <c r="B547" s="17"/>
      <c r="C547" s="17"/>
      <c r="D547" s="17"/>
      <c r="E547" s="15"/>
      <c r="F547" s="17"/>
      <c r="G547" s="17"/>
      <c r="H547" s="3"/>
      <c r="I547" s="88"/>
      <c r="J547" s="88"/>
      <c r="K547" s="15"/>
      <c r="L547" s="96"/>
      <c r="M547" s="89"/>
      <c r="N547" s="88"/>
      <c r="O547" s="413"/>
      <c r="P547" s="18"/>
      <c r="Q547" s="91"/>
      <c r="R547" s="18"/>
      <c r="S547" s="18"/>
      <c r="T547" s="18"/>
      <c r="U547" s="18"/>
      <c r="V547" s="18"/>
      <c r="W547" s="18"/>
      <c r="X547" s="18"/>
      <c r="Y547" s="92"/>
      <c r="Z547" s="92"/>
      <c r="AA547" s="418"/>
      <c r="AB547" s="95"/>
      <c r="AC547" s="18"/>
      <c r="AD547" s="18"/>
      <c r="AE547" s="18"/>
      <c r="AF547" s="18"/>
      <c r="AG547" s="91"/>
      <c r="AH547" s="18"/>
      <c r="AI547" s="18"/>
      <c r="AJ547" s="18"/>
      <c r="AK547" s="18"/>
      <c r="AL547" s="18"/>
      <c r="AM547" s="18"/>
      <c r="AN547" s="18"/>
      <c r="AO547" s="18"/>
      <c r="AP547" s="18"/>
      <c r="AQ547" s="18"/>
      <c r="AR547" s="18"/>
      <c r="AS547" s="18"/>
      <c r="AT547" s="18"/>
      <c r="AU547" s="91"/>
      <c r="AV547" s="18"/>
      <c r="AW547" s="18"/>
      <c r="AX547" s="18"/>
      <c r="AY547" s="17"/>
      <c r="AZ547" s="17"/>
      <c r="BA547" s="17"/>
      <c r="BB547" s="17"/>
      <c r="BC547" s="96"/>
      <c r="BD547" s="96"/>
      <c r="BE547" s="96"/>
      <c r="BF547" s="96"/>
      <c r="BG547" s="96"/>
      <c r="BH547" s="96"/>
      <c r="BI547" s="96"/>
    </row>
    <row r="548" spans="1:61" x14ac:dyDescent="0.45">
      <c r="A548" s="17"/>
      <c r="B548" s="17"/>
      <c r="C548" s="17"/>
      <c r="D548" s="17"/>
      <c r="E548" s="15"/>
      <c r="F548" s="17"/>
      <c r="G548" s="17"/>
      <c r="H548" s="3"/>
      <c r="I548" s="88"/>
      <c r="J548" s="88"/>
      <c r="K548" s="15"/>
      <c r="L548" s="96"/>
      <c r="M548" s="89"/>
      <c r="N548" s="88"/>
      <c r="O548" s="413"/>
      <c r="P548" s="18"/>
      <c r="Q548" s="91"/>
      <c r="R548" s="18"/>
      <c r="S548" s="18"/>
      <c r="T548" s="18"/>
      <c r="U548" s="18"/>
      <c r="V548" s="18"/>
      <c r="W548" s="18"/>
      <c r="X548" s="18"/>
      <c r="Y548" s="92"/>
      <c r="Z548" s="92"/>
      <c r="AA548" s="418"/>
      <c r="AB548" s="95"/>
      <c r="AC548" s="18"/>
      <c r="AD548" s="18"/>
      <c r="AE548" s="18"/>
      <c r="AF548" s="18"/>
      <c r="AG548" s="91"/>
      <c r="AH548" s="18"/>
      <c r="AI548" s="18"/>
      <c r="AJ548" s="18"/>
      <c r="AK548" s="18"/>
      <c r="AL548" s="18"/>
      <c r="AM548" s="18"/>
      <c r="AN548" s="18"/>
      <c r="AO548" s="18"/>
      <c r="AP548" s="18"/>
      <c r="AQ548" s="18"/>
      <c r="AR548" s="18"/>
      <c r="AS548" s="18"/>
      <c r="AT548" s="18"/>
      <c r="AU548" s="91"/>
      <c r="AV548" s="18"/>
      <c r="AW548" s="18"/>
      <c r="AX548" s="18"/>
      <c r="AY548" s="17"/>
      <c r="AZ548" s="17"/>
      <c r="BA548" s="17"/>
      <c r="BB548" s="17"/>
      <c r="BC548" s="96"/>
      <c r="BD548" s="96"/>
      <c r="BE548" s="96"/>
      <c r="BF548" s="96"/>
      <c r="BG548" s="96"/>
      <c r="BH548" s="96"/>
      <c r="BI548" s="96"/>
    </row>
    <row r="549" spans="1:61" x14ac:dyDescent="0.45">
      <c r="A549" s="17"/>
      <c r="B549" s="17"/>
      <c r="C549" s="17"/>
      <c r="D549" s="17"/>
      <c r="E549" s="15"/>
      <c r="F549" s="17"/>
      <c r="G549" s="17"/>
      <c r="H549" s="3"/>
      <c r="I549" s="88"/>
      <c r="J549" s="88"/>
      <c r="K549" s="15"/>
      <c r="L549" s="96"/>
      <c r="M549" s="89"/>
      <c r="N549" s="88"/>
      <c r="O549" s="413"/>
      <c r="P549" s="18"/>
      <c r="Q549" s="91"/>
      <c r="R549" s="18"/>
      <c r="S549" s="18"/>
      <c r="T549" s="18"/>
      <c r="U549" s="18"/>
      <c r="V549" s="18"/>
      <c r="W549" s="18"/>
      <c r="X549" s="18"/>
      <c r="Y549" s="92"/>
      <c r="Z549" s="92"/>
      <c r="AA549" s="418"/>
      <c r="AB549" s="95"/>
      <c r="AC549" s="18"/>
      <c r="AD549" s="18"/>
      <c r="AE549" s="18"/>
      <c r="AF549" s="18"/>
      <c r="AG549" s="91"/>
      <c r="AH549" s="18"/>
      <c r="AI549" s="18"/>
      <c r="AJ549" s="18"/>
      <c r="AK549" s="18"/>
      <c r="AL549" s="18"/>
      <c r="AM549" s="18"/>
      <c r="AN549" s="18"/>
      <c r="AO549" s="18"/>
      <c r="AP549" s="18"/>
      <c r="AQ549" s="18"/>
      <c r="AR549" s="18"/>
      <c r="AS549" s="18"/>
      <c r="AT549" s="18"/>
      <c r="AU549" s="91"/>
      <c r="AV549" s="18"/>
      <c r="AW549" s="18"/>
      <c r="AX549" s="18"/>
      <c r="AY549" s="17"/>
      <c r="AZ549" s="17"/>
      <c r="BA549" s="17"/>
      <c r="BB549" s="17"/>
      <c r="BC549" s="96"/>
      <c r="BD549" s="96"/>
      <c r="BE549" s="96"/>
      <c r="BF549" s="96"/>
      <c r="BG549" s="96"/>
      <c r="BH549" s="96"/>
      <c r="BI549" s="96"/>
    </row>
    <row r="550" spans="1:61" x14ac:dyDescent="0.45">
      <c r="A550" s="17"/>
      <c r="B550" s="17"/>
      <c r="C550" s="17"/>
      <c r="D550" s="17"/>
      <c r="E550" s="15"/>
      <c r="F550" s="17"/>
      <c r="G550" s="17"/>
      <c r="H550" s="3"/>
      <c r="I550" s="88"/>
      <c r="J550" s="88"/>
      <c r="K550" s="15"/>
      <c r="L550" s="96"/>
      <c r="M550" s="89"/>
      <c r="N550" s="88"/>
      <c r="O550" s="413"/>
      <c r="P550" s="18"/>
      <c r="Q550" s="91"/>
      <c r="R550" s="18"/>
      <c r="S550" s="18"/>
      <c r="T550" s="18"/>
      <c r="U550" s="18"/>
      <c r="V550" s="18"/>
      <c r="W550" s="18"/>
      <c r="X550" s="18"/>
      <c r="Y550" s="92"/>
      <c r="Z550" s="92"/>
      <c r="AA550" s="418"/>
      <c r="AB550" s="95"/>
      <c r="AC550" s="18"/>
      <c r="AD550" s="18"/>
      <c r="AE550" s="18"/>
      <c r="AF550" s="18"/>
      <c r="AG550" s="91"/>
      <c r="AH550" s="18"/>
      <c r="AI550" s="18"/>
      <c r="AJ550" s="18"/>
      <c r="AK550" s="18"/>
      <c r="AL550" s="18"/>
      <c r="AM550" s="18"/>
      <c r="AN550" s="18"/>
      <c r="AO550" s="18"/>
      <c r="AP550" s="18"/>
      <c r="AQ550" s="18"/>
      <c r="AR550" s="18"/>
      <c r="AS550" s="18"/>
      <c r="AT550" s="18"/>
      <c r="AU550" s="91"/>
      <c r="AV550" s="18"/>
      <c r="AW550" s="18"/>
      <c r="AX550" s="18"/>
      <c r="AY550" s="17"/>
      <c r="AZ550" s="17"/>
      <c r="BA550" s="17"/>
      <c r="BB550" s="17"/>
      <c r="BC550" s="96"/>
      <c r="BD550" s="96"/>
      <c r="BE550" s="96"/>
      <c r="BF550" s="96"/>
      <c r="BG550" s="96"/>
      <c r="BH550" s="96"/>
      <c r="BI550" s="96"/>
    </row>
    <row r="551" spans="1:61" x14ac:dyDescent="0.45">
      <c r="A551" s="17"/>
      <c r="B551" s="17"/>
      <c r="C551" s="17"/>
      <c r="D551" s="17"/>
      <c r="E551" s="15"/>
      <c r="F551" s="17"/>
      <c r="G551" s="17"/>
      <c r="H551" s="3"/>
      <c r="I551" s="88"/>
      <c r="J551" s="88"/>
      <c r="K551" s="15"/>
      <c r="L551" s="96"/>
      <c r="M551" s="89"/>
      <c r="N551" s="88"/>
      <c r="O551" s="413"/>
      <c r="P551" s="18"/>
      <c r="Q551" s="91"/>
      <c r="R551" s="18"/>
      <c r="S551" s="18"/>
      <c r="T551" s="18"/>
      <c r="U551" s="18"/>
      <c r="V551" s="18"/>
      <c r="W551" s="18"/>
      <c r="X551" s="18"/>
      <c r="Y551" s="92"/>
      <c r="Z551" s="92"/>
      <c r="AA551" s="418"/>
      <c r="AB551" s="95"/>
      <c r="AC551" s="18"/>
      <c r="AD551" s="18"/>
      <c r="AE551" s="18"/>
      <c r="AF551" s="18"/>
      <c r="AG551" s="91"/>
      <c r="AH551" s="18"/>
      <c r="AI551" s="18"/>
      <c r="AJ551" s="18"/>
      <c r="AK551" s="18"/>
      <c r="AL551" s="18"/>
      <c r="AM551" s="18"/>
      <c r="AN551" s="18"/>
      <c r="AO551" s="18"/>
      <c r="AP551" s="18"/>
      <c r="AQ551" s="18"/>
      <c r="AR551" s="18"/>
      <c r="AS551" s="18"/>
      <c r="AT551" s="18"/>
      <c r="AU551" s="91"/>
      <c r="AV551" s="18"/>
      <c r="AW551" s="18"/>
      <c r="AX551" s="18"/>
      <c r="AY551" s="17"/>
      <c r="AZ551" s="17"/>
      <c r="BA551" s="17"/>
      <c r="BB551" s="17"/>
      <c r="BC551" s="96"/>
      <c r="BD551" s="96"/>
      <c r="BE551" s="96"/>
      <c r="BF551" s="96"/>
      <c r="BG551" s="96"/>
      <c r="BH551" s="96"/>
      <c r="BI551" s="96"/>
    </row>
    <row r="552" spans="1:61" x14ac:dyDescent="0.45">
      <c r="A552" s="17"/>
      <c r="B552" s="17"/>
      <c r="C552" s="17"/>
      <c r="D552" s="17"/>
      <c r="E552" s="15"/>
      <c r="F552" s="17"/>
      <c r="G552" s="17"/>
      <c r="H552" s="3"/>
      <c r="I552" s="88"/>
      <c r="J552" s="88"/>
      <c r="K552" s="15"/>
      <c r="L552" s="96"/>
      <c r="M552" s="89"/>
      <c r="N552" s="88"/>
      <c r="O552" s="413"/>
      <c r="P552" s="18"/>
      <c r="Q552" s="91"/>
      <c r="R552" s="18"/>
      <c r="S552" s="18"/>
      <c r="T552" s="18"/>
      <c r="U552" s="18"/>
      <c r="V552" s="18"/>
      <c r="W552" s="18"/>
      <c r="X552" s="18"/>
      <c r="Y552" s="92"/>
      <c r="Z552" s="92"/>
      <c r="AA552" s="418"/>
      <c r="AB552" s="95"/>
      <c r="AC552" s="18"/>
      <c r="AD552" s="18"/>
      <c r="AE552" s="18"/>
      <c r="AF552" s="18"/>
      <c r="AG552" s="91"/>
      <c r="AH552" s="18"/>
      <c r="AI552" s="18"/>
      <c r="AJ552" s="18"/>
      <c r="AK552" s="18"/>
      <c r="AL552" s="18"/>
      <c r="AM552" s="18"/>
      <c r="AN552" s="18"/>
      <c r="AO552" s="18"/>
      <c r="AP552" s="18"/>
      <c r="AQ552" s="18"/>
      <c r="AR552" s="18"/>
      <c r="AS552" s="18"/>
      <c r="AT552" s="18"/>
      <c r="AU552" s="91"/>
      <c r="AV552" s="18"/>
      <c r="AW552" s="18"/>
      <c r="AX552" s="18"/>
      <c r="AY552" s="17"/>
      <c r="AZ552" s="17"/>
      <c r="BA552" s="17"/>
      <c r="BB552" s="17"/>
      <c r="BC552" s="96"/>
      <c r="BD552" s="96"/>
      <c r="BE552" s="96"/>
      <c r="BF552" s="96"/>
      <c r="BG552" s="96"/>
      <c r="BH552" s="96"/>
      <c r="BI552" s="96"/>
    </row>
    <row r="553" spans="1:61" x14ac:dyDescent="0.45">
      <c r="A553" s="17"/>
      <c r="B553" s="17"/>
      <c r="C553" s="17"/>
      <c r="D553" s="17"/>
      <c r="E553" s="15"/>
      <c r="F553" s="17"/>
      <c r="G553" s="17"/>
      <c r="H553" s="3"/>
      <c r="I553" s="88"/>
      <c r="J553" s="88"/>
      <c r="K553" s="15"/>
      <c r="L553" s="96"/>
      <c r="M553" s="89"/>
      <c r="N553" s="88"/>
      <c r="O553" s="413"/>
      <c r="P553" s="18"/>
      <c r="Q553" s="91"/>
      <c r="R553" s="18"/>
      <c r="S553" s="18"/>
      <c r="T553" s="18"/>
      <c r="U553" s="18"/>
      <c r="V553" s="18"/>
      <c r="W553" s="18"/>
      <c r="X553" s="18"/>
      <c r="Y553" s="92"/>
      <c r="Z553" s="92"/>
      <c r="AA553" s="418"/>
      <c r="AB553" s="95"/>
      <c r="AC553" s="18"/>
      <c r="AD553" s="18"/>
      <c r="AE553" s="18"/>
      <c r="AF553" s="18"/>
      <c r="AG553" s="91"/>
      <c r="AH553" s="18"/>
      <c r="AI553" s="18"/>
      <c r="AJ553" s="18"/>
      <c r="AK553" s="18"/>
      <c r="AL553" s="18"/>
      <c r="AM553" s="18"/>
      <c r="AN553" s="18"/>
      <c r="AO553" s="18"/>
      <c r="AP553" s="18"/>
      <c r="AQ553" s="18"/>
      <c r="AR553" s="18"/>
      <c r="AS553" s="18"/>
      <c r="AT553" s="18"/>
      <c r="AU553" s="91"/>
      <c r="AV553" s="18"/>
      <c r="AW553" s="18"/>
      <c r="AX553" s="18"/>
      <c r="AY553" s="17"/>
      <c r="AZ553" s="17"/>
      <c r="BA553" s="17"/>
      <c r="BB553" s="17"/>
      <c r="BC553" s="96"/>
      <c r="BD553" s="96"/>
      <c r="BE553" s="96"/>
      <c r="BF553" s="96"/>
      <c r="BG553" s="96"/>
      <c r="BH553" s="96"/>
      <c r="BI553" s="96"/>
    </row>
    <row r="554" spans="1:61" x14ac:dyDescent="0.45">
      <c r="A554" s="17"/>
      <c r="B554" s="17"/>
      <c r="C554" s="17"/>
      <c r="D554" s="17"/>
      <c r="E554" s="15"/>
      <c r="F554" s="17"/>
      <c r="G554" s="17"/>
      <c r="H554" s="3"/>
      <c r="I554" s="88"/>
      <c r="J554" s="88"/>
      <c r="K554" s="15"/>
      <c r="L554" s="96"/>
      <c r="M554" s="89"/>
      <c r="N554" s="88"/>
      <c r="O554" s="413"/>
      <c r="P554" s="18"/>
      <c r="Q554" s="91"/>
      <c r="R554" s="18"/>
      <c r="S554" s="18"/>
      <c r="T554" s="18"/>
      <c r="U554" s="18"/>
      <c r="V554" s="18"/>
      <c r="W554" s="18"/>
      <c r="X554" s="18"/>
      <c r="Y554" s="92"/>
      <c r="Z554" s="92"/>
      <c r="AA554" s="418"/>
      <c r="AB554" s="95"/>
      <c r="AC554" s="18"/>
      <c r="AD554" s="18"/>
      <c r="AE554" s="18"/>
      <c r="AF554" s="18"/>
      <c r="AG554" s="91"/>
      <c r="AH554" s="18"/>
      <c r="AI554" s="18"/>
      <c r="AJ554" s="18"/>
      <c r="AK554" s="18"/>
      <c r="AL554" s="18"/>
      <c r="AM554" s="18"/>
      <c r="AN554" s="18"/>
      <c r="AO554" s="18"/>
      <c r="AP554" s="18"/>
      <c r="AQ554" s="18"/>
      <c r="AR554" s="18"/>
      <c r="AS554" s="18"/>
      <c r="AT554" s="18"/>
      <c r="AU554" s="91"/>
      <c r="AV554" s="18"/>
      <c r="AW554" s="18"/>
      <c r="AX554" s="18"/>
      <c r="AY554" s="17"/>
      <c r="AZ554" s="17"/>
      <c r="BA554" s="17"/>
      <c r="BB554" s="17"/>
      <c r="BC554" s="96"/>
      <c r="BD554" s="96"/>
      <c r="BE554" s="96"/>
      <c r="BF554" s="96"/>
      <c r="BG554" s="96"/>
      <c r="BH554" s="96"/>
      <c r="BI554" s="96"/>
    </row>
    <row r="555" spans="1:61" x14ac:dyDescent="0.45">
      <c r="A555" s="17"/>
      <c r="B555" s="17"/>
      <c r="C555" s="17"/>
      <c r="D555" s="17"/>
      <c r="E555" s="15"/>
      <c r="F555" s="17"/>
      <c r="G555" s="17"/>
      <c r="H555" s="3"/>
      <c r="I555" s="88"/>
      <c r="J555" s="88"/>
      <c r="K555" s="15"/>
      <c r="L555" s="96"/>
      <c r="M555" s="89"/>
      <c r="N555" s="88"/>
      <c r="O555" s="413"/>
      <c r="P555" s="18"/>
      <c r="Q555" s="91"/>
      <c r="R555" s="18"/>
      <c r="S555" s="18"/>
      <c r="T555" s="18"/>
      <c r="U555" s="18"/>
      <c r="V555" s="18"/>
      <c r="W555" s="18"/>
      <c r="X555" s="18"/>
      <c r="Y555" s="92"/>
      <c r="Z555" s="92"/>
      <c r="AA555" s="418"/>
      <c r="AB555" s="95"/>
      <c r="AC555" s="18"/>
      <c r="AD555" s="18"/>
      <c r="AE555" s="18"/>
      <c r="AF555" s="18"/>
      <c r="AG555" s="91"/>
      <c r="AH555" s="18"/>
      <c r="AI555" s="18"/>
      <c r="AJ555" s="18"/>
      <c r="AK555" s="18"/>
      <c r="AL555" s="18"/>
      <c r="AM555" s="18"/>
      <c r="AN555" s="18"/>
      <c r="AO555" s="18"/>
      <c r="AP555" s="18"/>
      <c r="AQ555" s="18"/>
      <c r="AR555" s="18"/>
      <c r="AS555" s="18"/>
      <c r="AT555" s="18"/>
      <c r="AU555" s="91"/>
      <c r="AV555" s="18"/>
      <c r="AW555" s="18"/>
      <c r="AX555" s="18"/>
      <c r="AY555" s="17"/>
      <c r="AZ555" s="17"/>
      <c r="BA555" s="17"/>
      <c r="BB555" s="17"/>
      <c r="BC555" s="96"/>
      <c r="BD555" s="96"/>
      <c r="BE555" s="96"/>
      <c r="BF555" s="96"/>
      <c r="BG555" s="96"/>
      <c r="BH555" s="96"/>
      <c r="BI555" s="96"/>
    </row>
    <row r="556" spans="1:61" x14ac:dyDescent="0.45">
      <c r="A556" s="17"/>
      <c r="B556" s="17"/>
      <c r="C556" s="17"/>
      <c r="D556" s="17"/>
      <c r="E556" s="15"/>
      <c r="F556" s="17"/>
      <c r="G556" s="17"/>
      <c r="H556" s="3"/>
      <c r="I556" s="88"/>
      <c r="J556" s="88"/>
      <c r="K556" s="15"/>
      <c r="L556" s="96"/>
      <c r="M556" s="89"/>
      <c r="N556" s="88"/>
      <c r="O556" s="413"/>
      <c r="P556" s="18"/>
      <c r="Q556" s="91"/>
      <c r="R556" s="18"/>
      <c r="S556" s="18"/>
      <c r="T556" s="18"/>
      <c r="U556" s="18"/>
      <c r="V556" s="18"/>
      <c r="W556" s="18"/>
      <c r="X556" s="18"/>
      <c r="Y556" s="92"/>
      <c r="Z556" s="92"/>
      <c r="AA556" s="418"/>
      <c r="AB556" s="95"/>
      <c r="AC556" s="18"/>
      <c r="AD556" s="18"/>
      <c r="AE556" s="18"/>
      <c r="AF556" s="18"/>
      <c r="AG556" s="91"/>
      <c r="AH556" s="18"/>
      <c r="AI556" s="18"/>
      <c r="AJ556" s="18"/>
      <c r="AK556" s="18"/>
      <c r="AL556" s="18"/>
      <c r="AM556" s="18"/>
      <c r="AN556" s="18"/>
      <c r="AO556" s="18"/>
      <c r="AP556" s="18"/>
      <c r="AQ556" s="18"/>
      <c r="AR556" s="18"/>
      <c r="AS556" s="18"/>
      <c r="AT556" s="18"/>
      <c r="AU556" s="91"/>
      <c r="AV556" s="18"/>
      <c r="AW556" s="18"/>
      <c r="AX556" s="18"/>
      <c r="AY556" s="17"/>
      <c r="AZ556" s="17"/>
      <c r="BA556" s="17"/>
      <c r="BB556" s="17"/>
      <c r="BC556" s="96"/>
      <c r="BD556" s="96"/>
      <c r="BE556" s="96"/>
      <c r="BF556" s="96"/>
      <c r="BG556" s="96"/>
      <c r="BH556" s="96"/>
      <c r="BI556" s="96"/>
    </row>
    <row r="557" spans="1:61" x14ac:dyDescent="0.45">
      <c r="A557" s="17"/>
      <c r="B557" s="17"/>
      <c r="C557" s="17"/>
      <c r="D557" s="17"/>
      <c r="E557" s="15"/>
      <c r="F557" s="17"/>
      <c r="G557" s="17"/>
      <c r="H557" s="3"/>
      <c r="I557" s="88"/>
      <c r="J557" s="88"/>
      <c r="K557" s="15"/>
      <c r="L557" s="96"/>
      <c r="M557" s="89"/>
      <c r="N557" s="88"/>
      <c r="O557" s="413"/>
      <c r="P557" s="18"/>
      <c r="Q557" s="91"/>
      <c r="R557" s="18"/>
      <c r="S557" s="18"/>
      <c r="T557" s="18"/>
      <c r="U557" s="18"/>
      <c r="V557" s="18"/>
      <c r="W557" s="18"/>
      <c r="X557" s="18"/>
      <c r="Y557" s="92"/>
      <c r="Z557" s="92"/>
      <c r="AA557" s="418"/>
      <c r="AB557" s="95"/>
      <c r="AC557" s="18"/>
      <c r="AD557" s="18"/>
      <c r="AE557" s="18"/>
      <c r="AF557" s="18"/>
      <c r="AG557" s="91"/>
      <c r="AH557" s="18"/>
      <c r="AI557" s="18"/>
      <c r="AJ557" s="18"/>
      <c r="AK557" s="18"/>
      <c r="AL557" s="18"/>
      <c r="AM557" s="18"/>
      <c r="AN557" s="18"/>
      <c r="AO557" s="18"/>
      <c r="AP557" s="18"/>
      <c r="AQ557" s="18"/>
      <c r="AR557" s="18"/>
      <c r="AS557" s="18"/>
      <c r="AT557" s="18"/>
      <c r="AU557" s="91"/>
      <c r="AV557" s="18"/>
      <c r="AW557" s="18"/>
      <c r="AX557" s="18"/>
      <c r="AY557" s="17"/>
      <c r="AZ557" s="17"/>
      <c r="BA557" s="17"/>
      <c r="BB557" s="17"/>
      <c r="BC557" s="96"/>
      <c r="BD557" s="96"/>
      <c r="BE557" s="96"/>
      <c r="BF557" s="96"/>
      <c r="BG557" s="96"/>
      <c r="BH557" s="96"/>
      <c r="BI557" s="96"/>
    </row>
    <row r="558" spans="1:61" x14ac:dyDescent="0.45">
      <c r="A558" s="17"/>
      <c r="B558" s="17"/>
      <c r="C558" s="17"/>
      <c r="D558" s="17"/>
      <c r="E558" s="15"/>
      <c r="F558" s="17"/>
      <c r="G558" s="17"/>
      <c r="H558" s="3"/>
      <c r="I558" s="88"/>
      <c r="J558" s="88"/>
      <c r="K558" s="15"/>
      <c r="L558" s="96"/>
      <c r="M558" s="89"/>
      <c r="N558" s="88"/>
      <c r="O558" s="413"/>
      <c r="P558" s="18"/>
      <c r="Q558" s="91"/>
      <c r="R558" s="18"/>
      <c r="S558" s="18"/>
      <c r="T558" s="18"/>
      <c r="U558" s="18"/>
      <c r="V558" s="18"/>
      <c r="W558" s="18"/>
      <c r="X558" s="18"/>
      <c r="Y558" s="92"/>
      <c r="Z558" s="92"/>
      <c r="AA558" s="418"/>
      <c r="AB558" s="95"/>
      <c r="AC558" s="18"/>
      <c r="AD558" s="18"/>
      <c r="AE558" s="18"/>
      <c r="AF558" s="18"/>
      <c r="AG558" s="91"/>
      <c r="AH558" s="18"/>
      <c r="AI558" s="18"/>
      <c r="AJ558" s="18"/>
      <c r="AK558" s="18"/>
      <c r="AL558" s="18"/>
      <c r="AM558" s="18"/>
      <c r="AN558" s="18"/>
      <c r="AO558" s="18"/>
      <c r="AP558" s="18"/>
      <c r="AQ558" s="18"/>
      <c r="AR558" s="18"/>
      <c r="AS558" s="18"/>
      <c r="AT558" s="18"/>
      <c r="AU558" s="91"/>
      <c r="AV558" s="18"/>
      <c r="AW558" s="18"/>
      <c r="AX558" s="18"/>
      <c r="AY558" s="17"/>
      <c r="AZ558" s="17"/>
      <c r="BA558" s="17"/>
      <c r="BB558" s="17"/>
      <c r="BC558" s="96"/>
      <c r="BD558" s="96"/>
      <c r="BE558" s="96"/>
      <c r="BF558" s="96"/>
      <c r="BG558" s="96"/>
      <c r="BH558" s="96"/>
      <c r="BI558" s="96"/>
    </row>
    <row r="559" spans="1:61" x14ac:dyDescent="0.45">
      <c r="A559" s="17"/>
      <c r="B559" s="17"/>
      <c r="C559" s="17"/>
      <c r="D559" s="17"/>
      <c r="E559" s="15"/>
      <c r="F559" s="17"/>
      <c r="G559" s="17"/>
      <c r="H559" s="3"/>
      <c r="I559" s="88"/>
      <c r="J559" s="88"/>
      <c r="K559" s="15"/>
      <c r="L559" s="96"/>
      <c r="M559" s="89"/>
      <c r="N559" s="88"/>
      <c r="O559" s="413"/>
      <c r="P559" s="18"/>
      <c r="Q559" s="91"/>
      <c r="R559" s="18"/>
      <c r="S559" s="18"/>
      <c r="T559" s="18"/>
      <c r="U559" s="18"/>
      <c r="V559" s="18"/>
      <c r="W559" s="18"/>
      <c r="X559" s="18"/>
      <c r="Y559" s="92"/>
      <c r="Z559" s="92"/>
      <c r="AA559" s="418"/>
      <c r="AB559" s="95"/>
      <c r="AC559" s="18"/>
      <c r="AD559" s="18"/>
      <c r="AE559" s="18"/>
      <c r="AF559" s="18"/>
      <c r="AG559" s="91"/>
      <c r="AH559" s="18"/>
      <c r="AI559" s="18"/>
      <c r="AJ559" s="18"/>
      <c r="AK559" s="18"/>
      <c r="AL559" s="18"/>
      <c r="AM559" s="18"/>
      <c r="AN559" s="18"/>
      <c r="AO559" s="18"/>
      <c r="AP559" s="18"/>
      <c r="AQ559" s="18"/>
      <c r="AR559" s="18"/>
      <c r="AS559" s="18"/>
      <c r="AT559" s="18"/>
      <c r="AU559" s="91"/>
      <c r="AV559" s="18"/>
      <c r="AW559" s="18"/>
      <c r="AX559" s="18"/>
      <c r="AY559" s="17"/>
      <c r="AZ559" s="17"/>
      <c r="BA559" s="17"/>
      <c r="BB559" s="17"/>
      <c r="BC559" s="96"/>
      <c r="BD559" s="96"/>
      <c r="BE559" s="96"/>
      <c r="BF559" s="96"/>
      <c r="BG559" s="96"/>
      <c r="BH559" s="96"/>
      <c r="BI559" s="96"/>
    </row>
    <row r="560" spans="1:61" x14ac:dyDescent="0.45">
      <c r="A560" s="17"/>
      <c r="B560" s="17"/>
      <c r="C560" s="17"/>
      <c r="D560" s="17"/>
      <c r="E560" s="15"/>
      <c r="F560" s="17"/>
      <c r="G560" s="17"/>
      <c r="H560" s="3"/>
      <c r="I560" s="88"/>
      <c r="J560" s="88"/>
      <c r="K560" s="15"/>
      <c r="L560" s="96"/>
      <c r="M560" s="89"/>
      <c r="N560" s="88"/>
      <c r="O560" s="413"/>
      <c r="P560" s="18"/>
      <c r="Q560" s="91"/>
      <c r="R560" s="18"/>
      <c r="S560" s="18"/>
      <c r="T560" s="18"/>
      <c r="U560" s="18"/>
      <c r="V560" s="18"/>
      <c r="W560" s="18"/>
      <c r="X560" s="18"/>
      <c r="Y560" s="92"/>
      <c r="Z560" s="92"/>
      <c r="AA560" s="418"/>
      <c r="AB560" s="95"/>
      <c r="AC560" s="18"/>
      <c r="AD560" s="18"/>
      <c r="AE560" s="18"/>
      <c r="AF560" s="18"/>
      <c r="AG560" s="91"/>
      <c r="AH560" s="18"/>
      <c r="AI560" s="18"/>
      <c r="AJ560" s="18"/>
      <c r="AK560" s="18"/>
      <c r="AL560" s="18"/>
      <c r="AM560" s="18"/>
      <c r="AN560" s="18"/>
      <c r="AO560" s="18"/>
      <c r="AP560" s="18"/>
      <c r="AQ560" s="18"/>
      <c r="AR560" s="18"/>
      <c r="AS560" s="18"/>
      <c r="AT560" s="18"/>
      <c r="AU560" s="91"/>
      <c r="AV560" s="18"/>
      <c r="AW560" s="18"/>
      <c r="AX560" s="18"/>
      <c r="AY560" s="17"/>
      <c r="AZ560" s="17"/>
      <c r="BA560" s="17"/>
      <c r="BB560" s="17"/>
      <c r="BC560" s="96"/>
      <c r="BD560" s="96"/>
      <c r="BE560" s="96"/>
      <c r="BF560" s="96"/>
      <c r="BG560" s="96"/>
      <c r="BH560" s="96"/>
      <c r="BI560" s="96"/>
    </row>
    <row r="561" spans="1:61" x14ac:dyDescent="0.45">
      <c r="A561" s="17"/>
      <c r="B561" s="17"/>
      <c r="C561" s="17"/>
      <c r="D561" s="17"/>
      <c r="E561" s="15"/>
      <c r="F561" s="17"/>
      <c r="G561" s="17"/>
      <c r="H561" s="3"/>
      <c r="I561" s="88"/>
      <c r="J561" s="88"/>
      <c r="K561" s="15"/>
      <c r="L561" s="96"/>
      <c r="M561" s="89"/>
      <c r="N561" s="88"/>
      <c r="O561" s="413"/>
      <c r="P561" s="18"/>
      <c r="Q561" s="91"/>
      <c r="R561" s="18"/>
      <c r="S561" s="18"/>
      <c r="T561" s="18"/>
      <c r="U561" s="18"/>
      <c r="V561" s="18"/>
      <c r="W561" s="18"/>
      <c r="X561" s="18"/>
      <c r="Y561" s="92"/>
      <c r="Z561" s="92"/>
      <c r="AA561" s="418"/>
      <c r="AB561" s="95"/>
      <c r="AC561" s="18"/>
      <c r="AD561" s="18"/>
      <c r="AE561" s="18"/>
      <c r="AF561" s="18"/>
      <c r="AG561" s="91"/>
      <c r="AH561" s="18"/>
      <c r="AI561" s="18"/>
      <c r="AJ561" s="18"/>
      <c r="AK561" s="18"/>
      <c r="AL561" s="18"/>
      <c r="AM561" s="18"/>
      <c r="AN561" s="18"/>
      <c r="AO561" s="18"/>
      <c r="AP561" s="18"/>
      <c r="AQ561" s="18"/>
      <c r="AR561" s="18"/>
      <c r="AS561" s="18"/>
      <c r="AT561" s="18"/>
      <c r="AU561" s="91"/>
      <c r="AV561" s="18"/>
      <c r="AW561" s="18"/>
      <c r="AX561" s="18"/>
      <c r="AY561" s="17"/>
      <c r="AZ561" s="17"/>
      <c r="BA561" s="17"/>
      <c r="BB561" s="17"/>
      <c r="BC561" s="96"/>
      <c r="BD561" s="96"/>
      <c r="BE561" s="96"/>
      <c r="BF561" s="96"/>
      <c r="BG561" s="96"/>
      <c r="BH561" s="96"/>
      <c r="BI561" s="96"/>
    </row>
    <row r="562" spans="1:61" x14ac:dyDescent="0.45">
      <c r="A562" s="17"/>
      <c r="B562" s="17"/>
      <c r="C562" s="17"/>
      <c r="D562" s="17"/>
      <c r="E562" s="15"/>
      <c r="F562" s="17"/>
      <c r="G562" s="17"/>
      <c r="H562" s="3"/>
      <c r="I562" s="88"/>
      <c r="J562" s="88"/>
      <c r="K562" s="15"/>
      <c r="L562" s="96"/>
      <c r="M562" s="89"/>
      <c r="N562" s="88"/>
      <c r="O562" s="413"/>
      <c r="P562" s="18"/>
      <c r="Q562" s="91"/>
      <c r="R562" s="18"/>
      <c r="S562" s="18"/>
      <c r="T562" s="18"/>
      <c r="U562" s="18"/>
      <c r="V562" s="18"/>
      <c r="W562" s="18"/>
      <c r="X562" s="18"/>
      <c r="Y562" s="92"/>
      <c r="Z562" s="92"/>
      <c r="AA562" s="418"/>
      <c r="AB562" s="95"/>
      <c r="AC562" s="18"/>
      <c r="AD562" s="18"/>
      <c r="AE562" s="18"/>
      <c r="AF562" s="18"/>
      <c r="AG562" s="91"/>
      <c r="AH562" s="18"/>
      <c r="AI562" s="18"/>
      <c r="AJ562" s="18"/>
      <c r="AK562" s="18"/>
      <c r="AL562" s="18"/>
      <c r="AM562" s="18"/>
      <c r="AN562" s="18"/>
      <c r="AO562" s="18"/>
      <c r="AP562" s="18"/>
      <c r="AQ562" s="18"/>
      <c r="AR562" s="18"/>
      <c r="AS562" s="18"/>
      <c r="AT562" s="18"/>
      <c r="AU562" s="91"/>
      <c r="AV562" s="18"/>
      <c r="AW562" s="18"/>
      <c r="AX562" s="18"/>
      <c r="AY562" s="17"/>
      <c r="AZ562" s="17"/>
      <c r="BA562" s="17"/>
      <c r="BB562" s="17"/>
      <c r="BC562" s="96"/>
      <c r="BD562" s="96"/>
      <c r="BE562" s="96"/>
      <c r="BF562" s="96"/>
      <c r="BG562" s="96"/>
      <c r="BH562" s="96"/>
      <c r="BI562" s="96"/>
    </row>
    <row r="563" spans="1:61" x14ac:dyDescent="0.45">
      <c r="A563" s="17"/>
      <c r="B563" s="17"/>
      <c r="C563" s="17"/>
      <c r="D563" s="17"/>
      <c r="E563" s="15"/>
      <c r="F563" s="17"/>
      <c r="G563" s="17"/>
      <c r="H563" s="3"/>
      <c r="I563" s="88"/>
      <c r="J563" s="88"/>
      <c r="K563" s="15"/>
      <c r="L563" s="96"/>
      <c r="M563" s="89"/>
      <c r="N563" s="88"/>
      <c r="O563" s="413"/>
      <c r="P563" s="18"/>
      <c r="Q563" s="91"/>
      <c r="R563" s="18"/>
      <c r="S563" s="18"/>
      <c r="T563" s="18"/>
      <c r="U563" s="18"/>
      <c r="V563" s="18"/>
      <c r="W563" s="18"/>
      <c r="X563" s="18"/>
      <c r="Y563" s="92"/>
      <c r="Z563" s="92"/>
      <c r="AA563" s="418"/>
      <c r="AB563" s="95"/>
      <c r="AC563" s="18"/>
      <c r="AD563" s="18"/>
      <c r="AE563" s="18"/>
      <c r="AF563" s="18"/>
      <c r="AG563" s="91"/>
      <c r="AH563" s="18"/>
      <c r="AI563" s="18"/>
      <c r="AJ563" s="18"/>
      <c r="AK563" s="18"/>
      <c r="AL563" s="18"/>
      <c r="AM563" s="18"/>
      <c r="AN563" s="18"/>
      <c r="AO563" s="18"/>
      <c r="AP563" s="18"/>
      <c r="AQ563" s="18"/>
      <c r="AR563" s="18"/>
      <c r="AS563" s="18"/>
      <c r="AT563" s="18"/>
      <c r="AU563" s="91"/>
      <c r="AV563" s="18"/>
      <c r="AW563" s="18"/>
      <c r="AX563" s="18"/>
      <c r="AY563" s="17"/>
      <c r="AZ563" s="17"/>
      <c r="BA563" s="17"/>
      <c r="BB563" s="17"/>
      <c r="BC563" s="96"/>
      <c r="BD563" s="96"/>
      <c r="BE563" s="96"/>
      <c r="BF563" s="96"/>
      <c r="BG563" s="96"/>
      <c r="BH563" s="96"/>
      <c r="BI563" s="96"/>
    </row>
    <row r="564" spans="1:61" x14ac:dyDescent="0.45">
      <c r="A564" s="17"/>
      <c r="B564" s="17"/>
      <c r="C564" s="17"/>
      <c r="D564" s="17"/>
      <c r="E564" s="15"/>
      <c r="F564" s="17"/>
      <c r="G564" s="17"/>
      <c r="H564" s="3"/>
      <c r="I564" s="88"/>
      <c r="J564" s="88"/>
      <c r="K564" s="15"/>
      <c r="L564" s="96"/>
      <c r="M564" s="89"/>
      <c r="N564" s="88"/>
      <c r="O564" s="413"/>
      <c r="P564" s="18"/>
      <c r="Q564" s="91"/>
      <c r="R564" s="18"/>
      <c r="S564" s="18"/>
      <c r="T564" s="18"/>
      <c r="U564" s="18"/>
      <c r="V564" s="18"/>
      <c r="W564" s="18"/>
      <c r="X564" s="18"/>
      <c r="Y564" s="92"/>
      <c r="Z564" s="92"/>
      <c r="AA564" s="418"/>
      <c r="AB564" s="95"/>
      <c r="AC564" s="18"/>
      <c r="AD564" s="18"/>
      <c r="AE564" s="18"/>
      <c r="AF564" s="18"/>
      <c r="AG564" s="91"/>
      <c r="AH564" s="18"/>
      <c r="AI564" s="18"/>
      <c r="AJ564" s="18"/>
      <c r="AK564" s="18"/>
      <c r="AL564" s="18"/>
      <c r="AM564" s="18"/>
      <c r="AN564" s="18"/>
      <c r="AO564" s="18"/>
      <c r="AP564" s="18"/>
      <c r="AQ564" s="18"/>
      <c r="AR564" s="18"/>
      <c r="AS564" s="18"/>
      <c r="AT564" s="18"/>
      <c r="AU564" s="91"/>
      <c r="AV564" s="18"/>
      <c r="AW564" s="18"/>
      <c r="AX564" s="18"/>
      <c r="AY564" s="17"/>
      <c r="AZ564" s="17"/>
      <c r="BA564" s="17"/>
      <c r="BB564" s="17"/>
      <c r="BC564" s="96"/>
      <c r="BD564" s="96"/>
      <c r="BE564" s="96"/>
      <c r="BF564" s="96"/>
      <c r="BG564" s="96"/>
      <c r="BH564" s="96"/>
      <c r="BI564" s="96"/>
    </row>
    <row r="565" spans="1:61" x14ac:dyDescent="0.45">
      <c r="A565" s="17"/>
      <c r="B565" s="17"/>
      <c r="C565" s="17"/>
      <c r="D565" s="17"/>
      <c r="E565" s="15"/>
      <c r="F565" s="17"/>
      <c r="G565" s="17"/>
      <c r="H565" s="3"/>
      <c r="I565" s="88"/>
      <c r="J565" s="88"/>
      <c r="K565" s="15"/>
      <c r="L565" s="96"/>
      <c r="M565" s="89"/>
      <c r="N565" s="88"/>
      <c r="O565" s="413"/>
      <c r="P565" s="18"/>
      <c r="Q565" s="91"/>
      <c r="R565" s="18"/>
      <c r="S565" s="18"/>
      <c r="T565" s="18"/>
      <c r="U565" s="18"/>
      <c r="V565" s="18"/>
      <c r="W565" s="18"/>
      <c r="X565" s="18"/>
      <c r="Y565" s="92"/>
      <c r="Z565" s="92"/>
      <c r="AA565" s="418"/>
      <c r="AB565" s="95"/>
      <c r="AC565" s="18"/>
      <c r="AD565" s="18"/>
      <c r="AE565" s="18"/>
      <c r="AF565" s="18"/>
      <c r="AG565" s="91"/>
      <c r="AH565" s="18"/>
      <c r="AI565" s="18"/>
      <c r="AJ565" s="18"/>
      <c r="AK565" s="18"/>
      <c r="AL565" s="18"/>
      <c r="AM565" s="18"/>
      <c r="AN565" s="18"/>
      <c r="AO565" s="18"/>
      <c r="AP565" s="18"/>
      <c r="AQ565" s="18"/>
      <c r="AR565" s="18"/>
      <c r="AS565" s="18"/>
      <c r="AT565" s="18"/>
      <c r="AU565" s="91"/>
      <c r="AV565" s="18"/>
      <c r="AW565" s="18"/>
      <c r="AX565" s="18"/>
      <c r="AY565" s="17"/>
      <c r="AZ565" s="17"/>
      <c r="BA565" s="17"/>
      <c r="BB565" s="17"/>
      <c r="BC565" s="96"/>
      <c r="BD565" s="96"/>
      <c r="BE565" s="96"/>
      <c r="BF565" s="96"/>
      <c r="BG565" s="96"/>
      <c r="BH565" s="96"/>
      <c r="BI565" s="96"/>
    </row>
    <row r="566" spans="1:61" x14ac:dyDescent="0.45">
      <c r="A566" s="17"/>
      <c r="B566" s="17"/>
      <c r="C566" s="17"/>
      <c r="D566" s="17"/>
      <c r="E566" s="15"/>
      <c r="F566" s="17"/>
      <c r="G566" s="17"/>
      <c r="H566" s="3"/>
      <c r="I566" s="88"/>
      <c r="J566" s="88"/>
      <c r="K566" s="15"/>
      <c r="L566" s="96"/>
      <c r="M566" s="89"/>
      <c r="N566" s="88"/>
      <c r="O566" s="413"/>
      <c r="P566" s="18"/>
      <c r="Q566" s="91"/>
      <c r="R566" s="18"/>
      <c r="S566" s="18"/>
      <c r="T566" s="18"/>
      <c r="U566" s="18"/>
      <c r="V566" s="18"/>
      <c r="W566" s="18"/>
      <c r="X566" s="18"/>
      <c r="Y566" s="92"/>
      <c r="Z566" s="92"/>
      <c r="AA566" s="418"/>
      <c r="AB566" s="95"/>
      <c r="AC566" s="18"/>
      <c r="AD566" s="18"/>
      <c r="AE566" s="18"/>
      <c r="AF566" s="18"/>
      <c r="AG566" s="91"/>
      <c r="AH566" s="18"/>
      <c r="AI566" s="18"/>
      <c r="AJ566" s="18"/>
      <c r="AK566" s="18"/>
      <c r="AL566" s="18"/>
      <c r="AM566" s="18"/>
      <c r="AN566" s="18"/>
      <c r="AO566" s="18"/>
      <c r="AP566" s="18"/>
      <c r="AQ566" s="18"/>
      <c r="AR566" s="18"/>
      <c r="AS566" s="18"/>
      <c r="AT566" s="18"/>
      <c r="AU566" s="91"/>
      <c r="AV566" s="18"/>
      <c r="AW566" s="18"/>
      <c r="AX566" s="18"/>
      <c r="AY566" s="17"/>
      <c r="AZ566" s="17"/>
      <c r="BA566" s="17"/>
      <c r="BB566" s="17"/>
      <c r="BC566" s="96"/>
      <c r="BD566" s="96"/>
      <c r="BE566" s="96"/>
      <c r="BF566" s="96"/>
      <c r="BG566" s="96"/>
      <c r="BH566" s="96"/>
      <c r="BI566" s="96"/>
    </row>
    <row r="567" spans="1:61" x14ac:dyDescent="0.45">
      <c r="A567" s="17"/>
      <c r="B567" s="17"/>
      <c r="C567" s="17"/>
      <c r="D567" s="17"/>
      <c r="E567" s="15"/>
      <c r="F567" s="17"/>
      <c r="G567" s="17"/>
      <c r="H567" s="3"/>
      <c r="I567" s="88"/>
      <c r="J567" s="88"/>
      <c r="K567" s="15"/>
      <c r="L567" s="96"/>
      <c r="M567" s="89"/>
      <c r="N567" s="88"/>
      <c r="O567" s="413"/>
      <c r="P567" s="18"/>
      <c r="Q567" s="91"/>
      <c r="R567" s="18"/>
      <c r="S567" s="18"/>
      <c r="T567" s="18"/>
      <c r="U567" s="18"/>
      <c r="V567" s="18"/>
      <c r="W567" s="18"/>
      <c r="X567" s="18"/>
      <c r="Y567" s="92"/>
      <c r="Z567" s="92"/>
      <c r="AA567" s="418"/>
      <c r="AB567" s="95"/>
      <c r="AC567" s="18"/>
      <c r="AD567" s="18"/>
      <c r="AE567" s="18"/>
      <c r="AF567" s="18"/>
      <c r="AG567" s="91"/>
      <c r="AH567" s="18"/>
      <c r="AI567" s="18"/>
      <c r="AJ567" s="18"/>
      <c r="AK567" s="18"/>
      <c r="AL567" s="18"/>
      <c r="AM567" s="18"/>
      <c r="AN567" s="18"/>
      <c r="AO567" s="18"/>
      <c r="AP567" s="18"/>
      <c r="AQ567" s="18"/>
      <c r="AR567" s="18"/>
      <c r="AS567" s="18"/>
      <c r="AT567" s="18"/>
      <c r="AU567" s="91"/>
      <c r="AV567" s="18"/>
      <c r="AW567" s="18"/>
      <c r="AX567" s="18"/>
      <c r="AY567" s="17"/>
      <c r="AZ567" s="17"/>
      <c r="BA567" s="17"/>
      <c r="BB567" s="17"/>
      <c r="BC567" s="96"/>
      <c r="BD567" s="96"/>
      <c r="BE567" s="96"/>
      <c r="BF567" s="96"/>
      <c r="BG567" s="96"/>
      <c r="BH567" s="96"/>
      <c r="BI567" s="96"/>
    </row>
    <row r="568" spans="1:61" x14ac:dyDescent="0.45">
      <c r="A568" s="17"/>
      <c r="B568" s="17"/>
      <c r="C568" s="17"/>
      <c r="D568" s="17"/>
      <c r="E568" s="15"/>
      <c r="F568" s="17"/>
      <c r="G568" s="17"/>
      <c r="H568" s="3"/>
      <c r="I568" s="88"/>
      <c r="J568" s="88"/>
      <c r="K568" s="15"/>
      <c r="L568" s="96"/>
      <c r="M568" s="89"/>
      <c r="N568" s="88"/>
      <c r="O568" s="413"/>
      <c r="P568" s="18"/>
      <c r="Q568" s="91"/>
      <c r="R568" s="18"/>
      <c r="S568" s="18"/>
      <c r="T568" s="18"/>
      <c r="U568" s="18"/>
      <c r="V568" s="18"/>
      <c r="W568" s="18"/>
      <c r="X568" s="18"/>
      <c r="Y568" s="92"/>
      <c r="Z568" s="92"/>
      <c r="AA568" s="418"/>
      <c r="AB568" s="95"/>
      <c r="AC568" s="18"/>
      <c r="AD568" s="18"/>
      <c r="AE568" s="18"/>
      <c r="AF568" s="18"/>
      <c r="AG568" s="91"/>
      <c r="AH568" s="18"/>
      <c r="AI568" s="18"/>
      <c r="AJ568" s="18"/>
      <c r="AK568" s="18"/>
      <c r="AL568" s="18"/>
      <c r="AM568" s="18"/>
      <c r="AN568" s="18"/>
      <c r="AO568" s="18"/>
      <c r="AP568" s="18"/>
      <c r="AQ568" s="18"/>
      <c r="AR568" s="18"/>
      <c r="AS568" s="18"/>
      <c r="AT568" s="18"/>
      <c r="AU568" s="91"/>
      <c r="AV568" s="18"/>
      <c r="AW568" s="18"/>
      <c r="AX568" s="18"/>
      <c r="AY568" s="17"/>
      <c r="AZ568" s="17"/>
      <c r="BA568" s="17"/>
      <c r="BB568" s="17"/>
      <c r="BC568" s="96"/>
      <c r="BD568" s="96"/>
      <c r="BE568" s="96"/>
      <c r="BF568" s="96"/>
      <c r="BG568" s="96"/>
      <c r="BH568" s="96"/>
      <c r="BI568" s="96"/>
    </row>
    <row r="569" spans="1:61" x14ac:dyDescent="0.45">
      <c r="A569" s="17"/>
      <c r="B569" s="17"/>
      <c r="C569" s="17"/>
      <c r="D569" s="17"/>
      <c r="E569" s="15"/>
      <c r="F569" s="17"/>
      <c r="G569" s="17"/>
      <c r="H569" s="3"/>
      <c r="I569" s="88"/>
      <c r="J569" s="88"/>
      <c r="K569" s="15"/>
      <c r="L569" s="96"/>
      <c r="M569" s="89"/>
      <c r="N569" s="88"/>
      <c r="O569" s="413"/>
      <c r="P569" s="18"/>
      <c r="Q569" s="91"/>
      <c r="R569" s="18"/>
      <c r="S569" s="18"/>
      <c r="T569" s="18"/>
      <c r="U569" s="18"/>
      <c r="V569" s="18"/>
      <c r="W569" s="18"/>
      <c r="X569" s="18"/>
      <c r="Y569" s="92"/>
      <c r="Z569" s="92"/>
      <c r="AA569" s="418"/>
      <c r="AB569" s="95"/>
      <c r="AC569" s="18"/>
      <c r="AD569" s="18"/>
      <c r="AE569" s="18"/>
      <c r="AF569" s="18"/>
      <c r="AG569" s="91"/>
      <c r="AH569" s="18"/>
      <c r="AI569" s="18"/>
      <c r="AJ569" s="18"/>
      <c r="AK569" s="18"/>
      <c r="AL569" s="18"/>
      <c r="AM569" s="18"/>
      <c r="AN569" s="18"/>
      <c r="AO569" s="18"/>
      <c r="AP569" s="18"/>
      <c r="AQ569" s="18"/>
      <c r="AR569" s="18"/>
      <c r="AS569" s="18"/>
      <c r="AT569" s="18"/>
      <c r="AU569" s="91"/>
      <c r="AV569" s="18"/>
      <c r="AW569" s="18"/>
      <c r="AX569" s="18"/>
      <c r="AY569" s="17"/>
      <c r="AZ569" s="17"/>
      <c r="BA569" s="17"/>
      <c r="BB569" s="17"/>
      <c r="BC569" s="96"/>
      <c r="BD569" s="96"/>
      <c r="BE569" s="96"/>
      <c r="BF569" s="96"/>
      <c r="BG569" s="96"/>
      <c r="BH569" s="96"/>
      <c r="BI569" s="96"/>
    </row>
    <row r="570" spans="1:61" x14ac:dyDescent="0.45">
      <c r="A570" s="17"/>
      <c r="B570" s="17"/>
      <c r="C570" s="17"/>
      <c r="D570" s="17"/>
      <c r="E570" s="15"/>
      <c r="F570" s="17"/>
      <c r="G570" s="17"/>
      <c r="H570" s="3"/>
      <c r="I570" s="88"/>
      <c r="J570" s="88"/>
      <c r="K570" s="15"/>
      <c r="L570" s="96"/>
      <c r="M570" s="89"/>
      <c r="N570" s="88"/>
      <c r="O570" s="413"/>
      <c r="P570" s="18"/>
      <c r="Q570" s="91"/>
      <c r="R570" s="18"/>
      <c r="S570" s="18"/>
      <c r="T570" s="18"/>
      <c r="U570" s="18"/>
      <c r="V570" s="18"/>
      <c r="W570" s="18"/>
      <c r="X570" s="18"/>
      <c r="Y570" s="92"/>
      <c r="Z570" s="92"/>
      <c r="AA570" s="418"/>
      <c r="AB570" s="95"/>
      <c r="AC570" s="18"/>
      <c r="AD570" s="18"/>
      <c r="AE570" s="18"/>
      <c r="AF570" s="18"/>
      <c r="AG570" s="91"/>
      <c r="AH570" s="18"/>
      <c r="AI570" s="18"/>
      <c r="AJ570" s="18"/>
      <c r="AK570" s="18"/>
      <c r="AL570" s="18"/>
      <c r="AM570" s="18"/>
      <c r="AN570" s="18"/>
      <c r="AO570" s="18"/>
      <c r="AP570" s="18"/>
      <c r="AQ570" s="18"/>
      <c r="AR570" s="18"/>
      <c r="AS570" s="18"/>
      <c r="AT570" s="18"/>
      <c r="AU570" s="91"/>
      <c r="AV570" s="18"/>
      <c r="AW570" s="18"/>
      <c r="AX570" s="18"/>
      <c r="AY570" s="17"/>
      <c r="AZ570" s="17"/>
      <c r="BA570" s="17"/>
      <c r="BB570" s="17"/>
      <c r="BC570" s="96"/>
      <c r="BD570" s="96"/>
      <c r="BE570" s="96"/>
      <c r="BF570" s="96"/>
      <c r="BG570" s="96"/>
      <c r="BH570" s="96"/>
      <c r="BI570" s="96"/>
    </row>
    <row r="571" spans="1:61" x14ac:dyDescent="0.45">
      <c r="A571" s="17"/>
      <c r="B571" s="17"/>
      <c r="C571" s="17"/>
      <c r="D571" s="17"/>
      <c r="E571" s="15"/>
      <c r="F571" s="17"/>
      <c r="G571" s="17"/>
      <c r="H571" s="3"/>
      <c r="I571" s="88"/>
      <c r="J571" s="88"/>
      <c r="K571" s="15"/>
      <c r="L571" s="96"/>
      <c r="M571" s="89"/>
      <c r="N571" s="88"/>
      <c r="O571" s="413"/>
      <c r="P571" s="18"/>
      <c r="Q571" s="91"/>
      <c r="R571" s="18"/>
      <c r="S571" s="18"/>
      <c r="T571" s="18"/>
      <c r="U571" s="18"/>
      <c r="V571" s="18"/>
      <c r="W571" s="18"/>
      <c r="X571" s="18"/>
      <c r="Y571" s="92"/>
      <c r="Z571" s="92"/>
      <c r="AA571" s="418"/>
      <c r="AB571" s="95"/>
      <c r="AC571" s="18"/>
      <c r="AD571" s="18"/>
      <c r="AE571" s="18"/>
      <c r="AF571" s="18"/>
      <c r="AG571" s="91"/>
      <c r="AH571" s="18"/>
      <c r="AI571" s="18"/>
      <c r="AJ571" s="18"/>
      <c r="AK571" s="18"/>
      <c r="AL571" s="18"/>
      <c r="AM571" s="18"/>
      <c r="AN571" s="18"/>
      <c r="AO571" s="18"/>
      <c r="AP571" s="18"/>
      <c r="AQ571" s="18"/>
      <c r="AR571" s="18"/>
      <c r="AS571" s="18"/>
      <c r="AT571" s="18"/>
      <c r="AU571" s="91"/>
      <c r="AV571" s="18"/>
      <c r="AW571" s="18"/>
      <c r="AX571" s="18"/>
      <c r="AY571" s="17"/>
      <c r="AZ571" s="17"/>
      <c r="BA571" s="17"/>
      <c r="BB571" s="17"/>
      <c r="BC571" s="96"/>
      <c r="BD571" s="96"/>
      <c r="BE571" s="96"/>
      <c r="BF571" s="96"/>
      <c r="BG571" s="96"/>
      <c r="BH571" s="96"/>
      <c r="BI571" s="96"/>
    </row>
    <row r="572" spans="1:61" x14ac:dyDescent="0.45">
      <c r="A572" s="17"/>
      <c r="B572" s="17"/>
      <c r="C572" s="17"/>
      <c r="D572" s="17"/>
      <c r="E572" s="15"/>
      <c r="F572" s="17"/>
      <c r="G572" s="17"/>
      <c r="H572" s="3"/>
      <c r="I572" s="88"/>
      <c r="J572" s="88"/>
      <c r="K572" s="15"/>
      <c r="L572" s="96"/>
      <c r="M572" s="89"/>
      <c r="N572" s="88"/>
      <c r="O572" s="413"/>
      <c r="P572" s="18"/>
      <c r="Q572" s="91"/>
      <c r="R572" s="18"/>
      <c r="S572" s="18"/>
      <c r="T572" s="18"/>
      <c r="U572" s="18"/>
      <c r="V572" s="18"/>
      <c r="W572" s="18"/>
      <c r="X572" s="18"/>
      <c r="Y572" s="92"/>
      <c r="Z572" s="92"/>
      <c r="AA572" s="418"/>
      <c r="AB572" s="95"/>
      <c r="AC572" s="18"/>
      <c r="AD572" s="18"/>
      <c r="AE572" s="18"/>
      <c r="AF572" s="18"/>
      <c r="AG572" s="91"/>
      <c r="AH572" s="18"/>
      <c r="AI572" s="18"/>
      <c r="AJ572" s="18"/>
      <c r="AK572" s="18"/>
      <c r="AL572" s="18"/>
      <c r="AM572" s="18"/>
      <c r="AN572" s="18"/>
      <c r="AO572" s="18"/>
      <c r="AP572" s="18"/>
      <c r="AQ572" s="18"/>
      <c r="AR572" s="18"/>
      <c r="AS572" s="18"/>
      <c r="AT572" s="18"/>
      <c r="AU572" s="91"/>
      <c r="AV572" s="18"/>
      <c r="AW572" s="18"/>
      <c r="AX572" s="18"/>
      <c r="AY572" s="17"/>
      <c r="AZ572" s="17"/>
      <c r="BA572" s="17"/>
      <c r="BB572" s="17"/>
      <c r="BC572" s="96"/>
      <c r="BD572" s="96"/>
      <c r="BE572" s="96"/>
      <c r="BF572" s="96"/>
      <c r="BG572" s="96"/>
      <c r="BH572" s="96"/>
      <c r="BI572" s="96"/>
    </row>
    <row r="573" spans="1:61" x14ac:dyDescent="0.45">
      <c r="A573" s="17"/>
      <c r="B573" s="17"/>
      <c r="C573" s="17"/>
      <c r="D573" s="17"/>
      <c r="E573" s="15"/>
      <c r="F573" s="17"/>
      <c r="G573" s="17"/>
      <c r="H573" s="3"/>
      <c r="I573" s="88"/>
      <c r="J573" s="88"/>
      <c r="K573" s="15"/>
      <c r="L573" s="96"/>
      <c r="M573" s="89"/>
      <c r="N573" s="88"/>
      <c r="O573" s="413"/>
      <c r="P573" s="18"/>
      <c r="Q573" s="91"/>
      <c r="R573" s="18"/>
      <c r="S573" s="18"/>
      <c r="T573" s="18"/>
      <c r="U573" s="18"/>
      <c r="V573" s="18"/>
      <c r="W573" s="18"/>
      <c r="X573" s="18"/>
      <c r="Y573" s="92"/>
      <c r="Z573" s="92"/>
      <c r="AA573" s="418"/>
      <c r="AB573" s="95"/>
      <c r="AC573" s="18"/>
      <c r="AD573" s="18"/>
      <c r="AE573" s="18"/>
      <c r="AF573" s="18"/>
      <c r="AG573" s="91"/>
      <c r="AH573" s="18"/>
      <c r="AI573" s="18"/>
      <c r="AJ573" s="18"/>
      <c r="AK573" s="18"/>
      <c r="AL573" s="18"/>
      <c r="AM573" s="18"/>
      <c r="AN573" s="18"/>
      <c r="AO573" s="18"/>
      <c r="AP573" s="18"/>
      <c r="AQ573" s="18"/>
      <c r="AR573" s="18"/>
      <c r="AS573" s="18"/>
      <c r="AT573" s="18"/>
      <c r="AU573" s="91"/>
      <c r="AV573" s="18"/>
      <c r="AW573" s="18"/>
      <c r="AX573" s="18"/>
      <c r="AY573" s="17"/>
      <c r="AZ573" s="17"/>
      <c r="BA573" s="17"/>
      <c r="BB573" s="17"/>
      <c r="BC573" s="96"/>
      <c r="BD573" s="96"/>
      <c r="BE573" s="96"/>
      <c r="BF573" s="96"/>
      <c r="BG573" s="96"/>
      <c r="BH573" s="96"/>
      <c r="BI573" s="96"/>
    </row>
    <row r="574" spans="1:61" x14ac:dyDescent="0.45">
      <c r="A574" s="17"/>
      <c r="B574" s="17"/>
      <c r="C574" s="17"/>
      <c r="D574" s="17"/>
      <c r="E574" s="15"/>
      <c r="F574" s="17"/>
      <c r="G574" s="17"/>
      <c r="H574" s="3"/>
      <c r="I574" s="88"/>
      <c r="J574" s="88"/>
      <c r="K574" s="15"/>
      <c r="L574" s="96"/>
      <c r="M574" s="89"/>
      <c r="N574" s="88"/>
      <c r="O574" s="413"/>
      <c r="P574" s="18"/>
      <c r="Q574" s="91"/>
      <c r="R574" s="18"/>
      <c r="S574" s="18"/>
      <c r="T574" s="18"/>
      <c r="U574" s="18"/>
      <c r="V574" s="18"/>
      <c r="W574" s="18"/>
      <c r="X574" s="18"/>
      <c r="Y574" s="92"/>
      <c r="Z574" s="92"/>
      <c r="AA574" s="418"/>
      <c r="AB574" s="95"/>
      <c r="AC574" s="18"/>
      <c r="AD574" s="18"/>
      <c r="AE574" s="18"/>
      <c r="AF574" s="18"/>
      <c r="AG574" s="91"/>
      <c r="AH574" s="18"/>
      <c r="AI574" s="18"/>
      <c r="AJ574" s="18"/>
      <c r="AK574" s="18"/>
      <c r="AL574" s="18"/>
      <c r="AM574" s="18"/>
      <c r="AN574" s="18"/>
      <c r="AO574" s="18"/>
      <c r="AP574" s="18"/>
      <c r="AQ574" s="18"/>
      <c r="AR574" s="18"/>
      <c r="AS574" s="18"/>
      <c r="AT574" s="18"/>
      <c r="AU574" s="91"/>
      <c r="AV574" s="18"/>
      <c r="AW574" s="18"/>
      <c r="AX574" s="18"/>
      <c r="AY574" s="17"/>
      <c r="AZ574" s="17"/>
      <c r="BA574" s="17"/>
      <c r="BB574" s="17"/>
      <c r="BC574" s="96"/>
      <c r="BD574" s="96"/>
      <c r="BE574" s="96"/>
      <c r="BF574" s="96"/>
      <c r="BG574" s="96"/>
      <c r="BH574" s="96"/>
      <c r="BI574" s="96"/>
    </row>
    <row r="575" spans="1:61" x14ac:dyDescent="0.45">
      <c r="A575" s="17"/>
      <c r="B575" s="17"/>
      <c r="C575" s="17"/>
      <c r="D575" s="17"/>
      <c r="E575" s="15"/>
      <c r="F575" s="17"/>
      <c r="G575" s="17"/>
      <c r="H575" s="3"/>
      <c r="I575" s="88"/>
      <c r="J575" s="88"/>
      <c r="K575" s="15"/>
      <c r="L575" s="96"/>
      <c r="M575" s="89"/>
      <c r="N575" s="88"/>
      <c r="O575" s="413"/>
      <c r="P575" s="18"/>
      <c r="Q575" s="91"/>
      <c r="R575" s="18"/>
      <c r="S575" s="18"/>
      <c r="T575" s="18"/>
      <c r="U575" s="18"/>
      <c r="V575" s="18"/>
      <c r="W575" s="18"/>
      <c r="X575" s="18"/>
      <c r="Y575" s="92"/>
      <c r="Z575" s="92"/>
      <c r="AA575" s="418"/>
      <c r="AB575" s="95"/>
      <c r="AC575" s="18"/>
      <c r="AD575" s="18"/>
      <c r="AE575" s="18"/>
      <c r="AF575" s="18"/>
      <c r="AG575" s="91"/>
      <c r="AH575" s="18"/>
      <c r="AI575" s="18"/>
      <c r="AJ575" s="18"/>
      <c r="AK575" s="18"/>
      <c r="AL575" s="18"/>
      <c r="AM575" s="18"/>
      <c r="AN575" s="18"/>
      <c r="AO575" s="18"/>
      <c r="AP575" s="18"/>
      <c r="AQ575" s="18"/>
      <c r="AR575" s="18"/>
      <c r="AS575" s="18"/>
      <c r="AT575" s="18"/>
      <c r="AU575" s="91"/>
      <c r="AV575" s="18"/>
      <c r="AW575" s="18"/>
      <c r="AX575" s="18"/>
      <c r="AY575" s="17"/>
      <c r="AZ575" s="17"/>
      <c r="BA575" s="17"/>
      <c r="BB575" s="17"/>
      <c r="BC575" s="96"/>
      <c r="BD575" s="96"/>
      <c r="BE575" s="96"/>
      <c r="BF575" s="96"/>
      <c r="BG575" s="96"/>
      <c r="BH575" s="96"/>
      <c r="BI575" s="96"/>
    </row>
    <row r="576" spans="1:61" x14ac:dyDescent="0.45">
      <c r="A576" s="17"/>
      <c r="B576" s="17"/>
      <c r="C576" s="17"/>
      <c r="D576" s="17"/>
      <c r="E576" s="15"/>
      <c r="F576" s="17"/>
      <c r="G576" s="17"/>
      <c r="H576" s="3"/>
      <c r="I576" s="88"/>
      <c r="J576" s="88"/>
      <c r="K576" s="15"/>
      <c r="L576" s="96"/>
      <c r="M576" s="89"/>
      <c r="N576" s="88"/>
      <c r="O576" s="413"/>
      <c r="P576" s="18"/>
      <c r="Q576" s="91"/>
      <c r="R576" s="18"/>
      <c r="S576" s="18"/>
      <c r="T576" s="18"/>
      <c r="U576" s="18"/>
      <c r="V576" s="18"/>
      <c r="W576" s="18"/>
      <c r="X576" s="18"/>
      <c r="Y576" s="92"/>
      <c r="Z576" s="92"/>
      <c r="AA576" s="418"/>
      <c r="AB576" s="95"/>
      <c r="AC576" s="18"/>
      <c r="AD576" s="18"/>
      <c r="AE576" s="18"/>
      <c r="AF576" s="18"/>
      <c r="AG576" s="91"/>
      <c r="AH576" s="18"/>
      <c r="AI576" s="18"/>
      <c r="AJ576" s="18"/>
      <c r="AK576" s="18"/>
      <c r="AL576" s="18"/>
      <c r="AM576" s="18"/>
      <c r="AN576" s="18"/>
      <c r="AO576" s="18"/>
      <c r="AP576" s="18"/>
      <c r="AQ576" s="18"/>
      <c r="AR576" s="18"/>
      <c r="AS576" s="18"/>
      <c r="AT576" s="18"/>
      <c r="AU576" s="91"/>
      <c r="AV576" s="18"/>
      <c r="AW576" s="18"/>
      <c r="AX576" s="18"/>
      <c r="AY576" s="17"/>
      <c r="AZ576" s="17"/>
      <c r="BA576" s="17"/>
      <c r="BB576" s="17"/>
      <c r="BC576" s="96"/>
      <c r="BD576" s="96"/>
      <c r="BE576" s="96"/>
      <c r="BF576" s="96"/>
      <c r="BG576" s="96"/>
      <c r="BH576" s="96"/>
      <c r="BI576" s="96"/>
    </row>
    <row r="577" spans="1:61" x14ac:dyDescent="0.45">
      <c r="A577" s="17"/>
      <c r="B577" s="17"/>
      <c r="C577" s="17"/>
      <c r="D577" s="17"/>
      <c r="E577" s="15"/>
      <c r="F577" s="17"/>
      <c r="G577" s="17"/>
      <c r="H577" s="3"/>
      <c r="I577" s="88"/>
      <c r="J577" s="88"/>
      <c r="K577" s="15"/>
      <c r="L577" s="96"/>
      <c r="M577" s="89"/>
      <c r="N577" s="88"/>
      <c r="O577" s="413"/>
      <c r="P577" s="18"/>
      <c r="Q577" s="91"/>
      <c r="R577" s="18"/>
      <c r="S577" s="18"/>
      <c r="T577" s="18"/>
      <c r="U577" s="18"/>
      <c r="V577" s="18"/>
      <c r="W577" s="18"/>
      <c r="X577" s="18"/>
      <c r="Y577" s="92"/>
      <c r="Z577" s="92"/>
      <c r="AA577" s="418"/>
      <c r="AB577" s="95"/>
      <c r="AC577" s="18"/>
      <c r="AD577" s="18"/>
      <c r="AE577" s="18"/>
      <c r="AF577" s="18"/>
      <c r="AG577" s="91"/>
      <c r="AH577" s="18"/>
      <c r="AI577" s="18"/>
      <c r="AJ577" s="18"/>
      <c r="AK577" s="18"/>
      <c r="AL577" s="18"/>
      <c r="AM577" s="18"/>
      <c r="AN577" s="18"/>
      <c r="AO577" s="18"/>
      <c r="AP577" s="18"/>
      <c r="AQ577" s="18"/>
      <c r="AR577" s="18"/>
      <c r="AS577" s="18"/>
      <c r="AT577" s="18"/>
      <c r="AU577" s="91"/>
      <c r="AV577" s="18"/>
      <c r="AW577" s="18"/>
      <c r="AX577" s="18"/>
      <c r="AY577" s="17"/>
      <c r="AZ577" s="17"/>
      <c r="BA577" s="17"/>
      <c r="BB577" s="17"/>
      <c r="BC577" s="96"/>
      <c r="BD577" s="96"/>
      <c r="BE577" s="96"/>
      <c r="BF577" s="96"/>
      <c r="BG577" s="96"/>
      <c r="BH577" s="96"/>
      <c r="BI577" s="96"/>
    </row>
    <row r="578" spans="1:61" x14ac:dyDescent="0.45">
      <c r="A578" s="17"/>
      <c r="B578" s="17"/>
      <c r="C578" s="17"/>
      <c r="D578" s="17"/>
      <c r="E578" s="15"/>
      <c r="F578" s="17"/>
      <c r="G578" s="17"/>
      <c r="H578" s="3"/>
      <c r="I578" s="88"/>
      <c r="J578" s="88"/>
      <c r="K578" s="15"/>
      <c r="L578" s="96"/>
      <c r="M578" s="89"/>
      <c r="N578" s="88"/>
      <c r="O578" s="413"/>
      <c r="P578" s="18"/>
      <c r="Q578" s="91"/>
      <c r="R578" s="18"/>
      <c r="S578" s="18"/>
      <c r="T578" s="18"/>
      <c r="U578" s="18"/>
      <c r="V578" s="18"/>
      <c r="W578" s="18"/>
      <c r="X578" s="18"/>
      <c r="Y578" s="92"/>
      <c r="Z578" s="92"/>
      <c r="AA578" s="418"/>
      <c r="AB578" s="95"/>
      <c r="AC578" s="18"/>
      <c r="AD578" s="18"/>
      <c r="AE578" s="18"/>
      <c r="AF578" s="18"/>
      <c r="AG578" s="91"/>
      <c r="AH578" s="18"/>
      <c r="AI578" s="18"/>
      <c r="AJ578" s="18"/>
      <c r="AK578" s="18"/>
      <c r="AL578" s="18"/>
      <c r="AM578" s="18"/>
      <c r="AN578" s="18"/>
      <c r="AO578" s="18"/>
      <c r="AP578" s="18"/>
      <c r="AQ578" s="18"/>
      <c r="AR578" s="18"/>
      <c r="AS578" s="18"/>
      <c r="AT578" s="18"/>
      <c r="AU578" s="91"/>
      <c r="AV578" s="18"/>
      <c r="AW578" s="18"/>
      <c r="AX578" s="18"/>
      <c r="AY578" s="17"/>
      <c r="AZ578" s="17"/>
      <c r="BA578" s="17"/>
      <c r="BB578" s="17"/>
      <c r="BC578" s="96"/>
      <c r="BD578" s="96"/>
      <c r="BE578" s="96"/>
      <c r="BF578" s="96"/>
      <c r="BG578" s="96"/>
      <c r="BH578" s="96"/>
      <c r="BI578" s="96"/>
    </row>
    <row r="579" spans="1:61" x14ac:dyDescent="0.45">
      <c r="A579" s="17"/>
      <c r="B579" s="17"/>
      <c r="C579" s="17"/>
      <c r="D579" s="17"/>
      <c r="E579" s="15"/>
      <c r="F579" s="17"/>
      <c r="G579" s="17"/>
      <c r="H579" s="3"/>
      <c r="I579" s="88"/>
      <c r="J579" s="88"/>
      <c r="K579" s="15"/>
      <c r="L579" s="96"/>
      <c r="M579" s="89"/>
      <c r="N579" s="88"/>
      <c r="O579" s="413"/>
      <c r="P579" s="18"/>
      <c r="Q579" s="91"/>
      <c r="R579" s="18"/>
      <c r="S579" s="18"/>
      <c r="T579" s="18"/>
      <c r="U579" s="18"/>
      <c r="V579" s="18"/>
      <c r="W579" s="18"/>
      <c r="X579" s="18"/>
      <c r="Y579" s="92"/>
      <c r="Z579" s="92"/>
      <c r="AA579" s="418"/>
      <c r="AB579" s="95"/>
      <c r="AC579" s="18"/>
      <c r="AD579" s="18"/>
      <c r="AE579" s="18"/>
      <c r="AF579" s="18"/>
      <c r="AG579" s="91"/>
      <c r="AH579" s="18"/>
      <c r="AI579" s="18"/>
      <c r="AJ579" s="18"/>
      <c r="AK579" s="18"/>
      <c r="AL579" s="18"/>
      <c r="AM579" s="18"/>
      <c r="AN579" s="18"/>
      <c r="AO579" s="18"/>
      <c r="AP579" s="18"/>
      <c r="AQ579" s="18"/>
      <c r="AR579" s="18"/>
      <c r="AS579" s="18"/>
      <c r="AT579" s="18"/>
      <c r="AU579" s="91"/>
      <c r="AV579" s="18"/>
      <c r="AW579" s="18"/>
      <c r="AX579" s="18"/>
      <c r="AY579" s="17"/>
      <c r="AZ579" s="17"/>
      <c r="BA579" s="17"/>
      <c r="BB579" s="17"/>
      <c r="BC579" s="96"/>
      <c r="BD579" s="96"/>
      <c r="BE579" s="96"/>
      <c r="BF579" s="96"/>
      <c r="BG579" s="96"/>
      <c r="BH579" s="96"/>
      <c r="BI579" s="96"/>
    </row>
    <row r="580" spans="1:61" x14ac:dyDescent="0.45">
      <c r="A580" s="17"/>
      <c r="B580" s="17"/>
      <c r="C580" s="17"/>
      <c r="D580" s="17"/>
      <c r="E580" s="15"/>
      <c r="F580" s="17"/>
      <c r="G580" s="17"/>
      <c r="H580" s="3"/>
      <c r="I580" s="88"/>
      <c r="J580" s="88"/>
      <c r="K580" s="15"/>
      <c r="L580" s="96"/>
      <c r="M580" s="89"/>
      <c r="N580" s="88"/>
      <c r="O580" s="413"/>
      <c r="P580" s="18"/>
      <c r="Q580" s="91"/>
      <c r="R580" s="18"/>
      <c r="S580" s="18"/>
      <c r="T580" s="18"/>
      <c r="U580" s="18"/>
      <c r="V580" s="18"/>
      <c r="W580" s="18"/>
      <c r="X580" s="18"/>
      <c r="Y580" s="92"/>
      <c r="Z580" s="92"/>
      <c r="AA580" s="418"/>
      <c r="AB580" s="95"/>
      <c r="AC580" s="18"/>
      <c r="AD580" s="18"/>
      <c r="AE580" s="18"/>
      <c r="AF580" s="18"/>
      <c r="AG580" s="91"/>
      <c r="AH580" s="18"/>
      <c r="AI580" s="18"/>
      <c r="AJ580" s="18"/>
      <c r="AK580" s="18"/>
      <c r="AL580" s="18"/>
      <c r="AM580" s="18"/>
      <c r="AN580" s="18"/>
      <c r="AO580" s="18"/>
      <c r="AP580" s="18"/>
      <c r="AQ580" s="18"/>
      <c r="AR580" s="18"/>
      <c r="AS580" s="18"/>
      <c r="AT580" s="18"/>
      <c r="AU580" s="91"/>
      <c r="AV580" s="18"/>
      <c r="AW580" s="18"/>
      <c r="AX580" s="18"/>
      <c r="AY580" s="17"/>
      <c r="AZ580" s="17"/>
      <c r="BA580" s="17"/>
      <c r="BB580" s="17"/>
      <c r="BC580" s="96"/>
      <c r="BD580" s="96"/>
      <c r="BE580" s="96"/>
      <c r="BF580" s="96"/>
      <c r="BG580" s="96"/>
      <c r="BH580" s="96"/>
      <c r="BI580" s="96"/>
    </row>
    <row r="581" spans="1:61" x14ac:dyDescent="0.45">
      <c r="A581" s="17"/>
      <c r="B581" s="17"/>
      <c r="C581" s="17"/>
      <c r="D581" s="17"/>
      <c r="E581" s="15"/>
      <c r="F581" s="17"/>
      <c r="G581" s="17"/>
      <c r="H581" s="3"/>
      <c r="I581" s="88"/>
      <c r="J581" s="88"/>
      <c r="K581" s="15"/>
      <c r="L581" s="96"/>
      <c r="M581" s="89"/>
      <c r="N581" s="88"/>
      <c r="O581" s="413"/>
      <c r="P581" s="18"/>
      <c r="Q581" s="91"/>
      <c r="R581" s="18"/>
      <c r="S581" s="18"/>
      <c r="T581" s="18"/>
      <c r="U581" s="18"/>
      <c r="V581" s="18"/>
      <c r="W581" s="18"/>
      <c r="X581" s="18"/>
      <c r="Y581" s="92"/>
      <c r="Z581" s="92"/>
      <c r="AA581" s="418"/>
      <c r="AB581" s="95"/>
      <c r="AC581" s="18"/>
      <c r="AD581" s="18"/>
      <c r="AE581" s="18"/>
      <c r="AF581" s="18"/>
      <c r="AG581" s="91"/>
      <c r="AH581" s="18"/>
      <c r="AI581" s="18"/>
      <c r="AJ581" s="18"/>
      <c r="AK581" s="18"/>
      <c r="AL581" s="18"/>
      <c r="AM581" s="18"/>
      <c r="AN581" s="18"/>
      <c r="AO581" s="18"/>
      <c r="AP581" s="18"/>
      <c r="AQ581" s="18"/>
      <c r="AR581" s="18"/>
      <c r="AS581" s="18"/>
      <c r="AT581" s="18"/>
      <c r="AU581" s="91"/>
      <c r="AV581" s="18"/>
      <c r="AW581" s="18"/>
      <c r="AX581" s="18"/>
      <c r="AY581" s="17"/>
      <c r="AZ581" s="17"/>
      <c r="BA581" s="17"/>
      <c r="BB581" s="17"/>
      <c r="BC581" s="96"/>
      <c r="BD581" s="96"/>
      <c r="BE581" s="96"/>
      <c r="BF581" s="96"/>
      <c r="BG581" s="96"/>
      <c r="BH581" s="96"/>
      <c r="BI581" s="96"/>
    </row>
    <row r="582" spans="1:61" x14ac:dyDescent="0.45">
      <c r="A582" s="17"/>
      <c r="B582" s="17"/>
      <c r="C582" s="17"/>
      <c r="D582" s="17"/>
      <c r="E582" s="15"/>
      <c r="F582" s="17"/>
      <c r="G582" s="17"/>
      <c r="H582" s="3"/>
      <c r="I582" s="88"/>
      <c r="J582" s="88"/>
      <c r="K582" s="15"/>
      <c r="L582" s="96"/>
      <c r="M582" s="89"/>
      <c r="N582" s="88"/>
      <c r="O582" s="413"/>
      <c r="P582" s="18"/>
      <c r="Q582" s="91"/>
      <c r="R582" s="18"/>
      <c r="S582" s="18"/>
      <c r="T582" s="18"/>
      <c r="U582" s="18"/>
      <c r="V582" s="18"/>
      <c r="W582" s="18"/>
      <c r="X582" s="18"/>
      <c r="Y582" s="92"/>
      <c r="Z582" s="92"/>
      <c r="AA582" s="418"/>
      <c r="AB582" s="95"/>
      <c r="AC582" s="18"/>
      <c r="AD582" s="18"/>
      <c r="AE582" s="18"/>
      <c r="AF582" s="18"/>
      <c r="AG582" s="91"/>
      <c r="AH582" s="18"/>
      <c r="AI582" s="18"/>
      <c r="AJ582" s="18"/>
      <c r="AK582" s="18"/>
      <c r="AL582" s="18"/>
      <c r="AM582" s="18"/>
      <c r="AN582" s="18"/>
      <c r="AO582" s="18"/>
      <c r="AP582" s="18"/>
      <c r="AQ582" s="18"/>
      <c r="AR582" s="18"/>
      <c r="AS582" s="18"/>
      <c r="AT582" s="18"/>
      <c r="AU582" s="91"/>
      <c r="AV582" s="18"/>
      <c r="AW582" s="18"/>
      <c r="AX582" s="18"/>
      <c r="AY582" s="17"/>
      <c r="AZ582" s="17"/>
      <c r="BA582" s="17"/>
      <c r="BB582" s="17"/>
      <c r="BC582" s="96"/>
      <c r="BD582" s="96"/>
      <c r="BE582" s="96"/>
      <c r="BF582" s="96"/>
      <c r="BG582" s="96"/>
      <c r="BH582" s="96"/>
      <c r="BI582" s="96"/>
    </row>
    <row r="583" spans="1:61" x14ac:dyDescent="0.45">
      <c r="A583" s="17"/>
      <c r="B583" s="17"/>
      <c r="C583" s="17"/>
      <c r="D583" s="17"/>
      <c r="E583" s="15"/>
      <c r="F583" s="17"/>
      <c r="G583" s="17"/>
      <c r="H583" s="3"/>
      <c r="I583" s="88"/>
      <c r="J583" s="88"/>
      <c r="K583" s="15"/>
      <c r="L583" s="96"/>
      <c r="M583" s="89"/>
      <c r="N583" s="88"/>
      <c r="O583" s="413"/>
      <c r="P583" s="18"/>
      <c r="Q583" s="91"/>
      <c r="R583" s="18"/>
      <c r="S583" s="18"/>
      <c r="T583" s="18"/>
      <c r="U583" s="18"/>
      <c r="V583" s="18"/>
      <c r="W583" s="18"/>
      <c r="X583" s="18"/>
      <c r="Y583" s="92"/>
      <c r="Z583" s="92"/>
      <c r="AA583" s="418"/>
      <c r="AB583" s="95"/>
      <c r="AC583" s="18"/>
      <c r="AD583" s="18"/>
      <c r="AE583" s="18"/>
      <c r="AF583" s="18"/>
      <c r="AG583" s="91"/>
      <c r="AH583" s="18"/>
      <c r="AI583" s="18"/>
      <c r="AJ583" s="18"/>
      <c r="AK583" s="18"/>
      <c r="AL583" s="18"/>
      <c r="AM583" s="18"/>
      <c r="AN583" s="18"/>
      <c r="AO583" s="18"/>
      <c r="AP583" s="18"/>
      <c r="AQ583" s="18"/>
      <c r="AR583" s="18"/>
      <c r="AS583" s="18"/>
      <c r="AT583" s="18"/>
      <c r="AU583" s="91"/>
      <c r="AV583" s="18"/>
      <c r="AW583" s="18"/>
      <c r="AX583" s="18"/>
      <c r="AY583" s="17"/>
      <c r="AZ583" s="17"/>
      <c r="BA583" s="17"/>
      <c r="BB583" s="17"/>
      <c r="BC583" s="96"/>
      <c r="BD583" s="96"/>
      <c r="BE583" s="96"/>
      <c r="BF583" s="96"/>
      <c r="BG583" s="96"/>
      <c r="BH583" s="96"/>
      <c r="BI583" s="96"/>
    </row>
    <row r="584" spans="1:61" x14ac:dyDescent="0.45">
      <c r="A584" s="17"/>
      <c r="B584" s="17"/>
      <c r="C584" s="17"/>
      <c r="D584" s="17"/>
      <c r="E584" s="15"/>
      <c r="F584" s="17"/>
      <c r="G584" s="17"/>
      <c r="H584" s="3"/>
      <c r="I584" s="88"/>
      <c r="J584" s="88"/>
      <c r="K584" s="15"/>
      <c r="L584" s="96"/>
      <c r="M584" s="89"/>
      <c r="N584" s="88"/>
      <c r="O584" s="413"/>
      <c r="P584" s="18"/>
      <c r="Q584" s="91"/>
      <c r="R584" s="18"/>
      <c r="S584" s="18"/>
      <c r="T584" s="18"/>
      <c r="U584" s="18"/>
      <c r="V584" s="18"/>
      <c r="W584" s="18"/>
      <c r="X584" s="18"/>
      <c r="Y584" s="92"/>
      <c r="Z584" s="92"/>
      <c r="AA584" s="418"/>
      <c r="AB584" s="95"/>
      <c r="AC584" s="18"/>
      <c r="AD584" s="18"/>
      <c r="AE584" s="18"/>
      <c r="AF584" s="18"/>
      <c r="AG584" s="91"/>
      <c r="AH584" s="18"/>
      <c r="AI584" s="18"/>
      <c r="AJ584" s="18"/>
      <c r="AK584" s="18"/>
      <c r="AL584" s="18"/>
      <c r="AM584" s="18"/>
      <c r="AN584" s="18"/>
      <c r="AO584" s="18"/>
      <c r="AP584" s="18"/>
      <c r="AQ584" s="18"/>
      <c r="AR584" s="18"/>
      <c r="AS584" s="18"/>
      <c r="AT584" s="18"/>
      <c r="AU584" s="91"/>
      <c r="AV584" s="18"/>
      <c r="AW584" s="18"/>
      <c r="AX584" s="18"/>
      <c r="AY584" s="17"/>
      <c r="AZ584" s="17"/>
      <c r="BA584" s="17"/>
      <c r="BB584" s="17"/>
      <c r="BC584" s="96"/>
      <c r="BD584" s="96"/>
      <c r="BE584" s="96"/>
      <c r="BF584" s="96"/>
      <c r="BG584" s="96"/>
      <c r="BH584" s="96"/>
      <c r="BI584" s="96"/>
    </row>
    <row r="585" spans="1:61" x14ac:dyDescent="0.45">
      <c r="A585" s="17"/>
      <c r="B585" s="17"/>
      <c r="C585" s="17"/>
      <c r="D585" s="17"/>
      <c r="E585" s="15"/>
      <c r="F585" s="17"/>
      <c r="G585" s="17"/>
      <c r="H585" s="3"/>
      <c r="I585" s="88"/>
      <c r="J585" s="88"/>
      <c r="K585" s="15"/>
      <c r="L585" s="96"/>
      <c r="M585" s="89"/>
      <c r="N585" s="88"/>
      <c r="O585" s="413"/>
      <c r="P585" s="18"/>
      <c r="Q585" s="91"/>
      <c r="R585" s="18"/>
      <c r="S585" s="18"/>
      <c r="T585" s="18"/>
      <c r="U585" s="18"/>
      <c r="V585" s="18"/>
      <c r="W585" s="18"/>
      <c r="X585" s="18"/>
      <c r="Y585" s="92"/>
      <c r="Z585" s="92"/>
      <c r="AA585" s="418"/>
      <c r="AB585" s="95"/>
      <c r="AC585" s="18"/>
      <c r="AD585" s="18"/>
      <c r="AE585" s="18"/>
      <c r="AF585" s="18"/>
      <c r="AG585" s="91"/>
      <c r="AH585" s="18"/>
      <c r="AI585" s="18"/>
      <c r="AJ585" s="18"/>
      <c r="AK585" s="18"/>
      <c r="AL585" s="18"/>
      <c r="AM585" s="18"/>
      <c r="AN585" s="18"/>
      <c r="AO585" s="18"/>
      <c r="AP585" s="18"/>
      <c r="AQ585" s="18"/>
      <c r="AR585" s="18"/>
      <c r="AS585" s="18"/>
      <c r="AT585" s="18"/>
      <c r="AU585" s="91"/>
      <c r="AV585" s="18"/>
      <c r="AW585" s="18"/>
      <c r="AX585" s="18"/>
      <c r="AY585" s="17"/>
      <c r="AZ585" s="17"/>
      <c r="BA585" s="17"/>
      <c r="BB585" s="17"/>
      <c r="BC585" s="96"/>
      <c r="BD585" s="96"/>
      <c r="BE585" s="96"/>
      <c r="BF585" s="96"/>
      <c r="BG585" s="96"/>
      <c r="BH585" s="96"/>
      <c r="BI585" s="96"/>
    </row>
    <row r="586" spans="1:61" x14ac:dyDescent="0.45">
      <c r="A586" s="17"/>
      <c r="B586" s="17"/>
      <c r="C586" s="17"/>
      <c r="D586" s="17"/>
      <c r="E586" s="15"/>
      <c r="F586" s="17"/>
      <c r="G586" s="17"/>
      <c r="H586" s="3"/>
      <c r="I586" s="88"/>
      <c r="J586" s="88"/>
      <c r="K586" s="15"/>
      <c r="L586" s="96"/>
      <c r="M586" s="89"/>
      <c r="N586" s="88"/>
      <c r="O586" s="413"/>
      <c r="P586" s="18"/>
      <c r="Q586" s="91"/>
      <c r="R586" s="18"/>
      <c r="S586" s="18"/>
      <c r="T586" s="18"/>
      <c r="U586" s="18"/>
      <c r="V586" s="18"/>
      <c r="W586" s="18"/>
      <c r="X586" s="18"/>
      <c r="Y586" s="92"/>
      <c r="Z586" s="92"/>
      <c r="AA586" s="418"/>
      <c r="AB586" s="95"/>
      <c r="AC586" s="18"/>
      <c r="AD586" s="18"/>
      <c r="AE586" s="18"/>
      <c r="AF586" s="18"/>
      <c r="AG586" s="91"/>
      <c r="AH586" s="18"/>
      <c r="AI586" s="18"/>
      <c r="AJ586" s="18"/>
      <c r="AK586" s="18"/>
      <c r="AL586" s="18"/>
      <c r="AM586" s="18"/>
      <c r="AN586" s="18"/>
      <c r="AO586" s="18"/>
      <c r="AP586" s="18"/>
      <c r="AQ586" s="18"/>
      <c r="AR586" s="18"/>
      <c r="AS586" s="18"/>
      <c r="AT586" s="18"/>
      <c r="AU586" s="91"/>
      <c r="AV586" s="18"/>
      <c r="AW586" s="18"/>
      <c r="AX586" s="18"/>
      <c r="AY586" s="17"/>
      <c r="AZ586" s="17"/>
      <c r="BA586" s="17"/>
      <c r="BB586" s="17"/>
      <c r="BC586" s="96"/>
      <c r="BD586" s="96"/>
      <c r="BE586" s="96"/>
      <c r="BF586" s="96"/>
      <c r="BG586" s="96"/>
      <c r="BH586" s="96"/>
      <c r="BI586" s="96"/>
    </row>
    <row r="587" spans="1:61" x14ac:dyDescent="0.45">
      <c r="A587" s="17"/>
      <c r="B587" s="17"/>
      <c r="C587" s="17"/>
      <c r="D587" s="17"/>
      <c r="E587" s="15"/>
      <c r="F587" s="17"/>
      <c r="G587" s="17"/>
      <c r="H587" s="3"/>
      <c r="I587" s="88"/>
      <c r="J587" s="88"/>
      <c r="K587" s="15"/>
      <c r="L587" s="96"/>
      <c r="M587" s="89"/>
      <c r="N587" s="88"/>
      <c r="O587" s="413"/>
      <c r="P587" s="18"/>
      <c r="Q587" s="91"/>
      <c r="R587" s="18"/>
      <c r="S587" s="18"/>
      <c r="T587" s="18"/>
      <c r="U587" s="18"/>
      <c r="V587" s="18"/>
      <c r="W587" s="18"/>
      <c r="X587" s="18"/>
      <c r="Y587" s="92"/>
      <c r="Z587" s="92"/>
      <c r="AA587" s="418"/>
      <c r="AB587" s="95"/>
      <c r="AC587" s="18"/>
      <c r="AD587" s="18"/>
      <c r="AE587" s="18"/>
      <c r="AF587" s="18"/>
      <c r="AG587" s="91"/>
      <c r="AH587" s="18"/>
      <c r="AI587" s="18"/>
      <c r="AJ587" s="18"/>
      <c r="AK587" s="18"/>
      <c r="AL587" s="18"/>
      <c r="AM587" s="18"/>
      <c r="AN587" s="18"/>
      <c r="AO587" s="18"/>
      <c r="AP587" s="18"/>
      <c r="AQ587" s="18"/>
      <c r="AR587" s="18"/>
      <c r="AS587" s="18"/>
      <c r="AT587" s="18"/>
      <c r="AU587" s="91"/>
      <c r="AV587" s="18"/>
      <c r="AW587" s="18"/>
      <c r="AX587" s="18"/>
      <c r="AY587" s="17"/>
      <c r="AZ587" s="17"/>
      <c r="BA587" s="17"/>
      <c r="BB587" s="17"/>
      <c r="BC587" s="96"/>
      <c r="BD587" s="96"/>
      <c r="BE587" s="96"/>
      <c r="BF587" s="96"/>
      <c r="BG587" s="96"/>
      <c r="BH587" s="96"/>
      <c r="BI587" s="96"/>
    </row>
    <row r="588" spans="1:61" x14ac:dyDescent="0.45">
      <c r="A588" s="17"/>
      <c r="B588" s="17"/>
      <c r="C588" s="17"/>
      <c r="D588" s="17"/>
      <c r="E588" s="15"/>
      <c r="F588" s="17"/>
      <c r="G588" s="17"/>
      <c r="H588" s="3"/>
      <c r="I588" s="88"/>
      <c r="J588" s="88"/>
      <c r="K588" s="15"/>
      <c r="L588" s="96"/>
      <c r="M588" s="89"/>
      <c r="N588" s="88"/>
      <c r="O588" s="413"/>
      <c r="P588" s="18"/>
      <c r="Q588" s="91"/>
      <c r="R588" s="18"/>
      <c r="S588" s="18"/>
      <c r="T588" s="18"/>
      <c r="U588" s="18"/>
      <c r="V588" s="18"/>
      <c r="W588" s="18"/>
      <c r="X588" s="18"/>
      <c r="Y588" s="92"/>
      <c r="Z588" s="92"/>
      <c r="AA588" s="418"/>
      <c r="AB588" s="95"/>
      <c r="AC588" s="18"/>
      <c r="AD588" s="18"/>
      <c r="AE588" s="18"/>
      <c r="AF588" s="18"/>
      <c r="AG588" s="91"/>
      <c r="AH588" s="18"/>
      <c r="AI588" s="18"/>
      <c r="AJ588" s="18"/>
      <c r="AK588" s="18"/>
      <c r="AL588" s="18"/>
      <c r="AM588" s="18"/>
      <c r="AN588" s="18"/>
      <c r="AO588" s="18"/>
      <c r="AP588" s="18"/>
      <c r="AQ588" s="18"/>
      <c r="AR588" s="18"/>
      <c r="AS588" s="18"/>
      <c r="AT588" s="18"/>
      <c r="AU588" s="91"/>
      <c r="AV588" s="18"/>
      <c r="AW588" s="18"/>
      <c r="AX588" s="18"/>
      <c r="AY588" s="17"/>
      <c r="AZ588" s="17"/>
      <c r="BA588" s="17"/>
      <c r="BB588" s="17"/>
      <c r="BC588" s="96"/>
      <c r="BD588" s="96"/>
      <c r="BE588" s="96"/>
      <c r="BF588" s="96"/>
      <c r="BG588" s="96"/>
      <c r="BH588" s="96"/>
      <c r="BI588" s="96"/>
    </row>
    <row r="589" spans="1:61" x14ac:dyDescent="0.45">
      <c r="A589" s="17"/>
      <c r="B589" s="17"/>
      <c r="C589" s="17"/>
      <c r="D589" s="17"/>
      <c r="E589" s="15"/>
      <c r="F589" s="17"/>
      <c r="G589" s="17"/>
      <c r="H589" s="3"/>
      <c r="I589" s="88"/>
      <c r="J589" s="88"/>
      <c r="K589" s="15"/>
      <c r="L589" s="96"/>
      <c r="M589" s="89"/>
      <c r="N589" s="88"/>
      <c r="O589" s="413"/>
      <c r="P589" s="18"/>
      <c r="Q589" s="91"/>
      <c r="R589" s="18"/>
      <c r="S589" s="18"/>
      <c r="T589" s="18"/>
      <c r="U589" s="18"/>
      <c r="V589" s="18"/>
      <c r="W589" s="18"/>
      <c r="X589" s="18"/>
      <c r="Y589" s="92"/>
      <c r="Z589" s="92"/>
      <c r="AA589" s="418"/>
      <c r="AB589" s="95"/>
      <c r="AC589" s="18"/>
      <c r="AD589" s="18"/>
      <c r="AE589" s="18"/>
      <c r="AF589" s="18"/>
      <c r="AG589" s="91"/>
      <c r="AH589" s="18"/>
      <c r="AI589" s="18"/>
      <c r="AJ589" s="18"/>
      <c r="AK589" s="18"/>
      <c r="AL589" s="18"/>
      <c r="AM589" s="18"/>
      <c r="AN589" s="18"/>
      <c r="AO589" s="18"/>
      <c r="AP589" s="18"/>
      <c r="AQ589" s="18"/>
      <c r="AR589" s="18"/>
      <c r="AS589" s="18"/>
      <c r="AT589" s="18"/>
      <c r="AU589" s="91"/>
      <c r="AV589" s="18"/>
      <c r="AW589" s="18"/>
      <c r="AX589" s="18"/>
      <c r="AY589" s="17"/>
      <c r="AZ589" s="17"/>
      <c r="BA589" s="17"/>
      <c r="BB589" s="17"/>
      <c r="BC589" s="96"/>
      <c r="BD589" s="96"/>
      <c r="BE589" s="96"/>
      <c r="BF589" s="96"/>
      <c r="BG589" s="96"/>
      <c r="BH589" s="96"/>
      <c r="BI589" s="96"/>
    </row>
    <row r="590" spans="1:61" x14ac:dyDescent="0.45">
      <c r="A590" s="17"/>
      <c r="B590" s="17"/>
      <c r="C590" s="17"/>
      <c r="D590" s="17"/>
      <c r="E590" s="15"/>
      <c r="F590" s="17"/>
      <c r="G590" s="17"/>
      <c r="H590" s="3"/>
      <c r="I590" s="88"/>
      <c r="J590" s="88"/>
      <c r="K590" s="15"/>
      <c r="L590" s="96"/>
      <c r="M590" s="89"/>
      <c r="N590" s="88"/>
      <c r="O590" s="413"/>
      <c r="P590" s="18"/>
      <c r="Q590" s="91"/>
      <c r="R590" s="18"/>
      <c r="S590" s="18"/>
      <c r="T590" s="18"/>
      <c r="U590" s="18"/>
      <c r="V590" s="18"/>
      <c r="W590" s="18"/>
      <c r="X590" s="18"/>
      <c r="Y590" s="92"/>
      <c r="Z590" s="92"/>
      <c r="AA590" s="418"/>
      <c r="AB590" s="95"/>
      <c r="AC590" s="18"/>
      <c r="AD590" s="18"/>
      <c r="AE590" s="18"/>
      <c r="AF590" s="18"/>
      <c r="AG590" s="91"/>
      <c r="AH590" s="18"/>
      <c r="AI590" s="18"/>
      <c r="AJ590" s="18"/>
      <c r="AK590" s="18"/>
      <c r="AL590" s="18"/>
      <c r="AM590" s="18"/>
      <c r="AN590" s="18"/>
      <c r="AO590" s="18"/>
      <c r="AP590" s="18"/>
      <c r="AQ590" s="18"/>
      <c r="AR590" s="18"/>
      <c r="AS590" s="18"/>
      <c r="AT590" s="18"/>
      <c r="AU590" s="91"/>
      <c r="AV590" s="18"/>
      <c r="AW590" s="18"/>
      <c r="AX590" s="18"/>
      <c r="AY590" s="17"/>
      <c r="AZ590" s="17"/>
      <c r="BA590" s="17"/>
      <c r="BB590" s="17"/>
      <c r="BC590" s="96"/>
      <c r="BD590" s="96"/>
      <c r="BE590" s="96"/>
      <c r="BF590" s="96"/>
      <c r="BG590" s="96"/>
      <c r="BH590" s="96"/>
      <c r="BI590" s="96"/>
    </row>
    <row r="591" spans="1:61" x14ac:dyDescent="0.45">
      <c r="A591" s="17"/>
      <c r="B591" s="17"/>
      <c r="C591" s="17"/>
      <c r="D591" s="17"/>
      <c r="E591" s="15"/>
      <c r="F591" s="17"/>
      <c r="G591" s="17"/>
      <c r="H591" s="3"/>
      <c r="I591" s="88"/>
      <c r="J591" s="88"/>
      <c r="K591" s="15"/>
      <c r="L591" s="96"/>
      <c r="M591" s="89"/>
      <c r="N591" s="88"/>
      <c r="O591" s="413"/>
      <c r="P591" s="18"/>
      <c r="Q591" s="91"/>
      <c r="R591" s="18"/>
      <c r="S591" s="18"/>
      <c r="T591" s="18"/>
      <c r="U591" s="18"/>
      <c r="V591" s="18"/>
      <c r="W591" s="18"/>
      <c r="X591" s="18"/>
      <c r="Y591" s="92"/>
      <c r="Z591" s="92"/>
      <c r="AA591" s="418"/>
      <c r="AB591" s="95"/>
      <c r="AC591" s="18"/>
      <c r="AD591" s="18"/>
      <c r="AE591" s="18"/>
      <c r="AF591" s="18"/>
      <c r="AG591" s="91"/>
      <c r="AH591" s="18"/>
      <c r="AI591" s="18"/>
      <c r="AJ591" s="18"/>
      <c r="AK591" s="18"/>
      <c r="AL591" s="18"/>
      <c r="AM591" s="18"/>
      <c r="AN591" s="18"/>
      <c r="AO591" s="18"/>
      <c r="AP591" s="18"/>
      <c r="AQ591" s="18"/>
      <c r="AR591" s="18"/>
      <c r="AS591" s="18"/>
      <c r="AT591" s="18"/>
      <c r="AU591" s="91"/>
      <c r="AV591" s="18"/>
      <c r="AW591" s="18"/>
      <c r="AX591" s="18"/>
      <c r="AY591" s="17"/>
      <c r="AZ591" s="17"/>
      <c r="BA591" s="17"/>
      <c r="BB591" s="17"/>
      <c r="BC591" s="96"/>
      <c r="BD591" s="96"/>
      <c r="BE591" s="96"/>
      <c r="BF591" s="96"/>
      <c r="BG591" s="96"/>
      <c r="BH591" s="96"/>
      <c r="BI591" s="96"/>
    </row>
    <row r="592" spans="1:61" x14ac:dyDescent="0.45">
      <c r="A592" s="17"/>
      <c r="B592" s="17"/>
      <c r="C592" s="17"/>
      <c r="D592" s="17"/>
      <c r="E592" s="15"/>
      <c r="F592" s="17"/>
      <c r="G592" s="17"/>
      <c r="H592" s="3"/>
      <c r="I592" s="88"/>
      <c r="J592" s="88"/>
      <c r="K592" s="15"/>
      <c r="L592" s="96"/>
      <c r="M592" s="89"/>
      <c r="N592" s="88"/>
      <c r="O592" s="413"/>
      <c r="P592" s="18"/>
      <c r="Q592" s="91"/>
      <c r="R592" s="18"/>
      <c r="S592" s="18"/>
      <c r="T592" s="18"/>
      <c r="U592" s="18"/>
      <c r="V592" s="18"/>
      <c r="W592" s="18"/>
      <c r="X592" s="18"/>
      <c r="Y592" s="92"/>
      <c r="Z592" s="92"/>
      <c r="AA592" s="418"/>
      <c r="AB592" s="95"/>
      <c r="AC592" s="18"/>
      <c r="AD592" s="18"/>
      <c r="AE592" s="18"/>
      <c r="AF592" s="18"/>
      <c r="AG592" s="91"/>
      <c r="AH592" s="18"/>
      <c r="AI592" s="18"/>
      <c r="AJ592" s="18"/>
      <c r="AK592" s="18"/>
      <c r="AL592" s="18"/>
      <c r="AM592" s="18"/>
      <c r="AN592" s="18"/>
      <c r="AO592" s="18"/>
      <c r="AP592" s="18"/>
      <c r="AQ592" s="18"/>
      <c r="AR592" s="18"/>
      <c r="AS592" s="18"/>
      <c r="AT592" s="18"/>
      <c r="AU592" s="91"/>
      <c r="AV592" s="18"/>
      <c r="AW592" s="18"/>
      <c r="AX592" s="18"/>
      <c r="AY592" s="17"/>
      <c r="AZ592" s="17"/>
      <c r="BA592" s="17"/>
      <c r="BB592" s="17"/>
      <c r="BC592" s="96"/>
      <c r="BD592" s="96"/>
      <c r="BE592" s="96"/>
      <c r="BF592" s="96"/>
      <c r="BG592" s="96"/>
      <c r="BH592" s="96"/>
      <c r="BI592" s="96"/>
    </row>
    <row r="593" spans="1:61" x14ac:dyDescent="0.45">
      <c r="A593" s="17"/>
      <c r="B593" s="17"/>
      <c r="C593" s="17"/>
      <c r="D593" s="17"/>
      <c r="E593" s="15"/>
      <c r="F593" s="17"/>
      <c r="G593" s="17"/>
      <c r="H593" s="3"/>
      <c r="I593" s="88"/>
      <c r="J593" s="88"/>
      <c r="K593" s="15"/>
      <c r="L593" s="96"/>
      <c r="M593" s="89"/>
      <c r="N593" s="88"/>
      <c r="O593" s="413"/>
      <c r="P593" s="18"/>
      <c r="Q593" s="91"/>
      <c r="R593" s="18"/>
      <c r="S593" s="18"/>
      <c r="T593" s="18"/>
      <c r="U593" s="18"/>
      <c r="V593" s="18"/>
      <c r="W593" s="18"/>
      <c r="X593" s="18"/>
      <c r="Y593" s="92"/>
      <c r="Z593" s="92"/>
      <c r="AA593" s="418"/>
      <c r="AB593" s="95"/>
      <c r="AC593" s="18"/>
      <c r="AD593" s="18"/>
      <c r="AE593" s="18"/>
      <c r="AF593" s="18"/>
      <c r="AG593" s="91"/>
      <c r="AH593" s="18"/>
      <c r="AI593" s="18"/>
      <c r="AJ593" s="18"/>
      <c r="AK593" s="18"/>
      <c r="AL593" s="18"/>
      <c r="AM593" s="18"/>
      <c r="AN593" s="18"/>
      <c r="AO593" s="18"/>
      <c r="AP593" s="18"/>
      <c r="AQ593" s="18"/>
      <c r="AR593" s="18"/>
      <c r="AS593" s="18"/>
      <c r="AT593" s="18"/>
      <c r="AU593" s="91"/>
      <c r="AV593" s="18"/>
      <c r="AW593" s="18"/>
      <c r="AX593" s="18"/>
      <c r="AY593" s="17"/>
      <c r="AZ593" s="17"/>
      <c r="BA593" s="17"/>
      <c r="BB593" s="17"/>
      <c r="BC593" s="96"/>
      <c r="BD593" s="96"/>
      <c r="BE593" s="96"/>
      <c r="BF593" s="96"/>
      <c r="BG593" s="96"/>
      <c r="BH593" s="96"/>
      <c r="BI593" s="96"/>
    </row>
    <row r="594" spans="1:61" x14ac:dyDescent="0.45">
      <c r="A594" s="17"/>
      <c r="B594" s="17"/>
      <c r="C594" s="17"/>
      <c r="D594" s="17"/>
      <c r="E594" s="15"/>
      <c r="F594" s="17"/>
      <c r="G594" s="17"/>
      <c r="H594" s="3"/>
      <c r="I594" s="88"/>
      <c r="J594" s="88"/>
      <c r="K594" s="15"/>
      <c r="L594" s="96"/>
      <c r="M594" s="89"/>
      <c r="N594" s="88"/>
      <c r="O594" s="413"/>
      <c r="P594" s="18"/>
      <c r="Q594" s="91"/>
      <c r="R594" s="18"/>
      <c r="S594" s="18"/>
      <c r="T594" s="18"/>
      <c r="U594" s="18"/>
      <c r="V594" s="18"/>
      <c r="W594" s="18"/>
      <c r="X594" s="18"/>
      <c r="Y594" s="92"/>
      <c r="Z594" s="92"/>
      <c r="AA594" s="418"/>
      <c r="AB594" s="95"/>
      <c r="AC594" s="18"/>
      <c r="AD594" s="18"/>
      <c r="AE594" s="18"/>
      <c r="AF594" s="18"/>
      <c r="AG594" s="91"/>
      <c r="AH594" s="18"/>
      <c r="AI594" s="18"/>
      <c r="AJ594" s="18"/>
      <c r="AK594" s="18"/>
      <c r="AL594" s="18"/>
      <c r="AM594" s="18"/>
      <c r="AN594" s="18"/>
      <c r="AO594" s="18"/>
      <c r="AP594" s="18"/>
      <c r="AQ594" s="18"/>
      <c r="AR594" s="18"/>
      <c r="AS594" s="18"/>
      <c r="AT594" s="18"/>
      <c r="AU594" s="91"/>
      <c r="AV594" s="18"/>
      <c r="AW594" s="18"/>
      <c r="AX594" s="18"/>
      <c r="AY594" s="17"/>
      <c r="AZ594" s="17"/>
      <c r="BA594" s="17"/>
      <c r="BB594" s="17"/>
      <c r="BC594" s="96"/>
      <c r="BD594" s="96"/>
      <c r="BE594" s="96"/>
      <c r="BF594" s="96"/>
      <c r="BG594" s="96"/>
      <c r="BH594" s="96"/>
      <c r="BI594" s="96"/>
    </row>
    <row r="595" spans="1:61" x14ac:dyDescent="0.45">
      <c r="A595" s="17"/>
      <c r="B595" s="17"/>
      <c r="C595" s="17"/>
      <c r="D595" s="17"/>
      <c r="E595" s="15"/>
      <c r="F595" s="17"/>
      <c r="G595" s="17"/>
      <c r="H595" s="3"/>
      <c r="I595" s="88"/>
      <c r="J595" s="88"/>
      <c r="K595" s="15"/>
      <c r="L595" s="96"/>
      <c r="M595" s="89"/>
      <c r="N595" s="88"/>
      <c r="O595" s="413"/>
      <c r="P595" s="18"/>
      <c r="Q595" s="91"/>
      <c r="R595" s="18"/>
      <c r="S595" s="18"/>
      <c r="T595" s="18"/>
      <c r="U595" s="18"/>
      <c r="V595" s="18"/>
      <c r="W595" s="18"/>
      <c r="X595" s="18"/>
      <c r="Y595" s="92"/>
      <c r="Z595" s="92"/>
      <c r="AA595" s="418"/>
      <c r="AB595" s="95"/>
      <c r="AC595" s="18"/>
      <c r="AD595" s="18"/>
      <c r="AE595" s="18"/>
      <c r="AF595" s="18"/>
      <c r="AG595" s="91"/>
      <c r="AH595" s="18"/>
      <c r="AI595" s="18"/>
      <c r="AJ595" s="18"/>
      <c r="AK595" s="18"/>
      <c r="AL595" s="18"/>
      <c r="AM595" s="18"/>
      <c r="AN595" s="18"/>
      <c r="AO595" s="18"/>
      <c r="AP595" s="18"/>
      <c r="AQ595" s="18"/>
      <c r="AR595" s="18"/>
      <c r="AS595" s="18"/>
      <c r="AT595" s="18"/>
      <c r="AU595" s="91"/>
      <c r="AV595" s="18"/>
      <c r="AW595" s="18"/>
      <c r="AX595" s="18"/>
      <c r="AY595" s="17"/>
      <c r="AZ595" s="17"/>
      <c r="BA595" s="17"/>
      <c r="BB595" s="17"/>
      <c r="BC595" s="96"/>
      <c r="BD595" s="96"/>
      <c r="BE595" s="96"/>
      <c r="BF595" s="96"/>
      <c r="BG595" s="96"/>
      <c r="BH595" s="96"/>
      <c r="BI595" s="96"/>
    </row>
    <row r="596" spans="1:61" x14ac:dyDescent="0.45">
      <c r="A596" s="17"/>
      <c r="B596" s="17"/>
      <c r="C596" s="17"/>
      <c r="D596" s="17"/>
      <c r="E596" s="15"/>
      <c r="F596" s="17"/>
      <c r="G596" s="17"/>
      <c r="H596" s="3"/>
      <c r="I596" s="88"/>
      <c r="J596" s="88"/>
      <c r="K596" s="15"/>
      <c r="L596" s="96"/>
      <c r="M596" s="89"/>
      <c r="N596" s="88"/>
      <c r="O596" s="413"/>
      <c r="P596" s="18"/>
      <c r="Q596" s="91"/>
      <c r="R596" s="18"/>
      <c r="S596" s="18"/>
      <c r="T596" s="18"/>
      <c r="U596" s="18"/>
      <c r="V596" s="18"/>
      <c r="W596" s="18"/>
      <c r="X596" s="18"/>
      <c r="Y596" s="92"/>
      <c r="Z596" s="92"/>
      <c r="AA596" s="418"/>
      <c r="AB596" s="95"/>
      <c r="AC596" s="18"/>
      <c r="AD596" s="18"/>
      <c r="AE596" s="18"/>
      <c r="AF596" s="18"/>
      <c r="AG596" s="91"/>
      <c r="AH596" s="18"/>
      <c r="AI596" s="18"/>
      <c r="AJ596" s="18"/>
      <c r="AK596" s="18"/>
      <c r="AL596" s="18"/>
      <c r="AM596" s="18"/>
      <c r="AN596" s="18"/>
      <c r="AO596" s="18"/>
      <c r="AP596" s="18"/>
      <c r="AQ596" s="18"/>
      <c r="AR596" s="18"/>
      <c r="AS596" s="18"/>
      <c r="AT596" s="18"/>
      <c r="AU596" s="91"/>
      <c r="AV596" s="18"/>
      <c r="AW596" s="18"/>
      <c r="AX596" s="18"/>
      <c r="AY596" s="17"/>
      <c r="AZ596" s="17"/>
      <c r="BA596" s="17"/>
      <c r="BB596" s="17"/>
      <c r="BC596" s="96"/>
      <c r="BD596" s="96"/>
      <c r="BE596" s="96"/>
      <c r="BF596" s="96"/>
      <c r="BG596" s="96"/>
      <c r="BH596" s="96"/>
      <c r="BI596" s="96"/>
    </row>
    <row r="597" spans="1:61" x14ac:dyDescent="0.45">
      <c r="A597" s="17"/>
      <c r="B597" s="17"/>
      <c r="C597" s="17"/>
      <c r="D597" s="17"/>
      <c r="E597" s="15"/>
      <c r="F597" s="17"/>
      <c r="G597" s="17"/>
      <c r="H597" s="3"/>
      <c r="I597" s="88"/>
      <c r="J597" s="88"/>
      <c r="K597" s="15"/>
      <c r="L597" s="96"/>
      <c r="M597" s="89"/>
      <c r="N597" s="88"/>
      <c r="O597" s="413"/>
      <c r="P597" s="18"/>
      <c r="Q597" s="91"/>
      <c r="R597" s="18"/>
      <c r="S597" s="18"/>
      <c r="T597" s="18"/>
      <c r="U597" s="18"/>
      <c r="V597" s="18"/>
      <c r="W597" s="18"/>
      <c r="X597" s="18"/>
      <c r="Y597" s="92"/>
      <c r="Z597" s="92"/>
      <c r="AA597" s="418"/>
      <c r="AB597" s="95"/>
      <c r="AC597" s="18"/>
      <c r="AD597" s="18"/>
      <c r="AE597" s="18"/>
      <c r="AF597" s="18"/>
      <c r="AG597" s="91"/>
      <c r="AH597" s="18"/>
      <c r="AI597" s="18"/>
      <c r="AJ597" s="18"/>
      <c r="AK597" s="18"/>
      <c r="AL597" s="18"/>
      <c r="AM597" s="18"/>
      <c r="AN597" s="18"/>
      <c r="AO597" s="18"/>
      <c r="AP597" s="18"/>
      <c r="AQ597" s="18"/>
      <c r="AR597" s="18"/>
      <c r="AS597" s="18"/>
      <c r="AT597" s="18"/>
      <c r="AU597" s="91"/>
      <c r="AV597" s="18"/>
      <c r="AW597" s="18"/>
      <c r="AX597" s="18"/>
      <c r="AY597" s="17"/>
      <c r="AZ597" s="17"/>
      <c r="BA597" s="17"/>
      <c r="BB597" s="17"/>
      <c r="BC597" s="96"/>
      <c r="BD597" s="96"/>
      <c r="BE597" s="96"/>
      <c r="BF597" s="96"/>
      <c r="BG597" s="96"/>
      <c r="BH597" s="96"/>
      <c r="BI597" s="96"/>
    </row>
    <row r="598" spans="1:61" x14ac:dyDescent="0.45">
      <c r="A598" s="17"/>
      <c r="B598" s="17"/>
      <c r="C598" s="17"/>
      <c r="D598" s="17"/>
      <c r="E598" s="15"/>
      <c r="F598" s="17"/>
      <c r="G598" s="17"/>
      <c r="H598" s="3"/>
      <c r="I598" s="88"/>
      <c r="J598" s="88"/>
      <c r="K598" s="15"/>
      <c r="L598" s="96"/>
      <c r="M598" s="89"/>
      <c r="N598" s="88"/>
      <c r="O598" s="413"/>
      <c r="P598" s="18"/>
      <c r="Q598" s="91"/>
      <c r="R598" s="18"/>
      <c r="S598" s="18"/>
      <c r="T598" s="18"/>
      <c r="U598" s="18"/>
      <c r="V598" s="18"/>
      <c r="W598" s="18"/>
      <c r="X598" s="18"/>
      <c r="Y598" s="92"/>
      <c r="Z598" s="92"/>
      <c r="AA598" s="418"/>
      <c r="AB598" s="95"/>
      <c r="AC598" s="18"/>
      <c r="AD598" s="18"/>
      <c r="AE598" s="18"/>
      <c r="AF598" s="18"/>
      <c r="AG598" s="91"/>
      <c r="AH598" s="18"/>
      <c r="AI598" s="18"/>
      <c r="AJ598" s="18"/>
      <c r="AK598" s="18"/>
      <c r="AL598" s="18"/>
      <c r="AM598" s="18"/>
      <c r="AN598" s="18"/>
      <c r="AO598" s="18"/>
      <c r="AP598" s="18"/>
      <c r="AQ598" s="18"/>
      <c r="AR598" s="18"/>
      <c r="AS598" s="18"/>
      <c r="AT598" s="18"/>
      <c r="AU598" s="91"/>
      <c r="AV598" s="18"/>
      <c r="AW598" s="18"/>
      <c r="AX598" s="18"/>
      <c r="AY598" s="17"/>
      <c r="AZ598" s="17"/>
      <c r="BA598" s="17"/>
      <c r="BB598" s="17"/>
      <c r="BC598" s="96"/>
      <c r="BD598" s="96"/>
      <c r="BE598" s="96"/>
      <c r="BF598" s="96"/>
      <c r="BG598" s="96"/>
      <c r="BH598" s="96"/>
      <c r="BI598" s="96"/>
    </row>
    <row r="599" spans="1:61" x14ac:dyDescent="0.45">
      <c r="A599" s="17"/>
      <c r="B599" s="17"/>
      <c r="C599" s="17"/>
      <c r="D599" s="17"/>
      <c r="E599" s="15"/>
      <c r="F599" s="17"/>
      <c r="G599" s="17"/>
      <c r="H599" s="3"/>
      <c r="I599" s="88"/>
      <c r="J599" s="88"/>
      <c r="K599" s="15"/>
      <c r="L599" s="96"/>
      <c r="M599" s="89"/>
      <c r="N599" s="88"/>
      <c r="O599" s="413"/>
      <c r="P599" s="18"/>
      <c r="Q599" s="91"/>
      <c r="R599" s="18"/>
      <c r="S599" s="18"/>
      <c r="T599" s="18"/>
      <c r="U599" s="18"/>
      <c r="V599" s="18"/>
      <c r="W599" s="18"/>
      <c r="X599" s="18"/>
      <c r="Y599" s="92"/>
      <c r="Z599" s="92"/>
      <c r="AA599" s="418"/>
      <c r="AB599" s="95"/>
      <c r="AC599" s="18"/>
      <c r="AD599" s="18"/>
      <c r="AE599" s="18"/>
      <c r="AF599" s="18"/>
      <c r="AG599" s="91"/>
      <c r="AH599" s="18"/>
      <c r="AI599" s="18"/>
      <c r="AJ599" s="18"/>
      <c r="AK599" s="18"/>
      <c r="AL599" s="18"/>
      <c r="AM599" s="18"/>
      <c r="AN599" s="18"/>
      <c r="AO599" s="18"/>
      <c r="AP599" s="18"/>
      <c r="AQ599" s="18"/>
      <c r="AR599" s="18"/>
      <c r="AS599" s="18"/>
      <c r="AT599" s="18"/>
      <c r="AU599" s="91"/>
      <c r="AV599" s="18"/>
      <c r="AW599" s="18"/>
      <c r="AX599" s="18"/>
      <c r="AY599" s="17"/>
      <c r="AZ599" s="17"/>
      <c r="BA599" s="17"/>
      <c r="BB599" s="17"/>
      <c r="BC599" s="96"/>
      <c r="BD599" s="96"/>
      <c r="BE599" s="96"/>
      <c r="BF599" s="96"/>
      <c r="BG599" s="96"/>
      <c r="BH599" s="96"/>
      <c r="BI599" s="96"/>
    </row>
    <row r="600" spans="1:61" x14ac:dyDescent="0.45">
      <c r="A600" s="17"/>
      <c r="B600" s="17"/>
      <c r="C600" s="17"/>
      <c r="D600" s="17"/>
      <c r="E600" s="15"/>
      <c r="F600" s="17"/>
      <c r="G600" s="17"/>
      <c r="H600" s="3"/>
      <c r="I600" s="88"/>
      <c r="J600" s="88"/>
      <c r="K600" s="15"/>
      <c r="L600" s="96"/>
      <c r="M600" s="89"/>
      <c r="N600" s="88"/>
      <c r="O600" s="413"/>
      <c r="P600" s="18"/>
      <c r="Q600" s="91"/>
      <c r="R600" s="18"/>
      <c r="S600" s="18"/>
      <c r="T600" s="18"/>
      <c r="U600" s="18"/>
      <c r="V600" s="18"/>
      <c r="W600" s="18"/>
      <c r="X600" s="18"/>
      <c r="Y600" s="92"/>
      <c r="Z600" s="92"/>
      <c r="AA600" s="418"/>
      <c r="AB600" s="95"/>
      <c r="AC600" s="18"/>
      <c r="AD600" s="18"/>
      <c r="AE600" s="18"/>
      <c r="AF600" s="18"/>
      <c r="AG600" s="91"/>
      <c r="AH600" s="18"/>
      <c r="AI600" s="18"/>
      <c r="AJ600" s="18"/>
      <c r="AK600" s="18"/>
      <c r="AL600" s="18"/>
      <c r="AM600" s="18"/>
      <c r="AN600" s="18"/>
      <c r="AO600" s="18"/>
      <c r="AP600" s="18"/>
      <c r="AQ600" s="18"/>
      <c r="AR600" s="18"/>
      <c r="AS600" s="18"/>
      <c r="AT600" s="18"/>
      <c r="AU600" s="91"/>
      <c r="AV600" s="18"/>
      <c r="AW600" s="18"/>
      <c r="AX600" s="18"/>
      <c r="AY600" s="17"/>
      <c r="AZ600" s="17"/>
      <c r="BA600" s="17"/>
      <c r="BB600" s="17"/>
      <c r="BC600" s="96"/>
      <c r="BD600" s="96"/>
      <c r="BE600" s="96"/>
      <c r="BF600" s="96"/>
      <c r="BG600" s="96"/>
      <c r="BH600" s="96"/>
      <c r="BI600" s="96"/>
    </row>
    <row r="601" spans="1:61" x14ac:dyDescent="0.45">
      <c r="A601" s="17"/>
      <c r="B601" s="17"/>
      <c r="C601" s="17"/>
      <c r="D601" s="17"/>
      <c r="E601" s="15"/>
      <c r="F601" s="17"/>
      <c r="G601" s="17"/>
      <c r="H601" s="3"/>
      <c r="I601" s="88"/>
      <c r="J601" s="88"/>
      <c r="K601" s="15"/>
      <c r="L601" s="96"/>
      <c r="M601" s="89"/>
      <c r="N601" s="88"/>
      <c r="O601" s="413"/>
      <c r="P601" s="18"/>
      <c r="Q601" s="91"/>
      <c r="R601" s="18"/>
      <c r="S601" s="18"/>
      <c r="T601" s="18"/>
      <c r="U601" s="18"/>
      <c r="V601" s="18"/>
      <c r="W601" s="18"/>
      <c r="X601" s="18"/>
      <c r="Y601" s="92"/>
      <c r="Z601" s="92"/>
      <c r="AA601" s="418"/>
      <c r="AB601" s="95"/>
      <c r="AC601" s="18"/>
      <c r="AD601" s="18"/>
      <c r="AE601" s="18"/>
      <c r="AF601" s="18"/>
      <c r="AG601" s="91"/>
      <c r="AH601" s="18"/>
      <c r="AI601" s="18"/>
      <c r="AJ601" s="18"/>
      <c r="AK601" s="18"/>
      <c r="AL601" s="18"/>
      <c r="AM601" s="18"/>
      <c r="AN601" s="18"/>
      <c r="AO601" s="18"/>
      <c r="AP601" s="18"/>
      <c r="AQ601" s="18"/>
      <c r="AR601" s="18"/>
      <c r="AS601" s="18"/>
      <c r="AT601" s="18"/>
      <c r="AU601" s="91"/>
      <c r="AV601" s="18"/>
      <c r="AW601" s="18"/>
      <c r="AX601" s="18"/>
      <c r="AY601" s="17"/>
      <c r="AZ601" s="17"/>
      <c r="BA601" s="17"/>
      <c r="BB601" s="17"/>
      <c r="BC601" s="96"/>
      <c r="BD601" s="96"/>
      <c r="BE601" s="96"/>
      <c r="BF601" s="96"/>
      <c r="BG601" s="96"/>
      <c r="BH601" s="96"/>
      <c r="BI601" s="96"/>
    </row>
    <row r="602" spans="1:61" x14ac:dyDescent="0.45">
      <c r="A602" s="17"/>
      <c r="B602" s="17"/>
      <c r="C602" s="17"/>
      <c r="D602" s="17"/>
      <c r="E602" s="15"/>
      <c r="F602" s="17"/>
      <c r="G602" s="17"/>
      <c r="H602" s="3"/>
      <c r="I602" s="88"/>
      <c r="J602" s="88"/>
      <c r="K602" s="15"/>
      <c r="L602" s="96"/>
      <c r="M602" s="89"/>
      <c r="N602" s="88"/>
      <c r="O602" s="413"/>
      <c r="P602" s="18"/>
      <c r="Q602" s="91"/>
      <c r="R602" s="18"/>
      <c r="S602" s="18"/>
      <c r="T602" s="18"/>
      <c r="U602" s="18"/>
      <c r="V602" s="18"/>
      <c r="W602" s="18"/>
      <c r="X602" s="18"/>
      <c r="Y602" s="92"/>
      <c r="Z602" s="92"/>
      <c r="AA602" s="418"/>
      <c r="AB602" s="95"/>
      <c r="AC602" s="18"/>
      <c r="AD602" s="18"/>
      <c r="AE602" s="18"/>
      <c r="AF602" s="18"/>
      <c r="AG602" s="91"/>
      <c r="AH602" s="18"/>
      <c r="AI602" s="18"/>
      <c r="AJ602" s="18"/>
      <c r="AK602" s="18"/>
      <c r="AL602" s="18"/>
      <c r="AM602" s="18"/>
      <c r="AN602" s="18"/>
      <c r="AO602" s="18"/>
      <c r="AP602" s="18"/>
      <c r="AQ602" s="18"/>
      <c r="AR602" s="18"/>
      <c r="AS602" s="18"/>
      <c r="AT602" s="18"/>
      <c r="AU602" s="91"/>
      <c r="AV602" s="18"/>
      <c r="AW602" s="18"/>
      <c r="AX602" s="18"/>
      <c r="AY602" s="17"/>
      <c r="AZ602" s="17"/>
      <c r="BA602" s="17"/>
      <c r="BB602" s="17"/>
      <c r="BC602" s="96"/>
      <c r="BD602" s="96"/>
      <c r="BE602" s="96"/>
      <c r="BF602" s="96"/>
      <c r="BG602" s="96"/>
      <c r="BH602" s="96"/>
      <c r="BI602" s="96"/>
    </row>
    <row r="603" spans="1:61" x14ac:dyDescent="0.45">
      <c r="A603" s="17"/>
      <c r="B603" s="17"/>
      <c r="C603" s="17"/>
      <c r="D603" s="17"/>
      <c r="E603" s="15"/>
      <c r="F603" s="17"/>
      <c r="G603" s="17"/>
      <c r="H603" s="3"/>
      <c r="I603" s="88"/>
      <c r="J603" s="88"/>
      <c r="K603" s="15"/>
      <c r="L603" s="96"/>
      <c r="M603" s="89"/>
      <c r="N603" s="88"/>
      <c r="O603" s="413"/>
      <c r="P603" s="18"/>
      <c r="Q603" s="91"/>
      <c r="R603" s="18"/>
      <c r="S603" s="18"/>
      <c r="T603" s="18"/>
      <c r="U603" s="18"/>
      <c r="V603" s="18"/>
      <c r="W603" s="18"/>
      <c r="X603" s="18"/>
      <c r="Y603" s="92"/>
      <c r="Z603" s="92"/>
      <c r="AA603" s="418"/>
      <c r="AB603" s="95"/>
      <c r="AC603" s="18"/>
      <c r="AD603" s="18"/>
      <c r="AE603" s="18"/>
      <c r="AF603" s="18"/>
      <c r="AG603" s="91"/>
      <c r="AH603" s="18"/>
      <c r="AI603" s="18"/>
      <c r="AJ603" s="18"/>
      <c r="AK603" s="18"/>
      <c r="AL603" s="18"/>
      <c r="AM603" s="18"/>
      <c r="AN603" s="18"/>
      <c r="AO603" s="18"/>
      <c r="AP603" s="18"/>
      <c r="AQ603" s="18"/>
      <c r="AR603" s="18"/>
      <c r="AS603" s="18"/>
      <c r="AT603" s="18"/>
      <c r="AU603" s="91"/>
      <c r="AV603" s="18"/>
      <c r="AW603" s="18"/>
      <c r="AX603" s="18"/>
      <c r="AY603" s="17"/>
      <c r="AZ603" s="17"/>
      <c r="BA603" s="17"/>
      <c r="BB603" s="17"/>
      <c r="BC603" s="96"/>
      <c r="BD603" s="96"/>
      <c r="BE603" s="96"/>
      <c r="BF603" s="96"/>
      <c r="BG603" s="96"/>
      <c r="BH603" s="96"/>
      <c r="BI603" s="96"/>
    </row>
    <row r="604" spans="1:61" x14ac:dyDescent="0.45">
      <c r="A604" s="17"/>
      <c r="B604" s="17"/>
      <c r="C604" s="17"/>
      <c r="D604" s="17"/>
      <c r="E604" s="15"/>
      <c r="F604" s="17"/>
      <c r="G604" s="17"/>
      <c r="H604" s="3"/>
      <c r="I604" s="88"/>
      <c r="J604" s="88"/>
      <c r="K604" s="15"/>
      <c r="L604" s="96"/>
      <c r="M604" s="89"/>
      <c r="N604" s="88"/>
      <c r="O604" s="413"/>
      <c r="P604" s="18"/>
      <c r="Q604" s="91"/>
      <c r="R604" s="18"/>
      <c r="S604" s="18"/>
      <c r="T604" s="18"/>
      <c r="U604" s="18"/>
      <c r="V604" s="18"/>
      <c r="W604" s="18"/>
      <c r="X604" s="18"/>
      <c r="Y604" s="92"/>
      <c r="Z604" s="92"/>
      <c r="AA604" s="418"/>
      <c r="AB604" s="95"/>
      <c r="AC604" s="18"/>
      <c r="AD604" s="18"/>
      <c r="AE604" s="18"/>
      <c r="AF604" s="18"/>
      <c r="AG604" s="91"/>
      <c r="AH604" s="18"/>
      <c r="AI604" s="18"/>
      <c r="AJ604" s="18"/>
      <c r="AK604" s="18"/>
      <c r="AL604" s="18"/>
      <c r="AM604" s="18"/>
      <c r="AN604" s="18"/>
      <c r="AO604" s="18"/>
      <c r="AP604" s="18"/>
      <c r="AQ604" s="18"/>
      <c r="AR604" s="18"/>
      <c r="AS604" s="18"/>
      <c r="AT604" s="18"/>
      <c r="AU604" s="91"/>
      <c r="AV604" s="18"/>
      <c r="AW604" s="18"/>
      <c r="AX604" s="18"/>
      <c r="AY604" s="17"/>
      <c r="AZ604" s="17"/>
      <c r="BA604" s="17"/>
      <c r="BB604" s="17"/>
      <c r="BC604" s="96"/>
      <c r="BD604" s="96"/>
      <c r="BE604" s="96"/>
      <c r="BF604" s="96"/>
      <c r="BG604" s="96"/>
      <c r="BH604" s="96"/>
      <c r="BI604" s="96"/>
    </row>
    <row r="605" spans="1:61" x14ac:dyDescent="0.45">
      <c r="A605" s="17"/>
      <c r="B605" s="17"/>
      <c r="C605" s="17"/>
      <c r="D605" s="17"/>
      <c r="E605" s="15"/>
      <c r="F605" s="17"/>
      <c r="G605" s="17"/>
      <c r="H605" s="3"/>
      <c r="I605" s="88"/>
      <c r="J605" s="88"/>
      <c r="K605" s="15"/>
      <c r="L605" s="96"/>
      <c r="M605" s="89"/>
      <c r="N605" s="88"/>
      <c r="O605" s="413"/>
      <c r="P605" s="18"/>
      <c r="Q605" s="91"/>
      <c r="R605" s="18"/>
      <c r="S605" s="18"/>
      <c r="T605" s="18"/>
      <c r="U605" s="18"/>
      <c r="V605" s="18"/>
      <c r="W605" s="18"/>
      <c r="X605" s="18"/>
      <c r="Y605" s="92"/>
      <c r="Z605" s="92"/>
      <c r="AA605" s="418"/>
      <c r="AB605" s="95"/>
      <c r="AC605" s="18"/>
      <c r="AD605" s="18"/>
      <c r="AE605" s="18"/>
      <c r="AF605" s="18"/>
      <c r="AG605" s="91"/>
      <c r="AH605" s="18"/>
      <c r="AI605" s="18"/>
      <c r="AJ605" s="18"/>
      <c r="AK605" s="18"/>
      <c r="AL605" s="18"/>
      <c r="AM605" s="18"/>
      <c r="AN605" s="18"/>
      <c r="AO605" s="18"/>
      <c r="AP605" s="18"/>
      <c r="AQ605" s="18"/>
      <c r="AR605" s="18"/>
      <c r="AS605" s="18"/>
      <c r="AT605" s="18"/>
      <c r="AU605" s="91"/>
      <c r="AV605" s="18"/>
      <c r="AW605" s="18"/>
      <c r="AX605" s="18"/>
      <c r="AY605" s="17"/>
      <c r="AZ605" s="17"/>
      <c r="BA605" s="17"/>
      <c r="BB605" s="17"/>
      <c r="BC605" s="96"/>
      <c r="BD605" s="96"/>
      <c r="BE605" s="96"/>
      <c r="BF605" s="96"/>
      <c r="BG605" s="96"/>
      <c r="BH605" s="96"/>
      <c r="BI605" s="96"/>
    </row>
    <row r="606" spans="1:61" x14ac:dyDescent="0.45">
      <c r="A606" s="17"/>
      <c r="B606" s="17"/>
      <c r="C606" s="17"/>
      <c r="D606" s="17"/>
      <c r="E606" s="15"/>
      <c r="F606" s="17"/>
      <c r="G606" s="17"/>
      <c r="H606" s="3"/>
      <c r="I606" s="88"/>
      <c r="J606" s="88"/>
      <c r="K606" s="15"/>
      <c r="L606" s="96"/>
      <c r="M606" s="89"/>
      <c r="N606" s="88"/>
      <c r="O606" s="413"/>
      <c r="P606" s="18"/>
      <c r="Q606" s="91"/>
      <c r="R606" s="18"/>
      <c r="S606" s="18"/>
      <c r="T606" s="18"/>
      <c r="U606" s="18"/>
      <c r="V606" s="18"/>
      <c r="W606" s="18"/>
      <c r="X606" s="18"/>
      <c r="Y606" s="92"/>
      <c r="Z606" s="92"/>
      <c r="AA606" s="418"/>
      <c r="AB606" s="95"/>
      <c r="AC606" s="18"/>
      <c r="AD606" s="18"/>
      <c r="AE606" s="18"/>
      <c r="AF606" s="18"/>
      <c r="AG606" s="91"/>
      <c r="AH606" s="18"/>
      <c r="AI606" s="18"/>
      <c r="AJ606" s="18"/>
      <c r="AK606" s="18"/>
      <c r="AL606" s="18"/>
      <c r="AM606" s="18"/>
      <c r="AN606" s="18"/>
      <c r="AO606" s="18"/>
      <c r="AP606" s="18"/>
      <c r="AQ606" s="18"/>
      <c r="AR606" s="18"/>
      <c r="AS606" s="18"/>
      <c r="AT606" s="18"/>
      <c r="AU606" s="91"/>
      <c r="AV606" s="18"/>
      <c r="AW606" s="18"/>
      <c r="AX606" s="18"/>
      <c r="AY606" s="17"/>
      <c r="AZ606" s="17"/>
      <c r="BA606" s="17"/>
      <c r="BB606" s="17"/>
      <c r="BC606" s="96"/>
      <c r="BD606" s="96"/>
      <c r="BE606" s="96"/>
      <c r="BF606" s="96"/>
      <c r="BG606" s="96"/>
      <c r="BH606" s="96"/>
      <c r="BI606" s="96"/>
    </row>
    <row r="607" spans="1:61" x14ac:dyDescent="0.45">
      <c r="A607" s="17"/>
      <c r="B607" s="17"/>
      <c r="C607" s="17"/>
      <c r="D607" s="17"/>
      <c r="E607" s="15"/>
      <c r="F607" s="17"/>
      <c r="G607" s="17"/>
      <c r="H607" s="3"/>
      <c r="I607" s="88"/>
      <c r="J607" s="88"/>
      <c r="K607" s="15"/>
      <c r="L607" s="96"/>
      <c r="M607" s="89"/>
      <c r="N607" s="88"/>
      <c r="O607" s="413"/>
      <c r="P607" s="18"/>
      <c r="Q607" s="91"/>
      <c r="R607" s="18"/>
      <c r="S607" s="18"/>
      <c r="T607" s="18"/>
      <c r="U607" s="18"/>
      <c r="V607" s="18"/>
      <c r="W607" s="18"/>
      <c r="X607" s="18"/>
      <c r="Y607" s="92"/>
      <c r="Z607" s="92"/>
      <c r="AA607" s="418"/>
      <c r="AB607" s="95"/>
      <c r="AC607" s="18"/>
      <c r="AD607" s="18"/>
      <c r="AE607" s="18"/>
      <c r="AF607" s="18"/>
      <c r="AG607" s="91"/>
      <c r="AH607" s="18"/>
      <c r="AI607" s="18"/>
      <c r="AJ607" s="18"/>
      <c r="AK607" s="18"/>
      <c r="AL607" s="18"/>
      <c r="AM607" s="18"/>
      <c r="AN607" s="18"/>
      <c r="AO607" s="18"/>
      <c r="AP607" s="18"/>
      <c r="AQ607" s="18"/>
      <c r="AR607" s="18"/>
      <c r="AS607" s="18"/>
      <c r="AT607" s="18"/>
      <c r="AU607" s="91"/>
      <c r="AV607" s="18"/>
      <c r="AW607" s="18"/>
      <c r="AX607" s="18"/>
      <c r="AY607" s="17"/>
      <c r="AZ607" s="17"/>
      <c r="BA607" s="17"/>
      <c r="BB607" s="17"/>
      <c r="BC607" s="96"/>
      <c r="BD607" s="96"/>
      <c r="BE607" s="96"/>
      <c r="BF607" s="96"/>
      <c r="BG607" s="96"/>
      <c r="BH607" s="96"/>
      <c r="BI607" s="96"/>
    </row>
    <row r="608" spans="1:61" x14ac:dyDescent="0.45">
      <c r="A608" s="17"/>
      <c r="B608" s="17"/>
      <c r="C608" s="17"/>
      <c r="D608" s="17"/>
      <c r="E608" s="15"/>
      <c r="F608" s="17"/>
      <c r="G608" s="17"/>
      <c r="H608" s="3"/>
      <c r="I608" s="88"/>
      <c r="J608" s="88"/>
      <c r="K608" s="15"/>
      <c r="L608" s="96"/>
      <c r="M608" s="89"/>
      <c r="N608" s="88"/>
      <c r="O608" s="413"/>
      <c r="P608" s="18"/>
      <c r="Q608" s="91"/>
      <c r="R608" s="18"/>
      <c r="S608" s="18"/>
      <c r="T608" s="18"/>
      <c r="U608" s="18"/>
      <c r="V608" s="18"/>
      <c r="W608" s="18"/>
      <c r="X608" s="18"/>
      <c r="Y608" s="92"/>
      <c r="Z608" s="92"/>
      <c r="AA608" s="418"/>
      <c r="AB608" s="95"/>
      <c r="AC608" s="18"/>
      <c r="AD608" s="18"/>
      <c r="AE608" s="18"/>
      <c r="AF608" s="18"/>
      <c r="AG608" s="91"/>
      <c r="AH608" s="18"/>
      <c r="AI608" s="18"/>
      <c r="AJ608" s="18"/>
      <c r="AK608" s="18"/>
      <c r="AL608" s="18"/>
      <c r="AM608" s="18"/>
      <c r="AN608" s="18"/>
      <c r="AO608" s="18"/>
      <c r="AP608" s="18"/>
      <c r="AQ608" s="18"/>
      <c r="AR608" s="18"/>
      <c r="AS608" s="18"/>
      <c r="AT608" s="18"/>
      <c r="AU608" s="91"/>
      <c r="AV608" s="18"/>
      <c r="AW608" s="18"/>
      <c r="AX608" s="18"/>
      <c r="AY608" s="17"/>
      <c r="AZ608" s="17"/>
      <c r="BA608" s="17"/>
      <c r="BB608" s="17"/>
      <c r="BC608" s="96"/>
      <c r="BD608" s="96"/>
      <c r="BE608" s="96"/>
      <c r="BF608" s="96"/>
      <c r="BG608" s="96"/>
      <c r="BH608" s="96"/>
      <c r="BI608" s="96"/>
    </row>
    <row r="609" spans="1:61" x14ac:dyDescent="0.45">
      <c r="A609" s="17"/>
      <c r="B609" s="17"/>
      <c r="C609" s="17"/>
      <c r="D609" s="17"/>
      <c r="E609" s="15"/>
      <c r="F609" s="17"/>
      <c r="G609" s="17"/>
      <c r="H609" s="3"/>
      <c r="I609" s="88"/>
      <c r="J609" s="88"/>
      <c r="K609" s="15"/>
      <c r="L609" s="96"/>
      <c r="M609" s="89"/>
      <c r="N609" s="88"/>
      <c r="O609" s="413"/>
      <c r="P609" s="18"/>
      <c r="Q609" s="91"/>
      <c r="R609" s="18"/>
      <c r="S609" s="18"/>
      <c r="T609" s="18"/>
      <c r="U609" s="18"/>
      <c r="V609" s="18"/>
      <c r="W609" s="18"/>
      <c r="X609" s="18"/>
      <c r="Y609" s="92"/>
      <c r="Z609" s="92"/>
      <c r="AA609" s="418"/>
      <c r="AB609" s="95"/>
      <c r="AC609" s="18"/>
      <c r="AD609" s="18"/>
      <c r="AE609" s="18"/>
      <c r="AF609" s="18"/>
      <c r="AG609" s="91"/>
      <c r="AH609" s="18"/>
      <c r="AI609" s="18"/>
      <c r="AJ609" s="18"/>
      <c r="AK609" s="18"/>
      <c r="AL609" s="18"/>
      <c r="AM609" s="18"/>
      <c r="AN609" s="18"/>
      <c r="AO609" s="18"/>
      <c r="AP609" s="18"/>
      <c r="AQ609" s="18"/>
      <c r="AR609" s="18"/>
      <c r="AS609" s="18"/>
      <c r="AT609" s="18"/>
      <c r="AU609" s="91"/>
      <c r="AV609" s="18"/>
      <c r="AW609" s="18"/>
      <c r="AX609" s="18"/>
      <c r="AY609" s="17"/>
      <c r="AZ609" s="17"/>
      <c r="BA609" s="17"/>
      <c r="BB609" s="17"/>
      <c r="BC609" s="96"/>
      <c r="BD609" s="96"/>
      <c r="BE609" s="96"/>
      <c r="BF609" s="96"/>
      <c r="BG609" s="96"/>
      <c r="BH609" s="96"/>
      <c r="BI609" s="96"/>
    </row>
    <row r="610" spans="1:61" x14ac:dyDescent="0.45">
      <c r="A610" s="17"/>
      <c r="B610" s="17"/>
      <c r="C610" s="17"/>
      <c r="D610" s="17"/>
      <c r="E610" s="15"/>
      <c r="F610" s="17"/>
      <c r="G610" s="17"/>
      <c r="H610" s="3"/>
      <c r="I610" s="88"/>
      <c r="J610" s="88"/>
      <c r="K610" s="15"/>
      <c r="L610" s="96"/>
      <c r="M610" s="89"/>
      <c r="N610" s="88"/>
      <c r="O610" s="413"/>
      <c r="P610" s="18"/>
      <c r="Q610" s="91"/>
      <c r="R610" s="18"/>
      <c r="S610" s="18"/>
      <c r="T610" s="18"/>
      <c r="U610" s="18"/>
      <c r="V610" s="18"/>
      <c r="W610" s="18"/>
      <c r="X610" s="18"/>
      <c r="Y610" s="92"/>
      <c r="Z610" s="92"/>
      <c r="AA610" s="418"/>
      <c r="AB610" s="95"/>
      <c r="AC610" s="18"/>
      <c r="AD610" s="18"/>
      <c r="AE610" s="18"/>
      <c r="AF610" s="18"/>
      <c r="AG610" s="91"/>
      <c r="AH610" s="18"/>
      <c r="AI610" s="18"/>
      <c r="AJ610" s="18"/>
      <c r="AK610" s="18"/>
      <c r="AL610" s="18"/>
      <c r="AM610" s="18"/>
      <c r="AN610" s="18"/>
      <c r="AO610" s="18"/>
      <c r="AP610" s="18"/>
      <c r="AQ610" s="18"/>
      <c r="AR610" s="18"/>
      <c r="AS610" s="18"/>
      <c r="AT610" s="18"/>
      <c r="AU610" s="91"/>
      <c r="AV610" s="18"/>
      <c r="AW610" s="18"/>
      <c r="AX610" s="18"/>
      <c r="AY610" s="17"/>
      <c r="AZ610" s="17"/>
      <c r="BA610" s="17"/>
      <c r="BB610" s="17"/>
      <c r="BC610" s="96"/>
      <c r="BD610" s="96"/>
      <c r="BE610" s="96"/>
      <c r="BF610" s="96"/>
      <c r="BG610" s="96"/>
      <c r="BH610" s="96"/>
      <c r="BI610" s="96"/>
    </row>
    <row r="611" spans="1:61" x14ac:dyDescent="0.45">
      <c r="A611" s="17"/>
      <c r="B611" s="17"/>
      <c r="C611" s="17"/>
      <c r="D611" s="17"/>
      <c r="E611" s="15"/>
      <c r="F611" s="17"/>
      <c r="G611" s="17"/>
      <c r="H611" s="3"/>
      <c r="I611" s="88"/>
      <c r="J611" s="88"/>
      <c r="K611" s="15"/>
      <c r="L611" s="96"/>
      <c r="M611" s="89"/>
      <c r="N611" s="88"/>
      <c r="O611" s="413"/>
      <c r="P611" s="18"/>
      <c r="Q611" s="91"/>
      <c r="R611" s="18"/>
      <c r="S611" s="18"/>
      <c r="T611" s="18"/>
      <c r="U611" s="18"/>
      <c r="V611" s="18"/>
      <c r="W611" s="18"/>
      <c r="X611" s="18"/>
      <c r="Y611" s="92"/>
      <c r="Z611" s="92"/>
      <c r="AA611" s="418"/>
      <c r="AB611" s="95"/>
      <c r="AC611" s="18"/>
      <c r="AD611" s="18"/>
      <c r="AE611" s="18"/>
      <c r="AF611" s="18"/>
      <c r="AG611" s="91"/>
      <c r="AH611" s="18"/>
      <c r="AI611" s="18"/>
      <c r="AJ611" s="18"/>
      <c r="AK611" s="18"/>
      <c r="AL611" s="18"/>
      <c r="AM611" s="18"/>
      <c r="AN611" s="18"/>
      <c r="AO611" s="18"/>
      <c r="AP611" s="18"/>
      <c r="AQ611" s="18"/>
      <c r="AR611" s="18"/>
      <c r="AS611" s="18"/>
      <c r="AT611" s="18"/>
      <c r="AU611" s="91"/>
      <c r="AV611" s="18"/>
      <c r="AW611" s="18"/>
      <c r="AX611" s="18"/>
      <c r="AY611" s="17"/>
      <c r="AZ611" s="17"/>
      <c r="BA611" s="17"/>
      <c r="BB611" s="17"/>
      <c r="BC611" s="96"/>
      <c r="BD611" s="96"/>
      <c r="BE611" s="96"/>
      <c r="BF611" s="96"/>
      <c r="BG611" s="96"/>
      <c r="BH611" s="96"/>
      <c r="BI611" s="96"/>
    </row>
    <row r="612" spans="1:61" x14ac:dyDescent="0.45">
      <c r="A612" s="17"/>
      <c r="B612" s="17"/>
      <c r="C612" s="17"/>
      <c r="D612" s="17"/>
      <c r="E612" s="15"/>
      <c r="F612" s="17"/>
      <c r="G612" s="17"/>
      <c r="H612" s="3"/>
      <c r="I612" s="88"/>
      <c r="J612" s="88"/>
      <c r="K612" s="15"/>
      <c r="L612" s="96"/>
      <c r="M612" s="89"/>
      <c r="N612" s="88"/>
      <c r="O612" s="413"/>
      <c r="P612" s="18"/>
      <c r="Q612" s="91"/>
      <c r="R612" s="18"/>
      <c r="S612" s="18"/>
      <c r="T612" s="18"/>
      <c r="U612" s="18"/>
      <c r="V612" s="18"/>
      <c r="W612" s="18"/>
      <c r="X612" s="18"/>
      <c r="Y612" s="92"/>
      <c r="Z612" s="92"/>
      <c r="AA612" s="418"/>
      <c r="AB612" s="95"/>
      <c r="AC612" s="18"/>
      <c r="AD612" s="18"/>
      <c r="AE612" s="18"/>
      <c r="AF612" s="18"/>
      <c r="AG612" s="91"/>
      <c r="AH612" s="18"/>
      <c r="AI612" s="18"/>
      <c r="AJ612" s="18"/>
      <c r="AK612" s="18"/>
      <c r="AL612" s="18"/>
      <c r="AM612" s="18"/>
      <c r="AN612" s="18"/>
      <c r="AO612" s="18"/>
      <c r="AP612" s="18"/>
      <c r="AQ612" s="18"/>
      <c r="AR612" s="18"/>
      <c r="AS612" s="18"/>
      <c r="AT612" s="18"/>
      <c r="AU612" s="91"/>
      <c r="AV612" s="18"/>
      <c r="AW612" s="18"/>
      <c r="AX612" s="18"/>
      <c r="AY612" s="17"/>
      <c r="AZ612" s="17"/>
      <c r="BA612" s="17"/>
      <c r="BB612" s="17"/>
      <c r="BC612" s="96"/>
      <c r="BD612" s="96"/>
      <c r="BE612" s="96"/>
      <c r="BF612" s="96"/>
      <c r="BG612" s="96"/>
      <c r="BH612" s="96"/>
      <c r="BI612" s="96"/>
    </row>
    <row r="613" spans="1:61" x14ac:dyDescent="0.45">
      <c r="A613" s="17"/>
      <c r="B613" s="17"/>
      <c r="C613" s="17"/>
      <c r="D613" s="17"/>
      <c r="E613" s="15"/>
      <c r="F613" s="17"/>
      <c r="G613" s="17"/>
      <c r="H613" s="3"/>
      <c r="I613" s="88"/>
      <c r="J613" s="88"/>
      <c r="K613" s="15"/>
      <c r="L613" s="96"/>
      <c r="M613" s="89"/>
      <c r="N613" s="88"/>
      <c r="O613" s="413"/>
      <c r="P613" s="18"/>
      <c r="Q613" s="91"/>
      <c r="R613" s="18"/>
      <c r="S613" s="18"/>
      <c r="T613" s="18"/>
      <c r="U613" s="18"/>
      <c r="V613" s="18"/>
      <c r="W613" s="18"/>
      <c r="X613" s="18"/>
      <c r="Y613" s="92"/>
      <c r="Z613" s="92"/>
      <c r="AA613" s="418"/>
      <c r="AB613" s="95"/>
      <c r="AC613" s="18"/>
      <c r="AD613" s="18"/>
      <c r="AE613" s="18"/>
      <c r="AF613" s="18"/>
      <c r="AG613" s="91"/>
      <c r="AH613" s="18"/>
      <c r="AI613" s="18"/>
      <c r="AJ613" s="18"/>
      <c r="AK613" s="18"/>
      <c r="AL613" s="18"/>
      <c r="AM613" s="18"/>
      <c r="AN613" s="18"/>
      <c r="AO613" s="18"/>
      <c r="AP613" s="18"/>
      <c r="AQ613" s="18"/>
      <c r="AR613" s="18"/>
      <c r="AS613" s="18"/>
      <c r="AT613" s="18"/>
      <c r="AU613" s="91"/>
      <c r="AV613" s="18"/>
      <c r="AW613" s="18"/>
      <c r="AX613" s="18"/>
      <c r="AY613" s="17"/>
      <c r="AZ613" s="17"/>
      <c r="BA613" s="17"/>
      <c r="BB613" s="17"/>
      <c r="BC613" s="96"/>
      <c r="BD613" s="96"/>
      <c r="BE613" s="96"/>
      <c r="BF613" s="96"/>
      <c r="BG613" s="96"/>
      <c r="BH613" s="96"/>
      <c r="BI613" s="96"/>
    </row>
    <row r="614" spans="1:61" x14ac:dyDescent="0.45">
      <c r="A614" s="17"/>
      <c r="B614" s="17"/>
      <c r="C614" s="17"/>
      <c r="D614" s="17"/>
      <c r="E614" s="15"/>
      <c r="F614" s="17"/>
      <c r="G614" s="17"/>
      <c r="H614" s="3"/>
      <c r="I614" s="88"/>
      <c r="J614" s="88"/>
      <c r="K614" s="15"/>
      <c r="L614" s="96"/>
      <c r="M614" s="89"/>
      <c r="N614" s="88"/>
      <c r="O614" s="413"/>
      <c r="P614" s="18"/>
      <c r="Q614" s="91"/>
      <c r="R614" s="18"/>
      <c r="S614" s="18"/>
      <c r="T614" s="18"/>
      <c r="U614" s="18"/>
      <c r="V614" s="18"/>
      <c r="W614" s="18"/>
      <c r="X614" s="18"/>
      <c r="Y614" s="92"/>
      <c r="Z614" s="92"/>
      <c r="AA614" s="418"/>
      <c r="AB614" s="95"/>
      <c r="AC614" s="18"/>
      <c r="AD614" s="18"/>
      <c r="AE614" s="18"/>
      <c r="AF614" s="18"/>
      <c r="AG614" s="91"/>
      <c r="AH614" s="18"/>
      <c r="AI614" s="18"/>
      <c r="AJ614" s="18"/>
      <c r="AK614" s="18"/>
      <c r="AL614" s="18"/>
      <c r="AM614" s="18"/>
      <c r="AN614" s="18"/>
      <c r="AO614" s="18"/>
      <c r="AP614" s="18"/>
      <c r="AQ614" s="18"/>
      <c r="AR614" s="18"/>
      <c r="AS614" s="18"/>
      <c r="AT614" s="18"/>
      <c r="AU614" s="91"/>
      <c r="AV614" s="18"/>
      <c r="AW614" s="18"/>
      <c r="AX614" s="18"/>
      <c r="AY614" s="17"/>
      <c r="AZ614" s="17"/>
      <c r="BA614" s="17"/>
      <c r="BB614" s="17"/>
      <c r="BC614" s="96"/>
      <c r="BD614" s="96"/>
      <c r="BE614" s="96"/>
      <c r="BF614" s="96"/>
      <c r="BG614" s="96"/>
      <c r="BH614" s="96"/>
      <c r="BI614" s="96"/>
    </row>
    <row r="615" spans="1:61" x14ac:dyDescent="0.45">
      <c r="A615" s="17"/>
      <c r="B615" s="17"/>
      <c r="C615" s="17"/>
      <c r="D615" s="17"/>
      <c r="E615" s="15"/>
      <c r="F615" s="17"/>
      <c r="G615" s="17"/>
      <c r="H615" s="3"/>
      <c r="I615" s="88"/>
      <c r="J615" s="88"/>
      <c r="K615" s="15"/>
      <c r="L615" s="96"/>
      <c r="M615" s="89"/>
      <c r="N615" s="88"/>
      <c r="O615" s="413"/>
      <c r="P615" s="18"/>
      <c r="Q615" s="91"/>
      <c r="R615" s="18"/>
      <c r="S615" s="18"/>
      <c r="T615" s="18"/>
      <c r="U615" s="18"/>
      <c r="V615" s="18"/>
      <c r="W615" s="18"/>
      <c r="X615" s="18"/>
      <c r="Y615" s="92"/>
      <c r="Z615" s="92"/>
      <c r="AA615" s="418"/>
      <c r="AB615" s="95"/>
      <c r="AC615" s="18"/>
      <c r="AD615" s="18"/>
      <c r="AE615" s="18"/>
      <c r="AF615" s="18"/>
      <c r="AG615" s="91"/>
      <c r="AH615" s="18"/>
      <c r="AI615" s="18"/>
      <c r="AJ615" s="18"/>
      <c r="AK615" s="18"/>
      <c r="AL615" s="18"/>
      <c r="AM615" s="18"/>
      <c r="AN615" s="18"/>
      <c r="AO615" s="18"/>
      <c r="AP615" s="18"/>
      <c r="AQ615" s="18"/>
      <c r="AR615" s="18"/>
      <c r="AS615" s="18"/>
      <c r="AT615" s="18"/>
      <c r="AU615" s="91"/>
      <c r="AV615" s="18"/>
      <c r="AW615" s="18"/>
      <c r="AX615" s="18"/>
      <c r="AY615" s="17"/>
      <c r="AZ615" s="17"/>
      <c r="BA615" s="17"/>
      <c r="BB615" s="17"/>
      <c r="BC615" s="96"/>
      <c r="BD615" s="96"/>
      <c r="BE615" s="96"/>
      <c r="BF615" s="96"/>
      <c r="BG615" s="96"/>
      <c r="BH615" s="96"/>
      <c r="BI615" s="96"/>
    </row>
    <row r="616" spans="1:61" x14ac:dyDescent="0.45">
      <c r="A616" s="17"/>
      <c r="B616" s="17"/>
      <c r="C616" s="17"/>
      <c r="D616" s="17"/>
      <c r="E616" s="15"/>
      <c r="F616" s="17"/>
      <c r="G616" s="17"/>
      <c r="H616" s="3"/>
      <c r="I616" s="88"/>
      <c r="J616" s="88"/>
      <c r="K616" s="15"/>
      <c r="L616" s="96"/>
      <c r="M616" s="89"/>
      <c r="N616" s="88"/>
      <c r="O616" s="413"/>
      <c r="P616" s="18"/>
      <c r="Q616" s="91"/>
      <c r="R616" s="18"/>
      <c r="S616" s="18"/>
      <c r="T616" s="18"/>
      <c r="U616" s="18"/>
      <c r="V616" s="18"/>
      <c r="W616" s="18"/>
      <c r="X616" s="18"/>
      <c r="Y616" s="92"/>
      <c r="Z616" s="92"/>
      <c r="AA616" s="418"/>
      <c r="AB616" s="95"/>
      <c r="AC616" s="18"/>
      <c r="AD616" s="18"/>
      <c r="AE616" s="18"/>
      <c r="AF616" s="18"/>
      <c r="AG616" s="91"/>
      <c r="AH616" s="18"/>
      <c r="AI616" s="18"/>
      <c r="AJ616" s="18"/>
      <c r="AK616" s="18"/>
      <c r="AL616" s="18"/>
      <c r="AM616" s="18"/>
      <c r="AN616" s="18"/>
      <c r="AO616" s="18"/>
      <c r="AP616" s="18"/>
      <c r="AQ616" s="18"/>
      <c r="AR616" s="18"/>
      <c r="AS616" s="18"/>
      <c r="AT616" s="18"/>
      <c r="AU616" s="91"/>
      <c r="AV616" s="18"/>
      <c r="AW616" s="18"/>
      <c r="AX616" s="18"/>
      <c r="AY616" s="17"/>
      <c r="AZ616" s="17"/>
      <c r="BA616" s="17"/>
      <c r="BB616" s="17"/>
      <c r="BC616" s="96"/>
      <c r="BD616" s="96"/>
      <c r="BE616" s="96"/>
      <c r="BF616" s="96"/>
      <c r="BG616" s="96"/>
      <c r="BH616" s="96"/>
      <c r="BI616" s="96"/>
    </row>
    <row r="617" spans="1:61" x14ac:dyDescent="0.45">
      <c r="A617" s="17"/>
      <c r="B617" s="17"/>
      <c r="C617" s="17"/>
      <c r="D617" s="17"/>
      <c r="E617" s="15"/>
      <c r="F617" s="17"/>
      <c r="G617" s="17"/>
      <c r="H617" s="3"/>
      <c r="I617" s="88"/>
      <c r="J617" s="88"/>
      <c r="K617" s="15"/>
      <c r="L617" s="96"/>
      <c r="M617" s="89"/>
      <c r="N617" s="88"/>
      <c r="O617" s="413"/>
      <c r="P617" s="18"/>
      <c r="Q617" s="91"/>
      <c r="R617" s="18"/>
      <c r="S617" s="18"/>
      <c r="T617" s="18"/>
      <c r="U617" s="18"/>
      <c r="V617" s="18"/>
      <c r="W617" s="18"/>
      <c r="X617" s="18"/>
      <c r="Y617" s="92"/>
      <c r="Z617" s="92"/>
      <c r="AA617" s="418"/>
      <c r="AB617" s="95"/>
      <c r="AC617" s="18"/>
      <c r="AD617" s="18"/>
      <c r="AE617" s="18"/>
      <c r="AF617" s="18"/>
      <c r="AG617" s="91"/>
      <c r="AH617" s="18"/>
      <c r="AI617" s="18"/>
      <c r="AJ617" s="18"/>
      <c r="AK617" s="18"/>
      <c r="AL617" s="18"/>
      <c r="AM617" s="18"/>
      <c r="AN617" s="18"/>
      <c r="AO617" s="18"/>
      <c r="AP617" s="18"/>
      <c r="AQ617" s="18"/>
      <c r="AR617" s="18"/>
      <c r="AS617" s="18"/>
      <c r="AT617" s="18"/>
      <c r="AU617" s="91"/>
      <c r="AV617" s="18"/>
      <c r="AW617" s="18"/>
      <c r="AX617" s="18"/>
      <c r="AY617" s="17"/>
      <c r="AZ617" s="17"/>
      <c r="BA617" s="17"/>
      <c r="BB617" s="17"/>
      <c r="BC617" s="96"/>
      <c r="BD617" s="96"/>
      <c r="BE617" s="96"/>
      <c r="BF617" s="96"/>
      <c r="BG617" s="96"/>
      <c r="BH617" s="96"/>
      <c r="BI617" s="96"/>
    </row>
    <row r="618" spans="1:61" x14ac:dyDescent="0.45">
      <c r="A618" s="17"/>
      <c r="B618" s="17"/>
      <c r="C618" s="17"/>
      <c r="D618" s="17"/>
      <c r="E618" s="15"/>
      <c r="F618" s="17"/>
      <c r="G618" s="17"/>
      <c r="H618" s="3"/>
      <c r="I618" s="88"/>
      <c r="J618" s="88"/>
      <c r="K618" s="15"/>
      <c r="L618" s="96"/>
      <c r="M618" s="89"/>
      <c r="N618" s="88"/>
      <c r="O618" s="413"/>
      <c r="P618" s="18"/>
      <c r="Q618" s="91"/>
      <c r="R618" s="18"/>
      <c r="S618" s="18"/>
      <c r="T618" s="18"/>
      <c r="U618" s="18"/>
      <c r="V618" s="18"/>
      <c r="W618" s="18"/>
      <c r="X618" s="18"/>
      <c r="Y618" s="92"/>
      <c r="Z618" s="92"/>
      <c r="AA618" s="418"/>
      <c r="AB618" s="95"/>
      <c r="AC618" s="18"/>
      <c r="AD618" s="18"/>
      <c r="AE618" s="18"/>
      <c r="AF618" s="18"/>
      <c r="AG618" s="91"/>
      <c r="AH618" s="18"/>
      <c r="AI618" s="18"/>
      <c r="AJ618" s="18"/>
      <c r="AK618" s="18"/>
      <c r="AL618" s="18"/>
      <c r="AM618" s="18"/>
      <c r="AN618" s="18"/>
      <c r="AO618" s="18"/>
      <c r="AP618" s="18"/>
      <c r="AQ618" s="18"/>
      <c r="AR618" s="18"/>
      <c r="AS618" s="18"/>
      <c r="AT618" s="18"/>
      <c r="AU618" s="91"/>
      <c r="AV618" s="18"/>
      <c r="AW618" s="18"/>
      <c r="AX618" s="18"/>
      <c r="AY618" s="17"/>
      <c r="AZ618" s="17"/>
      <c r="BA618" s="17"/>
      <c r="BB618" s="17"/>
      <c r="BC618" s="96"/>
      <c r="BD618" s="96"/>
      <c r="BE618" s="96"/>
      <c r="BF618" s="96"/>
      <c r="BG618" s="96"/>
      <c r="BH618" s="96"/>
      <c r="BI618" s="96"/>
    </row>
    <row r="619" spans="1:61" x14ac:dyDescent="0.45">
      <c r="A619" s="17"/>
      <c r="B619" s="17"/>
      <c r="C619" s="17"/>
      <c r="D619" s="17"/>
      <c r="E619" s="15"/>
      <c r="F619" s="17"/>
      <c r="G619" s="17"/>
      <c r="H619" s="3"/>
      <c r="I619" s="88"/>
      <c r="J619" s="88"/>
      <c r="K619" s="15"/>
      <c r="L619" s="96"/>
      <c r="M619" s="89"/>
      <c r="N619" s="88"/>
      <c r="O619" s="413"/>
      <c r="P619" s="18"/>
      <c r="Q619" s="91"/>
      <c r="R619" s="18"/>
      <c r="S619" s="18"/>
      <c r="T619" s="18"/>
      <c r="U619" s="18"/>
      <c r="V619" s="18"/>
      <c r="W619" s="18"/>
      <c r="X619" s="18"/>
      <c r="Y619" s="92"/>
      <c r="Z619" s="92"/>
      <c r="AA619" s="418"/>
      <c r="AB619" s="95"/>
      <c r="AC619" s="18"/>
      <c r="AD619" s="18"/>
      <c r="AE619" s="18"/>
      <c r="AF619" s="18"/>
      <c r="AG619" s="91"/>
      <c r="AH619" s="18"/>
      <c r="AI619" s="18"/>
      <c r="AJ619" s="18"/>
      <c r="AK619" s="18"/>
      <c r="AL619" s="18"/>
      <c r="AM619" s="18"/>
      <c r="AN619" s="18"/>
      <c r="AO619" s="18"/>
      <c r="AP619" s="18"/>
      <c r="AQ619" s="18"/>
      <c r="AR619" s="18"/>
      <c r="AS619" s="18"/>
      <c r="AT619" s="18"/>
      <c r="AU619" s="91"/>
      <c r="AV619" s="18"/>
      <c r="AW619" s="18"/>
      <c r="AX619" s="18"/>
      <c r="AY619" s="17"/>
      <c r="AZ619" s="17"/>
      <c r="BA619" s="17"/>
      <c r="BB619" s="17"/>
      <c r="BC619" s="96"/>
      <c r="BD619" s="96"/>
      <c r="BE619" s="96"/>
      <c r="BF619" s="96"/>
      <c r="BG619" s="96"/>
      <c r="BH619" s="96"/>
      <c r="BI619" s="96"/>
    </row>
    <row r="620" spans="1:61" x14ac:dyDescent="0.45">
      <c r="A620" s="17"/>
      <c r="B620" s="17"/>
      <c r="C620" s="17"/>
      <c r="D620" s="17"/>
      <c r="E620" s="15"/>
      <c r="F620" s="17"/>
      <c r="G620" s="17"/>
      <c r="H620" s="3"/>
      <c r="I620" s="88"/>
      <c r="J620" s="88"/>
      <c r="K620" s="15"/>
      <c r="L620" s="96"/>
      <c r="M620" s="89"/>
      <c r="N620" s="88"/>
      <c r="O620" s="413"/>
      <c r="P620" s="18"/>
      <c r="Q620" s="91"/>
      <c r="R620" s="18"/>
      <c r="S620" s="18"/>
      <c r="T620" s="18"/>
      <c r="U620" s="18"/>
      <c r="V620" s="18"/>
      <c r="W620" s="18"/>
      <c r="X620" s="18"/>
      <c r="Y620" s="92"/>
      <c r="Z620" s="92"/>
      <c r="AA620" s="418"/>
      <c r="AB620" s="95"/>
      <c r="AC620" s="18"/>
      <c r="AD620" s="18"/>
      <c r="AE620" s="18"/>
      <c r="AF620" s="18"/>
      <c r="AG620" s="91"/>
      <c r="AH620" s="18"/>
      <c r="AI620" s="18"/>
      <c r="AJ620" s="18"/>
      <c r="AK620" s="18"/>
      <c r="AL620" s="18"/>
      <c r="AM620" s="18"/>
      <c r="AN620" s="18"/>
      <c r="AO620" s="18"/>
      <c r="AP620" s="18"/>
      <c r="AQ620" s="18"/>
      <c r="AR620" s="18"/>
      <c r="AS620" s="18"/>
      <c r="AT620" s="18"/>
      <c r="AU620" s="91"/>
      <c r="AV620" s="18"/>
      <c r="AW620" s="18"/>
      <c r="AX620" s="18"/>
      <c r="AY620" s="17"/>
      <c r="AZ620" s="17"/>
      <c r="BA620" s="17"/>
      <c r="BB620" s="17"/>
      <c r="BC620" s="96"/>
      <c r="BD620" s="96"/>
      <c r="BE620" s="96"/>
      <c r="BF620" s="96"/>
      <c r="BG620" s="96"/>
      <c r="BH620" s="96"/>
      <c r="BI620" s="96"/>
    </row>
    <row r="621" spans="1:61" x14ac:dyDescent="0.45">
      <c r="A621" s="17"/>
      <c r="B621" s="17"/>
      <c r="C621" s="17"/>
      <c r="D621" s="17"/>
      <c r="E621" s="15"/>
      <c r="F621" s="17"/>
      <c r="G621" s="17"/>
      <c r="H621" s="3"/>
      <c r="I621" s="88"/>
      <c r="J621" s="88"/>
      <c r="K621" s="15"/>
      <c r="L621" s="96"/>
      <c r="M621" s="89"/>
      <c r="N621" s="88"/>
      <c r="O621" s="413"/>
      <c r="P621" s="18"/>
      <c r="Q621" s="91"/>
      <c r="R621" s="18"/>
      <c r="S621" s="18"/>
      <c r="T621" s="18"/>
      <c r="U621" s="18"/>
      <c r="V621" s="18"/>
      <c r="W621" s="18"/>
      <c r="X621" s="18"/>
      <c r="Y621" s="92"/>
      <c r="Z621" s="92"/>
      <c r="AA621" s="418"/>
      <c r="AB621" s="95"/>
      <c r="AC621" s="18"/>
      <c r="AD621" s="18"/>
      <c r="AE621" s="18"/>
      <c r="AF621" s="18"/>
      <c r="AG621" s="91"/>
      <c r="AH621" s="18"/>
      <c r="AI621" s="18"/>
      <c r="AJ621" s="18"/>
      <c r="AK621" s="18"/>
      <c r="AL621" s="18"/>
      <c r="AM621" s="18"/>
      <c r="AN621" s="18"/>
      <c r="AO621" s="18"/>
      <c r="AP621" s="18"/>
      <c r="AQ621" s="18"/>
      <c r="AR621" s="18"/>
      <c r="AS621" s="18"/>
      <c r="AT621" s="18"/>
      <c r="AU621" s="91"/>
      <c r="AV621" s="18"/>
      <c r="AW621" s="18"/>
      <c r="AX621" s="18"/>
      <c r="AY621" s="17"/>
      <c r="AZ621" s="17"/>
      <c r="BA621" s="17"/>
      <c r="BB621" s="17"/>
      <c r="BC621" s="96"/>
      <c r="BD621" s="96"/>
      <c r="BE621" s="96"/>
      <c r="BF621" s="96"/>
      <c r="BG621" s="96"/>
      <c r="BH621" s="96"/>
      <c r="BI621" s="96"/>
    </row>
    <row r="622" spans="1:61" x14ac:dyDescent="0.45">
      <c r="A622" s="17"/>
      <c r="B622" s="17"/>
      <c r="C622" s="17"/>
      <c r="D622" s="17"/>
      <c r="E622" s="15"/>
      <c r="F622" s="17"/>
      <c r="G622" s="17"/>
      <c r="H622" s="3"/>
      <c r="I622" s="88"/>
      <c r="J622" s="88"/>
      <c r="K622" s="15"/>
      <c r="L622" s="96"/>
      <c r="M622" s="89"/>
      <c r="N622" s="88"/>
      <c r="O622" s="413"/>
      <c r="P622" s="18"/>
      <c r="Q622" s="91"/>
      <c r="R622" s="18"/>
      <c r="S622" s="18"/>
      <c r="T622" s="18"/>
      <c r="U622" s="18"/>
      <c r="V622" s="18"/>
      <c r="W622" s="18"/>
      <c r="X622" s="18"/>
      <c r="Y622" s="92"/>
      <c r="Z622" s="92"/>
      <c r="AA622" s="418"/>
      <c r="AB622" s="95"/>
      <c r="AC622" s="18"/>
      <c r="AD622" s="18"/>
      <c r="AE622" s="18"/>
      <c r="AF622" s="18"/>
      <c r="AG622" s="91"/>
      <c r="AH622" s="18"/>
      <c r="AI622" s="18"/>
      <c r="AJ622" s="18"/>
      <c r="AK622" s="18"/>
      <c r="AL622" s="18"/>
      <c r="AM622" s="18"/>
      <c r="AN622" s="18"/>
      <c r="AO622" s="18"/>
      <c r="AP622" s="18"/>
      <c r="AQ622" s="18"/>
      <c r="AR622" s="18"/>
      <c r="AS622" s="18"/>
      <c r="AT622" s="18"/>
      <c r="AU622" s="91"/>
      <c r="AV622" s="18"/>
      <c r="AW622" s="18"/>
      <c r="AX622" s="18"/>
      <c r="AY622" s="17"/>
      <c r="AZ622" s="17"/>
      <c r="BA622" s="17"/>
      <c r="BB622" s="17"/>
      <c r="BC622" s="96"/>
      <c r="BD622" s="96"/>
      <c r="BE622" s="96"/>
      <c r="BF622" s="96"/>
      <c r="BG622" s="96"/>
      <c r="BH622" s="96"/>
      <c r="BI622" s="96"/>
    </row>
    <row r="623" spans="1:61" x14ac:dyDescent="0.45">
      <c r="A623" s="17"/>
      <c r="B623" s="17"/>
      <c r="C623" s="17"/>
      <c r="D623" s="17"/>
      <c r="E623" s="15"/>
      <c r="F623" s="17"/>
      <c r="G623" s="17"/>
      <c r="H623" s="3"/>
      <c r="I623" s="88"/>
      <c r="J623" s="88"/>
      <c r="K623" s="15"/>
      <c r="L623" s="96"/>
      <c r="M623" s="89"/>
      <c r="N623" s="88"/>
      <c r="O623" s="413"/>
      <c r="P623" s="18"/>
      <c r="Q623" s="91"/>
      <c r="R623" s="18"/>
      <c r="S623" s="18"/>
      <c r="T623" s="18"/>
      <c r="U623" s="18"/>
      <c r="V623" s="18"/>
      <c r="W623" s="18"/>
      <c r="X623" s="18"/>
      <c r="Y623" s="92"/>
      <c r="Z623" s="92"/>
      <c r="AA623" s="418"/>
      <c r="AB623" s="95"/>
      <c r="AC623" s="18"/>
      <c r="AD623" s="18"/>
      <c r="AE623" s="18"/>
      <c r="AF623" s="18"/>
      <c r="AG623" s="91"/>
      <c r="AH623" s="18"/>
      <c r="AI623" s="18"/>
      <c r="AJ623" s="18"/>
      <c r="AK623" s="18"/>
      <c r="AL623" s="18"/>
      <c r="AM623" s="18"/>
      <c r="AN623" s="18"/>
      <c r="AO623" s="18"/>
      <c r="AP623" s="18"/>
      <c r="AQ623" s="18"/>
      <c r="AR623" s="18"/>
      <c r="AS623" s="18"/>
      <c r="AT623" s="18"/>
      <c r="AU623" s="91"/>
      <c r="AV623" s="18"/>
      <c r="AW623" s="18"/>
      <c r="AX623" s="18"/>
      <c r="AY623" s="17"/>
      <c r="AZ623" s="17"/>
      <c r="BA623" s="17"/>
      <c r="BB623" s="17"/>
      <c r="BC623" s="96"/>
      <c r="BD623" s="96"/>
      <c r="BE623" s="96"/>
      <c r="BF623" s="96"/>
      <c r="BG623" s="96"/>
      <c r="BH623" s="96"/>
      <c r="BI623" s="96"/>
    </row>
    <row r="624" spans="1:61" x14ac:dyDescent="0.45">
      <c r="A624" s="17"/>
      <c r="B624" s="17"/>
      <c r="C624" s="17"/>
      <c r="D624" s="17"/>
      <c r="E624" s="15"/>
      <c r="F624" s="17"/>
      <c r="G624" s="17"/>
      <c r="H624" s="3"/>
      <c r="I624" s="88"/>
      <c r="J624" s="88"/>
      <c r="K624" s="15"/>
      <c r="L624" s="96"/>
      <c r="M624" s="89"/>
      <c r="N624" s="88"/>
      <c r="O624" s="413"/>
      <c r="P624" s="18"/>
      <c r="Q624" s="91"/>
      <c r="R624" s="18"/>
      <c r="S624" s="18"/>
      <c r="T624" s="18"/>
      <c r="U624" s="18"/>
      <c r="V624" s="18"/>
      <c r="W624" s="18"/>
      <c r="X624" s="18"/>
      <c r="Y624" s="92"/>
      <c r="Z624" s="92"/>
      <c r="AA624" s="418"/>
      <c r="AB624" s="95"/>
      <c r="AC624" s="18"/>
      <c r="AD624" s="18"/>
      <c r="AE624" s="18"/>
      <c r="AF624" s="18"/>
      <c r="AG624" s="91"/>
      <c r="AH624" s="18"/>
      <c r="AI624" s="18"/>
      <c r="AJ624" s="18"/>
      <c r="AK624" s="18"/>
      <c r="AL624" s="18"/>
      <c r="AM624" s="18"/>
      <c r="AN624" s="18"/>
      <c r="AO624" s="18"/>
      <c r="AP624" s="18"/>
      <c r="AQ624" s="18"/>
      <c r="AR624" s="18"/>
      <c r="AS624" s="18"/>
      <c r="AT624" s="18"/>
      <c r="AU624" s="91"/>
      <c r="AV624" s="18"/>
      <c r="AW624" s="18"/>
      <c r="AX624" s="18"/>
      <c r="AY624" s="17"/>
      <c r="AZ624" s="17"/>
      <c r="BA624" s="17"/>
      <c r="BB624" s="17"/>
      <c r="BC624" s="96"/>
      <c r="BD624" s="96"/>
      <c r="BE624" s="96"/>
      <c r="BF624" s="96"/>
      <c r="BG624" s="96"/>
      <c r="BH624" s="96"/>
      <c r="BI624" s="96"/>
    </row>
    <row r="625" spans="1:61" x14ac:dyDescent="0.45">
      <c r="A625" s="17"/>
      <c r="B625" s="17"/>
      <c r="C625" s="17"/>
      <c r="D625" s="17"/>
      <c r="E625" s="15"/>
      <c r="F625" s="17"/>
      <c r="G625" s="17"/>
      <c r="H625" s="3"/>
      <c r="I625" s="88"/>
      <c r="J625" s="88"/>
      <c r="K625" s="15"/>
      <c r="L625" s="96"/>
      <c r="M625" s="89"/>
      <c r="N625" s="88"/>
      <c r="O625" s="413"/>
      <c r="P625" s="18"/>
      <c r="Q625" s="91"/>
      <c r="R625" s="18"/>
      <c r="S625" s="18"/>
      <c r="T625" s="18"/>
      <c r="U625" s="18"/>
      <c r="V625" s="18"/>
      <c r="W625" s="18"/>
      <c r="X625" s="18"/>
      <c r="Y625" s="92"/>
      <c r="Z625" s="92"/>
      <c r="AA625" s="418"/>
      <c r="AB625" s="95"/>
      <c r="AC625" s="18"/>
      <c r="AD625" s="18"/>
      <c r="AE625" s="18"/>
      <c r="AF625" s="18"/>
      <c r="AG625" s="91"/>
      <c r="AH625" s="18"/>
      <c r="AI625" s="18"/>
      <c r="AJ625" s="18"/>
      <c r="AK625" s="18"/>
      <c r="AL625" s="18"/>
      <c r="AM625" s="18"/>
      <c r="AN625" s="18"/>
      <c r="AO625" s="18"/>
      <c r="AP625" s="18"/>
      <c r="AQ625" s="18"/>
      <c r="AR625" s="18"/>
      <c r="AS625" s="18"/>
      <c r="AT625" s="18"/>
      <c r="AU625" s="91"/>
      <c r="AV625" s="18"/>
      <c r="AW625" s="18"/>
      <c r="AX625" s="18"/>
      <c r="AY625" s="17"/>
      <c r="AZ625" s="17"/>
      <c r="BA625" s="17"/>
      <c r="BB625" s="17"/>
      <c r="BC625" s="96"/>
      <c r="BD625" s="96"/>
      <c r="BE625" s="96"/>
      <c r="BF625" s="96"/>
      <c r="BG625" s="96"/>
      <c r="BH625" s="96"/>
      <c r="BI625" s="96"/>
    </row>
    <row r="626" spans="1:61" x14ac:dyDescent="0.45">
      <c r="A626" s="17"/>
      <c r="B626" s="17"/>
      <c r="C626" s="17"/>
      <c r="D626" s="17"/>
      <c r="E626" s="15"/>
      <c r="F626" s="17"/>
      <c r="G626" s="17"/>
      <c r="H626" s="3"/>
      <c r="I626" s="88"/>
      <c r="J626" s="88"/>
      <c r="K626" s="15"/>
      <c r="L626" s="96"/>
      <c r="M626" s="89"/>
      <c r="N626" s="88"/>
      <c r="O626" s="413"/>
      <c r="P626" s="18"/>
      <c r="Q626" s="91"/>
      <c r="R626" s="18"/>
      <c r="S626" s="18"/>
      <c r="T626" s="18"/>
      <c r="U626" s="18"/>
      <c r="V626" s="18"/>
      <c r="W626" s="18"/>
      <c r="X626" s="18"/>
      <c r="Y626" s="92"/>
      <c r="Z626" s="92"/>
      <c r="AA626" s="418"/>
      <c r="AB626" s="95"/>
      <c r="AC626" s="18"/>
      <c r="AD626" s="18"/>
      <c r="AE626" s="18"/>
      <c r="AF626" s="18"/>
      <c r="AG626" s="91"/>
      <c r="AH626" s="18"/>
      <c r="AI626" s="18"/>
      <c r="AJ626" s="18"/>
      <c r="AK626" s="18"/>
      <c r="AL626" s="18"/>
      <c r="AM626" s="18"/>
      <c r="AN626" s="18"/>
      <c r="AO626" s="18"/>
      <c r="AP626" s="18"/>
      <c r="AQ626" s="18"/>
      <c r="AR626" s="18"/>
      <c r="AS626" s="18"/>
      <c r="AT626" s="18"/>
      <c r="AU626" s="91"/>
      <c r="AV626" s="18"/>
      <c r="AW626" s="18"/>
      <c r="AX626" s="18"/>
      <c r="AY626" s="17"/>
      <c r="AZ626" s="17"/>
      <c r="BA626" s="17"/>
      <c r="BB626" s="17"/>
      <c r="BC626" s="96"/>
      <c r="BD626" s="96"/>
      <c r="BE626" s="96"/>
      <c r="BF626" s="96"/>
      <c r="BG626" s="96"/>
      <c r="BH626" s="96"/>
      <c r="BI626" s="96"/>
    </row>
    <row r="627" spans="1:61" x14ac:dyDescent="0.45">
      <c r="A627" s="17"/>
      <c r="B627" s="17"/>
      <c r="C627" s="17"/>
      <c r="D627" s="17"/>
      <c r="E627" s="15"/>
      <c r="F627" s="17"/>
      <c r="G627" s="17"/>
      <c r="H627" s="3"/>
      <c r="I627" s="88"/>
      <c r="J627" s="88"/>
      <c r="K627" s="15"/>
      <c r="L627" s="96"/>
      <c r="M627" s="89"/>
      <c r="N627" s="88"/>
      <c r="O627" s="413"/>
      <c r="P627" s="18"/>
      <c r="Q627" s="91"/>
      <c r="R627" s="18"/>
      <c r="S627" s="18"/>
      <c r="T627" s="18"/>
      <c r="U627" s="18"/>
      <c r="V627" s="18"/>
      <c r="W627" s="18"/>
      <c r="X627" s="18"/>
      <c r="Y627" s="92"/>
      <c r="Z627" s="92"/>
      <c r="AA627" s="418"/>
      <c r="AB627" s="95"/>
      <c r="AC627" s="18"/>
      <c r="AD627" s="18"/>
      <c r="AE627" s="18"/>
      <c r="AF627" s="18"/>
      <c r="AG627" s="91"/>
      <c r="AH627" s="18"/>
      <c r="AI627" s="18"/>
      <c r="AJ627" s="18"/>
      <c r="AK627" s="18"/>
      <c r="AL627" s="18"/>
      <c r="AM627" s="18"/>
      <c r="AN627" s="18"/>
      <c r="AO627" s="18"/>
      <c r="AP627" s="18"/>
      <c r="AQ627" s="18"/>
      <c r="AR627" s="18"/>
      <c r="AS627" s="18"/>
      <c r="AT627" s="18"/>
      <c r="AU627" s="91"/>
      <c r="AV627" s="18"/>
      <c r="AW627" s="18"/>
      <c r="AX627" s="18"/>
      <c r="AY627" s="17"/>
      <c r="AZ627" s="17"/>
      <c r="BA627" s="17"/>
      <c r="BB627" s="17"/>
      <c r="BC627" s="96"/>
      <c r="BD627" s="96"/>
      <c r="BE627" s="96"/>
      <c r="BF627" s="96"/>
      <c r="BG627" s="96"/>
      <c r="BH627" s="96"/>
      <c r="BI627" s="96"/>
    </row>
    <row r="628" spans="1:61" x14ac:dyDescent="0.45">
      <c r="A628" s="17"/>
      <c r="B628" s="17"/>
      <c r="C628" s="17"/>
      <c r="D628" s="17"/>
      <c r="E628" s="15"/>
      <c r="F628" s="17"/>
      <c r="G628" s="17"/>
      <c r="H628" s="3"/>
      <c r="I628" s="88"/>
      <c r="J628" s="88"/>
      <c r="K628" s="15"/>
      <c r="L628" s="96"/>
      <c r="M628" s="89"/>
      <c r="N628" s="88"/>
      <c r="O628" s="413"/>
      <c r="P628" s="18"/>
      <c r="Q628" s="91"/>
      <c r="R628" s="18"/>
      <c r="S628" s="18"/>
      <c r="T628" s="18"/>
      <c r="U628" s="18"/>
      <c r="V628" s="18"/>
      <c r="W628" s="18"/>
      <c r="X628" s="18"/>
      <c r="Y628" s="92"/>
      <c r="Z628" s="92"/>
      <c r="AA628" s="418"/>
      <c r="AB628" s="95"/>
      <c r="AC628" s="18"/>
      <c r="AD628" s="18"/>
      <c r="AE628" s="18"/>
      <c r="AF628" s="18"/>
      <c r="AG628" s="91"/>
      <c r="AH628" s="18"/>
      <c r="AI628" s="18"/>
      <c r="AJ628" s="18"/>
      <c r="AK628" s="18"/>
      <c r="AL628" s="18"/>
      <c r="AM628" s="18"/>
      <c r="AN628" s="18"/>
      <c r="AO628" s="18"/>
      <c r="AP628" s="18"/>
      <c r="AQ628" s="18"/>
      <c r="AR628" s="18"/>
      <c r="AS628" s="18"/>
      <c r="AT628" s="18"/>
      <c r="AU628" s="91"/>
      <c r="AV628" s="18"/>
      <c r="AW628" s="18"/>
      <c r="AX628" s="18"/>
      <c r="AY628" s="17"/>
      <c r="AZ628" s="17"/>
      <c r="BA628" s="17"/>
      <c r="BB628" s="17"/>
      <c r="BC628" s="96"/>
      <c r="BD628" s="96"/>
      <c r="BE628" s="96"/>
      <c r="BF628" s="96"/>
      <c r="BG628" s="96"/>
      <c r="BH628" s="96"/>
      <c r="BI628" s="96"/>
    </row>
    <row r="629" spans="1:61" x14ac:dyDescent="0.45">
      <c r="A629" s="17"/>
      <c r="B629" s="17"/>
      <c r="C629" s="17"/>
      <c r="D629" s="17"/>
      <c r="E629" s="15"/>
      <c r="F629" s="17"/>
      <c r="G629" s="17"/>
      <c r="H629" s="3"/>
      <c r="I629" s="88"/>
      <c r="J629" s="88"/>
      <c r="K629" s="15"/>
      <c r="L629" s="96"/>
      <c r="M629" s="89"/>
      <c r="N629" s="88"/>
      <c r="O629" s="413"/>
      <c r="P629" s="18"/>
      <c r="Q629" s="91"/>
      <c r="R629" s="18"/>
      <c r="S629" s="18"/>
      <c r="T629" s="18"/>
      <c r="U629" s="18"/>
      <c r="V629" s="18"/>
      <c r="W629" s="18"/>
      <c r="X629" s="18"/>
      <c r="Y629" s="92"/>
      <c r="Z629" s="92"/>
      <c r="AA629" s="418"/>
      <c r="AB629" s="95"/>
      <c r="AC629" s="18"/>
      <c r="AD629" s="18"/>
      <c r="AE629" s="18"/>
      <c r="AF629" s="18"/>
      <c r="AG629" s="91"/>
      <c r="AH629" s="18"/>
      <c r="AI629" s="18"/>
      <c r="AJ629" s="18"/>
      <c r="AK629" s="18"/>
      <c r="AL629" s="18"/>
      <c r="AM629" s="18"/>
      <c r="AN629" s="18"/>
      <c r="AO629" s="18"/>
      <c r="AP629" s="18"/>
      <c r="AQ629" s="18"/>
      <c r="AR629" s="18"/>
      <c r="AS629" s="18"/>
      <c r="AT629" s="18"/>
      <c r="AU629" s="91"/>
      <c r="AV629" s="18"/>
      <c r="AW629" s="18"/>
      <c r="AX629" s="18"/>
      <c r="AY629" s="17"/>
      <c r="AZ629" s="17"/>
      <c r="BA629" s="17"/>
      <c r="BB629" s="17"/>
      <c r="BC629" s="96"/>
      <c r="BD629" s="96"/>
      <c r="BE629" s="96"/>
      <c r="BF629" s="96"/>
      <c r="BG629" s="96"/>
      <c r="BH629" s="96"/>
      <c r="BI629" s="96"/>
    </row>
    <row r="630" spans="1:61" x14ac:dyDescent="0.45">
      <c r="A630" s="17"/>
      <c r="B630" s="17"/>
      <c r="C630" s="17"/>
      <c r="D630" s="17"/>
      <c r="E630" s="15"/>
      <c r="F630" s="17"/>
      <c r="G630" s="17"/>
      <c r="H630" s="3"/>
      <c r="I630" s="88"/>
      <c r="J630" s="88"/>
      <c r="K630" s="15"/>
      <c r="L630" s="96"/>
      <c r="M630" s="89"/>
      <c r="N630" s="88"/>
      <c r="O630" s="413"/>
      <c r="P630" s="18"/>
      <c r="Q630" s="91"/>
      <c r="R630" s="18"/>
      <c r="S630" s="18"/>
      <c r="T630" s="18"/>
      <c r="U630" s="18"/>
      <c r="V630" s="18"/>
      <c r="W630" s="18"/>
      <c r="X630" s="18"/>
      <c r="Y630" s="92"/>
      <c r="Z630" s="92"/>
      <c r="AA630" s="418"/>
      <c r="AB630" s="95"/>
      <c r="AC630" s="18"/>
      <c r="AD630" s="18"/>
      <c r="AE630" s="18"/>
      <c r="AF630" s="18"/>
      <c r="AG630" s="91"/>
      <c r="AH630" s="18"/>
      <c r="AI630" s="18"/>
      <c r="AJ630" s="18"/>
      <c r="AK630" s="18"/>
      <c r="AL630" s="18"/>
      <c r="AM630" s="18"/>
      <c r="AN630" s="18"/>
      <c r="AO630" s="18"/>
      <c r="AP630" s="18"/>
      <c r="AQ630" s="18"/>
      <c r="AR630" s="18"/>
      <c r="AS630" s="18"/>
      <c r="AT630" s="18"/>
      <c r="AU630" s="91"/>
      <c r="AV630" s="18"/>
      <c r="AW630" s="18"/>
      <c r="AX630" s="18"/>
      <c r="AY630" s="17"/>
      <c r="AZ630" s="17"/>
      <c r="BA630" s="17"/>
      <c r="BB630" s="17"/>
      <c r="BC630" s="96"/>
      <c r="BD630" s="96"/>
      <c r="BE630" s="96"/>
      <c r="BF630" s="96"/>
      <c r="BG630" s="96"/>
      <c r="BH630" s="96"/>
      <c r="BI630" s="96"/>
    </row>
    <row r="631" spans="1:61" x14ac:dyDescent="0.45">
      <c r="A631" s="17"/>
      <c r="B631" s="17"/>
      <c r="C631" s="17"/>
      <c r="D631" s="17"/>
      <c r="E631" s="15"/>
      <c r="F631" s="17"/>
      <c r="G631" s="17"/>
      <c r="H631" s="3"/>
      <c r="I631" s="88"/>
      <c r="J631" s="88"/>
      <c r="K631" s="15"/>
      <c r="L631" s="96"/>
      <c r="M631" s="89"/>
      <c r="N631" s="88"/>
      <c r="O631" s="413"/>
      <c r="P631" s="18"/>
      <c r="Q631" s="91"/>
      <c r="R631" s="18"/>
      <c r="S631" s="18"/>
      <c r="T631" s="18"/>
      <c r="U631" s="18"/>
      <c r="V631" s="18"/>
      <c r="W631" s="18"/>
      <c r="X631" s="18"/>
      <c r="Y631" s="92"/>
      <c r="Z631" s="92"/>
      <c r="AA631" s="418"/>
      <c r="AB631" s="95"/>
      <c r="AC631" s="18"/>
      <c r="AD631" s="18"/>
      <c r="AE631" s="18"/>
      <c r="AF631" s="18"/>
      <c r="AG631" s="91"/>
      <c r="AH631" s="18"/>
      <c r="AI631" s="18"/>
      <c r="AJ631" s="18"/>
      <c r="AK631" s="18"/>
      <c r="AL631" s="18"/>
      <c r="AM631" s="18"/>
      <c r="AN631" s="18"/>
      <c r="AO631" s="18"/>
      <c r="AP631" s="18"/>
      <c r="AQ631" s="18"/>
      <c r="AR631" s="18"/>
      <c r="AS631" s="18"/>
      <c r="AT631" s="18"/>
      <c r="AU631" s="91"/>
      <c r="AV631" s="18"/>
      <c r="AW631" s="18"/>
      <c r="AX631" s="18"/>
      <c r="AY631" s="17"/>
      <c r="AZ631" s="17"/>
      <c r="BA631" s="17"/>
      <c r="BB631" s="17"/>
      <c r="BC631" s="96"/>
      <c r="BD631" s="96"/>
      <c r="BE631" s="96"/>
      <c r="BF631" s="96"/>
      <c r="BG631" s="96"/>
      <c r="BH631" s="96"/>
      <c r="BI631" s="96"/>
    </row>
    <row r="632" spans="1:61" x14ac:dyDescent="0.45">
      <c r="A632" s="17"/>
      <c r="B632" s="17"/>
      <c r="C632" s="17"/>
      <c r="D632" s="17"/>
      <c r="E632" s="15"/>
      <c r="F632" s="17"/>
      <c r="G632" s="17"/>
      <c r="H632" s="3"/>
      <c r="I632" s="88"/>
      <c r="J632" s="88"/>
      <c r="K632" s="15"/>
      <c r="L632" s="96"/>
      <c r="M632" s="89"/>
      <c r="N632" s="88"/>
      <c r="O632" s="413"/>
      <c r="P632" s="18"/>
      <c r="Q632" s="91"/>
      <c r="R632" s="18"/>
      <c r="S632" s="18"/>
      <c r="T632" s="18"/>
      <c r="U632" s="18"/>
      <c r="V632" s="18"/>
      <c r="W632" s="18"/>
      <c r="X632" s="18"/>
      <c r="Y632" s="92"/>
      <c r="Z632" s="92"/>
      <c r="AA632" s="418"/>
      <c r="AB632" s="95"/>
      <c r="AC632" s="18"/>
      <c r="AD632" s="18"/>
      <c r="AE632" s="18"/>
      <c r="AF632" s="18"/>
      <c r="AG632" s="91"/>
      <c r="AH632" s="18"/>
      <c r="AI632" s="18"/>
      <c r="AJ632" s="18"/>
      <c r="AK632" s="18"/>
      <c r="AL632" s="18"/>
      <c r="AM632" s="18"/>
      <c r="AN632" s="18"/>
      <c r="AO632" s="18"/>
      <c r="AP632" s="18"/>
      <c r="AQ632" s="18"/>
      <c r="AR632" s="18"/>
      <c r="AS632" s="18"/>
      <c r="AT632" s="18"/>
      <c r="AU632" s="91"/>
      <c r="AV632" s="18"/>
      <c r="AW632" s="18"/>
      <c r="AX632" s="18"/>
      <c r="AY632" s="17"/>
      <c r="AZ632" s="17"/>
      <c r="BA632" s="17"/>
      <c r="BB632" s="17"/>
      <c r="BC632" s="96"/>
      <c r="BD632" s="96"/>
      <c r="BE632" s="96"/>
      <c r="BF632" s="96"/>
      <c r="BG632" s="96"/>
      <c r="BH632" s="96"/>
      <c r="BI632" s="96"/>
    </row>
    <row r="633" spans="1:61" x14ac:dyDescent="0.45">
      <c r="A633" s="17"/>
      <c r="B633" s="17"/>
      <c r="C633" s="17"/>
      <c r="D633" s="17"/>
      <c r="E633" s="15"/>
      <c r="F633" s="17"/>
      <c r="G633" s="17"/>
      <c r="H633" s="3"/>
      <c r="I633" s="88"/>
      <c r="J633" s="88"/>
      <c r="K633" s="15"/>
      <c r="L633" s="96"/>
      <c r="M633" s="89"/>
      <c r="N633" s="88"/>
      <c r="O633" s="413"/>
      <c r="P633" s="18"/>
      <c r="Q633" s="91"/>
      <c r="R633" s="18"/>
      <c r="S633" s="18"/>
      <c r="T633" s="18"/>
      <c r="U633" s="18"/>
      <c r="V633" s="18"/>
      <c r="W633" s="18"/>
      <c r="X633" s="18"/>
      <c r="Y633" s="92"/>
      <c r="Z633" s="92"/>
      <c r="AA633" s="418"/>
      <c r="AB633" s="95"/>
      <c r="AC633" s="18"/>
      <c r="AD633" s="18"/>
      <c r="AE633" s="18"/>
      <c r="AF633" s="18"/>
      <c r="AG633" s="91"/>
      <c r="AH633" s="18"/>
      <c r="AI633" s="18"/>
      <c r="AJ633" s="18"/>
      <c r="AK633" s="18"/>
      <c r="AL633" s="18"/>
      <c r="AM633" s="18"/>
      <c r="AN633" s="18"/>
      <c r="AO633" s="18"/>
      <c r="AP633" s="18"/>
      <c r="AQ633" s="18"/>
      <c r="AR633" s="18"/>
      <c r="AS633" s="18"/>
      <c r="AT633" s="18"/>
      <c r="AU633" s="91"/>
      <c r="AV633" s="18"/>
      <c r="AW633" s="18"/>
      <c r="AX633" s="18"/>
      <c r="AY633" s="17"/>
      <c r="AZ633" s="17"/>
      <c r="BA633" s="17"/>
      <c r="BB633" s="17"/>
      <c r="BC633" s="96"/>
      <c r="BD633" s="96"/>
      <c r="BE633" s="96"/>
      <c r="BF633" s="96"/>
      <c r="BG633" s="96"/>
      <c r="BH633" s="96"/>
      <c r="BI633" s="96"/>
    </row>
    <row r="634" spans="1:61" x14ac:dyDescent="0.45">
      <c r="A634" s="17"/>
      <c r="B634" s="17"/>
      <c r="C634" s="17"/>
      <c r="D634" s="17"/>
      <c r="E634" s="15"/>
      <c r="F634" s="17"/>
      <c r="G634" s="17"/>
      <c r="H634" s="3"/>
      <c r="I634" s="88"/>
      <c r="J634" s="88"/>
      <c r="K634" s="15"/>
      <c r="L634" s="96"/>
      <c r="M634" s="89"/>
      <c r="N634" s="88"/>
      <c r="O634" s="413"/>
      <c r="P634" s="18"/>
      <c r="Q634" s="91"/>
      <c r="R634" s="18"/>
      <c r="S634" s="18"/>
      <c r="T634" s="18"/>
      <c r="U634" s="18"/>
      <c r="V634" s="18"/>
      <c r="W634" s="18"/>
      <c r="X634" s="18"/>
      <c r="Y634" s="92"/>
      <c r="Z634" s="92"/>
      <c r="AA634" s="418"/>
      <c r="AB634" s="95"/>
      <c r="AC634" s="18"/>
      <c r="AD634" s="18"/>
      <c r="AE634" s="18"/>
      <c r="AF634" s="18"/>
      <c r="AG634" s="91"/>
      <c r="AH634" s="18"/>
      <c r="AI634" s="18"/>
      <c r="AJ634" s="18"/>
      <c r="AK634" s="18"/>
      <c r="AL634" s="18"/>
      <c r="AM634" s="18"/>
      <c r="AN634" s="18"/>
      <c r="AO634" s="18"/>
      <c r="AP634" s="18"/>
      <c r="AQ634" s="18"/>
      <c r="AR634" s="18"/>
      <c r="AS634" s="18"/>
      <c r="AT634" s="18"/>
      <c r="AU634" s="91"/>
      <c r="AV634" s="18"/>
      <c r="AW634" s="18"/>
      <c r="AX634" s="18"/>
      <c r="AY634" s="17"/>
      <c r="AZ634" s="17"/>
      <c r="BA634" s="17"/>
      <c r="BB634" s="17"/>
      <c r="BC634" s="96"/>
      <c r="BD634" s="96"/>
      <c r="BE634" s="96"/>
      <c r="BF634" s="96"/>
      <c r="BG634" s="96"/>
      <c r="BH634" s="96"/>
      <c r="BI634" s="96"/>
    </row>
    <row r="635" spans="1:61" x14ac:dyDescent="0.45">
      <c r="A635" s="17"/>
      <c r="B635" s="17"/>
      <c r="C635" s="17"/>
      <c r="D635" s="17"/>
      <c r="E635" s="15"/>
      <c r="F635" s="17"/>
      <c r="G635" s="17"/>
      <c r="H635" s="3"/>
      <c r="I635" s="88"/>
      <c r="J635" s="88"/>
      <c r="K635" s="15"/>
      <c r="L635" s="96"/>
      <c r="M635" s="89"/>
      <c r="N635" s="88"/>
      <c r="O635" s="413"/>
      <c r="P635" s="18"/>
      <c r="Q635" s="91"/>
      <c r="R635" s="18"/>
      <c r="S635" s="18"/>
      <c r="T635" s="18"/>
      <c r="U635" s="18"/>
      <c r="V635" s="18"/>
      <c r="W635" s="18"/>
      <c r="X635" s="18"/>
      <c r="Y635" s="92"/>
      <c r="Z635" s="92"/>
      <c r="AA635" s="418"/>
      <c r="AB635" s="95"/>
      <c r="AC635" s="18"/>
      <c r="AD635" s="18"/>
      <c r="AE635" s="18"/>
      <c r="AF635" s="18"/>
      <c r="AG635" s="91"/>
      <c r="AH635" s="18"/>
      <c r="AI635" s="18"/>
      <c r="AJ635" s="18"/>
      <c r="AK635" s="18"/>
      <c r="AL635" s="18"/>
      <c r="AM635" s="18"/>
      <c r="AN635" s="18"/>
      <c r="AO635" s="18"/>
      <c r="AP635" s="18"/>
      <c r="AQ635" s="18"/>
      <c r="AR635" s="18"/>
      <c r="AS635" s="18"/>
      <c r="AT635" s="18"/>
      <c r="AU635" s="91"/>
      <c r="AV635" s="18"/>
      <c r="AW635" s="18"/>
      <c r="AX635" s="18"/>
      <c r="AY635" s="17"/>
      <c r="AZ635" s="17"/>
      <c r="BA635" s="17"/>
      <c r="BB635" s="17"/>
      <c r="BC635" s="96"/>
      <c r="BD635" s="96"/>
      <c r="BE635" s="96"/>
      <c r="BF635" s="96"/>
      <c r="BG635" s="96"/>
      <c r="BH635" s="96"/>
      <c r="BI635" s="96"/>
    </row>
    <row r="636" spans="1:61" x14ac:dyDescent="0.45">
      <c r="A636" s="17"/>
      <c r="B636" s="17"/>
      <c r="C636" s="17"/>
      <c r="D636" s="17"/>
      <c r="E636" s="15"/>
      <c r="F636" s="17"/>
      <c r="G636" s="17"/>
      <c r="H636" s="3"/>
      <c r="I636" s="88"/>
      <c r="J636" s="88"/>
      <c r="K636" s="15"/>
      <c r="L636" s="96"/>
      <c r="M636" s="89"/>
      <c r="N636" s="88"/>
      <c r="O636" s="413"/>
      <c r="P636" s="18"/>
      <c r="Q636" s="91"/>
      <c r="R636" s="18"/>
      <c r="S636" s="18"/>
      <c r="T636" s="18"/>
      <c r="U636" s="18"/>
      <c r="V636" s="18"/>
      <c r="W636" s="18"/>
      <c r="X636" s="18"/>
      <c r="Y636" s="92"/>
      <c r="Z636" s="92"/>
      <c r="AA636" s="418"/>
      <c r="AB636" s="95"/>
      <c r="AC636" s="18"/>
      <c r="AD636" s="18"/>
      <c r="AE636" s="18"/>
      <c r="AF636" s="18"/>
      <c r="AG636" s="91"/>
      <c r="AH636" s="18"/>
      <c r="AI636" s="18"/>
      <c r="AJ636" s="18"/>
      <c r="AK636" s="18"/>
      <c r="AL636" s="18"/>
      <c r="AM636" s="18"/>
      <c r="AN636" s="18"/>
      <c r="AO636" s="18"/>
      <c r="AP636" s="18"/>
      <c r="AQ636" s="18"/>
      <c r="AR636" s="18"/>
      <c r="AS636" s="18"/>
      <c r="AT636" s="18"/>
      <c r="AU636" s="91"/>
      <c r="AV636" s="18"/>
      <c r="AW636" s="18"/>
      <c r="AX636" s="18"/>
      <c r="AY636" s="17"/>
      <c r="AZ636" s="17"/>
      <c r="BA636" s="17"/>
      <c r="BB636" s="17"/>
      <c r="BC636" s="96"/>
      <c r="BD636" s="96"/>
      <c r="BE636" s="96"/>
      <c r="BF636" s="96"/>
      <c r="BG636" s="96"/>
      <c r="BH636" s="96"/>
      <c r="BI636" s="96"/>
    </row>
    <row r="637" spans="1:61" x14ac:dyDescent="0.45">
      <c r="A637" s="17"/>
      <c r="B637" s="17"/>
      <c r="C637" s="17"/>
      <c r="D637" s="17"/>
      <c r="E637" s="15"/>
      <c r="F637" s="17"/>
      <c r="G637" s="17"/>
      <c r="H637" s="3"/>
      <c r="I637" s="88"/>
      <c r="J637" s="88"/>
      <c r="K637" s="15"/>
      <c r="L637" s="96"/>
      <c r="M637" s="89"/>
      <c r="N637" s="88"/>
      <c r="O637" s="413"/>
      <c r="P637" s="18"/>
      <c r="Q637" s="91"/>
      <c r="R637" s="18"/>
      <c r="S637" s="18"/>
      <c r="T637" s="18"/>
      <c r="U637" s="18"/>
      <c r="V637" s="18"/>
      <c r="W637" s="18"/>
      <c r="X637" s="18"/>
      <c r="Y637" s="92"/>
      <c r="Z637" s="92"/>
      <c r="AA637" s="418"/>
      <c r="AB637" s="95"/>
      <c r="AC637" s="18"/>
      <c r="AD637" s="18"/>
      <c r="AE637" s="18"/>
      <c r="AF637" s="18"/>
      <c r="AG637" s="91"/>
      <c r="AH637" s="18"/>
      <c r="AI637" s="18"/>
      <c r="AJ637" s="18"/>
      <c r="AK637" s="18"/>
      <c r="AL637" s="18"/>
      <c r="AM637" s="18"/>
      <c r="AN637" s="18"/>
      <c r="AO637" s="18"/>
      <c r="AP637" s="18"/>
      <c r="AQ637" s="18"/>
      <c r="AR637" s="18"/>
      <c r="AS637" s="18"/>
      <c r="AT637" s="18"/>
      <c r="AU637" s="91"/>
      <c r="AV637" s="18"/>
      <c r="AW637" s="18"/>
      <c r="AX637" s="18"/>
      <c r="AY637" s="17"/>
      <c r="AZ637" s="17"/>
      <c r="BA637" s="17"/>
      <c r="BB637" s="17"/>
      <c r="BC637" s="96"/>
      <c r="BD637" s="96"/>
      <c r="BE637" s="96"/>
      <c r="BF637" s="96"/>
      <c r="BG637" s="96"/>
      <c r="BH637" s="96"/>
      <c r="BI637" s="96"/>
    </row>
    <row r="638" spans="1:61" x14ac:dyDescent="0.45">
      <c r="A638" s="17"/>
      <c r="B638" s="17"/>
      <c r="C638" s="17"/>
      <c r="D638" s="17"/>
      <c r="E638" s="15"/>
      <c r="F638" s="17"/>
      <c r="G638" s="17"/>
      <c r="H638" s="3"/>
      <c r="I638" s="88"/>
      <c r="J638" s="88"/>
      <c r="K638" s="15"/>
      <c r="L638" s="96"/>
      <c r="M638" s="89"/>
      <c r="N638" s="88"/>
      <c r="O638" s="413"/>
      <c r="P638" s="18"/>
      <c r="Q638" s="91"/>
      <c r="R638" s="18"/>
      <c r="S638" s="18"/>
      <c r="T638" s="18"/>
      <c r="U638" s="18"/>
      <c r="V638" s="18"/>
      <c r="W638" s="18"/>
      <c r="X638" s="18"/>
      <c r="Y638" s="92"/>
      <c r="Z638" s="92"/>
      <c r="AA638" s="418"/>
      <c r="AB638" s="95"/>
      <c r="AC638" s="18"/>
      <c r="AD638" s="18"/>
      <c r="AE638" s="18"/>
      <c r="AF638" s="18"/>
      <c r="AG638" s="91"/>
      <c r="AH638" s="18"/>
      <c r="AI638" s="18"/>
      <c r="AJ638" s="18"/>
      <c r="AK638" s="18"/>
      <c r="AL638" s="18"/>
      <c r="AM638" s="18"/>
      <c r="AN638" s="18"/>
      <c r="AO638" s="18"/>
      <c r="AP638" s="18"/>
      <c r="AQ638" s="18"/>
      <c r="AR638" s="18"/>
      <c r="AS638" s="18"/>
      <c r="AT638" s="18"/>
      <c r="AU638" s="91"/>
      <c r="AV638" s="18"/>
      <c r="AW638" s="18"/>
      <c r="AX638" s="18"/>
      <c r="AY638" s="17"/>
      <c r="AZ638" s="17"/>
      <c r="BA638" s="17"/>
      <c r="BB638" s="17"/>
      <c r="BC638" s="96"/>
      <c r="BD638" s="96"/>
      <c r="BE638" s="96"/>
      <c r="BF638" s="96"/>
      <c r="BG638" s="96"/>
      <c r="BH638" s="96"/>
      <c r="BI638" s="96"/>
    </row>
    <row r="639" spans="1:61" x14ac:dyDescent="0.45">
      <c r="A639" s="17"/>
      <c r="B639" s="17"/>
      <c r="C639" s="17"/>
      <c r="D639" s="17"/>
      <c r="E639" s="15"/>
      <c r="F639" s="17"/>
      <c r="G639" s="17"/>
      <c r="H639" s="3"/>
      <c r="I639" s="88"/>
      <c r="J639" s="88"/>
      <c r="K639" s="15"/>
      <c r="L639" s="96"/>
      <c r="M639" s="89"/>
      <c r="N639" s="88"/>
      <c r="O639" s="413"/>
      <c r="P639" s="18"/>
      <c r="Q639" s="91"/>
      <c r="R639" s="18"/>
      <c r="S639" s="18"/>
      <c r="T639" s="18"/>
      <c r="U639" s="18"/>
      <c r="V639" s="18"/>
      <c r="W639" s="18"/>
      <c r="X639" s="18"/>
      <c r="Y639" s="92"/>
      <c r="Z639" s="92"/>
      <c r="AA639" s="418"/>
      <c r="AB639" s="95"/>
      <c r="AC639" s="18"/>
      <c r="AD639" s="18"/>
      <c r="AE639" s="18"/>
      <c r="AF639" s="18"/>
      <c r="AG639" s="91"/>
      <c r="AH639" s="18"/>
      <c r="AI639" s="18"/>
      <c r="AJ639" s="18"/>
      <c r="AK639" s="18"/>
      <c r="AL639" s="18"/>
      <c r="AM639" s="18"/>
      <c r="AN639" s="18"/>
      <c r="AO639" s="18"/>
      <c r="AP639" s="18"/>
      <c r="AQ639" s="18"/>
      <c r="AR639" s="18"/>
      <c r="AS639" s="18"/>
      <c r="AT639" s="18"/>
      <c r="AU639" s="91"/>
      <c r="AV639" s="18"/>
      <c r="AW639" s="18"/>
      <c r="AX639" s="18"/>
      <c r="AY639" s="17"/>
      <c r="AZ639" s="17"/>
      <c r="BA639" s="17"/>
      <c r="BB639" s="17"/>
      <c r="BC639" s="96"/>
      <c r="BD639" s="96"/>
      <c r="BE639" s="96"/>
      <c r="BF639" s="96"/>
      <c r="BG639" s="96"/>
      <c r="BH639" s="96"/>
      <c r="BI639" s="96"/>
    </row>
    <row r="640" spans="1:61" x14ac:dyDescent="0.45">
      <c r="A640" s="17"/>
      <c r="B640" s="17"/>
      <c r="C640" s="17"/>
      <c r="D640" s="17"/>
      <c r="E640" s="15"/>
      <c r="F640" s="17"/>
      <c r="G640" s="17"/>
      <c r="H640" s="3"/>
      <c r="I640" s="88"/>
      <c r="J640" s="88"/>
      <c r="K640" s="15"/>
      <c r="L640" s="96"/>
      <c r="M640" s="89"/>
      <c r="N640" s="88"/>
      <c r="O640" s="413"/>
      <c r="P640" s="18"/>
      <c r="Q640" s="91"/>
      <c r="R640" s="18"/>
      <c r="S640" s="18"/>
      <c r="T640" s="18"/>
      <c r="U640" s="18"/>
      <c r="V640" s="18"/>
      <c r="W640" s="18"/>
      <c r="X640" s="18"/>
      <c r="Y640" s="92"/>
      <c r="Z640" s="92"/>
      <c r="AA640" s="418"/>
      <c r="AB640" s="95"/>
      <c r="AC640" s="18"/>
      <c r="AD640" s="18"/>
      <c r="AE640" s="18"/>
      <c r="AF640" s="18"/>
      <c r="AG640" s="91"/>
      <c r="AH640" s="18"/>
      <c r="AI640" s="18"/>
      <c r="AJ640" s="18"/>
      <c r="AK640" s="18"/>
      <c r="AL640" s="18"/>
      <c r="AM640" s="18"/>
      <c r="AN640" s="18"/>
      <c r="AO640" s="18"/>
      <c r="AP640" s="18"/>
      <c r="AQ640" s="18"/>
      <c r="AR640" s="18"/>
      <c r="AS640" s="18"/>
      <c r="AT640" s="18"/>
      <c r="AU640" s="91"/>
      <c r="AV640" s="18"/>
      <c r="AW640" s="18"/>
      <c r="AX640" s="18"/>
      <c r="AY640" s="17"/>
      <c r="AZ640" s="17"/>
      <c r="BA640" s="17"/>
      <c r="BB640" s="17"/>
      <c r="BC640" s="96"/>
      <c r="BD640" s="96"/>
      <c r="BE640" s="96"/>
      <c r="BF640" s="96"/>
      <c r="BG640" s="96"/>
      <c r="BH640" s="96"/>
      <c r="BI640" s="96"/>
    </row>
    <row r="641" spans="1:61" x14ac:dyDescent="0.45">
      <c r="A641" s="17"/>
      <c r="B641" s="17"/>
      <c r="C641" s="17"/>
      <c r="D641" s="17"/>
      <c r="E641" s="15"/>
      <c r="F641" s="17"/>
      <c r="G641" s="17"/>
      <c r="H641" s="3"/>
      <c r="I641" s="88"/>
      <c r="J641" s="88"/>
      <c r="K641" s="15"/>
      <c r="L641" s="96"/>
      <c r="M641" s="89"/>
      <c r="N641" s="88"/>
      <c r="O641" s="413"/>
      <c r="P641" s="18"/>
      <c r="Q641" s="91"/>
      <c r="R641" s="18"/>
      <c r="S641" s="18"/>
      <c r="T641" s="18"/>
      <c r="U641" s="18"/>
      <c r="V641" s="18"/>
      <c r="W641" s="18"/>
      <c r="X641" s="18"/>
      <c r="Y641" s="92"/>
      <c r="Z641" s="92"/>
      <c r="AA641" s="418"/>
      <c r="AB641" s="95"/>
      <c r="AC641" s="18"/>
      <c r="AD641" s="18"/>
      <c r="AE641" s="18"/>
      <c r="AF641" s="18"/>
      <c r="AG641" s="91"/>
      <c r="AH641" s="18"/>
      <c r="AI641" s="18"/>
      <c r="AJ641" s="18"/>
      <c r="AK641" s="18"/>
      <c r="AL641" s="18"/>
      <c r="AM641" s="18"/>
      <c r="AN641" s="18"/>
      <c r="AO641" s="18"/>
      <c r="AP641" s="18"/>
      <c r="AQ641" s="18"/>
      <c r="AR641" s="18"/>
      <c r="AS641" s="18"/>
      <c r="AT641" s="18"/>
      <c r="AU641" s="91"/>
      <c r="AV641" s="18"/>
      <c r="AW641" s="18"/>
      <c r="AX641" s="18"/>
      <c r="AY641" s="17"/>
      <c r="AZ641" s="17"/>
      <c r="BA641" s="17"/>
      <c r="BB641" s="17"/>
      <c r="BC641" s="96"/>
      <c r="BD641" s="96"/>
      <c r="BE641" s="96"/>
      <c r="BF641" s="96"/>
      <c r="BG641" s="96"/>
      <c r="BH641" s="96"/>
      <c r="BI641" s="96"/>
    </row>
    <row r="642" spans="1:61" x14ac:dyDescent="0.45">
      <c r="A642" s="17"/>
      <c r="B642" s="17"/>
      <c r="C642" s="17"/>
      <c r="D642" s="17"/>
      <c r="E642" s="15"/>
      <c r="F642" s="17"/>
      <c r="G642" s="17"/>
      <c r="H642" s="3"/>
      <c r="I642" s="88"/>
      <c r="J642" s="88"/>
      <c r="K642" s="15"/>
      <c r="L642" s="96"/>
      <c r="M642" s="89"/>
      <c r="N642" s="88"/>
      <c r="O642" s="413"/>
      <c r="P642" s="18"/>
      <c r="Q642" s="91"/>
      <c r="R642" s="18"/>
      <c r="S642" s="18"/>
      <c r="T642" s="18"/>
      <c r="U642" s="18"/>
      <c r="V642" s="18"/>
      <c r="W642" s="18"/>
      <c r="X642" s="18"/>
      <c r="Y642" s="92"/>
      <c r="Z642" s="92"/>
      <c r="AA642" s="418"/>
      <c r="AB642" s="95"/>
      <c r="AC642" s="18"/>
      <c r="AD642" s="18"/>
      <c r="AE642" s="18"/>
      <c r="AF642" s="18"/>
      <c r="AG642" s="91"/>
      <c r="AH642" s="18"/>
      <c r="AI642" s="18"/>
      <c r="AJ642" s="18"/>
      <c r="AK642" s="18"/>
      <c r="AL642" s="18"/>
      <c r="AM642" s="18"/>
      <c r="AN642" s="18"/>
      <c r="AO642" s="18"/>
      <c r="AP642" s="18"/>
      <c r="AQ642" s="18"/>
      <c r="AR642" s="18"/>
      <c r="AS642" s="18"/>
      <c r="AT642" s="18"/>
      <c r="AU642" s="91"/>
      <c r="AV642" s="18"/>
      <c r="AW642" s="18"/>
      <c r="AX642" s="18"/>
      <c r="AY642" s="17"/>
      <c r="AZ642" s="17"/>
      <c r="BA642" s="17"/>
      <c r="BB642" s="17"/>
      <c r="BC642" s="96"/>
      <c r="BD642" s="96"/>
      <c r="BE642" s="96"/>
      <c r="BF642" s="96"/>
      <c r="BG642" s="96"/>
      <c r="BH642" s="96"/>
      <c r="BI642" s="96"/>
    </row>
    <row r="643" spans="1:61" x14ac:dyDescent="0.45">
      <c r="A643" s="17"/>
      <c r="B643" s="17"/>
      <c r="C643" s="17"/>
      <c r="D643" s="17"/>
      <c r="E643" s="15"/>
      <c r="F643" s="17"/>
      <c r="G643" s="17"/>
      <c r="H643" s="3"/>
      <c r="I643" s="88"/>
      <c r="J643" s="88"/>
      <c r="K643" s="15"/>
      <c r="L643" s="96"/>
      <c r="M643" s="89"/>
      <c r="N643" s="88"/>
      <c r="O643" s="413"/>
      <c r="P643" s="18"/>
      <c r="Q643" s="91"/>
      <c r="R643" s="18"/>
      <c r="S643" s="18"/>
      <c r="T643" s="18"/>
      <c r="U643" s="18"/>
      <c r="V643" s="18"/>
      <c r="W643" s="18"/>
      <c r="X643" s="18"/>
      <c r="Y643" s="92"/>
      <c r="Z643" s="92"/>
      <c r="AA643" s="418"/>
      <c r="AB643" s="95"/>
      <c r="AC643" s="18"/>
      <c r="AD643" s="18"/>
      <c r="AE643" s="18"/>
      <c r="AF643" s="18"/>
      <c r="AG643" s="91"/>
      <c r="AH643" s="18"/>
      <c r="AI643" s="18"/>
      <c r="AJ643" s="18"/>
      <c r="AK643" s="18"/>
      <c r="AL643" s="18"/>
      <c r="AM643" s="18"/>
      <c r="AN643" s="18"/>
      <c r="AO643" s="18"/>
      <c r="AP643" s="18"/>
      <c r="AQ643" s="18"/>
      <c r="AR643" s="18"/>
      <c r="AS643" s="18"/>
      <c r="AT643" s="18"/>
      <c r="AU643" s="91"/>
      <c r="AV643" s="18"/>
      <c r="AW643" s="18"/>
      <c r="AX643" s="18"/>
      <c r="AY643" s="17"/>
      <c r="AZ643" s="17"/>
      <c r="BA643" s="17"/>
      <c r="BB643" s="17"/>
      <c r="BC643" s="96"/>
      <c r="BD643" s="96"/>
      <c r="BE643" s="96"/>
      <c r="BF643" s="96"/>
      <c r="BG643" s="96"/>
      <c r="BH643" s="96"/>
      <c r="BI643" s="96"/>
    </row>
    <row r="644" spans="1:61" x14ac:dyDescent="0.45">
      <c r="A644" s="17"/>
      <c r="B644" s="17"/>
      <c r="C644" s="17"/>
      <c r="D644" s="17"/>
      <c r="E644" s="15"/>
      <c r="F644" s="17"/>
      <c r="G644" s="17"/>
      <c r="H644" s="3"/>
      <c r="I644" s="88"/>
      <c r="J644" s="88"/>
      <c r="K644" s="15"/>
      <c r="L644" s="96"/>
      <c r="M644" s="89"/>
      <c r="N644" s="88"/>
      <c r="O644" s="413"/>
      <c r="P644" s="18"/>
      <c r="Q644" s="91"/>
      <c r="R644" s="18"/>
      <c r="S644" s="18"/>
      <c r="T644" s="18"/>
      <c r="U644" s="18"/>
      <c r="V644" s="18"/>
      <c r="W644" s="18"/>
      <c r="X644" s="18"/>
      <c r="Y644" s="92"/>
      <c r="Z644" s="92"/>
      <c r="AA644" s="418"/>
      <c r="AB644" s="95"/>
      <c r="AC644" s="18"/>
      <c r="AD644" s="18"/>
      <c r="AE644" s="18"/>
      <c r="AF644" s="18"/>
      <c r="AG644" s="91"/>
      <c r="AH644" s="18"/>
      <c r="AI644" s="18"/>
      <c r="AJ644" s="18"/>
      <c r="AK644" s="18"/>
      <c r="AL644" s="18"/>
      <c r="AM644" s="18"/>
      <c r="AN644" s="18"/>
      <c r="AO644" s="18"/>
      <c r="AP644" s="18"/>
      <c r="AQ644" s="18"/>
      <c r="AR644" s="18"/>
      <c r="AS644" s="18"/>
      <c r="AT644" s="18"/>
      <c r="AU644" s="91"/>
      <c r="AV644" s="18"/>
      <c r="AW644" s="18"/>
      <c r="AX644" s="18"/>
      <c r="AY644" s="17"/>
      <c r="AZ644" s="17"/>
      <c r="BA644" s="17"/>
      <c r="BB644" s="17"/>
      <c r="BC644" s="96"/>
      <c r="BD644" s="96"/>
      <c r="BE644" s="96"/>
      <c r="BF644" s="96"/>
      <c r="BG644" s="96"/>
      <c r="BH644" s="96"/>
      <c r="BI644" s="96"/>
    </row>
    <row r="645" spans="1:61" x14ac:dyDescent="0.45">
      <c r="A645" s="17"/>
      <c r="B645" s="17"/>
      <c r="C645" s="17"/>
      <c r="D645" s="17"/>
      <c r="E645" s="15"/>
      <c r="F645" s="17"/>
      <c r="G645" s="17"/>
      <c r="H645" s="3"/>
      <c r="I645" s="88"/>
      <c r="J645" s="88"/>
      <c r="K645" s="15"/>
      <c r="L645" s="96"/>
      <c r="M645" s="89"/>
      <c r="N645" s="88"/>
      <c r="O645" s="413"/>
      <c r="P645" s="18"/>
      <c r="Q645" s="91"/>
      <c r="R645" s="18"/>
      <c r="S645" s="18"/>
      <c r="T645" s="18"/>
      <c r="U645" s="18"/>
      <c r="V645" s="18"/>
      <c r="W645" s="18"/>
      <c r="X645" s="18"/>
      <c r="Y645" s="92"/>
      <c r="Z645" s="92"/>
      <c r="AA645" s="418"/>
      <c r="AB645" s="95"/>
      <c r="AC645" s="18"/>
      <c r="AD645" s="18"/>
      <c r="AE645" s="18"/>
      <c r="AF645" s="18"/>
      <c r="AG645" s="91"/>
      <c r="AH645" s="18"/>
      <c r="AI645" s="18"/>
      <c r="AJ645" s="18"/>
      <c r="AK645" s="18"/>
      <c r="AL645" s="18"/>
      <c r="AM645" s="18"/>
      <c r="AN645" s="18"/>
      <c r="AO645" s="18"/>
      <c r="AP645" s="18"/>
      <c r="AQ645" s="18"/>
      <c r="AR645" s="18"/>
      <c r="AS645" s="18"/>
      <c r="AT645" s="18"/>
      <c r="AU645" s="91"/>
      <c r="AV645" s="18"/>
      <c r="AW645" s="18"/>
      <c r="AX645" s="18"/>
      <c r="AY645" s="17"/>
      <c r="AZ645" s="17"/>
      <c r="BA645" s="17"/>
      <c r="BB645" s="17"/>
      <c r="BC645" s="96"/>
      <c r="BD645" s="96"/>
      <c r="BE645" s="96"/>
      <c r="BF645" s="96"/>
      <c r="BG645" s="96"/>
      <c r="BH645" s="96"/>
      <c r="BI645" s="96"/>
    </row>
    <row r="646" spans="1:61" x14ac:dyDescent="0.45">
      <c r="A646" s="17"/>
      <c r="B646" s="17"/>
      <c r="C646" s="17"/>
      <c r="D646" s="17"/>
      <c r="E646" s="15"/>
      <c r="F646" s="17"/>
      <c r="G646" s="17"/>
      <c r="H646" s="3"/>
      <c r="I646" s="88"/>
      <c r="J646" s="88"/>
      <c r="K646" s="15"/>
      <c r="L646" s="96"/>
      <c r="M646" s="89"/>
      <c r="N646" s="88"/>
      <c r="O646" s="413"/>
      <c r="P646" s="18"/>
      <c r="Q646" s="91"/>
      <c r="R646" s="18"/>
      <c r="S646" s="18"/>
      <c r="T646" s="18"/>
      <c r="U646" s="18"/>
      <c r="V646" s="18"/>
      <c r="W646" s="18"/>
      <c r="X646" s="18"/>
      <c r="Y646" s="92"/>
      <c r="Z646" s="92"/>
      <c r="AA646" s="418"/>
      <c r="AB646" s="95"/>
      <c r="AC646" s="18"/>
      <c r="AD646" s="18"/>
      <c r="AE646" s="18"/>
      <c r="AF646" s="18"/>
      <c r="AG646" s="91"/>
      <c r="AH646" s="18"/>
      <c r="AI646" s="18"/>
      <c r="AJ646" s="18"/>
      <c r="AK646" s="18"/>
      <c r="AL646" s="18"/>
      <c r="AM646" s="18"/>
      <c r="AN646" s="18"/>
      <c r="AO646" s="18"/>
      <c r="AP646" s="18"/>
      <c r="AQ646" s="18"/>
      <c r="AR646" s="18"/>
      <c r="AS646" s="18"/>
      <c r="AT646" s="18"/>
      <c r="AU646" s="91"/>
      <c r="AV646" s="18"/>
      <c r="AW646" s="18"/>
      <c r="AX646" s="18"/>
      <c r="AY646" s="17"/>
      <c r="AZ646" s="17"/>
      <c r="BA646" s="17"/>
      <c r="BB646" s="17"/>
      <c r="BC646" s="96"/>
      <c r="BD646" s="96"/>
      <c r="BE646" s="96"/>
      <c r="BF646" s="96"/>
      <c r="BG646" s="96"/>
      <c r="BH646" s="96"/>
      <c r="BI646" s="96"/>
    </row>
    <row r="647" spans="1:61" x14ac:dyDescent="0.45">
      <c r="A647" s="17"/>
      <c r="B647" s="17"/>
      <c r="C647" s="17"/>
      <c r="D647" s="17"/>
      <c r="E647" s="15"/>
      <c r="F647" s="17"/>
      <c r="G647" s="17"/>
      <c r="H647" s="3"/>
      <c r="I647" s="88"/>
      <c r="J647" s="88"/>
      <c r="K647" s="15"/>
      <c r="L647" s="96"/>
      <c r="M647" s="89"/>
      <c r="N647" s="88"/>
      <c r="O647" s="413"/>
      <c r="P647" s="18"/>
      <c r="Q647" s="91"/>
      <c r="R647" s="18"/>
      <c r="S647" s="18"/>
      <c r="T647" s="18"/>
      <c r="U647" s="18"/>
      <c r="V647" s="18"/>
      <c r="W647" s="18"/>
      <c r="X647" s="18"/>
      <c r="Y647" s="92"/>
      <c r="Z647" s="92"/>
      <c r="AA647" s="418"/>
      <c r="AB647" s="95"/>
      <c r="AC647" s="18"/>
      <c r="AD647" s="18"/>
      <c r="AE647" s="18"/>
      <c r="AF647" s="18"/>
      <c r="AG647" s="91"/>
      <c r="AH647" s="18"/>
      <c r="AI647" s="18"/>
      <c r="AJ647" s="18"/>
      <c r="AK647" s="18"/>
      <c r="AL647" s="18"/>
      <c r="AM647" s="18"/>
      <c r="AN647" s="18"/>
      <c r="AO647" s="18"/>
      <c r="AP647" s="18"/>
      <c r="AQ647" s="18"/>
      <c r="AR647" s="18"/>
      <c r="AS647" s="18"/>
      <c r="AT647" s="18"/>
      <c r="AU647" s="91"/>
      <c r="AV647" s="18"/>
      <c r="AW647" s="18"/>
      <c r="AX647" s="18"/>
      <c r="AY647" s="17"/>
      <c r="AZ647" s="17"/>
      <c r="BA647" s="17"/>
      <c r="BB647" s="17"/>
      <c r="BC647" s="96"/>
      <c r="BD647" s="96"/>
      <c r="BE647" s="96"/>
      <c r="BF647" s="96"/>
      <c r="BG647" s="96"/>
      <c r="BH647" s="96"/>
      <c r="BI647" s="96"/>
    </row>
    <row r="648" spans="1:61" x14ac:dyDescent="0.45">
      <c r="A648" s="17"/>
      <c r="B648" s="17"/>
      <c r="C648" s="17"/>
      <c r="D648" s="17"/>
      <c r="E648" s="15"/>
      <c r="F648" s="17"/>
      <c r="G648" s="17"/>
      <c r="H648" s="3"/>
      <c r="I648" s="88"/>
      <c r="J648" s="88"/>
      <c r="K648" s="15"/>
      <c r="L648" s="96"/>
      <c r="M648" s="89"/>
      <c r="N648" s="88"/>
      <c r="O648" s="413"/>
      <c r="P648" s="18"/>
      <c r="Q648" s="91"/>
      <c r="R648" s="18"/>
      <c r="S648" s="18"/>
      <c r="T648" s="18"/>
      <c r="U648" s="18"/>
      <c r="V648" s="18"/>
      <c r="W648" s="18"/>
      <c r="X648" s="18"/>
      <c r="Y648" s="92"/>
      <c r="Z648" s="92"/>
      <c r="AA648" s="418"/>
      <c r="AB648" s="95"/>
      <c r="AC648" s="18"/>
      <c r="AD648" s="18"/>
      <c r="AE648" s="18"/>
      <c r="AF648" s="18"/>
      <c r="AG648" s="91"/>
      <c r="AH648" s="18"/>
      <c r="AI648" s="18"/>
      <c r="AJ648" s="18"/>
      <c r="AK648" s="18"/>
      <c r="AL648" s="18"/>
      <c r="AM648" s="18"/>
      <c r="AN648" s="18"/>
      <c r="AO648" s="18"/>
      <c r="AP648" s="18"/>
      <c r="AQ648" s="18"/>
      <c r="AR648" s="18"/>
      <c r="AS648" s="18"/>
      <c r="AT648" s="18"/>
      <c r="AU648" s="91"/>
      <c r="AV648" s="18"/>
      <c r="AW648" s="18"/>
      <c r="AX648" s="18"/>
      <c r="AY648" s="17"/>
      <c r="AZ648" s="17"/>
      <c r="BA648" s="17"/>
      <c r="BB648" s="17"/>
      <c r="BC648" s="96"/>
      <c r="BD648" s="96"/>
      <c r="BE648" s="96"/>
      <c r="BF648" s="96"/>
      <c r="BG648" s="96"/>
      <c r="BH648" s="96"/>
      <c r="BI648" s="96"/>
    </row>
    <row r="649" spans="1:61" x14ac:dyDescent="0.45">
      <c r="A649" s="17"/>
      <c r="B649" s="17"/>
      <c r="C649" s="17"/>
      <c r="D649" s="17"/>
      <c r="E649" s="15"/>
      <c r="F649" s="17"/>
      <c r="G649" s="17"/>
      <c r="H649" s="3"/>
      <c r="I649" s="88"/>
      <c r="J649" s="88"/>
      <c r="K649" s="15"/>
      <c r="L649" s="96"/>
      <c r="M649" s="89"/>
      <c r="N649" s="88"/>
      <c r="O649" s="413"/>
      <c r="P649" s="18"/>
      <c r="Q649" s="91"/>
      <c r="R649" s="18"/>
      <c r="S649" s="18"/>
      <c r="T649" s="18"/>
      <c r="U649" s="18"/>
      <c r="V649" s="18"/>
      <c r="W649" s="18"/>
      <c r="X649" s="18"/>
      <c r="Y649" s="92"/>
      <c r="Z649" s="92"/>
      <c r="AA649" s="418"/>
      <c r="AB649" s="95"/>
      <c r="AC649" s="18"/>
      <c r="AD649" s="18"/>
      <c r="AE649" s="18"/>
      <c r="AF649" s="18"/>
      <c r="AG649" s="91"/>
      <c r="AH649" s="18"/>
      <c r="AI649" s="18"/>
      <c r="AJ649" s="18"/>
      <c r="AK649" s="18"/>
      <c r="AL649" s="18"/>
      <c r="AM649" s="18"/>
      <c r="AN649" s="18"/>
      <c r="AO649" s="18"/>
      <c r="AP649" s="18"/>
      <c r="AQ649" s="18"/>
      <c r="AR649" s="18"/>
      <c r="AS649" s="18"/>
      <c r="AT649" s="18"/>
      <c r="AU649" s="91"/>
      <c r="AV649" s="18"/>
      <c r="AW649" s="18"/>
      <c r="AX649" s="18"/>
      <c r="AY649" s="17"/>
      <c r="AZ649" s="17"/>
      <c r="BA649" s="17"/>
      <c r="BB649" s="17"/>
      <c r="BC649" s="96"/>
      <c r="BD649" s="96"/>
      <c r="BE649" s="96"/>
      <c r="BF649" s="96"/>
      <c r="BG649" s="96"/>
      <c r="BH649" s="96"/>
      <c r="BI649" s="96"/>
    </row>
    <row r="650" spans="1:61" x14ac:dyDescent="0.45">
      <c r="A650" s="17"/>
      <c r="B650" s="17"/>
      <c r="C650" s="17"/>
      <c r="D650" s="17"/>
      <c r="E650" s="15"/>
      <c r="F650" s="17"/>
      <c r="G650" s="17"/>
      <c r="H650" s="3"/>
      <c r="I650" s="88"/>
      <c r="J650" s="88"/>
      <c r="K650" s="15"/>
      <c r="L650" s="96"/>
      <c r="M650" s="89"/>
      <c r="N650" s="88"/>
      <c r="O650" s="413"/>
      <c r="P650" s="18"/>
      <c r="Q650" s="91"/>
      <c r="R650" s="18"/>
      <c r="S650" s="18"/>
      <c r="T650" s="18"/>
      <c r="U650" s="18"/>
      <c r="V650" s="18"/>
      <c r="W650" s="18"/>
      <c r="X650" s="18"/>
      <c r="Y650" s="92"/>
      <c r="Z650" s="92"/>
      <c r="AA650" s="418"/>
      <c r="AB650" s="95"/>
      <c r="AC650" s="18"/>
      <c r="AD650" s="18"/>
      <c r="AE650" s="18"/>
      <c r="AF650" s="18"/>
      <c r="AG650" s="91"/>
      <c r="AH650" s="18"/>
      <c r="AI650" s="18"/>
      <c r="AJ650" s="18"/>
      <c r="AK650" s="18"/>
      <c r="AL650" s="18"/>
      <c r="AM650" s="18"/>
      <c r="AN650" s="18"/>
      <c r="AO650" s="18"/>
      <c r="AP650" s="18"/>
      <c r="AQ650" s="18"/>
      <c r="AR650" s="18"/>
      <c r="AS650" s="18"/>
      <c r="AT650" s="18"/>
      <c r="AU650" s="91"/>
      <c r="AV650" s="18"/>
      <c r="AW650" s="18"/>
      <c r="AX650" s="18"/>
      <c r="AY650" s="17"/>
      <c r="AZ650" s="17"/>
      <c r="BA650" s="17"/>
      <c r="BB650" s="17"/>
      <c r="BC650" s="96"/>
      <c r="BD650" s="96"/>
      <c r="BE650" s="96"/>
      <c r="BF650" s="96"/>
      <c r="BG650" s="96"/>
      <c r="BH650" s="96"/>
      <c r="BI650" s="96"/>
    </row>
    <row r="651" spans="1:61" x14ac:dyDescent="0.45">
      <c r="A651" s="17"/>
      <c r="B651" s="17"/>
      <c r="C651" s="17"/>
      <c r="D651" s="17"/>
      <c r="E651" s="15"/>
      <c r="F651" s="17"/>
      <c r="G651" s="17"/>
      <c r="H651" s="3"/>
      <c r="I651" s="88"/>
      <c r="J651" s="88"/>
      <c r="K651" s="15"/>
      <c r="L651" s="96"/>
      <c r="M651" s="89"/>
      <c r="N651" s="88"/>
      <c r="O651" s="413"/>
      <c r="P651" s="18"/>
      <c r="Q651" s="91"/>
      <c r="R651" s="18"/>
      <c r="S651" s="18"/>
      <c r="T651" s="18"/>
      <c r="U651" s="18"/>
      <c r="V651" s="18"/>
      <c r="W651" s="18"/>
      <c r="X651" s="18"/>
      <c r="Y651" s="92"/>
      <c r="Z651" s="92"/>
      <c r="AA651" s="418"/>
      <c r="AB651" s="95"/>
      <c r="AC651" s="18"/>
      <c r="AD651" s="18"/>
      <c r="AE651" s="18"/>
      <c r="AF651" s="18"/>
      <c r="AG651" s="91"/>
      <c r="AH651" s="18"/>
      <c r="AI651" s="18"/>
      <c r="AJ651" s="18"/>
      <c r="AK651" s="18"/>
      <c r="AL651" s="18"/>
      <c r="AM651" s="18"/>
      <c r="AN651" s="18"/>
      <c r="AO651" s="18"/>
      <c r="AP651" s="18"/>
      <c r="AQ651" s="18"/>
      <c r="AR651" s="18"/>
      <c r="AS651" s="18"/>
      <c r="AT651" s="18"/>
      <c r="AU651" s="91"/>
      <c r="AV651" s="18"/>
      <c r="AW651" s="18"/>
      <c r="AX651" s="18"/>
      <c r="AY651" s="17"/>
      <c r="AZ651" s="17"/>
      <c r="BA651" s="17"/>
      <c r="BB651" s="17"/>
      <c r="BC651" s="96"/>
      <c r="BD651" s="96"/>
      <c r="BE651" s="96"/>
      <c r="BF651" s="96"/>
      <c r="BG651" s="96"/>
      <c r="BH651" s="96"/>
      <c r="BI651" s="96"/>
    </row>
    <row r="652" spans="1:61" x14ac:dyDescent="0.45">
      <c r="A652" s="17"/>
      <c r="B652" s="17"/>
      <c r="C652" s="17"/>
      <c r="D652" s="17"/>
      <c r="E652" s="15"/>
      <c r="F652" s="17"/>
      <c r="G652" s="17"/>
      <c r="H652" s="3"/>
      <c r="I652" s="88"/>
      <c r="J652" s="88"/>
      <c r="K652" s="15"/>
      <c r="L652" s="96"/>
      <c r="M652" s="89"/>
      <c r="N652" s="88"/>
      <c r="O652" s="413"/>
      <c r="P652" s="18"/>
      <c r="Q652" s="91"/>
      <c r="R652" s="18"/>
      <c r="S652" s="18"/>
      <c r="T652" s="18"/>
      <c r="U652" s="18"/>
      <c r="V652" s="18"/>
      <c r="W652" s="18"/>
      <c r="X652" s="18"/>
      <c r="Y652" s="92"/>
      <c r="Z652" s="92"/>
      <c r="AA652" s="418"/>
      <c r="AB652" s="95"/>
      <c r="AC652" s="18"/>
      <c r="AD652" s="18"/>
      <c r="AE652" s="18"/>
      <c r="AF652" s="18"/>
      <c r="AG652" s="91"/>
      <c r="AH652" s="18"/>
      <c r="AI652" s="18"/>
      <c r="AJ652" s="18"/>
      <c r="AK652" s="18"/>
      <c r="AL652" s="18"/>
      <c r="AM652" s="18"/>
      <c r="AN652" s="18"/>
      <c r="AO652" s="18"/>
      <c r="AP652" s="18"/>
      <c r="AQ652" s="18"/>
      <c r="AR652" s="18"/>
      <c r="AS652" s="18"/>
      <c r="AT652" s="18"/>
      <c r="AU652" s="91"/>
      <c r="AV652" s="18"/>
      <c r="AW652" s="18"/>
      <c r="AX652" s="18"/>
      <c r="AY652" s="17"/>
      <c r="AZ652" s="17"/>
      <c r="BA652" s="17"/>
      <c r="BB652" s="17"/>
      <c r="BC652" s="96"/>
      <c r="BD652" s="96"/>
      <c r="BE652" s="96"/>
      <c r="BF652" s="96"/>
      <c r="BG652" s="96"/>
      <c r="BH652" s="96"/>
      <c r="BI652" s="96"/>
    </row>
    <row r="653" spans="1:61" x14ac:dyDescent="0.45">
      <c r="A653" s="17"/>
      <c r="B653" s="17"/>
      <c r="C653" s="17"/>
      <c r="D653" s="17"/>
      <c r="E653" s="15"/>
      <c r="F653" s="17"/>
      <c r="G653" s="17"/>
      <c r="H653" s="3"/>
      <c r="I653" s="88"/>
      <c r="J653" s="88"/>
      <c r="K653" s="15"/>
      <c r="L653" s="96"/>
      <c r="M653" s="89"/>
      <c r="N653" s="88"/>
      <c r="O653" s="413"/>
      <c r="P653" s="18"/>
      <c r="Q653" s="91"/>
      <c r="R653" s="18"/>
      <c r="S653" s="18"/>
      <c r="T653" s="18"/>
      <c r="U653" s="18"/>
      <c r="V653" s="18"/>
      <c r="W653" s="18"/>
      <c r="X653" s="18"/>
      <c r="Y653" s="92"/>
      <c r="Z653" s="92"/>
      <c r="AA653" s="418"/>
      <c r="AB653" s="95"/>
      <c r="AC653" s="18"/>
      <c r="AD653" s="18"/>
      <c r="AE653" s="18"/>
      <c r="AF653" s="18"/>
      <c r="AG653" s="91"/>
      <c r="AH653" s="18"/>
      <c r="AI653" s="18"/>
      <c r="AJ653" s="18"/>
      <c r="AK653" s="18"/>
      <c r="AL653" s="18"/>
      <c r="AM653" s="18"/>
      <c r="AN653" s="18"/>
      <c r="AO653" s="18"/>
      <c r="AP653" s="18"/>
      <c r="AQ653" s="18"/>
      <c r="AR653" s="18"/>
      <c r="AS653" s="18"/>
      <c r="AT653" s="18"/>
      <c r="AU653" s="91"/>
      <c r="AV653" s="18"/>
      <c r="AW653" s="18"/>
      <c r="AX653" s="18"/>
      <c r="AY653" s="17"/>
      <c r="AZ653" s="17"/>
      <c r="BA653" s="17"/>
      <c r="BB653" s="17"/>
      <c r="BC653" s="96"/>
      <c r="BD653" s="96"/>
      <c r="BE653" s="96"/>
      <c r="BF653" s="96"/>
      <c r="BG653" s="96"/>
      <c r="BH653" s="96"/>
      <c r="BI653" s="96"/>
    </row>
    <row r="654" spans="1:61" x14ac:dyDescent="0.45">
      <c r="A654" s="17"/>
      <c r="B654" s="17"/>
      <c r="C654" s="17"/>
      <c r="D654" s="17"/>
      <c r="E654" s="15"/>
      <c r="F654" s="17"/>
      <c r="G654" s="17"/>
      <c r="H654" s="3"/>
      <c r="I654" s="88"/>
      <c r="J654" s="88"/>
      <c r="K654" s="15"/>
      <c r="L654" s="96"/>
      <c r="M654" s="89"/>
      <c r="N654" s="88"/>
      <c r="O654" s="413"/>
      <c r="P654" s="18"/>
      <c r="Q654" s="91"/>
      <c r="R654" s="18"/>
      <c r="S654" s="18"/>
      <c r="T654" s="18"/>
      <c r="U654" s="18"/>
      <c r="V654" s="18"/>
      <c r="W654" s="18"/>
      <c r="X654" s="18"/>
      <c r="Y654" s="92"/>
      <c r="Z654" s="92"/>
      <c r="AA654" s="418"/>
      <c r="AB654" s="95"/>
      <c r="AC654" s="18"/>
      <c r="AD654" s="18"/>
      <c r="AE654" s="18"/>
      <c r="AF654" s="18"/>
      <c r="AG654" s="91"/>
      <c r="AH654" s="18"/>
      <c r="AI654" s="18"/>
      <c r="AJ654" s="18"/>
      <c r="AK654" s="18"/>
      <c r="AL654" s="18"/>
      <c r="AM654" s="18"/>
      <c r="AN654" s="18"/>
      <c r="AO654" s="18"/>
      <c r="AP654" s="18"/>
      <c r="AQ654" s="18"/>
      <c r="AR654" s="18"/>
      <c r="AS654" s="18"/>
      <c r="AT654" s="18"/>
      <c r="AU654" s="91"/>
      <c r="AV654" s="18"/>
      <c r="AW654" s="18"/>
      <c r="AX654" s="18"/>
      <c r="AY654" s="17"/>
      <c r="AZ654" s="17"/>
      <c r="BA654" s="17"/>
      <c r="BB654" s="17"/>
      <c r="BC654" s="96"/>
      <c r="BD654" s="96"/>
      <c r="BE654" s="96"/>
      <c r="BF654" s="96"/>
      <c r="BG654" s="96"/>
      <c r="BH654" s="96"/>
      <c r="BI654" s="96"/>
    </row>
    <row r="655" spans="1:61" x14ac:dyDescent="0.45">
      <c r="A655" s="17"/>
      <c r="B655" s="17"/>
      <c r="C655" s="17"/>
      <c r="D655" s="17"/>
      <c r="E655" s="15"/>
      <c r="F655" s="17"/>
      <c r="G655" s="17"/>
      <c r="H655" s="3"/>
      <c r="I655" s="88"/>
      <c r="J655" s="88"/>
      <c r="K655" s="15"/>
      <c r="L655" s="96"/>
      <c r="M655" s="89"/>
      <c r="N655" s="88"/>
      <c r="O655" s="413"/>
      <c r="P655" s="18"/>
      <c r="Q655" s="91"/>
      <c r="R655" s="18"/>
      <c r="S655" s="18"/>
      <c r="T655" s="18"/>
      <c r="U655" s="18"/>
      <c r="V655" s="18"/>
      <c r="W655" s="18"/>
      <c r="X655" s="18"/>
      <c r="Y655" s="92"/>
      <c r="Z655" s="92"/>
      <c r="AA655" s="418"/>
      <c r="AB655" s="95"/>
      <c r="AC655" s="18"/>
      <c r="AD655" s="18"/>
      <c r="AE655" s="18"/>
      <c r="AF655" s="18"/>
      <c r="AG655" s="91"/>
      <c r="AH655" s="18"/>
      <c r="AI655" s="18"/>
      <c r="AJ655" s="18"/>
      <c r="AK655" s="18"/>
      <c r="AL655" s="18"/>
      <c r="AM655" s="18"/>
      <c r="AN655" s="18"/>
      <c r="AO655" s="18"/>
      <c r="AP655" s="18"/>
      <c r="AQ655" s="18"/>
      <c r="AR655" s="18"/>
      <c r="AS655" s="18"/>
      <c r="AT655" s="18"/>
      <c r="AU655" s="91"/>
      <c r="AV655" s="18"/>
      <c r="AW655" s="18"/>
      <c r="AX655" s="18"/>
      <c r="AY655" s="17"/>
      <c r="AZ655" s="17"/>
      <c r="BA655" s="17"/>
      <c r="BB655" s="17"/>
      <c r="BC655" s="96"/>
      <c r="BD655" s="96"/>
      <c r="BE655" s="96"/>
      <c r="BF655" s="96"/>
      <c r="BG655" s="96"/>
      <c r="BH655" s="96"/>
      <c r="BI655" s="96"/>
    </row>
    <row r="656" spans="1:61" x14ac:dyDescent="0.45">
      <c r="A656" s="17"/>
      <c r="B656" s="17"/>
      <c r="C656" s="17"/>
      <c r="D656" s="17"/>
      <c r="E656" s="15"/>
      <c r="F656" s="17"/>
      <c r="G656" s="17"/>
      <c r="H656" s="3"/>
      <c r="I656" s="88"/>
      <c r="J656" s="88"/>
      <c r="K656" s="15"/>
      <c r="L656" s="96"/>
      <c r="M656" s="89"/>
      <c r="N656" s="88"/>
      <c r="O656" s="413"/>
      <c r="P656" s="18"/>
      <c r="Q656" s="91"/>
      <c r="R656" s="18"/>
      <c r="S656" s="18"/>
      <c r="T656" s="18"/>
      <c r="U656" s="18"/>
      <c r="V656" s="18"/>
      <c r="W656" s="18"/>
      <c r="X656" s="18"/>
      <c r="Y656" s="92"/>
      <c r="Z656" s="92"/>
      <c r="AA656" s="418"/>
      <c r="AB656" s="95"/>
      <c r="AC656" s="18"/>
      <c r="AD656" s="18"/>
      <c r="AE656" s="18"/>
      <c r="AF656" s="18"/>
      <c r="AG656" s="91"/>
      <c r="AH656" s="18"/>
      <c r="AI656" s="18"/>
      <c r="AJ656" s="18"/>
      <c r="AK656" s="18"/>
      <c r="AL656" s="18"/>
      <c r="AM656" s="18"/>
      <c r="AN656" s="18"/>
      <c r="AO656" s="18"/>
      <c r="AP656" s="18"/>
      <c r="AQ656" s="18"/>
      <c r="AR656" s="18"/>
      <c r="AS656" s="18"/>
      <c r="AT656" s="18"/>
      <c r="AU656" s="91"/>
      <c r="AV656" s="18"/>
      <c r="AW656" s="18"/>
      <c r="AX656" s="18"/>
      <c r="AY656" s="17"/>
      <c r="AZ656" s="17"/>
      <c r="BA656" s="17"/>
      <c r="BB656" s="17"/>
      <c r="BC656" s="96"/>
      <c r="BD656" s="96"/>
      <c r="BE656" s="96"/>
      <c r="BF656" s="96"/>
      <c r="BG656" s="96"/>
      <c r="BH656" s="96"/>
      <c r="BI656" s="96"/>
    </row>
    <row r="657" spans="1:61" x14ac:dyDescent="0.45">
      <c r="A657" s="17"/>
      <c r="B657" s="17"/>
      <c r="C657" s="17"/>
      <c r="D657" s="17"/>
      <c r="E657" s="15"/>
      <c r="F657" s="17"/>
      <c r="G657" s="17"/>
      <c r="H657" s="3"/>
      <c r="I657" s="88"/>
      <c r="J657" s="88"/>
      <c r="K657" s="15"/>
      <c r="L657" s="96"/>
      <c r="M657" s="89"/>
      <c r="N657" s="88"/>
      <c r="O657" s="413"/>
      <c r="P657" s="18"/>
      <c r="Q657" s="91"/>
      <c r="R657" s="18"/>
      <c r="S657" s="18"/>
      <c r="T657" s="18"/>
      <c r="U657" s="18"/>
      <c r="V657" s="18"/>
      <c r="W657" s="18"/>
      <c r="X657" s="18"/>
      <c r="Y657" s="92"/>
      <c r="Z657" s="92"/>
      <c r="AA657" s="418"/>
      <c r="AB657" s="95"/>
      <c r="AC657" s="18"/>
      <c r="AD657" s="18"/>
      <c r="AE657" s="18"/>
      <c r="AF657" s="18"/>
      <c r="AG657" s="91"/>
      <c r="AH657" s="18"/>
      <c r="AI657" s="18"/>
      <c r="AJ657" s="18"/>
      <c r="AK657" s="18"/>
      <c r="AL657" s="18"/>
      <c r="AM657" s="18"/>
      <c r="AN657" s="18"/>
      <c r="AO657" s="18"/>
      <c r="AP657" s="18"/>
      <c r="AQ657" s="18"/>
      <c r="AR657" s="18"/>
      <c r="AS657" s="18"/>
      <c r="AT657" s="18"/>
      <c r="AU657" s="91"/>
      <c r="AV657" s="18"/>
      <c r="AW657" s="18"/>
      <c r="AX657" s="18"/>
      <c r="AY657" s="17"/>
      <c r="AZ657" s="17"/>
      <c r="BA657" s="17"/>
      <c r="BB657" s="17"/>
      <c r="BC657" s="96"/>
      <c r="BD657" s="96"/>
      <c r="BE657" s="96"/>
      <c r="BF657" s="96"/>
      <c r="BG657" s="96"/>
      <c r="BH657" s="96"/>
      <c r="BI657" s="96"/>
    </row>
    <row r="658" spans="1:61" x14ac:dyDescent="0.45">
      <c r="A658" s="17"/>
      <c r="B658" s="17"/>
      <c r="C658" s="17"/>
      <c r="D658" s="17"/>
      <c r="E658" s="15"/>
      <c r="F658" s="17"/>
      <c r="G658" s="17"/>
      <c r="H658" s="3"/>
      <c r="I658" s="88"/>
      <c r="J658" s="88"/>
      <c r="K658" s="15"/>
      <c r="L658" s="96"/>
      <c r="M658" s="89"/>
      <c r="N658" s="88"/>
      <c r="O658" s="413"/>
      <c r="P658" s="18"/>
      <c r="Q658" s="91"/>
      <c r="R658" s="18"/>
      <c r="S658" s="18"/>
      <c r="T658" s="18"/>
      <c r="U658" s="18"/>
      <c r="V658" s="18"/>
      <c r="W658" s="18"/>
      <c r="X658" s="18"/>
      <c r="Y658" s="92"/>
      <c r="Z658" s="92"/>
      <c r="AA658" s="418"/>
      <c r="AB658" s="95"/>
      <c r="AC658" s="18"/>
      <c r="AD658" s="18"/>
      <c r="AE658" s="18"/>
      <c r="AF658" s="18"/>
      <c r="AG658" s="91"/>
      <c r="AH658" s="18"/>
      <c r="AI658" s="18"/>
      <c r="AJ658" s="18"/>
      <c r="AK658" s="18"/>
      <c r="AL658" s="18"/>
      <c r="AM658" s="18"/>
      <c r="AN658" s="18"/>
      <c r="AO658" s="18"/>
      <c r="AP658" s="18"/>
      <c r="AQ658" s="18"/>
      <c r="AR658" s="18"/>
      <c r="AS658" s="18"/>
      <c r="AT658" s="18"/>
      <c r="AU658" s="91"/>
      <c r="AV658" s="18"/>
      <c r="AW658" s="18"/>
      <c r="AX658" s="18"/>
      <c r="AY658" s="17"/>
      <c r="AZ658" s="17"/>
      <c r="BA658" s="17"/>
      <c r="BB658" s="17"/>
      <c r="BC658" s="96"/>
      <c r="BD658" s="96"/>
      <c r="BE658" s="96"/>
      <c r="BF658" s="96"/>
      <c r="BG658" s="96"/>
      <c r="BH658" s="96"/>
      <c r="BI658" s="96"/>
    </row>
    <row r="659" spans="1:61" x14ac:dyDescent="0.45">
      <c r="A659" s="17"/>
      <c r="B659" s="17"/>
      <c r="C659" s="17"/>
      <c r="D659" s="17"/>
      <c r="E659" s="15"/>
      <c r="F659" s="17"/>
      <c r="G659" s="17"/>
      <c r="H659" s="3"/>
      <c r="I659" s="88"/>
      <c r="J659" s="88"/>
      <c r="K659" s="15"/>
      <c r="L659" s="96"/>
      <c r="M659" s="89"/>
      <c r="N659" s="88"/>
      <c r="O659" s="413"/>
      <c r="P659" s="18"/>
      <c r="Q659" s="91"/>
      <c r="R659" s="18"/>
      <c r="S659" s="18"/>
      <c r="T659" s="18"/>
      <c r="U659" s="18"/>
      <c r="V659" s="18"/>
      <c r="W659" s="18"/>
      <c r="X659" s="18"/>
      <c r="Y659" s="92"/>
      <c r="Z659" s="92"/>
      <c r="AA659" s="418"/>
      <c r="AB659" s="95"/>
      <c r="AC659" s="18"/>
      <c r="AD659" s="18"/>
      <c r="AE659" s="18"/>
      <c r="AF659" s="18"/>
      <c r="AG659" s="91"/>
      <c r="AH659" s="18"/>
      <c r="AI659" s="18"/>
      <c r="AJ659" s="18"/>
      <c r="AK659" s="18"/>
      <c r="AL659" s="18"/>
      <c r="AM659" s="18"/>
      <c r="AN659" s="18"/>
      <c r="AO659" s="18"/>
      <c r="AP659" s="18"/>
      <c r="AQ659" s="18"/>
      <c r="AR659" s="18"/>
      <c r="AS659" s="18"/>
      <c r="AT659" s="18"/>
      <c r="AU659" s="91"/>
      <c r="AV659" s="18"/>
      <c r="AW659" s="18"/>
      <c r="AX659" s="18"/>
      <c r="AY659" s="17"/>
      <c r="AZ659" s="17"/>
      <c r="BA659" s="17"/>
      <c r="BB659" s="17"/>
      <c r="BC659" s="96"/>
      <c r="BD659" s="96"/>
      <c r="BE659" s="96"/>
      <c r="BF659" s="96"/>
      <c r="BG659" s="96"/>
      <c r="BH659" s="96"/>
      <c r="BI659" s="96"/>
    </row>
    <row r="660" spans="1:61" x14ac:dyDescent="0.45">
      <c r="A660" s="17"/>
      <c r="B660" s="17"/>
      <c r="C660" s="17"/>
      <c r="D660" s="17"/>
      <c r="E660" s="15"/>
      <c r="F660" s="17"/>
      <c r="G660" s="17"/>
      <c r="H660" s="3"/>
      <c r="I660" s="88"/>
      <c r="J660" s="88"/>
      <c r="K660" s="15"/>
      <c r="L660" s="96"/>
      <c r="M660" s="89"/>
      <c r="N660" s="88"/>
      <c r="O660" s="413"/>
      <c r="P660" s="18"/>
      <c r="Q660" s="91"/>
      <c r="R660" s="18"/>
      <c r="S660" s="18"/>
      <c r="T660" s="18"/>
      <c r="U660" s="18"/>
      <c r="V660" s="18"/>
      <c r="W660" s="18"/>
      <c r="X660" s="18"/>
      <c r="Y660" s="92"/>
      <c r="Z660" s="92"/>
      <c r="AA660" s="418"/>
      <c r="AB660" s="95"/>
      <c r="AC660" s="18"/>
      <c r="AD660" s="18"/>
      <c r="AE660" s="18"/>
      <c r="AF660" s="18"/>
      <c r="AG660" s="91"/>
      <c r="AH660" s="18"/>
      <c r="AI660" s="18"/>
      <c r="AJ660" s="18"/>
      <c r="AK660" s="18"/>
      <c r="AL660" s="18"/>
      <c r="AM660" s="18"/>
      <c r="AN660" s="18"/>
      <c r="AO660" s="18"/>
      <c r="AP660" s="18"/>
      <c r="AQ660" s="18"/>
      <c r="AR660" s="18"/>
      <c r="AS660" s="18"/>
      <c r="AT660" s="18"/>
      <c r="AU660" s="91"/>
      <c r="AV660" s="18"/>
      <c r="AW660" s="18"/>
      <c r="AX660" s="18"/>
      <c r="AY660" s="17"/>
      <c r="AZ660" s="17"/>
      <c r="BA660" s="17"/>
      <c r="BB660" s="17"/>
      <c r="BC660" s="96"/>
      <c r="BD660" s="96"/>
      <c r="BE660" s="96"/>
      <c r="BF660" s="96"/>
      <c r="BG660" s="96"/>
      <c r="BH660" s="96"/>
      <c r="BI660" s="96"/>
    </row>
    <row r="661" spans="1:61" x14ac:dyDescent="0.45">
      <c r="A661" s="17"/>
      <c r="B661" s="17"/>
      <c r="C661" s="17"/>
      <c r="D661" s="17"/>
      <c r="E661" s="15"/>
      <c r="F661" s="17"/>
      <c r="G661" s="17"/>
      <c r="H661" s="3"/>
      <c r="I661" s="88"/>
      <c r="J661" s="88"/>
      <c r="K661" s="15"/>
      <c r="L661" s="96"/>
      <c r="M661" s="89"/>
      <c r="N661" s="88"/>
      <c r="O661" s="413"/>
      <c r="P661" s="18"/>
      <c r="Q661" s="91"/>
      <c r="R661" s="18"/>
      <c r="S661" s="18"/>
      <c r="T661" s="18"/>
      <c r="U661" s="18"/>
      <c r="V661" s="18"/>
      <c r="W661" s="18"/>
      <c r="X661" s="18"/>
      <c r="Y661" s="92"/>
      <c r="Z661" s="92"/>
      <c r="AA661" s="418"/>
      <c r="AB661" s="95"/>
      <c r="AC661" s="18"/>
      <c r="AD661" s="18"/>
      <c r="AE661" s="18"/>
      <c r="AF661" s="18"/>
      <c r="AG661" s="91"/>
      <c r="AH661" s="18"/>
      <c r="AI661" s="18"/>
      <c r="AJ661" s="18"/>
      <c r="AK661" s="18"/>
      <c r="AL661" s="18"/>
      <c r="AM661" s="18"/>
      <c r="AN661" s="18"/>
      <c r="AO661" s="18"/>
      <c r="AP661" s="18"/>
      <c r="AQ661" s="18"/>
      <c r="AR661" s="18"/>
      <c r="AS661" s="18"/>
      <c r="AT661" s="18"/>
      <c r="AU661" s="91"/>
      <c r="AV661" s="18"/>
      <c r="AW661" s="18"/>
      <c r="AX661" s="18"/>
      <c r="AY661" s="17"/>
      <c r="AZ661" s="17"/>
      <c r="BA661" s="17"/>
      <c r="BB661" s="17"/>
      <c r="BC661" s="96"/>
      <c r="BD661" s="96"/>
      <c r="BE661" s="96"/>
      <c r="BF661" s="96"/>
      <c r="BG661" s="96"/>
      <c r="BH661" s="96"/>
      <c r="BI661" s="96"/>
    </row>
    <row r="662" spans="1:61" x14ac:dyDescent="0.45">
      <c r="A662" s="17"/>
      <c r="B662" s="17"/>
      <c r="C662" s="17"/>
      <c r="D662" s="17"/>
      <c r="E662" s="15"/>
      <c r="F662" s="17"/>
      <c r="G662" s="17"/>
      <c r="H662" s="3"/>
      <c r="I662" s="88"/>
      <c r="J662" s="88"/>
      <c r="K662" s="15"/>
      <c r="L662" s="96"/>
      <c r="M662" s="89"/>
      <c r="N662" s="88"/>
      <c r="O662" s="413"/>
      <c r="P662" s="18"/>
      <c r="Q662" s="91"/>
      <c r="R662" s="18"/>
      <c r="S662" s="18"/>
      <c r="T662" s="18"/>
      <c r="U662" s="18"/>
      <c r="V662" s="18"/>
      <c r="W662" s="18"/>
      <c r="X662" s="18"/>
      <c r="Y662" s="92"/>
      <c r="Z662" s="92"/>
      <c r="AA662" s="418"/>
      <c r="AB662" s="95"/>
      <c r="AC662" s="18"/>
      <c r="AD662" s="18"/>
      <c r="AE662" s="18"/>
      <c r="AF662" s="18"/>
      <c r="AG662" s="91"/>
      <c r="AH662" s="18"/>
      <c r="AI662" s="18"/>
      <c r="AJ662" s="18"/>
      <c r="AK662" s="18"/>
      <c r="AL662" s="18"/>
      <c r="AM662" s="18"/>
      <c r="AN662" s="18"/>
      <c r="AO662" s="18"/>
      <c r="AP662" s="18"/>
      <c r="AQ662" s="18"/>
      <c r="AR662" s="18"/>
      <c r="AS662" s="18"/>
      <c r="AT662" s="18"/>
      <c r="AU662" s="91"/>
      <c r="AV662" s="18"/>
      <c r="AW662" s="18"/>
      <c r="AX662" s="18"/>
      <c r="AY662" s="17"/>
      <c r="AZ662" s="17"/>
      <c r="BA662" s="17"/>
      <c r="BB662" s="17"/>
      <c r="BC662" s="96"/>
      <c r="BD662" s="96"/>
      <c r="BE662" s="96"/>
      <c r="BF662" s="96"/>
      <c r="BG662" s="96"/>
      <c r="BH662" s="96"/>
      <c r="BI662" s="96"/>
    </row>
    <row r="663" spans="1:61" x14ac:dyDescent="0.45">
      <c r="A663" s="17"/>
      <c r="B663" s="17"/>
      <c r="C663" s="17"/>
      <c r="D663" s="17"/>
      <c r="E663" s="15"/>
      <c r="F663" s="17"/>
      <c r="G663" s="17"/>
      <c r="H663" s="3"/>
      <c r="I663" s="88"/>
      <c r="J663" s="88"/>
      <c r="K663" s="15"/>
      <c r="L663" s="96"/>
      <c r="M663" s="89"/>
      <c r="N663" s="88"/>
      <c r="O663" s="413"/>
      <c r="P663" s="18"/>
      <c r="Q663" s="91"/>
      <c r="R663" s="18"/>
      <c r="S663" s="18"/>
      <c r="T663" s="18"/>
      <c r="U663" s="18"/>
      <c r="V663" s="18"/>
      <c r="W663" s="18"/>
      <c r="X663" s="18"/>
      <c r="Y663" s="92"/>
      <c r="Z663" s="92"/>
      <c r="AA663" s="418"/>
      <c r="AB663" s="95"/>
      <c r="AC663" s="18"/>
      <c r="AD663" s="18"/>
      <c r="AE663" s="18"/>
      <c r="AF663" s="18"/>
      <c r="AG663" s="91"/>
      <c r="AH663" s="18"/>
      <c r="AI663" s="18"/>
      <c r="AJ663" s="18"/>
      <c r="AK663" s="18"/>
      <c r="AL663" s="18"/>
      <c r="AM663" s="18"/>
      <c r="AN663" s="18"/>
      <c r="AO663" s="18"/>
      <c r="AP663" s="18"/>
      <c r="AQ663" s="18"/>
      <c r="AR663" s="18"/>
      <c r="AS663" s="18"/>
      <c r="AT663" s="18"/>
      <c r="AU663" s="91"/>
      <c r="AV663" s="18"/>
      <c r="AW663" s="18"/>
      <c r="AX663" s="18"/>
      <c r="AY663" s="17"/>
      <c r="AZ663" s="17"/>
      <c r="BA663" s="17"/>
      <c r="BB663" s="17"/>
      <c r="BC663" s="96"/>
      <c r="BD663" s="96"/>
      <c r="BE663" s="96"/>
      <c r="BF663" s="96"/>
      <c r="BG663" s="96"/>
      <c r="BH663" s="96"/>
      <c r="BI663" s="96"/>
    </row>
    <row r="664" spans="1:61" x14ac:dyDescent="0.45">
      <c r="A664" s="17"/>
      <c r="B664" s="17"/>
      <c r="C664" s="17"/>
      <c r="D664" s="17"/>
      <c r="E664" s="15"/>
      <c r="F664" s="17"/>
      <c r="G664" s="17"/>
      <c r="H664" s="3"/>
      <c r="I664" s="88"/>
      <c r="J664" s="88"/>
      <c r="K664" s="15"/>
      <c r="L664" s="96"/>
      <c r="M664" s="89"/>
      <c r="N664" s="88"/>
      <c r="O664" s="413"/>
      <c r="P664" s="18"/>
      <c r="Q664" s="91"/>
      <c r="R664" s="18"/>
      <c r="S664" s="18"/>
      <c r="T664" s="18"/>
      <c r="U664" s="18"/>
      <c r="V664" s="18"/>
      <c r="W664" s="18"/>
      <c r="X664" s="18"/>
      <c r="Y664" s="92"/>
      <c r="Z664" s="92"/>
      <c r="AA664" s="418"/>
      <c r="AB664" s="95"/>
      <c r="AC664" s="18"/>
      <c r="AD664" s="18"/>
      <c r="AE664" s="18"/>
      <c r="AF664" s="18"/>
      <c r="AG664" s="91"/>
      <c r="AH664" s="18"/>
      <c r="AI664" s="18"/>
      <c r="AJ664" s="18"/>
      <c r="AK664" s="18"/>
      <c r="AL664" s="18"/>
      <c r="AM664" s="18"/>
      <c r="AN664" s="18"/>
      <c r="AO664" s="18"/>
      <c r="AP664" s="18"/>
      <c r="AQ664" s="18"/>
      <c r="AR664" s="18"/>
      <c r="AS664" s="18"/>
      <c r="AT664" s="18"/>
      <c r="AU664" s="91"/>
      <c r="AV664" s="18"/>
      <c r="AW664" s="18"/>
      <c r="AX664" s="18"/>
      <c r="AY664" s="17"/>
      <c r="AZ664" s="17"/>
      <c r="BA664" s="17"/>
      <c r="BB664" s="17"/>
      <c r="BC664" s="96"/>
      <c r="BD664" s="96"/>
      <c r="BE664" s="96"/>
      <c r="BF664" s="96"/>
      <c r="BG664" s="96"/>
      <c r="BH664" s="96"/>
      <c r="BI664" s="96"/>
    </row>
    <row r="665" spans="1:61" x14ac:dyDescent="0.45">
      <c r="A665" s="17"/>
      <c r="B665" s="17"/>
      <c r="C665" s="17"/>
      <c r="D665" s="17"/>
      <c r="E665" s="15"/>
      <c r="F665" s="17"/>
      <c r="G665" s="17"/>
      <c r="H665" s="3"/>
      <c r="I665" s="88"/>
      <c r="J665" s="88"/>
      <c r="K665" s="15"/>
      <c r="L665" s="96"/>
      <c r="M665" s="89"/>
      <c r="N665" s="88"/>
      <c r="O665" s="413"/>
      <c r="P665" s="18"/>
      <c r="Q665" s="91"/>
      <c r="R665" s="18"/>
      <c r="S665" s="18"/>
      <c r="T665" s="18"/>
      <c r="U665" s="18"/>
      <c r="V665" s="18"/>
      <c r="W665" s="18"/>
      <c r="X665" s="18"/>
      <c r="Y665" s="92"/>
      <c r="Z665" s="92"/>
      <c r="AA665" s="418"/>
      <c r="AB665" s="95"/>
      <c r="AC665" s="18"/>
      <c r="AD665" s="18"/>
      <c r="AE665" s="18"/>
      <c r="AF665" s="18"/>
      <c r="AG665" s="91"/>
      <c r="AH665" s="18"/>
      <c r="AI665" s="18"/>
      <c r="AJ665" s="18"/>
      <c r="AK665" s="18"/>
      <c r="AL665" s="18"/>
      <c r="AM665" s="18"/>
      <c r="AN665" s="18"/>
      <c r="AO665" s="18"/>
      <c r="AP665" s="18"/>
      <c r="AQ665" s="18"/>
      <c r="AR665" s="18"/>
      <c r="AS665" s="18"/>
      <c r="AT665" s="18"/>
      <c r="AU665" s="91"/>
      <c r="AV665" s="18"/>
      <c r="AW665" s="18"/>
      <c r="AX665" s="18"/>
      <c r="AY665" s="17"/>
      <c r="AZ665" s="17"/>
      <c r="BA665" s="17"/>
      <c r="BB665" s="17"/>
      <c r="BC665" s="96"/>
      <c r="BD665" s="96"/>
      <c r="BE665" s="96"/>
      <c r="BF665" s="96"/>
      <c r="BG665" s="96"/>
      <c r="BH665" s="96"/>
      <c r="BI665" s="96"/>
    </row>
    <row r="666" spans="1:61" x14ac:dyDescent="0.45">
      <c r="A666" s="17"/>
      <c r="B666" s="17"/>
      <c r="C666" s="17"/>
      <c r="D666" s="17"/>
      <c r="E666" s="15"/>
      <c r="F666" s="17"/>
      <c r="G666" s="17"/>
      <c r="H666" s="3"/>
      <c r="I666" s="88"/>
      <c r="J666" s="88"/>
      <c r="K666" s="15"/>
      <c r="L666" s="96"/>
      <c r="M666" s="89"/>
      <c r="N666" s="88"/>
      <c r="O666" s="413"/>
      <c r="P666" s="18"/>
      <c r="Q666" s="91"/>
      <c r="R666" s="18"/>
      <c r="S666" s="18"/>
      <c r="T666" s="18"/>
      <c r="U666" s="18"/>
      <c r="V666" s="18"/>
      <c r="W666" s="18"/>
      <c r="X666" s="18"/>
      <c r="Y666" s="92"/>
      <c r="Z666" s="92"/>
      <c r="AA666" s="418"/>
      <c r="AB666" s="95"/>
      <c r="AC666" s="18"/>
      <c r="AD666" s="18"/>
      <c r="AE666" s="18"/>
      <c r="AF666" s="18"/>
      <c r="AG666" s="91"/>
      <c r="AH666" s="18"/>
      <c r="AI666" s="18"/>
      <c r="AJ666" s="18"/>
      <c r="AK666" s="18"/>
      <c r="AL666" s="18"/>
      <c r="AM666" s="18"/>
      <c r="AN666" s="18"/>
      <c r="AO666" s="18"/>
      <c r="AP666" s="18"/>
      <c r="AQ666" s="18"/>
      <c r="AR666" s="18"/>
      <c r="AS666" s="18"/>
      <c r="AT666" s="18"/>
      <c r="AU666" s="91"/>
      <c r="AV666" s="18"/>
      <c r="AW666" s="18"/>
      <c r="AX666" s="18"/>
      <c r="AY666" s="17"/>
      <c r="AZ666" s="17"/>
      <c r="BA666" s="17"/>
      <c r="BB666" s="17"/>
      <c r="BC666" s="96"/>
      <c r="BD666" s="96"/>
      <c r="BE666" s="96"/>
      <c r="BF666" s="96"/>
      <c r="BG666" s="96"/>
      <c r="BH666" s="96"/>
      <c r="BI666" s="96"/>
    </row>
    <row r="667" spans="1:61" x14ac:dyDescent="0.45">
      <c r="A667" s="17"/>
      <c r="B667" s="17"/>
      <c r="C667" s="17"/>
      <c r="D667" s="17"/>
      <c r="E667" s="15"/>
      <c r="F667" s="17"/>
      <c r="G667" s="17"/>
      <c r="H667" s="3"/>
      <c r="I667" s="88"/>
      <c r="J667" s="88"/>
      <c r="K667" s="15"/>
      <c r="L667" s="96"/>
      <c r="M667" s="89"/>
      <c r="N667" s="88"/>
      <c r="O667" s="413"/>
      <c r="P667" s="18"/>
      <c r="Q667" s="91"/>
      <c r="R667" s="18"/>
      <c r="S667" s="18"/>
      <c r="T667" s="18"/>
      <c r="U667" s="18"/>
      <c r="V667" s="18"/>
      <c r="W667" s="18"/>
      <c r="X667" s="18"/>
      <c r="Y667" s="92"/>
      <c r="Z667" s="92"/>
      <c r="AA667" s="418"/>
      <c r="AB667" s="95"/>
      <c r="AC667" s="18"/>
      <c r="AD667" s="18"/>
      <c r="AE667" s="18"/>
      <c r="AF667" s="18"/>
      <c r="AG667" s="91"/>
      <c r="AH667" s="18"/>
      <c r="AI667" s="18"/>
      <c r="AJ667" s="18"/>
      <c r="AK667" s="18"/>
      <c r="AL667" s="18"/>
      <c r="AM667" s="18"/>
      <c r="AN667" s="18"/>
      <c r="AO667" s="18"/>
      <c r="AP667" s="18"/>
      <c r="AQ667" s="18"/>
      <c r="AR667" s="18"/>
      <c r="AS667" s="18"/>
      <c r="AT667" s="18"/>
      <c r="AU667" s="91"/>
      <c r="AV667" s="18"/>
      <c r="AW667" s="18"/>
      <c r="AX667" s="18"/>
      <c r="AY667" s="17"/>
      <c r="AZ667" s="17"/>
      <c r="BA667" s="17"/>
      <c r="BB667" s="17"/>
      <c r="BC667" s="96"/>
      <c r="BD667" s="96"/>
      <c r="BE667" s="96"/>
      <c r="BF667" s="96"/>
      <c r="BG667" s="96"/>
      <c r="BH667" s="96"/>
      <c r="BI667" s="96"/>
    </row>
    <row r="668" spans="1:61" x14ac:dyDescent="0.45">
      <c r="A668" s="17"/>
      <c r="B668" s="17"/>
      <c r="C668" s="17"/>
      <c r="D668" s="17"/>
      <c r="E668" s="15"/>
      <c r="F668" s="17"/>
      <c r="G668" s="17"/>
      <c r="H668" s="3"/>
      <c r="I668" s="88"/>
      <c r="J668" s="88"/>
      <c r="K668" s="15"/>
      <c r="L668" s="96"/>
      <c r="M668" s="89"/>
      <c r="N668" s="88"/>
      <c r="O668" s="413"/>
      <c r="P668" s="18"/>
      <c r="Q668" s="91"/>
      <c r="R668" s="18"/>
      <c r="S668" s="18"/>
      <c r="T668" s="18"/>
      <c r="U668" s="18"/>
      <c r="V668" s="18"/>
      <c r="W668" s="18"/>
      <c r="X668" s="18"/>
      <c r="Y668" s="92"/>
      <c r="Z668" s="92"/>
      <c r="AA668" s="418"/>
      <c r="AB668" s="95"/>
      <c r="AC668" s="18"/>
      <c r="AD668" s="18"/>
      <c r="AE668" s="18"/>
      <c r="AF668" s="18"/>
      <c r="AG668" s="91"/>
      <c r="AH668" s="18"/>
      <c r="AI668" s="18"/>
      <c r="AJ668" s="18"/>
      <c r="AK668" s="18"/>
      <c r="AL668" s="18"/>
      <c r="AM668" s="18"/>
      <c r="AN668" s="18"/>
      <c r="AO668" s="18"/>
      <c r="AP668" s="18"/>
      <c r="AQ668" s="18"/>
      <c r="AR668" s="18"/>
      <c r="AS668" s="18"/>
      <c r="AT668" s="18"/>
      <c r="AU668" s="91"/>
      <c r="AV668" s="18"/>
      <c r="AW668" s="18"/>
      <c r="AX668" s="18"/>
      <c r="AY668" s="17"/>
      <c r="AZ668" s="17"/>
      <c r="BA668" s="17"/>
      <c r="BB668" s="17"/>
      <c r="BC668" s="96"/>
      <c r="BD668" s="96"/>
      <c r="BE668" s="96"/>
      <c r="BF668" s="96"/>
      <c r="BG668" s="96"/>
      <c r="BH668" s="96"/>
      <c r="BI668" s="96"/>
    </row>
    <row r="669" spans="1:61" x14ac:dyDescent="0.45">
      <c r="A669" s="17"/>
      <c r="B669" s="17"/>
      <c r="C669" s="17"/>
      <c r="D669" s="17"/>
      <c r="E669" s="15"/>
      <c r="F669" s="17"/>
      <c r="G669" s="17"/>
      <c r="H669" s="3"/>
      <c r="I669" s="88"/>
      <c r="J669" s="88"/>
      <c r="K669" s="15"/>
      <c r="L669" s="96"/>
      <c r="M669" s="89"/>
      <c r="N669" s="88"/>
      <c r="O669" s="413"/>
      <c r="P669" s="18"/>
      <c r="Q669" s="91"/>
      <c r="R669" s="18"/>
      <c r="S669" s="18"/>
      <c r="T669" s="18"/>
      <c r="U669" s="18"/>
      <c r="V669" s="18"/>
      <c r="W669" s="18"/>
      <c r="X669" s="18"/>
      <c r="Y669" s="92"/>
      <c r="Z669" s="92"/>
      <c r="AA669" s="418"/>
      <c r="AB669" s="95"/>
      <c r="AC669" s="18"/>
      <c r="AD669" s="18"/>
      <c r="AE669" s="18"/>
      <c r="AF669" s="18"/>
      <c r="AG669" s="91"/>
      <c r="AH669" s="18"/>
      <c r="AI669" s="18"/>
      <c r="AJ669" s="18"/>
      <c r="AK669" s="18"/>
      <c r="AL669" s="18"/>
      <c r="AM669" s="18"/>
      <c r="AN669" s="18"/>
      <c r="AO669" s="18"/>
      <c r="AP669" s="18"/>
      <c r="AQ669" s="18"/>
      <c r="AR669" s="18"/>
      <c r="AS669" s="18"/>
      <c r="AT669" s="18"/>
      <c r="AU669" s="91"/>
      <c r="AV669" s="18"/>
      <c r="AW669" s="18"/>
      <c r="AX669" s="18"/>
      <c r="AY669" s="17"/>
      <c r="AZ669" s="17"/>
      <c r="BA669" s="17"/>
      <c r="BB669" s="17"/>
      <c r="BC669" s="96"/>
      <c r="BD669" s="96"/>
      <c r="BE669" s="96"/>
      <c r="BF669" s="96"/>
      <c r="BG669" s="96"/>
      <c r="BH669" s="96"/>
      <c r="BI669" s="96"/>
    </row>
    <row r="670" spans="1:61" x14ac:dyDescent="0.45">
      <c r="A670" s="17"/>
      <c r="B670" s="17"/>
      <c r="C670" s="17"/>
      <c r="D670" s="17"/>
      <c r="E670" s="15"/>
      <c r="F670" s="17"/>
      <c r="G670" s="17"/>
      <c r="H670" s="3"/>
      <c r="I670" s="88"/>
      <c r="J670" s="88"/>
      <c r="K670" s="15"/>
      <c r="L670" s="96"/>
      <c r="M670" s="89"/>
      <c r="N670" s="88"/>
      <c r="O670" s="413"/>
      <c r="P670" s="18"/>
      <c r="Q670" s="91"/>
      <c r="R670" s="18"/>
      <c r="S670" s="18"/>
      <c r="T670" s="18"/>
      <c r="U670" s="18"/>
      <c r="V670" s="18"/>
      <c r="W670" s="18"/>
      <c r="X670" s="18"/>
      <c r="Y670" s="92"/>
      <c r="Z670" s="92"/>
      <c r="AA670" s="418"/>
      <c r="AB670" s="95"/>
      <c r="AC670" s="18"/>
      <c r="AD670" s="18"/>
      <c r="AE670" s="18"/>
      <c r="AF670" s="18"/>
      <c r="AG670" s="91"/>
      <c r="AH670" s="18"/>
      <c r="AI670" s="18"/>
      <c r="AJ670" s="18"/>
      <c r="AK670" s="18"/>
      <c r="AL670" s="18"/>
      <c r="AM670" s="18"/>
      <c r="AN670" s="18"/>
      <c r="AO670" s="18"/>
      <c r="AP670" s="18"/>
      <c r="AQ670" s="18"/>
      <c r="AR670" s="18"/>
      <c r="AS670" s="18"/>
      <c r="AT670" s="18"/>
      <c r="AU670" s="91"/>
      <c r="AV670" s="18"/>
      <c r="AW670" s="18"/>
      <c r="AX670" s="18"/>
      <c r="AY670" s="17"/>
      <c r="AZ670" s="17"/>
      <c r="BA670" s="17"/>
      <c r="BB670" s="17"/>
      <c r="BC670" s="96"/>
      <c r="BD670" s="96"/>
      <c r="BE670" s="96"/>
      <c r="BF670" s="96"/>
      <c r="BG670" s="96"/>
      <c r="BH670" s="96"/>
      <c r="BI670" s="96"/>
    </row>
    <row r="671" spans="1:61" x14ac:dyDescent="0.45">
      <c r="A671" s="17"/>
      <c r="B671" s="17"/>
      <c r="C671" s="17"/>
      <c r="D671" s="17"/>
      <c r="E671" s="15"/>
      <c r="F671" s="17"/>
      <c r="G671" s="17"/>
      <c r="H671" s="3"/>
      <c r="I671" s="88"/>
      <c r="J671" s="88"/>
      <c r="K671" s="15"/>
      <c r="L671" s="96"/>
      <c r="M671" s="89"/>
      <c r="N671" s="88"/>
      <c r="O671" s="413"/>
      <c r="P671" s="18"/>
      <c r="Q671" s="91"/>
      <c r="R671" s="18"/>
      <c r="S671" s="18"/>
      <c r="T671" s="18"/>
      <c r="U671" s="18"/>
      <c r="V671" s="18"/>
      <c r="W671" s="18"/>
      <c r="X671" s="18"/>
      <c r="Y671" s="92"/>
      <c r="Z671" s="92"/>
      <c r="AA671" s="418"/>
      <c r="AB671" s="95"/>
      <c r="AC671" s="18"/>
      <c r="AD671" s="18"/>
      <c r="AE671" s="18"/>
      <c r="AF671" s="18"/>
      <c r="AG671" s="91"/>
      <c r="AH671" s="18"/>
      <c r="AI671" s="18"/>
      <c r="AJ671" s="18"/>
      <c r="AK671" s="18"/>
      <c r="AL671" s="18"/>
      <c r="AM671" s="18"/>
      <c r="AN671" s="18"/>
      <c r="AO671" s="18"/>
      <c r="AP671" s="18"/>
      <c r="AQ671" s="18"/>
      <c r="AR671" s="18"/>
      <c r="AS671" s="18"/>
      <c r="AT671" s="18"/>
      <c r="AU671" s="91"/>
      <c r="AV671" s="18"/>
      <c r="AW671" s="18"/>
      <c r="AX671" s="18"/>
      <c r="AY671" s="17"/>
      <c r="AZ671" s="17"/>
      <c r="BA671" s="17"/>
      <c r="BB671" s="17"/>
      <c r="BC671" s="96"/>
      <c r="BD671" s="96"/>
      <c r="BE671" s="96"/>
      <c r="BF671" s="96"/>
      <c r="BG671" s="96"/>
      <c r="BH671" s="96"/>
      <c r="BI671" s="96"/>
    </row>
    <row r="672" spans="1:61" x14ac:dyDescent="0.45">
      <c r="A672" s="17"/>
      <c r="B672" s="17"/>
      <c r="C672" s="17"/>
      <c r="D672" s="17"/>
      <c r="E672" s="15"/>
      <c r="F672" s="17"/>
      <c r="G672" s="17"/>
      <c r="H672" s="3"/>
      <c r="I672" s="88"/>
      <c r="J672" s="88"/>
      <c r="K672" s="15"/>
      <c r="L672" s="96"/>
      <c r="M672" s="89"/>
      <c r="N672" s="88"/>
      <c r="O672" s="413"/>
      <c r="P672" s="18"/>
      <c r="Q672" s="91"/>
      <c r="R672" s="18"/>
      <c r="S672" s="18"/>
      <c r="T672" s="18"/>
      <c r="U672" s="18"/>
      <c r="V672" s="18"/>
      <c r="W672" s="18"/>
      <c r="X672" s="18"/>
      <c r="Y672" s="92"/>
      <c r="Z672" s="92"/>
      <c r="AA672" s="418"/>
      <c r="AB672" s="95"/>
      <c r="AC672" s="18"/>
      <c r="AD672" s="18"/>
      <c r="AE672" s="18"/>
      <c r="AF672" s="18"/>
      <c r="AG672" s="91"/>
      <c r="AH672" s="18"/>
      <c r="AI672" s="18"/>
      <c r="AJ672" s="18"/>
      <c r="AK672" s="18"/>
      <c r="AL672" s="18"/>
      <c r="AM672" s="18"/>
      <c r="AN672" s="18"/>
      <c r="AO672" s="18"/>
      <c r="AP672" s="18"/>
      <c r="AQ672" s="18"/>
      <c r="AR672" s="18"/>
      <c r="AS672" s="18"/>
      <c r="AT672" s="18"/>
      <c r="AU672" s="91"/>
      <c r="AV672" s="18"/>
      <c r="AW672" s="18"/>
      <c r="AX672" s="18"/>
      <c r="AY672" s="17"/>
      <c r="AZ672" s="17"/>
      <c r="BA672" s="17"/>
      <c r="BB672" s="17"/>
      <c r="BC672" s="96"/>
      <c r="BD672" s="96"/>
      <c r="BE672" s="96"/>
      <c r="BF672" s="96"/>
      <c r="BG672" s="96"/>
      <c r="BH672" s="96"/>
      <c r="BI672" s="96"/>
    </row>
    <row r="673" spans="1:61" x14ac:dyDescent="0.45">
      <c r="A673" s="17"/>
      <c r="B673" s="17"/>
      <c r="C673" s="17"/>
      <c r="D673" s="17"/>
      <c r="E673" s="15"/>
      <c r="F673" s="17"/>
      <c r="G673" s="17"/>
      <c r="H673" s="3"/>
      <c r="I673" s="88"/>
      <c r="J673" s="88"/>
      <c r="K673" s="15"/>
      <c r="L673" s="96"/>
      <c r="M673" s="89"/>
      <c r="N673" s="88"/>
      <c r="O673" s="413"/>
      <c r="P673" s="18"/>
      <c r="Q673" s="91"/>
      <c r="R673" s="18"/>
      <c r="S673" s="18"/>
      <c r="T673" s="18"/>
      <c r="U673" s="18"/>
      <c r="V673" s="18"/>
      <c r="W673" s="18"/>
      <c r="X673" s="18"/>
      <c r="Y673" s="92"/>
      <c r="Z673" s="92"/>
      <c r="AA673" s="418"/>
      <c r="AB673" s="95"/>
      <c r="AC673" s="18"/>
      <c r="AD673" s="18"/>
      <c r="AE673" s="18"/>
      <c r="AF673" s="18"/>
      <c r="AG673" s="91"/>
      <c r="AH673" s="18"/>
      <c r="AI673" s="18"/>
      <c r="AJ673" s="18"/>
      <c r="AK673" s="18"/>
      <c r="AL673" s="18"/>
      <c r="AM673" s="18"/>
      <c r="AN673" s="18"/>
      <c r="AO673" s="18"/>
      <c r="AP673" s="18"/>
      <c r="AQ673" s="18"/>
      <c r="AR673" s="18"/>
      <c r="AS673" s="18"/>
      <c r="AT673" s="18"/>
      <c r="AU673" s="91"/>
      <c r="AV673" s="18"/>
      <c r="AW673" s="18"/>
      <c r="AX673" s="18"/>
      <c r="AY673" s="17"/>
      <c r="AZ673" s="17"/>
      <c r="BA673" s="17"/>
      <c r="BB673" s="17"/>
      <c r="BC673" s="96"/>
      <c r="BD673" s="96"/>
      <c r="BE673" s="96"/>
      <c r="BF673" s="96"/>
      <c r="BG673" s="96"/>
      <c r="BH673" s="96"/>
      <c r="BI673" s="96"/>
    </row>
    <row r="674" spans="1:61" x14ac:dyDescent="0.45">
      <c r="A674" s="17"/>
      <c r="B674" s="17"/>
      <c r="C674" s="17"/>
      <c r="D674" s="17"/>
      <c r="E674" s="15"/>
      <c r="F674" s="17"/>
      <c r="G674" s="17"/>
      <c r="H674" s="3"/>
      <c r="I674" s="88"/>
      <c r="J674" s="88"/>
      <c r="K674" s="15"/>
      <c r="L674" s="96"/>
      <c r="M674" s="89"/>
      <c r="N674" s="88"/>
      <c r="O674" s="413"/>
      <c r="P674" s="18"/>
      <c r="Q674" s="91"/>
      <c r="R674" s="18"/>
      <c r="S674" s="18"/>
      <c r="T674" s="18"/>
      <c r="U674" s="18"/>
      <c r="V674" s="18"/>
      <c r="W674" s="18"/>
      <c r="X674" s="18"/>
      <c r="Y674" s="92"/>
      <c r="Z674" s="92"/>
      <c r="AA674" s="418"/>
      <c r="AB674" s="95"/>
      <c r="AC674" s="18"/>
      <c r="AD674" s="18"/>
      <c r="AE674" s="18"/>
      <c r="AF674" s="18"/>
      <c r="AG674" s="91"/>
      <c r="AH674" s="18"/>
      <c r="AI674" s="18"/>
      <c r="AJ674" s="18"/>
      <c r="AK674" s="18"/>
      <c r="AL674" s="18"/>
      <c r="AM674" s="18"/>
      <c r="AN674" s="18"/>
      <c r="AO674" s="18"/>
      <c r="AP674" s="18"/>
      <c r="AQ674" s="18"/>
      <c r="AR674" s="18"/>
      <c r="AS674" s="18"/>
      <c r="AT674" s="18"/>
      <c r="AU674" s="91"/>
      <c r="AV674" s="18"/>
      <c r="AW674" s="18"/>
      <c r="AX674" s="18"/>
      <c r="AY674" s="17"/>
      <c r="AZ674" s="17"/>
      <c r="BA674" s="17"/>
      <c r="BB674" s="17"/>
      <c r="BC674" s="96"/>
      <c r="BD674" s="96"/>
      <c r="BE674" s="96"/>
      <c r="BF674" s="96"/>
      <c r="BG674" s="96"/>
      <c r="BH674" s="96"/>
      <c r="BI674" s="96"/>
    </row>
    <row r="675" spans="1:61" x14ac:dyDescent="0.45">
      <c r="A675" s="17"/>
      <c r="B675" s="17"/>
      <c r="C675" s="17"/>
      <c r="D675" s="17"/>
      <c r="E675" s="15"/>
      <c r="F675" s="17"/>
      <c r="G675" s="17"/>
      <c r="H675" s="3"/>
      <c r="I675" s="88"/>
      <c r="J675" s="88"/>
      <c r="K675" s="15"/>
      <c r="L675" s="96"/>
      <c r="M675" s="89"/>
      <c r="N675" s="88"/>
      <c r="O675" s="413"/>
      <c r="P675" s="18"/>
      <c r="Q675" s="91"/>
      <c r="R675" s="18"/>
      <c r="S675" s="18"/>
      <c r="T675" s="18"/>
      <c r="U675" s="18"/>
      <c r="V675" s="18"/>
      <c r="W675" s="18"/>
      <c r="X675" s="18"/>
      <c r="Y675" s="92"/>
      <c r="Z675" s="92"/>
      <c r="AA675" s="418"/>
      <c r="AB675" s="95"/>
      <c r="AC675" s="18"/>
      <c r="AD675" s="18"/>
      <c r="AE675" s="18"/>
      <c r="AF675" s="18"/>
      <c r="AG675" s="91"/>
      <c r="AH675" s="18"/>
      <c r="AI675" s="18"/>
      <c r="AJ675" s="18"/>
      <c r="AK675" s="18"/>
      <c r="AL675" s="18"/>
      <c r="AM675" s="18"/>
      <c r="AN675" s="18"/>
      <c r="AO675" s="18"/>
      <c r="AP675" s="18"/>
      <c r="AQ675" s="18"/>
      <c r="AR675" s="18"/>
      <c r="AS675" s="18"/>
      <c r="AT675" s="18"/>
      <c r="AU675" s="91"/>
      <c r="AV675" s="18"/>
      <c r="AW675" s="18"/>
      <c r="AX675" s="18"/>
      <c r="AY675" s="17"/>
      <c r="AZ675" s="17"/>
      <c r="BA675" s="17"/>
      <c r="BB675" s="17"/>
      <c r="BC675" s="96"/>
      <c r="BD675" s="96"/>
      <c r="BE675" s="96"/>
      <c r="BF675" s="96"/>
      <c r="BG675" s="96"/>
      <c r="BH675" s="96"/>
      <c r="BI675" s="96"/>
    </row>
    <row r="676" spans="1:61" x14ac:dyDescent="0.45">
      <c r="A676" s="17"/>
      <c r="B676" s="17"/>
      <c r="C676" s="17"/>
      <c r="D676" s="17"/>
      <c r="E676" s="15"/>
      <c r="F676" s="17"/>
      <c r="G676" s="17"/>
      <c r="H676" s="3"/>
      <c r="I676" s="88"/>
      <c r="J676" s="88"/>
      <c r="K676" s="15"/>
      <c r="L676" s="96"/>
      <c r="M676" s="89"/>
      <c r="N676" s="88"/>
      <c r="O676" s="413"/>
      <c r="P676" s="18"/>
      <c r="Q676" s="91"/>
      <c r="R676" s="18"/>
      <c r="S676" s="18"/>
      <c r="T676" s="18"/>
      <c r="U676" s="18"/>
      <c r="V676" s="18"/>
      <c r="W676" s="18"/>
      <c r="X676" s="18"/>
      <c r="Y676" s="92"/>
      <c r="Z676" s="92"/>
      <c r="AA676" s="418"/>
      <c r="AB676" s="95"/>
      <c r="AC676" s="18"/>
      <c r="AD676" s="18"/>
      <c r="AE676" s="18"/>
      <c r="AF676" s="18"/>
      <c r="AG676" s="91"/>
      <c r="AH676" s="18"/>
      <c r="AI676" s="18"/>
      <c r="AJ676" s="18"/>
      <c r="AK676" s="18"/>
      <c r="AL676" s="18"/>
      <c r="AM676" s="18"/>
      <c r="AN676" s="18"/>
      <c r="AO676" s="18"/>
      <c r="AP676" s="18"/>
      <c r="AQ676" s="18"/>
      <c r="AR676" s="18"/>
      <c r="AS676" s="18"/>
      <c r="AT676" s="18"/>
      <c r="AU676" s="91"/>
      <c r="AV676" s="18"/>
      <c r="AW676" s="18"/>
      <c r="AX676" s="18"/>
      <c r="AY676" s="17"/>
      <c r="AZ676" s="17"/>
      <c r="BA676" s="17"/>
      <c r="BB676" s="17"/>
      <c r="BC676" s="96"/>
      <c r="BD676" s="96"/>
      <c r="BE676" s="96"/>
      <c r="BF676" s="96"/>
      <c r="BG676" s="96"/>
      <c r="BH676" s="96"/>
      <c r="BI676" s="96"/>
    </row>
    <row r="677" spans="1:61" x14ac:dyDescent="0.45">
      <c r="A677" s="17"/>
      <c r="B677" s="17"/>
      <c r="C677" s="17"/>
      <c r="D677" s="17"/>
      <c r="E677" s="15"/>
      <c r="F677" s="17"/>
      <c r="G677" s="17"/>
      <c r="H677" s="3"/>
      <c r="I677" s="88"/>
      <c r="J677" s="88"/>
      <c r="K677" s="15"/>
      <c r="L677" s="96"/>
      <c r="M677" s="89"/>
      <c r="N677" s="88"/>
      <c r="O677" s="413"/>
      <c r="P677" s="18"/>
      <c r="Q677" s="91"/>
      <c r="R677" s="18"/>
      <c r="S677" s="18"/>
      <c r="T677" s="18"/>
      <c r="U677" s="18"/>
      <c r="V677" s="18"/>
      <c r="W677" s="18"/>
      <c r="X677" s="18"/>
      <c r="Y677" s="92"/>
      <c r="Z677" s="92"/>
      <c r="AA677" s="418"/>
      <c r="AB677" s="95"/>
      <c r="AC677" s="18"/>
      <c r="AD677" s="18"/>
      <c r="AE677" s="18"/>
      <c r="AF677" s="18"/>
      <c r="AG677" s="91"/>
      <c r="AH677" s="18"/>
      <c r="AI677" s="18"/>
      <c r="AJ677" s="18"/>
      <c r="AK677" s="18"/>
      <c r="AL677" s="18"/>
      <c r="AM677" s="18"/>
      <c r="AN677" s="18"/>
      <c r="AO677" s="18"/>
      <c r="AP677" s="18"/>
      <c r="AQ677" s="18"/>
      <c r="AR677" s="18"/>
      <c r="AS677" s="18"/>
      <c r="AT677" s="18"/>
      <c r="AU677" s="91"/>
      <c r="AV677" s="18"/>
      <c r="AW677" s="18"/>
      <c r="AX677" s="18"/>
      <c r="AY677" s="17"/>
      <c r="AZ677" s="17"/>
      <c r="BA677" s="17"/>
      <c r="BB677" s="17"/>
      <c r="BC677" s="96"/>
      <c r="BD677" s="96"/>
      <c r="BE677" s="96"/>
      <c r="BF677" s="96"/>
      <c r="BG677" s="96"/>
      <c r="BH677" s="96"/>
      <c r="BI677" s="96"/>
    </row>
    <row r="678" spans="1:61" x14ac:dyDescent="0.45">
      <c r="A678" s="17"/>
      <c r="B678" s="17"/>
      <c r="C678" s="17"/>
      <c r="D678" s="17"/>
      <c r="E678" s="15"/>
      <c r="F678" s="17"/>
      <c r="G678" s="17"/>
      <c r="H678" s="3"/>
      <c r="I678" s="88"/>
      <c r="J678" s="88"/>
      <c r="K678" s="15"/>
      <c r="L678" s="96"/>
      <c r="M678" s="89"/>
      <c r="N678" s="88"/>
      <c r="O678" s="413"/>
      <c r="P678" s="18"/>
      <c r="Q678" s="91"/>
      <c r="R678" s="18"/>
      <c r="S678" s="18"/>
      <c r="T678" s="18"/>
      <c r="U678" s="18"/>
      <c r="V678" s="18"/>
      <c r="W678" s="18"/>
      <c r="X678" s="18"/>
      <c r="Y678" s="92"/>
      <c r="Z678" s="92"/>
      <c r="AA678" s="418"/>
      <c r="AB678" s="95"/>
      <c r="AC678" s="18"/>
      <c r="AD678" s="18"/>
      <c r="AE678" s="18"/>
      <c r="AF678" s="18"/>
      <c r="AG678" s="91"/>
      <c r="AH678" s="18"/>
      <c r="AI678" s="18"/>
      <c r="AJ678" s="18"/>
      <c r="AK678" s="18"/>
      <c r="AL678" s="18"/>
      <c r="AM678" s="18"/>
      <c r="AN678" s="18"/>
      <c r="AO678" s="18"/>
      <c r="AP678" s="18"/>
      <c r="AQ678" s="18"/>
      <c r="AR678" s="18"/>
      <c r="AS678" s="18"/>
      <c r="AT678" s="18"/>
      <c r="AU678" s="91"/>
      <c r="AV678" s="18"/>
      <c r="AW678" s="18"/>
      <c r="AX678" s="18"/>
      <c r="AY678" s="17"/>
      <c r="AZ678" s="17"/>
      <c r="BA678" s="17"/>
      <c r="BB678" s="17"/>
      <c r="BC678" s="96"/>
      <c r="BD678" s="96"/>
      <c r="BE678" s="96"/>
      <c r="BF678" s="96"/>
      <c r="BG678" s="96"/>
      <c r="BH678" s="96"/>
      <c r="BI678" s="96"/>
    </row>
    <row r="679" spans="1:61" x14ac:dyDescent="0.45">
      <c r="A679" s="17"/>
      <c r="B679" s="17"/>
      <c r="C679" s="17"/>
      <c r="D679" s="17"/>
      <c r="E679" s="15"/>
      <c r="F679" s="17"/>
      <c r="G679" s="17"/>
      <c r="H679" s="3"/>
      <c r="I679" s="88"/>
      <c r="J679" s="88"/>
      <c r="K679" s="15"/>
      <c r="L679" s="96"/>
      <c r="M679" s="89"/>
      <c r="N679" s="88"/>
      <c r="O679" s="413"/>
      <c r="P679" s="18"/>
      <c r="Q679" s="91"/>
      <c r="R679" s="18"/>
      <c r="S679" s="18"/>
      <c r="T679" s="18"/>
      <c r="U679" s="18"/>
      <c r="V679" s="18"/>
      <c r="W679" s="18"/>
      <c r="X679" s="18"/>
      <c r="Y679" s="92"/>
      <c r="Z679" s="92"/>
      <c r="AA679" s="418"/>
      <c r="AB679" s="95"/>
      <c r="AC679" s="18"/>
      <c r="AD679" s="18"/>
      <c r="AE679" s="18"/>
      <c r="AF679" s="18"/>
      <c r="AG679" s="91"/>
      <c r="AH679" s="18"/>
      <c r="AI679" s="18"/>
      <c r="AJ679" s="18"/>
      <c r="AK679" s="18"/>
      <c r="AL679" s="18"/>
      <c r="AM679" s="18"/>
      <c r="AN679" s="18"/>
      <c r="AO679" s="18"/>
      <c r="AP679" s="18"/>
      <c r="AQ679" s="18"/>
      <c r="AR679" s="18"/>
      <c r="AS679" s="18"/>
      <c r="AT679" s="18"/>
      <c r="AU679" s="91"/>
      <c r="AV679" s="18"/>
      <c r="AW679" s="18"/>
      <c r="AX679" s="18"/>
      <c r="AY679" s="17"/>
      <c r="AZ679" s="17"/>
      <c r="BA679" s="17"/>
      <c r="BB679" s="17"/>
      <c r="BC679" s="96"/>
      <c r="BD679" s="96"/>
      <c r="BE679" s="96"/>
      <c r="BF679" s="96"/>
      <c r="BG679" s="96"/>
      <c r="BH679" s="96"/>
      <c r="BI679" s="96"/>
    </row>
    <row r="680" spans="1:61" x14ac:dyDescent="0.45">
      <c r="A680" s="17"/>
      <c r="B680" s="17"/>
      <c r="C680" s="17"/>
      <c r="D680" s="17"/>
      <c r="E680" s="15"/>
      <c r="F680" s="17"/>
      <c r="G680" s="17"/>
      <c r="H680" s="3"/>
      <c r="I680" s="88"/>
      <c r="J680" s="88"/>
      <c r="K680" s="15"/>
      <c r="L680" s="96"/>
      <c r="M680" s="89"/>
      <c r="N680" s="88"/>
      <c r="O680" s="413"/>
      <c r="P680" s="18"/>
      <c r="Q680" s="91"/>
      <c r="R680" s="18"/>
      <c r="S680" s="18"/>
      <c r="T680" s="18"/>
      <c r="U680" s="18"/>
      <c r="V680" s="18"/>
      <c r="W680" s="18"/>
      <c r="X680" s="18"/>
      <c r="Y680" s="92"/>
      <c r="Z680" s="92"/>
      <c r="AA680" s="418"/>
      <c r="AB680" s="95"/>
      <c r="AC680" s="18"/>
      <c r="AD680" s="18"/>
      <c r="AE680" s="18"/>
      <c r="AF680" s="18"/>
      <c r="AG680" s="91"/>
      <c r="AH680" s="18"/>
      <c r="AI680" s="18"/>
      <c r="AJ680" s="18"/>
      <c r="AK680" s="18"/>
      <c r="AL680" s="18"/>
      <c r="AM680" s="18"/>
      <c r="AN680" s="18"/>
      <c r="AO680" s="18"/>
      <c r="AP680" s="18"/>
      <c r="AQ680" s="18"/>
      <c r="AR680" s="18"/>
      <c r="AS680" s="18"/>
      <c r="AT680" s="18"/>
      <c r="AU680" s="91"/>
      <c r="AV680" s="18"/>
      <c r="AW680" s="18"/>
      <c r="AX680" s="18"/>
      <c r="AY680" s="17"/>
      <c r="AZ680" s="17"/>
      <c r="BA680" s="17"/>
      <c r="BB680" s="17"/>
      <c r="BC680" s="96"/>
      <c r="BD680" s="96"/>
      <c r="BE680" s="96"/>
      <c r="BF680" s="96"/>
      <c r="BG680" s="96"/>
      <c r="BH680" s="96"/>
      <c r="BI680" s="96"/>
    </row>
    <row r="681" spans="1:61" x14ac:dyDescent="0.45">
      <c r="A681" s="17"/>
      <c r="B681" s="17"/>
      <c r="C681" s="17"/>
      <c r="D681" s="17"/>
      <c r="E681" s="15"/>
      <c r="F681" s="17"/>
      <c r="G681" s="17"/>
      <c r="H681" s="3"/>
      <c r="I681" s="88"/>
      <c r="J681" s="88"/>
      <c r="K681" s="15"/>
      <c r="L681" s="96"/>
      <c r="M681" s="89"/>
      <c r="N681" s="88"/>
      <c r="O681" s="413"/>
      <c r="P681" s="18"/>
      <c r="Q681" s="91"/>
      <c r="R681" s="18"/>
      <c r="S681" s="18"/>
      <c r="T681" s="18"/>
      <c r="U681" s="18"/>
      <c r="V681" s="18"/>
      <c r="W681" s="18"/>
      <c r="X681" s="18"/>
      <c r="Y681" s="92"/>
      <c r="Z681" s="92"/>
      <c r="AA681" s="418"/>
      <c r="AB681" s="95"/>
      <c r="AC681" s="18"/>
      <c r="AD681" s="18"/>
      <c r="AE681" s="18"/>
      <c r="AF681" s="18"/>
      <c r="AG681" s="91"/>
      <c r="AH681" s="18"/>
      <c r="AI681" s="18"/>
      <c r="AJ681" s="18"/>
      <c r="AK681" s="18"/>
      <c r="AL681" s="18"/>
      <c r="AM681" s="18"/>
      <c r="AN681" s="18"/>
      <c r="AO681" s="18"/>
      <c r="AP681" s="18"/>
      <c r="AQ681" s="18"/>
      <c r="AR681" s="18"/>
      <c r="AS681" s="18"/>
      <c r="AT681" s="18"/>
      <c r="AU681" s="91"/>
      <c r="AV681" s="18"/>
      <c r="AW681" s="18"/>
      <c r="AX681" s="18"/>
      <c r="AY681" s="17"/>
      <c r="AZ681" s="17"/>
      <c r="BA681" s="17"/>
      <c r="BB681" s="17"/>
      <c r="BC681" s="96"/>
      <c r="BD681" s="96"/>
      <c r="BE681" s="96"/>
      <c r="BF681" s="96"/>
      <c r="BG681" s="96"/>
      <c r="BH681" s="96"/>
      <c r="BI681" s="96"/>
    </row>
    <row r="682" spans="1:61" x14ac:dyDescent="0.45">
      <c r="A682" s="17"/>
      <c r="B682" s="17"/>
      <c r="C682" s="17"/>
      <c r="D682" s="17"/>
      <c r="E682" s="15"/>
      <c r="F682" s="17"/>
      <c r="G682" s="17"/>
      <c r="H682" s="3"/>
      <c r="I682" s="88"/>
      <c r="J682" s="88"/>
      <c r="K682" s="15"/>
      <c r="L682" s="96"/>
      <c r="M682" s="89"/>
      <c r="N682" s="88"/>
      <c r="O682" s="413"/>
      <c r="P682" s="18"/>
      <c r="Q682" s="91"/>
      <c r="R682" s="18"/>
      <c r="S682" s="18"/>
      <c r="T682" s="18"/>
      <c r="U682" s="18"/>
      <c r="V682" s="18"/>
      <c r="W682" s="18"/>
      <c r="X682" s="18"/>
      <c r="Y682" s="92"/>
      <c r="Z682" s="92"/>
      <c r="AA682" s="418"/>
      <c r="AB682" s="95"/>
      <c r="AC682" s="18"/>
      <c r="AD682" s="18"/>
      <c r="AE682" s="18"/>
      <c r="AF682" s="18"/>
      <c r="AG682" s="91"/>
      <c r="AH682" s="18"/>
      <c r="AI682" s="18"/>
      <c r="AJ682" s="18"/>
      <c r="AK682" s="18"/>
      <c r="AL682" s="18"/>
      <c r="AM682" s="18"/>
      <c r="AN682" s="18"/>
      <c r="AO682" s="18"/>
      <c r="AP682" s="18"/>
      <c r="AQ682" s="18"/>
      <c r="AR682" s="18"/>
      <c r="AS682" s="18"/>
      <c r="AT682" s="18"/>
      <c r="AU682" s="91"/>
      <c r="AV682" s="18"/>
      <c r="AW682" s="18"/>
      <c r="AX682" s="18"/>
      <c r="AY682" s="17"/>
      <c r="AZ682" s="17"/>
      <c r="BA682" s="17"/>
      <c r="BB682" s="17"/>
      <c r="BC682" s="96"/>
      <c r="BD682" s="96"/>
      <c r="BE682" s="96"/>
      <c r="BF682" s="96"/>
      <c r="BG682" s="96"/>
      <c r="BH682" s="96"/>
      <c r="BI682" s="96"/>
    </row>
    <row r="683" spans="1:61" x14ac:dyDescent="0.45">
      <c r="A683" s="17"/>
      <c r="B683" s="17"/>
      <c r="C683" s="17"/>
      <c r="D683" s="17"/>
      <c r="E683" s="15"/>
      <c r="F683" s="17"/>
      <c r="G683" s="17"/>
      <c r="H683" s="3"/>
      <c r="I683" s="88"/>
      <c r="J683" s="88"/>
      <c r="K683" s="15"/>
      <c r="L683" s="96"/>
      <c r="M683" s="89"/>
      <c r="N683" s="88"/>
      <c r="O683" s="413"/>
      <c r="P683" s="18"/>
      <c r="Q683" s="91"/>
      <c r="R683" s="18"/>
      <c r="S683" s="18"/>
      <c r="T683" s="18"/>
      <c r="U683" s="18"/>
      <c r="V683" s="18"/>
      <c r="W683" s="18"/>
      <c r="X683" s="18"/>
      <c r="Y683" s="92"/>
      <c r="Z683" s="92"/>
      <c r="AA683" s="418"/>
      <c r="AB683" s="95"/>
      <c r="AC683" s="18"/>
      <c r="AD683" s="18"/>
      <c r="AE683" s="18"/>
      <c r="AF683" s="18"/>
      <c r="AG683" s="91"/>
      <c r="AH683" s="18"/>
      <c r="AI683" s="18"/>
      <c r="AJ683" s="18"/>
      <c r="AK683" s="18"/>
      <c r="AL683" s="18"/>
      <c r="AM683" s="18"/>
      <c r="AN683" s="18"/>
      <c r="AO683" s="18"/>
      <c r="AP683" s="18"/>
      <c r="AQ683" s="18"/>
      <c r="AR683" s="18"/>
      <c r="AS683" s="18"/>
      <c r="AT683" s="18"/>
      <c r="AU683" s="91"/>
      <c r="AV683" s="18"/>
      <c r="AW683" s="18"/>
      <c r="AX683" s="18"/>
      <c r="AY683" s="17"/>
      <c r="AZ683" s="17"/>
      <c r="BA683" s="17"/>
      <c r="BB683" s="17"/>
      <c r="BC683" s="96"/>
      <c r="BD683" s="96"/>
      <c r="BE683" s="96"/>
      <c r="BF683" s="96"/>
      <c r="BG683" s="96"/>
      <c r="BH683" s="96"/>
      <c r="BI683" s="96"/>
    </row>
    <row r="684" spans="1:61" x14ac:dyDescent="0.45">
      <c r="A684" s="17"/>
      <c r="B684" s="17"/>
      <c r="C684" s="17"/>
      <c r="D684" s="17"/>
      <c r="E684" s="15"/>
      <c r="F684" s="17"/>
      <c r="G684" s="17"/>
      <c r="H684" s="3"/>
      <c r="I684" s="88"/>
      <c r="J684" s="88"/>
      <c r="K684" s="15"/>
      <c r="L684" s="96"/>
      <c r="M684" s="89"/>
      <c r="N684" s="88"/>
      <c r="O684" s="413"/>
      <c r="P684" s="18"/>
      <c r="Q684" s="91"/>
      <c r="R684" s="18"/>
      <c r="S684" s="18"/>
      <c r="T684" s="18"/>
      <c r="U684" s="18"/>
      <c r="V684" s="18"/>
      <c r="W684" s="18"/>
      <c r="X684" s="18"/>
      <c r="Y684" s="92"/>
      <c r="Z684" s="92"/>
      <c r="AA684" s="418"/>
      <c r="AB684" s="95"/>
      <c r="AC684" s="18"/>
      <c r="AD684" s="18"/>
      <c r="AE684" s="18"/>
      <c r="AF684" s="18"/>
      <c r="AG684" s="91"/>
      <c r="AH684" s="18"/>
      <c r="AI684" s="18"/>
      <c r="AJ684" s="18"/>
      <c r="AK684" s="18"/>
      <c r="AL684" s="18"/>
      <c r="AM684" s="18"/>
      <c r="AN684" s="18"/>
      <c r="AO684" s="18"/>
      <c r="AP684" s="18"/>
      <c r="AQ684" s="18"/>
      <c r="AR684" s="18"/>
      <c r="AS684" s="18"/>
      <c r="AT684" s="18"/>
      <c r="AU684" s="91"/>
      <c r="AV684" s="18"/>
      <c r="AW684" s="18"/>
      <c r="AX684" s="18"/>
      <c r="AY684" s="17"/>
      <c r="AZ684" s="17"/>
      <c r="BA684" s="17"/>
      <c r="BB684" s="17"/>
      <c r="BC684" s="96"/>
      <c r="BD684" s="96"/>
      <c r="BE684" s="96"/>
      <c r="BF684" s="96"/>
      <c r="BG684" s="96"/>
      <c r="BH684" s="96"/>
      <c r="BI684" s="96"/>
    </row>
    <row r="685" spans="1:61" x14ac:dyDescent="0.45">
      <c r="A685" s="17"/>
      <c r="B685" s="17"/>
      <c r="C685" s="17"/>
      <c r="D685" s="17"/>
      <c r="E685" s="15"/>
      <c r="F685" s="17"/>
      <c r="G685" s="17"/>
      <c r="H685" s="3"/>
      <c r="I685" s="88"/>
      <c r="J685" s="88"/>
      <c r="K685" s="15"/>
      <c r="L685" s="96"/>
      <c r="M685" s="89"/>
      <c r="N685" s="88"/>
      <c r="O685" s="413"/>
      <c r="P685" s="18"/>
      <c r="Q685" s="91"/>
      <c r="R685" s="18"/>
      <c r="S685" s="18"/>
      <c r="T685" s="18"/>
      <c r="U685" s="18"/>
      <c r="V685" s="18"/>
      <c r="W685" s="18"/>
      <c r="X685" s="18"/>
      <c r="Y685" s="92"/>
      <c r="Z685" s="92"/>
      <c r="AA685" s="418"/>
      <c r="AB685" s="95"/>
      <c r="AC685" s="18"/>
      <c r="AD685" s="18"/>
      <c r="AE685" s="18"/>
      <c r="AF685" s="18"/>
      <c r="AG685" s="91"/>
      <c r="AH685" s="18"/>
      <c r="AI685" s="18"/>
      <c r="AJ685" s="18"/>
      <c r="AK685" s="18"/>
      <c r="AL685" s="18"/>
      <c r="AM685" s="18"/>
      <c r="AN685" s="18"/>
      <c r="AO685" s="18"/>
      <c r="AP685" s="18"/>
      <c r="AQ685" s="18"/>
      <c r="AR685" s="18"/>
      <c r="AS685" s="18"/>
      <c r="AT685" s="18"/>
      <c r="AU685" s="91"/>
      <c r="AV685" s="18"/>
      <c r="AW685" s="18"/>
      <c r="AX685" s="18"/>
      <c r="AY685" s="17"/>
      <c r="AZ685" s="17"/>
      <c r="BA685" s="17"/>
      <c r="BB685" s="17"/>
      <c r="BC685" s="96"/>
      <c r="BD685" s="96"/>
      <c r="BE685" s="96"/>
      <c r="BF685" s="96"/>
      <c r="BG685" s="96"/>
      <c r="BH685" s="96"/>
      <c r="BI685" s="96"/>
    </row>
    <row r="686" spans="1:61" x14ac:dyDescent="0.45">
      <c r="A686" s="17"/>
      <c r="B686" s="17"/>
      <c r="C686" s="17"/>
      <c r="D686" s="17"/>
      <c r="E686" s="15"/>
      <c r="F686" s="17"/>
      <c r="G686" s="17"/>
      <c r="H686" s="3"/>
      <c r="I686" s="88"/>
      <c r="J686" s="88"/>
      <c r="K686" s="15"/>
      <c r="L686" s="96"/>
      <c r="M686" s="89"/>
      <c r="N686" s="88"/>
      <c r="O686" s="413"/>
      <c r="P686" s="18"/>
      <c r="Q686" s="91"/>
      <c r="R686" s="18"/>
      <c r="S686" s="18"/>
      <c r="T686" s="18"/>
      <c r="U686" s="18"/>
      <c r="V686" s="18"/>
      <c r="W686" s="18"/>
      <c r="X686" s="18"/>
      <c r="Y686" s="92"/>
      <c r="Z686" s="92"/>
      <c r="AA686" s="418"/>
      <c r="AB686" s="95"/>
      <c r="AC686" s="18"/>
      <c r="AD686" s="18"/>
      <c r="AE686" s="18"/>
      <c r="AF686" s="18"/>
      <c r="AG686" s="91"/>
      <c r="AH686" s="18"/>
      <c r="AI686" s="18"/>
      <c r="AJ686" s="18"/>
      <c r="AK686" s="18"/>
      <c r="AL686" s="18"/>
      <c r="AM686" s="18"/>
      <c r="AN686" s="18"/>
      <c r="AO686" s="18"/>
      <c r="AP686" s="18"/>
      <c r="AQ686" s="18"/>
      <c r="AR686" s="18"/>
      <c r="AS686" s="18"/>
      <c r="AT686" s="18"/>
      <c r="AU686" s="91"/>
      <c r="AV686" s="18"/>
      <c r="AW686" s="18"/>
      <c r="AX686" s="18"/>
      <c r="AY686" s="17"/>
      <c r="AZ686" s="17"/>
      <c r="BA686" s="17"/>
      <c r="BB686" s="17"/>
      <c r="BC686" s="96"/>
      <c r="BD686" s="96"/>
      <c r="BE686" s="96"/>
      <c r="BF686" s="96"/>
      <c r="BG686" s="96"/>
      <c r="BH686" s="96"/>
      <c r="BI686" s="96"/>
    </row>
    <row r="687" spans="1:61" x14ac:dyDescent="0.45">
      <c r="A687" s="17"/>
      <c r="B687" s="17"/>
      <c r="C687" s="17"/>
      <c r="D687" s="17"/>
      <c r="E687" s="15"/>
      <c r="F687" s="17"/>
      <c r="G687" s="17"/>
      <c r="H687" s="3"/>
      <c r="I687" s="88"/>
      <c r="J687" s="88"/>
      <c r="K687" s="15"/>
      <c r="L687" s="96"/>
      <c r="M687" s="89"/>
      <c r="N687" s="88"/>
      <c r="O687" s="413"/>
      <c r="P687" s="18"/>
      <c r="Q687" s="91"/>
      <c r="R687" s="18"/>
      <c r="S687" s="18"/>
      <c r="T687" s="18"/>
      <c r="U687" s="18"/>
      <c r="V687" s="18"/>
      <c r="W687" s="18"/>
      <c r="X687" s="18"/>
      <c r="Y687" s="92"/>
      <c r="Z687" s="92"/>
      <c r="AA687" s="418"/>
      <c r="AB687" s="95"/>
      <c r="AC687" s="18"/>
      <c r="AD687" s="18"/>
      <c r="AE687" s="18"/>
      <c r="AF687" s="18"/>
      <c r="AG687" s="91"/>
      <c r="AH687" s="18"/>
      <c r="AI687" s="18"/>
      <c r="AJ687" s="18"/>
      <c r="AK687" s="18"/>
      <c r="AL687" s="18"/>
      <c r="AM687" s="18"/>
      <c r="AN687" s="18"/>
      <c r="AO687" s="18"/>
      <c r="AP687" s="18"/>
      <c r="AQ687" s="18"/>
      <c r="AR687" s="18"/>
      <c r="AS687" s="18"/>
      <c r="AT687" s="18"/>
      <c r="AU687" s="91"/>
      <c r="AV687" s="18"/>
      <c r="AW687" s="18"/>
      <c r="AX687" s="18"/>
      <c r="AY687" s="17"/>
      <c r="AZ687" s="17"/>
      <c r="BA687" s="17"/>
      <c r="BB687" s="17"/>
      <c r="BC687" s="96"/>
      <c r="BD687" s="96"/>
      <c r="BE687" s="96"/>
      <c r="BF687" s="96"/>
      <c r="BG687" s="96"/>
      <c r="BH687" s="96"/>
      <c r="BI687" s="96"/>
    </row>
    <row r="688" spans="1:61" x14ac:dyDescent="0.45">
      <c r="A688" s="17"/>
      <c r="B688" s="17"/>
      <c r="C688" s="17"/>
      <c r="D688" s="17"/>
      <c r="E688" s="15"/>
      <c r="F688" s="17"/>
      <c r="G688" s="17"/>
      <c r="H688" s="3"/>
      <c r="I688" s="88"/>
      <c r="J688" s="88"/>
      <c r="K688" s="15"/>
      <c r="L688" s="96"/>
      <c r="M688" s="89"/>
      <c r="N688" s="88"/>
      <c r="O688" s="413"/>
      <c r="P688" s="18"/>
      <c r="Q688" s="91"/>
      <c r="R688" s="18"/>
      <c r="S688" s="18"/>
      <c r="T688" s="18"/>
      <c r="U688" s="18"/>
      <c r="V688" s="18"/>
      <c r="W688" s="18"/>
      <c r="X688" s="18"/>
      <c r="Y688" s="92"/>
      <c r="Z688" s="92"/>
      <c r="AA688" s="418"/>
      <c r="AB688" s="95"/>
      <c r="AC688" s="18"/>
      <c r="AD688" s="18"/>
      <c r="AE688" s="18"/>
      <c r="AF688" s="18"/>
      <c r="AG688" s="91"/>
      <c r="AH688" s="18"/>
      <c r="AI688" s="18"/>
      <c r="AJ688" s="18"/>
      <c r="AK688" s="18"/>
      <c r="AL688" s="18"/>
      <c r="AM688" s="18"/>
      <c r="AN688" s="18"/>
      <c r="AO688" s="18"/>
      <c r="AP688" s="18"/>
      <c r="AQ688" s="18"/>
      <c r="AR688" s="18"/>
      <c r="AS688" s="18"/>
      <c r="AT688" s="18"/>
      <c r="AU688" s="91"/>
      <c r="AV688" s="18"/>
      <c r="AW688" s="18"/>
      <c r="AX688" s="18"/>
      <c r="AY688" s="17"/>
      <c r="AZ688" s="17"/>
      <c r="BA688" s="17"/>
      <c r="BB688" s="17"/>
      <c r="BC688" s="96"/>
      <c r="BD688" s="96"/>
      <c r="BE688" s="96"/>
      <c r="BF688" s="96"/>
      <c r="BG688" s="96"/>
      <c r="BH688" s="96"/>
      <c r="BI688" s="96"/>
    </row>
    <row r="689" spans="1:61" x14ac:dyDescent="0.45">
      <c r="A689" s="17"/>
      <c r="B689" s="17"/>
      <c r="C689" s="17"/>
      <c r="D689" s="17"/>
      <c r="E689" s="15"/>
      <c r="F689" s="17"/>
      <c r="G689" s="17"/>
      <c r="H689" s="3"/>
      <c r="I689" s="88"/>
      <c r="J689" s="88"/>
      <c r="K689" s="15"/>
      <c r="L689" s="96"/>
      <c r="M689" s="89"/>
      <c r="N689" s="88"/>
      <c r="O689" s="413"/>
      <c r="P689" s="18"/>
      <c r="Q689" s="91"/>
      <c r="R689" s="18"/>
      <c r="S689" s="18"/>
      <c r="T689" s="18"/>
      <c r="U689" s="18"/>
      <c r="V689" s="18"/>
      <c r="W689" s="18"/>
      <c r="X689" s="18"/>
      <c r="Y689" s="92"/>
      <c r="Z689" s="92"/>
      <c r="AA689" s="418"/>
      <c r="AB689" s="95"/>
      <c r="AC689" s="18"/>
      <c r="AD689" s="18"/>
      <c r="AE689" s="18"/>
      <c r="AF689" s="18"/>
      <c r="AG689" s="91"/>
      <c r="AH689" s="18"/>
      <c r="AI689" s="18"/>
      <c r="AJ689" s="18"/>
      <c r="AK689" s="18"/>
      <c r="AL689" s="18"/>
      <c r="AM689" s="18"/>
      <c r="AN689" s="18"/>
      <c r="AO689" s="18"/>
      <c r="AP689" s="18"/>
      <c r="AQ689" s="18"/>
      <c r="AR689" s="18"/>
      <c r="AS689" s="18"/>
      <c r="AT689" s="18"/>
      <c r="AU689" s="91"/>
      <c r="AV689" s="18"/>
      <c r="AW689" s="18"/>
      <c r="AX689" s="18"/>
      <c r="AY689" s="17"/>
      <c r="AZ689" s="17"/>
      <c r="BA689" s="17"/>
      <c r="BB689" s="17"/>
      <c r="BC689" s="96"/>
      <c r="BD689" s="96"/>
      <c r="BE689" s="96"/>
      <c r="BF689" s="96"/>
      <c r="BG689" s="96"/>
      <c r="BH689" s="96"/>
      <c r="BI689" s="96"/>
    </row>
    <row r="690" spans="1:61" x14ac:dyDescent="0.45">
      <c r="A690" s="17"/>
      <c r="B690" s="17"/>
      <c r="C690" s="17"/>
      <c r="D690" s="17"/>
      <c r="E690" s="15"/>
      <c r="F690" s="17"/>
      <c r="G690" s="17"/>
      <c r="H690" s="3"/>
      <c r="I690" s="88"/>
      <c r="J690" s="88"/>
      <c r="K690" s="15"/>
      <c r="L690" s="96"/>
      <c r="M690" s="89"/>
      <c r="N690" s="88"/>
      <c r="O690" s="413"/>
      <c r="P690" s="18"/>
      <c r="Q690" s="91"/>
      <c r="R690" s="18"/>
      <c r="S690" s="18"/>
      <c r="T690" s="18"/>
      <c r="U690" s="18"/>
      <c r="V690" s="18"/>
      <c r="W690" s="18"/>
      <c r="X690" s="18"/>
      <c r="Y690" s="92"/>
      <c r="Z690" s="92"/>
      <c r="AA690" s="418"/>
      <c r="AB690" s="95"/>
      <c r="AC690" s="18"/>
      <c r="AD690" s="18"/>
      <c r="AE690" s="18"/>
      <c r="AF690" s="18"/>
      <c r="AG690" s="91"/>
      <c r="AH690" s="18"/>
      <c r="AI690" s="18"/>
      <c r="AJ690" s="18"/>
      <c r="AK690" s="18"/>
      <c r="AL690" s="18"/>
      <c r="AM690" s="18"/>
      <c r="AN690" s="18"/>
      <c r="AO690" s="18"/>
      <c r="AP690" s="18"/>
      <c r="AQ690" s="18"/>
      <c r="AR690" s="18"/>
      <c r="AS690" s="18"/>
      <c r="AT690" s="18"/>
      <c r="AU690" s="91"/>
      <c r="AV690" s="18"/>
      <c r="AW690" s="18"/>
      <c r="AX690" s="18"/>
      <c r="AY690" s="17"/>
      <c r="AZ690" s="17"/>
      <c r="BA690" s="17"/>
      <c r="BB690" s="17"/>
      <c r="BC690" s="96"/>
      <c r="BD690" s="96"/>
      <c r="BE690" s="96"/>
      <c r="BF690" s="96"/>
      <c r="BG690" s="96"/>
      <c r="BH690" s="96"/>
      <c r="BI690" s="96"/>
    </row>
    <row r="691" spans="1:61" x14ac:dyDescent="0.45">
      <c r="A691" s="17"/>
      <c r="B691" s="17"/>
      <c r="C691" s="17"/>
      <c r="D691" s="17"/>
      <c r="E691" s="15"/>
      <c r="F691" s="17"/>
      <c r="G691" s="17"/>
      <c r="H691" s="3"/>
      <c r="I691" s="88"/>
      <c r="J691" s="88"/>
      <c r="K691" s="15"/>
      <c r="L691" s="96"/>
      <c r="M691" s="89"/>
      <c r="N691" s="88"/>
      <c r="O691" s="413"/>
      <c r="P691" s="18"/>
      <c r="Q691" s="91"/>
      <c r="R691" s="18"/>
      <c r="S691" s="18"/>
      <c r="T691" s="18"/>
      <c r="U691" s="18"/>
      <c r="V691" s="18"/>
      <c r="W691" s="18"/>
      <c r="X691" s="18"/>
      <c r="Y691" s="92"/>
      <c r="Z691" s="92"/>
      <c r="AA691" s="418"/>
      <c r="AB691" s="95"/>
      <c r="AC691" s="18"/>
      <c r="AD691" s="18"/>
      <c r="AE691" s="18"/>
      <c r="AF691" s="18"/>
      <c r="AG691" s="91"/>
      <c r="AH691" s="18"/>
      <c r="AI691" s="18"/>
      <c r="AJ691" s="18"/>
      <c r="AK691" s="18"/>
      <c r="AL691" s="18"/>
      <c r="AM691" s="18"/>
      <c r="AN691" s="18"/>
      <c r="AO691" s="18"/>
      <c r="AP691" s="18"/>
      <c r="AQ691" s="18"/>
      <c r="AR691" s="18"/>
      <c r="AS691" s="18"/>
      <c r="AT691" s="18"/>
      <c r="AU691" s="91"/>
      <c r="AV691" s="18"/>
      <c r="AW691" s="18"/>
      <c r="AX691" s="18"/>
      <c r="AY691" s="17"/>
      <c r="AZ691" s="17"/>
      <c r="BA691" s="17"/>
      <c r="BB691" s="17"/>
      <c r="BC691" s="96"/>
      <c r="BD691" s="96"/>
      <c r="BE691" s="96"/>
      <c r="BF691" s="96"/>
      <c r="BG691" s="96"/>
      <c r="BH691" s="96"/>
      <c r="BI691" s="96"/>
    </row>
    <row r="692" spans="1:61" x14ac:dyDescent="0.45">
      <c r="A692" s="17"/>
      <c r="B692" s="17"/>
      <c r="C692" s="17"/>
      <c r="D692" s="17"/>
      <c r="E692" s="15"/>
      <c r="F692" s="17"/>
      <c r="G692" s="17"/>
      <c r="H692" s="3"/>
      <c r="I692" s="88"/>
      <c r="J692" s="88"/>
      <c r="K692" s="15"/>
      <c r="L692" s="96"/>
      <c r="M692" s="89"/>
      <c r="N692" s="88"/>
      <c r="O692" s="413"/>
      <c r="P692" s="18"/>
      <c r="Q692" s="91"/>
      <c r="R692" s="18"/>
      <c r="S692" s="18"/>
      <c r="T692" s="18"/>
      <c r="U692" s="18"/>
      <c r="V692" s="18"/>
      <c r="W692" s="18"/>
      <c r="X692" s="18"/>
      <c r="Y692" s="92"/>
      <c r="Z692" s="92"/>
      <c r="AA692" s="418"/>
      <c r="AB692" s="95"/>
      <c r="AC692" s="18"/>
      <c r="AD692" s="18"/>
      <c r="AE692" s="18"/>
      <c r="AF692" s="18"/>
      <c r="AG692" s="91"/>
      <c r="AH692" s="18"/>
      <c r="AI692" s="18"/>
      <c r="AJ692" s="18"/>
      <c r="AK692" s="18"/>
      <c r="AL692" s="18"/>
      <c r="AM692" s="18"/>
      <c r="AN692" s="18"/>
      <c r="AO692" s="18"/>
      <c r="AP692" s="18"/>
      <c r="AQ692" s="18"/>
      <c r="AR692" s="18"/>
      <c r="AS692" s="18"/>
      <c r="AT692" s="18"/>
      <c r="AU692" s="91"/>
      <c r="AV692" s="18"/>
      <c r="AW692" s="18"/>
      <c r="AX692" s="18"/>
      <c r="AY692" s="17"/>
      <c r="AZ692" s="17"/>
      <c r="BA692" s="17"/>
      <c r="BB692" s="17"/>
      <c r="BC692" s="96"/>
      <c r="BD692" s="96"/>
      <c r="BE692" s="96"/>
      <c r="BF692" s="96"/>
      <c r="BG692" s="96"/>
      <c r="BH692" s="96"/>
      <c r="BI692" s="96"/>
    </row>
    <row r="693" spans="1:61" x14ac:dyDescent="0.45">
      <c r="A693" s="17"/>
      <c r="B693" s="17"/>
      <c r="C693" s="17"/>
      <c r="D693" s="17"/>
      <c r="E693" s="15"/>
      <c r="F693" s="17"/>
      <c r="G693" s="17"/>
      <c r="H693" s="3"/>
      <c r="I693" s="88"/>
      <c r="J693" s="88"/>
      <c r="K693" s="15"/>
      <c r="L693" s="96"/>
      <c r="M693" s="89"/>
      <c r="N693" s="88"/>
      <c r="O693" s="413"/>
      <c r="P693" s="18"/>
      <c r="Q693" s="91"/>
      <c r="R693" s="18"/>
      <c r="S693" s="18"/>
      <c r="T693" s="18"/>
      <c r="U693" s="18"/>
      <c r="V693" s="18"/>
      <c r="W693" s="18"/>
      <c r="X693" s="18"/>
      <c r="Y693" s="92"/>
      <c r="Z693" s="92"/>
      <c r="AA693" s="418"/>
      <c r="AB693" s="95"/>
      <c r="AC693" s="18"/>
      <c r="AD693" s="18"/>
      <c r="AE693" s="18"/>
      <c r="AF693" s="18"/>
      <c r="AG693" s="91"/>
      <c r="AH693" s="18"/>
      <c r="AI693" s="18"/>
      <c r="AJ693" s="18"/>
      <c r="AK693" s="18"/>
      <c r="AL693" s="18"/>
      <c r="AM693" s="18"/>
      <c r="AN693" s="18"/>
      <c r="AO693" s="18"/>
      <c r="AP693" s="18"/>
      <c r="AQ693" s="18"/>
      <c r="AR693" s="18"/>
      <c r="AS693" s="18"/>
      <c r="AT693" s="18"/>
      <c r="AU693" s="91"/>
      <c r="AV693" s="18"/>
      <c r="AW693" s="18"/>
      <c r="AX693" s="18"/>
      <c r="AY693" s="17"/>
      <c r="AZ693" s="17"/>
      <c r="BA693" s="17"/>
      <c r="BB693" s="17"/>
      <c r="BC693" s="96"/>
      <c r="BD693" s="96"/>
      <c r="BE693" s="96"/>
      <c r="BF693" s="96"/>
      <c r="BG693" s="96"/>
      <c r="BH693" s="96"/>
      <c r="BI693" s="96"/>
    </row>
    <row r="694" spans="1:61" x14ac:dyDescent="0.45">
      <c r="A694" s="17"/>
      <c r="B694" s="17"/>
      <c r="C694" s="17"/>
      <c r="D694" s="17"/>
      <c r="E694" s="15"/>
      <c r="F694" s="17"/>
      <c r="G694" s="17"/>
      <c r="H694" s="3"/>
      <c r="I694" s="88"/>
      <c r="J694" s="88"/>
      <c r="K694" s="15"/>
      <c r="L694" s="96"/>
      <c r="M694" s="89"/>
      <c r="N694" s="88"/>
      <c r="O694" s="413"/>
      <c r="P694" s="18"/>
      <c r="Q694" s="91"/>
      <c r="R694" s="18"/>
      <c r="S694" s="18"/>
      <c r="T694" s="18"/>
      <c r="U694" s="18"/>
      <c r="V694" s="18"/>
      <c r="W694" s="18"/>
      <c r="X694" s="18"/>
      <c r="Y694" s="92"/>
      <c r="Z694" s="92"/>
      <c r="AA694" s="418"/>
      <c r="AB694" s="95"/>
      <c r="AC694" s="18"/>
      <c r="AD694" s="18"/>
      <c r="AE694" s="18"/>
      <c r="AF694" s="18"/>
      <c r="AG694" s="91"/>
      <c r="AH694" s="18"/>
      <c r="AI694" s="18"/>
      <c r="AJ694" s="18"/>
      <c r="AK694" s="18"/>
      <c r="AL694" s="18"/>
      <c r="AM694" s="18"/>
      <c r="AN694" s="18"/>
      <c r="AO694" s="18"/>
      <c r="AP694" s="18"/>
      <c r="AQ694" s="18"/>
      <c r="AR694" s="18"/>
      <c r="AS694" s="18"/>
      <c r="AT694" s="18"/>
      <c r="AU694" s="91"/>
      <c r="AV694" s="18"/>
      <c r="AW694" s="18"/>
      <c r="AX694" s="18"/>
      <c r="AY694" s="17"/>
      <c r="AZ694" s="17"/>
      <c r="BA694" s="17"/>
      <c r="BB694" s="17"/>
      <c r="BC694" s="96"/>
      <c r="BD694" s="96"/>
      <c r="BE694" s="96"/>
      <c r="BF694" s="96"/>
      <c r="BG694" s="96"/>
      <c r="BH694" s="96"/>
      <c r="BI694" s="96"/>
    </row>
    <row r="695" spans="1:61" x14ac:dyDescent="0.45">
      <c r="A695" s="17"/>
      <c r="B695" s="17"/>
      <c r="C695" s="17"/>
      <c r="D695" s="17"/>
      <c r="E695" s="15"/>
      <c r="F695" s="17"/>
      <c r="G695" s="17"/>
      <c r="H695" s="3"/>
      <c r="I695" s="88"/>
      <c r="J695" s="88"/>
      <c r="K695" s="15"/>
      <c r="L695" s="96"/>
      <c r="M695" s="89"/>
      <c r="N695" s="88"/>
      <c r="O695" s="413"/>
      <c r="P695" s="18"/>
      <c r="Q695" s="91"/>
      <c r="R695" s="18"/>
      <c r="S695" s="18"/>
      <c r="T695" s="18"/>
      <c r="U695" s="18"/>
      <c r="V695" s="18"/>
      <c r="W695" s="18"/>
      <c r="X695" s="18"/>
      <c r="Y695" s="92"/>
      <c r="Z695" s="92"/>
      <c r="AA695" s="418"/>
      <c r="AB695" s="95"/>
      <c r="AC695" s="18"/>
      <c r="AD695" s="18"/>
      <c r="AE695" s="18"/>
      <c r="AF695" s="18"/>
      <c r="AG695" s="91"/>
      <c r="AH695" s="18"/>
      <c r="AI695" s="18"/>
      <c r="AJ695" s="18"/>
      <c r="AK695" s="18"/>
      <c r="AL695" s="18"/>
      <c r="AM695" s="18"/>
      <c r="AN695" s="18"/>
      <c r="AO695" s="18"/>
      <c r="AP695" s="18"/>
      <c r="AQ695" s="18"/>
      <c r="AR695" s="18"/>
      <c r="AS695" s="18"/>
      <c r="AT695" s="18"/>
      <c r="AU695" s="91"/>
      <c r="AV695" s="18"/>
      <c r="AW695" s="18"/>
      <c r="AX695" s="18"/>
      <c r="AY695" s="17"/>
      <c r="AZ695" s="17"/>
      <c r="BA695" s="17"/>
      <c r="BB695" s="17"/>
      <c r="BC695" s="96"/>
      <c r="BD695" s="96"/>
      <c r="BE695" s="96"/>
      <c r="BF695" s="96"/>
      <c r="BG695" s="96"/>
      <c r="BH695" s="96"/>
      <c r="BI695" s="96"/>
    </row>
    <row r="696" spans="1:61" x14ac:dyDescent="0.45">
      <c r="A696" s="17"/>
      <c r="B696" s="17"/>
      <c r="C696" s="17"/>
      <c r="D696" s="17"/>
      <c r="E696" s="15"/>
      <c r="F696" s="17"/>
      <c r="G696" s="17"/>
      <c r="H696" s="3"/>
      <c r="I696" s="88"/>
      <c r="J696" s="88"/>
      <c r="K696" s="15"/>
      <c r="L696" s="96"/>
      <c r="M696" s="89"/>
      <c r="N696" s="88"/>
      <c r="O696" s="413"/>
      <c r="P696" s="18"/>
      <c r="Q696" s="91"/>
      <c r="R696" s="18"/>
      <c r="S696" s="18"/>
      <c r="T696" s="18"/>
      <c r="U696" s="18"/>
      <c r="V696" s="18"/>
      <c r="W696" s="18"/>
      <c r="X696" s="18"/>
      <c r="Y696" s="92"/>
      <c r="Z696" s="92"/>
      <c r="AA696" s="418"/>
      <c r="AB696" s="95"/>
      <c r="AC696" s="18"/>
      <c r="AD696" s="18"/>
      <c r="AE696" s="18"/>
      <c r="AF696" s="18"/>
      <c r="AG696" s="91"/>
      <c r="AH696" s="18"/>
      <c r="AI696" s="18"/>
      <c r="AJ696" s="18"/>
      <c r="AK696" s="18"/>
      <c r="AL696" s="18"/>
      <c r="AM696" s="18"/>
      <c r="AN696" s="18"/>
      <c r="AO696" s="18"/>
      <c r="AP696" s="18"/>
      <c r="AQ696" s="18"/>
      <c r="AR696" s="18"/>
      <c r="AS696" s="18"/>
      <c r="AT696" s="18"/>
      <c r="AU696" s="91"/>
      <c r="AV696" s="18"/>
      <c r="AW696" s="18"/>
      <c r="AX696" s="18"/>
      <c r="AY696" s="17"/>
      <c r="AZ696" s="17"/>
      <c r="BA696" s="17"/>
      <c r="BB696" s="17"/>
      <c r="BC696" s="96"/>
      <c r="BD696" s="96"/>
      <c r="BE696" s="96"/>
      <c r="BF696" s="96"/>
      <c r="BG696" s="96"/>
      <c r="BH696" s="96"/>
      <c r="BI696" s="96"/>
    </row>
    <row r="697" spans="1:61" x14ac:dyDescent="0.45">
      <c r="A697" s="17"/>
      <c r="B697" s="17"/>
      <c r="C697" s="17"/>
      <c r="D697" s="17"/>
      <c r="E697" s="15"/>
      <c r="F697" s="17"/>
      <c r="G697" s="17"/>
      <c r="H697" s="3"/>
      <c r="I697" s="88"/>
      <c r="J697" s="88"/>
      <c r="K697" s="15"/>
      <c r="L697" s="96"/>
      <c r="M697" s="89"/>
      <c r="N697" s="88"/>
      <c r="O697" s="413"/>
      <c r="P697" s="18"/>
      <c r="Q697" s="91"/>
      <c r="R697" s="18"/>
      <c r="S697" s="18"/>
      <c r="T697" s="18"/>
      <c r="U697" s="18"/>
      <c r="V697" s="18"/>
      <c r="W697" s="18"/>
      <c r="X697" s="18"/>
      <c r="Y697" s="92"/>
      <c r="Z697" s="92"/>
      <c r="AA697" s="418"/>
      <c r="AB697" s="95"/>
      <c r="AC697" s="18"/>
      <c r="AD697" s="18"/>
      <c r="AE697" s="18"/>
      <c r="AF697" s="18"/>
      <c r="AG697" s="91"/>
      <c r="AH697" s="18"/>
      <c r="AI697" s="18"/>
      <c r="AJ697" s="18"/>
      <c r="AK697" s="18"/>
      <c r="AL697" s="18"/>
      <c r="AM697" s="18"/>
      <c r="AN697" s="18"/>
      <c r="AO697" s="18"/>
      <c r="AP697" s="18"/>
      <c r="AQ697" s="18"/>
      <c r="AR697" s="18"/>
      <c r="AS697" s="18"/>
      <c r="AT697" s="18"/>
      <c r="AU697" s="91"/>
      <c r="AV697" s="18"/>
      <c r="AW697" s="18"/>
      <c r="AX697" s="18"/>
      <c r="AY697" s="17"/>
      <c r="AZ697" s="17"/>
      <c r="BA697" s="17"/>
      <c r="BB697" s="17"/>
      <c r="BC697" s="96"/>
      <c r="BD697" s="96"/>
      <c r="BE697" s="96"/>
      <c r="BF697" s="96"/>
      <c r="BG697" s="96"/>
      <c r="BH697" s="96"/>
      <c r="BI697" s="96"/>
    </row>
    <row r="698" spans="1:61" x14ac:dyDescent="0.45">
      <c r="A698" s="17"/>
      <c r="B698" s="17"/>
      <c r="C698" s="17"/>
      <c r="D698" s="17"/>
      <c r="E698" s="15"/>
      <c r="F698" s="17"/>
      <c r="G698" s="17"/>
      <c r="H698" s="3"/>
      <c r="I698" s="88"/>
      <c r="J698" s="88"/>
      <c r="K698" s="15"/>
      <c r="L698" s="96"/>
      <c r="M698" s="89"/>
      <c r="N698" s="88"/>
      <c r="O698" s="413"/>
      <c r="P698" s="18"/>
      <c r="Q698" s="91"/>
      <c r="R698" s="18"/>
      <c r="S698" s="18"/>
      <c r="T698" s="18"/>
      <c r="U698" s="18"/>
      <c r="V698" s="18"/>
      <c r="W698" s="18"/>
      <c r="X698" s="18"/>
      <c r="Y698" s="92"/>
      <c r="Z698" s="92"/>
      <c r="AA698" s="418"/>
      <c r="AB698" s="95"/>
      <c r="AC698" s="18"/>
      <c r="AD698" s="18"/>
      <c r="AE698" s="18"/>
      <c r="AF698" s="18"/>
      <c r="AG698" s="91"/>
      <c r="AH698" s="18"/>
      <c r="AI698" s="18"/>
      <c r="AJ698" s="18"/>
      <c r="AK698" s="18"/>
      <c r="AL698" s="18"/>
      <c r="AM698" s="18"/>
      <c r="AN698" s="18"/>
      <c r="AO698" s="18"/>
      <c r="AP698" s="18"/>
      <c r="AQ698" s="18"/>
      <c r="AR698" s="18"/>
      <c r="AS698" s="18"/>
      <c r="AT698" s="18"/>
      <c r="AU698" s="91"/>
      <c r="AV698" s="18"/>
      <c r="AW698" s="18"/>
      <c r="AX698" s="18"/>
      <c r="AY698" s="17"/>
      <c r="AZ698" s="17"/>
      <c r="BA698" s="17"/>
      <c r="BB698" s="17"/>
      <c r="BC698" s="96"/>
      <c r="BD698" s="96"/>
      <c r="BE698" s="96"/>
      <c r="BF698" s="96"/>
      <c r="BG698" s="96"/>
      <c r="BH698" s="96"/>
      <c r="BI698" s="96"/>
    </row>
    <row r="699" spans="1:61" x14ac:dyDescent="0.45">
      <c r="A699" s="17"/>
      <c r="B699" s="17"/>
      <c r="C699" s="17"/>
      <c r="D699" s="17"/>
      <c r="E699" s="15"/>
      <c r="F699" s="17"/>
      <c r="G699" s="17"/>
      <c r="H699" s="3"/>
      <c r="I699" s="88"/>
      <c r="J699" s="88"/>
      <c r="K699" s="15"/>
      <c r="L699" s="96"/>
      <c r="M699" s="89"/>
      <c r="N699" s="88"/>
      <c r="O699" s="413"/>
      <c r="P699" s="18"/>
      <c r="Q699" s="91"/>
      <c r="R699" s="18"/>
      <c r="S699" s="18"/>
      <c r="T699" s="18"/>
      <c r="U699" s="18"/>
      <c r="V699" s="18"/>
      <c r="W699" s="18"/>
      <c r="X699" s="18"/>
      <c r="Y699" s="92"/>
      <c r="Z699" s="92"/>
      <c r="AA699" s="418"/>
      <c r="AB699" s="95"/>
      <c r="AC699" s="18"/>
      <c r="AD699" s="18"/>
      <c r="AE699" s="18"/>
      <c r="AF699" s="18"/>
      <c r="AG699" s="91"/>
      <c r="AH699" s="18"/>
      <c r="AI699" s="18"/>
      <c r="AJ699" s="18"/>
      <c r="AK699" s="18"/>
      <c r="AL699" s="18"/>
      <c r="AM699" s="18"/>
      <c r="AN699" s="18"/>
      <c r="AO699" s="18"/>
      <c r="AP699" s="18"/>
      <c r="AQ699" s="18"/>
      <c r="AR699" s="18"/>
      <c r="AS699" s="18"/>
      <c r="AT699" s="18"/>
      <c r="AU699" s="91"/>
      <c r="AV699" s="18"/>
      <c r="AW699" s="18"/>
      <c r="AX699" s="18"/>
      <c r="AY699" s="17"/>
      <c r="AZ699" s="17"/>
      <c r="BA699" s="17"/>
      <c r="BB699" s="17"/>
      <c r="BC699" s="96"/>
      <c r="BD699" s="96"/>
      <c r="BE699" s="96"/>
      <c r="BF699" s="96"/>
      <c r="BG699" s="96"/>
      <c r="BH699" s="96"/>
      <c r="BI699" s="96"/>
    </row>
    <row r="700" spans="1:61" x14ac:dyDescent="0.45">
      <c r="A700" s="17"/>
      <c r="B700" s="17"/>
      <c r="C700" s="17"/>
      <c r="D700" s="17"/>
      <c r="E700" s="15"/>
      <c r="F700" s="17"/>
      <c r="G700" s="17"/>
      <c r="H700" s="3"/>
      <c r="I700" s="88"/>
      <c r="J700" s="88"/>
      <c r="K700" s="15"/>
      <c r="L700" s="96"/>
      <c r="M700" s="89"/>
      <c r="N700" s="88"/>
      <c r="O700" s="413"/>
      <c r="P700" s="18"/>
      <c r="Q700" s="91"/>
      <c r="R700" s="18"/>
      <c r="S700" s="18"/>
      <c r="T700" s="18"/>
      <c r="U700" s="18"/>
      <c r="V700" s="18"/>
      <c r="W700" s="18"/>
      <c r="X700" s="18"/>
      <c r="Y700" s="92"/>
      <c r="Z700" s="92"/>
      <c r="AA700" s="418"/>
      <c r="AB700" s="95"/>
      <c r="AC700" s="18"/>
      <c r="AD700" s="18"/>
      <c r="AE700" s="18"/>
      <c r="AF700" s="18"/>
      <c r="AG700" s="91"/>
      <c r="AH700" s="18"/>
      <c r="AI700" s="18"/>
      <c r="AJ700" s="18"/>
      <c r="AK700" s="18"/>
      <c r="AL700" s="18"/>
      <c r="AM700" s="18"/>
      <c r="AN700" s="18"/>
      <c r="AO700" s="18"/>
      <c r="AP700" s="18"/>
      <c r="AQ700" s="18"/>
      <c r="AR700" s="18"/>
      <c r="AS700" s="18"/>
      <c r="AT700" s="18"/>
      <c r="AU700" s="91"/>
      <c r="AV700" s="18"/>
      <c r="AW700" s="18"/>
      <c r="AX700" s="18"/>
      <c r="AY700" s="17"/>
      <c r="AZ700" s="17"/>
      <c r="BA700" s="17"/>
      <c r="BB700" s="17"/>
      <c r="BC700" s="96"/>
      <c r="BD700" s="96"/>
      <c r="BE700" s="96"/>
      <c r="BF700" s="96"/>
      <c r="BG700" s="96"/>
      <c r="BH700" s="96"/>
      <c r="BI700" s="96"/>
    </row>
    <row r="701" spans="1:61" x14ac:dyDescent="0.45">
      <c r="A701" s="17"/>
      <c r="B701" s="17"/>
      <c r="C701" s="17"/>
      <c r="D701" s="17"/>
      <c r="E701" s="15"/>
      <c r="F701" s="17"/>
      <c r="G701" s="17"/>
      <c r="H701" s="3"/>
      <c r="I701" s="88"/>
      <c r="J701" s="88"/>
      <c r="K701" s="15"/>
      <c r="L701" s="96"/>
      <c r="M701" s="89"/>
      <c r="N701" s="88"/>
      <c r="O701" s="413"/>
      <c r="P701" s="18"/>
      <c r="Q701" s="91"/>
      <c r="R701" s="18"/>
      <c r="S701" s="18"/>
      <c r="T701" s="18"/>
      <c r="U701" s="18"/>
      <c r="V701" s="18"/>
      <c r="W701" s="18"/>
      <c r="X701" s="18"/>
      <c r="Y701" s="92"/>
      <c r="Z701" s="92"/>
      <c r="AA701" s="418"/>
      <c r="AB701" s="95"/>
      <c r="AC701" s="18"/>
      <c r="AD701" s="18"/>
      <c r="AE701" s="18"/>
      <c r="AF701" s="18"/>
      <c r="AG701" s="91"/>
      <c r="AH701" s="18"/>
      <c r="AI701" s="18"/>
      <c r="AJ701" s="18"/>
      <c r="AK701" s="18"/>
      <c r="AL701" s="18"/>
      <c r="AM701" s="18"/>
      <c r="AN701" s="18"/>
      <c r="AO701" s="18"/>
      <c r="AP701" s="18"/>
      <c r="AQ701" s="18"/>
      <c r="AR701" s="18"/>
      <c r="AS701" s="18"/>
      <c r="AT701" s="18"/>
      <c r="AU701" s="91"/>
      <c r="AV701" s="18"/>
      <c r="AW701" s="18"/>
      <c r="AX701" s="18"/>
      <c r="AY701" s="17"/>
      <c r="AZ701" s="17"/>
      <c r="BA701" s="17"/>
      <c r="BB701" s="17"/>
      <c r="BC701" s="96"/>
      <c r="BD701" s="96"/>
      <c r="BE701" s="96"/>
      <c r="BF701" s="96"/>
      <c r="BG701" s="96"/>
      <c r="BH701" s="96"/>
      <c r="BI701" s="96"/>
    </row>
    <row r="702" spans="1:61" x14ac:dyDescent="0.45">
      <c r="A702" s="17"/>
      <c r="B702" s="17"/>
      <c r="C702" s="17"/>
      <c r="D702" s="17"/>
      <c r="E702" s="15"/>
      <c r="F702" s="17"/>
      <c r="G702" s="17"/>
      <c r="H702" s="3"/>
      <c r="I702" s="88"/>
      <c r="J702" s="88"/>
      <c r="K702" s="15"/>
      <c r="L702" s="96"/>
      <c r="M702" s="89"/>
      <c r="N702" s="88"/>
      <c r="O702" s="413"/>
      <c r="P702" s="18"/>
      <c r="Q702" s="91"/>
      <c r="R702" s="18"/>
      <c r="S702" s="18"/>
      <c r="T702" s="18"/>
      <c r="U702" s="18"/>
      <c r="V702" s="18"/>
      <c r="W702" s="18"/>
      <c r="X702" s="18"/>
      <c r="Y702" s="92"/>
      <c r="Z702" s="92"/>
      <c r="AA702" s="418"/>
      <c r="AB702" s="95"/>
      <c r="AC702" s="18"/>
      <c r="AD702" s="18"/>
      <c r="AE702" s="18"/>
      <c r="AF702" s="18"/>
      <c r="AG702" s="91"/>
      <c r="AH702" s="18"/>
      <c r="AI702" s="18"/>
      <c r="AJ702" s="18"/>
      <c r="AK702" s="18"/>
      <c r="AL702" s="18"/>
      <c r="AM702" s="18"/>
      <c r="AN702" s="18"/>
      <c r="AO702" s="18"/>
      <c r="AP702" s="18"/>
      <c r="AQ702" s="18"/>
      <c r="AR702" s="18"/>
      <c r="AS702" s="18"/>
      <c r="AT702" s="18"/>
      <c r="AU702" s="91"/>
      <c r="AV702" s="18"/>
      <c r="AW702" s="18"/>
      <c r="AX702" s="18"/>
      <c r="AY702" s="17"/>
      <c r="AZ702" s="17"/>
      <c r="BA702" s="17"/>
      <c r="BB702" s="17"/>
      <c r="BC702" s="96"/>
      <c r="BD702" s="96"/>
      <c r="BE702" s="96"/>
      <c r="BF702" s="96"/>
      <c r="BG702" s="96"/>
      <c r="BH702" s="96"/>
      <c r="BI702" s="96"/>
    </row>
    <row r="703" spans="1:61" x14ac:dyDescent="0.45">
      <c r="A703" s="17"/>
      <c r="B703" s="17"/>
      <c r="C703" s="17"/>
      <c r="D703" s="17"/>
      <c r="E703" s="15"/>
      <c r="F703" s="17"/>
      <c r="G703" s="17"/>
      <c r="H703" s="3"/>
      <c r="I703" s="88"/>
      <c r="J703" s="88"/>
      <c r="K703" s="15"/>
      <c r="L703" s="96"/>
      <c r="M703" s="89"/>
      <c r="N703" s="88"/>
      <c r="O703" s="413"/>
      <c r="P703" s="18"/>
      <c r="Q703" s="91"/>
      <c r="R703" s="18"/>
      <c r="S703" s="18"/>
      <c r="T703" s="18"/>
      <c r="U703" s="18"/>
      <c r="V703" s="18"/>
      <c r="W703" s="18"/>
      <c r="X703" s="18"/>
      <c r="Y703" s="92"/>
      <c r="Z703" s="92"/>
      <c r="AA703" s="418"/>
      <c r="AB703" s="95"/>
      <c r="AC703" s="18"/>
      <c r="AD703" s="18"/>
      <c r="AE703" s="18"/>
      <c r="AF703" s="18"/>
      <c r="AG703" s="91"/>
      <c r="AH703" s="18"/>
      <c r="AI703" s="18"/>
      <c r="AJ703" s="18"/>
      <c r="AK703" s="18"/>
      <c r="AL703" s="18"/>
      <c r="AM703" s="18"/>
      <c r="AN703" s="18"/>
      <c r="AO703" s="18"/>
      <c r="AP703" s="18"/>
      <c r="AQ703" s="18"/>
      <c r="AR703" s="18"/>
      <c r="AS703" s="18"/>
      <c r="AT703" s="18"/>
      <c r="AU703" s="91"/>
      <c r="AV703" s="18"/>
      <c r="AW703" s="18"/>
      <c r="AX703" s="18"/>
      <c r="AY703" s="17"/>
      <c r="AZ703" s="17"/>
      <c r="BA703" s="17"/>
      <c r="BB703" s="17"/>
      <c r="BC703" s="96"/>
      <c r="BD703" s="96"/>
      <c r="BE703" s="96"/>
      <c r="BF703" s="96"/>
      <c r="BG703" s="96"/>
      <c r="BH703" s="96"/>
      <c r="BI703" s="96"/>
    </row>
    <row r="704" spans="1:61" x14ac:dyDescent="0.45">
      <c r="A704" s="17"/>
      <c r="B704" s="17"/>
      <c r="C704" s="17"/>
      <c r="D704" s="17"/>
      <c r="E704" s="15"/>
      <c r="F704" s="17"/>
      <c r="G704" s="17"/>
      <c r="H704" s="3"/>
      <c r="I704" s="88"/>
      <c r="J704" s="88"/>
      <c r="K704" s="15"/>
      <c r="L704" s="96"/>
      <c r="M704" s="89"/>
      <c r="N704" s="88"/>
      <c r="O704" s="413"/>
      <c r="P704" s="18"/>
      <c r="Q704" s="91"/>
      <c r="R704" s="18"/>
      <c r="S704" s="18"/>
      <c r="T704" s="18"/>
      <c r="U704" s="18"/>
      <c r="V704" s="18"/>
      <c r="W704" s="18"/>
      <c r="X704" s="18"/>
      <c r="Y704" s="92"/>
      <c r="Z704" s="92"/>
      <c r="AA704" s="418"/>
      <c r="AB704" s="95"/>
      <c r="AC704" s="18"/>
      <c r="AD704" s="18"/>
      <c r="AE704" s="18"/>
      <c r="AF704" s="18"/>
      <c r="AG704" s="91"/>
      <c r="AH704" s="18"/>
      <c r="AI704" s="18"/>
      <c r="AJ704" s="18"/>
      <c r="AK704" s="18"/>
      <c r="AL704" s="18"/>
      <c r="AM704" s="18"/>
      <c r="AN704" s="18"/>
      <c r="AO704" s="18"/>
      <c r="AP704" s="18"/>
      <c r="AQ704" s="18"/>
      <c r="AR704" s="18"/>
      <c r="AS704" s="18"/>
      <c r="AT704" s="18"/>
      <c r="AU704" s="91"/>
      <c r="AV704" s="18"/>
      <c r="AW704" s="18"/>
      <c r="AX704" s="18"/>
      <c r="AY704" s="17"/>
      <c r="AZ704" s="17"/>
      <c r="BA704" s="17"/>
      <c r="BB704" s="17"/>
      <c r="BC704" s="96"/>
      <c r="BD704" s="96"/>
      <c r="BE704" s="96"/>
      <c r="BF704" s="96"/>
      <c r="BG704" s="96"/>
      <c r="BH704" s="96"/>
      <c r="BI704" s="96"/>
    </row>
    <row r="705" spans="1:61" x14ac:dyDescent="0.45">
      <c r="A705" s="17"/>
      <c r="B705" s="17"/>
      <c r="C705" s="17"/>
      <c r="D705" s="17"/>
      <c r="E705" s="15"/>
      <c r="F705" s="17"/>
      <c r="G705" s="17"/>
      <c r="H705" s="3"/>
      <c r="I705" s="88"/>
      <c r="J705" s="88"/>
      <c r="K705" s="15"/>
      <c r="L705" s="96"/>
      <c r="M705" s="89"/>
      <c r="N705" s="88"/>
      <c r="O705" s="413"/>
      <c r="P705" s="18"/>
      <c r="Q705" s="91"/>
      <c r="R705" s="18"/>
      <c r="S705" s="18"/>
      <c r="T705" s="18"/>
      <c r="U705" s="18"/>
      <c r="V705" s="18"/>
      <c r="W705" s="18"/>
      <c r="X705" s="18"/>
      <c r="Y705" s="92"/>
      <c r="Z705" s="92"/>
      <c r="AA705" s="418"/>
      <c r="AB705" s="95"/>
      <c r="AC705" s="18"/>
      <c r="AD705" s="18"/>
      <c r="AE705" s="18"/>
      <c r="AF705" s="18"/>
      <c r="AG705" s="91"/>
      <c r="AH705" s="18"/>
      <c r="AI705" s="18"/>
      <c r="AJ705" s="18"/>
      <c r="AK705" s="18"/>
      <c r="AL705" s="18"/>
      <c r="AM705" s="18"/>
      <c r="AN705" s="18"/>
      <c r="AO705" s="18"/>
      <c r="AP705" s="18"/>
      <c r="AQ705" s="18"/>
      <c r="AR705" s="18"/>
      <c r="AS705" s="18"/>
      <c r="AT705" s="18"/>
      <c r="AU705" s="91"/>
      <c r="AV705" s="18"/>
      <c r="AW705" s="18"/>
      <c r="AX705" s="18"/>
      <c r="AY705" s="17"/>
      <c r="AZ705" s="17"/>
      <c r="BA705" s="17"/>
      <c r="BB705" s="17"/>
      <c r="BC705" s="96"/>
      <c r="BD705" s="96"/>
      <c r="BE705" s="96"/>
      <c r="BF705" s="96"/>
      <c r="BG705" s="96"/>
      <c r="BH705" s="96"/>
      <c r="BI705" s="96"/>
    </row>
    <row r="706" spans="1:61" x14ac:dyDescent="0.45">
      <c r="A706" s="17"/>
      <c r="B706" s="17"/>
      <c r="C706" s="17"/>
      <c r="D706" s="17"/>
      <c r="E706" s="15"/>
      <c r="F706" s="17"/>
      <c r="G706" s="17"/>
      <c r="H706" s="3"/>
      <c r="I706" s="88"/>
      <c r="J706" s="88"/>
      <c r="K706" s="15"/>
      <c r="L706" s="96"/>
      <c r="M706" s="89"/>
      <c r="N706" s="88"/>
      <c r="O706" s="413"/>
      <c r="P706" s="18"/>
      <c r="Q706" s="91"/>
      <c r="R706" s="18"/>
      <c r="S706" s="18"/>
      <c r="T706" s="18"/>
      <c r="U706" s="18"/>
      <c r="V706" s="18"/>
      <c r="W706" s="18"/>
      <c r="X706" s="18"/>
      <c r="Y706" s="92"/>
      <c r="Z706" s="92"/>
      <c r="AA706" s="418"/>
      <c r="AB706" s="95"/>
      <c r="AC706" s="18"/>
      <c r="AD706" s="18"/>
      <c r="AE706" s="18"/>
      <c r="AF706" s="18"/>
      <c r="AG706" s="91"/>
      <c r="AH706" s="18"/>
      <c r="AI706" s="18"/>
      <c r="AJ706" s="18"/>
      <c r="AK706" s="18"/>
      <c r="AL706" s="18"/>
      <c r="AM706" s="18"/>
      <c r="AN706" s="18"/>
      <c r="AO706" s="18"/>
      <c r="AP706" s="18"/>
      <c r="AQ706" s="18"/>
      <c r="AR706" s="18"/>
      <c r="AS706" s="18"/>
      <c r="AT706" s="18"/>
      <c r="AU706" s="91"/>
      <c r="AV706" s="18"/>
      <c r="AW706" s="18"/>
      <c r="AX706" s="18"/>
      <c r="AY706" s="17"/>
      <c r="AZ706" s="17"/>
      <c r="BA706" s="17"/>
      <c r="BB706" s="17"/>
      <c r="BC706" s="96"/>
      <c r="BD706" s="96"/>
      <c r="BE706" s="96"/>
      <c r="BF706" s="96"/>
      <c r="BG706" s="96"/>
      <c r="BH706" s="96"/>
      <c r="BI706" s="96"/>
    </row>
    <row r="707" spans="1:61" x14ac:dyDescent="0.45">
      <c r="A707" s="17"/>
      <c r="B707" s="17"/>
      <c r="C707" s="17"/>
      <c r="D707" s="17"/>
      <c r="E707" s="15"/>
      <c r="F707" s="17"/>
      <c r="G707" s="17"/>
      <c r="H707" s="3"/>
      <c r="I707" s="88"/>
      <c r="J707" s="88"/>
      <c r="K707" s="15"/>
      <c r="L707" s="96"/>
      <c r="M707" s="89"/>
      <c r="N707" s="88"/>
      <c r="O707" s="413"/>
      <c r="P707" s="18"/>
      <c r="Q707" s="91"/>
      <c r="R707" s="18"/>
      <c r="S707" s="18"/>
      <c r="T707" s="18"/>
      <c r="U707" s="18"/>
      <c r="V707" s="18"/>
      <c r="W707" s="18"/>
      <c r="X707" s="18"/>
      <c r="Y707" s="92"/>
      <c r="Z707" s="92"/>
      <c r="AA707" s="418"/>
      <c r="AB707" s="95"/>
      <c r="AC707" s="18"/>
      <c r="AD707" s="18"/>
      <c r="AE707" s="18"/>
      <c r="AF707" s="18"/>
      <c r="AG707" s="91"/>
      <c r="AH707" s="18"/>
      <c r="AI707" s="18"/>
      <c r="AJ707" s="18"/>
      <c r="AK707" s="18"/>
      <c r="AL707" s="18"/>
      <c r="AM707" s="18"/>
      <c r="AN707" s="18"/>
      <c r="AO707" s="18"/>
      <c r="AP707" s="18"/>
      <c r="AQ707" s="18"/>
      <c r="AR707" s="18"/>
      <c r="AS707" s="18"/>
      <c r="AT707" s="18"/>
      <c r="AU707" s="91"/>
      <c r="AV707" s="18"/>
      <c r="AW707" s="18"/>
      <c r="AX707" s="18"/>
      <c r="AY707" s="17"/>
      <c r="AZ707" s="17"/>
      <c r="BA707" s="17"/>
      <c r="BB707" s="17"/>
      <c r="BC707" s="96"/>
      <c r="BD707" s="96"/>
      <c r="BE707" s="96"/>
      <c r="BF707" s="96"/>
      <c r="BG707" s="96"/>
      <c r="BH707" s="96"/>
      <c r="BI707" s="96"/>
    </row>
    <row r="708" spans="1:61" x14ac:dyDescent="0.45">
      <c r="A708" s="17"/>
      <c r="B708" s="17"/>
      <c r="C708" s="17"/>
      <c r="D708" s="17"/>
      <c r="E708" s="15"/>
      <c r="F708" s="17"/>
      <c r="G708" s="17"/>
      <c r="H708" s="3"/>
      <c r="I708" s="88"/>
      <c r="J708" s="88"/>
      <c r="K708" s="15"/>
      <c r="L708" s="96"/>
      <c r="M708" s="89"/>
      <c r="N708" s="88"/>
      <c r="O708" s="413"/>
      <c r="P708" s="18"/>
      <c r="Q708" s="91"/>
      <c r="R708" s="18"/>
      <c r="S708" s="18"/>
      <c r="T708" s="18"/>
      <c r="U708" s="18"/>
      <c r="V708" s="18"/>
      <c r="W708" s="18"/>
      <c r="X708" s="18"/>
      <c r="Y708" s="92"/>
      <c r="Z708" s="92"/>
      <c r="AA708" s="418"/>
      <c r="AB708" s="95"/>
      <c r="AC708" s="18"/>
      <c r="AD708" s="18"/>
      <c r="AE708" s="18"/>
      <c r="AF708" s="18"/>
      <c r="AG708" s="91"/>
      <c r="AH708" s="18"/>
      <c r="AI708" s="18"/>
      <c r="AJ708" s="18"/>
      <c r="AK708" s="18"/>
      <c r="AL708" s="18"/>
      <c r="AM708" s="18"/>
      <c r="AN708" s="18"/>
      <c r="AO708" s="18"/>
      <c r="AP708" s="18"/>
      <c r="AQ708" s="18"/>
      <c r="AR708" s="18"/>
      <c r="AS708" s="18"/>
      <c r="AT708" s="18"/>
      <c r="AU708" s="91"/>
      <c r="AV708" s="18"/>
      <c r="AW708" s="18"/>
      <c r="AX708" s="18"/>
      <c r="AY708" s="17"/>
      <c r="AZ708" s="17"/>
      <c r="BA708" s="17"/>
      <c r="BB708" s="17"/>
      <c r="BC708" s="96"/>
      <c r="BD708" s="96"/>
      <c r="BE708" s="96"/>
      <c r="BF708" s="96"/>
      <c r="BG708" s="96"/>
      <c r="BH708" s="96"/>
      <c r="BI708" s="96"/>
    </row>
    <row r="709" spans="1:61" x14ac:dyDescent="0.45">
      <c r="A709" s="17"/>
      <c r="B709" s="17"/>
      <c r="C709" s="17"/>
      <c r="D709" s="17"/>
      <c r="E709" s="15"/>
      <c r="F709" s="17"/>
      <c r="G709" s="17"/>
      <c r="H709" s="3"/>
      <c r="I709" s="88"/>
      <c r="J709" s="88"/>
      <c r="K709" s="15"/>
      <c r="L709" s="96"/>
      <c r="M709" s="89"/>
      <c r="N709" s="88"/>
      <c r="O709" s="413"/>
      <c r="P709" s="18"/>
      <c r="Q709" s="91"/>
      <c r="R709" s="18"/>
      <c r="S709" s="18"/>
      <c r="T709" s="18"/>
      <c r="U709" s="18"/>
      <c r="V709" s="18"/>
      <c r="W709" s="18"/>
      <c r="X709" s="18"/>
      <c r="Y709" s="92"/>
      <c r="Z709" s="92"/>
      <c r="AA709" s="418"/>
      <c r="AB709" s="95"/>
      <c r="AC709" s="18"/>
      <c r="AD709" s="18"/>
      <c r="AE709" s="18"/>
      <c r="AF709" s="18"/>
      <c r="AG709" s="91"/>
      <c r="AH709" s="18"/>
      <c r="AI709" s="18"/>
      <c r="AJ709" s="18"/>
      <c r="AK709" s="18"/>
      <c r="AL709" s="18"/>
      <c r="AM709" s="18"/>
      <c r="AN709" s="18"/>
      <c r="AO709" s="18"/>
      <c r="AP709" s="18"/>
      <c r="AQ709" s="18"/>
      <c r="AR709" s="18"/>
      <c r="AS709" s="18"/>
      <c r="AT709" s="18"/>
      <c r="AU709" s="91"/>
      <c r="AV709" s="18"/>
      <c r="AW709" s="18"/>
      <c r="AX709" s="18"/>
      <c r="AY709" s="17"/>
      <c r="AZ709" s="17"/>
      <c r="BA709" s="17"/>
      <c r="BB709" s="17"/>
      <c r="BC709" s="96"/>
      <c r="BD709" s="96"/>
      <c r="BE709" s="96"/>
      <c r="BF709" s="96"/>
      <c r="BG709" s="96"/>
      <c r="BH709" s="96"/>
      <c r="BI709" s="96"/>
    </row>
    <row r="710" spans="1:61" x14ac:dyDescent="0.45">
      <c r="A710" s="17"/>
      <c r="B710" s="17"/>
      <c r="C710" s="17"/>
      <c r="D710" s="17"/>
      <c r="E710" s="15"/>
      <c r="F710" s="17"/>
      <c r="G710" s="17"/>
      <c r="H710" s="3"/>
      <c r="I710" s="88"/>
      <c r="J710" s="88"/>
      <c r="K710" s="15"/>
      <c r="L710" s="96"/>
      <c r="M710" s="89"/>
      <c r="N710" s="88"/>
      <c r="O710" s="413"/>
      <c r="P710" s="18"/>
      <c r="Q710" s="91"/>
      <c r="R710" s="18"/>
      <c r="S710" s="18"/>
      <c r="T710" s="18"/>
      <c r="U710" s="18"/>
      <c r="V710" s="18"/>
      <c r="W710" s="18"/>
      <c r="X710" s="18"/>
      <c r="Y710" s="92"/>
      <c r="Z710" s="92"/>
      <c r="AA710" s="418"/>
      <c r="AB710" s="95"/>
      <c r="AC710" s="18"/>
      <c r="AD710" s="18"/>
      <c r="AE710" s="18"/>
      <c r="AF710" s="18"/>
      <c r="AG710" s="91"/>
      <c r="AH710" s="18"/>
      <c r="AI710" s="18"/>
      <c r="AJ710" s="18"/>
      <c r="AK710" s="18"/>
      <c r="AL710" s="18"/>
      <c r="AM710" s="18"/>
      <c r="AN710" s="18"/>
      <c r="AO710" s="18"/>
      <c r="AP710" s="18"/>
      <c r="AQ710" s="18"/>
      <c r="AR710" s="18"/>
      <c r="AS710" s="18"/>
      <c r="AT710" s="18"/>
      <c r="AU710" s="91"/>
      <c r="AV710" s="18"/>
      <c r="AW710" s="18"/>
      <c r="AX710" s="18"/>
      <c r="AY710" s="17"/>
      <c r="AZ710" s="17"/>
      <c r="BA710" s="17"/>
      <c r="BB710" s="17"/>
      <c r="BC710" s="96"/>
      <c r="BD710" s="96"/>
      <c r="BE710" s="96"/>
      <c r="BF710" s="96"/>
      <c r="BG710" s="96"/>
      <c r="BH710" s="96"/>
      <c r="BI710" s="96"/>
    </row>
    <row r="711" spans="1:61" x14ac:dyDescent="0.45">
      <c r="A711" s="17"/>
      <c r="B711" s="17"/>
      <c r="C711" s="17"/>
      <c r="D711" s="17"/>
      <c r="E711" s="15"/>
      <c r="F711" s="17"/>
      <c r="G711" s="17"/>
      <c r="H711" s="3"/>
      <c r="I711" s="88"/>
      <c r="J711" s="88"/>
      <c r="K711" s="15"/>
      <c r="L711" s="96"/>
      <c r="M711" s="89"/>
      <c r="N711" s="88"/>
      <c r="O711" s="413"/>
      <c r="P711" s="18"/>
      <c r="Q711" s="91"/>
      <c r="R711" s="18"/>
      <c r="S711" s="18"/>
      <c r="T711" s="18"/>
      <c r="U711" s="18"/>
      <c r="V711" s="18"/>
      <c r="W711" s="18"/>
      <c r="X711" s="18"/>
      <c r="Y711" s="92"/>
      <c r="Z711" s="92"/>
      <c r="AA711" s="418"/>
      <c r="AB711" s="95"/>
      <c r="AC711" s="18"/>
      <c r="AD711" s="18"/>
      <c r="AE711" s="18"/>
      <c r="AF711" s="18"/>
      <c r="AG711" s="91"/>
      <c r="AH711" s="18"/>
      <c r="AI711" s="18"/>
      <c r="AJ711" s="18"/>
      <c r="AK711" s="18"/>
      <c r="AL711" s="18"/>
      <c r="AM711" s="18"/>
      <c r="AN711" s="18"/>
      <c r="AO711" s="18"/>
      <c r="AP711" s="18"/>
      <c r="AQ711" s="18"/>
      <c r="AR711" s="18"/>
      <c r="AS711" s="18"/>
      <c r="AT711" s="18"/>
      <c r="AU711" s="91"/>
      <c r="AV711" s="18"/>
      <c r="AW711" s="18"/>
      <c r="AX711" s="18"/>
      <c r="AY711" s="17"/>
      <c r="AZ711" s="17"/>
      <c r="BA711" s="17"/>
      <c r="BB711" s="17"/>
      <c r="BC711" s="96"/>
      <c r="BD711" s="96"/>
      <c r="BE711" s="96"/>
      <c r="BF711" s="96"/>
      <c r="BG711" s="96"/>
      <c r="BH711" s="96"/>
      <c r="BI711" s="96"/>
    </row>
    <row r="712" spans="1:61" x14ac:dyDescent="0.45">
      <c r="A712" s="17"/>
      <c r="B712" s="17"/>
      <c r="C712" s="17"/>
      <c r="D712" s="17"/>
      <c r="E712" s="15"/>
      <c r="F712" s="17"/>
      <c r="G712" s="17"/>
      <c r="H712" s="3"/>
      <c r="I712" s="88"/>
      <c r="J712" s="88"/>
      <c r="K712" s="15"/>
      <c r="L712" s="96"/>
      <c r="M712" s="89"/>
      <c r="N712" s="88"/>
      <c r="O712" s="413"/>
      <c r="P712" s="18"/>
      <c r="Q712" s="91"/>
      <c r="R712" s="18"/>
      <c r="S712" s="18"/>
      <c r="T712" s="18"/>
      <c r="U712" s="18"/>
      <c r="V712" s="18"/>
      <c r="W712" s="18"/>
      <c r="X712" s="18"/>
      <c r="Y712" s="92"/>
      <c r="Z712" s="92"/>
      <c r="AA712" s="418"/>
      <c r="AB712" s="95"/>
      <c r="AC712" s="18"/>
      <c r="AD712" s="18"/>
      <c r="AE712" s="18"/>
      <c r="AF712" s="18"/>
      <c r="AG712" s="91"/>
      <c r="AH712" s="18"/>
      <c r="AI712" s="18"/>
      <c r="AJ712" s="18"/>
      <c r="AK712" s="18"/>
      <c r="AL712" s="18"/>
      <c r="AM712" s="18"/>
      <c r="AN712" s="18"/>
      <c r="AO712" s="18"/>
      <c r="AP712" s="18"/>
      <c r="AQ712" s="18"/>
      <c r="AR712" s="18"/>
      <c r="AS712" s="18"/>
      <c r="AT712" s="18"/>
      <c r="AU712" s="91"/>
      <c r="AV712" s="18"/>
      <c r="AW712" s="18"/>
      <c r="AX712" s="18"/>
      <c r="AY712" s="17"/>
      <c r="AZ712" s="17"/>
      <c r="BA712" s="17"/>
      <c r="BB712" s="17"/>
      <c r="BC712" s="96"/>
      <c r="BD712" s="96"/>
      <c r="BE712" s="96"/>
      <c r="BF712" s="96"/>
      <c r="BG712" s="96"/>
      <c r="BH712" s="96"/>
      <c r="BI712" s="96"/>
    </row>
    <row r="713" spans="1:61" x14ac:dyDescent="0.45">
      <c r="A713" s="17"/>
      <c r="B713" s="17"/>
      <c r="C713" s="17"/>
      <c r="D713" s="17"/>
      <c r="E713" s="15"/>
      <c r="F713" s="17"/>
      <c r="G713" s="17"/>
      <c r="H713" s="3"/>
      <c r="I713" s="88"/>
      <c r="J713" s="88"/>
      <c r="K713" s="15"/>
      <c r="L713" s="96"/>
      <c r="M713" s="89"/>
      <c r="N713" s="88"/>
      <c r="O713" s="413"/>
      <c r="P713" s="18"/>
      <c r="Q713" s="91"/>
      <c r="R713" s="18"/>
      <c r="S713" s="18"/>
      <c r="T713" s="18"/>
      <c r="U713" s="18"/>
      <c r="V713" s="18"/>
      <c r="W713" s="18"/>
      <c r="X713" s="18"/>
      <c r="Y713" s="92"/>
      <c r="Z713" s="92"/>
      <c r="AA713" s="418"/>
      <c r="AB713" s="95"/>
      <c r="AC713" s="18"/>
      <c r="AD713" s="18"/>
      <c r="AE713" s="18"/>
      <c r="AF713" s="18"/>
      <c r="AG713" s="91"/>
      <c r="AH713" s="18"/>
      <c r="AI713" s="18"/>
      <c r="AJ713" s="18"/>
      <c r="AK713" s="18"/>
      <c r="AL713" s="18"/>
      <c r="AM713" s="18"/>
      <c r="AN713" s="18"/>
      <c r="AO713" s="18"/>
      <c r="AP713" s="18"/>
      <c r="AQ713" s="18"/>
      <c r="AR713" s="18"/>
      <c r="AS713" s="18"/>
      <c r="AT713" s="18"/>
      <c r="AU713" s="91"/>
      <c r="AV713" s="18"/>
      <c r="AW713" s="18"/>
      <c r="AX713" s="18"/>
      <c r="AY713" s="17"/>
      <c r="AZ713" s="17"/>
      <c r="BA713" s="17"/>
      <c r="BB713" s="17"/>
      <c r="BC713" s="96"/>
      <c r="BD713" s="96"/>
      <c r="BE713" s="96"/>
      <c r="BF713" s="96"/>
      <c r="BG713" s="96"/>
      <c r="BH713" s="96"/>
      <c r="BI713" s="96"/>
    </row>
    <row r="714" spans="1:61" x14ac:dyDescent="0.45">
      <c r="A714" s="17"/>
      <c r="B714" s="17"/>
      <c r="C714" s="17"/>
      <c r="D714" s="17"/>
      <c r="E714" s="15"/>
      <c r="F714" s="17"/>
      <c r="G714" s="17"/>
      <c r="H714" s="3"/>
      <c r="I714" s="88"/>
      <c r="J714" s="88"/>
      <c r="K714" s="15"/>
      <c r="L714" s="96"/>
      <c r="M714" s="89"/>
      <c r="N714" s="88"/>
      <c r="O714" s="413"/>
      <c r="P714" s="18"/>
      <c r="Q714" s="91"/>
      <c r="R714" s="18"/>
      <c r="S714" s="18"/>
      <c r="T714" s="18"/>
      <c r="U714" s="18"/>
      <c r="V714" s="18"/>
      <c r="W714" s="18"/>
      <c r="X714" s="18"/>
      <c r="Y714" s="92"/>
      <c r="Z714" s="92"/>
      <c r="AA714" s="418"/>
      <c r="AB714" s="95"/>
      <c r="AC714" s="18"/>
      <c r="AD714" s="18"/>
      <c r="AE714" s="18"/>
      <c r="AF714" s="18"/>
      <c r="AG714" s="91"/>
      <c r="AH714" s="18"/>
      <c r="AI714" s="18"/>
      <c r="AJ714" s="18"/>
      <c r="AK714" s="18"/>
      <c r="AL714" s="18"/>
      <c r="AM714" s="18"/>
      <c r="AN714" s="18"/>
      <c r="AO714" s="18"/>
      <c r="AP714" s="18"/>
      <c r="AQ714" s="18"/>
      <c r="AR714" s="18"/>
      <c r="AS714" s="18"/>
      <c r="AT714" s="18"/>
      <c r="AU714" s="91"/>
      <c r="AV714" s="18"/>
      <c r="AW714" s="18"/>
      <c r="AX714" s="18"/>
      <c r="AY714" s="17"/>
      <c r="AZ714" s="17"/>
      <c r="BA714" s="17"/>
      <c r="BB714" s="17"/>
      <c r="BC714" s="96"/>
      <c r="BD714" s="96"/>
      <c r="BE714" s="96"/>
      <c r="BF714" s="96"/>
      <c r="BG714" s="96"/>
      <c r="BH714" s="96"/>
      <c r="BI714" s="96"/>
    </row>
    <row r="715" spans="1:61" x14ac:dyDescent="0.45">
      <c r="A715" s="17"/>
      <c r="B715" s="17"/>
      <c r="C715" s="17"/>
      <c r="D715" s="17"/>
      <c r="E715" s="15"/>
      <c r="F715" s="17"/>
      <c r="G715" s="17"/>
      <c r="H715" s="3"/>
      <c r="I715" s="88"/>
      <c r="J715" s="88"/>
      <c r="K715" s="15"/>
      <c r="L715" s="96"/>
      <c r="M715" s="89"/>
      <c r="N715" s="88"/>
      <c r="O715" s="413"/>
      <c r="P715" s="18"/>
      <c r="Q715" s="91"/>
      <c r="R715" s="18"/>
      <c r="S715" s="18"/>
      <c r="T715" s="18"/>
      <c r="U715" s="18"/>
      <c r="V715" s="18"/>
      <c r="W715" s="18"/>
      <c r="X715" s="18"/>
      <c r="Y715" s="92"/>
      <c r="Z715" s="92"/>
      <c r="AA715" s="418"/>
      <c r="AB715" s="95"/>
      <c r="AC715" s="18"/>
      <c r="AD715" s="18"/>
      <c r="AE715" s="18"/>
      <c r="AF715" s="18"/>
      <c r="AG715" s="91"/>
      <c r="AH715" s="18"/>
      <c r="AI715" s="18"/>
      <c r="AJ715" s="18"/>
      <c r="AK715" s="18"/>
      <c r="AL715" s="18"/>
      <c r="AM715" s="18"/>
      <c r="AN715" s="18"/>
      <c r="AO715" s="18"/>
      <c r="AP715" s="18"/>
      <c r="AQ715" s="18"/>
      <c r="AR715" s="18"/>
      <c r="AS715" s="18"/>
      <c r="AT715" s="18"/>
      <c r="AU715" s="91"/>
      <c r="AV715" s="18"/>
      <c r="AW715" s="18"/>
      <c r="AX715" s="18"/>
      <c r="AY715" s="17"/>
      <c r="AZ715" s="17"/>
      <c r="BA715" s="17"/>
      <c r="BB715" s="17"/>
      <c r="BC715" s="96"/>
      <c r="BD715" s="96"/>
      <c r="BE715" s="96"/>
      <c r="BF715" s="96"/>
      <c r="BG715" s="96"/>
      <c r="BH715" s="96"/>
      <c r="BI715" s="96"/>
    </row>
    <row r="716" spans="1:61" x14ac:dyDescent="0.45">
      <c r="A716" s="17"/>
      <c r="B716" s="17"/>
      <c r="C716" s="17"/>
      <c r="D716" s="17"/>
      <c r="E716" s="15"/>
      <c r="F716" s="17"/>
      <c r="G716" s="17"/>
      <c r="H716" s="3"/>
      <c r="I716" s="88"/>
      <c r="J716" s="88"/>
      <c r="K716" s="15"/>
      <c r="L716" s="96"/>
      <c r="M716" s="89"/>
      <c r="N716" s="88"/>
      <c r="O716" s="413"/>
      <c r="P716" s="18"/>
      <c r="Q716" s="91"/>
      <c r="R716" s="18"/>
      <c r="S716" s="18"/>
      <c r="T716" s="18"/>
      <c r="U716" s="18"/>
      <c r="V716" s="18"/>
      <c r="W716" s="18"/>
      <c r="X716" s="18"/>
      <c r="Y716" s="92"/>
      <c r="Z716" s="92"/>
      <c r="AA716" s="418"/>
      <c r="AB716" s="95"/>
      <c r="AC716" s="18"/>
      <c r="AD716" s="18"/>
      <c r="AE716" s="18"/>
      <c r="AF716" s="18"/>
      <c r="AG716" s="91"/>
      <c r="AH716" s="18"/>
      <c r="AI716" s="18"/>
      <c r="AJ716" s="18"/>
      <c r="AK716" s="18"/>
      <c r="AL716" s="18"/>
      <c r="AM716" s="18"/>
      <c r="AN716" s="18"/>
      <c r="AO716" s="18"/>
      <c r="AP716" s="18"/>
      <c r="AQ716" s="18"/>
      <c r="AR716" s="18"/>
      <c r="AS716" s="18"/>
      <c r="AT716" s="18"/>
      <c r="AU716" s="91"/>
      <c r="AV716" s="18"/>
      <c r="AW716" s="18"/>
      <c r="AX716" s="18"/>
      <c r="AY716" s="17"/>
      <c r="AZ716" s="17"/>
      <c r="BA716" s="17"/>
      <c r="BB716" s="17"/>
      <c r="BC716" s="96"/>
      <c r="BD716" s="96"/>
      <c r="BE716" s="96"/>
      <c r="BF716" s="96"/>
      <c r="BG716" s="96"/>
      <c r="BH716" s="96"/>
      <c r="BI716" s="96"/>
    </row>
    <row r="717" spans="1:61" x14ac:dyDescent="0.45">
      <c r="A717" s="17"/>
      <c r="B717" s="17"/>
      <c r="C717" s="17"/>
      <c r="D717" s="17"/>
      <c r="E717" s="15"/>
      <c r="F717" s="17"/>
      <c r="G717" s="17"/>
      <c r="H717" s="3"/>
      <c r="I717" s="88"/>
      <c r="J717" s="88"/>
      <c r="K717" s="15"/>
      <c r="L717" s="96"/>
      <c r="M717" s="89"/>
      <c r="N717" s="88"/>
      <c r="O717" s="413"/>
      <c r="P717" s="18"/>
      <c r="Q717" s="91"/>
      <c r="R717" s="18"/>
      <c r="S717" s="18"/>
      <c r="T717" s="18"/>
      <c r="U717" s="18"/>
      <c r="V717" s="18"/>
      <c r="W717" s="18"/>
      <c r="X717" s="18"/>
      <c r="Y717" s="92"/>
      <c r="Z717" s="92"/>
      <c r="AA717" s="418"/>
      <c r="AB717" s="95"/>
      <c r="AC717" s="18"/>
      <c r="AD717" s="18"/>
      <c r="AE717" s="18"/>
      <c r="AF717" s="18"/>
      <c r="AG717" s="91"/>
      <c r="AH717" s="18"/>
      <c r="AI717" s="18"/>
      <c r="AJ717" s="18"/>
      <c r="AK717" s="18"/>
      <c r="AL717" s="18"/>
      <c r="AM717" s="18"/>
      <c r="AN717" s="18"/>
      <c r="AO717" s="18"/>
      <c r="AP717" s="18"/>
      <c r="AQ717" s="18"/>
      <c r="AR717" s="18"/>
      <c r="AS717" s="18"/>
      <c r="AT717" s="18"/>
      <c r="AU717" s="91"/>
      <c r="AV717" s="18"/>
      <c r="AW717" s="18"/>
      <c r="AX717" s="18"/>
      <c r="AY717" s="17"/>
      <c r="AZ717" s="17"/>
      <c r="BA717" s="17"/>
      <c r="BB717" s="17"/>
      <c r="BC717" s="96"/>
      <c r="BD717" s="96"/>
      <c r="BE717" s="96"/>
      <c r="BF717" s="96"/>
      <c r="BG717" s="96"/>
      <c r="BH717" s="96"/>
      <c r="BI717" s="96"/>
    </row>
    <row r="718" spans="1:61" x14ac:dyDescent="0.45">
      <c r="A718" s="17"/>
      <c r="B718" s="17"/>
      <c r="C718" s="17"/>
      <c r="D718" s="17"/>
      <c r="E718" s="15"/>
      <c r="F718" s="17"/>
      <c r="G718" s="17"/>
      <c r="H718" s="3"/>
      <c r="I718" s="88"/>
      <c r="J718" s="88"/>
      <c r="K718" s="15"/>
      <c r="L718" s="96"/>
      <c r="M718" s="89"/>
      <c r="N718" s="88"/>
      <c r="O718" s="413"/>
      <c r="P718" s="18"/>
      <c r="Q718" s="91"/>
      <c r="R718" s="18"/>
      <c r="S718" s="18"/>
      <c r="T718" s="18"/>
      <c r="U718" s="18"/>
      <c r="V718" s="18"/>
      <c r="W718" s="18"/>
      <c r="X718" s="18"/>
      <c r="Y718" s="92"/>
      <c r="Z718" s="92"/>
      <c r="AA718" s="418"/>
      <c r="AB718" s="95"/>
      <c r="AC718" s="18"/>
      <c r="AD718" s="18"/>
      <c r="AE718" s="18"/>
      <c r="AF718" s="18"/>
      <c r="AG718" s="91"/>
      <c r="AH718" s="18"/>
      <c r="AI718" s="18"/>
      <c r="AJ718" s="18"/>
      <c r="AK718" s="18"/>
      <c r="AL718" s="18"/>
      <c r="AM718" s="18"/>
      <c r="AN718" s="18"/>
      <c r="AO718" s="18"/>
      <c r="AP718" s="18"/>
      <c r="AQ718" s="18"/>
      <c r="AR718" s="18"/>
      <c r="AS718" s="18"/>
      <c r="AT718" s="18"/>
      <c r="AU718" s="91"/>
      <c r="AV718" s="18"/>
      <c r="AW718" s="18"/>
      <c r="AX718" s="18"/>
      <c r="AY718" s="17"/>
      <c r="AZ718" s="17"/>
      <c r="BA718" s="17"/>
      <c r="BB718" s="17"/>
      <c r="BC718" s="96"/>
      <c r="BD718" s="96"/>
      <c r="BE718" s="96"/>
      <c r="BF718" s="96"/>
      <c r="BG718" s="96"/>
      <c r="BH718" s="96"/>
      <c r="BI718" s="96"/>
    </row>
    <row r="719" spans="1:61" x14ac:dyDescent="0.45">
      <c r="A719" s="17"/>
      <c r="B719" s="17"/>
      <c r="C719" s="17"/>
      <c r="D719" s="17"/>
      <c r="E719" s="15"/>
      <c r="F719" s="17"/>
      <c r="G719" s="17"/>
      <c r="H719" s="3"/>
      <c r="I719" s="88"/>
      <c r="J719" s="88"/>
      <c r="K719" s="15"/>
      <c r="L719" s="96"/>
      <c r="M719" s="89"/>
      <c r="N719" s="88"/>
      <c r="O719" s="413"/>
      <c r="P719" s="18"/>
      <c r="Q719" s="91"/>
      <c r="R719" s="18"/>
      <c r="S719" s="18"/>
      <c r="T719" s="18"/>
      <c r="U719" s="18"/>
      <c r="V719" s="18"/>
      <c r="W719" s="18"/>
      <c r="X719" s="18"/>
      <c r="Y719" s="92"/>
      <c r="Z719" s="92"/>
      <c r="AA719" s="418"/>
      <c r="AB719" s="95"/>
      <c r="AC719" s="18"/>
      <c r="AD719" s="18"/>
      <c r="AE719" s="18"/>
      <c r="AF719" s="18"/>
      <c r="AG719" s="91"/>
      <c r="AH719" s="18"/>
      <c r="AI719" s="18"/>
      <c r="AJ719" s="18"/>
      <c r="AK719" s="18"/>
      <c r="AL719" s="18"/>
      <c r="AM719" s="18"/>
      <c r="AN719" s="18"/>
      <c r="AO719" s="18"/>
      <c r="AP719" s="18"/>
      <c r="AQ719" s="18"/>
      <c r="AR719" s="18"/>
      <c r="AS719" s="18"/>
      <c r="AT719" s="18"/>
      <c r="AU719" s="91"/>
      <c r="AV719" s="18"/>
      <c r="AW719" s="18"/>
      <c r="AX719" s="18"/>
      <c r="AY719" s="17"/>
      <c r="AZ719" s="17"/>
      <c r="BA719" s="17"/>
      <c r="BB719" s="17"/>
      <c r="BC719" s="96"/>
      <c r="BD719" s="96"/>
      <c r="BE719" s="96"/>
      <c r="BF719" s="96"/>
      <c r="BG719" s="96"/>
      <c r="BH719" s="96"/>
      <c r="BI719" s="96"/>
    </row>
    <row r="720" spans="1:61" x14ac:dyDescent="0.45">
      <c r="A720" s="17"/>
      <c r="B720" s="17"/>
      <c r="C720" s="17"/>
      <c r="D720" s="17"/>
      <c r="E720" s="15"/>
      <c r="F720" s="17"/>
      <c r="G720" s="17"/>
      <c r="H720" s="3"/>
      <c r="I720" s="88"/>
      <c r="J720" s="88"/>
      <c r="K720" s="15"/>
      <c r="L720" s="96"/>
      <c r="M720" s="89"/>
      <c r="N720" s="88"/>
      <c r="O720" s="413"/>
      <c r="P720" s="18"/>
      <c r="Q720" s="91"/>
      <c r="R720" s="18"/>
      <c r="S720" s="18"/>
      <c r="T720" s="18"/>
      <c r="U720" s="18"/>
      <c r="V720" s="18"/>
      <c r="W720" s="18"/>
      <c r="X720" s="18"/>
      <c r="Y720" s="92"/>
      <c r="Z720" s="92"/>
      <c r="AA720" s="418"/>
      <c r="AB720" s="95"/>
      <c r="AC720" s="18"/>
      <c r="AD720" s="18"/>
      <c r="AE720" s="18"/>
      <c r="AF720" s="18"/>
      <c r="AG720" s="91"/>
      <c r="AH720" s="18"/>
      <c r="AI720" s="18"/>
      <c r="AJ720" s="18"/>
      <c r="AK720" s="18"/>
      <c r="AL720" s="18"/>
      <c r="AM720" s="18"/>
      <c r="AN720" s="18"/>
      <c r="AO720" s="18"/>
      <c r="AP720" s="18"/>
      <c r="AQ720" s="18"/>
      <c r="AR720" s="18"/>
      <c r="AS720" s="18"/>
      <c r="AT720" s="18"/>
      <c r="AU720" s="91"/>
      <c r="AV720" s="18"/>
      <c r="AW720" s="18"/>
      <c r="AX720" s="18"/>
      <c r="AY720" s="17"/>
      <c r="AZ720" s="17"/>
      <c r="BA720" s="17"/>
      <c r="BB720" s="17"/>
      <c r="BC720" s="96"/>
      <c r="BD720" s="96"/>
      <c r="BE720" s="96"/>
      <c r="BF720" s="96"/>
      <c r="BG720" s="96"/>
      <c r="BH720" s="96"/>
      <c r="BI720" s="96"/>
    </row>
    <row r="721" spans="1:61" x14ac:dyDescent="0.45">
      <c r="A721" s="17"/>
      <c r="B721" s="17"/>
      <c r="C721" s="17"/>
      <c r="D721" s="17"/>
      <c r="E721" s="15"/>
      <c r="F721" s="17"/>
      <c r="G721" s="17"/>
      <c r="H721" s="3"/>
      <c r="I721" s="88"/>
      <c r="J721" s="88"/>
      <c r="K721" s="15"/>
      <c r="L721" s="96"/>
      <c r="M721" s="89"/>
      <c r="N721" s="88"/>
      <c r="O721" s="413"/>
      <c r="P721" s="18"/>
      <c r="Q721" s="91"/>
      <c r="R721" s="18"/>
      <c r="S721" s="18"/>
      <c r="T721" s="18"/>
      <c r="U721" s="18"/>
      <c r="V721" s="18"/>
      <c r="W721" s="18"/>
      <c r="X721" s="18"/>
      <c r="Y721" s="92"/>
      <c r="Z721" s="92"/>
      <c r="AA721" s="418"/>
      <c r="AB721" s="95"/>
      <c r="AC721" s="18"/>
      <c r="AD721" s="18"/>
      <c r="AE721" s="18"/>
      <c r="AF721" s="18"/>
      <c r="AG721" s="91"/>
      <c r="AH721" s="18"/>
      <c r="AI721" s="18"/>
      <c r="AJ721" s="18"/>
      <c r="AK721" s="18"/>
      <c r="AL721" s="18"/>
      <c r="AM721" s="18"/>
      <c r="AN721" s="18"/>
      <c r="AO721" s="18"/>
      <c r="AP721" s="18"/>
      <c r="AQ721" s="18"/>
      <c r="AR721" s="18"/>
      <c r="AS721" s="18"/>
      <c r="AT721" s="18"/>
      <c r="AU721" s="91"/>
      <c r="AV721" s="18"/>
      <c r="AW721" s="18"/>
      <c r="AX721" s="18"/>
      <c r="AY721" s="17"/>
      <c r="AZ721" s="17"/>
      <c r="BA721" s="17"/>
      <c r="BB721" s="17"/>
      <c r="BC721" s="96"/>
      <c r="BD721" s="96"/>
      <c r="BE721" s="96"/>
      <c r="BF721" s="96"/>
      <c r="BG721" s="96"/>
      <c r="BH721" s="96"/>
      <c r="BI721" s="96"/>
    </row>
    <row r="722" spans="1:61" x14ac:dyDescent="0.45">
      <c r="A722" s="17"/>
      <c r="B722" s="17"/>
      <c r="C722" s="17"/>
      <c r="D722" s="17"/>
      <c r="E722" s="15"/>
      <c r="F722" s="17"/>
      <c r="G722" s="17"/>
      <c r="H722" s="3"/>
      <c r="I722" s="88"/>
      <c r="J722" s="88"/>
      <c r="K722" s="15"/>
      <c r="L722" s="96"/>
      <c r="M722" s="89"/>
      <c r="N722" s="88"/>
      <c r="O722" s="413"/>
      <c r="P722" s="18"/>
      <c r="Q722" s="91"/>
      <c r="R722" s="18"/>
      <c r="S722" s="18"/>
      <c r="T722" s="18"/>
      <c r="U722" s="18"/>
      <c r="V722" s="18"/>
      <c r="W722" s="18"/>
      <c r="X722" s="18"/>
      <c r="Y722" s="92"/>
      <c r="Z722" s="92"/>
      <c r="AA722" s="418"/>
      <c r="AB722" s="95"/>
      <c r="AC722" s="18"/>
      <c r="AD722" s="18"/>
      <c r="AE722" s="18"/>
      <c r="AF722" s="18"/>
      <c r="AG722" s="91"/>
      <c r="AH722" s="18"/>
      <c r="AI722" s="18"/>
      <c r="AJ722" s="18"/>
      <c r="AK722" s="18"/>
      <c r="AL722" s="18"/>
      <c r="AM722" s="18"/>
      <c r="AN722" s="18"/>
      <c r="AO722" s="18"/>
      <c r="AP722" s="18"/>
      <c r="AQ722" s="18"/>
      <c r="AR722" s="18"/>
      <c r="AS722" s="18"/>
      <c r="AT722" s="18"/>
      <c r="AU722" s="91"/>
      <c r="AV722" s="18"/>
      <c r="AW722" s="18"/>
      <c r="AX722" s="18"/>
      <c r="AY722" s="17"/>
      <c r="AZ722" s="17"/>
      <c r="BA722" s="17"/>
      <c r="BB722" s="17"/>
      <c r="BC722" s="96"/>
      <c r="BD722" s="96"/>
      <c r="BE722" s="96"/>
      <c r="BF722" s="96"/>
      <c r="BG722" s="96"/>
      <c r="BH722" s="96"/>
      <c r="BI722" s="96"/>
    </row>
    <row r="723" spans="1:61" x14ac:dyDescent="0.45">
      <c r="A723" s="17"/>
      <c r="B723" s="17"/>
      <c r="C723" s="17"/>
      <c r="D723" s="17"/>
      <c r="E723" s="15"/>
      <c r="F723" s="17"/>
      <c r="G723" s="17"/>
      <c r="H723" s="3"/>
      <c r="I723" s="88"/>
      <c r="J723" s="88"/>
      <c r="K723" s="15"/>
      <c r="L723" s="96"/>
      <c r="M723" s="89"/>
      <c r="N723" s="88"/>
      <c r="O723" s="413"/>
      <c r="P723" s="18"/>
      <c r="Q723" s="91"/>
      <c r="R723" s="18"/>
      <c r="S723" s="18"/>
      <c r="T723" s="18"/>
      <c r="U723" s="18"/>
      <c r="V723" s="18"/>
      <c r="W723" s="18"/>
      <c r="X723" s="18"/>
      <c r="Y723" s="92"/>
      <c r="Z723" s="92"/>
      <c r="AA723" s="418"/>
      <c r="AB723" s="95"/>
      <c r="AC723" s="18"/>
      <c r="AD723" s="18"/>
      <c r="AE723" s="18"/>
      <c r="AF723" s="18"/>
      <c r="AG723" s="91"/>
      <c r="AH723" s="18"/>
      <c r="AI723" s="18"/>
      <c r="AJ723" s="18"/>
      <c r="AK723" s="18"/>
      <c r="AL723" s="18"/>
      <c r="AM723" s="18"/>
      <c r="AN723" s="18"/>
      <c r="AO723" s="18"/>
      <c r="AP723" s="18"/>
      <c r="AQ723" s="18"/>
      <c r="AR723" s="18"/>
      <c r="AS723" s="18"/>
      <c r="AT723" s="18"/>
      <c r="AU723" s="91"/>
      <c r="AV723" s="18"/>
      <c r="AW723" s="18"/>
      <c r="AX723" s="18"/>
      <c r="AY723" s="17"/>
      <c r="AZ723" s="17"/>
      <c r="BA723" s="17"/>
      <c r="BB723" s="17"/>
      <c r="BC723" s="96"/>
      <c r="BD723" s="96"/>
      <c r="BE723" s="96"/>
      <c r="BF723" s="96"/>
      <c r="BG723" s="96"/>
      <c r="BH723" s="96"/>
      <c r="BI723" s="96"/>
    </row>
    <row r="724" spans="1:61" x14ac:dyDescent="0.45">
      <c r="A724" s="17"/>
      <c r="B724" s="17"/>
      <c r="C724" s="17"/>
      <c r="D724" s="17"/>
      <c r="E724" s="15"/>
      <c r="F724" s="17"/>
      <c r="G724" s="17"/>
      <c r="H724" s="3"/>
      <c r="I724" s="88"/>
      <c r="J724" s="88"/>
      <c r="K724" s="15"/>
      <c r="L724" s="96"/>
      <c r="M724" s="89"/>
      <c r="N724" s="88"/>
      <c r="O724" s="413"/>
      <c r="P724" s="18"/>
      <c r="Q724" s="91"/>
      <c r="R724" s="18"/>
      <c r="S724" s="18"/>
      <c r="T724" s="18"/>
      <c r="U724" s="18"/>
      <c r="V724" s="18"/>
      <c r="W724" s="18"/>
      <c r="X724" s="18"/>
      <c r="Y724" s="92"/>
      <c r="Z724" s="92"/>
      <c r="AA724" s="418"/>
      <c r="AB724" s="95"/>
      <c r="AC724" s="18"/>
      <c r="AD724" s="18"/>
      <c r="AE724" s="18"/>
      <c r="AF724" s="18"/>
      <c r="AG724" s="91"/>
      <c r="AH724" s="18"/>
      <c r="AI724" s="18"/>
      <c r="AJ724" s="18"/>
      <c r="AK724" s="18"/>
      <c r="AL724" s="18"/>
      <c r="AM724" s="18"/>
      <c r="AN724" s="18"/>
      <c r="AO724" s="18"/>
      <c r="AP724" s="18"/>
      <c r="AQ724" s="18"/>
      <c r="AR724" s="18"/>
      <c r="AS724" s="18"/>
      <c r="AT724" s="18"/>
      <c r="AU724" s="91"/>
      <c r="AV724" s="18"/>
      <c r="AW724" s="18"/>
      <c r="AX724" s="18"/>
      <c r="AY724" s="17"/>
      <c r="AZ724" s="17"/>
      <c r="BA724" s="17"/>
      <c r="BB724" s="17"/>
      <c r="BC724" s="96"/>
      <c r="BD724" s="96"/>
      <c r="BE724" s="96"/>
      <c r="BF724" s="96"/>
      <c r="BG724" s="96"/>
      <c r="BH724" s="96"/>
      <c r="BI724" s="96"/>
    </row>
    <row r="725" spans="1:61" x14ac:dyDescent="0.45">
      <c r="A725" s="17"/>
      <c r="B725" s="17"/>
      <c r="C725" s="17"/>
      <c r="D725" s="17"/>
      <c r="E725" s="15"/>
      <c r="F725" s="17"/>
      <c r="G725" s="17"/>
      <c r="H725" s="3"/>
      <c r="I725" s="88"/>
      <c r="J725" s="88"/>
      <c r="K725" s="15"/>
      <c r="L725" s="96"/>
      <c r="M725" s="89"/>
      <c r="N725" s="88"/>
      <c r="O725" s="413"/>
      <c r="P725" s="18"/>
      <c r="Q725" s="91"/>
      <c r="R725" s="18"/>
      <c r="S725" s="18"/>
      <c r="T725" s="18"/>
      <c r="U725" s="18"/>
      <c r="V725" s="18"/>
      <c r="W725" s="18"/>
      <c r="X725" s="18"/>
      <c r="Y725" s="92"/>
      <c r="Z725" s="92"/>
      <c r="AA725" s="418"/>
      <c r="AB725" s="95"/>
      <c r="AC725" s="18"/>
      <c r="AD725" s="18"/>
      <c r="AE725" s="18"/>
      <c r="AF725" s="18"/>
      <c r="AG725" s="91"/>
      <c r="AH725" s="18"/>
      <c r="AI725" s="18"/>
      <c r="AJ725" s="18"/>
      <c r="AK725" s="18"/>
      <c r="AL725" s="18"/>
      <c r="AM725" s="18"/>
      <c r="AN725" s="18"/>
      <c r="AO725" s="18"/>
      <c r="AP725" s="18"/>
      <c r="AQ725" s="18"/>
      <c r="AR725" s="18"/>
      <c r="AS725" s="18"/>
      <c r="AT725" s="18"/>
      <c r="AU725" s="91"/>
      <c r="AV725" s="18"/>
      <c r="AW725" s="18"/>
      <c r="AX725" s="18"/>
      <c r="AY725" s="17"/>
      <c r="AZ725" s="17"/>
      <c r="BA725" s="17"/>
      <c r="BB725" s="17"/>
      <c r="BC725" s="96"/>
      <c r="BD725" s="96"/>
      <c r="BE725" s="96"/>
      <c r="BF725" s="96"/>
      <c r="BG725" s="96"/>
      <c r="BH725" s="96"/>
      <c r="BI725" s="96"/>
    </row>
    <row r="726" spans="1:61" x14ac:dyDescent="0.45">
      <c r="A726" s="17"/>
      <c r="B726" s="17"/>
      <c r="C726" s="17"/>
      <c r="D726" s="17"/>
      <c r="E726" s="15"/>
      <c r="F726" s="17"/>
      <c r="G726" s="17"/>
      <c r="H726" s="3"/>
      <c r="I726" s="88"/>
      <c r="J726" s="88"/>
      <c r="K726" s="15"/>
      <c r="L726" s="96"/>
      <c r="M726" s="89"/>
      <c r="N726" s="88"/>
      <c r="O726" s="413"/>
      <c r="P726" s="18"/>
      <c r="Q726" s="91"/>
      <c r="R726" s="18"/>
      <c r="S726" s="18"/>
      <c r="T726" s="18"/>
      <c r="U726" s="18"/>
      <c r="V726" s="18"/>
      <c r="W726" s="18"/>
      <c r="X726" s="18"/>
      <c r="Y726" s="92"/>
      <c r="Z726" s="92"/>
      <c r="AA726" s="418"/>
      <c r="AB726" s="95"/>
      <c r="AC726" s="18"/>
      <c r="AD726" s="18"/>
      <c r="AE726" s="18"/>
      <c r="AF726" s="18"/>
      <c r="AG726" s="91"/>
      <c r="AH726" s="18"/>
      <c r="AI726" s="18"/>
      <c r="AJ726" s="18"/>
      <c r="AK726" s="18"/>
      <c r="AL726" s="18"/>
      <c r="AM726" s="18"/>
      <c r="AN726" s="18"/>
      <c r="AO726" s="18"/>
      <c r="AP726" s="18"/>
      <c r="AQ726" s="18"/>
      <c r="AR726" s="18"/>
      <c r="AS726" s="18"/>
      <c r="AT726" s="18"/>
      <c r="AU726" s="91"/>
      <c r="AV726" s="18"/>
      <c r="AW726" s="18"/>
      <c r="AX726" s="18"/>
      <c r="AY726" s="17"/>
      <c r="AZ726" s="17"/>
      <c r="BA726" s="17"/>
      <c r="BB726" s="17"/>
      <c r="BC726" s="96"/>
      <c r="BD726" s="96"/>
      <c r="BE726" s="96"/>
      <c r="BF726" s="96"/>
      <c r="BG726" s="96"/>
      <c r="BH726" s="96"/>
      <c r="BI726" s="96"/>
    </row>
    <row r="727" spans="1:61" x14ac:dyDescent="0.45">
      <c r="A727" s="17"/>
      <c r="B727" s="17"/>
      <c r="C727" s="17"/>
      <c r="D727" s="17"/>
      <c r="E727" s="15"/>
      <c r="F727" s="17"/>
      <c r="G727" s="17"/>
      <c r="H727" s="3"/>
      <c r="I727" s="88"/>
      <c r="J727" s="88"/>
      <c r="K727" s="15"/>
      <c r="L727" s="96"/>
      <c r="M727" s="89"/>
      <c r="N727" s="88"/>
      <c r="O727" s="413"/>
      <c r="P727" s="18"/>
      <c r="Q727" s="91"/>
      <c r="R727" s="18"/>
      <c r="S727" s="18"/>
      <c r="T727" s="18"/>
      <c r="U727" s="18"/>
      <c r="V727" s="18"/>
      <c r="W727" s="18"/>
      <c r="X727" s="18"/>
      <c r="Y727" s="92"/>
      <c r="Z727" s="92"/>
      <c r="AA727" s="418"/>
      <c r="AB727" s="95"/>
      <c r="AC727" s="18"/>
      <c r="AD727" s="18"/>
      <c r="AE727" s="18"/>
      <c r="AF727" s="18"/>
      <c r="AG727" s="91"/>
      <c r="AH727" s="18"/>
      <c r="AI727" s="18"/>
      <c r="AJ727" s="18"/>
      <c r="AK727" s="18"/>
      <c r="AL727" s="18"/>
      <c r="AM727" s="18"/>
      <c r="AN727" s="18"/>
      <c r="AO727" s="18"/>
      <c r="AP727" s="18"/>
      <c r="AQ727" s="18"/>
      <c r="AR727" s="18"/>
      <c r="AS727" s="18"/>
      <c r="AT727" s="18"/>
      <c r="AU727" s="91"/>
      <c r="AV727" s="18"/>
      <c r="AW727" s="18"/>
      <c r="AX727" s="18"/>
      <c r="AY727" s="17"/>
      <c r="AZ727" s="17"/>
      <c r="BA727" s="17"/>
      <c r="BB727" s="17"/>
      <c r="BC727" s="96"/>
      <c r="BD727" s="96"/>
      <c r="BE727" s="96"/>
      <c r="BF727" s="96"/>
      <c r="BG727" s="96"/>
      <c r="BH727" s="96"/>
      <c r="BI727" s="96"/>
    </row>
    <row r="728" spans="1:61" x14ac:dyDescent="0.45">
      <c r="A728" s="17"/>
      <c r="B728" s="17"/>
      <c r="C728" s="17"/>
      <c r="D728" s="17"/>
      <c r="E728" s="15"/>
      <c r="F728" s="17"/>
      <c r="G728" s="17"/>
      <c r="H728" s="3"/>
      <c r="I728" s="88"/>
      <c r="J728" s="88"/>
      <c r="K728" s="15"/>
      <c r="L728" s="96"/>
      <c r="M728" s="89"/>
      <c r="N728" s="88"/>
      <c r="O728" s="413"/>
      <c r="P728" s="18"/>
      <c r="Q728" s="91"/>
      <c r="R728" s="18"/>
      <c r="S728" s="18"/>
      <c r="T728" s="18"/>
      <c r="U728" s="18"/>
      <c r="V728" s="18"/>
      <c r="W728" s="18"/>
      <c r="X728" s="18"/>
      <c r="Y728" s="92"/>
      <c r="Z728" s="92"/>
      <c r="AA728" s="418"/>
      <c r="AB728" s="95"/>
      <c r="AC728" s="18"/>
      <c r="AD728" s="18"/>
      <c r="AE728" s="18"/>
      <c r="AF728" s="18"/>
      <c r="AG728" s="91"/>
      <c r="AH728" s="18"/>
      <c r="AI728" s="18"/>
      <c r="AJ728" s="18"/>
      <c r="AK728" s="18"/>
      <c r="AL728" s="18"/>
      <c r="AM728" s="18"/>
      <c r="AN728" s="18"/>
      <c r="AO728" s="18"/>
      <c r="AP728" s="18"/>
      <c r="AQ728" s="18"/>
      <c r="AR728" s="18"/>
      <c r="AS728" s="18"/>
      <c r="AT728" s="18"/>
      <c r="AU728" s="91"/>
      <c r="AV728" s="18"/>
      <c r="AW728" s="18"/>
      <c r="AX728" s="18"/>
      <c r="AY728" s="17"/>
      <c r="AZ728" s="17"/>
      <c r="BA728" s="17"/>
      <c r="BB728" s="17"/>
      <c r="BC728" s="96"/>
      <c r="BD728" s="96"/>
      <c r="BE728" s="96"/>
      <c r="BF728" s="96"/>
      <c r="BG728" s="96"/>
      <c r="BH728" s="96"/>
      <c r="BI728" s="96"/>
    </row>
    <row r="729" spans="1:61" x14ac:dyDescent="0.45">
      <c r="A729" s="17"/>
      <c r="B729" s="17"/>
      <c r="C729" s="17"/>
      <c r="D729" s="17"/>
      <c r="E729" s="15"/>
      <c r="F729" s="17"/>
      <c r="G729" s="17"/>
      <c r="H729" s="3"/>
      <c r="I729" s="88"/>
      <c r="J729" s="88"/>
      <c r="K729" s="15"/>
      <c r="L729" s="96"/>
      <c r="M729" s="89"/>
      <c r="N729" s="88"/>
      <c r="O729" s="413"/>
      <c r="P729" s="18"/>
      <c r="Q729" s="91"/>
      <c r="R729" s="18"/>
      <c r="S729" s="18"/>
      <c r="T729" s="18"/>
      <c r="U729" s="18"/>
      <c r="V729" s="18"/>
      <c r="W729" s="18"/>
      <c r="X729" s="18"/>
      <c r="Y729" s="92"/>
      <c r="Z729" s="92"/>
      <c r="AA729" s="418"/>
      <c r="AB729" s="95"/>
      <c r="AC729" s="18"/>
      <c r="AD729" s="18"/>
      <c r="AE729" s="18"/>
      <c r="AF729" s="18"/>
      <c r="AG729" s="91"/>
      <c r="AH729" s="18"/>
      <c r="AI729" s="18"/>
      <c r="AJ729" s="18"/>
      <c r="AK729" s="18"/>
      <c r="AL729" s="18"/>
      <c r="AM729" s="18"/>
      <c r="AN729" s="18"/>
      <c r="AO729" s="18"/>
      <c r="AP729" s="18"/>
      <c r="AQ729" s="18"/>
      <c r="AR729" s="18"/>
      <c r="AS729" s="18"/>
      <c r="AT729" s="18"/>
      <c r="AU729" s="91"/>
      <c r="AV729" s="18"/>
      <c r="AW729" s="18"/>
      <c r="AX729" s="18"/>
      <c r="AY729" s="17"/>
      <c r="AZ729" s="17"/>
      <c r="BA729" s="17"/>
      <c r="BB729" s="17"/>
      <c r="BC729" s="96"/>
      <c r="BD729" s="96"/>
      <c r="BE729" s="96"/>
      <c r="BF729" s="96"/>
      <c r="BG729" s="96"/>
      <c r="BH729" s="96"/>
      <c r="BI729" s="96"/>
    </row>
    <row r="730" spans="1:61" x14ac:dyDescent="0.45">
      <c r="A730" s="17"/>
      <c r="B730" s="17"/>
      <c r="C730" s="17"/>
      <c r="D730" s="17"/>
      <c r="E730" s="15"/>
      <c r="F730" s="17"/>
      <c r="G730" s="17"/>
      <c r="H730" s="3"/>
      <c r="I730" s="88"/>
      <c r="J730" s="88"/>
      <c r="K730" s="15"/>
      <c r="L730" s="96"/>
      <c r="M730" s="89"/>
      <c r="N730" s="88"/>
      <c r="O730" s="413"/>
      <c r="P730" s="18"/>
      <c r="Q730" s="91"/>
      <c r="R730" s="18"/>
      <c r="S730" s="18"/>
      <c r="T730" s="18"/>
      <c r="U730" s="18"/>
      <c r="V730" s="18"/>
      <c r="W730" s="18"/>
      <c r="X730" s="18"/>
      <c r="Y730" s="92"/>
      <c r="Z730" s="92"/>
      <c r="AA730" s="418"/>
      <c r="AB730" s="95"/>
      <c r="AC730" s="18"/>
      <c r="AD730" s="18"/>
      <c r="AE730" s="18"/>
      <c r="AF730" s="18"/>
      <c r="AG730" s="91"/>
      <c r="AH730" s="18"/>
      <c r="AI730" s="18"/>
      <c r="AJ730" s="18"/>
      <c r="AK730" s="18"/>
      <c r="AL730" s="18"/>
      <c r="AM730" s="18"/>
      <c r="AN730" s="18"/>
      <c r="AO730" s="18"/>
      <c r="AP730" s="18"/>
      <c r="AQ730" s="18"/>
      <c r="AR730" s="18"/>
      <c r="AS730" s="18"/>
      <c r="AT730" s="18"/>
      <c r="AU730" s="91"/>
      <c r="AV730" s="18"/>
      <c r="AW730" s="18"/>
      <c r="AX730" s="18"/>
      <c r="AY730" s="17"/>
      <c r="AZ730" s="17"/>
      <c r="BA730" s="17"/>
      <c r="BB730" s="17"/>
      <c r="BC730" s="96"/>
      <c r="BD730" s="96"/>
      <c r="BE730" s="96"/>
      <c r="BF730" s="96"/>
      <c r="BG730" s="96"/>
      <c r="BH730" s="96"/>
      <c r="BI730" s="96"/>
    </row>
    <row r="731" spans="1:61" x14ac:dyDescent="0.45">
      <c r="A731" s="17"/>
      <c r="B731" s="17"/>
      <c r="C731" s="17"/>
      <c r="D731" s="17"/>
      <c r="E731" s="15"/>
      <c r="F731" s="17"/>
      <c r="G731" s="17"/>
      <c r="H731" s="3"/>
      <c r="I731" s="88"/>
      <c r="J731" s="88"/>
      <c r="K731" s="15"/>
      <c r="L731" s="96"/>
      <c r="M731" s="89"/>
      <c r="N731" s="88"/>
      <c r="O731" s="413"/>
      <c r="P731" s="18"/>
      <c r="Q731" s="91"/>
      <c r="R731" s="18"/>
      <c r="S731" s="18"/>
      <c r="T731" s="18"/>
      <c r="U731" s="18"/>
      <c r="V731" s="18"/>
      <c r="W731" s="18"/>
      <c r="X731" s="18"/>
      <c r="Y731" s="92"/>
      <c r="Z731" s="92"/>
      <c r="AA731" s="418"/>
      <c r="AB731" s="95"/>
      <c r="AC731" s="18"/>
      <c r="AD731" s="18"/>
      <c r="AE731" s="18"/>
      <c r="AF731" s="18"/>
      <c r="AG731" s="91"/>
      <c r="AH731" s="18"/>
      <c r="AI731" s="18"/>
      <c r="AJ731" s="18"/>
      <c r="AK731" s="18"/>
      <c r="AL731" s="18"/>
      <c r="AM731" s="18"/>
      <c r="AN731" s="18"/>
      <c r="AO731" s="18"/>
      <c r="AP731" s="18"/>
      <c r="AQ731" s="18"/>
      <c r="AR731" s="18"/>
      <c r="AS731" s="18"/>
      <c r="AT731" s="18"/>
      <c r="AU731" s="91"/>
      <c r="AV731" s="18"/>
      <c r="AW731" s="18"/>
      <c r="AX731" s="18"/>
      <c r="AY731" s="17"/>
      <c r="AZ731" s="17"/>
      <c r="BA731" s="17"/>
      <c r="BB731" s="17"/>
      <c r="BC731" s="96"/>
      <c r="BD731" s="96"/>
      <c r="BE731" s="96"/>
      <c r="BF731" s="96"/>
      <c r="BG731" s="96"/>
      <c r="BH731" s="96"/>
      <c r="BI731" s="96"/>
    </row>
    <row r="732" spans="1:61" x14ac:dyDescent="0.45">
      <c r="A732" s="17"/>
      <c r="B732" s="17"/>
      <c r="C732" s="17"/>
      <c r="D732" s="17"/>
      <c r="E732" s="15"/>
      <c r="F732" s="17"/>
      <c r="G732" s="17"/>
      <c r="H732" s="3"/>
      <c r="I732" s="88"/>
      <c r="J732" s="88"/>
      <c r="K732" s="15"/>
      <c r="L732" s="96"/>
      <c r="M732" s="89"/>
      <c r="N732" s="88"/>
      <c r="O732" s="413"/>
      <c r="P732" s="18"/>
      <c r="Q732" s="91"/>
      <c r="R732" s="18"/>
      <c r="S732" s="18"/>
      <c r="T732" s="18"/>
      <c r="U732" s="18"/>
      <c r="V732" s="18"/>
      <c r="W732" s="18"/>
      <c r="X732" s="18"/>
      <c r="Y732" s="92"/>
      <c r="Z732" s="92"/>
      <c r="AA732" s="418"/>
      <c r="AB732" s="95"/>
      <c r="AC732" s="18"/>
      <c r="AD732" s="18"/>
      <c r="AE732" s="18"/>
      <c r="AF732" s="18"/>
      <c r="AG732" s="91"/>
      <c r="AH732" s="18"/>
      <c r="AI732" s="18"/>
      <c r="AJ732" s="18"/>
      <c r="AK732" s="18"/>
      <c r="AL732" s="18"/>
      <c r="AM732" s="18"/>
      <c r="AN732" s="18"/>
      <c r="AO732" s="18"/>
      <c r="AP732" s="18"/>
      <c r="AQ732" s="18"/>
      <c r="AR732" s="18"/>
      <c r="AS732" s="18"/>
      <c r="AT732" s="18"/>
      <c r="AU732" s="91"/>
      <c r="AV732" s="18"/>
      <c r="AW732" s="18"/>
      <c r="AX732" s="18"/>
      <c r="AY732" s="17"/>
      <c r="AZ732" s="17"/>
      <c r="BA732" s="17"/>
      <c r="BB732" s="17"/>
      <c r="BC732" s="96"/>
      <c r="BD732" s="96"/>
      <c r="BE732" s="96"/>
      <c r="BF732" s="96"/>
      <c r="BG732" s="96"/>
      <c r="BH732" s="96"/>
      <c r="BI732" s="96"/>
    </row>
    <row r="733" spans="1:61" x14ac:dyDescent="0.45">
      <c r="A733" s="17"/>
      <c r="B733" s="17"/>
      <c r="C733" s="17"/>
      <c r="D733" s="17"/>
      <c r="E733" s="15"/>
      <c r="F733" s="17"/>
      <c r="G733" s="17"/>
      <c r="H733" s="3"/>
      <c r="I733" s="88"/>
      <c r="J733" s="88"/>
      <c r="K733" s="15"/>
      <c r="L733" s="96"/>
      <c r="M733" s="89"/>
      <c r="N733" s="88"/>
      <c r="O733" s="413"/>
      <c r="P733" s="18"/>
      <c r="Q733" s="91"/>
      <c r="R733" s="18"/>
      <c r="S733" s="18"/>
      <c r="T733" s="18"/>
      <c r="U733" s="18"/>
      <c r="V733" s="18"/>
      <c r="W733" s="18"/>
      <c r="X733" s="18"/>
      <c r="Y733" s="92"/>
      <c r="Z733" s="92"/>
      <c r="AA733" s="418"/>
      <c r="AB733" s="95"/>
      <c r="AC733" s="18"/>
      <c r="AD733" s="18"/>
      <c r="AE733" s="18"/>
      <c r="AF733" s="18"/>
      <c r="AG733" s="91"/>
      <c r="AH733" s="18"/>
      <c r="AI733" s="18"/>
      <c r="AJ733" s="18"/>
      <c r="AK733" s="18"/>
      <c r="AL733" s="18"/>
      <c r="AM733" s="18"/>
      <c r="AN733" s="18"/>
      <c r="AO733" s="18"/>
      <c r="AP733" s="18"/>
      <c r="AQ733" s="18"/>
      <c r="AR733" s="18"/>
      <c r="AS733" s="18"/>
      <c r="AT733" s="18"/>
      <c r="AU733" s="91"/>
      <c r="AV733" s="18"/>
      <c r="AW733" s="18"/>
      <c r="AX733" s="18"/>
      <c r="AY733" s="17"/>
      <c r="AZ733" s="17"/>
      <c r="BA733" s="17"/>
      <c r="BB733" s="17"/>
      <c r="BC733" s="96"/>
      <c r="BD733" s="96"/>
      <c r="BE733" s="96"/>
      <c r="BF733" s="96"/>
      <c r="BG733" s="96"/>
      <c r="BH733" s="96"/>
      <c r="BI733" s="96"/>
    </row>
    <row r="734" spans="1:61" x14ac:dyDescent="0.45">
      <c r="A734" s="17"/>
      <c r="B734" s="17"/>
      <c r="C734" s="17"/>
      <c r="D734" s="17"/>
      <c r="E734" s="15"/>
      <c r="F734" s="17"/>
      <c r="G734" s="17"/>
      <c r="H734" s="3"/>
      <c r="I734" s="88"/>
      <c r="J734" s="88"/>
      <c r="K734" s="15"/>
      <c r="L734" s="96"/>
      <c r="M734" s="89"/>
      <c r="N734" s="88"/>
      <c r="O734" s="413"/>
      <c r="P734" s="18"/>
      <c r="Q734" s="91"/>
      <c r="R734" s="18"/>
      <c r="S734" s="18"/>
      <c r="T734" s="18"/>
      <c r="U734" s="18"/>
      <c r="V734" s="18"/>
      <c r="W734" s="18"/>
      <c r="X734" s="18"/>
      <c r="Y734" s="92"/>
      <c r="Z734" s="92"/>
      <c r="AA734" s="418"/>
      <c r="AB734" s="95"/>
      <c r="AC734" s="18"/>
      <c r="AD734" s="18"/>
      <c r="AE734" s="18"/>
      <c r="AF734" s="18"/>
      <c r="AG734" s="91"/>
      <c r="AH734" s="18"/>
      <c r="AI734" s="18"/>
      <c r="AJ734" s="18"/>
      <c r="AK734" s="18"/>
      <c r="AL734" s="18"/>
      <c r="AM734" s="18"/>
      <c r="AN734" s="18"/>
      <c r="AO734" s="18"/>
      <c r="AP734" s="18"/>
      <c r="AQ734" s="18"/>
      <c r="AR734" s="18"/>
      <c r="AS734" s="18"/>
      <c r="AT734" s="18"/>
      <c r="AU734" s="91"/>
      <c r="AV734" s="18"/>
      <c r="AW734" s="18"/>
      <c r="AX734" s="18"/>
      <c r="AY734" s="17"/>
      <c r="AZ734" s="17"/>
      <c r="BA734" s="17"/>
      <c r="BB734" s="17"/>
      <c r="BC734" s="96"/>
      <c r="BD734" s="96"/>
      <c r="BE734" s="96"/>
      <c r="BF734" s="96"/>
      <c r="BG734" s="96"/>
      <c r="BH734" s="96"/>
      <c r="BI734" s="96"/>
    </row>
    <row r="735" spans="1:61" x14ac:dyDescent="0.45">
      <c r="A735" s="17"/>
      <c r="B735" s="17"/>
      <c r="C735" s="17"/>
      <c r="D735" s="17"/>
      <c r="E735" s="15"/>
      <c r="F735" s="17"/>
      <c r="G735" s="17"/>
      <c r="H735" s="3"/>
      <c r="I735" s="88"/>
      <c r="J735" s="88"/>
      <c r="K735" s="15"/>
      <c r="L735" s="96"/>
      <c r="M735" s="89"/>
      <c r="N735" s="88"/>
      <c r="O735" s="413"/>
      <c r="P735" s="18"/>
      <c r="Q735" s="91"/>
      <c r="R735" s="18"/>
      <c r="S735" s="18"/>
      <c r="T735" s="18"/>
      <c r="U735" s="18"/>
      <c r="V735" s="18"/>
      <c r="W735" s="18"/>
      <c r="X735" s="18"/>
      <c r="Y735" s="92"/>
      <c r="Z735" s="92"/>
      <c r="AA735" s="418"/>
      <c r="AB735" s="95"/>
      <c r="AC735" s="18"/>
      <c r="AD735" s="18"/>
      <c r="AE735" s="18"/>
      <c r="AF735" s="18"/>
      <c r="AG735" s="91"/>
      <c r="AH735" s="18"/>
      <c r="AI735" s="18"/>
      <c r="AJ735" s="18"/>
      <c r="AK735" s="18"/>
      <c r="AL735" s="18"/>
      <c r="AM735" s="18"/>
      <c r="AN735" s="18"/>
      <c r="AO735" s="18"/>
      <c r="AP735" s="18"/>
      <c r="AQ735" s="18"/>
      <c r="AR735" s="18"/>
      <c r="AS735" s="18"/>
      <c r="AT735" s="18"/>
      <c r="AU735" s="91"/>
      <c r="AV735" s="18"/>
      <c r="AW735" s="18"/>
      <c r="AX735" s="18"/>
      <c r="AY735" s="17"/>
      <c r="AZ735" s="17"/>
      <c r="BA735" s="17"/>
      <c r="BB735" s="17"/>
      <c r="BC735" s="96"/>
      <c r="BD735" s="96"/>
      <c r="BE735" s="96"/>
      <c r="BF735" s="96"/>
      <c r="BG735" s="96"/>
      <c r="BH735" s="96"/>
      <c r="BI735" s="96"/>
    </row>
    <row r="736" spans="1:61" x14ac:dyDescent="0.45">
      <c r="A736" s="17"/>
      <c r="B736" s="17"/>
      <c r="C736" s="17"/>
      <c r="D736" s="17"/>
      <c r="E736" s="15"/>
      <c r="F736" s="17"/>
      <c r="G736" s="17"/>
      <c r="H736" s="3"/>
      <c r="I736" s="88"/>
      <c r="J736" s="88"/>
      <c r="K736" s="15"/>
      <c r="L736" s="96"/>
      <c r="M736" s="89"/>
      <c r="N736" s="88"/>
      <c r="O736" s="413"/>
      <c r="P736" s="18"/>
      <c r="Q736" s="91"/>
      <c r="R736" s="18"/>
      <c r="S736" s="18"/>
      <c r="T736" s="18"/>
      <c r="U736" s="18"/>
      <c r="V736" s="18"/>
      <c r="W736" s="18"/>
      <c r="X736" s="18"/>
      <c r="Y736" s="92"/>
      <c r="Z736" s="92"/>
      <c r="AA736" s="418"/>
      <c r="AB736" s="95"/>
      <c r="AC736" s="18"/>
      <c r="AD736" s="18"/>
      <c r="AE736" s="18"/>
      <c r="AF736" s="18"/>
      <c r="AG736" s="91"/>
      <c r="AH736" s="18"/>
      <c r="AI736" s="18"/>
      <c r="AJ736" s="18"/>
      <c r="AK736" s="18"/>
      <c r="AL736" s="18"/>
      <c r="AM736" s="18"/>
      <c r="AN736" s="18"/>
      <c r="AO736" s="18"/>
      <c r="AP736" s="18"/>
      <c r="AQ736" s="18"/>
      <c r="AR736" s="18"/>
      <c r="AS736" s="18"/>
      <c r="AT736" s="18"/>
      <c r="AU736" s="91"/>
      <c r="AV736" s="18"/>
      <c r="AW736" s="18"/>
      <c r="AX736" s="18"/>
      <c r="AY736" s="17"/>
      <c r="AZ736" s="17"/>
      <c r="BA736" s="17"/>
      <c r="BB736" s="17"/>
      <c r="BC736" s="96"/>
      <c r="BD736" s="96"/>
      <c r="BE736" s="96"/>
      <c r="BF736" s="96"/>
      <c r="BG736" s="96"/>
      <c r="BH736" s="96"/>
      <c r="BI736" s="96"/>
    </row>
    <row r="737" spans="1:61" x14ac:dyDescent="0.45">
      <c r="A737" s="17"/>
      <c r="B737" s="17"/>
      <c r="C737" s="17"/>
      <c r="D737" s="17"/>
      <c r="E737" s="15"/>
      <c r="F737" s="17"/>
      <c r="G737" s="17"/>
      <c r="H737" s="3"/>
      <c r="I737" s="88"/>
      <c r="J737" s="88"/>
      <c r="K737" s="15"/>
      <c r="L737" s="96"/>
      <c r="M737" s="89"/>
      <c r="N737" s="88"/>
      <c r="O737" s="413"/>
      <c r="P737" s="18"/>
      <c r="Q737" s="91"/>
      <c r="R737" s="18"/>
      <c r="S737" s="18"/>
      <c r="T737" s="18"/>
      <c r="U737" s="18"/>
      <c r="V737" s="18"/>
      <c r="W737" s="18"/>
      <c r="X737" s="18"/>
      <c r="Y737" s="92"/>
      <c r="Z737" s="92"/>
      <c r="AA737" s="418"/>
      <c r="AB737" s="95"/>
      <c r="AC737" s="18"/>
      <c r="AD737" s="18"/>
      <c r="AE737" s="18"/>
      <c r="AF737" s="18"/>
      <c r="AG737" s="91"/>
      <c r="AH737" s="18"/>
      <c r="AI737" s="18"/>
      <c r="AJ737" s="18"/>
      <c r="AK737" s="18"/>
      <c r="AL737" s="18"/>
      <c r="AM737" s="18"/>
      <c r="AN737" s="18"/>
      <c r="AO737" s="18"/>
      <c r="AP737" s="18"/>
      <c r="AQ737" s="18"/>
      <c r="AR737" s="18"/>
      <c r="AS737" s="18"/>
      <c r="AT737" s="18"/>
      <c r="AU737" s="91"/>
      <c r="AV737" s="18"/>
      <c r="AW737" s="18"/>
      <c r="AX737" s="18"/>
      <c r="AY737" s="17"/>
      <c r="AZ737" s="17"/>
      <c r="BA737" s="17"/>
      <c r="BB737" s="17"/>
      <c r="BC737" s="96"/>
      <c r="BD737" s="96"/>
      <c r="BE737" s="96"/>
      <c r="BF737" s="96"/>
      <c r="BG737" s="96"/>
      <c r="BH737" s="96"/>
      <c r="BI737" s="96"/>
    </row>
    <row r="738" spans="1:61" x14ac:dyDescent="0.45">
      <c r="A738" s="17"/>
      <c r="B738" s="17"/>
      <c r="C738" s="17"/>
      <c r="D738" s="17"/>
      <c r="E738" s="15"/>
      <c r="F738" s="17"/>
      <c r="G738" s="17"/>
      <c r="H738" s="3"/>
      <c r="I738" s="88"/>
      <c r="J738" s="88"/>
      <c r="K738" s="15"/>
      <c r="L738" s="96"/>
      <c r="M738" s="89"/>
      <c r="N738" s="88"/>
      <c r="O738" s="413"/>
      <c r="P738" s="18"/>
      <c r="Q738" s="91"/>
      <c r="R738" s="18"/>
      <c r="S738" s="18"/>
      <c r="T738" s="18"/>
      <c r="U738" s="18"/>
      <c r="V738" s="18"/>
      <c r="W738" s="18"/>
      <c r="X738" s="18"/>
      <c r="Y738" s="92"/>
      <c r="Z738" s="92"/>
      <c r="AA738" s="418"/>
      <c r="AB738" s="95"/>
      <c r="AC738" s="18"/>
      <c r="AD738" s="18"/>
      <c r="AE738" s="18"/>
      <c r="AF738" s="18"/>
      <c r="AG738" s="91"/>
      <c r="AH738" s="18"/>
      <c r="AI738" s="18"/>
      <c r="AJ738" s="18"/>
      <c r="AK738" s="18"/>
      <c r="AL738" s="18"/>
      <c r="AM738" s="18"/>
      <c r="AN738" s="18"/>
      <c r="AO738" s="18"/>
      <c r="AP738" s="18"/>
      <c r="AQ738" s="18"/>
      <c r="AR738" s="18"/>
      <c r="AS738" s="18"/>
      <c r="AT738" s="18"/>
      <c r="AU738" s="91"/>
      <c r="AV738" s="18"/>
      <c r="AW738" s="18"/>
      <c r="AX738" s="18"/>
      <c r="AY738" s="17"/>
      <c r="AZ738" s="17"/>
      <c r="BA738" s="17"/>
      <c r="BB738" s="17"/>
      <c r="BC738" s="96"/>
      <c r="BD738" s="96"/>
      <c r="BE738" s="96"/>
      <c r="BF738" s="96"/>
      <c r="BG738" s="96"/>
      <c r="BH738" s="96"/>
      <c r="BI738" s="96"/>
    </row>
    <row r="739" spans="1:61" x14ac:dyDescent="0.45">
      <c r="A739" s="17"/>
      <c r="B739" s="17"/>
      <c r="C739" s="17"/>
      <c r="D739" s="17"/>
      <c r="E739" s="15"/>
      <c r="F739" s="17"/>
      <c r="G739" s="17"/>
      <c r="H739" s="3"/>
      <c r="I739" s="88"/>
      <c r="J739" s="88"/>
      <c r="K739" s="15"/>
      <c r="L739" s="96"/>
      <c r="M739" s="89"/>
      <c r="N739" s="88"/>
      <c r="O739" s="413"/>
      <c r="P739" s="18"/>
      <c r="Q739" s="91"/>
      <c r="R739" s="18"/>
      <c r="S739" s="18"/>
      <c r="T739" s="18"/>
      <c r="U739" s="18"/>
      <c r="V739" s="18"/>
      <c r="W739" s="18"/>
      <c r="X739" s="18"/>
      <c r="Y739" s="92"/>
      <c r="Z739" s="92"/>
      <c r="AA739" s="418"/>
      <c r="AB739" s="95"/>
      <c r="AC739" s="18"/>
      <c r="AD739" s="18"/>
      <c r="AE739" s="18"/>
      <c r="AF739" s="18"/>
      <c r="AG739" s="91"/>
      <c r="AH739" s="18"/>
      <c r="AI739" s="18"/>
      <c r="AJ739" s="18"/>
      <c r="AK739" s="18"/>
      <c r="AL739" s="18"/>
      <c r="AM739" s="18"/>
      <c r="AN739" s="18"/>
      <c r="AO739" s="18"/>
      <c r="AP739" s="18"/>
      <c r="AQ739" s="18"/>
      <c r="AR739" s="18"/>
      <c r="AS739" s="18"/>
      <c r="AT739" s="18"/>
      <c r="AU739" s="91"/>
      <c r="AV739" s="18"/>
      <c r="AW739" s="18"/>
      <c r="AX739" s="18"/>
      <c r="AY739" s="17"/>
      <c r="AZ739" s="17"/>
      <c r="BA739" s="17"/>
      <c r="BB739" s="17"/>
      <c r="BC739" s="96"/>
      <c r="BD739" s="96"/>
      <c r="BE739" s="96"/>
      <c r="BF739" s="96"/>
      <c r="BG739" s="96"/>
      <c r="BH739" s="96"/>
      <c r="BI739" s="96"/>
    </row>
    <row r="740" spans="1:61" x14ac:dyDescent="0.45">
      <c r="A740" s="17"/>
      <c r="B740" s="17"/>
      <c r="C740" s="17"/>
      <c r="D740" s="17"/>
      <c r="E740" s="15"/>
      <c r="F740" s="17"/>
      <c r="G740" s="17"/>
      <c r="H740" s="3"/>
      <c r="I740" s="88"/>
      <c r="J740" s="88"/>
      <c r="K740" s="15"/>
      <c r="L740" s="96"/>
      <c r="M740" s="89"/>
      <c r="N740" s="88"/>
      <c r="O740" s="413"/>
      <c r="P740" s="18"/>
      <c r="Q740" s="91"/>
      <c r="R740" s="18"/>
      <c r="S740" s="18"/>
      <c r="T740" s="18"/>
      <c r="U740" s="18"/>
      <c r="V740" s="18"/>
      <c r="W740" s="18"/>
      <c r="X740" s="18"/>
      <c r="Y740" s="92"/>
      <c r="Z740" s="92"/>
      <c r="AA740" s="418"/>
      <c r="AB740" s="95"/>
      <c r="AC740" s="18"/>
      <c r="AD740" s="18"/>
      <c r="AE740" s="18"/>
      <c r="AF740" s="18"/>
      <c r="AG740" s="91"/>
      <c r="AH740" s="18"/>
      <c r="AI740" s="18"/>
      <c r="AJ740" s="18"/>
      <c r="AK740" s="18"/>
      <c r="AL740" s="18"/>
      <c r="AM740" s="18"/>
      <c r="AN740" s="18"/>
      <c r="AO740" s="18"/>
      <c r="AP740" s="18"/>
      <c r="AQ740" s="18"/>
      <c r="AR740" s="18"/>
      <c r="AS740" s="18"/>
      <c r="AT740" s="18"/>
      <c r="AU740" s="91"/>
      <c r="AV740" s="18"/>
      <c r="AW740" s="18"/>
      <c r="AX740" s="18"/>
      <c r="AY740" s="17"/>
      <c r="AZ740" s="17"/>
      <c r="BA740" s="17"/>
      <c r="BB740" s="17"/>
      <c r="BC740" s="96"/>
      <c r="BD740" s="96"/>
      <c r="BE740" s="96"/>
      <c r="BF740" s="96"/>
      <c r="BG740" s="96"/>
      <c r="BH740" s="96"/>
      <c r="BI740" s="96"/>
    </row>
    <row r="741" spans="1:61" x14ac:dyDescent="0.45">
      <c r="A741" s="17"/>
      <c r="B741" s="17"/>
      <c r="C741" s="17"/>
      <c r="D741" s="17"/>
      <c r="E741" s="15"/>
      <c r="F741" s="17"/>
      <c r="G741" s="17"/>
      <c r="H741" s="3"/>
      <c r="I741" s="88"/>
      <c r="J741" s="88"/>
      <c r="K741" s="15"/>
      <c r="L741" s="96"/>
      <c r="M741" s="89"/>
      <c r="N741" s="88"/>
      <c r="O741" s="413"/>
      <c r="P741" s="18"/>
      <c r="Q741" s="91"/>
      <c r="R741" s="18"/>
      <c r="S741" s="18"/>
      <c r="T741" s="18"/>
      <c r="U741" s="18"/>
      <c r="V741" s="18"/>
      <c r="W741" s="18"/>
      <c r="X741" s="18"/>
      <c r="Y741" s="92"/>
      <c r="Z741" s="92"/>
      <c r="AA741" s="418"/>
      <c r="AB741" s="95"/>
      <c r="AC741" s="18"/>
      <c r="AD741" s="18"/>
      <c r="AE741" s="18"/>
      <c r="AF741" s="18"/>
      <c r="AG741" s="91"/>
      <c r="AH741" s="18"/>
      <c r="AI741" s="18"/>
      <c r="AJ741" s="18"/>
      <c r="AK741" s="18"/>
      <c r="AL741" s="18"/>
      <c r="AM741" s="18"/>
      <c r="AN741" s="18"/>
      <c r="AO741" s="18"/>
      <c r="AP741" s="18"/>
      <c r="AQ741" s="18"/>
      <c r="AR741" s="18"/>
      <c r="AS741" s="18"/>
      <c r="AT741" s="18"/>
      <c r="AU741" s="91"/>
      <c r="AV741" s="18"/>
      <c r="AW741" s="18"/>
      <c r="AX741" s="18"/>
      <c r="AY741" s="17"/>
      <c r="AZ741" s="17"/>
      <c r="BA741" s="17"/>
      <c r="BB741" s="17"/>
      <c r="BC741" s="96"/>
      <c r="BD741" s="96"/>
      <c r="BE741" s="96"/>
      <c r="BF741" s="96"/>
      <c r="BG741" s="96"/>
      <c r="BH741" s="96"/>
      <c r="BI741" s="96"/>
    </row>
    <row r="742" spans="1:61" x14ac:dyDescent="0.45">
      <c r="A742" s="17"/>
      <c r="B742" s="17"/>
      <c r="C742" s="17"/>
      <c r="D742" s="17"/>
      <c r="E742" s="15"/>
      <c r="F742" s="17"/>
      <c r="G742" s="17"/>
      <c r="H742" s="3"/>
      <c r="I742" s="88"/>
      <c r="J742" s="88"/>
      <c r="K742" s="15"/>
      <c r="L742" s="96"/>
      <c r="M742" s="89"/>
      <c r="N742" s="88"/>
      <c r="O742" s="413"/>
      <c r="P742" s="18"/>
      <c r="Q742" s="91"/>
      <c r="R742" s="18"/>
      <c r="S742" s="18"/>
      <c r="T742" s="18"/>
      <c r="U742" s="18"/>
      <c r="V742" s="18"/>
      <c r="W742" s="18"/>
      <c r="X742" s="18"/>
      <c r="Y742" s="92"/>
      <c r="Z742" s="92"/>
      <c r="AA742" s="418"/>
      <c r="AB742" s="95"/>
      <c r="AC742" s="18"/>
      <c r="AD742" s="18"/>
      <c r="AE742" s="18"/>
      <c r="AF742" s="18"/>
      <c r="AG742" s="91"/>
      <c r="AH742" s="18"/>
      <c r="AI742" s="18"/>
      <c r="AJ742" s="18"/>
      <c r="AK742" s="18"/>
      <c r="AL742" s="18"/>
      <c r="AM742" s="18"/>
      <c r="AN742" s="18"/>
      <c r="AO742" s="18"/>
      <c r="AP742" s="18"/>
      <c r="AQ742" s="18"/>
      <c r="AR742" s="18"/>
      <c r="AS742" s="18"/>
      <c r="AT742" s="18"/>
      <c r="AU742" s="91"/>
      <c r="AV742" s="18"/>
      <c r="AW742" s="18"/>
      <c r="AX742" s="18"/>
      <c r="AY742" s="17"/>
      <c r="AZ742" s="17"/>
      <c r="BA742" s="17"/>
      <c r="BB742" s="17"/>
      <c r="BC742" s="96"/>
      <c r="BD742" s="96"/>
      <c r="BE742" s="96"/>
      <c r="BF742" s="96"/>
      <c r="BG742" s="96"/>
      <c r="BH742" s="96"/>
      <c r="BI742" s="96"/>
    </row>
    <row r="743" spans="1:61" x14ac:dyDescent="0.45">
      <c r="A743" s="17"/>
      <c r="B743" s="17"/>
      <c r="C743" s="17"/>
      <c r="D743" s="17"/>
      <c r="E743" s="15"/>
      <c r="F743" s="17"/>
      <c r="G743" s="17"/>
      <c r="H743" s="3"/>
      <c r="I743" s="88"/>
      <c r="J743" s="88"/>
      <c r="K743" s="15"/>
      <c r="L743" s="96"/>
      <c r="M743" s="89"/>
      <c r="N743" s="88"/>
      <c r="O743" s="413"/>
      <c r="P743" s="18"/>
      <c r="Q743" s="91"/>
      <c r="R743" s="18"/>
      <c r="S743" s="18"/>
      <c r="T743" s="18"/>
      <c r="U743" s="18"/>
      <c r="V743" s="18"/>
      <c r="W743" s="18"/>
      <c r="X743" s="18"/>
      <c r="Y743" s="92"/>
      <c r="Z743" s="92"/>
      <c r="AA743" s="418"/>
      <c r="AB743" s="95"/>
      <c r="AC743" s="18"/>
      <c r="AD743" s="18"/>
      <c r="AE743" s="18"/>
      <c r="AF743" s="18"/>
      <c r="AG743" s="91"/>
      <c r="AH743" s="18"/>
      <c r="AI743" s="18"/>
      <c r="AJ743" s="18"/>
      <c r="AK743" s="18"/>
      <c r="AL743" s="18"/>
      <c r="AM743" s="18"/>
      <c r="AN743" s="18"/>
      <c r="AO743" s="18"/>
      <c r="AP743" s="18"/>
      <c r="AQ743" s="18"/>
      <c r="AR743" s="18"/>
      <c r="AS743" s="18"/>
      <c r="AT743" s="18"/>
      <c r="AU743" s="91"/>
      <c r="AV743" s="18"/>
      <c r="AW743" s="18"/>
      <c r="AX743" s="18"/>
      <c r="AY743" s="17"/>
      <c r="AZ743" s="17"/>
      <c r="BA743" s="17"/>
      <c r="BB743" s="17"/>
      <c r="BC743" s="96"/>
      <c r="BD743" s="96"/>
      <c r="BE743" s="96"/>
      <c r="BF743" s="96"/>
      <c r="BG743" s="96"/>
      <c r="BH743" s="96"/>
      <c r="BI743" s="96"/>
    </row>
    <row r="744" spans="1:61" x14ac:dyDescent="0.45">
      <c r="A744" s="17"/>
      <c r="B744" s="17"/>
      <c r="C744" s="17"/>
      <c r="D744" s="17"/>
      <c r="E744" s="15"/>
      <c r="F744" s="17"/>
      <c r="G744" s="17"/>
      <c r="H744" s="3"/>
      <c r="I744" s="88"/>
      <c r="J744" s="88"/>
      <c r="K744" s="15"/>
      <c r="L744" s="96"/>
      <c r="M744" s="89"/>
      <c r="N744" s="88"/>
      <c r="O744" s="413"/>
      <c r="P744" s="18"/>
      <c r="Q744" s="91"/>
      <c r="R744" s="18"/>
      <c r="S744" s="18"/>
      <c r="T744" s="18"/>
      <c r="U744" s="18"/>
      <c r="V744" s="18"/>
      <c r="W744" s="18"/>
      <c r="X744" s="18"/>
      <c r="Y744" s="92"/>
      <c r="Z744" s="92"/>
      <c r="AA744" s="418"/>
      <c r="AB744" s="95"/>
      <c r="AC744" s="18"/>
      <c r="AD744" s="18"/>
      <c r="AE744" s="18"/>
      <c r="AF744" s="18"/>
      <c r="AG744" s="91"/>
      <c r="AH744" s="18"/>
      <c r="AI744" s="18"/>
      <c r="AJ744" s="18"/>
      <c r="AK744" s="18"/>
      <c r="AL744" s="18"/>
      <c r="AM744" s="18"/>
      <c r="AN744" s="18"/>
      <c r="AO744" s="18"/>
      <c r="AP744" s="18"/>
      <c r="AQ744" s="18"/>
      <c r="AR744" s="18"/>
      <c r="AS744" s="18"/>
      <c r="AT744" s="18"/>
      <c r="AU744" s="91"/>
      <c r="AV744" s="18"/>
      <c r="AW744" s="18"/>
      <c r="AX744" s="18"/>
      <c r="AY744" s="17"/>
      <c r="AZ744" s="17"/>
      <c r="BA744" s="17"/>
      <c r="BB744" s="17"/>
      <c r="BC744" s="96"/>
      <c r="BD744" s="96"/>
      <c r="BE744" s="96"/>
      <c r="BF744" s="96"/>
      <c r="BG744" s="96"/>
      <c r="BH744" s="96"/>
      <c r="BI744" s="96"/>
    </row>
    <row r="745" spans="1:61" x14ac:dyDescent="0.45">
      <c r="A745" s="17"/>
      <c r="B745" s="17"/>
      <c r="C745" s="17"/>
      <c r="D745" s="17"/>
      <c r="E745" s="15"/>
      <c r="F745" s="17"/>
      <c r="G745" s="17"/>
      <c r="H745" s="3"/>
      <c r="I745" s="88"/>
      <c r="J745" s="88"/>
      <c r="K745" s="15"/>
      <c r="L745" s="96"/>
      <c r="M745" s="89"/>
      <c r="N745" s="88"/>
      <c r="O745" s="413"/>
      <c r="P745" s="18"/>
      <c r="Q745" s="91"/>
      <c r="R745" s="18"/>
      <c r="S745" s="18"/>
      <c r="T745" s="18"/>
      <c r="U745" s="18"/>
      <c r="V745" s="18"/>
      <c r="W745" s="18"/>
      <c r="X745" s="18"/>
      <c r="Y745" s="92"/>
      <c r="Z745" s="92"/>
      <c r="AA745" s="418"/>
      <c r="AB745" s="95"/>
      <c r="AC745" s="18"/>
      <c r="AD745" s="18"/>
      <c r="AE745" s="18"/>
      <c r="AF745" s="18"/>
      <c r="AG745" s="91"/>
      <c r="AH745" s="18"/>
      <c r="AI745" s="18"/>
      <c r="AJ745" s="18"/>
      <c r="AK745" s="18"/>
      <c r="AL745" s="18"/>
      <c r="AM745" s="18"/>
      <c r="AN745" s="18"/>
      <c r="AO745" s="18"/>
      <c r="AP745" s="18"/>
      <c r="AQ745" s="18"/>
      <c r="AR745" s="18"/>
      <c r="AS745" s="18"/>
      <c r="AT745" s="18"/>
      <c r="AU745" s="91"/>
      <c r="AV745" s="18"/>
      <c r="AW745" s="18"/>
      <c r="AX745" s="18"/>
      <c r="AY745" s="17"/>
      <c r="AZ745" s="17"/>
      <c r="BA745" s="17"/>
      <c r="BB745" s="17"/>
      <c r="BC745" s="96"/>
      <c r="BD745" s="96"/>
      <c r="BE745" s="96"/>
      <c r="BF745" s="96"/>
      <c r="BG745" s="96"/>
      <c r="BH745" s="96"/>
      <c r="BI745" s="96"/>
    </row>
    <row r="746" spans="1:61" x14ac:dyDescent="0.45">
      <c r="A746" s="17"/>
      <c r="B746" s="17"/>
      <c r="C746" s="17"/>
      <c r="D746" s="17"/>
      <c r="E746" s="15"/>
      <c r="F746" s="17"/>
      <c r="G746" s="17"/>
      <c r="H746" s="3"/>
      <c r="I746" s="88"/>
      <c r="J746" s="88"/>
      <c r="K746" s="15"/>
      <c r="L746" s="96"/>
      <c r="M746" s="89"/>
      <c r="N746" s="88"/>
      <c r="O746" s="413"/>
      <c r="P746" s="18"/>
      <c r="Q746" s="91"/>
      <c r="R746" s="18"/>
      <c r="S746" s="18"/>
      <c r="T746" s="18"/>
      <c r="U746" s="18"/>
      <c r="V746" s="18"/>
      <c r="W746" s="18"/>
      <c r="X746" s="18"/>
      <c r="Y746" s="92"/>
      <c r="Z746" s="92"/>
      <c r="AA746" s="418"/>
      <c r="AB746" s="95"/>
      <c r="AC746" s="18"/>
      <c r="AD746" s="18"/>
      <c r="AE746" s="18"/>
      <c r="AF746" s="18"/>
      <c r="AG746" s="91"/>
      <c r="AH746" s="18"/>
      <c r="AI746" s="18"/>
      <c r="AJ746" s="18"/>
      <c r="AK746" s="18"/>
      <c r="AL746" s="18"/>
      <c r="AM746" s="18"/>
      <c r="AN746" s="18"/>
      <c r="AO746" s="18"/>
      <c r="AP746" s="18"/>
      <c r="AQ746" s="18"/>
      <c r="AR746" s="18"/>
      <c r="AS746" s="18"/>
      <c r="AT746" s="18"/>
      <c r="AU746" s="91"/>
      <c r="AV746" s="18"/>
      <c r="AW746" s="18"/>
      <c r="AX746" s="18"/>
      <c r="AY746" s="17"/>
      <c r="AZ746" s="17"/>
      <c r="BA746" s="17"/>
      <c r="BB746" s="17"/>
      <c r="BC746" s="96"/>
      <c r="BD746" s="96"/>
      <c r="BE746" s="96"/>
      <c r="BF746" s="96"/>
      <c r="BG746" s="96"/>
      <c r="BH746" s="96"/>
      <c r="BI746" s="96"/>
    </row>
    <row r="747" spans="1:61" x14ac:dyDescent="0.45">
      <c r="A747" s="17"/>
      <c r="B747" s="17"/>
      <c r="C747" s="17"/>
      <c r="D747" s="17"/>
      <c r="E747" s="15"/>
      <c r="F747" s="17"/>
      <c r="G747" s="17"/>
      <c r="H747" s="3"/>
      <c r="I747" s="88"/>
      <c r="J747" s="88"/>
      <c r="K747" s="15"/>
      <c r="L747" s="96"/>
      <c r="M747" s="89"/>
      <c r="N747" s="88"/>
      <c r="O747" s="413"/>
      <c r="P747" s="18"/>
      <c r="Q747" s="91"/>
      <c r="R747" s="18"/>
      <c r="S747" s="18"/>
      <c r="T747" s="18"/>
      <c r="U747" s="18"/>
      <c r="V747" s="18"/>
      <c r="W747" s="18"/>
      <c r="X747" s="18"/>
      <c r="Y747" s="92"/>
      <c r="Z747" s="92"/>
      <c r="AA747" s="418"/>
      <c r="AB747" s="95"/>
      <c r="AC747" s="18"/>
      <c r="AD747" s="18"/>
      <c r="AE747" s="18"/>
      <c r="AF747" s="18"/>
      <c r="AG747" s="91"/>
      <c r="AH747" s="18"/>
      <c r="AI747" s="18"/>
      <c r="AJ747" s="18"/>
      <c r="AK747" s="18"/>
      <c r="AL747" s="18"/>
      <c r="AM747" s="18"/>
      <c r="AN747" s="18"/>
      <c r="AO747" s="18"/>
      <c r="AP747" s="18"/>
      <c r="AQ747" s="18"/>
      <c r="AR747" s="18"/>
      <c r="AS747" s="18"/>
      <c r="AT747" s="18"/>
      <c r="AU747" s="91"/>
      <c r="AV747" s="18"/>
      <c r="AW747" s="18"/>
      <c r="AX747" s="18"/>
      <c r="AY747" s="17"/>
      <c r="AZ747" s="17"/>
      <c r="BA747" s="17"/>
      <c r="BB747" s="17"/>
      <c r="BC747" s="96"/>
      <c r="BD747" s="96"/>
      <c r="BE747" s="96"/>
      <c r="BF747" s="96"/>
      <c r="BG747" s="96"/>
      <c r="BH747" s="96"/>
      <c r="BI747" s="96"/>
    </row>
    <row r="748" spans="1:61" x14ac:dyDescent="0.45">
      <c r="A748" s="17"/>
      <c r="B748" s="17"/>
      <c r="C748" s="17"/>
      <c r="D748" s="17"/>
      <c r="E748" s="15"/>
      <c r="F748" s="17"/>
      <c r="G748" s="17"/>
      <c r="H748" s="3"/>
      <c r="I748" s="88"/>
      <c r="J748" s="88"/>
      <c r="K748" s="15"/>
      <c r="L748" s="96"/>
      <c r="M748" s="89"/>
      <c r="N748" s="88"/>
      <c r="O748" s="413"/>
      <c r="P748" s="18"/>
      <c r="Q748" s="91"/>
      <c r="R748" s="18"/>
      <c r="S748" s="18"/>
      <c r="T748" s="18"/>
      <c r="U748" s="18"/>
      <c r="V748" s="18"/>
      <c r="W748" s="18"/>
      <c r="X748" s="18"/>
      <c r="Y748" s="92"/>
      <c r="Z748" s="92"/>
      <c r="AA748" s="418"/>
      <c r="AB748" s="95"/>
      <c r="AC748" s="18"/>
      <c r="AD748" s="18"/>
      <c r="AE748" s="18"/>
      <c r="AF748" s="18"/>
      <c r="AG748" s="91"/>
      <c r="AH748" s="18"/>
      <c r="AI748" s="18"/>
      <c r="AJ748" s="18"/>
      <c r="AK748" s="18"/>
      <c r="AL748" s="18"/>
      <c r="AM748" s="18"/>
      <c r="AN748" s="18"/>
      <c r="AO748" s="18"/>
      <c r="AP748" s="18"/>
      <c r="AQ748" s="18"/>
      <c r="AR748" s="18"/>
      <c r="AS748" s="18"/>
      <c r="AT748" s="18"/>
      <c r="AU748" s="91"/>
      <c r="AV748" s="18"/>
      <c r="AW748" s="18"/>
      <c r="AX748" s="18"/>
      <c r="AY748" s="17"/>
      <c r="AZ748" s="17"/>
      <c r="BA748" s="17"/>
      <c r="BB748" s="17"/>
      <c r="BC748" s="96"/>
      <c r="BD748" s="96"/>
      <c r="BE748" s="96"/>
      <c r="BF748" s="96"/>
      <c r="BG748" s="96"/>
      <c r="BH748" s="96"/>
      <c r="BI748" s="96"/>
    </row>
    <row r="749" spans="1:61" x14ac:dyDescent="0.45">
      <c r="A749" s="17"/>
      <c r="B749" s="17"/>
      <c r="C749" s="17"/>
      <c r="D749" s="17"/>
      <c r="E749" s="15"/>
      <c r="F749" s="17"/>
      <c r="G749" s="17"/>
      <c r="H749" s="3"/>
      <c r="I749" s="88"/>
      <c r="J749" s="88"/>
      <c r="K749" s="15"/>
      <c r="L749" s="96"/>
      <c r="M749" s="89"/>
      <c r="N749" s="88"/>
      <c r="O749" s="413"/>
      <c r="P749" s="18"/>
      <c r="Q749" s="91"/>
      <c r="R749" s="18"/>
      <c r="S749" s="18"/>
      <c r="T749" s="18"/>
      <c r="U749" s="18"/>
      <c r="V749" s="18"/>
      <c r="W749" s="18"/>
      <c r="X749" s="18"/>
      <c r="Y749" s="92"/>
      <c r="Z749" s="92"/>
      <c r="AA749" s="418"/>
      <c r="AB749" s="95"/>
      <c r="AC749" s="18"/>
      <c r="AD749" s="18"/>
      <c r="AE749" s="18"/>
      <c r="AF749" s="18"/>
      <c r="AG749" s="91"/>
      <c r="AH749" s="18"/>
      <c r="AI749" s="18"/>
      <c r="AJ749" s="18"/>
      <c r="AK749" s="18"/>
      <c r="AL749" s="18"/>
      <c r="AM749" s="18"/>
      <c r="AN749" s="18"/>
      <c r="AO749" s="18"/>
      <c r="AP749" s="18"/>
      <c r="AQ749" s="18"/>
      <c r="AR749" s="18"/>
      <c r="AS749" s="18"/>
      <c r="AT749" s="18"/>
      <c r="AU749" s="91"/>
      <c r="AV749" s="18"/>
      <c r="AW749" s="18"/>
      <c r="AX749" s="18"/>
      <c r="AY749" s="17"/>
      <c r="AZ749" s="17"/>
      <c r="BA749" s="17"/>
      <c r="BB749" s="17"/>
      <c r="BC749" s="96"/>
      <c r="BD749" s="96"/>
      <c r="BE749" s="96"/>
      <c r="BF749" s="96"/>
      <c r="BG749" s="96"/>
      <c r="BH749" s="96"/>
      <c r="BI749" s="96"/>
    </row>
    <row r="750" spans="1:61" x14ac:dyDescent="0.45">
      <c r="A750" s="17"/>
      <c r="B750" s="17"/>
      <c r="C750" s="17"/>
      <c r="D750" s="17"/>
      <c r="E750" s="15"/>
      <c r="F750" s="17"/>
      <c r="G750" s="17"/>
      <c r="H750" s="3"/>
      <c r="I750" s="88"/>
      <c r="J750" s="88"/>
      <c r="K750" s="15"/>
      <c r="L750" s="96"/>
      <c r="M750" s="89"/>
      <c r="N750" s="88"/>
      <c r="O750" s="413"/>
      <c r="P750" s="18"/>
      <c r="Q750" s="91"/>
      <c r="R750" s="18"/>
      <c r="S750" s="18"/>
      <c r="T750" s="18"/>
      <c r="U750" s="18"/>
      <c r="V750" s="18"/>
      <c r="W750" s="18"/>
      <c r="X750" s="18"/>
      <c r="Y750" s="92"/>
      <c r="Z750" s="92"/>
      <c r="AA750" s="418"/>
      <c r="AB750" s="95"/>
      <c r="AC750" s="18"/>
      <c r="AD750" s="18"/>
      <c r="AE750" s="18"/>
      <c r="AF750" s="18"/>
      <c r="AG750" s="91"/>
      <c r="AH750" s="18"/>
      <c r="AI750" s="18"/>
      <c r="AJ750" s="18"/>
      <c r="AK750" s="18"/>
      <c r="AL750" s="18"/>
      <c r="AM750" s="18"/>
      <c r="AN750" s="18"/>
      <c r="AO750" s="18"/>
      <c r="AP750" s="18"/>
      <c r="AQ750" s="18"/>
      <c r="AR750" s="18"/>
      <c r="AS750" s="18"/>
      <c r="AT750" s="18"/>
      <c r="AU750" s="91"/>
      <c r="AV750" s="18"/>
      <c r="AW750" s="18"/>
      <c r="AX750" s="18"/>
      <c r="AY750" s="17"/>
      <c r="AZ750" s="17"/>
      <c r="BA750" s="17"/>
      <c r="BB750" s="17"/>
      <c r="BC750" s="96"/>
      <c r="BD750" s="96"/>
      <c r="BE750" s="96"/>
      <c r="BF750" s="96"/>
      <c r="BG750" s="96"/>
      <c r="BH750" s="96"/>
      <c r="BI750" s="96"/>
    </row>
    <row r="751" spans="1:61" x14ac:dyDescent="0.45">
      <c r="A751" s="17"/>
      <c r="B751" s="17"/>
      <c r="C751" s="17"/>
      <c r="D751" s="17"/>
      <c r="E751" s="15"/>
      <c r="F751" s="17"/>
      <c r="G751" s="17"/>
      <c r="H751" s="3"/>
      <c r="I751" s="88"/>
      <c r="J751" s="88"/>
      <c r="K751" s="15"/>
      <c r="L751" s="96"/>
      <c r="M751" s="89"/>
      <c r="N751" s="88"/>
      <c r="O751" s="413"/>
      <c r="P751" s="18"/>
      <c r="Q751" s="91"/>
      <c r="R751" s="18"/>
      <c r="S751" s="18"/>
      <c r="T751" s="18"/>
      <c r="U751" s="18"/>
      <c r="V751" s="18"/>
      <c r="W751" s="18"/>
      <c r="X751" s="18"/>
      <c r="Y751" s="92"/>
      <c r="Z751" s="92"/>
      <c r="AA751" s="418"/>
      <c r="AB751" s="95"/>
      <c r="AC751" s="18"/>
      <c r="AD751" s="18"/>
      <c r="AE751" s="18"/>
      <c r="AF751" s="18"/>
      <c r="AG751" s="91"/>
      <c r="AH751" s="18"/>
      <c r="AI751" s="18"/>
      <c r="AJ751" s="18"/>
      <c r="AK751" s="18"/>
      <c r="AL751" s="18"/>
      <c r="AM751" s="18"/>
      <c r="AN751" s="18"/>
      <c r="AO751" s="18"/>
      <c r="AP751" s="18"/>
      <c r="AQ751" s="18"/>
      <c r="AR751" s="18"/>
      <c r="AS751" s="18"/>
      <c r="AT751" s="18"/>
      <c r="AU751" s="91"/>
      <c r="AV751" s="18"/>
      <c r="AW751" s="18"/>
      <c r="AX751" s="18"/>
      <c r="AY751" s="17"/>
      <c r="AZ751" s="17"/>
      <c r="BA751" s="17"/>
      <c r="BB751" s="17"/>
      <c r="BC751" s="96"/>
      <c r="BD751" s="96"/>
      <c r="BE751" s="96"/>
      <c r="BF751" s="96"/>
      <c r="BG751" s="96"/>
      <c r="BH751" s="96"/>
      <c r="BI751" s="96"/>
    </row>
    <row r="752" spans="1:61" x14ac:dyDescent="0.45">
      <c r="A752" s="17"/>
      <c r="B752" s="17"/>
      <c r="C752" s="17"/>
      <c r="D752" s="17"/>
      <c r="E752" s="15"/>
      <c r="F752" s="17"/>
      <c r="G752" s="17"/>
      <c r="H752" s="3"/>
      <c r="I752" s="88"/>
      <c r="J752" s="88"/>
      <c r="K752" s="15"/>
      <c r="L752" s="96"/>
      <c r="M752" s="89"/>
      <c r="N752" s="88"/>
      <c r="O752" s="413"/>
      <c r="P752" s="18"/>
      <c r="Q752" s="91"/>
      <c r="R752" s="18"/>
      <c r="S752" s="18"/>
      <c r="T752" s="18"/>
      <c r="U752" s="18"/>
      <c r="V752" s="18"/>
      <c r="W752" s="18"/>
      <c r="X752" s="18"/>
      <c r="Y752" s="92"/>
      <c r="Z752" s="92"/>
      <c r="AA752" s="418"/>
      <c r="AB752" s="95"/>
      <c r="AC752" s="18"/>
      <c r="AD752" s="18"/>
      <c r="AE752" s="18"/>
      <c r="AF752" s="18"/>
      <c r="AG752" s="91"/>
      <c r="AH752" s="18"/>
      <c r="AI752" s="18"/>
      <c r="AJ752" s="18"/>
      <c r="AK752" s="18"/>
      <c r="AL752" s="18"/>
      <c r="AM752" s="18"/>
      <c r="AN752" s="18"/>
      <c r="AO752" s="18"/>
      <c r="AP752" s="18"/>
      <c r="AQ752" s="18"/>
      <c r="AR752" s="18"/>
      <c r="AS752" s="18"/>
      <c r="AT752" s="18"/>
      <c r="AU752" s="91"/>
      <c r="AV752" s="18"/>
      <c r="AW752" s="18"/>
      <c r="AX752" s="18"/>
      <c r="AY752" s="17"/>
      <c r="AZ752" s="17"/>
      <c r="BA752" s="17"/>
      <c r="BB752" s="17"/>
      <c r="BC752" s="96"/>
      <c r="BD752" s="96"/>
      <c r="BE752" s="96"/>
      <c r="BF752" s="96"/>
      <c r="BG752" s="96"/>
      <c r="BH752" s="96"/>
      <c r="BI752" s="96"/>
    </row>
    <row r="753" spans="1:61" x14ac:dyDescent="0.45">
      <c r="A753" s="17"/>
      <c r="B753" s="17"/>
      <c r="C753" s="17"/>
      <c r="D753" s="17"/>
      <c r="E753" s="15"/>
      <c r="F753" s="17"/>
      <c r="G753" s="17"/>
      <c r="H753" s="3"/>
      <c r="I753" s="88"/>
      <c r="J753" s="88"/>
      <c r="K753" s="15"/>
      <c r="L753" s="96"/>
      <c r="M753" s="89"/>
      <c r="N753" s="88"/>
      <c r="O753" s="413"/>
      <c r="P753" s="18"/>
      <c r="Q753" s="91"/>
      <c r="R753" s="18"/>
      <c r="S753" s="18"/>
      <c r="T753" s="18"/>
      <c r="U753" s="18"/>
      <c r="V753" s="18"/>
      <c r="W753" s="18"/>
      <c r="X753" s="18"/>
      <c r="Y753" s="92"/>
      <c r="Z753" s="92"/>
      <c r="AA753" s="418"/>
      <c r="AB753" s="95"/>
      <c r="AC753" s="18"/>
      <c r="AD753" s="18"/>
      <c r="AE753" s="18"/>
      <c r="AF753" s="18"/>
      <c r="AG753" s="91"/>
      <c r="AH753" s="18"/>
      <c r="AI753" s="18"/>
      <c r="AJ753" s="18"/>
      <c r="AK753" s="18"/>
      <c r="AL753" s="18"/>
      <c r="AM753" s="18"/>
      <c r="AN753" s="18"/>
      <c r="AO753" s="18"/>
      <c r="AP753" s="18"/>
      <c r="AQ753" s="18"/>
      <c r="AR753" s="18"/>
      <c r="AS753" s="18"/>
      <c r="AT753" s="18"/>
      <c r="AU753" s="91"/>
      <c r="AV753" s="18"/>
      <c r="AW753" s="18"/>
      <c r="AX753" s="18"/>
      <c r="AY753" s="17"/>
      <c r="AZ753" s="17"/>
      <c r="BA753" s="17"/>
      <c r="BB753" s="17"/>
      <c r="BC753" s="96"/>
      <c r="BD753" s="96"/>
      <c r="BE753" s="96"/>
      <c r="BF753" s="96"/>
      <c r="BG753" s="96"/>
      <c r="BH753" s="96"/>
      <c r="BI753" s="96"/>
    </row>
    <row r="754" spans="1:61" x14ac:dyDescent="0.45">
      <c r="A754" s="17"/>
      <c r="B754" s="17"/>
      <c r="C754" s="17"/>
      <c r="D754" s="17"/>
      <c r="E754" s="15"/>
      <c r="F754" s="17"/>
      <c r="G754" s="17"/>
      <c r="H754" s="3"/>
      <c r="I754" s="88"/>
      <c r="J754" s="88"/>
      <c r="K754" s="15"/>
      <c r="L754" s="96"/>
      <c r="M754" s="89"/>
      <c r="N754" s="88"/>
      <c r="O754" s="413"/>
      <c r="P754" s="18"/>
      <c r="Q754" s="91"/>
      <c r="R754" s="18"/>
      <c r="S754" s="18"/>
      <c r="T754" s="18"/>
      <c r="U754" s="18"/>
      <c r="V754" s="18"/>
      <c r="W754" s="18"/>
      <c r="X754" s="18"/>
      <c r="Y754" s="92"/>
      <c r="Z754" s="92"/>
      <c r="AA754" s="418"/>
      <c r="AB754" s="95"/>
      <c r="AC754" s="18"/>
      <c r="AD754" s="18"/>
      <c r="AE754" s="18"/>
      <c r="AF754" s="18"/>
      <c r="AG754" s="91"/>
      <c r="AH754" s="18"/>
      <c r="AI754" s="18"/>
      <c r="AJ754" s="18"/>
      <c r="AK754" s="18"/>
      <c r="AL754" s="18"/>
      <c r="AM754" s="18"/>
      <c r="AN754" s="18"/>
      <c r="AO754" s="18"/>
      <c r="AP754" s="18"/>
      <c r="AQ754" s="18"/>
      <c r="AR754" s="18"/>
      <c r="AS754" s="18"/>
      <c r="AT754" s="18"/>
      <c r="AU754" s="91"/>
      <c r="AV754" s="18"/>
      <c r="AW754" s="18"/>
      <c r="AX754" s="18"/>
      <c r="AY754" s="17"/>
      <c r="AZ754" s="17"/>
      <c r="BA754" s="17"/>
      <c r="BB754" s="17"/>
      <c r="BC754" s="96"/>
      <c r="BD754" s="96"/>
      <c r="BE754" s="96"/>
      <c r="BF754" s="96"/>
      <c r="BG754" s="96"/>
      <c r="BH754" s="96"/>
      <c r="BI754" s="96"/>
    </row>
    <row r="755" spans="1:61" x14ac:dyDescent="0.45">
      <c r="A755" s="17"/>
      <c r="B755" s="17"/>
      <c r="C755" s="17"/>
      <c r="D755" s="17"/>
      <c r="E755" s="15"/>
      <c r="F755" s="17"/>
      <c r="G755" s="17"/>
      <c r="H755" s="3"/>
      <c r="I755" s="88"/>
      <c r="J755" s="88"/>
      <c r="K755" s="15"/>
      <c r="L755" s="96"/>
      <c r="M755" s="89"/>
      <c r="N755" s="88"/>
      <c r="O755" s="413"/>
      <c r="P755" s="18"/>
      <c r="Q755" s="91"/>
      <c r="R755" s="18"/>
      <c r="S755" s="18"/>
      <c r="T755" s="18"/>
      <c r="U755" s="18"/>
      <c r="V755" s="18"/>
      <c r="W755" s="18"/>
      <c r="X755" s="18"/>
      <c r="Y755" s="92"/>
      <c r="Z755" s="92"/>
      <c r="AA755" s="418"/>
      <c r="AB755" s="95"/>
      <c r="AC755" s="18"/>
      <c r="AD755" s="18"/>
      <c r="AE755" s="18"/>
      <c r="AF755" s="18"/>
      <c r="AG755" s="91"/>
      <c r="AH755" s="18"/>
      <c r="AI755" s="18"/>
      <c r="AJ755" s="18"/>
      <c r="AK755" s="18"/>
      <c r="AL755" s="18"/>
      <c r="AM755" s="18"/>
      <c r="AN755" s="18"/>
      <c r="AO755" s="18"/>
      <c r="AP755" s="18"/>
      <c r="AQ755" s="18"/>
      <c r="AR755" s="18"/>
      <c r="AS755" s="18"/>
      <c r="AT755" s="18"/>
      <c r="AU755" s="91"/>
      <c r="AV755" s="18"/>
      <c r="AW755" s="18"/>
      <c r="AX755" s="18"/>
      <c r="AY755" s="17"/>
      <c r="AZ755" s="17"/>
      <c r="BA755" s="17"/>
      <c r="BB755" s="17"/>
      <c r="BC755" s="96"/>
      <c r="BD755" s="96"/>
      <c r="BE755" s="96"/>
      <c r="BF755" s="96"/>
      <c r="BG755" s="96"/>
      <c r="BH755" s="96"/>
      <c r="BI755" s="96"/>
    </row>
    <row r="756" spans="1:61" x14ac:dyDescent="0.45">
      <c r="A756" s="17"/>
      <c r="B756" s="17"/>
      <c r="C756" s="17"/>
      <c r="D756" s="17"/>
      <c r="E756" s="15"/>
      <c r="F756" s="17"/>
      <c r="G756" s="17"/>
      <c r="H756" s="3"/>
      <c r="I756" s="88"/>
      <c r="J756" s="88"/>
      <c r="K756" s="15"/>
      <c r="L756" s="96"/>
      <c r="M756" s="89"/>
      <c r="N756" s="88"/>
      <c r="O756" s="413"/>
      <c r="P756" s="18"/>
      <c r="Q756" s="91"/>
      <c r="R756" s="18"/>
      <c r="S756" s="18"/>
      <c r="T756" s="18"/>
      <c r="U756" s="18"/>
      <c r="V756" s="18"/>
      <c r="W756" s="18"/>
      <c r="X756" s="18"/>
      <c r="Y756" s="92"/>
      <c r="Z756" s="92"/>
      <c r="AA756" s="418"/>
      <c r="AB756" s="95"/>
      <c r="AC756" s="18"/>
      <c r="AD756" s="18"/>
      <c r="AE756" s="18"/>
      <c r="AF756" s="18"/>
      <c r="AG756" s="91"/>
      <c r="AH756" s="18"/>
      <c r="AI756" s="18"/>
      <c r="AJ756" s="18"/>
      <c r="AK756" s="18"/>
      <c r="AL756" s="18"/>
      <c r="AM756" s="18"/>
      <c r="AN756" s="18"/>
      <c r="AO756" s="18"/>
      <c r="AP756" s="18"/>
      <c r="AQ756" s="18"/>
      <c r="AR756" s="18"/>
      <c r="AS756" s="18"/>
      <c r="AT756" s="18"/>
      <c r="AU756" s="91"/>
      <c r="AV756" s="18"/>
      <c r="AW756" s="18"/>
      <c r="AX756" s="18"/>
      <c r="AY756" s="17"/>
      <c r="AZ756" s="17"/>
      <c r="BA756" s="17"/>
      <c r="BB756" s="17"/>
      <c r="BC756" s="96"/>
      <c r="BD756" s="96"/>
      <c r="BE756" s="96"/>
      <c r="BF756" s="96"/>
      <c r="BG756" s="96"/>
      <c r="BH756" s="96"/>
      <c r="BI756" s="96"/>
    </row>
    <row r="757" spans="1:61" x14ac:dyDescent="0.45">
      <c r="A757" s="17"/>
      <c r="B757" s="17"/>
      <c r="C757" s="17"/>
      <c r="D757" s="17"/>
      <c r="E757" s="15"/>
      <c r="F757" s="17"/>
      <c r="G757" s="17"/>
      <c r="H757" s="3"/>
      <c r="I757" s="88"/>
      <c r="J757" s="88"/>
      <c r="K757" s="15"/>
      <c r="L757" s="96"/>
      <c r="M757" s="89"/>
      <c r="N757" s="88"/>
      <c r="O757" s="413"/>
      <c r="P757" s="18"/>
      <c r="Q757" s="91"/>
      <c r="R757" s="18"/>
      <c r="S757" s="18"/>
      <c r="T757" s="18"/>
      <c r="U757" s="18"/>
      <c r="V757" s="18"/>
      <c r="W757" s="18"/>
      <c r="X757" s="18"/>
      <c r="Y757" s="92"/>
      <c r="Z757" s="92"/>
      <c r="AA757" s="418"/>
      <c r="AB757" s="95"/>
      <c r="AC757" s="18"/>
      <c r="AD757" s="18"/>
      <c r="AE757" s="18"/>
      <c r="AF757" s="18"/>
      <c r="AG757" s="91"/>
      <c r="AH757" s="18"/>
      <c r="AI757" s="18"/>
      <c r="AJ757" s="18"/>
      <c r="AK757" s="18"/>
      <c r="AL757" s="18"/>
      <c r="AM757" s="18"/>
      <c r="AN757" s="18"/>
      <c r="AO757" s="18"/>
      <c r="AP757" s="18"/>
      <c r="AQ757" s="18"/>
      <c r="AR757" s="18"/>
      <c r="AS757" s="18"/>
      <c r="AT757" s="18"/>
      <c r="AU757" s="91"/>
      <c r="AV757" s="18"/>
      <c r="AW757" s="18"/>
      <c r="AX757" s="18"/>
      <c r="AY757" s="17"/>
      <c r="AZ757" s="17"/>
      <c r="BA757" s="17"/>
      <c r="BB757" s="17"/>
      <c r="BC757" s="96"/>
      <c r="BD757" s="96"/>
      <c r="BE757" s="96"/>
      <c r="BF757" s="96"/>
      <c r="BG757" s="96"/>
      <c r="BH757" s="96"/>
      <c r="BI757" s="96"/>
    </row>
    <row r="758" spans="1:61" x14ac:dyDescent="0.45">
      <c r="A758" s="17"/>
      <c r="B758" s="17"/>
      <c r="C758" s="17"/>
      <c r="D758" s="17"/>
      <c r="E758" s="15"/>
      <c r="F758" s="17"/>
      <c r="G758" s="17"/>
      <c r="H758" s="3"/>
      <c r="I758" s="88"/>
      <c r="J758" s="88"/>
      <c r="K758" s="15"/>
      <c r="L758" s="96"/>
      <c r="M758" s="89"/>
      <c r="N758" s="88"/>
      <c r="O758" s="413"/>
      <c r="P758" s="18"/>
      <c r="Q758" s="91"/>
      <c r="R758" s="18"/>
      <c r="S758" s="18"/>
      <c r="T758" s="18"/>
      <c r="U758" s="18"/>
      <c r="V758" s="18"/>
      <c r="W758" s="18"/>
      <c r="X758" s="18"/>
      <c r="Y758" s="92"/>
      <c r="Z758" s="92"/>
      <c r="AA758" s="418"/>
      <c r="AB758" s="95"/>
      <c r="AC758" s="18"/>
      <c r="AD758" s="18"/>
      <c r="AE758" s="18"/>
      <c r="AF758" s="18"/>
      <c r="AG758" s="91"/>
      <c r="AH758" s="18"/>
      <c r="AI758" s="18"/>
      <c r="AJ758" s="18"/>
      <c r="AK758" s="18"/>
      <c r="AL758" s="18"/>
      <c r="AM758" s="18"/>
      <c r="AN758" s="18"/>
      <c r="AO758" s="18"/>
      <c r="AP758" s="18"/>
      <c r="AQ758" s="18"/>
      <c r="AR758" s="18"/>
      <c r="AS758" s="18"/>
      <c r="AT758" s="18"/>
      <c r="AU758" s="91"/>
      <c r="AV758" s="18"/>
      <c r="AW758" s="18"/>
      <c r="AX758" s="18"/>
      <c r="AY758" s="17"/>
      <c r="AZ758" s="17"/>
      <c r="BA758" s="17"/>
      <c r="BB758" s="17"/>
      <c r="BC758" s="96"/>
      <c r="BD758" s="96"/>
      <c r="BE758" s="96"/>
      <c r="BF758" s="96"/>
      <c r="BG758" s="96"/>
      <c r="BH758" s="96"/>
      <c r="BI758" s="96"/>
    </row>
    <row r="759" spans="1:61" x14ac:dyDescent="0.45">
      <c r="A759" s="17"/>
      <c r="B759" s="17"/>
      <c r="C759" s="17"/>
      <c r="D759" s="17"/>
      <c r="E759" s="15"/>
      <c r="F759" s="17"/>
      <c r="G759" s="17"/>
      <c r="H759" s="3"/>
      <c r="I759" s="88"/>
      <c r="J759" s="88"/>
      <c r="K759" s="15"/>
      <c r="L759" s="96"/>
      <c r="M759" s="89"/>
      <c r="N759" s="88"/>
      <c r="O759" s="413"/>
      <c r="P759" s="18"/>
      <c r="Q759" s="91"/>
      <c r="R759" s="18"/>
      <c r="S759" s="18"/>
      <c r="T759" s="18"/>
      <c r="U759" s="18"/>
      <c r="V759" s="18"/>
      <c r="W759" s="18"/>
      <c r="X759" s="18"/>
      <c r="Y759" s="92"/>
      <c r="Z759" s="92"/>
      <c r="AA759" s="418"/>
      <c r="AB759" s="95"/>
      <c r="AC759" s="18"/>
      <c r="AD759" s="18"/>
      <c r="AE759" s="18"/>
      <c r="AF759" s="18"/>
      <c r="AG759" s="91"/>
      <c r="AH759" s="18"/>
      <c r="AI759" s="18"/>
      <c r="AJ759" s="18"/>
      <c r="AK759" s="18"/>
      <c r="AL759" s="18"/>
      <c r="AM759" s="18"/>
      <c r="AN759" s="18"/>
      <c r="AO759" s="18"/>
      <c r="AP759" s="18"/>
      <c r="AQ759" s="18"/>
      <c r="AR759" s="18"/>
      <c r="AS759" s="18"/>
      <c r="AT759" s="18"/>
      <c r="AU759" s="91"/>
      <c r="AV759" s="18"/>
      <c r="AW759" s="18"/>
      <c r="AX759" s="18"/>
      <c r="AY759" s="17"/>
      <c r="AZ759" s="17"/>
      <c r="BA759" s="17"/>
      <c r="BB759" s="17"/>
      <c r="BC759" s="96"/>
      <c r="BD759" s="96"/>
      <c r="BE759" s="96"/>
      <c r="BF759" s="96"/>
      <c r="BG759" s="96"/>
      <c r="BH759" s="96"/>
      <c r="BI759" s="96"/>
    </row>
    <row r="760" spans="1:61" x14ac:dyDescent="0.45">
      <c r="A760" s="17"/>
      <c r="B760" s="17"/>
      <c r="C760" s="17"/>
      <c r="D760" s="17"/>
      <c r="E760" s="15"/>
      <c r="F760" s="17"/>
      <c r="G760" s="17"/>
      <c r="H760" s="3"/>
      <c r="I760" s="88"/>
      <c r="J760" s="88"/>
      <c r="K760" s="15"/>
      <c r="L760" s="96"/>
      <c r="M760" s="89"/>
      <c r="N760" s="88"/>
      <c r="O760" s="413"/>
      <c r="P760" s="18"/>
      <c r="Q760" s="91"/>
      <c r="R760" s="18"/>
      <c r="S760" s="18"/>
      <c r="T760" s="18"/>
      <c r="U760" s="18"/>
      <c r="V760" s="18"/>
      <c r="W760" s="18"/>
      <c r="X760" s="18"/>
      <c r="Y760" s="92"/>
      <c r="Z760" s="92"/>
      <c r="AA760" s="418"/>
      <c r="AB760" s="95"/>
      <c r="AC760" s="18"/>
      <c r="AD760" s="18"/>
      <c r="AE760" s="18"/>
      <c r="AF760" s="18"/>
      <c r="AG760" s="91"/>
      <c r="AH760" s="18"/>
      <c r="AI760" s="18"/>
      <c r="AJ760" s="18"/>
      <c r="AK760" s="18"/>
      <c r="AL760" s="18"/>
      <c r="AM760" s="18"/>
      <c r="AN760" s="18"/>
      <c r="AO760" s="18"/>
      <c r="AP760" s="18"/>
      <c r="AQ760" s="18"/>
      <c r="AR760" s="18"/>
      <c r="AS760" s="18"/>
      <c r="AT760" s="18"/>
      <c r="AU760" s="91"/>
      <c r="AV760" s="18"/>
      <c r="AW760" s="18"/>
      <c r="AX760" s="18"/>
      <c r="AY760" s="17"/>
      <c r="AZ760" s="17"/>
      <c r="BA760" s="17"/>
      <c r="BB760" s="17"/>
      <c r="BC760" s="96"/>
      <c r="BD760" s="96"/>
      <c r="BE760" s="96"/>
      <c r="BF760" s="96"/>
      <c r="BG760" s="96"/>
      <c r="BH760" s="96"/>
      <c r="BI760" s="96"/>
    </row>
    <row r="761" spans="1:61" x14ac:dyDescent="0.45">
      <c r="A761" s="17"/>
      <c r="B761" s="17"/>
      <c r="C761" s="17"/>
      <c r="D761" s="17"/>
      <c r="E761" s="15"/>
      <c r="F761" s="17"/>
      <c r="G761" s="17"/>
      <c r="H761" s="3"/>
      <c r="I761" s="88"/>
      <c r="J761" s="88"/>
      <c r="K761" s="15"/>
      <c r="L761" s="96"/>
      <c r="M761" s="89"/>
      <c r="N761" s="88"/>
      <c r="O761" s="413"/>
      <c r="P761" s="18"/>
      <c r="Q761" s="91"/>
      <c r="R761" s="18"/>
      <c r="S761" s="18"/>
      <c r="T761" s="18"/>
      <c r="U761" s="18"/>
      <c r="V761" s="18"/>
      <c r="W761" s="18"/>
      <c r="X761" s="18"/>
      <c r="Y761" s="92"/>
      <c r="Z761" s="92"/>
      <c r="AA761" s="418"/>
      <c r="AB761" s="95"/>
      <c r="AC761" s="18"/>
      <c r="AD761" s="18"/>
      <c r="AE761" s="18"/>
      <c r="AF761" s="18"/>
      <c r="AG761" s="91"/>
      <c r="AH761" s="18"/>
      <c r="AI761" s="18"/>
      <c r="AJ761" s="18"/>
      <c r="AK761" s="18"/>
      <c r="AL761" s="18"/>
      <c r="AM761" s="18"/>
      <c r="AN761" s="18"/>
      <c r="AO761" s="18"/>
      <c r="AP761" s="18"/>
      <c r="AQ761" s="18"/>
      <c r="AR761" s="18"/>
      <c r="AS761" s="18"/>
      <c r="AT761" s="18"/>
      <c r="AU761" s="91"/>
      <c r="AV761" s="18"/>
      <c r="AW761" s="18"/>
      <c r="AX761" s="18"/>
      <c r="AY761" s="17"/>
      <c r="AZ761" s="17"/>
      <c r="BA761" s="17"/>
      <c r="BB761" s="17"/>
      <c r="BC761" s="96"/>
      <c r="BD761" s="96"/>
      <c r="BE761" s="96"/>
      <c r="BF761" s="96"/>
      <c r="BG761" s="96"/>
      <c r="BH761" s="96"/>
      <c r="BI761" s="96"/>
    </row>
    <row r="762" spans="1:61" x14ac:dyDescent="0.45">
      <c r="A762" s="17"/>
      <c r="B762" s="17"/>
      <c r="C762" s="17"/>
      <c r="D762" s="17"/>
      <c r="E762" s="15"/>
      <c r="F762" s="17"/>
      <c r="G762" s="17"/>
      <c r="H762" s="3"/>
      <c r="I762" s="88"/>
      <c r="J762" s="88"/>
      <c r="K762" s="15"/>
      <c r="L762" s="96"/>
      <c r="M762" s="89"/>
      <c r="N762" s="88"/>
      <c r="O762" s="413"/>
      <c r="P762" s="18"/>
      <c r="Q762" s="91"/>
      <c r="R762" s="18"/>
      <c r="S762" s="18"/>
      <c r="T762" s="18"/>
      <c r="U762" s="18"/>
      <c r="V762" s="18"/>
      <c r="W762" s="18"/>
      <c r="X762" s="18"/>
      <c r="Y762" s="92"/>
      <c r="Z762" s="92"/>
      <c r="AA762" s="418"/>
      <c r="AB762" s="95"/>
      <c r="AC762" s="18"/>
      <c r="AD762" s="18"/>
      <c r="AE762" s="18"/>
      <c r="AF762" s="18"/>
      <c r="AG762" s="91"/>
      <c r="AH762" s="18"/>
      <c r="AI762" s="18"/>
      <c r="AJ762" s="18"/>
      <c r="AK762" s="18"/>
      <c r="AL762" s="18"/>
      <c r="AM762" s="18"/>
      <c r="AN762" s="18"/>
      <c r="AO762" s="18"/>
      <c r="AP762" s="18"/>
      <c r="AQ762" s="18"/>
      <c r="AR762" s="18"/>
      <c r="AS762" s="18"/>
      <c r="AT762" s="18"/>
      <c r="AU762" s="91"/>
      <c r="AV762" s="18"/>
      <c r="AW762" s="18"/>
      <c r="AX762" s="18"/>
      <c r="AY762" s="17"/>
      <c r="AZ762" s="17"/>
      <c r="BA762" s="17"/>
      <c r="BB762" s="17"/>
      <c r="BC762" s="96"/>
      <c r="BD762" s="96"/>
      <c r="BE762" s="96"/>
      <c r="BF762" s="96"/>
      <c r="BG762" s="96"/>
      <c r="BH762" s="96"/>
      <c r="BI762" s="96"/>
    </row>
    <row r="763" spans="1:61" x14ac:dyDescent="0.45">
      <c r="A763" s="17"/>
      <c r="B763" s="17"/>
      <c r="C763" s="17"/>
      <c r="D763" s="17"/>
      <c r="E763" s="15"/>
      <c r="F763" s="17"/>
      <c r="G763" s="17"/>
      <c r="H763" s="3"/>
      <c r="I763" s="88"/>
      <c r="J763" s="88"/>
      <c r="K763" s="15"/>
      <c r="L763" s="96"/>
      <c r="M763" s="89"/>
      <c r="N763" s="88"/>
      <c r="O763" s="413"/>
      <c r="P763" s="18"/>
      <c r="Q763" s="91"/>
      <c r="R763" s="18"/>
      <c r="S763" s="18"/>
      <c r="T763" s="18"/>
      <c r="U763" s="18"/>
      <c r="V763" s="18"/>
      <c r="W763" s="18"/>
      <c r="X763" s="18"/>
      <c r="Y763" s="92"/>
      <c r="Z763" s="92"/>
      <c r="AA763" s="418"/>
      <c r="AB763" s="95"/>
      <c r="AC763" s="18"/>
      <c r="AD763" s="18"/>
      <c r="AE763" s="18"/>
      <c r="AF763" s="18"/>
      <c r="AG763" s="91"/>
      <c r="AH763" s="18"/>
      <c r="AI763" s="18"/>
      <c r="AJ763" s="18"/>
      <c r="AK763" s="18"/>
      <c r="AL763" s="18"/>
      <c r="AM763" s="18"/>
      <c r="AN763" s="18"/>
      <c r="AO763" s="18"/>
      <c r="AP763" s="18"/>
      <c r="AQ763" s="18"/>
      <c r="AR763" s="18"/>
      <c r="AS763" s="18"/>
      <c r="AT763" s="18"/>
      <c r="AU763" s="91"/>
      <c r="AV763" s="18"/>
      <c r="AW763" s="18"/>
      <c r="AX763" s="18"/>
      <c r="AY763" s="17"/>
      <c r="AZ763" s="17"/>
      <c r="BA763" s="17"/>
      <c r="BB763" s="17"/>
      <c r="BC763" s="96"/>
      <c r="BD763" s="96"/>
      <c r="BE763" s="96"/>
      <c r="BF763" s="96"/>
      <c r="BG763" s="96"/>
      <c r="BH763" s="96"/>
      <c r="BI763" s="96"/>
    </row>
    <row r="764" spans="1:61" x14ac:dyDescent="0.45">
      <c r="A764" s="17"/>
      <c r="B764" s="17"/>
      <c r="C764" s="17"/>
      <c r="D764" s="17"/>
      <c r="E764" s="15"/>
      <c r="F764" s="17"/>
      <c r="G764" s="17"/>
      <c r="H764" s="3"/>
      <c r="I764" s="88"/>
      <c r="J764" s="88"/>
      <c r="K764" s="15"/>
      <c r="L764" s="96"/>
      <c r="M764" s="89"/>
      <c r="N764" s="88"/>
      <c r="O764" s="413"/>
      <c r="P764" s="18"/>
      <c r="Q764" s="91"/>
      <c r="R764" s="18"/>
      <c r="S764" s="18"/>
      <c r="T764" s="18"/>
      <c r="U764" s="18"/>
      <c r="V764" s="18"/>
      <c r="W764" s="18"/>
      <c r="X764" s="18"/>
      <c r="Y764" s="92"/>
      <c r="Z764" s="92"/>
      <c r="AA764" s="418"/>
      <c r="AB764" s="95"/>
      <c r="AC764" s="18"/>
      <c r="AD764" s="18"/>
      <c r="AE764" s="18"/>
      <c r="AF764" s="18"/>
      <c r="AG764" s="91"/>
      <c r="AH764" s="18"/>
      <c r="AI764" s="18"/>
      <c r="AJ764" s="18"/>
      <c r="AK764" s="18"/>
      <c r="AL764" s="18"/>
      <c r="AM764" s="18"/>
      <c r="AN764" s="18"/>
      <c r="AO764" s="18"/>
      <c r="AP764" s="18"/>
      <c r="AQ764" s="18"/>
      <c r="AR764" s="18"/>
      <c r="AS764" s="18"/>
      <c r="AT764" s="18"/>
      <c r="AU764" s="91"/>
      <c r="AV764" s="18"/>
      <c r="AW764" s="18"/>
      <c r="AX764" s="18"/>
      <c r="AY764" s="17"/>
      <c r="AZ764" s="17"/>
      <c r="BA764" s="17"/>
      <c r="BB764" s="17"/>
      <c r="BC764" s="96"/>
      <c r="BD764" s="96"/>
      <c r="BE764" s="96"/>
      <c r="BF764" s="96"/>
      <c r="BG764" s="96"/>
      <c r="BH764" s="96"/>
      <c r="BI764" s="96"/>
    </row>
    <row r="765" spans="1:61" x14ac:dyDescent="0.45">
      <c r="A765" s="17"/>
      <c r="B765" s="17"/>
      <c r="C765" s="17"/>
      <c r="D765" s="17"/>
      <c r="E765" s="15"/>
      <c r="F765" s="17"/>
      <c r="G765" s="17"/>
      <c r="H765" s="3"/>
      <c r="I765" s="88"/>
      <c r="J765" s="88"/>
      <c r="K765" s="15"/>
      <c r="L765" s="96"/>
      <c r="M765" s="89"/>
      <c r="N765" s="88"/>
      <c r="O765" s="413"/>
      <c r="P765" s="18"/>
      <c r="Q765" s="91"/>
      <c r="R765" s="18"/>
      <c r="S765" s="18"/>
      <c r="T765" s="18"/>
      <c r="U765" s="18"/>
      <c r="V765" s="18"/>
      <c r="W765" s="18"/>
      <c r="X765" s="18"/>
      <c r="Y765" s="92"/>
      <c r="Z765" s="92"/>
      <c r="AA765" s="418"/>
      <c r="AB765" s="95"/>
      <c r="AC765" s="18"/>
      <c r="AD765" s="18"/>
      <c r="AE765" s="18"/>
      <c r="AF765" s="18"/>
      <c r="AG765" s="91"/>
      <c r="AH765" s="18"/>
      <c r="AI765" s="18"/>
      <c r="AJ765" s="18"/>
      <c r="AK765" s="18"/>
      <c r="AL765" s="18"/>
      <c r="AM765" s="18"/>
      <c r="AN765" s="18"/>
      <c r="AO765" s="18"/>
      <c r="AP765" s="18"/>
      <c r="AQ765" s="18"/>
      <c r="AR765" s="18"/>
      <c r="AS765" s="18"/>
      <c r="AT765" s="18"/>
      <c r="AU765" s="91"/>
      <c r="AV765" s="18"/>
      <c r="AW765" s="18"/>
      <c r="AX765" s="18"/>
      <c r="AY765" s="17"/>
      <c r="AZ765" s="17"/>
      <c r="BA765" s="17"/>
      <c r="BB765" s="17"/>
      <c r="BC765" s="96"/>
      <c r="BD765" s="96"/>
      <c r="BE765" s="96"/>
      <c r="BF765" s="96"/>
      <c r="BG765" s="96"/>
      <c r="BH765" s="96"/>
      <c r="BI765" s="96"/>
    </row>
    <row r="766" spans="1:61" x14ac:dyDescent="0.45">
      <c r="A766" s="17"/>
      <c r="B766" s="17"/>
      <c r="C766" s="17"/>
      <c r="D766" s="17"/>
      <c r="E766" s="15"/>
      <c r="F766" s="17"/>
      <c r="G766" s="17"/>
      <c r="H766" s="3"/>
      <c r="I766" s="88"/>
      <c r="J766" s="88"/>
      <c r="K766" s="15"/>
      <c r="L766" s="96"/>
      <c r="M766" s="89"/>
      <c r="N766" s="88"/>
      <c r="O766" s="413"/>
      <c r="P766" s="18"/>
      <c r="Q766" s="91"/>
      <c r="R766" s="18"/>
      <c r="S766" s="18"/>
      <c r="T766" s="18"/>
      <c r="U766" s="18"/>
      <c r="V766" s="18"/>
      <c r="W766" s="18"/>
      <c r="X766" s="18"/>
      <c r="Y766" s="92"/>
      <c r="Z766" s="92"/>
      <c r="AA766" s="418"/>
      <c r="AB766" s="95"/>
      <c r="AC766" s="18"/>
      <c r="AD766" s="18"/>
      <c r="AE766" s="18"/>
      <c r="AF766" s="18"/>
      <c r="AG766" s="91"/>
      <c r="AH766" s="18"/>
      <c r="AI766" s="18"/>
      <c r="AJ766" s="18"/>
      <c r="AK766" s="18"/>
      <c r="AL766" s="18"/>
      <c r="AM766" s="18"/>
      <c r="AN766" s="18"/>
      <c r="AO766" s="18"/>
      <c r="AP766" s="18"/>
      <c r="AQ766" s="18"/>
      <c r="AR766" s="18"/>
      <c r="AS766" s="18"/>
      <c r="AT766" s="18"/>
      <c r="AU766" s="91"/>
      <c r="AV766" s="18"/>
      <c r="AW766" s="18"/>
      <c r="AX766" s="18"/>
      <c r="AY766" s="17"/>
      <c r="AZ766" s="17"/>
      <c r="BA766" s="17"/>
      <c r="BB766" s="17"/>
      <c r="BC766" s="96"/>
      <c r="BD766" s="96"/>
      <c r="BE766" s="96"/>
      <c r="BF766" s="96"/>
      <c r="BG766" s="96"/>
      <c r="BH766" s="96"/>
      <c r="BI766" s="96"/>
    </row>
    <row r="767" spans="1:61" x14ac:dyDescent="0.45">
      <c r="A767" s="17"/>
      <c r="B767" s="17"/>
      <c r="C767" s="17"/>
      <c r="D767" s="17"/>
      <c r="E767" s="15"/>
      <c r="F767" s="17"/>
      <c r="G767" s="17"/>
      <c r="H767" s="3"/>
      <c r="I767" s="88"/>
      <c r="J767" s="88"/>
      <c r="K767" s="15"/>
      <c r="L767" s="96"/>
      <c r="M767" s="89"/>
      <c r="N767" s="88"/>
      <c r="O767" s="413"/>
      <c r="P767" s="18"/>
      <c r="Q767" s="91"/>
      <c r="R767" s="18"/>
      <c r="S767" s="18"/>
      <c r="T767" s="18"/>
      <c r="U767" s="18"/>
      <c r="V767" s="18"/>
      <c r="W767" s="18"/>
      <c r="X767" s="18"/>
      <c r="Y767" s="92"/>
      <c r="Z767" s="92"/>
      <c r="AA767" s="418"/>
      <c r="AB767" s="95"/>
      <c r="AC767" s="18"/>
      <c r="AD767" s="18"/>
      <c r="AE767" s="18"/>
      <c r="AF767" s="18"/>
      <c r="AG767" s="91"/>
      <c r="AH767" s="18"/>
      <c r="AI767" s="18"/>
      <c r="AJ767" s="18"/>
      <c r="AK767" s="18"/>
      <c r="AL767" s="18"/>
      <c r="AM767" s="18"/>
      <c r="AN767" s="18"/>
      <c r="AO767" s="18"/>
      <c r="AP767" s="18"/>
      <c r="AQ767" s="18"/>
      <c r="AR767" s="18"/>
      <c r="AS767" s="18"/>
      <c r="AT767" s="18"/>
      <c r="AU767" s="91"/>
      <c r="AV767" s="18"/>
      <c r="AW767" s="18"/>
      <c r="AX767" s="18"/>
      <c r="AY767" s="17"/>
      <c r="AZ767" s="17"/>
      <c r="BA767" s="17"/>
      <c r="BB767" s="17"/>
      <c r="BC767" s="96"/>
      <c r="BD767" s="96"/>
      <c r="BE767" s="96"/>
      <c r="BF767" s="96"/>
      <c r="BG767" s="96"/>
      <c r="BH767" s="96"/>
      <c r="BI767" s="96"/>
    </row>
    <row r="768" spans="1:61" x14ac:dyDescent="0.45">
      <c r="A768" s="17"/>
      <c r="B768" s="17"/>
      <c r="C768" s="17"/>
      <c r="D768" s="17"/>
      <c r="E768" s="15"/>
      <c r="F768" s="17"/>
      <c r="G768" s="17"/>
      <c r="H768" s="3"/>
      <c r="I768" s="88"/>
      <c r="J768" s="88"/>
      <c r="K768" s="15"/>
      <c r="L768" s="96"/>
      <c r="M768" s="89"/>
      <c r="N768" s="88"/>
      <c r="O768" s="413"/>
      <c r="P768" s="18"/>
      <c r="Q768" s="91"/>
      <c r="R768" s="18"/>
      <c r="S768" s="18"/>
      <c r="T768" s="18"/>
      <c r="U768" s="18"/>
      <c r="V768" s="18"/>
      <c r="W768" s="18"/>
      <c r="X768" s="18"/>
      <c r="Y768" s="92"/>
      <c r="Z768" s="92"/>
      <c r="AA768" s="418"/>
      <c r="AB768" s="95"/>
      <c r="AC768" s="18"/>
      <c r="AD768" s="18"/>
      <c r="AE768" s="18"/>
      <c r="AF768" s="18"/>
      <c r="AG768" s="91"/>
      <c r="AH768" s="18"/>
      <c r="AI768" s="18"/>
      <c r="AJ768" s="18"/>
      <c r="AK768" s="18"/>
      <c r="AL768" s="18"/>
      <c r="AM768" s="18"/>
      <c r="AN768" s="18"/>
      <c r="AO768" s="18"/>
      <c r="AP768" s="18"/>
      <c r="AQ768" s="18"/>
      <c r="AR768" s="18"/>
      <c r="AS768" s="18"/>
      <c r="AT768" s="18"/>
      <c r="AU768" s="91"/>
      <c r="AV768" s="18"/>
      <c r="AW768" s="18"/>
      <c r="AX768" s="18"/>
      <c r="AY768" s="17"/>
      <c r="AZ768" s="17"/>
      <c r="BA768" s="17"/>
      <c r="BB768" s="17"/>
      <c r="BC768" s="96"/>
      <c r="BD768" s="96"/>
      <c r="BE768" s="96"/>
      <c r="BF768" s="96"/>
      <c r="BG768" s="96"/>
      <c r="BH768" s="96"/>
      <c r="BI768" s="96"/>
    </row>
    <row r="769" spans="1:61" x14ac:dyDescent="0.45">
      <c r="A769" s="17"/>
      <c r="B769" s="17"/>
      <c r="C769" s="17"/>
      <c r="D769" s="17"/>
      <c r="E769" s="15"/>
      <c r="F769" s="17"/>
      <c r="G769" s="17"/>
      <c r="H769" s="3"/>
      <c r="I769" s="88"/>
      <c r="J769" s="88"/>
      <c r="K769" s="15"/>
      <c r="L769" s="96"/>
      <c r="M769" s="89"/>
      <c r="N769" s="88"/>
      <c r="O769" s="413"/>
      <c r="P769" s="18"/>
      <c r="Q769" s="91"/>
      <c r="R769" s="18"/>
      <c r="S769" s="18"/>
      <c r="T769" s="18"/>
      <c r="U769" s="18"/>
      <c r="V769" s="18"/>
      <c r="W769" s="18"/>
      <c r="X769" s="18"/>
      <c r="Y769" s="92"/>
      <c r="Z769" s="92"/>
      <c r="AA769" s="418"/>
      <c r="AB769" s="95"/>
      <c r="AC769" s="18"/>
      <c r="AD769" s="18"/>
      <c r="AE769" s="18"/>
      <c r="AF769" s="18"/>
      <c r="AG769" s="91"/>
      <c r="AH769" s="18"/>
      <c r="AI769" s="18"/>
      <c r="AJ769" s="18"/>
      <c r="AK769" s="18"/>
      <c r="AL769" s="18"/>
      <c r="AM769" s="18"/>
      <c r="AN769" s="18"/>
      <c r="AO769" s="18"/>
      <c r="AP769" s="18"/>
      <c r="AQ769" s="18"/>
      <c r="AR769" s="18"/>
      <c r="AS769" s="18"/>
      <c r="AT769" s="18"/>
      <c r="AU769" s="91"/>
      <c r="AV769" s="18"/>
      <c r="AW769" s="18"/>
      <c r="AX769" s="18"/>
      <c r="AY769" s="17"/>
      <c r="AZ769" s="17"/>
      <c r="BA769" s="17"/>
      <c r="BB769" s="17"/>
      <c r="BC769" s="96"/>
      <c r="BD769" s="96"/>
      <c r="BE769" s="96"/>
      <c r="BF769" s="96"/>
      <c r="BG769" s="96"/>
      <c r="BH769" s="96"/>
      <c r="BI769" s="96"/>
    </row>
    <row r="770" spans="1:61" x14ac:dyDescent="0.45">
      <c r="A770" s="17"/>
      <c r="B770" s="17"/>
      <c r="C770" s="17"/>
      <c r="D770" s="17"/>
      <c r="E770" s="15"/>
      <c r="F770" s="17"/>
      <c r="G770" s="17"/>
      <c r="H770" s="3"/>
      <c r="I770" s="88"/>
      <c r="J770" s="88"/>
      <c r="K770" s="15"/>
      <c r="L770" s="96"/>
      <c r="M770" s="89"/>
      <c r="N770" s="88"/>
      <c r="O770" s="413"/>
      <c r="P770" s="18"/>
      <c r="Q770" s="91"/>
      <c r="R770" s="18"/>
      <c r="S770" s="18"/>
      <c r="T770" s="18"/>
      <c r="U770" s="18"/>
      <c r="V770" s="18"/>
      <c r="W770" s="18"/>
      <c r="X770" s="18"/>
      <c r="Y770" s="92"/>
      <c r="Z770" s="92"/>
      <c r="AA770" s="418"/>
      <c r="AB770" s="95"/>
      <c r="AC770" s="18"/>
      <c r="AD770" s="18"/>
      <c r="AE770" s="18"/>
      <c r="AF770" s="18"/>
      <c r="AG770" s="91"/>
      <c r="AH770" s="18"/>
      <c r="AI770" s="18"/>
      <c r="AJ770" s="18"/>
      <c r="AK770" s="18"/>
      <c r="AL770" s="18"/>
      <c r="AM770" s="18"/>
      <c r="AN770" s="18"/>
      <c r="AO770" s="18"/>
      <c r="AP770" s="18"/>
      <c r="AQ770" s="18"/>
      <c r="AR770" s="18"/>
      <c r="AS770" s="18"/>
      <c r="AT770" s="18"/>
      <c r="AU770" s="91"/>
      <c r="AV770" s="18"/>
      <c r="AW770" s="18"/>
      <c r="AX770" s="18"/>
      <c r="AY770" s="17"/>
      <c r="AZ770" s="17"/>
      <c r="BA770" s="17"/>
      <c r="BB770" s="17"/>
      <c r="BC770" s="96"/>
      <c r="BD770" s="96"/>
      <c r="BE770" s="96"/>
      <c r="BF770" s="96"/>
      <c r="BG770" s="96"/>
      <c r="BH770" s="96"/>
      <c r="BI770" s="96"/>
    </row>
    <row r="771" spans="1:61" x14ac:dyDescent="0.45">
      <c r="A771" s="17"/>
      <c r="B771" s="17"/>
      <c r="C771" s="17"/>
      <c r="D771" s="17"/>
      <c r="E771" s="15"/>
      <c r="F771" s="17"/>
      <c r="G771" s="17"/>
      <c r="H771" s="3"/>
      <c r="I771" s="88"/>
      <c r="J771" s="88"/>
      <c r="K771" s="15"/>
      <c r="L771" s="96"/>
      <c r="M771" s="89"/>
      <c r="N771" s="88"/>
      <c r="O771" s="413"/>
      <c r="P771" s="18"/>
      <c r="Q771" s="91"/>
      <c r="R771" s="18"/>
      <c r="S771" s="18"/>
      <c r="T771" s="18"/>
      <c r="U771" s="18"/>
      <c r="V771" s="18"/>
      <c r="W771" s="18"/>
      <c r="X771" s="18"/>
      <c r="Y771" s="92"/>
      <c r="Z771" s="92"/>
      <c r="AA771" s="418"/>
      <c r="AB771" s="95"/>
      <c r="AC771" s="18"/>
      <c r="AD771" s="18"/>
      <c r="AE771" s="18"/>
      <c r="AF771" s="18"/>
      <c r="AG771" s="91"/>
      <c r="AH771" s="18"/>
      <c r="AI771" s="18"/>
      <c r="AJ771" s="18"/>
      <c r="AK771" s="18"/>
      <c r="AL771" s="18"/>
      <c r="AM771" s="18"/>
      <c r="AN771" s="18"/>
      <c r="AO771" s="18"/>
      <c r="AP771" s="18"/>
      <c r="AQ771" s="18"/>
      <c r="AR771" s="18"/>
      <c r="AS771" s="18"/>
      <c r="AT771" s="18"/>
      <c r="AU771" s="91"/>
      <c r="AV771" s="18"/>
      <c r="AW771" s="18"/>
      <c r="AX771" s="18"/>
      <c r="AY771" s="17"/>
      <c r="AZ771" s="17"/>
      <c r="BA771" s="17"/>
      <c r="BB771" s="17"/>
      <c r="BC771" s="96"/>
      <c r="BD771" s="96"/>
      <c r="BE771" s="96"/>
      <c r="BF771" s="96"/>
      <c r="BG771" s="96"/>
      <c r="BH771" s="96"/>
      <c r="BI771" s="96"/>
    </row>
    <row r="772" spans="1:61" x14ac:dyDescent="0.45">
      <c r="A772" s="17"/>
      <c r="B772" s="17"/>
      <c r="C772" s="17"/>
      <c r="D772" s="17"/>
      <c r="E772" s="15"/>
      <c r="F772" s="17"/>
      <c r="G772" s="17"/>
      <c r="H772" s="3"/>
      <c r="I772" s="88"/>
      <c r="J772" s="88"/>
      <c r="K772" s="15"/>
      <c r="L772" s="96"/>
      <c r="M772" s="89"/>
      <c r="N772" s="88"/>
      <c r="O772" s="413"/>
      <c r="P772" s="18"/>
      <c r="Q772" s="91"/>
      <c r="R772" s="18"/>
      <c r="S772" s="18"/>
      <c r="T772" s="18"/>
      <c r="U772" s="18"/>
      <c r="V772" s="18"/>
      <c r="W772" s="18"/>
      <c r="X772" s="18"/>
      <c r="Y772" s="92"/>
      <c r="Z772" s="92"/>
      <c r="AA772" s="418"/>
      <c r="AB772" s="95"/>
      <c r="AC772" s="18"/>
      <c r="AD772" s="18"/>
      <c r="AE772" s="18"/>
      <c r="AF772" s="18"/>
      <c r="AG772" s="91"/>
      <c r="AH772" s="18"/>
      <c r="AI772" s="18"/>
      <c r="AJ772" s="18"/>
      <c r="AK772" s="18"/>
      <c r="AL772" s="18"/>
      <c r="AM772" s="18"/>
      <c r="AN772" s="18"/>
      <c r="AO772" s="18"/>
      <c r="AP772" s="18"/>
      <c r="AQ772" s="18"/>
      <c r="AR772" s="18"/>
      <c r="AS772" s="18"/>
      <c r="AT772" s="18"/>
      <c r="AU772" s="91"/>
      <c r="AV772" s="18"/>
      <c r="AW772" s="18"/>
      <c r="AX772" s="18"/>
      <c r="AY772" s="17"/>
      <c r="AZ772" s="17"/>
      <c r="BA772" s="17"/>
      <c r="BB772" s="17"/>
      <c r="BC772" s="96"/>
      <c r="BD772" s="96"/>
      <c r="BE772" s="96"/>
      <c r="BF772" s="96"/>
      <c r="BG772" s="96"/>
      <c r="BH772" s="96"/>
      <c r="BI772" s="96"/>
    </row>
    <row r="773" spans="1:61" x14ac:dyDescent="0.45">
      <c r="A773" s="17"/>
      <c r="B773" s="17"/>
      <c r="C773" s="17"/>
      <c r="D773" s="17"/>
      <c r="E773" s="15"/>
      <c r="F773" s="17"/>
      <c r="G773" s="17"/>
      <c r="H773" s="3"/>
      <c r="I773" s="88"/>
      <c r="J773" s="88"/>
      <c r="K773" s="15"/>
      <c r="L773" s="96"/>
      <c r="M773" s="89"/>
      <c r="N773" s="88"/>
      <c r="O773" s="413"/>
      <c r="P773" s="18"/>
      <c r="Q773" s="91"/>
      <c r="R773" s="18"/>
      <c r="S773" s="18"/>
      <c r="T773" s="18"/>
      <c r="U773" s="18"/>
      <c r="V773" s="18"/>
      <c r="W773" s="18"/>
      <c r="X773" s="18"/>
      <c r="Y773" s="92"/>
      <c r="Z773" s="92"/>
      <c r="AA773" s="418"/>
      <c r="AB773" s="95"/>
      <c r="AC773" s="18"/>
      <c r="AD773" s="18"/>
      <c r="AE773" s="18"/>
      <c r="AF773" s="18"/>
      <c r="AG773" s="91"/>
      <c r="AH773" s="18"/>
      <c r="AI773" s="18"/>
      <c r="AJ773" s="18"/>
      <c r="AK773" s="18"/>
      <c r="AL773" s="18"/>
      <c r="AM773" s="18"/>
      <c r="AN773" s="18"/>
      <c r="AO773" s="18"/>
      <c r="AP773" s="18"/>
      <c r="AQ773" s="18"/>
      <c r="AR773" s="18"/>
      <c r="AS773" s="18"/>
      <c r="AT773" s="18"/>
      <c r="AU773" s="91"/>
      <c r="AV773" s="18"/>
      <c r="AW773" s="18"/>
      <c r="AX773" s="18"/>
      <c r="AY773" s="17"/>
      <c r="AZ773" s="17"/>
      <c r="BA773" s="17"/>
      <c r="BB773" s="17"/>
      <c r="BC773" s="96"/>
      <c r="BD773" s="96"/>
      <c r="BE773" s="96"/>
      <c r="BF773" s="96"/>
      <c r="BG773" s="96"/>
      <c r="BH773" s="96"/>
      <c r="BI773" s="96"/>
    </row>
    <row r="774" spans="1:61" x14ac:dyDescent="0.45">
      <c r="A774" s="17"/>
      <c r="B774" s="17"/>
      <c r="C774" s="17"/>
      <c r="D774" s="17"/>
      <c r="E774" s="15"/>
      <c r="F774" s="17"/>
      <c r="G774" s="17"/>
      <c r="H774" s="3"/>
      <c r="I774" s="88"/>
      <c r="J774" s="88"/>
      <c r="K774" s="15"/>
      <c r="L774" s="96"/>
      <c r="M774" s="89"/>
      <c r="N774" s="88"/>
      <c r="O774" s="413"/>
      <c r="P774" s="18"/>
      <c r="Q774" s="91"/>
      <c r="R774" s="18"/>
      <c r="S774" s="18"/>
      <c r="T774" s="18"/>
      <c r="U774" s="18"/>
      <c r="V774" s="18"/>
      <c r="W774" s="18"/>
      <c r="X774" s="18"/>
      <c r="Y774" s="92"/>
      <c r="Z774" s="92"/>
      <c r="AA774" s="418"/>
      <c r="AB774" s="95"/>
      <c r="AC774" s="18"/>
      <c r="AD774" s="18"/>
      <c r="AE774" s="18"/>
      <c r="AF774" s="18"/>
      <c r="AG774" s="91"/>
      <c r="AH774" s="18"/>
      <c r="AI774" s="18"/>
      <c r="AJ774" s="18"/>
      <c r="AK774" s="18"/>
      <c r="AL774" s="18"/>
      <c r="AM774" s="18"/>
      <c r="AN774" s="18"/>
      <c r="AO774" s="18"/>
      <c r="AP774" s="18"/>
      <c r="AQ774" s="18"/>
      <c r="AR774" s="18"/>
      <c r="AS774" s="18"/>
      <c r="AT774" s="18"/>
      <c r="AU774" s="91"/>
      <c r="AV774" s="18"/>
      <c r="AW774" s="18"/>
      <c r="AX774" s="18"/>
      <c r="AY774" s="17"/>
      <c r="AZ774" s="17"/>
      <c r="BA774" s="17"/>
      <c r="BB774" s="17"/>
      <c r="BC774" s="96"/>
      <c r="BD774" s="96"/>
      <c r="BE774" s="96"/>
      <c r="BF774" s="96"/>
      <c r="BG774" s="96"/>
      <c r="BH774" s="96"/>
      <c r="BI774" s="96"/>
    </row>
    <row r="775" spans="1:61" x14ac:dyDescent="0.45">
      <c r="A775" s="17"/>
      <c r="B775" s="17"/>
      <c r="C775" s="17"/>
      <c r="D775" s="17"/>
      <c r="E775" s="15"/>
      <c r="F775" s="17"/>
      <c r="G775" s="17"/>
      <c r="H775" s="3"/>
      <c r="I775" s="88"/>
      <c r="J775" s="88"/>
      <c r="K775" s="15"/>
      <c r="L775" s="96"/>
      <c r="M775" s="89"/>
      <c r="N775" s="88"/>
      <c r="O775" s="413"/>
      <c r="P775" s="18"/>
      <c r="Q775" s="91"/>
      <c r="R775" s="18"/>
      <c r="S775" s="18"/>
      <c r="T775" s="18"/>
      <c r="U775" s="18"/>
      <c r="V775" s="18"/>
      <c r="W775" s="18"/>
      <c r="X775" s="18"/>
      <c r="Y775" s="92"/>
      <c r="Z775" s="92"/>
      <c r="AA775" s="418"/>
      <c r="AB775" s="95"/>
      <c r="AC775" s="18"/>
      <c r="AD775" s="18"/>
      <c r="AE775" s="18"/>
      <c r="AF775" s="18"/>
      <c r="AG775" s="91"/>
      <c r="AH775" s="18"/>
      <c r="AI775" s="18"/>
      <c r="AJ775" s="18"/>
      <c r="AK775" s="18"/>
      <c r="AL775" s="18"/>
      <c r="AM775" s="18"/>
      <c r="AN775" s="18"/>
      <c r="AO775" s="18"/>
      <c r="AP775" s="18"/>
      <c r="AQ775" s="18"/>
      <c r="AR775" s="18"/>
      <c r="AS775" s="18"/>
      <c r="AT775" s="18"/>
      <c r="AU775" s="91"/>
      <c r="AV775" s="18"/>
      <c r="AW775" s="18"/>
      <c r="AX775" s="18"/>
      <c r="AY775" s="17"/>
      <c r="AZ775" s="17"/>
      <c r="BA775" s="17"/>
      <c r="BB775" s="17"/>
      <c r="BC775" s="96"/>
      <c r="BD775" s="96"/>
      <c r="BE775" s="96"/>
      <c r="BF775" s="96"/>
      <c r="BG775" s="96"/>
      <c r="BH775" s="96"/>
      <c r="BI775" s="96"/>
    </row>
    <row r="776" spans="1:61" x14ac:dyDescent="0.45">
      <c r="A776" s="17"/>
      <c r="B776" s="17"/>
      <c r="C776" s="17"/>
      <c r="D776" s="17"/>
      <c r="E776" s="15"/>
      <c r="F776" s="17"/>
      <c r="G776" s="17"/>
      <c r="H776" s="3"/>
      <c r="I776" s="88"/>
      <c r="J776" s="88"/>
      <c r="K776" s="15"/>
      <c r="L776" s="96"/>
      <c r="M776" s="89"/>
      <c r="N776" s="88"/>
      <c r="O776" s="413"/>
      <c r="P776" s="18"/>
      <c r="Q776" s="91"/>
      <c r="R776" s="18"/>
      <c r="S776" s="18"/>
      <c r="T776" s="18"/>
      <c r="U776" s="18"/>
      <c r="V776" s="18"/>
      <c r="W776" s="18"/>
      <c r="X776" s="18"/>
      <c r="Y776" s="92"/>
      <c r="Z776" s="92"/>
      <c r="AA776" s="418"/>
      <c r="AB776" s="95"/>
      <c r="AC776" s="18"/>
      <c r="AD776" s="18"/>
      <c r="AE776" s="18"/>
      <c r="AF776" s="18"/>
      <c r="AG776" s="91"/>
      <c r="AH776" s="18"/>
      <c r="AI776" s="18"/>
      <c r="AJ776" s="18"/>
      <c r="AK776" s="18"/>
      <c r="AL776" s="18"/>
      <c r="AM776" s="18"/>
      <c r="AN776" s="18"/>
      <c r="AO776" s="18"/>
      <c r="AP776" s="18"/>
      <c r="AQ776" s="18"/>
      <c r="AR776" s="18"/>
      <c r="AS776" s="18"/>
      <c r="AT776" s="18"/>
      <c r="AU776" s="91"/>
      <c r="AV776" s="18"/>
      <c r="AW776" s="18"/>
      <c r="AX776" s="18"/>
      <c r="AY776" s="17"/>
      <c r="AZ776" s="17"/>
      <c r="BA776" s="17"/>
      <c r="BB776" s="17"/>
      <c r="BC776" s="96"/>
      <c r="BD776" s="96"/>
      <c r="BE776" s="96"/>
      <c r="BF776" s="96"/>
      <c r="BG776" s="96"/>
      <c r="BH776" s="96"/>
      <c r="BI776" s="96"/>
    </row>
    <row r="777" spans="1:61" x14ac:dyDescent="0.45">
      <c r="A777" s="17"/>
      <c r="B777" s="17"/>
      <c r="C777" s="17"/>
      <c r="D777" s="17"/>
      <c r="E777" s="15"/>
      <c r="F777" s="17"/>
      <c r="G777" s="17"/>
      <c r="H777" s="3"/>
      <c r="I777" s="88"/>
      <c r="J777" s="88"/>
      <c r="K777" s="15"/>
      <c r="L777" s="96"/>
      <c r="M777" s="89"/>
      <c r="N777" s="88"/>
      <c r="O777" s="413"/>
      <c r="P777" s="18"/>
      <c r="Q777" s="91"/>
      <c r="R777" s="18"/>
      <c r="S777" s="18"/>
      <c r="T777" s="18"/>
      <c r="U777" s="18"/>
      <c r="V777" s="18"/>
      <c r="W777" s="18"/>
      <c r="X777" s="18"/>
      <c r="Y777" s="92"/>
      <c r="Z777" s="92"/>
      <c r="AA777" s="418"/>
      <c r="AB777" s="95"/>
      <c r="AC777" s="18"/>
      <c r="AD777" s="18"/>
      <c r="AE777" s="18"/>
      <c r="AF777" s="18"/>
      <c r="AG777" s="91"/>
      <c r="AH777" s="18"/>
      <c r="AI777" s="18"/>
      <c r="AJ777" s="18"/>
      <c r="AK777" s="18"/>
      <c r="AL777" s="18"/>
      <c r="AM777" s="18"/>
      <c r="AN777" s="18"/>
      <c r="AO777" s="18"/>
      <c r="AP777" s="18"/>
      <c r="AQ777" s="18"/>
      <c r="AR777" s="18"/>
      <c r="AS777" s="18"/>
      <c r="AT777" s="18"/>
      <c r="AU777" s="91"/>
      <c r="AV777" s="18"/>
      <c r="AW777" s="18"/>
      <c r="AX777" s="18"/>
      <c r="AY777" s="17"/>
      <c r="AZ777" s="17"/>
      <c r="BA777" s="17"/>
      <c r="BB777" s="17"/>
      <c r="BC777" s="96"/>
      <c r="BD777" s="96"/>
      <c r="BE777" s="96"/>
      <c r="BF777" s="96"/>
      <c r="BG777" s="96"/>
      <c r="BH777" s="96"/>
      <c r="BI777" s="96"/>
    </row>
    <row r="778" spans="1:61" x14ac:dyDescent="0.45">
      <c r="A778" s="17"/>
      <c r="B778" s="17"/>
      <c r="C778" s="17"/>
      <c r="D778" s="17"/>
      <c r="E778" s="15"/>
      <c r="F778" s="17"/>
      <c r="G778" s="17"/>
      <c r="H778" s="3"/>
      <c r="I778" s="88"/>
      <c r="J778" s="88"/>
      <c r="K778" s="15"/>
      <c r="L778" s="96"/>
      <c r="M778" s="89"/>
      <c r="N778" s="88"/>
      <c r="O778" s="413"/>
      <c r="P778" s="18"/>
      <c r="Q778" s="91"/>
      <c r="R778" s="18"/>
      <c r="S778" s="18"/>
      <c r="T778" s="18"/>
      <c r="U778" s="18"/>
      <c r="V778" s="18"/>
      <c r="W778" s="18"/>
      <c r="X778" s="18"/>
      <c r="Y778" s="92"/>
      <c r="Z778" s="92"/>
      <c r="AA778" s="418"/>
      <c r="AB778" s="95"/>
      <c r="AC778" s="18"/>
      <c r="AD778" s="18"/>
      <c r="AE778" s="18"/>
      <c r="AF778" s="18"/>
      <c r="AG778" s="91"/>
      <c r="AH778" s="18"/>
      <c r="AI778" s="18"/>
      <c r="AJ778" s="18"/>
      <c r="AK778" s="18"/>
      <c r="AL778" s="18"/>
      <c r="AM778" s="18"/>
      <c r="AN778" s="18"/>
      <c r="AO778" s="18"/>
      <c r="AP778" s="18"/>
      <c r="AQ778" s="18"/>
      <c r="AR778" s="18"/>
      <c r="AS778" s="18"/>
      <c r="AT778" s="18"/>
      <c r="AU778" s="91"/>
      <c r="AV778" s="18"/>
      <c r="AW778" s="18"/>
      <c r="AX778" s="18"/>
      <c r="AY778" s="17"/>
      <c r="AZ778" s="17"/>
      <c r="BA778" s="17"/>
      <c r="BB778" s="17"/>
      <c r="BC778" s="96"/>
      <c r="BD778" s="96"/>
      <c r="BE778" s="96"/>
      <c r="BF778" s="96"/>
      <c r="BG778" s="96"/>
      <c r="BH778" s="96"/>
      <c r="BI778" s="96"/>
    </row>
    <row r="779" spans="1:61" x14ac:dyDescent="0.45">
      <c r="A779" s="17"/>
      <c r="B779" s="17"/>
      <c r="C779" s="17"/>
      <c r="D779" s="17"/>
      <c r="E779" s="15"/>
      <c r="F779" s="17"/>
      <c r="G779" s="17"/>
      <c r="H779" s="3"/>
      <c r="I779" s="88"/>
      <c r="J779" s="88"/>
      <c r="K779" s="15"/>
      <c r="L779" s="96"/>
      <c r="M779" s="89"/>
      <c r="N779" s="88"/>
      <c r="O779" s="413"/>
      <c r="P779" s="18"/>
      <c r="Q779" s="91"/>
      <c r="R779" s="18"/>
      <c r="S779" s="18"/>
      <c r="T779" s="18"/>
      <c r="U779" s="18"/>
      <c r="V779" s="18"/>
      <c r="W779" s="18"/>
      <c r="X779" s="18"/>
      <c r="Y779" s="92"/>
      <c r="Z779" s="92"/>
      <c r="AA779" s="418"/>
      <c r="AB779" s="95"/>
      <c r="AC779" s="18"/>
      <c r="AD779" s="18"/>
      <c r="AE779" s="18"/>
      <c r="AF779" s="18"/>
      <c r="AG779" s="91"/>
      <c r="AH779" s="18"/>
      <c r="AI779" s="18"/>
      <c r="AJ779" s="18"/>
      <c r="AK779" s="18"/>
      <c r="AL779" s="18"/>
      <c r="AM779" s="18"/>
      <c r="AN779" s="18"/>
      <c r="AO779" s="18"/>
      <c r="AP779" s="18"/>
      <c r="AQ779" s="18"/>
      <c r="AR779" s="18"/>
      <c r="AS779" s="18"/>
      <c r="AT779" s="18"/>
      <c r="AU779" s="91"/>
      <c r="AV779" s="18"/>
      <c r="AW779" s="18"/>
      <c r="AX779" s="18"/>
      <c r="AY779" s="17"/>
      <c r="AZ779" s="17"/>
      <c r="BA779" s="17"/>
      <c r="BB779" s="17"/>
      <c r="BC779" s="96"/>
      <c r="BD779" s="96"/>
      <c r="BE779" s="96"/>
      <c r="BF779" s="96"/>
      <c r="BG779" s="96"/>
      <c r="BH779" s="96"/>
      <c r="BI779" s="96"/>
    </row>
    <row r="780" spans="1:61" x14ac:dyDescent="0.45">
      <c r="A780" s="17"/>
      <c r="B780" s="17"/>
      <c r="C780" s="17"/>
      <c r="D780" s="17"/>
      <c r="E780" s="15"/>
      <c r="F780" s="17"/>
      <c r="G780" s="17"/>
      <c r="H780" s="3"/>
      <c r="I780" s="88"/>
      <c r="J780" s="88"/>
      <c r="K780" s="15"/>
      <c r="L780" s="96"/>
      <c r="M780" s="89"/>
      <c r="N780" s="88"/>
      <c r="O780" s="413"/>
      <c r="P780" s="18"/>
      <c r="Q780" s="91"/>
      <c r="R780" s="18"/>
      <c r="S780" s="18"/>
      <c r="T780" s="18"/>
      <c r="U780" s="18"/>
      <c r="V780" s="18"/>
      <c r="W780" s="18"/>
      <c r="X780" s="18"/>
      <c r="Y780" s="92"/>
      <c r="Z780" s="92"/>
      <c r="AA780" s="418"/>
      <c r="AB780" s="95"/>
      <c r="AC780" s="18"/>
      <c r="AD780" s="18"/>
      <c r="AE780" s="18"/>
      <c r="AF780" s="18"/>
      <c r="AG780" s="91"/>
      <c r="AH780" s="18"/>
      <c r="AI780" s="18"/>
      <c r="AJ780" s="18"/>
      <c r="AK780" s="18"/>
      <c r="AL780" s="18"/>
      <c r="AM780" s="18"/>
      <c r="AN780" s="18"/>
      <c r="AO780" s="18"/>
      <c r="AP780" s="18"/>
      <c r="AQ780" s="18"/>
      <c r="AR780" s="18"/>
      <c r="AS780" s="18"/>
      <c r="AT780" s="18"/>
      <c r="AU780" s="91"/>
      <c r="AV780" s="18"/>
      <c r="AW780" s="18"/>
      <c r="AX780" s="18"/>
      <c r="AY780" s="17"/>
      <c r="AZ780" s="17"/>
      <c r="BA780" s="17"/>
      <c r="BB780" s="17"/>
      <c r="BC780" s="96"/>
      <c r="BD780" s="96"/>
      <c r="BE780" s="96"/>
      <c r="BF780" s="96"/>
      <c r="BG780" s="96"/>
      <c r="BH780" s="96"/>
      <c r="BI780" s="96"/>
    </row>
    <row r="781" spans="1:61" x14ac:dyDescent="0.45">
      <c r="A781" s="17"/>
      <c r="B781" s="17"/>
      <c r="C781" s="17"/>
      <c r="D781" s="17"/>
      <c r="E781" s="15"/>
      <c r="F781" s="17"/>
      <c r="G781" s="17"/>
      <c r="H781" s="3"/>
      <c r="I781" s="88"/>
      <c r="J781" s="88"/>
      <c r="K781" s="15"/>
      <c r="L781" s="96"/>
      <c r="M781" s="89"/>
      <c r="N781" s="88"/>
      <c r="O781" s="413"/>
      <c r="P781" s="18"/>
      <c r="Q781" s="91"/>
      <c r="R781" s="18"/>
      <c r="S781" s="18"/>
      <c r="T781" s="18"/>
      <c r="U781" s="18"/>
      <c r="V781" s="18"/>
      <c r="W781" s="18"/>
      <c r="X781" s="18"/>
      <c r="Y781" s="92"/>
      <c r="Z781" s="92"/>
      <c r="AA781" s="418"/>
      <c r="AB781" s="95"/>
      <c r="AC781" s="18"/>
      <c r="AD781" s="18"/>
      <c r="AE781" s="18"/>
      <c r="AF781" s="18"/>
      <c r="AG781" s="91"/>
      <c r="AH781" s="18"/>
      <c r="AI781" s="18"/>
      <c r="AJ781" s="18"/>
      <c r="AK781" s="18"/>
      <c r="AL781" s="18"/>
      <c r="AM781" s="18"/>
      <c r="AN781" s="18"/>
      <c r="AO781" s="18"/>
      <c r="AP781" s="18"/>
      <c r="AQ781" s="18"/>
      <c r="AR781" s="18"/>
      <c r="AS781" s="18"/>
      <c r="AT781" s="18"/>
      <c r="AU781" s="91"/>
      <c r="AV781" s="18"/>
      <c r="AW781" s="18"/>
      <c r="AX781" s="18"/>
      <c r="AY781" s="17"/>
      <c r="AZ781" s="17"/>
      <c r="BA781" s="17"/>
      <c r="BB781" s="17"/>
      <c r="BC781" s="96"/>
      <c r="BD781" s="96"/>
      <c r="BE781" s="96"/>
      <c r="BF781" s="96"/>
      <c r="BG781" s="96"/>
      <c r="BH781" s="96"/>
      <c r="BI781" s="96"/>
    </row>
    <row r="782" spans="1:61" x14ac:dyDescent="0.45">
      <c r="A782" s="17"/>
      <c r="B782" s="17"/>
      <c r="C782" s="17"/>
      <c r="D782" s="17"/>
      <c r="E782" s="15"/>
      <c r="F782" s="17"/>
      <c r="G782" s="17"/>
      <c r="H782" s="3"/>
      <c r="I782" s="88"/>
      <c r="J782" s="88"/>
      <c r="K782" s="15"/>
      <c r="L782" s="96"/>
      <c r="M782" s="89"/>
      <c r="N782" s="88"/>
      <c r="O782" s="413"/>
      <c r="P782" s="18"/>
      <c r="Q782" s="91"/>
      <c r="R782" s="18"/>
      <c r="S782" s="18"/>
      <c r="T782" s="18"/>
      <c r="U782" s="18"/>
      <c r="V782" s="18"/>
      <c r="W782" s="18"/>
      <c r="X782" s="18"/>
      <c r="Y782" s="92"/>
      <c r="Z782" s="92"/>
      <c r="AA782" s="418"/>
      <c r="AB782" s="95"/>
      <c r="AC782" s="18"/>
      <c r="AD782" s="18"/>
      <c r="AE782" s="18"/>
      <c r="AF782" s="18"/>
      <c r="AG782" s="91"/>
      <c r="AH782" s="18"/>
      <c r="AI782" s="18"/>
      <c r="AJ782" s="18"/>
      <c r="AK782" s="18"/>
      <c r="AL782" s="18"/>
      <c r="AM782" s="18"/>
      <c r="AN782" s="18"/>
      <c r="AO782" s="18"/>
      <c r="AP782" s="18"/>
      <c r="AQ782" s="18"/>
      <c r="AR782" s="18"/>
      <c r="AS782" s="18"/>
      <c r="AT782" s="18"/>
      <c r="AU782" s="91"/>
      <c r="AV782" s="18"/>
      <c r="AW782" s="18"/>
      <c r="AX782" s="18"/>
      <c r="AY782" s="17"/>
      <c r="AZ782" s="17"/>
      <c r="BA782" s="17"/>
      <c r="BB782" s="17"/>
      <c r="BC782" s="96"/>
      <c r="BD782" s="96"/>
      <c r="BE782" s="96"/>
      <c r="BF782" s="96"/>
      <c r="BG782" s="96"/>
      <c r="BH782" s="96"/>
      <c r="BI782" s="96"/>
    </row>
    <row r="783" spans="1:61" x14ac:dyDescent="0.45">
      <c r="A783" s="17"/>
      <c r="B783" s="17"/>
      <c r="C783" s="17"/>
      <c r="D783" s="17"/>
      <c r="E783" s="15"/>
      <c r="F783" s="17"/>
      <c r="G783" s="17"/>
      <c r="H783" s="3"/>
      <c r="I783" s="88"/>
      <c r="J783" s="88"/>
      <c r="K783" s="15"/>
      <c r="L783" s="96"/>
      <c r="M783" s="89"/>
      <c r="N783" s="88"/>
      <c r="O783" s="413"/>
      <c r="P783" s="18"/>
      <c r="Q783" s="91"/>
      <c r="R783" s="18"/>
      <c r="S783" s="18"/>
      <c r="T783" s="18"/>
      <c r="U783" s="18"/>
      <c r="V783" s="18"/>
      <c r="W783" s="18"/>
      <c r="X783" s="18"/>
      <c r="Y783" s="92"/>
      <c r="Z783" s="92"/>
      <c r="AA783" s="418"/>
      <c r="AB783" s="95"/>
      <c r="AC783" s="18"/>
      <c r="AD783" s="18"/>
      <c r="AE783" s="18"/>
      <c r="AF783" s="18"/>
      <c r="AG783" s="91"/>
      <c r="AH783" s="18"/>
      <c r="AI783" s="18"/>
      <c r="AJ783" s="18"/>
      <c r="AK783" s="18"/>
      <c r="AL783" s="18"/>
      <c r="AM783" s="18"/>
      <c r="AN783" s="18"/>
      <c r="AO783" s="18"/>
      <c r="AP783" s="18"/>
      <c r="AQ783" s="18"/>
      <c r="AR783" s="18"/>
      <c r="AS783" s="18"/>
      <c r="AT783" s="18"/>
      <c r="AU783" s="91"/>
      <c r="AV783" s="18"/>
      <c r="AW783" s="18"/>
      <c r="AX783" s="18"/>
      <c r="AY783" s="17"/>
      <c r="AZ783" s="17"/>
      <c r="BA783" s="17"/>
      <c r="BB783" s="17"/>
      <c r="BC783" s="96"/>
      <c r="BD783" s="96"/>
      <c r="BE783" s="96"/>
      <c r="BF783" s="96"/>
      <c r="BG783" s="96"/>
      <c r="BH783" s="96"/>
      <c r="BI783" s="96"/>
    </row>
    <row r="784" spans="1:61" x14ac:dyDescent="0.45">
      <c r="A784" s="17"/>
      <c r="B784" s="17"/>
      <c r="C784" s="17"/>
      <c r="D784" s="17"/>
      <c r="E784" s="15"/>
      <c r="F784" s="17"/>
      <c r="G784" s="17"/>
      <c r="H784" s="3"/>
      <c r="I784" s="88"/>
      <c r="J784" s="88"/>
      <c r="K784" s="15"/>
      <c r="L784" s="96"/>
      <c r="M784" s="89"/>
      <c r="N784" s="88"/>
      <c r="O784" s="413"/>
      <c r="P784" s="18"/>
      <c r="Q784" s="91"/>
      <c r="R784" s="18"/>
      <c r="S784" s="18"/>
      <c r="T784" s="18"/>
      <c r="U784" s="18"/>
      <c r="V784" s="18"/>
      <c r="W784" s="18"/>
      <c r="X784" s="18"/>
      <c r="Y784" s="92"/>
      <c r="Z784" s="92"/>
      <c r="AA784" s="418"/>
      <c r="AB784" s="95"/>
      <c r="AC784" s="18"/>
      <c r="AD784" s="18"/>
      <c r="AE784" s="18"/>
      <c r="AF784" s="18"/>
      <c r="AG784" s="91"/>
      <c r="AH784" s="18"/>
      <c r="AI784" s="18"/>
      <c r="AJ784" s="18"/>
      <c r="AK784" s="18"/>
      <c r="AL784" s="18"/>
      <c r="AM784" s="18"/>
      <c r="AN784" s="18"/>
      <c r="AO784" s="18"/>
      <c r="AP784" s="18"/>
      <c r="AQ784" s="18"/>
      <c r="AR784" s="18"/>
      <c r="AS784" s="18"/>
      <c r="AT784" s="18"/>
      <c r="AU784" s="91"/>
      <c r="AV784" s="18"/>
      <c r="AW784" s="18"/>
      <c r="AX784" s="18"/>
      <c r="AY784" s="17"/>
      <c r="AZ784" s="17"/>
      <c r="BA784" s="17"/>
      <c r="BB784" s="17"/>
      <c r="BC784" s="96"/>
      <c r="BD784" s="96"/>
      <c r="BE784" s="96"/>
      <c r="BF784" s="96"/>
      <c r="BG784" s="96"/>
      <c r="BH784" s="96"/>
      <c r="BI784" s="96"/>
    </row>
    <row r="785" spans="1:61" x14ac:dyDescent="0.45">
      <c r="A785" s="17"/>
      <c r="B785" s="17"/>
      <c r="C785" s="17"/>
      <c r="D785" s="17"/>
      <c r="E785" s="15"/>
      <c r="F785" s="17"/>
      <c r="G785" s="17"/>
      <c r="H785" s="3"/>
      <c r="I785" s="88"/>
      <c r="J785" s="88"/>
      <c r="K785" s="15"/>
      <c r="L785" s="96"/>
      <c r="M785" s="89"/>
      <c r="N785" s="88"/>
      <c r="O785" s="413"/>
      <c r="P785" s="18"/>
      <c r="Q785" s="91"/>
      <c r="R785" s="18"/>
      <c r="S785" s="18"/>
      <c r="T785" s="18"/>
      <c r="U785" s="18"/>
      <c r="V785" s="18"/>
      <c r="W785" s="18"/>
      <c r="X785" s="18"/>
      <c r="Y785" s="92"/>
      <c r="Z785" s="92"/>
      <c r="AA785" s="418"/>
      <c r="AB785" s="95"/>
      <c r="AC785" s="18"/>
      <c r="AD785" s="18"/>
      <c r="AE785" s="18"/>
      <c r="AF785" s="18"/>
      <c r="AG785" s="91"/>
      <c r="AH785" s="18"/>
      <c r="AI785" s="18"/>
      <c r="AJ785" s="18"/>
      <c r="AK785" s="18"/>
      <c r="AL785" s="18"/>
      <c r="AM785" s="18"/>
      <c r="AN785" s="18"/>
      <c r="AO785" s="18"/>
      <c r="AP785" s="18"/>
      <c r="AQ785" s="18"/>
      <c r="AR785" s="18"/>
      <c r="AS785" s="18"/>
      <c r="AT785" s="18"/>
      <c r="AU785" s="91"/>
      <c r="AV785" s="18"/>
      <c r="AW785" s="18"/>
      <c r="AX785" s="18"/>
      <c r="AY785" s="17"/>
      <c r="AZ785" s="17"/>
      <c r="BA785" s="17"/>
      <c r="BB785" s="17"/>
      <c r="BC785" s="96"/>
      <c r="BD785" s="96"/>
      <c r="BE785" s="96"/>
      <c r="BF785" s="96"/>
      <c r="BG785" s="96"/>
      <c r="BH785" s="96"/>
      <c r="BI785" s="96"/>
    </row>
    <row r="786" spans="1:61" x14ac:dyDescent="0.45">
      <c r="A786" s="17"/>
      <c r="B786" s="17"/>
      <c r="C786" s="17"/>
      <c r="D786" s="17"/>
      <c r="E786" s="15"/>
      <c r="F786" s="17"/>
      <c r="G786" s="17"/>
      <c r="H786" s="3"/>
      <c r="I786" s="88"/>
      <c r="J786" s="88"/>
      <c r="K786" s="15"/>
      <c r="L786" s="96"/>
      <c r="M786" s="89"/>
      <c r="N786" s="88"/>
      <c r="O786" s="413"/>
      <c r="P786" s="18"/>
      <c r="Q786" s="91"/>
      <c r="R786" s="18"/>
      <c r="S786" s="18"/>
      <c r="T786" s="18"/>
      <c r="U786" s="18"/>
      <c r="V786" s="18"/>
      <c r="W786" s="18"/>
      <c r="X786" s="18"/>
      <c r="Y786" s="92"/>
      <c r="Z786" s="92"/>
      <c r="AA786" s="418"/>
      <c r="AB786" s="95"/>
      <c r="AC786" s="18"/>
      <c r="AD786" s="18"/>
      <c r="AE786" s="18"/>
      <c r="AF786" s="18"/>
      <c r="AG786" s="91"/>
      <c r="AH786" s="18"/>
      <c r="AI786" s="18"/>
      <c r="AJ786" s="18"/>
      <c r="AK786" s="18"/>
      <c r="AL786" s="18"/>
      <c r="AM786" s="18"/>
      <c r="AN786" s="18"/>
      <c r="AO786" s="18"/>
      <c r="AP786" s="18"/>
      <c r="AQ786" s="18"/>
      <c r="AR786" s="18"/>
      <c r="AS786" s="18"/>
      <c r="AT786" s="18"/>
      <c r="AU786" s="91"/>
      <c r="AV786" s="18"/>
      <c r="AW786" s="18"/>
      <c r="AX786" s="18"/>
      <c r="AY786" s="17"/>
      <c r="AZ786" s="17"/>
      <c r="BA786" s="17"/>
      <c r="BB786" s="17"/>
      <c r="BC786" s="96"/>
      <c r="BD786" s="96"/>
      <c r="BE786" s="96"/>
      <c r="BF786" s="96"/>
      <c r="BG786" s="96"/>
      <c r="BH786" s="96"/>
      <c r="BI786" s="96"/>
    </row>
    <row r="787" spans="1:61" x14ac:dyDescent="0.45">
      <c r="A787" s="17"/>
      <c r="B787" s="17"/>
      <c r="C787" s="17"/>
      <c r="D787" s="17"/>
      <c r="E787" s="15"/>
      <c r="F787" s="17"/>
      <c r="G787" s="17"/>
      <c r="H787" s="3"/>
      <c r="I787" s="88"/>
      <c r="J787" s="88"/>
      <c r="K787" s="15"/>
      <c r="L787" s="96"/>
      <c r="M787" s="89"/>
      <c r="N787" s="88"/>
      <c r="O787" s="413"/>
      <c r="P787" s="18"/>
      <c r="Q787" s="91"/>
      <c r="R787" s="18"/>
      <c r="S787" s="18"/>
      <c r="T787" s="18"/>
      <c r="U787" s="18"/>
      <c r="V787" s="18"/>
      <c r="W787" s="18"/>
      <c r="X787" s="18"/>
      <c r="Y787" s="92"/>
      <c r="Z787" s="92"/>
      <c r="AA787" s="418"/>
      <c r="AB787" s="95"/>
      <c r="AC787" s="18"/>
      <c r="AD787" s="18"/>
      <c r="AE787" s="18"/>
      <c r="AF787" s="18"/>
      <c r="AG787" s="91"/>
      <c r="AH787" s="18"/>
      <c r="AI787" s="18"/>
      <c r="AJ787" s="18"/>
      <c r="AK787" s="18"/>
      <c r="AL787" s="18"/>
      <c r="AM787" s="18"/>
      <c r="AN787" s="18"/>
      <c r="AO787" s="18"/>
      <c r="AP787" s="18"/>
      <c r="AQ787" s="18"/>
      <c r="AR787" s="18"/>
      <c r="AS787" s="18"/>
      <c r="AT787" s="18"/>
      <c r="AU787" s="91"/>
      <c r="AV787" s="18"/>
      <c r="AW787" s="18"/>
      <c r="AX787" s="18"/>
      <c r="AY787" s="17"/>
      <c r="AZ787" s="17"/>
      <c r="BA787" s="17"/>
      <c r="BB787" s="17"/>
      <c r="BC787" s="96"/>
      <c r="BD787" s="96"/>
      <c r="BE787" s="96"/>
      <c r="BF787" s="96"/>
      <c r="BG787" s="96"/>
      <c r="BH787" s="96"/>
      <c r="BI787" s="96"/>
    </row>
    <row r="788" spans="1:61" x14ac:dyDescent="0.45">
      <c r="A788" s="17"/>
      <c r="B788" s="17"/>
      <c r="C788" s="17"/>
      <c r="D788" s="17"/>
      <c r="E788" s="15"/>
      <c r="F788" s="17"/>
      <c r="G788" s="17"/>
      <c r="H788" s="3"/>
      <c r="I788" s="88"/>
      <c r="J788" s="88"/>
      <c r="K788" s="15"/>
      <c r="L788" s="96"/>
      <c r="M788" s="89"/>
      <c r="N788" s="88"/>
      <c r="O788" s="413"/>
      <c r="P788" s="18"/>
      <c r="Q788" s="91"/>
      <c r="R788" s="18"/>
      <c r="S788" s="18"/>
      <c r="T788" s="18"/>
      <c r="U788" s="18"/>
      <c r="V788" s="18"/>
      <c r="W788" s="18"/>
      <c r="X788" s="18"/>
      <c r="Y788" s="92"/>
      <c r="Z788" s="92"/>
      <c r="AA788" s="418"/>
      <c r="AB788" s="95"/>
      <c r="AC788" s="18"/>
      <c r="AD788" s="18"/>
      <c r="AE788" s="18"/>
      <c r="AF788" s="18"/>
      <c r="AG788" s="91"/>
      <c r="AH788" s="18"/>
      <c r="AI788" s="18"/>
      <c r="AJ788" s="18"/>
      <c r="AK788" s="18"/>
      <c r="AL788" s="18"/>
      <c r="AM788" s="18"/>
      <c r="AN788" s="18"/>
      <c r="AO788" s="18"/>
      <c r="AP788" s="18"/>
      <c r="AQ788" s="18"/>
      <c r="AR788" s="18"/>
      <c r="AS788" s="18"/>
      <c r="AT788" s="18"/>
      <c r="AU788" s="91"/>
      <c r="AV788" s="18"/>
      <c r="AW788" s="18"/>
      <c r="AX788" s="18"/>
      <c r="AY788" s="17"/>
      <c r="AZ788" s="17"/>
      <c r="BA788" s="17"/>
      <c r="BB788" s="17"/>
      <c r="BC788" s="96"/>
      <c r="BD788" s="96"/>
      <c r="BE788" s="96"/>
      <c r="BF788" s="96"/>
      <c r="BG788" s="96"/>
      <c r="BH788" s="96"/>
      <c r="BI788" s="96"/>
    </row>
    <row r="789" spans="1:61" x14ac:dyDescent="0.45">
      <c r="A789" s="17"/>
      <c r="B789" s="17"/>
      <c r="C789" s="17"/>
      <c r="D789" s="17"/>
      <c r="E789" s="15"/>
      <c r="F789" s="17"/>
      <c r="G789" s="17"/>
      <c r="H789" s="3"/>
      <c r="I789" s="88"/>
      <c r="J789" s="88"/>
      <c r="K789" s="15"/>
      <c r="L789" s="96"/>
      <c r="M789" s="89"/>
      <c r="N789" s="88"/>
      <c r="O789" s="413"/>
      <c r="P789" s="18"/>
      <c r="Q789" s="91"/>
      <c r="R789" s="18"/>
      <c r="S789" s="18"/>
      <c r="T789" s="18"/>
      <c r="U789" s="18"/>
      <c r="V789" s="18"/>
      <c r="W789" s="18"/>
      <c r="X789" s="18"/>
      <c r="Y789" s="92"/>
      <c r="Z789" s="92"/>
      <c r="AA789" s="418"/>
      <c r="AB789" s="95"/>
      <c r="AC789" s="18"/>
      <c r="AD789" s="18"/>
      <c r="AE789" s="18"/>
      <c r="AF789" s="18"/>
      <c r="AG789" s="91"/>
      <c r="AH789" s="18"/>
      <c r="AI789" s="18"/>
      <c r="AJ789" s="18"/>
      <c r="AK789" s="18"/>
      <c r="AL789" s="18"/>
      <c r="AM789" s="18"/>
      <c r="AN789" s="18"/>
      <c r="AO789" s="18"/>
      <c r="AP789" s="18"/>
      <c r="AQ789" s="18"/>
      <c r="AR789" s="18"/>
      <c r="AS789" s="18"/>
      <c r="AT789" s="18"/>
      <c r="AU789" s="91"/>
      <c r="AV789" s="18"/>
      <c r="AW789" s="18"/>
      <c r="AX789" s="18"/>
      <c r="AY789" s="17"/>
      <c r="AZ789" s="17"/>
      <c r="BA789" s="17"/>
      <c r="BB789" s="17"/>
      <c r="BC789" s="96"/>
      <c r="BD789" s="96"/>
      <c r="BE789" s="96"/>
      <c r="BF789" s="96"/>
      <c r="BG789" s="96"/>
      <c r="BH789" s="96"/>
      <c r="BI789" s="96"/>
    </row>
    <row r="790" spans="1:61" x14ac:dyDescent="0.45">
      <c r="A790" s="17"/>
      <c r="B790" s="17"/>
      <c r="C790" s="17"/>
      <c r="D790" s="17"/>
      <c r="E790" s="15"/>
      <c r="F790" s="17"/>
      <c r="G790" s="17"/>
      <c r="H790" s="3"/>
      <c r="I790" s="88"/>
      <c r="J790" s="88"/>
      <c r="K790" s="15"/>
      <c r="L790" s="96"/>
      <c r="M790" s="89"/>
      <c r="N790" s="88"/>
      <c r="O790" s="413"/>
      <c r="P790" s="18"/>
      <c r="Q790" s="91"/>
      <c r="R790" s="18"/>
      <c r="S790" s="18"/>
      <c r="T790" s="18"/>
      <c r="U790" s="18"/>
      <c r="V790" s="18"/>
      <c r="W790" s="18"/>
      <c r="X790" s="18"/>
      <c r="Y790" s="92"/>
      <c r="Z790" s="92"/>
      <c r="AA790" s="418"/>
      <c r="AB790" s="95"/>
      <c r="AC790" s="18"/>
      <c r="AD790" s="18"/>
      <c r="AE790" s="18"/>
      <c r="AF790" s="18"/>
      <c r="AG790" s="91"/>
      <c r="AH790" s="18"/>
      <c r="AI790" s="18"/>
      <c r="AJ790" s="18"/>
      <c r="AK790" s="18"/>
      <c r="AL790" s="18"/>
      <c r="AM790" s="18"/>
      <c r="AN790" s="18"/>
      <c r="AO790" s="18"/>
      <c r="AP790" s="18"/>
      <c r="AQ790" s="18"/>
      <c r="AR790" s="18"/>
      <c r="AS790" s="18"/>
      <c r="AT790" s="18"/>
      <c r="AU790" s="91"/>
      <c r="AV790" s="18"/>
      <c r="AW790" s="18"/>
      <c r="AX790" s="18"/>
      <c r="AY790" s="17"/>
      <c r="AZ790" s="17"/>
      <c r="BA790" s="17"/>
      <c r="BB790" s="17"/>
      <c r="BC790" s="96"/>
      <c r="BD790" s="96"/>
      <c r="BE790" s="96"/>
      <c r="BF790" s="96"/>
      <c r="BG790" s="96"/>
      <c r="BH790" s="96"/>
      <c r="BI790" s="96"/>
    </row>
    <row r="791" spans="1:61" x14ac:dyDescent="0.45">
      <c r="A791" s="17"/>
      <c r="B791" s="17"/>
      <c r="C791" s="17"/>
      <c r="D791" s="17"/>
      <c r="E791" s="15"/>
      <c r="F791" s="17"/>
      <c r="G791" s="17"/>
      <c r="H791" s="3"/>
      <c r="I791" s="88"/>
      <c r="J791" s="88"/>
      <c r="K791" s="15"/>
      <c r="L791" s="96"/>
      <c r="M791" s="89"/>
      <c r="N791" s="88"/>
      <c r="O791" s="413"/>
      <c r="P791" s="18"/>
      <c r="Q791" s="91"/>
      <c r="R791" s="18"/>
      <c r="S791" s="18"/>
      <c r="T791" s="18"/>
      <c r="U791" s="18"/>
      <c r="V791" s="18"/>
      <c r="W791" s="18"/>
      <c r="X791" s="18"/>
      <c r="Y791" s="92"/>
      <c r="Z791" s="92"/>
      <c r="AA791" s="418"/>
      <c r="AB791" s="95"/>
      <c r="AC791" s="18"/>
      <c r="AD791" s="18"/>
      <c r="AE791" s="18"/>
      <c r="AF791" s="18"/>
      <c r="AG791" s="91"/>
      <c r="AH791" s="18"/>
      <c r="AI791" s="18"/>
      <c r="AJ791" s="18"/>
      <c r="AK791" s="18"/>
      <c r="AL791" s="18"/>
      <c r="AM791" s="18"/>
      <c r="AN791" s="18"/>
      <c r="AO791" s="18"/>
      <c r="AP791" s="18"/>
      <c r="AQ791" s="18"/>
      <c r="AR791" s="18"/>
      <c r="AS791" s="18"/>
      <c r="AT791" s="18"/>
      <c r="AU791" s="91"/>
      <c r="AV791" s="18"/>
      <c r="AW791" s="18"/>
      <c r="AX791" s="18"/>
      <c r="AY791" s="17"/>
      <c r="AZ791" s="17"/>
      <c r="BA791" s="17"/>
      <c r="BB791" s="17"/>
      <c r="BC791" s="96"/>
      <c r="BD791" s="96"/>
      <c r="BE791" s="96"/>
      <c r="BF791" s="96"/>
      <c r="BG791" s="96"/>
      <c r="BH791" s="96"/>
      <c r="BI791" s="96"/>
    </row>
    <row r="792" spans="1:61" x14ac:dyDescent="0.45">
      <c r="A792" s="17"/>
      <c r="B792" s="17"/>
      <c r="C792" s="17"/>
      <c r="D792" s="17"/>
      <c r="E792" s="15"/>
      <c r="F792" s="17"/>
      <c r="G792" s="17"/>
      <c r="H792" s="3"/>
      <c r="I792" s="88"/>
      <c r="J792" s="88"/>
      <c r="K792" s="15"/>
      <c r="L792" s="96"/>
      <c r="M792" s="89"/>
      <c r="N792" s="88"/>
      <c r="O792" s="413"/>
      <c r="P792" s="18"/>
      <c r="Q792" s="91"/>
      <c r="R792" s="18"/>
      <c r="S792" s="18"/>
      <c r="T792" s="18"/>
      <c r="U792" s="18"/>
      <c r="V792" s="18"/>
      <c r="W792" s="18"/>
      <c r="X792" s="18"/>
      <c r="Y792" s="92"/>
      <c r="Z792" s="92"/>
      <c r="AA792" s="418"/>
      <c r="AB792" s="95"/>
      <c r="AC792" s="18"/>
      <c r="AD792" s="18"/>
      <c r="AE792" s="18"/>
      <c r="AF792" s="18"/>
      <c r="AG792" s="91"/>
      <c r="AH792" s="18"/>
      <c r="AI792" s="18"/>
      <c r="AJ792" s="18"/>
      <c r="AK792" s="18"/>
      <c r="AL792" s="18"/>
      <c r="AM792" s="18"/>
      <c r="AN792" s="18"/>
      <c r="AO792" s="18"/>
      <c r="AP792" s="18"/>
      <c r="AQ792" s="18"/>
      <c r="AR792" s="18"/>
      <c r="AS792" s="18"/>
      <c r="AT792" s="18"/>
      <c r="AU792" s="91"/>
      <c r="AV792" s="18"/>
      <c r="AW792" s="18"/>
      <c r="AX792" s="18"/>
      <c r="AY792" s="17"/>
      <c r="AZ792" s="17"/>
      <c r="BA792" s="17"/>
      <c r="BB792" s="17"/>
      <c r="BC792" s="96"/>
      <c r="BD792" s="96"/>
      <c r="BE792" s="96"/>
      <c r="BF792" s="96"/>
      <c r="BG792" s="96"/>
      <c r="BH792" s="96"/>
      <c r="BI792" s="96"/>
    </row>
    <row r="793" spans="1:61" x14ac:dyDescent="0.45">
      <c r="A793" s="17"/>
      <c r="B793" s="17"/>
      <c r="C793" s="17"/>
      <c r="D793" s="17"/>
      <c r="E793" s="15"/>
      <c r="F793" s="17"/>
      <c r="G793" s="17"/>
      <c r="H793" s="3"/>
      <c r="I793" s="88"/>
      <c r="J793" s="88"/>
      <c r="K793" s="15"/>
      <c r="L793" s="96"/>
      <c r="M793" s="89"/>
      <c r="N793" s="88"/>
      <c r="O793" s="413"/>
      <c r="P793" s="18"/>
      <c r="Q793" s="91"/>
      <c r="R793" s="18"/>
      <c r="S793" s="18"/>
      <c r="T793" s="18"/>
      <c r="U793" s="18"/>
      <c r="V793" s="18"/>
      <c r="W793" s="18"/>
      <c r="X793" s="18"/>
      <c r="Y793" s="92"/>
      <c r="Z793" s="92"/>
      <c r="AA793" s="418"/>
      <c r="AB793" s="95"/>
      <c r="AC793" s="18"/>
      <c r="AD793" s="18"/>
      <c r="AE793" s="18"/>
      <c r="AF793" s="18"/>
      <c r="AG793" s="91"/>
      <c r="AH793" s="18"/>
      <c r="AI793" s="18"/>
      <c r="AJ793" s="18"/>
      <c r="AK793" s="18"/>
      <c r="AL793" s="18"/>
      <c r="AM793" s="18"/>
      <c r="AN793" s="18"/>
      <c r="AO793" s="18"/>
      <c r="AP793" s="18"/>
      <c r="AQ793" s="18"/>
      <c r="AR793" s="18"/>
      <c r="AS793" s="18"/>
      <c r="AT793" s="18"/>
      <c r="AU793" s="91"/>
      <c r="AV793" s="18"/>
      <c r="AW793" s="18"/>
      <c r="AX793" s="18"/>
      <c r="AY793" s="17"/>
      <c r="AZ793" s="17"/>
      <c r="BA793" s="17"/>
      <c r="BB793" s="17"/>
      <c r="BC793" s="96"/>
      <c r="BD793" s="96"/>
      <c r="BE793" s="96"/>
      <c r="BF793" s="96"/>
      <c r="BG793" s="96"/>
      <c r="BH793" s="96"/>
      <c r="BI793" s="96"/>
    </row>
    <row r="794" spans="1:61" x14ac:dyDescent="0.45">
      <c r="A794" s="17"/>
      <c r="B794" s="17"/>
      <c r="C794" s="17"/>
      <c r="D794" s="17"/>
      <c r="E794" s="15"/>
      <c r="F794" s="17"/>
      <c r="G794" s="17"/>
      <c r="H794" s="3"/>
      <c r="I794" s="88"/>
      <c r="J794" s="88"/>
      <c r="K794" s="15"/>
      <c r="L794" s="96"/>
      <c r="M794" s="89"/>
      <c r="N794" s="88"/>
      <c r="O794" s="413"/>
      <c r="P794" s="18"/>
      <c r="Q794" s="91"/>
      <c r="R794" s="18"/>
      <c r="S794" s="18"/>
      <c r="T794" s="18"/>
      <c r="U794" s="18"/>
      <c r="V794" s="18"/>
      <c r="W794" s="18"/>
      <c r="X794" s="18"/>
      <c r="Y794" s="92"/>
      <c r="Z794" s="92"/>
      <c r="AA794" s="418"/>
      <c r="AB794" s="95"/>
      <c r="AC794" s="18"/>
      <c r="AD794" s="18"/>
      <c r="AE794" s="18"/>
      <c r="AF794" s="18"/>
      <c r="AG794" s="91"/>
      <c r="AH794" s="18"/>
      <c r="AI794" s="18"/>
      <c r="AJ794" s="18"/>
      <c r="AK794" s="18"/>
      <c r="AL794" s="18"/>
      <c r="AM794" s="18"/>
      <c r="AN794" s="18"/>
      <c r="AO794" s="18"/>
      <c r="AP794" s="18"/>
      <c r="AQ794" s="18"/>
      <c r="AR794" s="18"/>
      <c r="AS794" s="18"/>
      <c r="AT794" s="18"/>
      <c r="AU794" s="91"/>
      <c r="AV794" s="18"/>
      <c r="AW794" s="18"/>
      <c r="AX794" s="18"/>
      <c r="AY794" s="17"/>
      <c r="AZ794" s="17"/>
      <c r="BA794" s="17"/>
      <c r="BB794" s="17"/>
      <c r="BC794" s="96"/>
      <c r="BD794" s="96"/>
      <c r="BE794" s="96"/>
      <c r="BF794" s="96"/>
      <c r="BG794" s="96"/>
      <c r="BH794" s="96"/>
      <c r="BI794" s="96"/>
    </row>
    <row r="795" spans="1:61" x14ac:dyDescent="0.45">
      <c r="A795" s="17"/>
      <c r="B795" s="17"/>
      <c r="C795" s="17"/>
      <c r="D795" s="17"/>
      <c r="E795" s="15"/>
      <c r="F795" s="17"/>
      <c r="G795" s="17"/>
      <c r="H795" s="3"/>
      <c r="I795" s="88"/>
      <c r="J795" s="88"/>
      <c r="K795" s="15"/>
      <c r="L795" s="96"/>
      <c r="M795" s="89"/>
      <c r="N795" s="88"/>
      <c r="O795" s="413"/>
      <c r="P795" s="18"/>
      <c r="Q795" s="91"/>
      <c r="R795" s="18"/>
      <c r="S795" s="18"/>
      <c r="T795" s="18"/>
      <c r="U795" s="18"/>
      <c r="V795" s="18"/>
      <c r="W795" s="18"/>
      <c r="X795" s="18"/>
      <c r="Y795" s="92"/>
      <c r="Z795" s="92"/>
      <c r="AA795" s="418"/>
      <c r="AB795" s="95"/>
      <c r="AC795" s="18"/>
      <c r="AD795" s="18"/>
      <c r="AE795" s="18"/>
      <c r="AF795" s="18"/>
      <c r="AG795" s="91"/>
      <c r="AH795" s="18"/>
      <c r="AI795" s="18"/>
      <c r="AJ795" s="18"/>
      <c r="AK795" s="18"/>
      <c r="AL795" s="18"/>
      <c r="AM795" s="18"/>
      <c r="AN795" s="18"/>
      <c r="AO795" s="18"/>
      <c r="AP795" s="18"/>
      <c r="AQ795" s="18"/>
      <c r="AR795" s="18"/>
      <c r="AS795" s="18"/>
      <c r="AT795" s="18"/>
      <c r="AU795" s="91"/>
      <c r="AV795" s="18"/>
      <c r="AW795" s="18"/>
      <c r="AX795" s="18"/>
      <c r="AY795" s="17"/>
      <c r="AZ795" s="17"/>
      <c r="BA795" s="17"/>
      <c r="BB795" s="17"/>
      <c r="BC795" s="96"/>
      <c r="BD795" s="96"/>
      <c r="BE795" s="96"/>
      <c r="BF795" s="96"/>
      <c r="BG795" s="96"/>
      <c r="BH795" s="96"/>
      <c r="BI795" s="96"/>
    </row>
    <row r="796" spans="1:61" x14ac:dyDescent="0.45">
      <c r="A796" s="17"/>
      <c r="B796" s="17"/>
      <c r="C796" s="17"/>
      <c r="D796" s="17"/>
      <c r="E796" s="15"/>
      <c r="F796" s="17"/>
      <c r="G796" s="17"/>
      <c r="H796" s="3"/>
      <c r="I796" s="88"/>
      <c r="J796" s="88"/>
      <c r="K796" s="15"/>
      <c r="L796" s="96"/>
      <c r="M796" s="89"/>
      <c r="N796" s="88"/>
      <c r="O796" s="413"/>
      <c r="P796" s="18"/>
      <c r="Q796" s="91"/>
      <c r="R796" s="18"/>
      <c r="S796" s="18"/>
      <c r="T796" s="18"/>
      <c r="U796" s="18"/>
      <c r="V796" s="18"/>
      <c r="W796" s="18"/>
      <c r="X796" s="18"/>
      <c r="Y796" s="92"/>
      <c r="Z796" s="92"/>
      <c r="AA796" s="418"/>
      <c r="AB796" s="95"/>
      <c r="AC796" s="18"/>
      <c r="AD796" s="18"/>
      <c r="AE796" s="18"/>
      <c r="AF796" s="18"/>
      <c r="AG796" s="91"/>
      <c r="AH796" s="18"/>
      <c r="AI796" s="18"/>
      <c r="AJ796" s="18"/>
      <c r="AK796" s="18"/>
      <c r="AL796" s="18"/>
      <c r="AM796" s="18"/>
      <c r="AN796" s="18"/>
      <c r="AO796" s="18"/>
      <c r="AP796" s="18"/>
      <c r="AQ796" s="18"/>
      <c r="AR796" s="18"/>
      <c r="AS796" s="18"/>
      <c r="AT796" s="18"/>
      <c r="AU796" s="91"/>
      <c r="AV796" s="18"/>
      <c r="AW796" s="18"/>
      <c r="AX796" s="18"/>
      <c r="AY796" s="17"/>
      <c r="AZ796" s="17"/>
      <c r="BA796" s="17"/>
      <c r="BB796" s="17"/>
      <c r="BC796" s="96"/>
      <c r="BD796" s="96"/>
      <c r="BE796" s="96"/>
      <c r="BF796" s="96"/>
      <c r="BG796" s="96"/>
      <c r="BH796" s="96"/>
      <c r="BI796" s="96"/>
    </row>
    <row r="797" spans="1:61" x14ac:dyDescent="0.45">
      <c r="A797" s="17"/>
      <c r="B797" s="17"/>
      <c r="C797" s="17"/>
      <c r="D797" s="17"/>
      <c r="E797" s="15"/>
      <c r="F797" s="17"/>
      <c r="G797" s="17"/>
      <c r="H797" s="3"/>
      <c r="I797" s="88"/>
      <c r="J797" s="88"/>
      <c r="K797" s="15"/>
      <c r="L797" s="96"/>
      <c r="M797" s="89"/>
      <c r="N797" s="88"/>
      <c r="O797" s="413"/>
      <c r="P797" s="18"/>
      <c r="Q797" s="91"/>
      <c r="R797" s="18"/>
      <c r="S797" s="18"/>
      <c r="T797" s="18"/>
      <c r="U797" s="18"/>
      <c r="V797" s="18"/>
      <c r="W797" s="18"/>
      <c r="X797" s="18"/>
      <c r="Y797" s="92"/>
      <c r="Z797" s="92"/>
      <c r="AA797" s="418"/>
      <c r="AB797" s="95"/>
      <c r="AC797" s="18"/>
      <c r="AD797" s="18"/>
      <c r="AE797" s="18"/>
      <c r="AF797" s="18"/>
      <c r="AG797" s="91"/>
      <c r="AH797" s="18"/>
      <c r="AI797" s="18"/>
      <c r="AJ797" s="18"/>
      <c r="AK797" s="18"/>
      <c r="AL797" s="18"/>
      <c r="AM797" s="18"/>
      <c r="AN797" s="18"/>
      <c r="AO797" s="18"/>
      <c r="AP797" s="18"/>
      <c r="AQ797" s="18"/>
      <c r="AR797" s="18"/>
      <c r="AS797" s="18"/>
      <c r="AT797" s="18"/>
      <c r="AU797" s="91"/>
      <c r="AV797" s="18"/>
      <c r="AW797" s="18"/>
      <c r="AX797" s="18"/>
      <c r="AY797" s="17"/>
      <c r="AZ797" s="17"/>
      <c r="BA797" s="17"/>
      <c r="BB797" s="17"/>
      <c r="BC797" s="96"/>
      <c r="BD797" s="96"/>
      <c r="BE797" s="96"/>
      <c r="BF797" s="96"/>
      <c r="BG797" s="96"/>
      <c r="BH797" s="96"/>
      <c r="BI797" s="96"/>
    </row>
    <row r="798" spans="1:61" x14ac:dyDescent="0.45">
      <c r="A798" s="17"/>
      <c r="B798" s="17"/>
      <c r="C798" s="17"/>
      <c r="D798" s="17"/>
      <c r="E798" s="15"/>
      <c r="F798" s="17"/>
      <c r="G798" s="17"/>
      <c r="H798" s="3"/>
      <c r="I798" s="88"/>
      <c r="J798" s="88"/>
      <c r="K798" s="15"/>
      <c r="L798" s="96"/>
      <c r="M798" s="89"/>
      <c r="N798" s="88"/>
      <c r="O798" s="413"/>
      <c r="P798" s="18"/>
      <c r="Q798" s="91"/>
      <c r="R798" s="18"/>
      <c r="S798" s="18"/>
      <c r="T798" s="18"/>
      <c r="U798" s="18"/>
      <c r="V798" s="18"/>
      <c r="W798" s="18"/>
      <c r="X798" s="18"/>
      <c r="Y798" s="92"/>
      <c r="Z798" s="92"/>
      <c r="AA798" s="418"/>
      <c r="AB798" s="95"/>
      <c r="AC798" s="18"/>
      <c r="AD798" s="18"/>
      <c r="AE798" s="18"/>
      <c r="AF798" s="18"/>
      <c r="AG798" s="91"/>
      <c r="AH798" s="18"/>
      <c r="AI798" s="18"/>
      <c r="AJ798" s="18"/>
      <c r="AK798" s="18"/>
      <c r="AL798" s="18"/>
      <c r="AM798" s="18"/>
      <c r="AN798" s="18"/>
      <c r="AO798" s="18"/>
      <c r="AP798" s="18"/>
      <c r="AQ798" s="18"/>
      <c r="AR798" s="18"/>
      <c r="AS798" s="18"/>
      <c r="AT798" s="18"/>
      <c r="AU798" s="91"/>
      <c r="AV798" s="18"/>
      <c r="AW798" s="18"/>
      <c r="AX798" s="18"/>
      <c r="AY798" s="17"/>
      <c r="AZ798" s="17"/>
      <c r="BA798" s="17"/>
      <c r="BB798" s="17"/>
      <c r="BC798" s="96"/>
      <c r="BD798" s="96"/>
      <c r="BE798" s="96"/>
      <c r="BF798" s="96"/>
      <c r="BG798" s="96"/>
      <c r="BH798" s="96"/>
      <c r="BI798" s="96"/>
    </row>
    <row r="799" spans="1:61" x14ac:dyDescent="0.45">
      <c r="A799" s="17"/>
      <c r="B799" s="17"/>
      <c r="C799" s="17"/>
      <c r="D799" s="17"/>
      <c r="E799" s="15"/>
      <c r="F799" s="17"/>
      <c r="G799" s="17"/>
      <c r="H799" s="3"/>
      <c r="I799" s="88"/>
      <c r="J799" s="88"/>
      <c r="K799" s="15"/>
      <c r="L799" s="96"/>
      <c r="M799" s="89"/>
      <c r="N799" s="88"/>
      <c r="O799" s="413"/>
      <c r="P799" s="18"/>
      <c r="Q799" s="91"/>
      <c r="R799" s="18"/>
      <c r="S799" s="18"/>
      <c r="T799" s="18"/>
      <c r="U799" s="18"/>
      <c r="V799" s="18"/>
      <c r="W799" s="18"/>
      <c r="X799" s="18"/>
      <c r="Y799" s="92"/>
      <c r="Z799" s="92"/>
      <c r="AA799" s="418"/>
      <c r="AB799" s="95"/>
      <c r="AC799" s="18"/>
      <c r="AD799" s="18"/>
      <c r="AE799" s="18"/>
      <c r="AF799" s="18"/>
      <c r="AG799" s="91"/>
      <c r="AH799" s="18"/>
      <c r="AI799" s="18"/>
      <c r="AJ799" s="18"/>
      <c r="AK799" s="18"/>
      <c r="AL799" s="18"/>
      <c r="AM799" s="18"/>
      <c r="AN799" s="18"/>
      <c r="AO799" s="18"/>
      <c r="AP799" s="18"/>
      <c r="AQ799" s="18"/>
      <c r="AR799" s="18"/>
      <c r="AS799" s="18"/>
      <c r="AT799" s="18"/>
      <c r="AU799" s="91"/>
      <c r="AV799" s="18"/>
      <c r="AW799" s="18"/>
      <c r="AX799" s="18"/>
      <c r="AY799" s="17"/>
      <c r="AZ799" s="17"/>
      <c r="BA799" s="17"/>
      <c r="BB799" s="17"/>
      <c r="BC799" s="96"/>
      <c r="BD799" s="96"/>
      <c r="BE799" s="96"/>
      <c r="BF799" s="96"/>
      <c r="BG799" s="96"/>
      <c r="BH799" s="96"/>
      <c r="BI799" s="96"/>
    </row>
    <row r="800" spans="1:61" x14ac:dyDescent="0.45">
      <c r="A800" s="17"/>
      <c r="B800" s="17"/>
      <c r="C800" s="17"/>
      <c r="D800" s="17"/>
      <c r="E800" s="15"/>
      <c r="F800" s="17"/>
      <c r="G800" s="17"/>
      <c r="H800" s="3"/>
      <c r="I800" s="88"/>
      <c r="J800" s="88"/>
      <c r="K800" s="15"/>
      <c r="L800" s="96"/>
      <c r="M800" s="89"/>
      <c r="N800" s="88"/>
      <c r="O800" s="413"/>
      <c r="P800" s="18"/>
      <c r="Q800" s="91"/>
      <c r="R800" s="18"/>
      <c r="S800" s="18"/>
      <c r="T800" s="18"/>
      <c r="U800" s="18"/>
      <c r="V800" s="18"/>
      <c r="W800" s="18"/>
      <c r="X800" s="18"/>
      <c r="Y800" s="92"/>
      <c r="Z800" s="92"/>
      <c r="AA800" s="418"/>
      <c r="AB800" s="95"/>
      <c r="AC800" s="18"/>
      <c r="AD800" s="18"/>
      <c r="AE800" s="18"/>
      <c r="AF800" s="18"/>
      <c r="AG800" s="91"/>
      <c r="AH800" s="18"/>
      <c r="AI800" s="18"/>
      <c r="AJ800" s="18"/>
      <c r="AK800" s="18"/>
      <c r="AL800" s="18"/>
      <c r="AM800" s="18"/>
      <c r="AN800" s="18"/>
      <c r="AO800" s="18"/>
      <c r="AP800" s="18"/>
      <c r="AQ800" s="18"/>
      <c r="AR800" s="18"/>
      <c r="AS800" s="18"/>
      <c r="AT800" s="18"/>
      <c r="AU800" s="91"/>
      <c r="AV800" s="18"/>
      <c r="AW800" s="18"/>
      <c r="AX800" s="18"/>
      <c r="AY800" s="17"/>
      <c r="AZ800" s="17"/>
      <c r="BA800" s="17"/>
      <c r="BB800" s="17"/>
      <c r="BC800" s="96"/>
      <c r="BD800" s="96"/>
      <c r="BE800" s="96"/>
      <c r="BF800" s="96"/>
      <c r="BG800" s="96"/>
      <c r="BH800" s="96"/>
      <c r="BI800" s="96"/>
    </row>
    <row r="801" spans="1:61" x14ac:dyDescent="0.45">
      <c r="A801" s="17"/>
      <c r="B801" s="17"/>
      <c r="C801" s="17"/>
      <c r="D801" s="17"/>
      <c r="E801" s="15"/>
      <c r="F801" s="17"/>
      <c r="G801" s="17"/>
      <c r="H801" s="3"/>
      <c r="I801" s="88"/>
      <c r="J801" s="88"/>
      <c r="K801" s="15"/>
      <c r="L801" s="96"/>
      <c r="M801" s="89"/>
      <c r="N801" s="88"/>
      <c r="O801" s="413"/>
      <c r="P801" s="18"/>
      <c r="Q801" s="91"/>
      <c r="R801" s="18"/>
      <c r="S801" s="18"/>
      <c r="T801" s="18"/>
      <c r="U801" s="18"/>
      <c r="V801" s="18"/>
      <c r="W801" s="18"/>
      <c r="X801" s="18"/>
      <c r="Y801" s="92"/>
      <c r="Z801" s="92"/>
      <c r="AA801" s="418"/>
      <c r="AB801" s="95"/>
      <c r="AC801" s="18"/>
      <c r="AD801" s="18"/>
      <c r="AE801" s="18"/>
      <c r="AF801" s="18"/>
      <c r="AG801" s="91"/>
      <c r="AH801" s="18"/>
      <c r="AI801" s="18"/>
      <c r="AJ801" s="18"/>
      <c r="AK801" s="18"/>
      <c r="AL801" s="18"/>
      <c r="AM801" s="18"/>
      <c r="AN801" s="18"/>
      <c r="AO801" s="18"/>
      <c r="AP801" s="18"/>
      <c r="AQ801" s="18"/>
      <c r="AR801" s="18"/>
      <c r="AS801" s="18"/>
      <c r="AT801" s="18"/>
      <c r="AU801" s="91"/>
      <c r="AV801" s="18"/>
      <c r="AW801" s="18"/>
      <c r="AX801" s="18"/>
      <c r="AY801" s="17"/>
      <c r="AZ801" s="17"/>
      <c r="BA801" s="17"/>
      <c r="BB801" s="17"/>
      <c r="BC801" s="96"/>
      <c r="BD801" s="96"/>
      <c r="BE801" s="96"/>
      <c r="BF801" s="96"/>
      <c r="BG801" s="96"/>
      <c r="BH801" s="96"/>
      <c r="BI801" s="96"/>
    </row>
    <row r="802" spans="1:61" x14ac:dyDescent="0.45">
      <c r="A802" s="17"/>
      <c r="B802" s="17"/>
      <c r="C802" s="17"/>
      <c r="D802" s="17"/>
      <c r="E802" s="15"/>
      <c r="F802" s="17"/>
      <c r="G802" s="17"/>
      <c r="H802" s="3"/>
      <c r="I802" s="88"/>
      <c r="J802" s="88"/>
      <c r="K802" s="15"/>
      <c r="L802" s="96"/>
      <c r="M802" s="89"/>
      <c r="N802" s="88"/>
      <c r="O802" s="413"/>
      <c r="P802" s="18"/>
      <c r="Q802" s="91"/>
      <c r="R802" s="18"/>
      <c r="S802" s="18"/>
      <c r="T802" s="18"/>
      <c r="U802" s="18"/>
      <c r="V802" s="18"/>
      <c r="W802" s="18"/>
      <c r="X802" s="18"/>
      <c r="Y802" s="92"/>
      <c r="Z802" s="92"/>
      <c r="AA802" s="418"/>
      <c r="AB802" s="95"/>
      <c r="AC802" s="18"/>
      <c r="AD802" s="18"/>
      <c r="AE802" s="18"/>
      <c r="AF802" s="18"/>
      <c r="AG802" s="91"/>
      <c r="AH802" s="18"/>
      <c r="AI802" s="18"/>
      <c r="AJ802" s="18"/>
      <c r="AK802" s="18"/>
      <c r="AL802" s="18"/>
      <c r="AM802" s="18"/>
      <c r="AN802" s="18"/>
      <c r="AO802" s="18"/>
      <c r="AP802" s="18"/>
      <c r="AQ802" s="18"/>
      <c r="AR802" s="18"/>
      <c r="AS802" s="18"/>
      <c r="AT802" s="18"/>
      <c r="AU802" s="91"/>
      <c r="AV802" s="18"/>
      <c r="AW802" s="18"/>
      <c r="AX802" s="18"/>
      <c r="AY802" s="17"/>
      <c r="AZ802" s="17"/>
      <c r="BA802" s="17"/>
      <c r="BB802" s="17"/>
      <c r="BC802" s="96"/>
      <c r="BD802" s="96"/>
      <c r="BE802" s="96"/>
      <c r="BF802" s="96"/>
      <c r="BG802" s="96"/>
      <c r="BH802" s="96"/>
      <c r="BI802" s="96"/>
    </row>
    <row r="803" spans="1:61" x14ac:dyDescent="0.45">
      <c r="A803" s="17"/>
      <c r="B803" s="17"/>
      <c r="C803" s="17"/>
      <c r="D803" s="17"/>
      <c r="E803" s="15"/>
      <c r="F803" s="17"/>
      <c r="G803" s="17"/>
      <c r="H803" s="3"/>
      <c r="I803" s="88"/>
      <c r="J803" s="88"/>
      <c r="K803" s="15"/>
      <c r="L803" s="96"/>
      <c r="M803" s="89"/>
      <c r="N803" s="88"/>
      <c r="O803" s="413"/>
      <c r="P803" s="18"/>
      <c r="Q803" s="91"/>
      <c r="R803" s="18"/>
      <c r="S803" s="18"/>
      <c r="T803" s="18"/>
      <c r="U803" s="18"/>
      <c r="V803" s="18"/>
      <c r="W803" s="18"/>
      <c r="X803" s="18"/>
      <c r="Y803" s="92"/>
      <c r="Z803" s="92"/>
      <c r="AA803" s="418"/>
      <c r="AB803" s="95"/>
      <c r="AC803" s="18"/>
      <c r="AD803" s="18"/>
      <c r="AE803" s="18"/>
      <c r="AF803" s="18"/>
      <c r="AG803" s="91"/>
      <c r="AH803" s="18"/>
      <c r="AI803" s="18"/>
      <c r="AJ803" s="18"/>
      <c r="AK803" s="18"/>
      <c r="AL803" s="18"/>
      <c r="AM803" s="18"/>
      <c r="AN803" s="18"/>
      <c r="AO803" s="18"/>
      <c r="AP803" s="18"/>
      <c r="AQ803" s="18"/>
      <c r="AR803" s="18"/>
      <c r="AS803" s="18"/>
      <c r="AT803" s="18"/>
      <c r="AU803" s="91"/>
      <c r="AV803" s="18"/>
      <c r="AW803" s="18"/>
      <c r="AX803" s="18"/>
      <c r="AY803" s="17"/>
      <c r="AZ803" s="17"/>
      <c r="BA803" s="17"/>
      <c r="BB803" s="17"/>
      <c r="BC803" s="96"/>
      <c r="BD803" s="96"/>
      <c r="BE803" s="96"/>
      <c r="BF803" s="96"/>
      <c r="BG803" s="96"/>
      <c r="BH803" s="96"/>
      <c r="BI803" s="96"/>
    </row>
    <row r="804" spans="1:61" x14ac:dyDescent="0.45">
      <c r="A804" s="17"/>
      <c r="B804" s="17"/>
      <c r="C804" s="17"/>
      <c r="D804" s="17"/>
      <c r="E804" s="15"/>
      <c r="F804" s="17"/>
      <c r="G804" s="17"/>
      <c r="H804" s="3"/>
      <c r="I804" s="88"/>
      <c r="J804" s="88"/>
      <c r="K804" s="15"/>
      <c r="L804" s="96"/>
      <c r="M804" s="89"/>
      <c r="N804" s="88"/>
      <c r="O804" s="413"/>
      <c r="P804" s="18"/>
      <c r="Q804" s="91"/>
      <c r="R804" s="18"/>
      <c r="S804" s="18"/>
      <c r="T804" s="18"/>
      <c r="U804" s="18"/>
      <c r="V804" s="18"/>
      <c r="W804" s="18"/>
      <c r="X804" s="18"/>
      <c r="Y804" s="92"/>
      <c r="Z804" s="92"/>
      <c r="AA804" s="418"/>
      <c r="AB804" s="95"/>
      <c r="AC804" s="18"/>
      <c r="AD804" s="18"/>
      <c r="AE804" s="18"/>
      <c r="AF804" s="18"/>
      <c r="AG804" s="91"/>
      <c r="AH804" s="18"/>
      <c r="AI804" s="18"/>
      <c r="AJ804" s="18"/>
      <c r="AK804" s="18"/>
      <c r="AL804" s="18"/>
      <c r="AM804" s="18"/>
      <c r="AN804" s="18"/>
      <c r="AO804" s="18"/>
      <c r="AP804" s="18"/>
      <c r="AQ804" s="18"/>
      <c r="AR804" s="18"/>
      <c r="AS804" s="18"/>
      <c r="AT804" s="18"/>
      <c r="AU804" s="91"/>
      <c r="AV804" s="18"/>
      <c r="AW804" s="18"/>
      <c r="AX804" s="18"/>
      <c r="AY804" s="17"/>
      <c r="AZ804" s="17"/>
      <c r="BA804" s="17"/>
      <c r="BB804" s="17"/>
      <c r="BC804" s="96"/>
      <c r="BD804" s="96"/>
      <c r="BE804" s="96"/>
      <c r="BF804" s="96"/>
      <c r="BG804" s="96"/>
      <c r="BH804" s="96"/>
      <c r="BI804" s="96"/>
    </row>
    <row r="805" spans="1:61" x14ac:dyDescent="0.45">
      <c r="A805" s="17"/>
      <c r="B805" s="17"/>
      <c r="C805" s="17"/>
      <c r="D805" s="17"/>
      <c r="E805" s="15"/>
      <c r="F805" s="17"/>
      <c r="G805" s="17"/>
      <c r="H805" s="3"/>
      <c r="I805" s="88"/>
      <c r="J805" s="88"/>
      <c r="K805" s="15"/>
      <c r="L805" s="96"/>
      <c r="M805" s="89"/>
      <c r="N805" s="88"/>
      <c r="O805" s="413"/>
      <c r="P805" s="18"/>
      <c r="Q805" s="91"/>
      <c r="R805" s="18"/>
      <c r="S805" s="18"/>
      <c r="T805" s="18"/>
      <c r="U805" s="18"/>
      <c r="V805" s="18"/>
      <c r="W805" s="18"/>
      <c r="X805" s="18"/>
      <c r="Y805" s="92"/>
      <c r="Z805" s="92"/>
      <c r="AA805" s="418"/>
      <c r="AB805" s="95"/>
      <c r="AC805" s="18"/>
      <c r="AD805" s="18"/>
      <c r="AE805" s="18"/>
      <c r="AF805" s="18"/>
      <c r="AG805" s="91"/>
      <c r="AH805" s="18"/>
      <c r="AI805" s="18"/>
      <c r="AJ805" s="18"/>
      <c r="AK805" s="18"/>
      <c r="AL805" s="18"/>
      <c r="AM805" s="18"/>
      <c r="AN805" s="18"/>
      <c r="AO805" s="18"/>
      <c r="AP805" s="18"/>
      <c r="AQ805" s="18"/>
      <c r="AR805" s="18"/>
      <c r="AS805" s="18"/>
      <c r="AT805" s="18"/>
      <c r="AU805" s="91"/>
      <c r="AV805" s="18"/>
      <c r="AW805" s="18"/>
      <c r="AX805" s="18"/>
      <c r="AY805" s="17"/>
      <c r="AZ805" s="17"/>
      <c r="BA805" s="17"/>
      <c r="BB805" s="17"/>
      <c r="BC805" s="96"/>
      <c r="BD805" s="96"/>
      <c r="BE805" s="96"/>
      <c r="BF805" s="96"/>
      <c r="BG805" s="96"/>
      <c r="BH805" s="96"/>
      <c r="BI805" s="96"/>
    </row>
    <row r="806" spans="1:61" x14ac:dyDescent="0.45">
      <c r="A806" s="17"/>
      <c r="B806" s="17"/>
      <c r="C806" s="17"/>
      <c r="D806" s="17"/>
      <c r="E806" s="15"/>
      <c r="F806" s="17"/>
      <c r="G806" s="17"/>
      <c r="H806" s="3"/>
      <c r="I806" s="88"/>
      <c r="J806" s="88"/>
      <c r="K806" s="15"/>
      <c r="L806" s="96"/>
      <c r="M806" s="89"/>
      <c r="N806" s="88"/>
      <c r="O806" s="413"/>
      <c r="P806" s="18"/>
      <c r="Q806" s="91"/>
      <c r="R806" s="18"/>
      <c r="S806" s="18"/>
      <c r="T806" s="18"/>
      <c r="U806" s="18"/>
      <c r="V806" s="18"/>
      <c r="W806" s="18"/>
      <c r="X806" s="18"/>
      <c r="Y806" s="92"/>
      <c r="Z806" s="92"/>
      <c r="AA806" s="418"/>
      <c r="AB806" s="95"/>
      <c r="AC806" s="18"/>
      <c r="AD806" s="18"/>
      <c r="AE806" s="18"/>
      <c r="AF806" s="18"/>
      <c r="AG806" s="91"/>
      <c r="AH806" s="18"/>
      <c r="AI806" s="18"/>
      <c r="AJ806" s="18"/>
      <c r="AK806" s="18"/>
      <c r="AL806" s="18"/>
      <c r="AM806" s="18"/>
      <c r="AN806" s="18"/>
      <c r="AO806" s="18"/>
      <c r="AP806" s="18"/>
      <c r="AQ806" s="18"/>
      <c r="AR806" s="18"/>
      <c r="AS806" s="18"/>
      <c r="AT806" s="18"/>
      <c r="AU806" s="91"/>
      <c r="AV806" s="18"/>
      <c r="AW806" s="18"/>
      <c r="AX806" s="18"/>
      <c r="AY806" s="17"/>
      <c r="AZ806" s="17"/>
      <c r="BA806" s="17"/>
      <c r="BB806" s="17"/>
      <c r="BC806" s="96"/>
      <c r="BD806" s="96"/>
      <c r="BE806" s="96"/>
      <c r="BF806" s="96"/>
      <c r="BG806" s="96"/>
      <c r="BH806" s="96"/>
      <c r="BI806" s="96"/>
    </row>
    <row r="807" spans="1:61" x14ac:dyDescent="0.45">
      <c r="A807" s="17"/>
      <c r="B807" s="17"/>
      <c r="C807" s="17"/>
      <c r="D807" s="17"/>
      <c r="E807" s="15"/>
      <c r="F807" s="17"/>
      <c r="G807" s="17"/>
      <c r="H807" s="3"/>
      <c r="I807" s="88"/>
      <c r="J807" s="88"/>
      <c r="K807" s="15"/>
      <c r="L807" s="96"/>
      <c r="M807" s="89"/>
      <c r="N807" s="88"/>
      <c r="O807" s="413"/>
      <c r="P807" s="18"/>
      <c r="Q807" s="91"/>
      <c r="R807" s="18"/>
      <c r="S807" s="18"/>
      <c r="T807" s="18"/>
      <c r="U807" s="18"/>
      <c r="V807" s="18"/>
      <c r="W807" s="18"/>
      <c r="X807" s="18"/>
      <c r="Y807" s="92"/>
      <c r="Z807" s="92"/>
      <c r="AA807" s="418"/>
      <c r="AB807" s="95"/>
      <c r="AC807" s="18"/>
      <c r="AD807" s="18"/>
      <c r="AE807" s="18"/>
      <c r="AF807" s="18"/>
      <c r="AG807" s="91"/>
      <c r="AH807" s="18"/>
      <c r="AI807" s="18"/>
      <c r="AJ807" s="18"/>
      <c r="AK807" s="18"/>
      <c r="AL807" s="18"/>
      <c r="AM807" s="18"/>
      <c r="AN807" s="18"/>
      <c r="AO807" s="18"/>
      <c r="AP807" s="18"/>
      <c r="AQ807" s="18"/>
      <c r="AR807" s="18"/>
      <c r="AS807" s="18"/>
      <c r="AT807" s="18"/>
      <c r="AU807" s="91"/>
      <c r="AV807" s="18"/>
      <c r="AW807" s="18"/>
      <c r="AX807" s="18"/>
      <c r="AY807" s="17"/>
      <c r="AZ807" s="17"/>
      <c r="BA807" s="17"/>
      <c r="BB807" s="17"/>
      <c r="BC807" s="96"/>
      <c r="BD807" s="96"/>
      <c r="BE807" s="96"/>
      <c r="BF807" s="96"/>
      <c r="BG807" s="96"/>
      <c r="BH807" s="96"/>
      <c r="BI807" s="96"/>
    </row>
    <row r="808" spans="1:61" x14ac:dyDescent="0.45">
      <c r="A808" s="17"/>
      <c r="B808" s="17"/>
      <c r="C808" s="17"/>
      <c r="D808" s="17"/>
      <c r="E808" s="15"/>
      <c r="F808" s="17"/>
      <c r="G808" s="17"/>
      <c r="H808" s="3"/>
      <c r="I808" s="88"/>
      <c r="J808" s="88"/>
      <c r="K808" s="15"/>
      <c r="L808" s="96"/>
      <c r="M808" s="89"/>
      <c r="N808" s="88"/>
      <c r="O808" s="413"/>
      <c r="P808" s="18"/>
      <c r="Q808" s="91"/>
      <c r="R808" s="18"/>
      <c r="S808" s="18"/>
      <c r="T808" s="18"/>
      <c r="U808" s="18"/>
      <c r="V808" s="18"/>
      <c r="W808" s="18"/>
      <c r="X808" s="18"/>
      <c r="Y808" s="92"/>
      <c r="Z808" s="92"/>
      <c r="AA808" s="418"/>
      <c r="AB808" s="95"/>
      <c r="AC808" s="18"/>
      <c r="AD808" s="18"/>
      <c r="AE808" s="18"/>
      <c r="AF808" s="18"/>
      <c r="AG808" s="91"/>
      <c r="AH808" s="18"/>
      <c r="AI808" s="18"/>
      <c r="AJ808" s="18"/>
      <c r="AK808" s="18"/>
      <c r="AL808" s="18"/>
      <c r="AM808" s="18"/>
      <c r="AN808" s="18"/>
      <c r="AO808" s="18"/>
      <c r="AP808" s="18"/>
      <c r="AQ808" s="18"/>
      <c r="AR808" s="18"/>
      <c r="AS808" s="18"/>
      <c r="AT808" s="18"/>
      <c r="AU808" s="91"/>
      <c r="AV808" s="18"/>
      <c r="AW808" s="18"/>
      <c r="AX808" s="18"/>
      <c r="AY808" s="17"/>
      <c r="AZ808" s="17"/>
      <c r="BA808" s="17"/>
      <c r="BB808" s="17"/>
      <c r="BC808" s="96"/>
      <c r="BD808" s="96"/>
      <c r="BE808" s="96"/>
      <c r="BF808" s="96"/>
      <c r="BG808" s="96"/>
      <c r="BH808" s="96"/>
      <c r="BI808" s="96"/>
    </row>
    <row r="809" spans="1:61" x14ac:dyDescent="0.45">
      <c r="A809" s="17"/>
      <c r="B809" s="17"/>
      <c r="C809" s="17"/>
      <c r="D809" s="17"/>
      <c r="E809" s="15"/>
      <c r="F809" s="17"/>
      <c r="G809" s="17"/>
      <c r="H809" s="3"/>
      <c r="I809" s="88"/>
      <c r="J809" s="88"/>
      <c r="K809" s="15"/>
      <c r="L809" s="96"/>
      <c r="M809" s="89"/>
      <c r="N809" s="88"/>
      <c r="O809" s="413"/>
      <c r="P809" s="18"/>
      <c r="Q809" s="91"/>
      <c r="R809" s="18"/>
      <c r="S809" s="18"/>
      <c r="T809" s="18"/>
      <c r="U809" s="18"/>
      <c r="V809" s="18"/>
      <c r="W809" s="18"/>
      <c r="X809" s="18"/>
      <c r="Y809" s="92"/>
      <c r="Z809" s="92"/>
      <c r="AA809" s="418"/>
      <c r="AB809" s="95"/>
      <c r="AC809" s="18"/>
      <c r="AD809" s="18"/>
      <c r="AE809" s="18"/>
      <c r="AF809" s="18"/>
      <c r="AG809" s="91"/>
      <c r="AH809" s="18"/>
      <c r="AI809" s="18"/>
      <c r="AJ809" s="18"/>
      <c r="AK809" s="18"/>
      <c r="AL809" s="18"/>
      <c r="AM809" s="18"/>
      <c r="AN809" s="18"/>
      <c r="AO809" s="18"/>
      <c r="AP809" s="18"/>
      <c r="AQ809" s="18"/>
      <c r="AR809" s="18"/>
      <c r="AS809" s="18"/>
      <c r="AT809" s="18"/>
      <c r="AU809" s="91"/>
      <c r="AV809" s="18"/>
      <c r="AW809" s="18"/>
      <c r="AX809" s="18"/>
      <c r="AY809" s="17"/>
      <c r="AZ809" s="17"/>
      <c r="BA809" s="17"/>
      <c r="BB809" s="17"/>
      <c r="BC809" s="96"/>
      <c r="BD809" s="96"/>
      <c r="BE809" s="96"/>
      <c r="BF809" s="96"/>
      <c r="BG809" s="96"/>
      <c r="BH809" s="96"/>
      <c r="BI809" s="96"/>
    </row>
    <row r="810" spans="1:61" x14ac:dyDescent="0.45">
      <c r="A810" s="17"/>
      <c r="B810" s="17"/>
      <c r="C810" s="17"/>
      <c r="D810" s="17"/>
      <c r="E810" s="15"/>
      <c r="F810" s="17"/>
      <c r="G810" s="17"/>
      <c r="H810" s="3"/>
      <c r="I810" s="88"/>
      <c r="J810" s="88"/>
      <c r="K810" s="15"/>
      <c r="L810" s="96"/>
      <c r="M810" s="89"/>
      <c r="N810" s="88"/>
      <c r="O810" s="413"/>
      <c r="P810" s="18"/>
      <c r="Q810" s="91"/>
      <c r="R810" s="18"/>
      <c r="S810" s="18"/>
      <c r="T810" s="18"/>
      <c r="U810" s="18"/>
      <c r="V810" s="18"/>
      <c r="W810" s="18"/>
      <c r="X810" s="18"/>
      <c r="Y810" s="92"/>
      <c r="Z810" s="92"/>
      <c r="AA810" s="418"/>
      <c r="AB810" s="95"/>
      <c r="AC810" s="18"/>
      <c r="AD810" s="18"/>
      <c r="AE810" s="18"/>
      <c r="AF810" s="18"/>
      <c r="AG810" s="91"/>
      <c r="AH810" s="18"/>
      <c r="AI810" s="18"/>
      <c r="AJ810" s="18"/>
      <c r="AK810" s="18"/>
      <c r="AL810" s="18"/>
      <c r="AM810" s="18"/>
      <c r="AN810" s="18"/>
      <c r="AO810" s="18"/>
      <c r="AP810" s="18"/>
      <c r="AQ810" s="18"/>
      <c r="AR810" s="18"/>
      <c r="AS810" s="18"/>
      <c r="AT810" s="18"/>
      <c r="AU810" s="91"/>
      <c r="AV810" s="18"/>
      <c r="AW810" s="18"/>
      <c r="AX810" s="18"/>
      <c r="AY810" s="17"/>
      <c r="AZ810" s="17"/>
      <c r="BA810" s="17"/>
      <c r="BB810" s="17"/>
      <c r="BC810" s="96"/>
      <c r="BD810" s="96"/>
      <c r="BE810" s="96"/>
      <c r="BF810" s="96"/>
      <c r="BG810" s="96"/>
      <c r="BH810" s="96"/>
      <c r="BI810" s="96"/>
    </row>
    <row r="811" spans="1:61" x14ac:dyDescent="0.45">
      <c r="A811" s="17"/>
      <c r="B811" s="17"/>
      <c r="C811" s="17"/>
      <c r="D811" s="17"/>
      <c r="E811" s="15"/>
      <c r="F811" s="17"/>
      <c r="G811" s="17"/>
      <c r="H811" s="3"/>
      <c r="I811" s="88"/>
      <c r="J811" s="88"/>
      <c r="K811" s="15"/>
      <c r="L811" s="96"/>
      <c r="M811" s="89"/>
      <c r="N811" s="88"/>
      <c r="O811" s="413"/>
      <c r="P811" s="18"/>
      <c r="Q811" s="91"/>
      <c r="R811" s="18"/>
      <c r="S811" s="18"/>
      <c r="T811" s="18"/>
      <c r="U811" s="18"/>
      <c r="V811" s="18"/>
      <c r="W811" s="18"/>
      <c r="X811" s="18"/>
      <c r="Y811" s="92"/>
      <c r="Z811" s="92"/>
      <c r="AA811" s="418"/>
      <c r="AB811" s="95"/>
      <c r="AC811" s="18"/>
      <c r="AD811" s="18"/>
      <c r="AE811" s="18"/>
      <c r="AF811" s="18"/>
      <c r="AG811" s="91"/>
      <c r="AH811" s="18"/>
      <c r="AI811" s="18"/>
      <c r="AJ811" s="18"/>
      <c r="AK811" s="18"/>
      <c r="AL811" s="18"/>
      <c r="AM811" s="18"/>
      <c r="AN811" s="18"/>
      <c r="AO811" s="18"/>
      <c r="AP811" s="18"/>
      <c r="AQ811" s="18"/>
      <c r="AR811" s="18"/>
      <c r="AS811" s="18"/>
      <c r="AT811" s="18"/>
      <c r="AU811" s="91"/>
      <c r="AV811" s="18"/>
      <c r="AW811" s="18"/>
      <c r="AX811" s="18"/>
      <c r="AY811" s="17"/>
      <c r="AZ811" s="17"/>
      <c r="BA811" s="17"/>
      <c r="BB811" s="17"/>
      <c r="BC811" s="96"/>
      <c r="BD811" s="96"/>
      <c r="BE811" s="96"/>
      <c r="BF811" s="96"/>
      <c r="BG811" s="96"/>
      <c r="BH811" s="96"/>
      <c r="BI811" s="96"/>
    </row>
    <row r="812" spans="1:61" x14ac:dyDescent="0.45">
      <c r="A812" s="17"/>
      <c r="B812" s="17"/>
      <c r="C812" s="17"/>
      <c r="D812" s="17"/>
      <c r="E812" s="15"/>
      <c r="F812" s="17"/>
      <c r="G812" s="17"/>
      <c r="H812" s="3"/>
      <c r="I812" s="88"/>
      <c r="J812" s="88"/>
      <c r="K812" s="15"/>
      <c r="L812" s="96"/>
      <c r="M812" s="89"/>
      <c r="N812" s="88"/>
      <c r="O812" s="413"/>
      <c r="P812" s="18"/>
      <c r="Q812" s="91"/>
      <c r="R812" s="18"/>
      <c r="S812" s="18"/>
      <c r="T812" s="18"/>
      <c r="U812" s="18"/>
      <c r="V812" s="18"/>
      <c r="W812" s="18"/>
      <c r="X812" s="18"/>
      <c r="Y812" s="92"/>
      <c r="Z812" s="92"/>
      <c r="AA812" s="418"/>
      <c r="AB812" s="95"/>
      <c r="AC812" s="18"/>
      <c r="AD812" s="18"/>
      <c r="AE812" s="18"/>
      <c r="AF812" s="18"/>
      <c r="AG812" s="91"/>
      <c r="AH812" s="18"/>
      <c r="AI812" s="18"/>
      <c r="AJ812" s="18"/>
      <c r="AK812" s="18"/>
      <c r="AL812" s="18"/>
      <c r="AM812" s="18"/>
      <c r="AN812" s="18"/>
      <c r="AO812" s="18"/>
      <c r="AP812" s="18"/>
      <c r="AQ812" s="18"/>
      <c r="AR812" s="18"/>
      <c r="AS812" s="18"/>
      <c r="AT812" s="18"/>
      <c r="AU812" s="91"/>
      <c r="AV812" s="18"/>
      <c r="AW812" s="18"/>
      <c r="AX812" s="18"/>
      <c r="AY812" s="17"/>
      <c r="AZ812" s="17"/>
      <c r="BA812" s="17"/>
      <c r="BB812" s="17"/>
      <c r="BC812" s="96"/>
      <c r="BD812" s="96"/>
      <c r="BE812" s="96"/>
      <c r="BF812" s="96"/>
      <c r="BG812" s="96"/>
      <c r="BH812" s="96"/>
      <c r="BI812" s="96"/>
    </row>
    <row r="813" spans="1:61" x14ac:dyDescent="0.45">
      <c r="A813" s="17"/>
      <c r="B813" s="17"/>
      <c r="C813" s="17"/>
      <c r="D813" s="17"/>
      <c r="E813" s="15"/>
      <c r="F813" s="17"/>
      <c r="G813" s="17"/>
      <c r="H813" s="3"/>
      <c r="I813" s="88"/>
      <c r="J813" s="88"/>
      <c r="K813" s="15"/>
      <c r="L813" s="96"/>
      <c r="M813" s="89"/>
      <c r="N813" s="88"/>
      <c r="O813" s="413"/>
      <c r="P813" s="18"/>
      <c r="Q813" s="91"/>
      <c r="R813" s="18"/>
      <c r="S813" s="18"/>
      <c r="T813" s="18"/>
      <c r="U813" s="18"/>
      <c r="V813" s="18"/>
      <c r="W813" s="18"/>
      <c r="X813" s="18"/>
      <c r="Y813" s="92"/>
      <c r="Z813" s="92"/>
      <c r="AA813" s="418"/>
      <c r="AB813" s="95"/>
      <c r="AC813" s="18"/>
      <c r="AD813" s="18"/>
      <c r="AE813" s="18"/>
      <c r="AF813" s="18"/>
      <c r="AG813" s="91"/>
      <c r="AH813" s="18"/>
      <c r="AI813" s="18"/>
      <c r="AJ813" s="18"/>
      <c r="AK813" s="18"/>
      <c r="AL813" s="18"/>
      <c r="AM813" s="18"/>
      <c r="AN813" s="18"/>
      <c r="AO813" s="18"/>
      <c r="AP813" s="18"/>
      <c r="AQ813" s="18"/>
      <c r="AR813" s="18"/>
      <c r="AS813" s="18"/>
      <c r="AT813" s="18"/>
      <c r="AU813" s="91"/>
      <c r="AV813" s="18"/>
      <c r="AW813" s="18"/>
      <c r="AX813" s="18"/>
      <c r="AY813" s="17"/>
      <c r="AZ813" s="17"/>
      <c r="BA813" s="17"/>
      <c r="BB813" s="17"/>
      <c r="BC813" s="96"/>
      <c r="BD813" s="96"/>
      <c r="BE813" s="96"/>
      <c r="BF813" s="96"/>
      <c r="BG813" s="96"/>
      <c r="BH813" s="96"/>
      <c r="BI813" s="96"/>
    </row>
    <row r="814" spans="1:61" x14ac:dyDescent="0.45">
      <c r="A814" s="17"/>
      <c r="B814" s="17"/>
      <c r="C814" s="17"/>
      <c r="D814" s="17"/>
      <c r="E814" s="15"/>
      <c r="F814" s="17"/>
      <c r="G814" s="17"/>
      <c r="H814" s="3"/>
      <c r="I814" s="88"/>
      <c r="J814" s="88"/>
      <c r="K814" s="15"/>
      <c r="L814" s="96"/>
      <c r="M814" s="89"/>
      <c r="N814" s="88"/>
      <c r="O814" s="413"/>
      <c r="P814" s="18"/>
      <c r="Q814" s="91"/>
      <c r="R814" s="18"/>
      <c r="S814" s="18"/>
      <c r="T814" s="18"/>
      <c r="U814" s="18"/>
      <c r="V814" s="18"/>
      <c r="W814" s="18"/>
      <c r="X814" s="18"/>
      <c r="Y814" s="92"/>
      <c r="Z814" s="92"/>
      <c r="AA814" s="418"/>
      <c r="AB814" s="95"/>
      <c r="AC814" s="18"/>
      <c r="AD814" s="18"/>
      <c r="AE814" s="18"/>
      <c r="AF814" s="18"/>
      <c r="AG814" s="91"/>
      <c r="AH814" s="18"/>
      <c r="AI814" s="18"/>
      <c r="AJ814" s="18"/>
      <c r="AK814" s="18"/>
      <c r="AL814" s="18"/>
      <c r="AM814" s="18"/>
      <c r="AN814" s="18"/>
      <c r="AO814" s="18"/>
      <c r="AP814" s="18"/>
      <c r="AQ814" s="18"/>
      <c r="AR814" s="18"/>
      <c r="AS814" s="18"/>
      <c r="AT814" s="18"/>
      <c r="AU814" s="91"/>
      <c r="AV814" s="18"/>
      <c r="AW814" s="18"/>
      <c r="AX814" s="18"/>
      <c r="AY814" s="17"/>
      <c r="AZ814" s="17"/>
      <c r="BA814" s="17"/>
      <c r="BB814" s="17"/>
      <c r="BC814" s="96"/>
      <c r="BD814" s="96"/>
      <c r="BE814" s="96"/>
      <c r="BF814" s="96"/>
      <c r="BG814" s="96"/>
      <c r="BH814" s="96"/>
      <c r="BI814" s="96"/>
    </row>
    <row r="815" spans="1:61" x14ac:dyDescent="0.45">
      <c r="A815" s="17"/>
      <c r="B815" s="17"/>
      <c r="C815" s="17"/>
      <c r="D815" s="17"/>
      <c r="E815" s="15"/>
      <c r="F815" s="17"/>
      <c r="G815" s="17"/>
      <c r="H815" s="3"/>
      <c r="I815" s="88"/>
      <c r="J815" s="88"/>
      <c r="K815" s="15"/>
      <c r="L815" s="96"/>
      <c r="M815" s="89"/>
      <c r="N815" s="88"/>
      <c r="O815" s="413"/>
      <c r="P815" s="18"/>
      <c r="Q815" s="91"/>
      <c r="R815" s="18"/>
      <c r="S815" s="18"/>
      <c r="T815" s="18"/>
      <c r="U815" s="18"/>
      <c r="V815" s="18"/>
      <c r="W815" s="18"/>
      <c r="X815" s="18"/>
      <c r="Y815" s="92"/>
      <c r="Z815" s="92"/>
      <c r="AA815" s="418"/>
      <c r="AB815" s="95"/>
      <c r="AC815" s="18"/>
      <c r="AD815" s="18"/>
      <c r="AE815" s="18"/>
      <c r="AF815" s="18"/>
      <c r="AG815" s="91"/>
      <c r="AH815" s="18"/>
      <c r="AI815" s="18"/>
      <c r="AJ815" s="18"/>
      <c r="AK815" s="18"/>
      <c r="AL815" s="18"/>
      <c r="AM815" s="18"/>
      <c r="AN815" s="18"/>
      <c r="AO815" s="18"/>
      <c r="AP815" s="18"/>
      <c r="AQ815" s="18"/>
      <c r="AR815" s="18"/>
      <c r="AS815" s="18"/>
      <c r="AT815" s="18"/>
      <c r="AU815" s="91"/>
      <c r="AV815" s="18"/>
      <c r="AW815" s="18"/>
      <c r="AX815" s="18"/>
      <c r="AY815" s="17"/>
      <c r="AZ815" s="17"/>
      <c r="BA815" s="17"/>
      <c r="BB815" s="17"/>
      <c r="BC815" s="96"/>
      <c r="BD815" s="96"/>
      <c r="BE815" s="96"/>
      <c r="BF815" s="96"/>
      <c r="BG815" s="96"/>
      <c r="BH815" s="96"/>
      <c r="BI815" s="96"/>
    </row>
    <row r="816" spans="1:61" x14ac:dyDescent="0.45">
      <c r="A816" s="17"/>
      <c r="B816" s="17"/>
      <c r="C816" s="17"/>
      <c r="D816" s="17"/>
      <c r="E816" s="15"/>
      <c r="F816" s="17"/>
      <c r="G816" s="17"/>
      <c r="H816" s="3"/>
      <c r="I816" s="88"/>
      <c r="J816" s="88"/>
      <c r="K816" s="15"/>
      <c r="L816" s="96"/>
      <c r="M816" s="89"/>
      <c r="N816" s="88"/>
      <c r="O816" s="413"/>
      <c r="P816" s="18"/>
      <c r="Q816" s="91"/>
      <c r="R816" s="18"/>
      <c r="S816" s="18"/>
      <c r="T816" s="18"/>
      <c r="U816" s="18"/>
      <c r="V816" s="18"/>
      <c r="W816" s="18"/>
      <c r="X816" s="18"/>
      <c r="Y816" s="92"/>
      <c r="Z816" s="92"/>
      <c r="AA816" s="418"/>
      <c r="AB816" s="95"/>
      <c r="AC816" s="18"/>
      <c r="AD816" s="18"/>
      <c r="AE816" s="18"/>
      <c r="AF816" s="18"/>
      <c r="AG816" s="91"/>
      <c r="AH816" s="18"/>
      <c r="AI816" s="18"/>
      <c r="AJ816" s="18"/>
      <c r="AK816" s="18"/>
      <c r="AL816" s="18"/>
      <c r="AM816" s="18"/>
      <c r="AN816" s="18"/>
      <c r="AO816" s="18"/>
      <c r="AP816" s="18"/>
      <c r="AQ816" s="18"/>
      <c r="AR816" s="18"/>
      <c r="AS816" s="18"/>
      <c r="AT816" s="18"/>
      <c r="AU816" s="91"/>
      <c r="AV816" s="18"/>
      <c r="AW816" s="18"/>
      <c r="AX816" s="18"/>
      <c r="AY816" s="17"/>
      <c r="AZ816" s="17"/>
      <c r="BA816" s="17"/>
      <c r="BB816" s="17"/>
      <c r="BC816" s="96"/>
      <c r="BD816" s="96"/>
      <c r="BE816" s="96"/>
      <c r="BF816" s="96"/>
      <c r="BG816" s="96"/>
      <c r="BH816" s="96"/>
      <c r="BI816" s="96"/>
    </row>
    <row r="817" spans="1:61" x14ac:dyDescent="0.45">
      <c r="A817" s="17"/>
      <c r="B817" s="17"/>
      <c r="C817" s="17"/>
      <c r="D817" s="17"/>
      <c r="E817" s="15"/>
      <c r="F817" s="17"/>
      <c r="G817" s="17"/>
      <c r="H817" s="3"/>
      <c r="I817" s="88"/>
      <c r="J817" s="88"/>
      <c r="K817" s="15"/>
      <c r="L817" s="96"/>
      <c r="M817" s="89"/>
      <c r="N817" s="88"/>
      <c r="O817" s="413"/>
      <c r="P817" s="18"/>
      <c r="Q817" s="91"/>
      <c r="R817" s="18"/>
      <c r="S817" s="18"/>
      <c r="T817" s="18"/>
      <c r="U817" s="18"/>
      <c r="V817" s="18"/>
      <c r="W817" s="18"/>
      <c r="X817" s="18"/>
      <c r="Y817" s="92"/>
      <c r="Z817" s="92"/>
      <c r="AA817" s="418"/>
      <c r="AB817" s="95"/>
      <c r="AC817" s="18"/>
      <c r="AD817" s="18"/>
      <c r="AE817" s="18"/>
      <c r="AF817" s="18"/>
      <c r="AG817" s="91"/>
      <c r="AH817" s="18"/>
      <c r="AI817" s="18"/>
      <c r="AJ817" s="18"/>
      <c r="AK817" s="18"/>
      <c r="AL817" s="18"/>
      <c r="AM817" s="18"/>
      <c r="AN817" s="18"/>
      <c r="AO817" s="18"/>
      <c r="AP817" s="18"/>
      <c r="AQ817" s="18"/>
      <c r="AR817" s="18"/>
      <c r="AS817" s="18"/>
      <c r="AT817" s="18"/>
      <c r="AU817" s="91"/>
      <c r="AV817" s="18"/>
      <c r="AW817" s="18"/>
      <c r="AX817" s="18"/>
      <c r="AY817" s="17"/>
      <c r="AZ817" s="17"/>
      <c r="BA817" s="17"/>
      <c r="BB817" s="17"/>
      <c r="BC817" s="96"/>
      <c r="BD817" s="96"/>
      <c r="BE817" s="96"/>
      <c r="BF817" s="96"/>
      <c r="BG817" s="96"/>
      <c r="BH817" s="96"/>
      <c r="BI817" s="96"/>
    </row>
    <row r="818" spans="1:61" x14ac:dyDescent="0.45">
      <c r="A818" s="17"/>
      <c r="B818" s="17"/>
      <c r="C818" s="17"/>
      <c r="D818" s="17"/>
      <c r="E818" s="15"/>
      <c r="F818" s="17"/>
      <c r="G818" s="17"/>
      <c r="H818" s="3"/>
      <c r="I818" s="88"/>
      <c r="J818" s="88"/>
      <c r="K818" s="15"/>
      <c r="L818" s="96"/>
      <c r="M818" s="89"/>
      <c r="N818" s="88"/>
      <c r="O818" s="413"/>
      <c r="P818" s="18"/>
      <c r="Q818" s="91"/>
      <c r="R818" s="18"/>
      <c r="S818" s="18"/>
      <c r="T818" s="18"/>
      <c r="U818" s="18"/>
      <c r="V818" s="18"/>
      <c r="W818" s="18"/>
      <c r="X818" s="18"/>
      <c r="Y818" s="92"/>
      <c r="Z818" s="92"/>
      <c r="AA818" s="418"/>
      <c r="AB818" s="95"/>
      <c r="AC818" s="18"/>
      <c r="AD818" s="18"/>
      <c r="AE818" s="18"/>
      <c r="AF818" s="18"/>
      <c r="AG818" s="91"/>
      <c r="AH818" s="18"/>
      <c r="AI818" s="18"/>
      <c r="AJ818" s="18"/>
      <c r="AK818" s="18"/>
      <c r="AL818" s="18"/>
      <c r="AM818" s="18"/>
      <c r="AN818" s="18"/>
      <c r="AO818" s="18"/>
      <c r="AP818" s="18"/>
      <c r="AQ818" s="18"/>
      <c r="AR818" s="18"/>
      <c r="AS818" s="18"/>
      <c r="AT818" s="18"/>
      <c r="AU818" s="91"/>
      <c r="AV818" s="18"/>
      <c r="AW818" s="18"/>
      <c r="AX818" s="18"/>
      <c r="AY818" s="17"/>
      <c r="AZ818" s="17"/>
      <c r="BA818" s="17"/>
      <c r="BB818" s="17"/>
      <c r="BC818" s="96"/>
      <c r="BD818" s="96"/>
      <c r="BE818" s="96"/>
      <c r="BF818" s="96"/>
      <c r="BG818" s="96"/>
      <c r="BH818" s="96"/>
      <c r="BI818" s="96"/>
    </row>
    <row r="819" spans="1:61" x14ac:dyDescent="0.45">
      <c r="A819" s="17"/>
      <c r="B819" s="17"/>
      <c r="C819" s="17"/>
      <c r="D819" s="17"/>
      <c r="E819" s="15"/>
      <c r="F819" s="17"/>
      <c r="G819" s="17"/>
      <c r="H819" s="3"/>
      <c r="I819" s="88"/>
      <c r="J819" s="88"/>
      <c r="K819" s="15"/>
      <c r="L819" s="96"/>
      <c r="M819" s="89"/>
      <c r="N819" s="88"/>
      <c r="O819" s="413"/>
      <c r="P819" s="18"/>
      <c r="Q819" s="91"/>
      <c r="R819" s="18"/>
      <c r="S819" s="18"/>
      <c r="T819" s="18"/>
      <c r="U819" s="18"/>
      <c r="V819" s="18"/>
      <c r="W819" s="18"/>
      <c r="X819" s="18"/>
      <c r="Y819" s="92"/>
      <c r="Z819" s="92"/>
      <c r="AA819" s="418"/>
      <c r="AB819" s="95"/>
      <c r="AC819" s="18"/>
      <c r="AD819" s="18"/>
      <c r="AE819" s="18"/>
      <c r="AF819" s="18"/>
      <c r="AG819" s="91"/>
      <c r="AH819" s="18"/>
      <c r="AI819" s="18"/>
      <c r="AJ819" s="18"/>
      <c r="AK819" s="18"/>
      <c r="AL819" s="18"/>
      <c r="AM819" s="18"/>
      <c r="AN819" s="18"/>
      <c r="AO819" s="18"/>
      <c r="AP819" s="18"/>
      <c r="AQ819" s="18"/>
      <c r="AR819" s="18"/>
      <c r="AS819" s="18"/>
      <c r="AT819" s="18"/>
      <c r="AU819" s="91"/>
      <c r="AV819" s="18"/>
      <c r="AW819" s="18"/>
      <c r="AX819" s="18"/>
      <c r="AY819" s="17"/>
      <c r="AZ819" s="17"/>
      <c r="BA819" s="17"/>
      <c r="BB819" s="17"/>
      <c r="BC819" s="96"/>
      <c r="BD819" s="96"/>
      <c r="BE819" s="96"/>
      <c r="BF819" s="96"/>
      <c r="BG819" s="96"/>
      <c r="BH819" s="96"/>
      <c r="BI819" s="96"/>
    </row>
    <row r="820" spans="1:61" x14ac:dyDescent="0.45">
      <c r="A820" s="17"/>
      <c r="B820" s="17"/>
      <c r="C820" s="17"/>
      <c r="D820" s="17"/>
      <c r="E820" s="15"/>
      <c r="F820" s="17"/>
      <c r="G820" s="17"/>
      <c r="H820" s="3"/>
      <c r="I820" s="88"/>
      <c r="J820" s="88"/>
      <c r="K820" s="15"/>
      <c r="L820" s="96"/>
      <c r="M820" s="89"/>
      <c r="N820" s="88"/>
      <c r="O820" s="413"/>
      <c r="P820" s="18"/>
      <c r="Q820" s="91"/>
      <c r="R820" s="18"/>
      <c r="S820" s="18"/>
      <c r="T820" s="18"/>
      <c r="U820" s="18"/>
      <c r="V820" s="18"/>
      <c r="W820" s="18"/>
      <c r="X820" s="18"/>
      <c r="Y820" s="92"/>
      <c r="Z820" s="92"/>
      <c r="AA820" s="418"/>
      <c r="AB820" s="95"/>
      <c r="AC820" s="18"/>
      <c r="AD820" s="18"/>
      <c r="AE820" s="18"/>
      <c r="AF820" s="18"/>
      <c r="AG820" s="91"/>
      <c r="AH820" s="18"/>
      <c r="AI820" s="18"/>
      <c r="AJ820" s="18"/>
      <c r="AK820" s="18"/>
      <c r="AL820" s="18"/>
      <c r="AM820" s="18"/>
      <c r="AN820" s="18"/>
      <c r="AO820" s="18"/>
      <c r="AP820" s="18"/>
      <c r="AQ820" s="18"/>
      <c r="AR820" s="18"/>
      <c r="AS820" s="18"/>
      <c r="AT820" s="18"/>
      <c r="AU820" s="91"/>
      <c r="AV820" s="18"/>
      <c r="AW820" s="18"/>
      <c r="AX820" s="18"/>
      <c r="AY820" s="17"/>
      <c r="AZ820" s="17"/>
      <c r="BA820" s="17"/>
      <c r="BB820" s="17"/>
      <c r="BC820" s="96"/>
      <c r="BD820" s="96"/>
      <c r="BE820" s="96"/>
      <c r="BF820" s="96"/>
      <c r="BG820" s="96"/>
      <c r="BH820" s="96"/>
      <c r="BI820" s="96"/>
    </row>
    <row r="821" spans="1:61" x14ac:dyDescent="0.45">
      <c r="A821" s="17"/>
      <c r="B821" s="17"/>
      <c r="C821" s="17"/>
      <c r="D821" s="17"/>
      <c r="E821" s="15"/>
      <c r="F821" s="17"/>
      <c r="G821" s="17"/>
      <c r="H821" s="3"/>
      <c r="I821" s="88"/>
      <c r="J821" s="88"/>
      <c r="K821" s="15"/>
      <c r="L821" s="96"/>
      <c r="M821" s="89"/>
      <c r="N821" s="88"/>
      <c r="O821" s="413"/>
      <c r="P821" s="18"/>
      <c r="Q821" s="91"/>
      <c r="R821" s="18"/>
      <c r="S821" s="18"/>
      <c r="T821" s="18"/>
      <c r="U821" s="18"/>
      <c r="V821" s="18"/>
      <c r="W821" s="18"/>
      <c r="X821" s="18"/>
      <c r="Y821" s="92"/>
      <c r="Z821" s="92"/>
      <c r="AA821" s="418"/>
      <c r="AB821" s="95"/>
      <c r="AC821" s="18"/>
      <c r="AD821" s="18"/>
      <c r="AE821" s="18"/>
      <c r="AF821" s="18"/>
      <c r="AG821" s="91"/>
      <c r="AH821" s="18"/>
      <c r="AI821" s="18"/>
      <c r="AJ821" s="18"/>
      <c r="AK821" s="18"/>
      <c r="AL821" s="18"/>
      <c r="AM821" s="18"/>
      <c r="AN821" s="18"/>
      <c r="AO821" s="18"/>
      <c r="AP821" s="18"/>
      <c r="AQ821" s="18"/>
      <c r="AR821" s="18"/>
      <c r="AS821" s="18"/>
      <c r="AT821" s="18"/>
      <c r="AU821" s="91"/>
      <c r="AV821" s="18"/>
      <c r="AW821" s="18"/>
      <c r="AX821" s="18"/>
      <c r="AY821" s="17"/>
      <c r="AZ821" s="17"/>
      <c r="BA821" s="17"/>
      <c r="BB821" s="17"/>
      <c r="BC821" s="96"/>
      <c r="BD821" s="96"/>
      <c r="BE821" s="96"/>
      <c r="BF821" s="96"/>
      <c r="BG821" s="96"/>
      <c r="BH821" s="96"/>
      <c r="BI821" s="96"/>
    </row>
    <row r="822" spans="1:61" x14ac:dyDescent="0.45">
      <c r="A822" s="17"/>
      <c r="B822" s="17"/>
      <c r="C822" s="17"/>
      <c r="D822" s="17"/>
      <c r="E822" s="15"/>
      <c r="F822" s="17"/>
      <c r="G822" s="17"/>
      <c r="H822" s="3"/>
      <c r="I822" s="88"/>
      <c r="J822" s="88"/>
      <c r="K822" s="15"/>
      <c r="L822" s="96"/>
      <c r="M822" s="89"/>
      <c r="N822" s="88"/>
      <c r="O822" s="413"/>
      <c r="P822" s="18"/>
      <c r="Q822" s="91"/>
      <c r="R822" s="18"/>
      <c r="S822" s="18"/>
      <c r="T822" s="18"/>
      <c r="U822" s="18"/>
      <c r="V822" s="18"/>
      <c r="W822" s="18"/>
      <c r="X822" s="18"/>
      <c r="Y822" s="92"/>
      <c r="Z822" s="92"/>
      <c r="AA822" s="418"/>
      <c r="AB822" s="95"/>
      <c r="AC822" s="18"/>
      <c r="AD822" s="18"/>
      <c r="AE822" s="18"/>
      <c r="AF822" s="18"/>
      <c r="AG822" s="91"/>
      <c r="AH822" s="18"/>
      <c r="AI822" s="18"/>
      <c r="AJ822" s="18"/>
      <c r="AK822" s="18"/>
      <c r="AL822" s="18"/>
      <c r="AM822" s="18"/>
      <c r="AN822" s="18"/>
      <c r="AO822" s="18"/>
      <c r="AP822" s="18"/>
      <c r="AQ822" s="18"/>
      <c r="AR822" s="18"/>
      <c r="AS822" s="18"/>
      <c r="AT822" s="18"/>
      <c r="AU822" s="91"/>
      <c r="AV822" s="18"/>
      <c r="AW822" s="18"/>
      <c r="AX822" s="18"/>
      <c r="AY822" s="17"/>
      <c r="AZ822" s="17"/>
      <c r="BA822" s="17"/>
      <c r="BB822" s="17"/>
      <c r="BC822" s="96"/>
      <c r="BD822" s="96"/>
      <c r="BE822" s="96"/>
      <c r="BF822" s="96"/>
      <c r="BG822" s="96"/>
      <c r="BH822" s="96"/>
      <c r="BI822" s="96"/>
    </row>
    <row r="823" spans="1:61" x14ac:dyDescent="0.45">
      <c r="A823" s="17"/>
      <c r="B823" s="17"/>
      <c r="C823" s="17"/>
      <c r="D823" s="17"/>
      <c r="E823" s="15"/>
      <c r="F823" s="17"/>
      <c r="G823" s="17"/>
      <c r="H823" s="3"/>
      <c r="I823" s="88"/>
      <c r="J823" s="88"/>
      <c r="K823" s="15"/>
      <c r="L823" s="96"/>
      <c r="M823" s="89"/>
      <c r="N823" s="88"/>
      <c r="O823" s="413"/>
      <c r="P823" s="18"/>
      <c r="Q823" s="91"/>
      <c r="R823" s="18"/>
      <c r="S823" s="18"/>
      <c r="T823" s="18"/>
      <c r="U823" s="18"/>
      <c r="V823" s="18"/>
      <c r="W823" s="18"/>
      <c r="X823" s="18"/>
      <c r="Y823" s="92"/>
      <c r="Z823" s="92"/>
      <c r="AA823" s="418"/>
      <c r="AB823" s="95"/>
      <c r="AC823" s="18"/>
      <c r="AD823" s="18"/>
      <c r="AE823" s="18"/>
      <c r="AF823" s="18"/>
      <c r="AG823" s="91"/>
      <c r="AH823" s="18"/>
      <c r="AI823" s="18"/>
      <c r="AJ823" s="18"/>
      <c r="AK823" s="18"/>
      <c r="AL823" s="18"/>
      <c r="AM823" s="18"/>
      <c r="AN823" s="18"/>
      <c r="AO823" s="18"/>
      <c r="AP823" s="18"/>
      <c r="AQ823" s="18"/>
      <c r="AR823" s="18"/>
      <c r="AS823" s="18"/>
      <c r="AT823" s="18"/>
      <c r="AU823" s="91"/>
      <c r="AV823" s="18"/>
      <c r="AW823" s="18"/>
      <c r="AX823" s="18"/>
      <c r="AY823" s="17"/>
      <c r="AZ823" s="17"/>
      <c r="BA823" s="17"/>
      <c r="BB823" s="17"/>
      <c r="BC823" s="96"/>
      <c r="BD823" s="96"/>
      <c r="BE823" s="96"/>
      <c r="BF823" s="96"/>
      <c r="BG823" s="96"/>
      <c r="BH823" s="96"/>
      <c r="BI823" s="96"/>
    </row>
    <row r="824" spans="1:61" x14ac:dyDescent="0.45">
      <c r="A824" s="17"/>
      <c r="B824" s="17"/>
      <c r="C824" s="17"/>
      <c r="D824" s="17"/>
      <c r="E824" s="15"/>
      <c r="F824" s="17"/>
      <c r="G824" s="17"/>
      <c r="H824" s="3"/>
      <c r="I824" s="88"/>
      <c r="J824" s="88"/>
      <c r="K824" s="15"/>
      <c r="L824" s="96"/>
      <c r="M824" s="89"/>
      <c r="N824" s="88"/>
      <c r="O824" s="413"/>
      <c r="P824" s="18"/>
      <c r="Q824" s="91"/>
      <c r="R824" s="18"/>
      <c r="S824" s="18"/>
      <c r="T824" s="18"/>
      <c r="U824" s="18"/>
      <c r="V824" s="18"/>
      <c r="W824" s="18"/>
      <c r="X824" s="18"/>
      <c r="Y824" s="92"/>
      <c r="Z824" s="92"/>
      <c r="AA824" s="418"/>
      <c r="AB824" s="95"/>
      <c r="AC824" s="18"/>
      <c r="AD824" s="18"/>
      <c r="AE824" s="18"/>
      <c r="AF824" s="18"/>
      <c r="AG824" s="91"/>
      <c r="AH824" s="18"/>
      <c r="AI824" s="18"/>
      <c r="AJ824" s="18"/>
      <c r="AK824" s="18"/>
      <c r="AL824" s="18"/>
      <c r="AM824" s="18"/>
      <c r="AN824" s="18"/>
      <c r="AO824" s="18"/>
      <c r="AP824" s="18"/>
      <c r="AQ824" s="18"/>
      <c r="AR824" s="18"/>
      <c r="AS824" s="18"/>
      <c r="AT824" s="18"/>
      <c r="AU824" s="91"/>
      <c r="AV824" s="18"/>
      <c r="AW824" s="18"/>
      <c r="AX824" s="18"/>
      <c r="AY824" s="17"/>
      <c r="AZ824" s="17"/>
      <c r="BA824" s="17"/>
      <c r="BB824" s="17"/>
      <c r="BC824" s="96"/>
      <c r="BD824" s="96"/>
      <c r="BE824" s="96"/>
      <c r="BF824" s="96"/>
      <c r="BG824" s="96"/>
      <c r="BH824" s="96"/>
      <c r="BI824" s="96"/>
    </row>
    <row r="825" spans="1:61" x14ac:dyDescent="0.45">
      <c r="A825" s="17"/>
      <c r="B825" s="17"/>
      <c r="C825" s="17"/>
      <c r="D825" s="17"/>
      <c r="E825" s="15"/>
      <c r="F825" s="17"/>
      <c r="G825" s="17"/>
      <c r="H825" s="3"/>
      <c r="I825" s="88"/>
      <c r="J825" s="88"/>
      <c r="K825" s="15"/>
      <c r="L825" s="96"/>
      <c r="M825" s="89"/>
      <c r="N825" s="88"/>
      <c r="O825" s="413"/>
      <c r="P825" s="18"/>
      <c r="Q825" s="91"/>
      <c r="R825" s="18"/>
      <c r="S825" s="18"/>
      <c r="T825" s="18"/>
      <c r="U825" s="18"/>
      <c r="V825" s="18"/>
      <c r="W825" s="18"/>
      <c r="X825" s="18"/>
      <c r="Y825" s="92"/>
      <c r="Z825" s="92"/>
      <c r="AA825" s="418"/>
      <c r="AB825" s="95"/>
      <c r="AC825" s="18"/>
      <c r="AD825" s="18"/>
      <c r="AE825" s="18"/>
      <c r="AF825" s="18"/>
      <c r="AG825" s="91"/>
      <c r="AH825" s="18"/>
      <c r="AI825" s="18"/>
      <c r="AJ825" s="18"/>
      <c r="AK825" s="18"/>
      <c r="AL825" s="18"/>
      <c r="AM825" s="18"/>
      <c r="AN825" s="18"/>
      <c r="AO825" s="18"/>
      <c r="AP825" s="18"/>
      <c r="AQ825" s="18"/>
      <c r="AR825" s="18"/>
      <c r="AS825" s="18"/>
      <c r="AT825" s="18"/>
      <c r="AU825" s="91"/>
      <c r="AV825" s="18"/>
      <c r="AW825" s="18"/>
      <c r="AX825" s="18"/>
      <c r="AY825" s="17"/>
      <c r="AZ825" s="17"/>
      <c r="BA825" s="17"/>
      <c r="BB825" s="17"/>
      <c r="BC825" s="96"/>
      <c r="BD825" s="96"/>
      <c r="BE825" s="96"/>
      <c r="BF825" s="96"/>
      <c r="BG825" s="96"/>
      <c r="BH825" s="96"/>
      <c r="BI825" s="96"/>
    </row>
    <row r="826" spans="1:61" x14ac:dyDescent="0.45">
      <c r="A826" s="17"/>
      <c r="B826" s="17"/>
      <c r="C826" s="17"/>
      <c r="D826" s="17"/>
      <c r="E826" s="15"/>
      <c r="F826" s="17"/>
      <c r="G826" s="17"/>
      <c r="H826" s="3"/>
      <c r="I826" s="88"/>
      <c r="J826" s="88"/>
      <c r="K826" s="15"/>
      <c r="L826" s="96"/>
      <c r="M826" s="89"/>
      <c r="N826" s="88"/>
      <c r="O826" s="413"/>
      <c r="P826" s="18"/>
      <c r="Q826" s="91"/>
      <c r="R826" s="18"/>
      <c r="S826" s="18"/>
      <c r="T826" s="18"/>
      <c r="U826" s="18"/>
      <c r="V826" s="18"/>
      <c r="W826" s="18"/>
      <c r="X826" s="18"/>
      <c r="Y826" s="92"/>
      <c r="Z826" s="92"/>
      <c r="AA826" s="418"/>
      <c r="AB826" s="95"/>
      <c r="AC826" s="18"/>
      <c r="AD826" s="18"/>
      <c r="AE826" s="18"/>
      <c r="AF826" s="18"/>
      <c r="AG826" s="91"/>
      <c r="AH826" s="18"/>
      <c r="AI826" s="18"/>
      <c r="AJ826" s="18"/>
      <c r="AK826" s="18"/>
      <c r="AL826" s="18"/>
      <c r="AM826" s="18"/>
      <c r="AN826" s="18"/>
      <c r="AO826" s="18"/>
      <c r="AP826" s="18"/>
      <c r="AQ826" s="18"/>
      <c r="AR826" s="18"/>
      <c r="AS826" s="18"/>
      <c r="AT826" s="18"/>
      <c r="AU826" s="91"/>
      <c r="AV826" s="18"/>
      <c r="AW826" s="18"/>
      <c r="AX826" s="18"/>
      <c r="AY826" s="17"/>
      <c r="AZ826" s="17"/>
      <c r="BA826" s="17"/>
      <c r="BB826" s="17"/>
      <c r="BC826" s="96"/>
      <c r="BD826" s="96"/>
      <c r="BE826" s="96"/>
      <c r="BF826" s="96"/>
      <c r="BG826" s="96"/>
      <c r="BH826" s="96"/>
      <c r="BI826" s="96"/>
    </row>
    <row r="827" spans="1:61" x14ac:dyDescent="0.45">
      <c r="A827" s="17"/>
      <c r="B827" s="17"/>
      <c r="C827" s="17"/>
      <c r="D827" s="17"/>
      <c r="E827" s="15"/>
      <c r="F827" s="17"/>
      <c r="G827" s="17"/>
      <c r="H827" s="3"/>
      <c r="I827" s="88"/>
      <c r="J827" s="88"/>
      <c r="K827" s="15"/>
      <c r="L827" s="96"/>
      <c r="M827" s="89"/>
      <c r="N827" s="88"/>
      <c r="O827" s="413"/>
      <c r="P827" s="18"/>
      <c r="Q827" s="91"/>
      <c r="R827" s="18"/>
      <c r="S827" s="18"/>
      <c r="T827" s="18"/>
      <c r="U827" s="18"/>
      <c r="V827" s="18"/>
      <c r="W827" s="18"/>
      <c r="X827" s="18"/>
      <c r="Y827" s="92"/>
      <c r="Z827" s="92"/>
      <c r="AA827" s="418"/>
      <c r="AB827" s="95"/>
      <c r="AC827" s="18"/>
      <c r="AD827" s="18"/>
      <c r="AE827" s="18"/>
      <c r="AF827" s="18"/>
      <c r="AG827" s="91"/>
      <c r="AH827" s="18"/>
      <c r="AI827" s="18"/>
      <c r="AJ827" s="18"/>
      <c r="AK827" s="18"/>
      <c r="AL827" s="18"/>
      <c r="AM827" s="18"/>
      <c r="AN827" s="18"/>
      <c r="AO827" s="18"/>
      <c r="AP827" s="18"/>
      <c r="AQ827" s="18"/>
      <c r="AR827" s="18"/>
      <c r="AS827" s="18"/>
      <c r="AT827" s="18"/>
      <c r="AU827" s="91"/>
      <c r="AV827" s="18"/>
      <c r="AW827" s="18"/>
      <c r="AX827" s="18"/>
      <c r="AY827" s="17"/>
      <c r="AZ827" s="17"/>
      <c r="BA827" s="17"/>
      <c r="BB827" s="17"/>
      <c r="BC827" s="96"/>
      <c r="BD827" s="96"/>
      <c r="BE827" s="96"/>
      <c r="BF827" s="96"/>
      <c r="BG827" s="96"/>
      <c r="BH827" s="96"/>
      <c r="BI827" s="96"/>
    </row>
    <row r="828" spans="1:61" x14ac:dyDescent="0.45">
      <c r="A828" s="17"/>
      <c r="B828" s="17"/>
      <c r="C828" s="17"/>
      <c r="D828" s="17"/>
      <c r="E828" s="15"/>
      <c r="F828" s="17"/>
      <c r="G828" s="17"/>
      <c r="H828" s="3"/>
      <c r="I828" s="88"/>
      <c r="J828" s="88"/>
      <c r="K828" s="15"/>
      <c r="L828" s="96"/>
      <c r="M828" s="89"/>
      <c r="N828" s="88"/>
      <c r="O828" s="413"/>
      <c r="P828" s="18"/>
      <c r="Q828" s="91"/>
      <c r="R828" s="18"/>
      <c r="S828" s="18"/>
      <c r="T828" s="18"/>
      <c r="U828" s="18"/>
      <c r="V828" s="18"/>
      <c r="W828" s="18"/>
      <c r="X828" s="18"/>
      <c r="Y828" s="92"/>
      <c r="Z828" s="92"/>
      <c r="AA828" s="418"/>
      <c r="AB828" s="95"/>
      <c r="AC828" s="18"/>
      <c r="AD828" s="18"/>
      <c r="AE828" s="18"/>
      <c r="AF828" s="18"/>
      <c r="AG828" s="91"/>
      <c r="AH828" s="18"/>
      <c r="AI828" s="18"/>
      <c r="AJ828" s="18"/>
      <c r="AK828" s="18"/>
      <c r="AL828" s="18"/>
      <c r="AM828" s="18"/>
      <c r="AN828" s="18"/>
      <c r="AO828" s="18"/>
      <c r="AP828" s="18"/>
      <c r="AQ828" s="18"/>
      <c r="AR828" s="18"/>
      <c r="AS828" s="18"/>
      <c r="AT828" s="18"/>
      <c r="AU828" s="91"/>
      <c r="AV828" s="18"/>
      <c r="AW828" s="18"/>
      <c r="AX828" s="18"/>
      <c r="AY828" s="17"/>
      <c r="AZ828" s="17"/>
      <c r="BA828" s="17"/>
      <c r="BB828" s="17"/>
      <c r="BC828" s="96"/>
      <c r="BD828" s="96"/>
      <c r="BE828" s="96"/>
      <c r="BF828" s="96"/>
      <c r="BG828" s="96"/>
      <c r="BH828" s="96"/>
      <c r="BI828" s="96"/>
    </row>
    <row r="829" spans="1:61" x14ac:dyDescent="0.45">
      <c r="A829" s="17"/>
      <c r="B829" s="17"/>
      <c r="C829" s="17"/>
      <c r="D829" s="17"/>
      <c r="E829" s="15"/>
      <c r="F829" s="17"/>
      <c r="G829" s="17"/>
      <c r="H829" s="3"/>
      <c r="I829" s="88"/>
      <c r="J829" s="88"/>
      <c r="K829" s="15"/>
      <c r="L829" s="96"/>
      <c r="M829" s="89"/>
      <c r="N829" s="88"/>
      <c r="O829" s="413"/>
      <c r="P829" s="18"/>
      <c r="Q829" s="91"/>
      <c r="R829" s="18"/>
      <c r="S829" s="18"/>
      <c r="T829" s="18"/>
      <c r="U829" s="18"/>
      <c r="V829" s="18"/>
      <c r="W829" s="18"/>
      <c r="X829" s="18"/>
      <c r="Y829" s="92"/>
      <c r="Z829" s="92"/>
      <c r="AA829" s="418"/>
      <c r="AB829" s="95"/>
      <c r="AC829" s="18"/>
      <c r="AD829" s="18"/>
      <c r="AE829" s="18"/>
      <c r="AF829" s="18"/>
      <c r="AG829" s="91"/>
      <c r="AH829" s="18"/>
      <c r="AI829" s="18"/>
      <c r="AJ829" s="18"/>
      <c r="AK829" s="18"/>
      <c r="AL829" s="18"/>
      <c r="AM829" s="18"/>
      <c r="AN829" s="18"/>
      <c r="AO829" s="18"/>
      <c r="AP829" s="18"/>
      <c r="AQ829" s="18"/>
      <c r="AR829" s="18"/>
      <c r="AS829" s="18"/>
      <c r="AT829" s="18"/>
      <c r="AU829" s="91"/>
      <c r="AV829" s="18"/>
      <c r="AW829" s="18"/>
      <c r="AX829" s="18"/>
      <c r="AY829" s="17"/>
      <c r="AZ829" s="17"/>
      <c r="BA829" s="17"/>
      <c r="BB829" s="17"/>
      <c r="BC829" s="96"/>
      <c r="BD829" s="96"/>
      <c r="BE829" s="96"/>
      <c r="BF829" s="96"/>
      <c r="BG829" s="96"/>
      <c r="BH829" s="96"/>
      <c r="BI829" s="96"/>
    </row>
    <row r="830" spans="1:61" x14ac:dyDescent="0.45">
      <c r="A830" s="17"/>
      <c r="B830" s="17"/>
      <c r="C830" s="17"/>
      <c r="D830" s="17"/>
      <c r="E830" s="15"/>
      <c r="F830" s="17"/>
      <c r="G830" s="17"/>
      <c r="H830" s="3"/>
      <c r="I830" s="88"/>
      <c r="J830" s="88"/>
      <c r="K830" s="15"/>
      <c r="L830" s="96"/>
      <c r="M830" s="89"/>
      <c r="N830" s="88"/>
      <c r="O830" s="413"/>
      <c r="P830" s="18"/>
      <c r="Q830" s="91"/>
      <c r="R830" s="18"/>
      <c r="S830" s="18"/>
      <c r="T830" s="18"/>
      <c r="U830" s="18"/>
      <c r="V830" s="18"/>
      <c r="W830" s="18"/>
      <c r="X830" s="18"/>
      <c r="Y830" s="92"/>
      <c r="Z830" s="92"/>
      <c r="AA830" s="418"/>
      <c r="AB830" s="95"/>
      <c r="AC830" s="18"/>
      <c r="AD830" s="18"/>
      <c r="AE830" s="18"/>
      <c r="AF830" s="18"/>
      <c r="AG830" s="91"/>
      <c r="AH830" s="18"/>
      <c r="AI830" s="18"/>
      <c r="AJ830" s="18"/>
      <c r="AK830" s="18"/>
      <c r="AL830" s="18"/>
      <c r="AM830" s="18"/>
      <c r="AN830" s="18"/>
      <c r="AO830" s="18"/>
      <c r="AP830" s="18"/>
      <c r="AQ830" s="18"/>
      <c r="AR830" s="18"/>
      <c r="AS830" s="18"/>
      <c r="AT830" s="18"/>
      <c r="AU830" s="91"/>
      <c r="AV830" s="18"/>
      <c r="AW830" s="18"/>
      <c r="AX830" s="18"/>
      <c r="AY830" s="17"/>
      <c r="AZ830" s="17"/>
      <c r="BA830" s="17"/>
      <c r="BB830" s="17"/>
      <c r="BC830" s="96"/>
      <c r="BD830" s="96"/>
      <c r="BE830" s="96"/>
      <c r="BF830" s="96"/>
      <c r="BG830" s="96"/>
      <c r="BH830" s="96"/>
      <c r="BI830" s="96"/>
    </row>
    <row r="831" spans="1:61" x14ac:dyDescent="0.45">
      <c r="A831" s="17"/>
      <c r="B831" s="17"/>
      <c r="C831" s="17"/>
      <c r="D831" s="17"/>
      <c r="E831" s="15"/>
      <c r="F831" s="17"/>
      <c r="G831" s="17"/>
      <c r="H831" s="3"/>
      <c r="I831" s="88"/>
      <c r="J831" s="88"/>
      <c r="K831" s="15"/>
      <c r="L831" s="96"/>
      <c r="M831" s="89"/>
      <c r="N831" s="88"/>
      <c r="O831" s="413"/>
      <c r="P831" s="18"/>
      <c r="Q831" s="91"/>
      <c r="R831" s="18"/>
      <c r="S831" s="18"/>
      <c r="T831" s="18"/>
      <c r="U831" s="18"/>
      <c r="V831" s="18"/>
      <c r="W831" s="18"/>
      <c r="X831" s="18"/>
      <c r="Y831" s="92"/>
      <c r="Z831" s="92"/>
      <c r="AA831" s="418"/>
      <c r="AB831" s="95"/>
      <c r="AC831" s="18"/>
      <c r="AD831" s="18"/>
      <c r="AE831" s="18"/>
      <c r="AF831" s="18"/>
      <c r="AG831" s="91"/>
      <c r="AH831" s="18"/>
      <c r="AI831" s="18"/>
      <c r="AJ831" s="18"/>
      <c r="AK831" s="18"/>
      <c r="AL831" s="18"/>
      <c r="AM831" s="18"/>
      <c r="AN831" s="18"/>
      <c r="AO831" s="18"/>
      <c r="AP831" s="18"/>
      <c r="AQ831" s="18"/>
      <c r="AR831" s="18"/>
      <c r="AS831" s="18"/>
      <c r="AT831" s="18"/>
      <c r="AU831" s="91"/>
      <c r="AV831" s="18"/>
      <c r="AW831" s="18"/>
      <c r="AX831" s="18"/>
      <c r="AY831" s="17"/>
      <c r="AZ831" s="17"/>
      <c r="BA831" s="17"/>
      <c r="BB831" s="17"/>
      <c r="BC831" s="96"/>
      <c r="BD831" s="96"/>
      <c r="BE831" s="96"/>
      <c r="BF831" s="96"/>
      <c r="BG831" s="96"/>
      <c r="BH831" s="96"/>
      <c r="BI831" s="96"/>
    </row>
    <row r="832" spans="1:61" x14ac:dyDescent="0.45">
      <c r="A832" s="17"/>
      <c r="B832" s="17"/>
      <c r="C832" s="17"/>
      <c r="D832" s="17"/>
      <c r="E832" s="15"/>
      <c r="F832" s="17"/>
      <c r="G832" s="17"/>
      <c r="H832" s="3"/>
      <c r="I832" s="88"/>
      <c r="J832" s="88"/>
      <c r="K832" s="15"/>
      <c r="L832" s="96"/>
      <c r="M832" s="89"/>
      <c r="N832" s="88"/>
      <c r="O832" s="413"/>
      <c r="P832" s="18"/>
      <c r="Q832" s="91"/>
      <c r="R832" s="18"/>
      <c r="S832" s="18"/>
      <c r="T832" s="18"/>
      <c r="U832" s="18"/>
      <c r="V832" s="18"/>
      <c r="W832" s="18"/>
      <c r="X832" s="18"/>
      <c r="Y832" s="92"/>
      <c r="Z832" s="92"/>
      <c r="AA832" s="418"/>
      <c r="AB832" s="95"/>
      <c r="AC832" s="18"/>
      <c r="AD832" s="18"/>
      <c r="AE832" s="18"/>
      <c r="AF832" s="18"/>
      <c r="AG832" s="91"/>
      <c r="AH832" s="18"/>
      <c r="AI832" s="18"/>
      <c r="AJ832" s="18"/>
      <c r="AK832" s="18"/>
      <c r="AL832" s="18"/>
      <c r="AM832" s="18"/>
      <c r="AN832" s="18"/>
      <c r="AO832" s="18"/>
      <c r="AP832" s="18"/>
      <c r="AQ832" s="18"/>
      <c r="AR832" s="18"/>
      <c r="AS832" s="18"/>
      <c r="AT832" s="18"/>
      <c r="AU832" s="91"/>
      <c r="AV832" s="18"/>
      <c r="AW832" s="18"/>
      <c r="AX832" s="18"/>
      <c r="AY832" s="17"/>
      <c r="AZ832" s="17"/>
      <c r="BA832" s="17"/>
      <c r="BB832" s="17"/>
      <c r="BC832" s="96"/>
      <c r="BD832" s="96"/>
      <c r="BE832" s="96"/>
      <c r="BF832" s="96"/>
      <c r="BG832" s="96"/>
      <c r="BH832" s="96"/>
      <c r="BI832" s="96"/>
    </row>
    <row r="833" spans="1:61" x14ac:dyDescent="0.45">
      <c r="A833" s="17"/>
      <c r="B833" s="17"/>
      <c r="C833" s="17"/>
      <c r="D833" s="17"/>
      <c r="E833" s="15"/>
      <c r="F833" s="17"/>
      <c r="G833" s="17"/>
      <c r="H833" s="3"/>
      <c r="I833" s="88"/>
      <c r="J833" s="88"/>
      <c r="K833" s="15"/>
      <c r="L833" s="96"/>
      <c r="M833" s="89"/>
      <c r="N833" s="88"/>
      <c r="O833" s="413"/>
      <c r="P833" s="18"/>
      <c r="Q833" s="91"/>
      <c r="R833" s="18"/>
      <c r="S833" s="18"/>
      <c r="T833" s="18"/>
      <c r="U833" s="18"/>
      <c r="V833" s="18"/>
      <c r="W833" s="18"/>
      <c r="X833" s="18"/>
      <c r="Y833" s="92"/>
      <c r="Z833" s="92"/>
      <c r="AA833" s="418"/>
      <c r="AB833" s="95"/>
      <c r="AC833" s="18"/>
      <c r="AD833" s="18"/>
      <c r="AE833" s="18"/>
      <c r="AF833" s="18"/>
      <c r="AG833" s="91"/>
      <c r="AH833" s="18"/>
      <c r="AI833" s="18"/>
      <c r="AJ833" s="18"/>
      <c r="AK833" s="18"/>
      <c r="AL833" s="18"/>
      <c r="AM833" s="18"/>
      <c r="AN833" s="18"/>
      <c r="AO833" s="18"/>
      <c r="AP833" s="18"/>
      <c r="AQ833" s="18"/>
      <c r="AR833" s="18"/>
      <c r="AS833" s="18"/>
      <c r="AT833" s="18"/>
      <c r="AU833" s="91"/>
      <c r="AV833" s="18"/>
      <c r="AW833" s="18"/>
      <c r="AX833" s="18"/>
      <c r="AY833" s="17"/>
      <c r="AZ833" s="17"/>
      <c r="BA833" s="17"/>
      <c r="BB833" s="17"/>
      <c r="BC833" s="96"/>
      <c r="BD833" s="96"/>
      <c r="BE833" s="96"/>
      <c r="BF833" s="96"/>
      <c r="BG833" s="96"/>
      <c r="BH833" s="96"/>
      <c r="BI833" s="96"/>
    </row>
    <row r="834" spans="1:61" x14ac:dyDescent="0.45">
      <c r="A834" s="17"/>
      <c r="B834" s="17"/>
      <c r="C834" s="17"/>
      <c r="D834" s="17"/>
      <c r="E834" s="15"/>
      <c r="F834" s="17"/>
      <c r="G834" s="17"/>
      <c r="H834" s="3"/>
      <c r="I834" s="88"/>
      <c r="J834" s="88"/>
      <c r="K834" s="15"/>
      <c r="L834" s="96"/>
      <c r="M834" s="89"/>
      <c r="N834" s="88"/>
      <c r="O834" s="413"/>
      <c r="P834" s="18"/>
      <c r="Q834" s="91"/>
      <c r="R834" s="18"/>
      <c r="S834" s="18"/>
      <c r="T834" s="18"/>
      <c r="U834" s="18"/>
      <c r="V834" s="18"/>
      <c r="W834" s="18"/>
      <c r="X834" s="18"/>
      <c r="Y834" s="92"/>
      <c r="Z834" s="92"/>
      <c r="AA834" s="418"/>
      <c r="AB834" s="95"/>
      <c r="AC834" s="18"/>
      <c r="AD834" s="18"/>
      <c r="AE834" s="18"/>
      <c r="AF834" s="18"/>
      <c r="AG834" s="91"/>
      <c r="AH834" s="18"/>
      <c r="AI834" s="18"/>
      <c r="AJ834" s="18"/>
      <c r="AK834" s="18"/>
      <c r="AL834" s="18"/>
      <c r="AM834" s="18"/>
      <c r="AN834" s="18"/>
      <c r="AO834" s="18"/>
      <c r="AP834" s="18"/>
      <c r="AQ834" s="18"/>
      <c r="AR834" s="18"/>
      <c r="AS834" s="18"/>
      <c r="AT834" s="18"/>
      <c r="AU834" s="91"/>
      <c r="AV834" s="18"/>
      <c r="AW834" s="18"/>
      <c r="AX834" s="18"/>
      <c r="AY834" s="17"/>
      <c r="AZ834" s="17"/>
      <c r="BA834" s="17"/>
      <c r="BB834" s="17"/>
      <c r="BC834" s="96"/>
      <c r="BD834" s="96"/>
      <c r="BE834" s="96"/>
      <c r="BF834" s="96"/>
      <c r="BG834" s="96"/>
      <c r="BH834" s="96"/>
      <c r="BI834" s="96"/>
    </row>
    <row r="835" spans="1:61" x14ac:dyDescent="0.45">
      <c r="A835" s="17"/>
      <c r="B835" s="17"/>
      <c r="C835" s="17"/>
      <c r="D835" s="17"/>
      <c r="E835" s="15"/>
      <c r="F835" s="17"/>
      <c r="G835" s="17"/>
      <c r="H835" s="3"/>
      <c r="I835" s="88"/>
      <c r="J835" s="88"/>
      <c r="K835" s="15"/>
      <c r="L835" s="96"/>
      <c r="M835" s="89"/>
      <c r="N835" s="88"/>
      <c r="O835" s="413"/>
      <c r="P835" s="18"/>
      <c r="Q835" s="91"/>
      <c r="R835" s="18"/>
      <c r="S835" s="18"/>
      <c r="T835" s="18"/>
      <c r="U835" s="18"/>
      <c r="V835" s="18"/>
      <c r="W835" s="18"/>
      <c r="X835" s="18"/>
      <c r="Y835" s="92"/>
      <c r="Z835" s="92"/>
      <c r="AA835" s="418"/>
      <c r="AB835" s="95"/>
      <c r="AC835" s="18"/>
      <c r="AD835" s="18"/>
      <c r="AE835" s="18"/>
      <c r="AF835" s="18"/>
      <c r="AG835" s="91"/>
      <c r="AH835" s="18"/>
      <c r="AI835" s="18"/>
      <c r="AJ835" s="18"/>
      <c r="AK835" s="18"/>
      <c r="AL835" s="18"/>
      <c r="AM835" s="18"/>
      <c r="AN835" s="18"/>
      <c r="AO835" s="18"/>
      <c r="AP835" s="18"/>
      <c r="AQ835" s="18"/>
      <c r="AR835" s="18"/>
      <c r="AS835" s="18"/>
      <c r="AT835" s="18"/>
      <c r="AU835" s="91"/>
      <c r="AV835" s="18"/>
      <c r="AW835" s="18"/>
      <c r="AX835" s="18"/>
      <c r="AY835" s="17"/>
      <c r="AZ835" s="17"/>
      <c r="BA835" s="17"/>
      <c r="BB835" s="17"/>
      <c r="BC835" s="96"/>
      <c r="BD835" s="96"/>
      <c r="BE835" s="96"/>
      <c r="BF835" s="96"/>
      <c r="BG835" s="96"/>
      <c r="BH835" s="96"/>
      <c r="BI835" s="96"/>
    </row>
    <row r="836" spans="1:61" x14ac:dyDescent="0.45">
      <c r="A836" s="17"/>
      <c r="B836" s="17"/>
      <c r="C836" s="17"/>
      <c r="D836" s="17"/>
      <c r="E836" s="15"/>
      <c r="F836" s="17"/>
      <c r="G836" s="17"/>
      <c r="H836" s="3"/>
      <c r="I836" s="88"/>
      <c r="J836" s="88"/>
      <c r="K836" s="15"/>
      <c r="L836" s="96"/>
      <c r="M836" s="89"/>
      <c r="N836" s="88"/>
      <c r="O836" s="413"/>
      <c r="P836" s="18"/>
      <c r="Q836" s="91"/>
      <c r="R836" s="18"/>
      <c r="S836" s="18"/>
      <c r="T836" s="18"/>
      <c r="U836" s="18"/>
      <c r="V836" s="18"/>
      <c r="W836" s="18"/>
      <c r="X836" s="18"/>
      <c r="Y836" s="92"/>
      <c r="Z836" s="92"/>
      <c r="AA836" s="418"/>
      <c r="AB836" s="95"/>
      <c r="AC836" s="18"/>
      <c r="AD836" s="18"/>
      <c r="AE836" s="18"/>
      <c r="AF836" s="18"/>
      <c r="AG836" s="91"/>
      <c r="AH836" s="18"/>
      <c r="AI836" s="18"/>
      <c r="AJ836" s="18"/>
      <c r="AK836" s="18"/>
      <c r="AL836" s="18"/>
      <c r="AM836" s="18"/>
      <c r="AN836" s="18"/>
      <c r="AO836" s="18"/>
      <c r="AP836" s="18"/>
      <c r="AQ836" s="18"/>
      <c r="AR836" s="18"/>
      <c r="AS836" s="18"/>
      <c r="AT836" s="18"/>
      <c r="AU836" s="91"/>
      <c r="AV836" s="18"/>
      <c r="AW836" s="18"/>
      <c r="AX836" s="18"/>
      <c r="AY836" s="17"/>
      <c r="AZ836" s="17"/>
      <c r="BA836" s="17"/>
      <c r="BB836" s="17"/>
      <c r="BC836" s="96"/>
      <c r="BD836" s="96"/>
      <c r="BE836" s="96"/>
      <c r="BF836" s="96"/>
      <c r="BG836" s="96"/>
      <c r="BH836" s="96"/>
      <c r="BI836" s="96"/>
    </row>
    <row r="837" spans="1:61" x14ac:dyDescent="0.45">
      <c r="A837" s="17"/>
      <c r="B837" s="17"/>
      <c r="C837" s="17"/>
      <c r="D837" s="17"/>
      <c r="E837" s="15"/>
      <c r="F837" s="17"/>
      <c r="G837" s="17"/>
      <c r="H837" s="3"/>
      <c r="I837" s="88"/>
      <c r="J837" s="88"/>
      <c r="K837" s="15"/>
      <c r="L837" s="96"/>
      <c r="M837" s="89"/>
      <c r="N837" s="88"/>
      <c r="O837" s="413"/>
      <c r="P837" s="18"/>
      <c r="Q837" s="91"/>
      <c r="R837" s="18"/>
      <c r="S837" s="18"/>
      <c r="T837" s="18"/>
      <c r="U837" s="18"/>
      <c r="V837" s="18"/>
      <c r="W837" s="18"/>
      <c r="X837" s="18"/>
      <c r="Y837" s="92"/>
      <c r="Z837" s="92"/>
      <c r="AA837" s="418"/>
      <c r="AB837" s="95"/>
      <c r="AC837" s="18"/>
      <c r="AD837" s="18"/>
      <c r="AE837" s="18"/>
      <c r="AF837" s="18"/>
      <c r="AG837" s="91"/>
      <c r="AH837" s="18"/>
      <c r="AI837" s="18"/>
      <c r="AJ837" s="18"/>
      <c r="AK837" s="18"/>
      <c r="AL837" s="18"/>
      <c r="AM837" s="18"/>
      <c r="AN837" s="18"/>
      <c r="AO837" s="18"/>
      <c r="AP837" s="18"/>
      <c r="AQ837" s="18"/>
      <c r="AR837" s="18"/>
      <c r="AS837" s="18"/>
      <c r="AT837" s="18"/>
      <c r="AU837" s="91"/>
      <c r="AV837" s="18"/>
      <c r="AW837" s="18"/>
      <c r="AX837" s="18"/>
      <c r="AY837" s="17"/>
      <c r="AZ837" s="17"/>
      <c r="BA837" s="17"/>
      <c r="BB837" s="17"/>
      <c r="BC837" s="96"/>
      <c r="BD837" s="96"/>
      <c r="BE837" s="96"/>
      <c r="BF837" s="96"/>
      <c r="BG837" s="96"/>
      <c r="BH837" s="96"/>
      <c r="BI837" s="96"/>
    </row>
    <row r="838" spans="1:61" x14ac:dyDescent="0.45">
      <c r="A838" s="17"/>
      <c r="B838" s="17"/>
      <c r="C838" s="17"/>
      <c r="D838" s="17"/>
      <c r="E838" s="15"/>
      <c r="F838" s="17"/>
      <c r="G838" s="17"/>
      <c r="H838" s="3"/>
      <c r="I838" s="88"/>
      <c r="J838" s="88"/>
      <c r="K838" s="15"/>
      <c r="L838" s="96"/>
      <c r="M838" s="89"/>
      <c r="N838" s="88"/>
      <c r="O838" s="413"/>
      <c r="P838" s="18"/>
      <c r="Q838" s="91"/>
      <c r="R838" s="18"/>
      <c r="S838" s="18"/>
      <c r="T838" s="18"/>
      <c r="U838" s="18"/>
      <c r="V838" s="18"/>
      <c r="W838" s="18"/>
      <c r="X838" s="18"/>
      <c r="Y838" s="92"/>
      <c r="Z838" s="92"/>
      <c r="AA838" s="418"/>
      <c r="AB838" s="95"/>
      <c r="AC838" s="18"/>
      <c r="AD838" s="18"/>
      <c r="AE838" s="18"/>
      <c r="AF838" s="18"/>
      <c r="AG838" s="91"/>
      <c r="AH838" s="18"/>
      <c r="AI838" s="18"/>
      <c r="AJ838" s="18"/>
      <c r="AK838" s="18"/>
      <c r="AL838" s="18"/>
      <c r="AM838" s="18"/>
      <c r="AN838" s="18"/>
      <c r="AO838" s="18"/>
      <c r="AP838" s="18"/>
      <c r="AQ838" s="18"/>
      <c r="AR838" s="18"/>
      <c r="AS838" s="18"/>
      <c r="AT838" s="18"/>
      <c r="AU838" s="91"/>
      <c r="AV838" s="18"/>
      <c r="AW838" s="18"/>
      <c r="AX838" s="18"/>
      <c r="AY838" s="17"/>
      <c r="AZ838" s="17"/>
      <c r="BA838" s="17"/>
      <c r="BB838" s="17"/>
      <c r="BC838" s="96"/>
      <c r="BD838" s="96"/>
      <c r="BE838" s="96"/>
      <c r="BF838" s="96"/>
      <c r="BG838" s="96"/>
      <c r="BH838" s="96"/>
      <c r="BI838" s="96"/>
    </row>
    <row r="839" spans="1:61" x14ac:dyDescent="0.45">
      <c r="A839" s="17"/>
      <c r="B839" s="17"/>
      <c r="C839" s="17"/>
      <c r="D839" s="17"/>
      <c r="E839" s="15"/>
      <c r="F839" s="17"/>
      <c r="G839" s="17"/>
      <c r="H839" s="3"/>
      <c r="I839" s="88"/>
      <c r="J839" s="88"/>
      <c r="K839" s="15"/>
      <c r="L839" s="96"/>
      <c r="M839" s="89"/>
      <c r="N839" s="88"/>
      <c r="O839" s="413"/>
      <c r="P839" s="18"/>
      <c r="Q839" s="91"/>
      <c r="R839" s="18"/>
      <c r="S839" s="18"/>
      <c r="T839" s="18"/>
      <c r="U839" s="18"/>
      <c r="V839" s="18"/>
      <c r="W839" s="18"/>
      <c r="X839" s="18"/>
      <c r="Y839" s="92"/>
      <c r="Z839" s="92"/>
      <c r="AA839" s="418"/>
      <c r="AB839" s="95"/>
      <c r="AC839" s="18"/>
      <c r="AD839" s="18"/>
      <c r="AE839" s="18"/>
      <c r="AF839" s="18"/>
      <c r="AG839" s="91"/>
      <c r="AH839" s="18"/>
      <c r="AI839" s="18"/>
      <c r="AJ839" s="18"/>
      <c r="AK839" s="18"/>
      <c r="AL839" s="18"/>
      <c r="AM839" s="18"/>
      <c r="AN839" s="18"/>
      <c r="AO839" s="18"/>
      <c r="AP839" s="18"/>
      <c r="AQ839" s="18"/>
      <c r="AR839" s="18"/>
      <c r="AS839" s="18"/>
      <c r="AT839" s="18"/>
      <c r="AU839" s="91"/>
      <c r="AV839" s="18"/>
      <c r="AW839" s="18"/>
      <c r="AX839" s="18"/>
      <c r="AY839" s="17"/>
      <c r="AZ839" s="17"/>
      <c r="BA839" s="17"/>
      <c r="BB839" s="17"/>
      <c r="BC839" s="96"/>
      <c r="BD839" s="96"/>
      <c r="BE839" s="96"/>
      <c r="BF839" s="96"/>
      <c r="BG839" s="96"/>
      <c r="BH839" s="96"/>
      <c r="BI839" s="96"/>
    </row>
    <row r="840" spans="1:61" x14ac:dyDescent="0.45">
      <c r="A840" s="17"/>
      <c r="B840" s="17"/>
      <c r="C840" s="17"/>
      <c r="D840" s="17"/>
      <c r="E840" s="15"/>
      <c r="F840" s="17"/>
      <c r="G840" s="17"/>
      <c r="H840" s="3"/>
      <c r="I840" s="88"/>
      <c r="J840" s="88"/>
      <c r="K840" s="15"/>
      <c r="L840" s="96"/>
      <c r="M840" s="89"/>
      <c r="N840" s="88"/>
      <c r="O840" s="413"/>
      <c r="P840" s="18"/>
      <c r="Q840" s="91"/>
      <c r="R840" s="18"/>
      <c r="S840" s="18"/>
      <c r="T840" s="18"/>
      <c r="U840" s="18"/>
      <c r="V840" s="18"/>
      <c r="W840" s="18"/>
      <c r="X840" s="18"/>
      <c r="Y840" s="92"/>
      <c r="Z840" s="92"/>
      <c r="AA840" s="418"/>
      <c r="AB840" s="95"/>
      <c r="AC840" s="18"/>
      <c r="AD840" s="18"/>
      <c r="AE840" s="18"/>
      <c r="AF840" s="18"/>
      <c r="AG840" s="91"/>
      <c r="AH840" s="18"/>
      <c r="AI840" s="18"/>
      <c r="AJ840" s="18"/>
      <c r="AK840" s="18"/>
      <c r="AL840" s="18"/>
      <c r="AM840" s="18"/>
      <c r="AN840" s="18"/>
      <c r="AO840" s="18"/>
      <c r="AP840" s="18"/>
      <c r="AQ840" s="18"/>
      <c r="AR840" s="18"/>
      <c r="AS840" s="18"/>
      <c r="AT840" s="18"/>
      <c r="AU840" s="91"/>
      <c r="AV840" s="18"/>
      <c r="AW840" s="18"/>
      <c r="AX840" s="18"/>
      <c r="AY840" s="17"/>
      <c r="AZ840" s="17"/>
      <c r="BA840" s="17"/>
      <c r="BB840" s="17"/>
      <c r="BC840" s="96"/>
      <c r="BD840" s="96"/>
      <c r="BE840" s="96"/>
      <c r="BF840" s="96"/>
      <c r="BG840" s="96"/>
      <c r="BH840" s="96"/>
      <c r="BI840" s="96"/>
    </row>
    <row r="841" spans="1:61" x14ac:dyDescent="0.45">
      <c r="A841" s="17"/>
      <c r="B841" s="17"/>
      <c r="C841" s="17"/>
      <c r="D841" s="17"/>
      <c r="E841" s="15"/>
      <c r="F841" s="17"/>
      <c r="G841" s="17"/>
      <c r="H841" s="3"/>
      <c r="I841" s="88"/>
      <c r="J841" s="88"/>
      <c r="K841" s="15"/>
      <c r="L841" s="96"/>
      <c r="M841" s="89"/>
      <c r="N841" s="88"/>
      <c r="O841" s="413"/>
      <c r="P841" s="18"/>
      <c r="Q841" s="91"/>
      <c r="R841" s="18"/>
      <c r="S841" s="18"/>
      <c r="T841" s="18"/>
      <c r="U841" s="18"/>
      <c r="V841" s="18"/>
      <c r="W841" s="18"/>
      <c r="X841" s="18"/>
      <c r="Y841" s="92"/>
      <c r="Z841" s="92"/>
      <c r="AA841" s="418"/>
      <c r="AB841" s="95"/>
      <c r="AC841" s="18"/>
      <c r="AD841" s="18"/>
      <c r="AE841" s="18"/>
      <c r="AF841" s="18"/>
      <c r="AG841" s="91"/>
      <c r="AH841" s="18"/>
      <c r="AI841" s="18"/>
      <c r="AJ841" s="18"/>
      <c r="AK841" s="18"/>
      <c r="AL841" s="18"/>
      <c r="AM841" s="18"/>
      <c r="AN841" s="18"/>
      <c r="AO841" s="18"/>
      <c r="AP841" s="18"/>
      <c r="AQ841" s="18"/>
      <c r="AR841" s="18"/>
      <c r="AS841" s="18"/>
      <c r="AT841" s="18"/>
      <c r="AU841" s="91"/>
      <c r="AV841" s="18"/>
      <c r="AW841" s="18"/>
      <c r="AX841" s="18"/>
      <c r="AY841" s="17"/>
      <c r="AZ841" s="17"/>
      <c r="BA841" s="17"/>
      <c r="BB841" s="17"/>
      <c r="BC841" s="96"/>
      <c r="BD841" s="96"/>
      <c r="BE841" s="96"/>
      <c r="BF841" s="96"/>
      <c r="BG841" s="96"/>
      <c r="BH841" s="96"/>
      <c r="BI841" s="96"/>
    </row>
    <row r="842" spans="1:61" x14ac:dyDescent="0.45">
      <c r="A842" s="17"/>
      <c r="B842" s="17"/>
      <c r="C842" s="17"/>
      <c r="D842" s="17"/>
      <c r="E842" s="15"/>
      <c r="F842" s="17"/>
      <c r="G842" s="17"/>
      <c r="H842" s="3"/>
      <c r="I842" s="88"/>
      <c r="J842" s="88"/>
      <c r="K842" s="15"/>
      <c r="L842" s="96"/>
      <c r="M842" s="89"/>
      <c r="N842" s="88"/>
      <c r="O842" s="413"/>
      <c r="P842" s="18"/>
      <c r="Q842" s="91"/>
      <c r="R842" s="18"/>
      <c r="S842" s="18"/>
      <c r="T842" s="18"/>
      <c r="U842" s="18"/>
      <c r="V842" s="18"/>
      <c r="W842" s="18"/>
      <c r="X842" s="18"/>
      <c r="Y842" s="92"/>
      <c r="Z842" s="92"/>
      <c r="AA842" s="418"/>
      <c r="AB842" s="95"/>
      <c r="AC842" s="18"/>
      <c r="AD842" s="18"/>
      <c r="AE842" s="18"/>
      <c r="AF842" s="18"/>
      <c r="AG842" s="91"/>
      <c r="AH842" s="18"/>
      <c r="AI842" s="18"/>
      <c r="AJ842" s="18"/>
      <c r="AK842" s="18"/>
      <c r="AL842" s="18"/>
      <c r="AM842" s="18"/>
      <c r="AN842" s="18"/>
      <c r="AO842" s="18"/>
      <c r="AP842" s="18"/>
      <c r="AQ842" s="18"/>
      <c r="AR842" s="18"/>
      <c r="AS842" s="18"/>
      <c r="AT842" s="18"/>
      <c r="AU842" s="91"/>
      <c r="AV842" s="18"/>
      <c r="AW842" s="18"/>
      <c r="AX842" s="18"/>
      <c r="AY842" s="17"/>
      <c r="AZ842" s="17"/>
      <c r="BA842" s="17"/>
      <c r="BB842" s="17"/>
      <c r="BC842" s="96"/>
      <c r="BD842" s="96"/>
      <c r="BE842" s="96"/>
      <c r="BF842" s="96"/>
      <c r="BG842" s="96"/>
      <c r="BH842" s="96"/>
      <c r="BI842" s="96"/>
    </row>
    <row r="843" spans="1:61" x14ac:dyDescent="0.45">
      <c r="A843" s="17"/>
      <c r="B843" s="17"/>
      <c r="C843" s="17"/>
      <c r="D843" s="17"/>
      <c r="E843" s="15"/>
      <c r="F843" s="17"/>
      <c r="G843" s="17"/>
      <c r="H843" s="3"/>
      <c r="I843" s="88"/>
      <c r="J843" s="88"/>
      <c r="K843" s="15"/>
      <c r="L843" s="96"/>
      <c r="M843" s="89"/>
      <c r="N843" s="88"/>
      <c r="O843" s="413"/>
      <c r="P843" s="18"/>
      <c r="Q843" s="91"/>
      <c r="R843" s="18"/>
      <c r="S843" s="18"/>
      <c r="T843" s="18"/>
      <c r="U843" s="18"/>
      <c r="V843" s="18"/>
      <c r="W843" s="18"/>
      <c r="X843" s="18"/>
      <c r="Y843" s="92"/>
      <c r="Z843" s="92"/>
      <c r="AA843" s="418"/>
      <c r="AB843" s="95"/>
      <c r="AC843" s="18"/>
      <c r="AD843" s="18"/>
      <c r="AE843" s="18"/>
      <c r="AF843" s="18"/>
      <c r="AG843" s="91"/>
      <c r="AH843" s="18"/>
      <c r="AI843" s="18"/>
      <c r="AJ843" s="18"/>
      <c r="AK843" s="18"/>
      <c r="AL843" s="18"/>
      <c r="AM843" s="18"/>
      <c r="AN843" s="18"/>
      <c r="AO843" s="18"/>
      <c r="AP843" s="18"/>
      <c r="AQ843" s="18"/>
      <c r="AR843" s="18"/>
      <c r="AS843" s="18"/>
      <c r="AT843" s="18"/>
      <c r="AU843" s="91"/>
      <c r="AV843" s="18"/>
      <c r="AW843" s="18"/>
      <c r="AX843" s="18"/>
      <c r="AY843" s="17"/>
      <c r="AZ843" s="17"/>
      <c r="BA843" s="17"/>
      <c r="BB843" s="17"/>
      <c r="BC843" s="96"/>
      <c r="BD843" s="96"/>
      <c r="BE843" s="96"/>
      <c r="BF843" s="96"/>
      <c r="BG843" s="96"/>
      <c r="BH843" s="96"/>
      <c r="BI843" s="96"/>
    </row>
    <row r="844" spans="1:61" x14ac:dyDescent="0.45">
      <c r="A844" s="17"/>
      <c r="B844" s="17"/>
      <c r="C844" s="17"/>
      <c r="D844" s="17"/>
      <c r="E844" s="15"/>
      <c r="F844" s="17"/>
      <c r="G844" s="17"/>
      <c r="H844" s="3"/>
      <c r="I844" s="88"/>
      <c r="J844" s="88"/>
      <c r="K844" s="15"/>
      <c r="L844" s="96"/>
      <c r="M844" s="89"/>
      <c r="N844" s="88"/>
      <c r="O844" s="413"/>
      <c r="P844" s="18"/>
      <c r="Q844" s="91"/>
      <c r="R844" s="18"/>
      <c r="S844" s="18"/>
      <c r="T844" s="18"/>
      <c r="U844" s="18"/>
      <c r="V844" s="18"/>
      <c r="W844" s="18"/>
      <c r="X844" s="18"/>
      <c r="Y844" s="92"/>
      <c r="Z844" s="92"/>
      <c r="AA844" s="418"/>
      <c r="AB844" s="95"/>
      <c r="AC844" s="18"/>
      <c r="AD844" s="18"/>
      <c r="AE844" s="18"/>
      <c r="AF844" s="18"/>
      <c r="AG844" s="91"/>
      <c r="AH844" s="18"/>
      <c r="AI844" s="18"/>
      <c r="AJ844" s="18"/>
      <c r="AK844" s="18"/>
      <c r="AL844" s="18"/>
      <c r="AM844" s="18"/>
      <c r="AN844" s="18"/>
      <c r="AO844" s="18"/>
      <c r="AP844" s="18"/>
      <c r="AQ844" s="18"/>
      <c r="AR844" s="18"/>
      <c r="AS844" s="18"/>
      <c r="AT844" s="18"/>
      <c r="AU844" s="91"/>
      <c r="AV844" s="18"/>
      <c r="AW844" s="18"/>
      <c r="AX844" s="18"/>
      <c r="AY844" s="17"/>
      <c r="AZ844" s="17"/>
      <c r="BA844" s="17"/>
      <c r="BB844" s="17"/>
      <c r="BC844" s="96"/>
      <c r="BD844" s="96"/>
      <c r="BE844" s="96"/>
      <c r="BF844" s="96"/>
      <c r="BG844" s="96"/>
      <c r="BH844" s="96"/>
      <c r="BI844" s="96"/>
    </row>
    <row r="845" spans="1:61" x14ac:dyDescent="0.45">
      <c r="A845" s="17"/>
      <c r="B845" s="17"/>
      <c r="C845" s="17"/>
      <c r="D845" s="17"/>
      <c r="E845" s="15"/>
      <c r="F845" s="17"/>
      <c r="G845" s="17"/>
      <c r="H845" s="3"/>
      <c r="I845" s="88"/>
      <c r="J845" s="88"/>
      <c r="K845" s="15"/>
      <c r="L845" s="96"/>
      <c r="M845" s="89"/>
      <c r="N845" s="88"/>
      <c r="O845" s="413"/>
      <c r="P845" s="18"/>
      <c r="Q845" s="91"/>
      <c r="R845" s="18"/>
      <c r="S845" s="18"/>
      <c r="T845" s="18"/>
      <c r="U845" s="18"/>
      <c r="V845" s="18"/>
      <c r="W845" s="18"/>
      <c r="X845" s="18"/>
      <c r="Y845" s="92"/>
      <c r="Z845" s="92"/>
      <c r="AA845" s="418"/>
      <c r="AB845" s="95"/>
      <c r="AC845" s="18"/>
      <c r="AD845" s="18"/>
      <c r="AE845" s="18"/>
      <c r="AF845" s="18"/>
      <c r="AG845" s="91"/>
      <c r="AH845" s="18"/>
      <c r="AI845" s="18"/>
      <c r="AJ845" s="18"/>
      <c r="AK845" s="18"/>
      <c r="AL845" s="18"/>
      <c r="AM845" s="18"/>
      <c r="AN845" s="18"/>
      <c r="AO845" s="18"/>
      <c r="AP845" s="18"/>
      <c r="AQ845" s="18"/>
      <c r="AR845" s="18"/>
      <c r="AS845" s="18"/>
      <c r="AT845" s="18"/>
      <c r="AU845" s="91"/>
      <c r="AV845" s="18"/>
      <c r="AW845" s="18"/>
      <c r="AX845" s="18"/>
      <c r="AY845" s="17"/>
      <c r="AZ845" s="17"/>
      <c r="BA845" s="17"/>
      <c r="BB845" s="17"/>
      <c r="BC845" s="96"/>
      <c r="BD845" s="96"/>
      <c r="BE845" s="96"/>
      <c r="BF845" s="96"/>
      <c r="BG845" s="96"/>
      <c r="BH845" s="96"/>
      <c r="BI845" s="96"/>
    </row>
    <row r="846" spans="1:61" x14ac:dyDescent="0.45">
      <c r="A846" s="17"/>
      <c r="B846" s="17"/>
      <c r="C846" s="17"/>
      <c r="D846" s="17"/>
      <c r="E846" s="15"/>
      <c r="F846" s="17"/>
      <c r="G846" s="17"/>
      <c r="H846" s="3"/>
      <c r="I846" s="88"/>
      <c r="J846" s="88"/>
      <c r="K846" s="15"/>
      <c r="L846" s="96"/>
      <c r="M846" s="89"/>
      <c r="N846" s="88"/>
      <c r="O846" s="413"/>
      <c r="P846" s="18"/>
      <c r="Q846" s="91"/>
      <c r="R846" s="18"/>
      <c r="S846" s="18"/>
      <c r="T846" s="18"/>
      <c r="U846" s="18"/>
      <c r="V846" s="18"/>
      <c r="W846" s="18"/>
      <c r="X846" s="18"/>
      <c r="Y846" s="92"/>
      <c r="Z846" s="92"/>
      <c r="AA846" s="418"/>
      <c r="AB846" s="95"/>
      <c r="AC846" s="18"/>
      <c r="AD846" s="18"/>
      <c r="AE846" s="18"/>
      <c r="AF846" s="18"/>
      <c r="AG846" s="91"/>
      <c r="AH846" s="18"/>
      <c r="AI846" s="18"/>
      <c r="AJ846" s="18"/>
      <c r="AK846" s="18"/>
      <c r="AL846" s="18"/>
      <c r="AM846" s="18"/>
      <c r="AN846" s="18"/>
      <c r="AO846" s="18"/>
      <c r="AP846" s="18"/>
      <c r="AQ846" s="18"/>
      <c r="AR846" s="18"/>
      <c r="AS846" s="18"/>
      <c r="AT846" s="18"/>
      <c r="AU846" s="91"/>
      <c r="AV846" s="18"/>
      <c r="AW846" s="18"/>
      <c r="AX846" s="18"/>
      <c r="AY846" s="17"/>
      <c r="AZ846" s="17"/>
      <c r="BA846" s="17"/>
      <c r="BB846" s="17"/>
      <c r="BC846" s="96"/>
      <c r="BD846" s="96"/>
      <c r="BE846" s="96"/>
      <c r="BF846" s="96"/>
      <c r="BG846" s="96"/>
      <c r="BH846" s="96"/>
      <c r="BI846" s="96"/>
    </row>
    <row r="847" spans="1:61" x14ac:dyDescent="0.45">
      <c r="A847" s="17"/>
      <c r="B847" s="17"/>
      <c r="C847" s="17"/>
      <c r="D847" s="17"/>
      <c r="E847" s="15"/>
      <c r="F847" s="17"/>
      <c r="G847" s="17"/>
      <c r="H847" s="3"/>
      <c r="I847" s="88"/>
      <c r="J847" s="88"/>
      <c r="K847" s="15"/>
      <c r="L847" s="96"/>
      <c r="M847" s="89"/>
      <c r="N847" s="88"/>
      <c r="O847" s="413"/>
      <c r="P847" s="18"/>
      <c r="Q847" s="91"/>
      <c r="R847" s="18"/>
      <c r="S847" s="18"/>
      <c r="T847" s="18"/>
      <c r="U847" s="18"/>
      <c r="V847" s="18"/>
      <c r="W847" s="18"/>
      <c r="X847" s="18"/>
      <c r="Y847" s="92"/>
      <c r="Z847" s="92"/>
      <c r="AA847" s="418"/>
      <c r="AB847" s="95"/>
      <c r="AC847" s="18"/>
      <c r="AD847" s="18"/>
      <c r="AE847" s="18"/>
      <c r="AF847" s="18"/>
      <c r="AG847" s="91"/>
      <c r="AH847" s="18"/>
      <c r="AI847" s="18"/>
      <c r="AJ847" s="18"/>
      <c r="AK847" s="18"/>
      <c r="AL847" s="18"/>
      <c r="AM847" s="18"/>
      <c r="AN847" s="18"/>
      <c r="AO847" s="18"/>
      <c r="AP847" s="18"/>
      <c r="AQ847" s="18"/>
      <c r="AR847" s="18"/>
      <c r="AS847" s="18"/>
      <c r="AT847" s="18"/>
      <c r="AU847" s="91"/>
      <c r="AV847" s="18"/>
      <c r="AW847" s="18"/>
      <c r="AX847" s="18"/>
      <c r="AY847" s="17"/>
      <c r="AZ847" s="17"/>
      <c r="BA847" s="17"/>
      <c r="BB847" s="17"/>
      <c r="BC847" s="96"/>
      <c r="BD847" s="96"/>
      <c r="BE847" s="96"/>
      <c r="BF847" s="96"/>
      <c r="BG847" s="96"/>
      <c r="BH847" s="96"/>
      <c r="BI847" s="96"/>
    </row>
    <row r="848" spans="1:61" x14ac:dyDescent="0.45">
      <c r="A848" s="17"/>
      <c r="B848" s="17"/>
      <c r="C848" s="17"/>
      <c r="D848" s="17"/>
      <c r="E848" s="15"/>
      <c r="F848" s="17"/>
      <c r="G848" s="17"/>
      <c r="H848" s="3"/>
      <c r="I848" s="88"/>
      <c r="J848" s="88"/>
      <c r="K848" s="15"/>
      <c r="L848" s="96"/>
      <c r="M848" s="89"/>
      <c r="N848" s="88"/>
      <c r="O848" s="413"/>
      <c r="P848" s="18"/>
      <c r="Q848" s="91"/>
      <c r="R848" s="18"/>
      <c r="S848" s="18"/>
      <c r="T848" s="18"/>
      <c r="U848" s="18"/>
      <c r="V848" s="18"/>
      <c r="W848" s="18"/>
      <c r="X848" s="18"/>
      <c r="Y848" s="92"/>
      <c r="Z848" s="92"/>
      <c r="AA848" s="418"/>
      <c r="AB848" s="95"/>
      <c r="AC848" s="18"/>
      <c r="AD848" s="18"/>
      <c r="AE848" s="18"/>
      <c r="AF848" s="18"/>
      <c r="AG848" s="91"/>
      <c r="AH848" s="18"/>
      <c r="AI848" s="18"/>
      <c r="AJ848" s="18"/>
      <c r="AK848" s="18"/>
      <c r="AL848" s="18"/>
      <c r="AM848" s="18"/>
      <c r="AN848" s="18"/>
      <c r="AO848" s="18"/>
      <c r="AP848" s="18"/>
      <c r="AQ848" s="18"/>
      <c r="AR848" s="18"/>
      <c r="AS848" s="18"/>
      <c r="AT848" s="18"/>
      <c r="AU848" s="91"/>
      <c r="AV848" s="18"/>
      <c r="AW848" s="18"/>
      <c r="AX848" s="18"/>
      <c r="AY848" s="17"/>
      <c r="AZ848" s="17"/>
      <c r="BA848" s="17"/>
      <c r="BB848" s="17"/>
      <c r="BC848" s="96"/>
      <c r="BD848" s="96"/>
      <c r="BE848" s="96"/>
      <c r="BF848" s="96"/>
      <c r="BG848" s="96"/>
      <c r="BH848" s="96"/>
      <c r="BI848" s="96"/>
    </row>
    <row r="849" spans="1:61" x14ac:dyDescent="0.45">
      <c r="A849" s="17"/>
      <c r="B849" s="17"/>
      <c r="C849" s="17"/>
      <c r="D849" s="17"/>
      <c r="E849" s="15"/>
      <c r="F849" s="17"/>
      <c r="G849" s="17"/>
      <c r="H849" s="3"/>
      <c r="I849" s="88"/>
      <c r="J849" s="88"/>
      <c r="K849" s="15"/>
      <c r="L849" s="96"/>
      <c r="M849" s="89"/>
      <c r="N849" s="88"/>
      <c r="O849" s="413"/>
      <c r="P849" s="18"/>
      <c r="Q849" s="91"/>
      <c r="R849" s="18"/>
      <c r="S849" s="18"/>
      <c r="T849" s="18"/>
      <c r="U849" s="18"/>
      <c r="V849" s="18"/>
      <c r="W849" s="18"/>
      <c r="X849" s="18"/>
      <c r="Y849" s="92"/>
      <c r="Z849" s="92"/>
      <c r="AA849" s="418"/>
      <c r="AB849" s="95"/>
      <c r="AC849" s="18"/>
      <c r="AD849" s="18"/>
      <c r="AE849" s="18"/>
      <c r="AF849" s="18"/>
      <c r="AG849" s="91"/>
      <c r="AH849" s="18"/>
      <c r="AI849" s="18"/>
      <c r="AJ849" s="18"/>
      <c r="AK849" s="18"/>
      <c r="AL849" s="18"/>
      <c r="AM849" s="18"/>
      <c r="AN849" s="18"/>
      <c r="AO849" s="18"/>
      <c r="AP849" s="18"/>
      <c r="AQ849" s="18"/>
      <c r="AR849" s="18"/>
      <c r="AS849" s="18"/>
      <c r="AT849" s="18"/>
      <c r="AU849" s="91"/>
      <c r="AV849" s="18"/>
      <c r="AW849" s="18"/>
      <c r="AX849" s="18"/>
      <c r="AY849" s="17"/>
      <c r="AZ849" s="17"/>
      <c r="BA849" s="17"/>
      <c r="BB849" s="17"/>
      <c r="BC849" s="96"/>
      <c r="BD849" s="96"/>
      <c r="BE849" s="96"/>
      <c r="BF849" s="96"/>
      <c r="BG849" s="96"/>
      <c r="BH849" s="96"/>
      <c r="BI849" s="96"/>
    </row>
    <row r="850" spans="1:61" x14ac:dyDescent="0.45">
      <c r="A850" s="17"/>
      <c r="B850" s="17"/>
      <c r="C850" s="17"/>
      <c r="D850" s="17"/>
      <c r="E850" s="15"/>
      <c r="F850" s="17"/>
      <c r="G850" s="17"/>
      <c r="H850" s="3"/>
      <c r="I850" s="88"/>
      <c r="J850" s="88"/>
      <c r="K850" s="15"/>
      <c r="L850" s="96"/>
      <c r="M850" s="89"/>
      <c r="N850" s="88"/>
      <c r="O850" s="413"/>
      <c r="P850" s="18"/>
      <c r="Q850" s="91"/>
      <c r="R850" s="18"/>
      <c r="S850" s="18"/>
      <c r="T850" s="18"/>
      <c r="U850" s="18"/>
      <c r="V850" s="18"/>
      <c r="W850" s="18"/>
      <c r="X850" s="18"/>
      <c r="Y850" s="92"/>
      <c r="Z850" s="92"/>
      <c r="AA850" s="418"/>
      <c r="AB850" s="95"/>
      <c r="AC850" s="18"/>
      <c r="AD850" s="18"/>
      <c r="AE850" s="18"/>
      <c r="AF850" s="18"/>
      <c r="AG850" s="91"/>
      <c r="AH850" s="18"/>
      <c r="AI850" s="18"/>
      <c r="AJ850" s="18"/>
      <c r="AK850" s="18"/>
      <c r="AL850" s="18"/>
      <c r="AM850" s="18"/>
      <c r="AN850" s="18"/>
      <c r="AO850" s="18"/>
      <c r="AP850" s="18"/>
      <c r="AQ850" s="18"/>
      <c r="AR850" s="18"/>
      <c r="AS850" s="18"/>
      <c r="AT850" s="18"/>
      <c r="AU850" s="91"/>
      <c r="AV850" s="18"/>
      <c r="AW850" s="18"/>
      <c r="AX850" s="18"/>
      <c r="AY850" s="17"/>
      <c r="AZ850" s="17"/>
      <c r="BA850" s="17"/>
      <c r="BB850" s="17"/>
      <c r="BC850" s="96"/>
      <c r="BD850" s="96"/>
      <c r="BE850" s="96"/>
      <c r="BF850" s="96"/>
      <c r="BG850" s="96"/>
      <c r="BH850" s="96"/>
      <c r="BI850" s="96"/>
    </row>
    <row r="851" spans="1:61" x14ac:dyDescent="0.45">
      <c r="A851" s="17"/>
      <c r="B851" s="17"/>
      <c r="C851" s="17"/>
      <c r="D851" s="17"/>
      <c r="E851" s="15"/>
      <c r="F851" s="17"/>
      <c r="G851" s="17"/>
      <c r="H851" s="3"/>
      <c r="I851" s="88"/>
      <c r="J851" s="88"/>
      <c r="K851" s="15"/>
      <c r="L851" s="96"/>
      <c r="M851" s="89"/>
      <c r="N851" s="88"/>
      <c r="O851" s="413"/>
      <c r="P851" s="18"/>
      <c r="Q851" s="91"/>
      <c r="R851" s="18"/>
      <c r="S851" s="18"/>
      <c r="T851" s="18"/>
      <c r="U851" s="18"/>
      <c r="V851" s="18"/>
      <c r="W851" s="18"/>
      <c r="X851" s="18"/>
      <c r="Y851" s="92"/>
      <c r="Z851" s="92"/>
      <c r="AA851" s="418"/>
      <c r="AB851" s="95"/>
      <c r="AC851" s="18"/>
      <c r="AD851" s="18"/>
      <c r="AE851" s="18"/>
      <c r="AF851" s="18"/>
      <c r="AG851" s="91"/>
      <c r="AH851" s="18"/>
      <c r="AI851" s="18"/>
      <c r="AJ851" s="18"/>
      <c r="AK851" s="18"/>
      <c r="AL851" s="18"/>
      <c r="AM851" s="18"/>
      <c r="AN851" s="18"/>
      <c r="AO851" s="18"/>
      <c r="AP851" s="18"/>
      <c r="AQ851" s="18"/>
      <c r="AR851" s="18"/>
      <c r="AS851" s="18"/>
      <c r="AT851" s="18"/>
      <c r="AU851" s="91"/>
      <c r="AV851" s="18"/>
      <c r="AW851" s="18"/>
      <c r="AX851" s="18"/>
      <c r="AY851" s="17"/>
      <c r="AZ851" s="17"/>
      <c r="BA851" s="17"/>
      <c r="BB851" s="17"/>
      <c r="BC851" s="96"/>
      <c r="BD851" s="96"/>
      <c r="BE851" s="96"/>
      <c r="BF851" s="96"/>
      <c r="BG851" s="96"/>
      <c r="BH851" s="96"/>
      <c r="BI851" s="96"/>
    </row>
    <row r="852" spans="1:61" x14ac:dyDescent="0.45">
      <c r="A852" s="17"/>
      <c r="B852" s="17"/>
      <c r="C852" s="17"/>
      <c r="D852" s="17"/>
      <c r="E852" s="15"/>
      <c r="F852" s="17"/>
      <c r="G852" s="17"/>
      <c r="H852" s="3"/>
      <c r="I852" s="88"/>
      <c r="J852" s="88"/>
      <c r="K852" s="15"/>
      <c r="L852" s="96"/>
      <c r="M852" s="89"/>
      <c r="N852" s="88"/>
      <c r="O852" s="413"/>
      <c r="P852" s="18"/>
      <c r="Q852" s="91"/>
      <c r="R852" s="18"/>
      <c r="S852" s="18"/>
      <c r="T852" s="18"/>
      <c r="U852" s="18"/>
      <c r="V852" s="18"/>
      <c r="W852" s="18"/>
      <c r="X852" s="18"/>
      <c r="Y852" s="92"/>
      <c r="Z852" s="92"/>
      <c r="AA852" s="418"/>
      <c r="AB852" s="95"/>
      <c r="AC852" s="18"/>
      <c r="AD852" s="18"/>
      <c r="AE852" s="18"/>
      <c r="AF852" s="18"/>
      <c r="AG852" s="91"/>
      <c r="AH852" s="18"/>
      <c r="AI852" s="18"/>
      <c r="AJ852" s="18"/>
      <c r="AK852" s="18"/>
      <c r="AL852" s="18"/>
      <c r="AM852" s="18"/>
      <c r="AN852" s="18"/>
      <c r="AO852" s="18"/>
      <c r="AP852" s="18"/>
      <c r="AQ852" s="18"/>
      <c r="AR852" s="18"/>
      <c r="AS852" s="18"/>
      <c r="AT852" s="18"/>
      <c r="AU852" s="91"/>
      <c r="AV852" s="18"/>
      <c r="AW852" s="18"/>
      <c r="AX852" s="18"/>
      <c r="AY852" s="17"/>
      <c r="AZ852" s="17"/>
      <c r="BA852" s="17"/>
      <c r="BB852" s="17"/>
      <c r="BC852" s="96"/>
      <c r="BD852" s="96"/>
      <c r="BE852" s="96"/>
      <c r="BF852" s="96"/>
      <c r="BG852" s="96"/>
      <c r="BH852" s="96"/>
      <c r="BI852" s="96"/>
    </row>
    <row r="853" spans="1:61" x14ac:dyDescent="0.45">
      <c r="A853" s="17"/>
      <c r="B853" s="17"/>
      <c r="C853" s="17"/>
      <c r="D853" s="17"/>
      <c r="E853" s="15"/>
      <c r="F853" s="17"/>
      <c r="G853" s="17"/>
      <c r="H853" s="3"/>
      <c r="I853" s="88"/>
      <c r="J853" s="88"/>
      <c r="K853" s="15"/>
      <c r="L853" s="96"/>
      <c r="M853" s="89"/>
      <c r="N853" s="88"/>
      <c r="O853" s="413"/>
      <c r="P853" s="18"/>
      <c r="Q853" s="91"/>
      <c r="R853" s="18"/>
      <c r="S853" s="18"/>
      <c r="T853" s="18"/>
      <c r="U853" s="18"/>
      <c r="V853" s="18"/>
      <c r="W853" s="18"/>
      <c r="X853" s="18"/>
      <c r="Y853" s="92"/>
      <c r="Z853" s="92"/>
      <c r="AA853" s="418"/>
      <c r="AB853" s="95"/>
      <c r="AC853" s="18"/>
      <c r="AD853" s="18"/>
      <c r="AE853" s="18"/>
      <c r="AF853" s="18"/>
      <c r="AG853" s="91"/>
      <c r="AH853" s="18"/>
      <c r="AI853" s="18"/>
      <c r="AJ853" s="18"/>
      <c r="AK853" s="18"/>
      <c r="AL853" s="18"/>
      <c r="AM853" s="18"/>
      <c r="AN853" s="18"/>
      <c r="AO853" s="18"/>
      <c r="AP853" s="18"/>
      <c r="AQ853" s="18"/>
      <c r="AR853" s="18"/>
      <c r="AS853" s="18"/>
      <c r="AT853" s="18"/>
      <c r="AU853" s="91"/>
      <c r="AV853" s="18"/>
      <c r="AW853" s="18"/>
      <c r="AX853" s="18"/>
      <c r="AY853" s="17"/>
      <c r="AZ853" s="17"/>
      <c r="BA853" s="17"/>
      <c r="BB853" s="17"/>
      <c r="BC853" s="96"/>
      <c r="BD853" s="96"/>
      <c r="BE853" s="96"/>
      <c r="BF853" s="96"/>
      <c r="BG853" s="96"/>
      <c r="BH853" s="96"/>
      <c r="BI853" s="96"/>
    </row>
    <row r="854" spans="1:61" x14ac:dyDescent="0.45">
      <c r="A854" s="17"/>
      <c r="B854" s="17"/>
      <c r="C854" s="17"/>
      <c r="D854" s="17"/>
      <c r="E854" s="15"/>
      <c r="F854" s="17"/>
      <c r="G854" s="17"/>
      <c r="H854" s="3"/>
      <c r="I854" s="88"/>
      <c r="J854" s="88"/>
      <c r="K854" s="15"/>
      <c r="L854" s="96"/>
      <c r="M854" s="89"/>
      <c r="N854" s="88"/>
      <c r="O854" s="413"/>
      <c r="P854" s="18"/>
      <c r="Q854" s="91"/>
      <c r="R854" s="18"/>
      <c r="S854" s="18"/>
      <c r="T854" s="18"/>
      <c r="U854" s="18"/>
      <c r="V854" s="18"/>
      <c r="W854" s="18"/>
      <c r="X854" s="18"/>
      <c r="Y854" s="92"/>
      <c r="Z854" s="92"/>
      <c r="AA854" s="418"/>
      <c r="AB854" s="95"/>
      <c r="AC854" s="18"/>
      <c r="AD854" s="18"/>
      <c r="AE854" s="18"/>
      <c r="AF854" s="18"/>
      <c r="AG854" s="91"/>
      <c r="AH854" s="18"/>
      <c r="AI854" s="18"/>
      <c r="AJ854" s="18"/>
      <c r="AK854" s="18"/>
      <c r="AL854" s="18"/>
      <c r="AM854" s="18"/>
      <c r="AN854" s="18"/>
      <c r="AO854" s="18"/>
      <c r="AP854" s="18"/>
      <c r="AQ854" s="18"/>
      <c r="AR854" s="18"/>
      <c r="AS854" s="18"/>
      <c r="AT854" s="18"/>
      <c r="AU854" s="91"/>
      <c r="AV854" s="18"/>
      <c r="AW854" s="18"/>
      <c r="AX854" s="18"/>
      <c r="AY854" s="17"/>
      <c r="AZ854" s="17"/>
      <c r="BA854" s="17"/>
      <c r="BB854" s="17"/>
      <c r="BC854" s="96"/>
      <c r="BD854" s="96"/>
      <c r="BE854" s="96"/>
      <c r="BF854" s="96"/>
      <c r="BG854" s="96"/>
      <c r="BH854" s="96"/>
      <c r="BI854" s="96"/>
    </row>
    <row r="855" spans="1:61" x14ac:dyDescent="0.45">
      <c r="A855" s="17"/>
      <c r="B855" s="17"/>
      <c r="C855" s="17"/>
      <c r="D855" s="17"/>
      <c r="E855" s="15"/>
      <c r="F855" s="17"/>
      <c r="G855" s="17"/>
      <c r="H855" s="3"/>
      <c r="I855" s="88"/>
      <c r="J855" s="88"/>
      <c r="K855" s="15"/>
      <c r="L855" s="96"/>
      <c r="M855" s="89"/>
      <c r="N855" s="88"/>
      <c r="O855" s="413"/>
      <c r="P855" s="18"/>
      <c r="Q855" s="91"/>
      <c r="R855" s="18"/>
      <c r="S855" s="18"/>
      <c r="T855" s="18"/>
      <c r="U855" s="18"/>
      <c r="V855" s="18"/>
      <c r="W855" s="18"/>
      <c r="X855" s="18"/>
      <c r="Y855" s="92"/>
      <c r="Z855" s="92"/>
      <c r="AA855" s="418"/>
      <c r="AB855" s="95"/>
      <c r="AC855" s="18"/>
      <c r="AD855" s="18"/>
      <c r="AE855" s="18"/>
      <c r="AF855" s="18"/>
      <c r="AG855" s="91"/>
      <c r="AH855" s="18"/>
      <c r="AI855" s="18"/>
      <c r="AJ855" s="18"/>
      <c r="AK855" s="18"/>
      <c r="AL855" s="18"/>
      <c r="AM855" s="18"/>
      <c r="AN855" s="18"/>
      <c r="AO855" s="18"/>
      <c r="AP855" s="18"/>
      <c r="AQ855" s="18"/>
      <c r="AR855" s="18"/>
      <c r="AS855" s="18"/>
      <c r="AT855" s="18"/>
      <c r="AU855" s="91"/>
      <c r="AV855" s="18"/>
      <c r="AW855" s="18"/>
      <c r="AX855" s="18"/>
      <c r="AY855" s="17"/>
      <c r="AZ855" s="17"/>
      <c r="BA855" s="17"/>
      <c r="BB855" s="17"/>
      <c r="BC855" s="96"/>
      <c r="BD855" s="96"/>
      <c r="BE855" s="96"/>
      <c r="BF855" s="96"/>
      <c r="BG855" s="96"/>
      <c r="BH855" s="96"/>
      <c r="BI855" s="96"/>
    </row>
    <row r="856" spans="1:61" x14ac:dyDescent="0.45">
      <c r="A856" s="17"/>
      <c r="B856" s="17"/>
      <c r="C856" s="17"/>
      <c r="D856" s="17"/>
      <c r="E856" s="15"/>
      <c r="F856" s="17"/>
      <c r="G856" s="17"/>
      <c r="H856" s="3"/>
      <c r="I856" s="88"/>
      <c r="J856" s="88"/>
      <c r="K856" s="15"/>
      <c r="L856" s="96"/>
      <c r="M856" s="89"/>
      <c r="N856" s="88"/>
      <c r="O856" s="413"/>
      <c r="P856" s="18"/>
      <c r="Q856" s="91"/>
      <c r="R856" s="18"/>
      <c r="S856" s="18"/>
      <c r="T856" s="18"/>
      <c r="U856" s="18"/>
      <c r="V856" s="18"/>
      <c r="W856" s="18"/>
      <c r="X856" s="18"/>
      <c r="Y856" s="92"/>
      <c r="Z856" s="92"/>
      <c r="AA856" s="418"/>
      <c r="AB856" s="95"/>
      <c r="AC856" s="18"/>
      <c r="AD856" s="18"/>
      <c r="AE856" s="18"/>
      <c r="AF856" s="18"/>
      <c r="AG856" s="91"/>
      <c r="AH856" s="18"/>
      <c r="AI856" s="18"/>
      <c r="AJ856" s="18"/>
      <c r="AK856" s="18"/>
      <c r="AL856" s="18"/>
      <c r="AM856" s="18"/>
      <c r="AN856" s="18"/>
      <c r="AO856" s="18"/>
      <c r="AP856" s="18"/>
      <c r="AQ856" s="18"/>
      <c r="AR856" s="18"/>
      <c r="AS856" s="18"/>
      <c r="AT856" s="18"/>
      <c r="AU856" s="91"/>
      <c r="AV856" s="18"/>
      <c r="AW856" s="18"/>
      <c r="AX856" s="18"/>
      <c r="AY856" s="17"/>
      <c r="AZ856" s="17"/>
      <c r="BA856" s="17"/>
      <c r="BB856" s="17"/>
      <c r="BC856" s="96"/>
      <c r="BD856" s="96"/>
      <c r="BE856" s="96"/>
      <c r="BF856" s="96"/>
      <c r="BG856" s="96"/>
      <c r="BH856" s="96"/>
      <c r="BI856" s="96"/>
    </row>
    <row r="857" spans="1:61" x14ac:dyDescent="0.45">
      <c r="A857" s="17"/>
      <c r="B857" s="17"/>
      <c r="C857" s="17"/>
      <c r="D857" s="17"/>
      <c r="E857" s="15"/>
      <c r="F857" s="17"/>
      <c r="G857" s="17"/>
      <c r="H857" s="3"/>
      <c r="I857" s="88"/>
      <c r="J857" s="88"/>
      <c r="K857" s="15"/>
      <c r="L857" s="96"/>
      <c r="M857" s="89"/>
      <c r="N857" s="88"/>
      <c r="O857" s="413"/>
      <c r="P857" s="18"/>
      <c r="Q857" s="91"/>
      <c r="R857" s="18"/>
      <c r="S857" s="18"/>
      <c r="T857" s="18"/>
      <c r="U857" s="18"/>
      <c r="V857" s="18"/>
      <c r="W857" s="18"/>
      <c r="X857" s="18"/>
      <c r="Y857" s="92"/>
      <c r="Z857" s="92"/>
      <c r="AA857" s="418"/>
      <c r="AB857" s="95"/>
      <c r="AC857" s="18"/>
      <c r="AD857" s="18"/>
      <c r="AE857" s="18"/>
      <c r="AF857" s="18"/>
      <c r="AG857" s="91"/>
      <c r="AH857" s="18"/>
      <c r="AI857" s="18"/>
      <c r="AJ857" s="18"/>
      <c r="AK857" s="18"/>
      <c r="AL857" s="18"/>
      <c r="AM857" s="18"/>
      <c r="AN857" s="18"/>
      <c r="AO857" s="18"/>
      <c r="AP857" s="18"/>
      <c r="AQ857" s="18"/>
      <c r="AR857" s="18"/>
      <c r="AS857" s="18"/>
      <c r="AT857" s="18"/>
      <c r="AU857" s="91"/>
      <c r="AV857" s="18"/>
      <c r="AW857" s="18"/>
      <c r="AX857" s="18"/>
      <c r="AY857" s="17"/>
      <c r="AZ857" s="17"/>
      <c r="BA857" s="17"/>
      <c r="BB857" s="17"/>
      <c r="BC857" s="96"/>
      <c r="BD857" s="96"/>
      <c r="BE857" s="96"/>
      <c r="BF857" s="96"/>
      <c r="BG857" s="96"/>
      <c r="BH857" s="96"/>
      <c r="BI857" s="96"/>
    </row>
    <row r="858" spans="1:61" x14ac:dyDescent="0.45">
      <c r="A858" s="17"/>
      <c r="B858" s="17"/>
      <c r="C858" s="17"/>
      <c r="D858" s="17"/>
      <c r="E858" s="15"/>
      <c r="F858" s="17"/>
      <c r="G858" s="17"/>
      <c r="H858" s="3"/>
      <c r="I858" s="88"/>
      <c r="J858" s="88"/>
      <c r="K858" s="15"/>
      <c r="L858" s="96"/>
      <c r="M858" s="89"/>
      <c r="N858" s="88"/>
      <c r="O858" s="413"/>
      <c r="P858" s="18"/>
      <c r="Q858" s="91"/>
      <c r="R858" s="18"/>
      <c r="S858" s="18"/>
      <c r="T858" s="18"/>
      <c r="U858" s="18"/>
      <c r="V858" s="18"/>
      <c r="W858" s="18"/>
      <c r="X858" s="18"/>
      <c r="Y858" s="92"/>
      <c r="Z858" s="92"/>
      <c r="AA858" s="418"/>
      <c r="AB858" s="95"/>
      <c r="AC858" s="18"/>
      <c r="AD858" s="18"/>
      <c r="AE858" s="18"/>
      <c r="AF858" s="18"/>
      <c r="AG858" s="91"/>
      <c r="AH858" s="18"/>
      <c r="AI858" s="18"/>
      <c r="AJ858" s="18"/>
      <c r="AK858" s="18"/>
      <c r="AL858" s="18"/>
      <c r="AM858" s="18"/>
      <c r="AN858" s="18"/>
      <c r="AO858" s="18"/>
      <c r="AP858" s="18"/>
      <c r="AQ858" s="18"/>
      <c r="AR858" s="18"/>
      <c r="AS858" s="18"/>
      <c r="AT858" s="18"/>
      <c r="AU858" s="91"/>
      <c r="AV858" s="18"/>
      <c r="AW858" s="18"/>
      <c r="AX858" s="18"/>
      <c r="AY858" s="17"/>
      <c r="AZ858" s="17"/>
      <c r="BA858" s="17"/>
      <c r="BB858" s="17"/>
      <c r="BC858" s="96"/>
      <c r="BD858" s="96"/>
      <c r="BE858" s="96"/>
      <c r="BF858" s="96"/>
      <c r="BG858" s="96"/>
      <c r="BH858" s="96"/>
      <c r="BI858" s="96"/>
    </row>
    <row r="859" spans="1:61" x14ac:dyDescent="0.45">
      <c r="A859" s="17"/>
      <c r="B859" s="17"/>
      <c r="C859" s="17"/>
      <c r="D859" s="17"/>
      <c r="E859" s="15"/>
      <c r="F859" s="17"/>
      <c r="G859" s="17"/>
      <c r="H859" s="3"/>
      <c r="I859" s="88"/>
      <c r="J859" s="88"/>
      <c r="K859" s="15"/>
      <c r="L859" s="96"/>
      <c r="M859" s="89"/>
      <c r="N859" s="88"/>
      <c r="O859" s="413"/>
      <c r="P859" s="18"/>
      <c r="Q859" s="91"/>
      <c r="R859" s="18"/>
      <c r="S859" s="18"/>
      <c r="T859" s="18"/>
      <c r="U859" s="18"/>
      <c r="V859" s="18"/>
      <c r="W859" s="18"/>
      <c r="X859" s="18"/>
      <c r="Y859" s="92"/>
      <c r="Z859" s="92"/>
      <c r="AA859" s="418"/>
      <c r="AB859" s="95"/>
      <c r="AC859" s="18"/>
      <c r="AD859" s="18"/>
      <c r="AE859" s="18"/>
      <c r="AF859" s="18"/>
      <c r="AG859" s="91"/>
      <c r="AH859" s="18"/>
      <c r="AI859" s="18"/>
      <c r="AJ859" s="18"/>
      <c r="AK859" s="18"/>
      <c r="AL859" s="18"/>
      <c r="AM859" s="18"/>
      <c r="AN859" s="18"/>
      <c r="AO859" s="18"/>
      <c r="AP859" s="18"/>
      <c r="AQ859" s="18"/>
      <c r="AR859" s="18"/>
      <c r="AS859" s="18"/>
      <c r="AT859" s="18"/>
      <c r="AU859" s="91"/>
      <c r="AV859" s="18"/>
      <c r="AW859" s="18"/>
      <c r="AX859" s="18"/>
      <c r="AY859" s="17"/>
      <c r="AZ859" s="17"/>
      <c r="BA859" s="17"/>
      <c r="BB859" s="17"/>
      <c r="BC859" s="96"/>
      <c r="BD859" s="96"/>
      <c r="BE859" s="96"/>
      <c r="BF859" s="96"/>
      <c r="BG859" s="96"/>
      <c r="BH859" s="96"/>
      <c r="BI859" s="96"/>
    </row>
    <row r="860" spans="1:61" x14ac:dyDescent="0.45">
      <c r="A860" s="17"/>
      <c r="B860" s="17"/>
      <c r="C860" s="17"/>
      <c r="D860" s="17"/>
      <c r="E860" s="15"/>
      <c r="F860" s="17"/>
      <c r="G860" s="17"/>
      <c r="H860" s="3"/>
      <c r="I860" s="88"/>
      <c r="J860" s="88"/>
      <c r="K860" s="15"/>
      <c r="L860" s="96"/>
      <c r="M860" s="89"/>
      <c r="N860" s="88"/>
      <c r="O860" s="413"/>
      <c r="P860" s="18"/>
      <c r="Q860" s="91"/>
      <c r="R860" s="18"/>
      <c r="S860" s="18"/>
      <c r="T860" s="18"/>
      <c r="U860" s="18"/>
      <c r="V860" s="18"/>
      <c r="W860" s="18"/>
      <c r="X860" s="18"/>
      <c r="Y860" s="92"/>
      <c r="Z860" s="92"/>
      <c r="AA860" s="418"/>
      <c r="AB860" s="95"/>
      <c r="AC860" s="18"/>
      <c r="AD860" s="18"/>
      <c r="AE860" s="18"/>
      <c r="AF860" s="18"/>
      <c r="AG860" s="91"/>
      <c r="AH860" s="18"/>
      <c r="AI860" s="18"/>
      <c r="AJ860" s="18"/>
      <c r="AK860" s="18"/>
      <c r="AL860" s="18"/>
      <c r="AM860" s="18"/>
      <c r="AN860" s="18"/>
      <c r="AO860" s="18"/>
      <c r="AP860" s="18"/>
      <c r="AQ860" s="18"/>
      <c r="AR860" s="18"/>
      <c r="AS860" s="18"/>
      <c r="AT860" s="18"/>
      <c r="AU860" s="91"/>
      <c r="AV860" s="18"/>
      <c r="AW860" s="18"/>
      <c r="AX860" s="18"/>
      <c r="AY860" s="17"/>
      <c r="AZ860" s="17"/>
      <c r="BA860" s="17"/>
      <c r="BB860" s="17"/>
      <c r="BC860" s="96"/>
      <c r="BD860" s="96"/>
      <c r="BE860" s="96"/>
      <c r="BF860" s="96"/>
      <c r="BG860" s="96"/>
      <c r="BH860" s="96"/>
      <c r="BI860" s="96"/>
    </row>
    <row r="861" spans="1:61" x14ac:dyDescent="0.45">
      <c r="A861" s="17"/>
      <c r="B861" s="17"/>
      <c r="C861" s="17"/>
      <c r="D861" s="17"/>
      <c r="E861" s="15"/>
      <c r="F861" s="17"/>
      <c r="G861" s="17"/>
      <c r="H861" s="3"/>
      <c r="I861" s="88"/>
      <c r="J861" s="88"/>
      <c r="K861" s="15"/>
      <c r="L861" s="96"/>
      <c r="M861" s="89"/>
      <c r="N861" s="88"/>
      <c r="O861" s="413"/>
      <c r="P861" s="18"/>
      <c r="Q861" s="91"/>
      <c r="R861" s="18"/>
      <c r="S861" s="18"/>
      <c r="T861" s="18"/>
      <c r="U861" s="18"/>
      <c r="V861" s="18"/>
      <c r="W861" s="18"/>
      <c r="X861" s="18"/>
      <c r="Y861" s="92"/>
      <c r="Z861" s="92"/>
      <c r="AA861" s="418"/>
      <c r="AB861" s="95"/>
      <c r="AC861" s="18"/>
      <c r="AD861" s="18"/>
      <c r="AE861" s="18"/>
      <c r="AF861" s="18"/>
      <c r="AG861" s="91"/>
      <c r="AH861" s="18"/>
      <c r="AI861" s="18"/>
      <c r="AJ861" s="18"/>
      <c r="AK861" s="18"/>
      <c r="AL861" s="18"/>
      <c r="AM861" s="18"/>
      <c r="AN861" s="18"/>
      <c r="AO861" s="18"/>
      <c r="AP861" s="18"/>
      <c r="AQ861" s="18"/>
      <c r="AR861" s="18"/>
      <c r="AS861" s="18"/>
      <c r="AT861" s="18"/>
      <c r="AU861" s="91"/>
      <c r="AV861" s="18"/>
      <c r="AW861" s="18"/>
      <c r="AX861" s="18"/>
      <c r="AY861" s="17"/>
      <c r="AZ861" s="17"/>
      <c r="BA861" s="17"/>
      <c r="BB861" s="17"/>
      <c r="BC861" s="96"/>
      <c r="BD861" s="96"/>
      <c r="BE861" s="96"/>
      <c r="BF861" s="96"/>
      <c r="BG861" s="96"/>
      <c r="BH861" s="96"/>
      <c r="BI861" s="96"/>
    </row>
    <row r="862" spans="1:61" x14ac:dyDescent="0.45">
      <c r="A862" s="17"/>
      <c r="B862" s="17"/>
      <c r="C862" s="17"/>
      <c r="D862" s="17"/>
      <c r="E862" s="15"/>
      <c r="F862" s="17"/>
      <c r="G862" s="17"/>
      <c r="H862" s="3"/>
      <c r="I862" s="88"/>
      <c r="J862" s="88"/>
      <c r="K862" s="15"/>
      <c r="L862" s="96"/>
      <c r="M862" s="89"/>
      <c r="N862" s="88"/>
      <c r="O862" s="413"/>
      <c r="P862" s="18"/>
      <c r="Q862" s="91"/>
      <c r="R862" s="18"/>
      <c r="S862" s="18"/>
      <c r="T862" s="18"/>
      <c r="U862" s="18"/>
      <c r="V862" s="18"/>
      <c r="W862" s="18"/>
      <c r="X862" s="18"/>
      <c r="Y862" s="92"/>
      <c r="Z862" s="92"/>
      <c r="AA862" s="418"/>
      <c r="AB862" s="95"/>
      <c r="AC862" s="18"/>
      <c r="AD862" s="18"/>
      <c r="AE862" s="18"/>
      <c r="AF862" s="18"/>
      <c r="AG862" s="91"/>
      <c r="AH862" s="18"/>
      <c r="AI862" s="18"/>
      <c r="AJ862" s="18"/>
      <c r="AK862" s="18"/>
      <c r="AL862" s="18"/>
      <c r="AM862" s="18"/>
      <c r="AN862" s="18"/>
      <c r="AO862" s="18"/>
      <c r="AP862" s="18"/>
      <c r="AQ862" s="18"/>
      <c r="AR862" s="18"/>
      <c r="AS862" s="18"/>
      <c r="AT862" s="18"/>
      <c r="AU862" s="91"/>
      <c r="AV862" s="18"/>
      <c r="AW862" s="18"/>
      <c r="AX862" s="18"/>
      <c r="AY862" s="17"/>
      <c r="AZ862" s="17"/>
      <c r="BA862" s="17"/>
      <c r="BB862" s="17"/>
      <c r="BC862" s="96"/>
      <c r="BD862" s="96"/>
      <c r="BE862" s="96"/>
      <c r="BF862" s="96"/>
      <c r="BG862" s="96"/>
      <c r="BH862" s="96"/>
      <c r="BI862" s="96"/>
    </row>
    <row r="863" spans="1:61" x14ac:dyDescent="0.45">
      <c r="A863" s="17"/>
      <c r="B863" s="17"/>
      <c r="C863" s="17"/>
      <c r="D863" s="17"/>
      <c r="E863" s="15"/>
      <c r="F863" s="17"/>
      <c r="G863" s="17"/>
      <c r="H863" s="3"/>
      <c r="I863" s="88"/>
      <c r="J863" s="88"/>
      <c r="K863" s="15"/>
      <c r="L863" s="96"/>
      <c r="M863" s="89"/>
      <c r="N863" s="88"/>
      <c r="O863" s="413"/>
      <c r="P863" s="18"/>
      <c r="Q863" s="91"/>
      <c r="R863" s="18"/>
      <c r="S863" s="18"/>
      <c r="T863" s="18"/>
      <c r="U863" s="18"/>
      <c r="V863" s="18"/>
      <c r="W863" s="18"/>
      <c r="X863" s="18"/>
      <c r="Y863" s="92"/>
      <c r="Z863" s="92"/>
      <c r="AA863" s="418"/>
      <c r="AB863" s="95"/>
      <c r="AC863" s="18"/>
      <c r="AD863" s="18"/>
      <c r="AE863" s="18"/>
      <c r="AF863" s="18"/>
      <c r="AG863" s="91"/>
      <c r="AH863" s="18"/>
      <c r="AI863" s="18"/>
      <c r="AJ863" s="18"/>
      <c r="AK863" s="18"/>
      <c r="AL863" s="18"/>
      <c r="AM863" s="18"/>
      <c r="AN863" s="18"/>
      <c r="AO863" s="18"/>
      <c r="AP863" s="18"/>
      <c r="AQ863" s="18"/>
      <c r="AR863" s="18"/>
      <c r="AS863" s="18"/>
      <c r="AT863" s="18"/>
      <c r="AU863" s="91"/>
      <c r="AV863" s="18"/>
      <c r="AW863" s="18"/>
      <c r="AX863" s="18"/>
      <c r="AY863" s="17"/>
      <c r="AZ863" s="17"/>
      <c r="BA863" s="17"/>
      <c r="BB863" s="17"/>
      <c r="BC863" s="96"/>
      <c r="BD863" s="96"/>
      <c r="BE863" s="96"/>
      <c r="BF863" s="96"/>
      <c r="BG863" s="96"/>
      <c r="BH863" s="96"/>
      <c r="BI863" s="96"/>
    </row>
    <row r="864" spans="1:61" x14ac:dyDescent="0.45">
      <c r="A864" s="17"/>
      <c r="B864" s="17"/>
      <c r="C864" s="17"/>
      <c r="D864" s="17"/>
      <c r="E864" s="15"/>
      <c r="F864" s="17"/>
      <c r="G864" s="17"/>
      <c r="H864" s="3"/>
      <c r="I864" s="88"/>
      <c r="J864" s="88"/>
      <c r="K864" s="15"/>
      <c r="L864" s="96"/>
      <c r="M864" s="89"/>
      <c r="N864" s="88"/>
      <c r="O864" s="413"/>
      <c r="P864" s="18"/>
      <c r="Q864" s="91"/>
      <c r="R864" s="18"/>
      <c r="S864" s="18"/>
      <c r="T864" s="18"/>
      <c r="U864" s="18"/>
      <c r="V864" s="18"/>
      <c r="W864" s="18"/>
      <c r="X864" s="18"/>
      <c r="Y864" s="92"/>
      <c r="Z864" s="92"/>
      <c r="AA864" s="418"/>
      <c r="AB864" s="95"/>
      <c r="AC864" s="18"/>
      <c r="AD864" s="18"/>
      <c r="AE864" s="18"/>
      <c r="AF864" s="18"/>
      <c r="AG864" s="91"/>
      <c r="AH864" s="18"/>
      <c r="AI864" s="18"/>
      <c r="AJ864" s="18"/>
      <c r="AK864" s="18"/>
      <c r="AL864" s="18"/>
      <c r="AM864" s="18"/>
      <c r="AN864" s="18"/>
      <c r="AO864" s="18"/>
      <c r="AP864" s="18"/>
      <c r="AQ864" s="18"/>
      <c r="AR864" s="18"/>
      <c r="AS864" s="18"/>
      <c r="AT864" s="18"/>
      <c r="AU864" s="91"/>
      <c r="AV864" s="18"/>
      <c r="AW864" s="18"/>
      <c r="AX864" s="18"/>
      <c r="AY864" s="17"/>
      <c r="AZ864" s="17"/>
      <c r="BA864" s="17"/>
      <c r="BB864" s="17"/>
      <c r="BC864" s="96"/>
      <c r="BD864" s="96"/>
      <c r="BE864" s="96"/>
      <c r="BF864" s="96"/>
      <c r="BG864" s="96"/>
      <c r="BH864" s="96"/>
      <c r="BI864" s="96"/>
    </row>
    <row r="865" spans="1:61" x14ac:dyDescent="0.45">
      <c r="A865" s="17"/>
      <c r="B865" s="17"/>
      <c r="C865" s="17"/>
      <c r="D865" s="17"/>
      <c r="E865" s="15"/>
      <c r="F865" s="17"/>
      <c r="G865" s="17"/>
      <c r="H865" s="3"/>
      <c r="I865" s="88"/>
      <c r="J865" s="88"/>
      <c r="K865" s="15"/>
      <c r="L865" s="96"/>
      <c r="M865" s="89"/>
      <c r="N865" s="88"/>
      <c r="O865" s="413"/>
      <c r="P865" s="18"/>
      <c r="Q865" s="91"/>
      <c r="R865" s="18"/>
      <c r="S865" s="18"/>
      <c r="T865" s="18"/>
      <c r="U865" s="18"/>
      <c r="V865" s="18"/>
      <c r="W865" s="18"/>
      <c r="X865" s="18"/>
      <c r="Y865" s="92"/>
      <c r="Z865" s="92"/>
      <c r="AA865" s="418"/>
      <c r="AB865" s="95"/>
      <c r="AC865" s="18"/>
      <c r="AD865" s="18"/>
      <c r="AE865" s="18"/>
      <c r="AF865" s="18"/>
      <c r="AG865" s="91"/>
      <c r="AH865" s="18"/>
      <c r="AI865" s="18"/>
      <c r="AJ865" s="18"/>
      <c r="AK865" s="18"/>
      <c r="AL865" s="18"/>
      <c r="AM865" s="18"/>
      <c r="AN865" s="18"/>
      <c r="AO865" s="18"/>
      <c r="AP865" s="18"/>
      <c r="AQ865" s="18"/>
      <c r="AR865" s="18"/>
      <c r="AS865" s="18"/>
      <c r="AT865" s="18"/>
      <c r="AU865" s="91"/>
      <c r="AV865" s="18"/>
      <c r="AW865" s="18"/>
      <c r="AX865" s="18"/>
      <c r="AY865" s="17"/>
      <c r="AZ865" s="17"/>
      <c r="BA865" s="17"/>
      <c r="BB865" s="17"/>
      <c r="BC865" s="96"/>
      <c r="BD865" s="96"/>
      <c r="BE865" s="96"/>
      <c r="BF865" s="96"/>
      <c r="BG865" s="96"/>
      <c r="BH865" s="96"/>
      <c r="BI865" s="96"/>
    </row>
    <row r="866" spans="1:61" x14ac:dyDescent="0.45">
      <c r="A866" s="17"/>
      <c r="B866" s="17"/>
      <c r="C866" s="17"/>
      <c r="D866" s="17"/>
      <c r="E866" s="15"/>
      <c r="F866" s="17"/>
      <c r="G866" s="17"/>
      <c r="H866" s="3"/>
      <c r="I866" s="88"/>
      <c r="J866" s="88"/>
      <c r="K866" s="15"/>
      <c r="L866" s="96"/>
      <c r="M866" s="89"/>
      <c r="N866" s="88"/>
      <c r="O866" s="413"/>
      <c r="P866" s="18"/>
      <c r="Q866" s="91"/>
      <c r="R866" s="18"/>
      <c r="S866" s="18"/>
      <c r="T866" s="18"/>
      <c r="U866" s="18"/>
      <c r="V866" s="18"/>
      <c r="W866" s="18"/>
      <c r="X866" s="18"/>
      <c r="Y866" s="92"/>
      <c r="Z866" s="92"/>
      <c r="AA866" s="418"/>
      <c r="AB866" s="95"/>
      <c r="AC866" s="18"/>
      <c r="AD866" s="18"/>
      <c r="AE866" s="18"/>
      <c r="AF866" s="18"/>
      <c r="AG866" s="91"/>
      <c r="AH866" s="18"/>
      <c r="AI866" s="18"/>
      <c r="AJ866" s="18"/>
      <c r="AK866" s="18"/>
      <c r="AL866" s="18"/>
      <c r="AM866" s="18"/>
      <c r="AN866" s="18"/>
      <c r="AO866" s="18"/>
      <c r="AP866" s="18"/>
      <c r="AQ866" s="18"/>
      <c r="AR866" s="18"/>
      <c r="AS866" s="18"/>
      <c r="AT866" s="18"/>
      <c r="AU866" s="91"/>
      <c r="AV866" s="18"/>
      <c r="AW866" s="18"/>
      <c r="AX866" s="18"/>
      <c r="AY866" s="17"/>
      <c r="AZ866" s="17"/>
      <c r="BA866" s="17"/>
      <c r="BB866" s="17"/>
      <c r="BC866" s="96"/>
      <c r="BD866" s="96"/>
      <c r="BE866" s="96"/>
      <c r="BF866" s="96"/>
      <c r="BG866" s="96"/>
      <c r="BH866" s="96"/>
      <c r="BI866" s="96"/>
    </row>
    <row r="867" spans="1:61" x14ac:dyDescent="0.45">
      <c r="A867" s="17"/>
      <c r="B867" s="17"/>
      <c r="C867" s="17"/>
      <c r="D867" s="17"/>
      <c r="E867" s="15"/>
      <c r="F867" s="17"/>
      <c r="G867" s="17"/>
      <c r="H867" s="3"/>
      <c r="I867" s="88"/>
      <c r="J867" s="88"/>
      <c r="K867" s="15"/>
      <c r="L867" s="96"/>
      <c r="M867" s="89"/>
      <c r="N867" s="88"/>
      <c r="O867" s="413"/>
      <c r="P867" s="18"/>
      <c r="Q867" s="91"/>
      <c r="R867" s="18"/>
      <c r="S867" s="18"/>
      <c r="T867" s="18"/>
      <c r="U867" s="18"/>
      <c r="V867" s="18"/>
      <c r="W867" s="18"/>
      <c r="X867" s="18"/>
      <c r="Y867" s="92"/>
      <c r="Z867" s="92"/>
      <c r="AA867" s="418"/>
      <c r="AB867" s="95"/>
      <c r="AC867" s="18"/>
      <c r="AD867" s="18"/>
      <c r="AE867" s="18"/>
      <c r="AF867" s="18"/>
      <c r="AG867" s="91"/>
      <c r="AH867" s="18"/>
      <c r="AI867" s="18"/>
      <c r="AJ867" s="18"/>
      <c r="AK867" s="18"/>
      <c r="AL867" s="18"/>
      <c r="AM867" s="18"/>
      <c r="AN867" s="18"/>
      <c r="AO867" s="18"/>
      <c r="AP867" s="18"/>
      <c r="AQ867" s="18"/>
      <c r="AR867" s="18"/>
      <c r="AS867" s="18"/>
      <c r="AT867" s="18"/>
      <c r="AU867" s="91"/>
      <c r="AV867" s="18"/>
      <c r="AW867" s="18"/>
      <c r="AX867" s="18"/>
      <c r="AY867" s="17"/>
      <c r="AZ867" s="17"/>
      <c r="BA867" s="17"/>
      <c r="BB867" s="17"/>
      <c r="BC867" s="96"/>
      <c r="BD867" s="96"/>
      <c r="BE867" s="96"/>
      <c r="BF867" s="96"/>
      <c r="BG867" s="96"/>
      <c r="BH867" s="96"/>
      <c r="BI867" s="96"/>
    </row>
    <row r="868" spans="1:61" x14ac:dyDescent="0.45">
      <c r="A868" s="17"/>
      <c r="B868" s="17"/>
      <c r="C868" s="17"/>
      <c r="D868" s="17"/>
      <c r="E868" s="15"/>
      <c r="F868" s="17"/>
      <c r="G868" s="17"/>
      <c r="H868" s="3"/>
      <c r="I868" s="88"/>
      <c r="J868" s="88"/>
      <c r="K868" s="15"/>
      <c r="L868" s="96"/>
      <c r="M868" s="89"/>
      <c r="N868" s="88"/>
      <c r="O868" s="413"/>
      <c r="P868" s="18"/>
      <c r="Q868" s="91"/>
      <c r="R868" s="18"/>
      <c r="S868" s="18"/>
      <c r="T868" s="18"/>
      <c r="U868" s="18"/>
      <c r="V868" s="18"/>
      <c r="W868" s="18"/>
      <c r="X868" s="18"/>
      <c r="Y868" s="92"/>
      <c r="Z868" s="92"/>
      <c r="AA868" s="418"/>
      <c r="AB868" s="95"/>
      <c r="AC868" s="18"/>
      <c r="AD868" s="18"/>
      <c r="AE868" s="18"/>
      <c r="AF868" s="18"/>
      <c r="AG868" s="91"/>
      <c r="AH868" s="18"/>
      <c r="AI868" s="18"/>
      <c r="AJ868" s="18"/>
      <c r="AK868" s="18"/>
      <c r="AL868" s="18"/>
      <c r="AM868" s="18"/>
      <c r="AN868" s="18"/>
      <c r="AO868" s="18"/>
      <c r="AP868" s="18"/>
      <c r="AQ868" s="18"/>
      <c r="AR868" s="18"/>
      <c r="AS868" s="18"/>
      <c r="AT868" s="18"/>
      <c r="AU868" s="91"/>
      <c r="AV868" s="18"/>
      <c r="AW868" s="18"/>
      <c r="AX868" s="18"/>
      <c r="AY868" s="17"/>
      <c r="AZ868" s="17"/>
      <c r="BA868" s="17"/>
      <c r="BB868" s="17"/>
      <c r="BC868" s="96"/>
      <c r="BD868" s="96"/>
      <c r="BE868" s="96"/>
      <c r="BF868" s="96"/>
      <c r="BG868" s="96"/>
      <c r="BH868" s="96"/>
      <c r="BI868" s="96"/>
    </row>
    <row r="869" spans="1:61" x14ac:dyDescent="0.45">
      <c r="A869" s="17"/>
      <c r="B869" s="17"/>
      <c r="C869" s="17"/>
      <c r="D869" s="17"/>
      <c r="E869" s="15"/>
      <c r="F869" s="17"/>
      <c r="G869" s="17"/>
      <c r="H869" s="3"/>
      <c r="I869" s="88"/>
      <c r="J869" s="88"/>
      <c r="K869" s="15"/>
      <c r="L869" s="96"/>
      <c r="M869" s="89"/>
      <c r="N869" s="88"/>
      <c r="O869" s="413"/>
      <c r="P869" s="18"/>
      <c r="Q869" s="91"/>
      <c r="R869" s="18"/>
      <c r="S869" s="18"/>
      <c r="T869" s="18"/>
      <c r="U869" s="18"/>
      <c r="V869" s="18"/>
      <c r="W869" s="18"/>
      <c r="X869" s="18"/>
      <c r="Y869" s="92"/>
      <c r="Z869" s="92"/>
      <c r="AA869" s="418"/>
      <c r="AB869" s="95"/>
      <c r="AC869" s="18"/>
      <c r="AD869" s="18"/>
      <c r="AE869" s="18"/>
      <c r="AF869" s="18"/>
      <c r="AG869" s="91"/>
      <c r="AH869" s="18"/>
      <c r="AI869" s="18"/>
      <c r="AJ869" s="18"/>
      <c r="AK869" s="18"/>
      <c r="AL869" s="18"/>
      <c r="AM869" s="18"/>
      <c r="AN869" s="18"/>
      <c r="AO869" s="18"/>
      <c r="AP869" s="18"/>
      <c r="AQ869" s="18"/>
      <c r="AR869" s="18"/>
      <c r="AS869" s="18"/>
      <c r="AT869" s="18"/>
      <c r="AU869" s="91"/>
      <c r="AV869" s="18"/>
      <c r="AW869" s="18"/>
      <c r="AX869" s="18"/>
      <c r="AY869" s="17"/>
      <c r="AZ869" s="17"/>
      <c r="BA869" s="17"/>
      <c r="BB869" s="17"/>
      <c r="BC869" s="96"/>
      <c r="BD869" s="96"/>
      <c r="BE869" s="96"/>
      <c r="BF869" s="96"/>
      <c r="BG869" s="96"/>
      <c r="BH869" s="96"/>
      <c r="BI869" s="96"/>
    </row>
    <row r="870" spans="1:61" x14ac:dyDescent="0.45">
      <c r="A870" s="17"/>
      <c r="B870" s="17"/>
      <c r="C870" s="17"/>
      <c r="D870" s="17"/>
      <c r="E870" s="15"/>
      <c r="F870" s="17"/>
      <c r="G870" s="17"/>
      <c r="H870" s="3"/>
      <c r="I870" s="88"/>
      <c r="J870" s="88"/>
      <c r="K870" s="15"/>
      <c r="L870" s="96"/>
      <c r="M870" s="89"/>
      <c r="N870" s="88"/>
      <c r="O870" s="413"/>
      <c r="P870" s="18"/>
      <c r="Q870" s="91"/>
      <c r="R870" s="18"/>
      <c r="S870" s="18"/>
      <c r="T870" s="18"/>
      <c r="U870" s="18"/>
      <c r="V870" s="18"/>
      <c r="W870" s="18"/>
      <c r="X870" s="18"/>
      <c r="Y870" s="92"/>
      <c r="Z870" s="92"/>
      <c r="AA870" s="418"/>
      <c r="AB870" s="95"/>
      <c r="AC870" s="18"/>
      <c r="AD870" s="18"/>
      <c r="AE870" s="18"/>
      <c r="AF870" s="18"/>
      <c r="AG870" s="91"/>
      <c r="AH870" s="18"/>
      <c r="AI870" s="18"/>
      <c r="AJ870" s="18"/>
      <c r="AK870" s="18"/>
      <c r="AL870" s="18"/>
      <c r="AM870" s="18"/>
      <c r="AN870" s="18"/>
      <c r="AO870" s="18"/>
      <c r="AP870" s="18"/>
      <c r="AQ870" s="18"/>
      <c r="AR870" s="18"/>
      <c r="AS870" s="18"/>
      <c r="AT870" s="18"/>
      <c r="AU870" s="91"/>
      <c r="AV870" s="18"/>
      <c r="AW870" s="18"/>
      <c r="AX870" s="18"/>
      <c r="AY870" s="17"/>
      <c r="AZ870" s="17"/>
      <c r="BA870" s="17"/>
      <c r="BB870" s="17"/>
      <c r="BC870" s="96"/>
      <c r="BD870" s="96"/>
      <c r="BE870" s="96"/>
      <c r="BF870" s="96"/>
      <c r="BG870" s="96"/>
      <c r="BH870" s="96"/>
      <c r="BI870" s="96"/>
    </row>
    <row r="871" spans="1:61" x14ac:dyDescent="0.45">
      <c r="A871" s="17"/>
      <c r="B871" s="17"/>
      <c r="C871" s="17"/>
      <c r="D871" s="17"/>
      <c r="E871" s="15"/>
      <c r="F871" s="17"/>
      <c r="G871" s="17"/>
      <c r="H871" s="3"/>
      <c r="I871" s="88"/>
      <c r="J871" s="88"/>
      <c r="K871" s="15"/>
      <c r="L871" s="96"/>
      <c r="M871" s="89"/>
      <c r="N871" s="88"/>
      <c r="O871" s="413"/>
      <c r="P871" s="18"/>
      <c r="Q871" s="91"/>
      <c r="R871" s="18"/>
      <c r="S871" s="18"/>
      <c r="T871" s="18"/>
      <c r="U871" s="18"/>
      <c r="V871" s="18"/>
      <c r="W871" s="18"/>
      <c r="X871" s="18"/>
      <c r="Y871" s="92"/>
      <c r="Z871" s="92"/>
      <c r="AA871" s="418"/>
      <c r="AB871" s="95"/>
      <c r="AC871" s="18"/>
      <c r="AD871" s="18"/>
      <c r="AE871" s="18"/>
      <c r="AF871" s="18"/>
      <c r="AG871" s="91"/>
      <c r="AH871" s="18"/>
      <c r="AI871" s="18"/>
      <c r="AJ871" s="18"/>
      <c r="AK871" s="18"/>
      <c r="AL871" s="18"/>
      <c r="AM871" s="18"/>
      <c r="AN871" s="18"/>
      <c r="AO871" s="18"/>
      <c r="AP871" s="18"/>
      <c r="AQ871" s="18"/>
      <c r="AR871" s="18"/>
      <c r="AS871" s="18"/>
      <c r="AT871" s="18"/>
      <c r="AU871" s="91"/>
      <c r="AV871" s="18"/>
      <c r="AW871" s="18"/>
      <c r="AX871" s="18"/>
      <c r="AY871" s="17"/>
      <c r="AZ871" s="17"/>
      <c r="BA871" s="17"/>
      <c r="BB871" s="17"/>
      <c r="BC871" s="96"/>
      <c r="BD871" s="96"/>
      <c r="BE871" s="96"/>
      <c r="BF871" s="96"/>
      <c r="BG871" s="96"/>
      <c r="BH871" s="96"/>
      <c r="BI871" s="96"/>
    </row>
    <row r="872" spans="1:61" x14ac:dyDescent="0.45">
      <c r="A872" s="17"/>
      <c r="B872" s="17"/>
      <c r="C872" s="17"/>
      <c r="D872" s="17"/>
      <c r="E872" s="15"/>
      <c r="F872" s="17"/>
      <c r="G872" s="17"/>
      <c r="H872" s="3"/>
      <c r="I872" s="88"/>
      <c r="J872" s="88"/>
      <c r="K872" s="15"/>
      <c r="L872" s="96"/>
      <c r="M872" s="89"/>
      <c r="N872" s="88"/>
      <c r="O872" s="413"/>
      <c r="P872" s="18"/>
      <c r="Q872" s="91"/>
      <c r="R872" s="18"/>
      <c r="S872" s="18"/>
      <c r="T872" s="18"/>
      <c r="U872" s="18"/>
      <c r="V872" s="18"/>
      <c r="W872" s="18"/>
      <c r="X872" s="18"/>
      <c r="Y872" s="92"/>
      <c r="Z872" s="92"/>
      <c r="AA872" s="418"/>
      <c r="AB872" s="95"/>
      <c r="AC872" s="18"/>
      <c r="AD872" s="18"/>
      <c r="AE872" s="18"/>
      <c r="AF872" s="18"/>
      <c r="AG872" s="91"/>
      <c r="AH872" s="18"/>
      <c r="AI872" s="18"/>
      <c r="AJ872" s="18"/>
      <c r="AK872" s="18"/>
      <c r="AL872" s="18"/>
      <c r="AM872" s="18"/>
      <c r="AN872" s="18"/>
      <c r="AO872" s="18"/>
      <c r="AP872" s="18"/>
      <c r="AQ872" s="18"/>
      <c r="AR872" s="18"/>
      <c r="AS872" s="18"/>
      <c r="AT872" s="18"/>
      <c r="AU872" s="91"/>
      <c r="AV872" s="18"/>
      <c r="AW872" s="18"/>
      <c r="AX872" s="18"/>
      <c r="AY872" s="17"/>
      <c r="AZ872" s="17"/>
      <c r="BA872" s="17"/>
      <c r="BB872" s="17"/>
      <c r="BC872" s="96"/>
      <c r="BD872" s="96"/>
      <c r="BE872" s="96"/>
      <c r="BF872" s="96"/>
      <c r="BG872" s="96"/>
      <c r="BH872" s="96"/>
      <c r="BI872" s="96"/>
    </row>
    <row r="873" spans="1:61" x14ac:dyDescent="0.45">
      <c r="A873" s="17"/>
      <c r="B873" s="17"/>
      <c r="C873" s="17"/>
      <c r="D873" s="17"/>
      <c r="E873" s="15"/>
      <c r="F873" s="17"/>
      <c r="G873" s="17"/>
      <c r="H873" s="3"/>
      <c r="I873" s="88"/>
      <c r="J873" s="88"/>
      <c r="K873" s="15"/>
      <c r="L873" s="96"/>
      <c r="M873" s="89"/>
      <c r="N873" s="88"/>
      <c r="O873" s="413"/>
      <c r="P873" s="18"/>
      <c r="Q873" s="91"/>
      <c r="R873" s="18"/>
      <c r="S873" s="18"/>
      <c r="T873" s="18"/>
      <c r="U873" s="18"/>
      <c r="V873" s="18"/>
      <c r="W873" s="18"/>
      <c r="X873" s="18"/>
      <c r="Y873" s="92"/>
      <c r="Z873" s="92"/>
      <c r="AA873" s="418"/>
      <c r="AB873" s="95"/>
      <c r="AC873" s="18"/>
      <c r="AD873" s="18"/>
      <c r="AE873" s="18"/>
      <c r="AF873" s="18"/>
      <c r="AG873" s="91"/>
      <c r="AH873" s="18"/>
      <c r="AI873" s="18"/>
      <c r="AJ873" s="18"/>
      <c r="AK873" s="18"/>
      <c r="AL873" s="18"/>
      <c r="AM873" s="18"/>
      <c r="AN873" s="18"/>
      <c r="AO873" s="18"/>
      <c r="AP873" s="18"/>
      <c r="AQ873" s="18"/>
      <c r="AR873" s="18"/>
      <c r="AS873" s="18"/>
      <c r="AT873" s="18"/>
      <c r="AU873" s="91"/>
      <c r="AV873" s="18"/>
      <c r="AW873" s="18"/>
      <c r="AX873" s="18"/>
      <c r="AY873" s="17"/>
      <c r="AZ873" s="17"/>
      <c r="BA873" s="17"/>
      <c r="BB873" s="17"/>
      <c r="BC873" s="96"/>
      <c r="BD873" s="96"/>
      <c r="BE873" s="96"/>
      <c r="BF873" s="96"/>
      <c r="BG873" s="96"/>
      <c r="BH873" s="96"/>
      <c r="BI873" s="96"/>
    </row>
    <row r="874" spans="1:61" x14ac:dyDescent="0.45">
      <c r="A874" s="17"/>
      <c r="B874" s="17"/>
      <c r="C874" s="17"/>
      <c r="D874" s="17"/>
      <c r="E874" s="15"/>
      <c r="F874" s="17"/>
      <c r="G874" s="17"/>
      <c r="H874" s="3"/>
      <c r="I874" s="88"/>
      <c r="J874" s="88"/>
      <c r="K874" s="15"/>
      <c r="L874" s="96"/>
      <c r="M874" s="89"/>
      <c r="N874" s="88"/>
      <c r="O874" s="413"/>
      <c r="P874" s="18"/>
      <c r="Q874" s="91"/>
      <c r="R874" s="18"/>
      <c r="S874" s="18"/>
      <c r="T874" s="18"/>
      <c r="U874" s="18"/>
      <c r="V874" s="18"/>
      <c r="W874" s="18"/>
      <c r="X874" s="18"/>
      <c r="Y874" s="92"/>
      <c r="Z874" s="92"/>
      <c r="AA874" s="418"/>
      <c r="AB874" s="95"/>
      <c r="AC874" s="18"/>
      <c r="AD874" s="18"/>
      <c r="AE874" s="18"/>
      <c r="AF874" s="18"/>
      <c r="AG874" s="91"/>
      <c r="AH874" s="18"/>
      <c r="AI874" s="18"/>
      <c r="AJ874" s="18"/>
      <c r="AK874" s="18"/>
      <c r="AL874" s="18"/>
      <c r="AM874" s="18"/>
      <c r="AN874" s="18"/>
      <c r="AO874" s="18"/>
      <c r="AP874" s="18"/>
      <c r="AQ874" s="18"/>
      <c r="AR874" s="18"/>
      <c r="AS874" s="18"/>
      <c r="AT874" s="18"/>
      <c r="AU874" s="91"/>
      <c r="AV874" s="18"/>
      <c r="AW874" s="18"/>
      <c r="AX874" s="18"/>
      <c r="AY874" s="17"/>
      <c r="AZ874" s="17"/>
      <c r="BA874" s="17"/>
      <c r="BB874" s="17"/>
      <c r="BC874" s="96"/>
      <c r="BD874" s="96"/>
      <c r="BE874" s="96"/>
      <c r="BF874" s="96"/>
      <c r="BG874" s="96"/>
      <c r="BH874" s="96"/>
      <c r="BI874" s="96"/>
    </row>
    <row r="875" spans="1:61" x14ac:dyDescent="0.45">
      <c r="A875" s="17"/>
      <c r="B875" s="17"/>
      <c r="C875" s="17"/>
      <c r="D875" s="17"/>
      <c r="E875" s="15"/>
      <c r="F875" s="17"/>
      <c r="G875" s="17"/>
      <c r="H875" s="3"/>
      <c r="I875" s="88"/>
      <c r="J875" s="88"/>
      <c r="K875" s="15"/>
      <c r="L875" s="96"/>
      <c r="M875" s="89"/>
      <c r="N875" s="88"/>
      <c r="O875" s="413"/>
      <c r="P875" s="18"/>
      <c r="Q875" s="91"/>
      <c r="R875" s="18"/>
      <c r="S875" s="18"/>
      <c r="T875" s="18"/>
      <c r="U875" s="18"/>
      <c r="V875" s="18"/>
      <c r="W875" s="18"/>
      <c r="X875" s="18"/>
      <c r="Y875" s="92"/>
      <c r="Z875" s="92"/>
      <c r="AA875" s="418"/>
      <c r="AB875" s="95"/>
      <c r="AC875" s="18"/>
      <c r="AD875" s="18"/>
      <c r="AE875" s="18"/>
      <c r="AF875" s="18"/>
      <c r="AG875" s="91"/>
      <c r="AH875" s="18"/>
      <c r="AI875" s="18"/>
      <c r="AJ875" s="18"/>
      <c r="AK875" s="18"/>
      <c r="AL875" s="18"/>
      <c r="AM875" s="18"/>
      <c r="AN875" s="18"/>
      <c r="AO875" s="18"/>
      <c r="AP875" s="18"/>
      <c r="AQ875" s="18"/>
      <c r="AR875" s="18"/>
      <c r="AS875" s="18"/>
      <c r="AT875" s="18"/>
      <c r="AU875" s="91"/>
      <c r="AV875" s="18"/>
      <c r="AW875" s="18"/>
      <c r="AX875" s="18"/>
      <c r="AY875" s="17"/>
      <c r="AZ875" s="17"/>
      <c r="BA875" s="17"/>
      <c r="BB875" s="17"/>
      <c r="BC875" s="96"/>
      <c r="BD875" s="96"/>
      <c r="BE875" s="96"/>
      <c r="BF875" s="96"/>
      <c r="BG875" s="96"/>
      <c r="BH875" s="96"/>
      <c r="BI875" s="96"/>
    </row>
    <row r="876" spans="1:61" x14ac:dyDescent="0.45">
      <c r="A876" s="17"/>
      <c r="B876" s="17"/>
      <c r="C876" s="17"/>
      <c r="D876" s="17"/>
      <c r="E876" s="15"/>
      <c r="F876" s="17"/>
      <c r="G876" s="17"/>
      <c r="H876" s="3"/>
      <c r="I876" s="88"/>
      <c r="J876" s="88"/>
      <c r="K876" s="15"/>
      <c r="L876" s="96"/>
      <c r="M876" s="89"/>
      <c r="N876" s="88"/>
      <c r="O876" s="413"/>
      <c r="P876" s="18"/>
      <c r="Q876" s="91"/>
      <c r="R876" s="18"/>
      <c r="S876" s="18"/>
      <c r="T876" s="18"/>
      <c r="U876" s="18"/>
      <c r="V876" s="18"/>
      <c r="W876" s="18"/>
      <c r="X876" s="18"/>
      <c r="Y876" s="92"/>
      <c r="Z876" s="92"/>
      <c r="AA876" s="418"/>
      <c r="AB876" s="95"/>
      <c r="AC876" s="18"/>
      <c r="AD876" s="18"/>
      <c r="AE876" s="18"/>
      <c r="AF876" s="18"/>
      <c r="AG876" s="91"/>
      <c r="AH876" s="18"/>
      <c r="AI876" s="18"/>
      <c r="AJ876" s="18"/>
      <c r="AK876" s="18"/>
      <c r="AL876" s="18"/>
      <c r="AM876" s="18"/>
      <c r="AN876" s="18"/>
      <c r="AO876" s="18"/>
      <c r="AP876" s="18"/>
      <c r="AQ876" s="18"/>
      <c r="AR876" s="18"/>
      <c r="AS876" s="18"/>
      <c r="AT876" s="18"/>
      <c r="AU876" s="91"/>
      <c r="AV876" s="18"/>
      <c r="AW876" s="18"/>
      <c r="AX876" s="18"/>
      <c r="AY876" s="17"/>
      <c r="AZ876" s="17"/>
      <c r="BA876" s="17"/>
      <c r="BB876" s="17"/>
      <c r="BC876" s="96"/>
      <c r="BD876" s="96"/>
      <c r="BE876" s="96"/>
      <c r="BF876" s="96"/>
      <c r="BG876" s="96"/>
      <c r="BH876" s="96"/>
      <c r="BI876" s="96"/>
    </row>
    <row r="877" spans="1:61" x14ac:dyDescent="0.45">
      <c r="A877" s="17"/>
      <c r="B877" s="17"/>
      <c r="C877" s="17"/>
      <c r="D877" s="17"/>
      <c r="E877" s="15"/>
      <c r="F877" s="17"/>
      <c r="G877" s="17"/>
      <c r="H877" s="3"/>
      <c r="I877" s="88"/>
      <c r="J877" s="88"/>
      <c r="K877" s="15"/>
      <c r="L877" s="96"/>
      <c r="M877" s="89"/>
      <c r="N877" s="88"/>
      <c r="O877" s="413"/>
      <c r="P877" s="18"/>
      <c r="Q877" s="91"/>
      <c r="R877" s="18"/>
      <c r="S877" s="18"/>
      <c r="T877" s="18"/>
      <c r="U877" s="18"/>
      <c r="V877" s="18"/>
      <c r="W877" s="18"/>
      <c r="X877" s="18"/>
      <c r="Y877" s="92"/>
      <c r="Z877" s="92"/>
      <c r="AA877" s="418"/>
      <c r="AB877" s="95"/>
      <c r="AC877" s="18"/>
      <c r="AD877" s="18"/>
      <c r="AE877" s="18"/>
      <c r="AF877" s="18"/>
      <c r="AG877" s="91"/>
      <c r="AH877" s="18"/>
      <c r="AI877" s="18"/>
      <c r="AJ877" s="18"/>
      <c r="AK877" s="18"/>
      <c r="AL877" s="18"/>
      <c r="AM877" s="18"/>
      <c r="AN877" s="18"/>
      <c r="AO877" s="18"/>
      <c r="AP877" s="18"/>
      <c r="AQ877" s="18"/>
      <c r="AR877" s="18"/>
      <c r="AS877" s="18"/>
      <c r="AT877" s="18"/>
      <c r="AU877" s="91"/>
      <c r="AV877" s="18"/>
      <c r="AW877" s="18"/>
      <c r="AX877" s="18"/>
      <c r="AY877" s="17"/>
      <c r="AZ877" s="17"/>
      <c r="BA877" s="17"/>
      <c r="BB877" s="17"/>
      <c r="BC877" s="96"/>
      <c r="BD877" s="96"/>
      <c r="BE877" s="96"/>
      <c r="BF877" s="96"/>
      <c r="BG877" s="96"/>
      <c r="BH877" s="96"/>
      <c r="BI877" s="96"/>
    </row>
    <row r="878" spans="1:61" x14ac:dyDescent="0.45">
      <c r="A878" s="17"/>
      <c r="B878" s="17"/>
      <c r="C878" s="17"/>
      <c r="D878" s="17"/>
      <c r="E878" s="15"/>
      <c r="F878" s="17"/>
      <c r="G878" s="17"/>
      <c r="H878" s="3"/>
      <c r="I878" s="88"/>
      <c r="J878" s="88"/>
      <c r="K878" s="15"/>
      <c r="L878" s="96"/>
      <c r="M878" s="89"/>
      <c r="N878" s="88"/>
      <c r="O878" s="413"/>
      <c r="P878" s="18"/>
      <c r="Q878" s="91"/>
      <c r="R878" s="18"/>
      <c r="S878" s="18"/>
      <c r="T878" s="18"/>
      <c r="U878" s="18"/>
      <c r="V878" s="18"/>
      <c r="W878" s="18"/>
      <c r="X878" s="18"/>
      <c r="Y878" s="92"/>
      <c r="Z878" s="92"/>
      <c r="AA878" s="418"/>
      <c r="AB878" s="95"/>
      <c r="AC878" s="18"/>
      <c r="AD878" s="18"/>
      <c r="AE878" s="18"/>
      <c r="AF878" s="18"/>
      <c r="AG878" s="91"/>
      <c r="AH878" s="18"/>
      <c r="AI878" s="18"/>
      <c r="AJ878" s="18"/>
      <c r="AK878" s="18"/>
      <c r="AL878" s="18"/>
      <c r="AM878" s="18"/>
      <c r="AN878" s="18"/>
      <c r="AO878" s="18"/>
      <c r="AP878" s="18"/>
      <c r="AQ878" s="18"/>
      <c r="AR878" s="18"/>
      <c r="AS878" s="18"/>
      <c r="AT878" s="18"/>
      <c r="AU878" s="91"/>
      <c r="AV878" s="18"/>
      <c r="AW878" s="18"/>
      <c r="AX878" s="18"/>
      <c r="AY878" s="17"/>
      <c r="AZ878" s="17"/>
      <c r="BA878" s="17"/>
      <c r="BB878" s="17"/>
      <c r="BC878" s="96"/>
      <c r="BD878" s="96"/>
      <c r="BE878" s="96"/>
      <c r="BF878" s="96"/>
      <c r="BG878" s="96"/>
      <c r="BH878" s="96"/>
      <c r="BI878" s="96"/>
    </row>
    <row r="879" spans="1:61" x14ac:dyDescent="0.45">
      <c r="A879" s="17"/>
      <c r="B879" s="17"/>
      <c r="C879" s="17"/>
      <c r="D879" s="17"/>
      <c r="E879" s="15"/>
      <c r="F879" s="17"/>
      <c r="G879" s="17"/>
      <c r="H879" s="3"/>
      <c r="I879" s="88"/>
      <c r="J879" s="88"/>
      <c r="K879" s="15"/>
      <c r="L879" s="96"/>
      <c r="M879" s="89"/>
      <c r="N879" s="88"/>
      <c r="O879" s="413"/>
      <c r="P879" s="18"/>
      <c r="Q879" s="91"/>
      <c r="R879" s="18"/>
      <c r="S879" s="18"/>
      <c r="T879" s="18"/>
      <c r="U879" s="18"/>
      <c r="V879" s="18"/>
      <c r="W879" s="18"/>
      <c r="X879" s="18"/>
      <c r="Y879" s="92"/>
      <c r="Z879" s="92"/>
      <c r="AA879" s="418"/>
      <c r="AB879" s="95"/>
      <c r="AC879" s="18"/>
      <c r="AD879" s="18"/>
      <c r="AE879" s="18"/>
      <c r="AF879" s="18"/>
      <c r="AG879" s="91"/>
      <c r="AH879" s="18"/>
      <c r="AI879" s="18"/>
      <c r="AJ879" s="18"/>
      <c r="AK879" s="18"/>
      <c r="AL879" s="18"/>
      <c r="AM879" s="18"/>
      <c r="AN879" s="18"/>
      <c r="AO879" s="18"/>
      <c r="AP879" s="18"/>
      <c r="AQ879" s="18"/>
      <c r="AR879" s="18"/>
      <c r="AS879" s="18"/>
      <c r="AT879" s="18"/>
      <c r="AU879" s="91"/>
      <c r="AV879" s="18"/>
      <c r="AW879" s="18"/>
      <c r="AX879" s="18"/>
      <c r="AY879" s="17"/>
      <c r="AZ879" s="17"/>
      <c r="BA879" s="17"/>
      <c r="BB879" s="17"/>
      <c r="BC879" s="96"/>
      <c r="BD879" s="96"/>
      <c r="BE879" s="96"/>
      <c r="BF879" s="96"/>
      <c r="BG879" s="96"/>
      <c r="BH879" s="96"/>
      <c r="BI879" s="96"/>
    </row>
    <row r="880" spans="1:61" x14ac:dyDescent="0.45">
      <c r="A880" s="17"/>
      <c r="B880" s="17"/>
      <c r="C880" s="17"/>
      <c r="D880" s="17"/>
      <c r="E880" s="15"/>
      <c r="F880" s="17"/>
      <c r="G880" s="17"/>
      <c r="H880" s="3"/>
      <c r="I880" s="88"/>
      <c r="J880" s="88"/>
      <c r="K880" s="15"/>
      <c r="L880" s="96"/>
      <c r="M880" s="89"/>
      <c r="N880" s="88"/>
      <c r="O880" s="413"/>
      <c r="P880" s="18"/>
      <c r="Q880" s="91"/>
      <c r="R880" s="18"/>
      <c r="S880" s="18"/>
      <c r="T880" s="18"/>
      <c r="U880" s="18"/>
      <c r="V880" s="18"/>
      <c r="W880" s="18"/>
      <c r="X880" s="18"/>
      <c r="Y880" s="92"/>
      <c r="Z880" s="92"/>
      <c r="AA880" s="418"/>
      <c r="AB880" s="95"/>
      <c r="AC880" s="18"/>
      <c r="AD880" s="18"/>
      <c r="AE880" s="18"/>
      <c r="AF880" s="18"/>
      <c r="AG880" s="91"/>
      <c r="AH880" s="18"/>
      <c r="AI880" s="18"/>
      <c r="AJ880" s="18"/>
      <c r="AK880" s="18"/>
      <c r="AL880" s="18"/>
      <c r="AM880" s="18"/>
      <c r="AN880" s="18"/>
      <c r="AO880" s="18"/>
      <c r="AP880" s="18"/>
      <c r="AQ880" s="18"/>
      <c r="AR880" s="18"/>
      <c r="AS880" s="18"/>
      <c r="AT880" s="18"/>
      <c r="AU880" s="91"/>
      <c r="AV880" s="18"/>
      <c r="AW880" s="18"/>
      <c r="AX880" s="18"/>
      <c r="AY880" s="17"/>
      <c r="AZ880" s="17"/>
      <c r="BA880" s="17"/>
      <c r="BB880" s="17"/>
      <c r="BC880" s="96"/>
      <c r="BD880" s="96"/>
      <c r="BE880" s="96"/>
      <c r="BF880" s="96"/>
      <c r="BG880" s="96"/>
      <c r="BH880" s="96"/>
      <c r="BI880" s="96"/>
    </row>
    <row r="881" spans="1:61" x14ac:dyDescent="0.45">
      <c r="A881" s="17"/>
      <c r="B881" s="17"/>
      <c r="C881" s="17"/>
      <c r="D881" s="17"/>
      <c r="E881" s="15"/>
      <c r="F881" s="17"/>
      <c r="G881" s="17"/>
      <c r="H881" s="3"/>
      <c r="I881" s="88"/>
      <c r="J881" s="88"/>
      <c r="K881" s="15"/>
      <c r="L881" s="96"/>
      <c r="M881" s="89"/>
      <c r="N881" s="88"/>
      <c r="O881" s="413"/>
      <c r="P881" s="18"/>
      <c r="Q881" s="91"/>
      <c r="R881" s="18"/>
      <c r="S881" s="18"/>
      <c r="T881" s="18"/>
      <c r="U881" s="18"/>
      <c r="V881" s="18"/>
      <c r="W881" s="18"/>
      <c r="X881" s="18"/>
      <c r="Y881" s="92"/>
      <c r="Z881" s="92"/>
      <c r="AA881" s="418"/>
      <c r="AB881" s="95"/>
      <c r="AC881" s="18"/>
      <c r="AD881" s="18"/>
      <c r="AE881" s="18"/>
      <c r="AF881" s="18"/>
      <c r="AG881" s="91"/>
      <c r="AH881" s="18"/>
      <c r="AI881" s="18"/>
      <c r="AJ881" s="18"/>
      <c r="AK881" s="18"/>
      <c r="AL881" s="18"/>
      <c r="AM881" s="18"/>
      <c r="AN881" s="18"/>
      <c r="AO881" s="18"/>
      <c r="AP881" s="18"/>
      <c r="AQ881" s="18"/>
      <c r="AR881" s="18"/>
      <c r="AS881" s="18"/>
      <c r="AT881" s="18"/>
      <c r="AU881" s="91"/>
      <c r="AV881" s="18"/>
      <c r="AW881" s="18"/>
      <c r="AX881" s="18"/>
      <c r="AY881" s="17"/>
      <c r="AZ881" s="17"/>
      <c r="BA881" s="17"/>
      <c r="BB881" s="17"/>
      <c r="BC881" s="96"/>
      <c r="BD881" s="96"/>
      <c r="BE881" s="96"/>
      <c r="BF881" s="96"/>
      <c r="BG881" s="96"/>
      <c r="BH881" s="96"/>
      <c r="BI881" s="96"/>
    </row>
    <row r="882" spans="1:61" x14ac:dyDescent="0.45">
      <c r="A882" s="17"/>
      <c r="B882" s="17"/>
      <c r="C882" s="17"/>
      <c r="D882" s="17"/>
      <c r="E882" s="15"/>
      <c r="F882" s="17"/>
      <c r="G882" s="17"/>
      <c r="H882" s="3"/>
      <c r="I882" s="88"/>
      <c r="J882" s="88"/>
      <c r="K882" s="15"/>
      <c r="L882" s="96"/>
      <c r="M882" s="89"/>
      <c r="N882" s="88"/>
      <c r="O882" s="413"/>
      <c r="P882" s="18"/>
      <c r="Q882" s="91"/>
      <c r="R882" s="18"/>
      <c r="S882" s="18"/>
      <c r="T882" s="18"/>
      <c r="U882" s="18"/>
      <c r="V882" s="18"/>
      <c r="W882" s="18"/>
      <c r="X882" s="18"/>
      <c r="Y882" s="92"/>
      <c r="Z882" s="92"/>
      <c r="AA882" s="418"/>
      <c r="AB882" s="95"/>
      <c r="AC882" s="18"/>
      <c r="AD882" s="18"/>
      <c r="AE882" s="18"/>
      <c r="AF882" s="18"/>
      <c r="AG882" s="91"/>
      <c r="AH882" s="18"/>
      <c r="AI882" s="18"/>
      <c r="AJ882" s="18"/>
      <c r="AK882" s="18"/>
      <c r="AL882" s="18"/>
      <c r="AM882" s="18"/>
      <c r="AN882" s="18"/>
      <c r="AO882" s="18"/>
      <c r="AP882" s="18"/>
      <c r="AQ882" s="18"/>
      <c r="AR882" s="18"/>
      <c r="AS882" s="18"/>
      <c r="AT882" s="18"/>
      <c r="AU882" s="91"/>
      <c r="AV882" s="18"/>
      <c r="AW882" s="18"/>
      <c r="AX882" s="18"/>
      <c r="AY882" s="17"/>
      <c r="AZ882" s="17"/>
      <c r="BA882" s="17"/>
      <c r="BB882" s="17"/>
      <c r="BC882" s="96"/>
      <c r="BD882" s="96"/>
      <c r="BE882" s="96"/>
      <c r="BF882" s="96"/>
      <c r="BG882" s="96"/>
      <c r="BH882" s="96"/>
      <c r="BI882" s="96"/>
    </row>
    <row r="883" spans="1:61" x14ac:dyDescent="0.45">
      <c r="A883" s="17"/>
      <c r="B883" s="17"/>
      <c r="C883" s="17"/>
      <c r="D883" s="17"/>
      <c r="E883" s="15"/>
      <c r="F883" s="17"/>
      <c r="G883" s="17"/>
      <c r="H883" s="3"/>
      <c r="I883" s="88"/>
      <c r="J883" s="88"/>
      <c r="K883" s="15"/>
      <c r="L883" s="96"/>
      <c r="M883" s="89"/>
      <c r="N883" s="88"/>
      <c r="O883" s="413"/>
      <c r="P883" s="18"/>
      <c r="Q883" s="91"/>
      <c r="R883" s="18"/>
      <c r="S883" s="18"/>
      <c r="T883" s="18"/>
      <c r="U883" s="18"/>
      <c r="V883" s="18"/>
      <c r="W883" s="18"/>
      <c r="X883" s="18"/>
      <c r="Y883" s="92"/>
      <c r="Z883" s="92"/>
      <c r="AA883" s="418"/>
      <c r="AB883" s="95"/>
      <c r="AC883" s="18"/>
      <c r="AD883" s="18"/>
      <c r="AE883" s="18"/>
      <c r="AF883" s="18"/>
      <c r="AG883" s="91"/>
      <c r="AH883" s="18"/>
      <c r="AI883" s="18"/>
      <c r="AJ883" s="18"/>
      <c r="AK883" s="18"/>
      <c r="AL883" s="18"/>
      <c r="AM883" s="18"/>
      <c r="AN883" s="18"/>
      <c r="AO883" s="18"/>
      <c r="AP883" s="18"/>
      <c r="AQ883" s="18"/>
      <c r="AR883" s="18"/>
      <c r="AS883" s="18"/>
      <c r="AT883" s="18"/>
      <c r="AU883" s="91"/>
      <c r="AV883" s="18"/>
      <c r="AW883" s="18"/>
      <c r="AX883" s="18"/>
      <c r="AY883" s="17"/>
      <c r="AZ883" s="17"/>
      <c r="BA883" s="17"/>
      <c r="BB883" s="17"/>
      <c r="BC883" s="96"/>
      <c r="BD883" s="96"/>
      <c r="BE883" s="96"/>
      <c r="BF883" s="96"/>
      <c r="BG883" s="96"/>
      <c r="BH883" s="96"/>
      <c r="BI883" s="96"/>
    </row>
    <row r="884" spans="1:61" x14ac:dyDescent="0.45">
      <c r="A884" s="17"/>
      <c r="B884" s="17"/>
      <c r="C884" s="17"/>
      <c r="D884" s="17"/>
      <c r="E884" s="15"/>
      <c r="F884" s="17"/>
      <c r="G884" s="17"/>
      <c r="H884" s="3"/>
      <c r="I884" s="88"/>
      <c r="J884" s="88"/>
      <c r="K884" s="15"/>
      <c r="L884" s="96"/>
      <c r="M884" s="89"/>
      <c r="N884" s="88"/>
      <c r="O884" s="413"/>
      <c r="P884" s="18"/>
      <c r="Q884" s="91"/>
      <c r="R884" s="18"/>
      <c r="S884" s="18"/>
      <c r="T884" s="18"/>
      <c r="U884" s="18"/>
      <c r="V884" s="18"/>
      <c r="W884" s="18"/>
      <c r="X884" s="18"/>
      <c r="Y884" s="92"/>
      <c r="Z884" s="92"/>
      <c r="AA884" s="418"/>
      <c r="AB884" s="95"/>
      <c r="AC884" s="18"/>
      <c r="AD884" s="18"/>
      <c r="AE884" s="18"/>
      <c r="AF884" s="18"/>
      <c r="AG884" s="91"/>
      <c r="AH884" s="18"/>
      <c r="AI884" s="18"/>
      <c r="AJ884" s="18"/>
      <c r="AK884" s="18"/>
      <c r="AL884" s="18"/>
      <c r="AM884" s="18"/>
      <c r="AN884" s="18"/>
      <c r="AO884" s="18"/>
      <c r="AP884" s="18"/>
      <c r="AQ884" s="18"/>
      <c r="AR884" s="18"/>
      <c r="AS884" s="18"/>
      <c r="AT884" s="18"/>
      <c r="AU884" s="91"/>
      <c r="AV884" s="18"/>
      <c r="AW884" s="18"/>
      <c r="AX884" s="18"/>
      <c r="AY884" s="17"/>
      <c r="AZ884" s="17"/>
      <c r="BA884" s="17"/>
      <c r="BB884" s="17"/>
      <c r="BC884" s="96"/>
      <c r="BD884" s="96"/>
      <c r="BE884" s="96"/>
      <c r="BF884" s="96"/>
      <c r="BG884" s="96"/>
      <c r="BH884" s="96"/>
      <c r="BI884" s="96"/>
    </row>
    <row r="885" spans="1:61" x14ac:dyDescent="0.45">
      <c r="A885" s="17"/>
      <c r="B885" s="17"/>
      <c r="C885" s="17"/>
      <c r="D885" s="17"/>
      <c r="E885" s="15"/>
      <c r="F885" s="17"/>
      <c r="G885" s="17"/>
      <c r="H885" s="3"/>
      <c r="I885" s="88"/>
      <c r="J885" s="88"/>
      <c r="K885" s="15"/>
      <c r="L885" s="96"/>
      <c r="M885" s="89"/>
      <c r="N885" s="88"/>
      <c r="O885" s="413"/>
      <c r="P885" s="18"/>
      <c r="Q885" s="91"/>
      <c r="R885" s="18"/>
      <c r="S885" s="18"/>
      <c r="T885" s="18"/>
      <c r="U885" s="18"/>
      <c r="V885" s="18"/>
      <c r="W885" s="18"/>
      <c r="X885" s="18"/>
      <c r="Y885" s="92"/>
      <c r="Z885" s="92"/>
      <c r="AA885" s="418"/>
      <c r="AB885" s="95"/>
      <c r="AC885" s="18"/>
      <c r="AD885" s="18"/>
      <c r="AE885" s="18"/>
      <c r="AF885" s="18"/>
      <c r="AG885" s="91"/>
      <c r="AH885" s="18"/>
      <c r="AI885" s="18"/>
      <c r="AJ885" s="18"/>
      <c r="AK885" s="18"/>
      <c r="AL885" s="18"/>
      <c r="AM885" s="18"/>
      <c r="AN885" s="18"/>
      <c r="AO885" s="18"/>
      <c r="AP885" s="18"/>
      <c r="AQ885" s="18"/>
      <c r="AR885" s="18"/>
      <c r="AS885" s="18"/>
      <c r="AT885" s="18"/>
      <c r="AU885" s="91"/>
      <c r="AV885" s="18"/>
      <c r="AW885" s="18"/>
      <c r="AX885" s="18"/>
      <c r="AY885" s="17"/>
      <c r="AZ885" s="17"/>
      <c r="BA885" s="17"/>
      <c r="BB885" s="17"/>
      <c r="BC885" s="96"/>
      <c r="BD885" s="96"/>
      <c r="BE885" s="96"/>
      <c r="BF885" s="96"/>
      <c r="BG885" s="96"/>
      <c r="BH885" s="96"/>
      <c r="BI885" s="96"/>
    </row>
    <row r="886" spans="1:61" x14ac:dyDescent="0.45">
      <c r="A886" s="17"/>
      <c r="B886" s="17"/>
      <c r="C886" s="17"/>
      <c r="D886" s="17"/>
      <c r="E886" s="15"/>
      <c r="F886" s="17"/>
      <c r="G886" s="17"/>
      <c r="H886" s="3"/>
      <c r="I886" s="88"/>
      <c r="J886" s="88"/>
      <c r="K886" s="15"/>
      <c r="L886" s="96"/>
      <c r="M886" s="89"/>
      <c r="N886" s="88"/>
      <c r="O886" s="413"/>
      <c r="P886" s="18"/>
      <c r="Q886" s="91"/>
      <c r="R886" s="18"/>
      <c r="S886" s="18"/>
      <c r="T886" s="18"/>
      <c r="U886" s="18"/>
      <c r="V886" s="18"/>
      <c r="W886" s="18"/>
      <c r="X886" s="18"/>
      <c r="Y886" s="92"/>
      <c r="Z886" s="92"/>
      <c r="AA886" s="418"/>
      <c r="AB886" s="95"/>
      <c r="AC886" s="18"/>
      <c r="AD886" s="18"/>
      <c r="AE886" s="18"/>
      <c r="AF886" s="18"/>
      <c r="AG886" s="91"/>
      <c r="AH886" s="18"/>
      <c r="AI886" s="18"/>
      <c r="AJ886" s="18"/>
      <c r="AK886" s="18"/>
      <c r="AL886" s="18"/>
      <c r="AM886" s="18"/>
      <c r="AN886" s="18"/>
      <c r="AO886" s="18"/>
      <c r="AP886" s="18"/>
      <c r="AQ886" s="18"/>
      <c r="AR886" s="18"/>
      <c r="AS886" s="18"/>
      <c r="AT886" s="18"/>
      <c r="AU886" s="91"/>
      <c r="AV886" s="18"/>
      <c r="AW886" s="18"/>
      <c r="AX886" s="18"/>
      <c r="AY886" s="17"/>
      <c r="AZ886" s="17"/>
      <c r="BA886" s="17"/>
      <c r="BB886" s="17"/>
      <c r="BC886" s="96"/>
      <c r="BD886" s="96"/>
      <c r="BE886" s="96"/>
      <c r="BF886" s="96"/>
      <c r="BG886" s="96"/>
      <c r="BH886" s="96"/>
      <c r="BI886" s="96"/>
    </row>
    <row r="887" spans="1:61" x14ac:dyDescent="0.45">
      <c r="A887" s="17"/>
      <c r="B887" s="17"/>
      <c r="C887" s="17"/>
      <c r="D887" s="17"/>
      <c r="E887" s="15"/>
      <c r="F887" s="17"/>
      <c r="G887" s="17"/>
      <c r="H887" s="3"/>
      <c r="I887" s="88"/>
      <c r="J887" s="88"/>
      <c r="K887" s="15"/>
      <c r="L887" s="96"/>
      <c r="M887" s="89"/>
      <c r="N887" s="88"/>
      <c r="O887" s="413"/>
      <c r="P887" s="18"/>
      <c r="Q887" s="91"/>
      <c r="R887" s="18"/>
      <c r="S887" s="18"/>
      <c r="T887" s="18"/>
      <c r="U887" s="18"/>
      <c r="V887" s="18"/>
      <c r="W887" s="18"/>
      <c r="X887" s="18"/>
      <c r="Y887" s="92"/>
      <c r="Z887" s="92"/>
      <c r="AA887" s="418"/>
      <c r="AB887" s="95"/>
      <c r="AC887" s="18"/>
      <c r="AD887" s="18"/>
      <c r="AE887" s="18"/>
      <c r="AF887" s="18"/>
      <c r="AG887" s="91"/>
      <c r="AH887" s="18"/>
      <c r="AI887" s="18"/>
      <c r="AJ887" s="18"/>
      <c r="AK887" s="18"/>
      <c r="AL887" s="18"/>
      <c r="AM887" s="18"/>
      <c r="AN887" s="18"/>
      <c r="AO887" s="18"/>
      <c r="AP887" s="18"/>
      <c r="AQ887" s="18"/>
      <c r="AR887" s="18"/>
      <c r="AS887" s="18"/>
      <c r="AT887" s="18"/>
      <c r="AU887" s="91"/>
      <c r="AV887" s="18"/>
      <c r="AW887" s="18"/>
      <c r="AX887" s="18"/>
      <c r="AY887" s="17"/>
      <c r="AZ887" s="17"/>
      <c r="BA887" s="17"/>
      <c r="BB887" s="17"/>
      <c r="BC887" s="96"/>
      <c r="BD887" s="96"/>
      <c r="BE887" s="96"/>
      <c r="BF887" s="96"/>
      <c r="BG887" s="96"/>
      <c r="BH887" s="96"/>
      <c r="BI887" s="96"/>
    </row>
    <row r="888" spans="1:61" x14ac:dyDescent="0.45">
      <c r="A888" s="17"/>
      <c r="B888" s="17"/>
      <c r="C888" s="17"/>
      <c r="D888" s="17"/>
      <c r="E888" s="15"/>
      <c r="F888" s="17"/>
      <c r="G888" s="17"/>
      <c r="H888" s="3"/>
      <c r="I888" s="88"/>
      <c r="J888" s="88"/>
      <c r="K888" s="15"/>
      <c r="L888" s="96"/>
      <c r="M888" s="89"/>
      <c r="N888" s="88"/>
      <c r="O888" s="413"/>
      <c r="P888" s="18"/>
      <c r="Q888" s="91"/>
      <c r="R888" s="18"/>
      <c r="S888" s="18"/>
      <c r="T888" s="18"/>
      <c r="U888" s="18"/>
      <c r="V888" s="18"/>
      <c r="W888" s="18"/>
      <c r="X888" s="18"/>
      <c r="Y888" s="92"/>
      <c r="Z888" s="92"/>
      <c r="AA888" s="418"/>
      <c r="AB888" s="95"/>
      <c r="AC888" s="18"/>
      <c r="AD888" s="18"/>
      <c r="AE888" s="18"/>
      <c r="AF888" s="18"/>
      <c r="AG888" s="91"/>
      <c r="AH888" s="18"/>
      <c r="AI888" s="18"/>
      <c r="AJ888" s="18"/>
      <c r="AK888" s="18"/>
      <c r="AL888" s="18"/>
      <c r="AM888" s="18"/>
      <c r="AN888" s="18"/>
      <c r="AO888" s="18"/>
      <c r="AP888" s="18"/>
      <c r="AQ888" s="18"/>
      <c r="AR888" s="18"/>
      <c r="AS888" s="18"/>
      <c r="AT888" s="18"/>
      <c r="AU888" s="91"/>
      <c r="AV888" s="18"/>
      <c r="AW888" s="18"/>
      <c r="AX888" s="18"/>
      <c r="AY888" s="17"/>
      <c r="AZ888" s="17"/>
      <c r="BA888" s="17"/>
      <c r="BB888" s="17"/>
      <c r="BC888" s="96"/>
      <c r="BD888" s="96"/>
      <c r="BE888" s="96"/>
      <c r="BF888" s="96"/>
      <c r="BG888" s="96"/>
      <c r="BH888" s="96"/>
      <c r="BI888" s="96"/>
    </row>
    <row r="889" spans="1:61" x14ac:dyDescent="0.45">
      <c r="A889" s="17"/>
      <c r="B889" s="17"/>
      <c r="C889" s="17"/>
      <c r="D889" s="17"/>
      <c r="E889" s="15"/>
      <c r="F889" s="17"/>
      <c r="G889" s="17"/>
      <c r="H889" s="3"/>
      <c r="I889" s="88"/>
      <c r="J889" s="88"/>
      <c r="K889" s="15"/>
      <c r="L889" s="96"/>
      <c r="M889" s="89"/>
      <c r="N889" s="88"/>
      <c r="O889" s="413"/>
      <c r="P889" s="18"/>
      <c r="Q889" s="91"/>
      <c r="R889" s="18"/>
      <c r="S889" s="18"/>
      <c r="T889" s="18"/>
      <c r="U889" s="18"/>
      <c r="V889" s="18"/>
      <c r="W889" s="18"/>
      <c r="X889" s="18"/>
      <c r="Y889" s="92"/>
      <c r="Z889" s="92"/>
      <c r="AA889" s="418"/>
      <c r="AB889" s="95"/>
      <c r="AC889" s="18"/>
      <c r="AD889" s="18"/>
      <c r="AE889" s="18"/>
      <c r="AF889" s="18"/>
      <c r="AG889" s="91"/>
      <c r="AH889" s="18"/>
      <c r="AI889" s="18"/>
      <c r="AJ889" s="18"/>
      <c r="AK889" s="18"/>
      <c r="AL889" s="18"/>
      <c r="AM889" s="18"/>
      <c r="AN889" s="18"/>
      <c r="AO889" s="18"/>
      <c r="AP889" s="18"/>
      <c r="AQ889" s="18"/>
      <c r="AR889" s="18"/>
      <c r="AS889" s="18"/>
      <c r="AT889" s="18"/>
      <c r="AU889" s="91"/>
      <c r="AV889" s="18"/>
      <c r="AW889" s="18"/>
      <c r="AX889" s="18"/>
      <c r="AY889" s="17"/>
      <c r="AZ889" s="17"/>
      <c r="BA889" s="17"/>
      <c r="BB889" s="17"/>
      <c r="BC889" s="96"/>
      <c r="BD889" s="96"/>
      <c r="BE889" s="96"/>
      <c r="BF889" s="96"/>
      <c r="BG889" s="96"/>
      <c r="BH889" s="96"/>
      <c r="BI889" s="96"/>
    </row>
    <row r="890" spans="1:61" x14ac:dyDescent="0.45">
      <c r="A890" s="17"/>
      <c r="B890" s="17"/>
      <c r="C890" s="17"/>
      <c r="D890" s="17"/>
      <c r="E890" s="15"/>
      <c r="F890" s="17"/>
      <c r="G890" s="17"/>
      <c r="H890" s="3"/>
      <c r="I890" s="88"/>
      <c r="J890" s="88"/>
      <c r="K890" s="15"/>
      <c r="L890" s="96"/>
      <c r="M890" s="89"/>
      <c r="N890" s="88"/>
      <c r="O890" s="413"/>
      <c r="P890" s="18"/>
      <c r="Q890" s="91"/>
      <c r="R890" s="18"/>
      <c r="S890" s="18"/>
      <c r="T890" s="18"/>
      <c r="U890" s="18"/>
      <c r="V890" s="18"/>
      <c r="W890" s="18"/>
      <c r="X890" s="18"/>
      <c r="Y890" s="92"/>
      <c r="Z890" s="92"/>
      <c r="AA890" s="418"/>
      <c r="AB890" s="95"/>
      <c r="AC890" s="18"/>
      <c r="AD890" s="18"/>
      <c r="AE890" s="18"/>
      <c r="AF890" s="18"/>
      <c r="AG890" s="91"/>
      <c r="AH890" s="18"/>
      <c r="AI890" s="18"/>
      <c r="AJ890" s="18"/>
      <c r="AK890" s="18"/>
      <c r="AL890" s="18"/>
      <c r="AM890" s="18"/>
      <c r="AN890" s="18"/>
      <c r="AO890" s="18"/>
      <c r="AP890" s="18"/>
      <c r="AQ890" s="18"/>
      <c r="AR890" s="18"/>
      <c r="AS890" s="18"/>
      <c r="AT890" s="18"/>
      <c r="AU890" s="91"/>
      <c r="AV890" s="18"/>
      <c r="AW890" s="18"/>
      <c r="AX890" s="18"/>
      <c r="AY890" s="17"/>
      <c r="AZ890" s="17"/>
      <c r="BA890" s="17"/>
      <c r="BB890" s="17"/>
      <c r="BC890" s="96"/>
      <c r="BD890" s="96"/>
      <c r="BE890" s="96"/>
      <c r="BF890" s="96"/>
      <c r="BG890" s="96"/>
      <c r="BH890" s="96"/>
      <c r="BI890" s="96"/>
    </row>
    <row r="891" spans="1:61" x14ac:dyDescent="0.45">
      <c r="A891" s="17"/>
      <c r="B891" s="17"/>
      <c r="C891" s="17"/>
      <c r="D891" s="17"/>
      <c r="E891" s="15"/>
      <c r="F891" s="17"/>
      <c r="G891" s="17"/>
      <c r="H891" s="3"/>
      <c r="I891" s="88"/>
      <c r="J891" s="88"/>
      <c r="K891" s="15"/>
      <c r="L891" s="96"/>
      <c r="M891" s="89"/>
      <c r="N891" s="88"/>
      <c r="O891" s="413"/>
      <c r="P891" s="18"/>
      <c r="Q891" s="91"/>
      <c r="R891" s="18"/>
      <c r="S891" s="18"/>
      <c r="T891" s="18"/>
      <c r="U891" s="18"/>
      <c r="V891" s="18"/>
      <c r="W891" s="18"/>
      <c r="X891" s="18"/>
      <c r="Y891" s="92"/>
      <c r="Z891" s="92"/>
      <c r="AA891" s="418"/>
      <c r="AB891" s="95"/>
      <c r="AC891" s="18"/>
      <c r="AD891" s="18"/>
      <c r="AE891" s="18"/>
      <c r="AF891" s="18"/>
      <c r="AG891" s="91"/>
      <c r="AH891" s="18"/>
      <c r="AI891" s="18"/>
      <c r="AJ891" s="18"/>
      <c r="AK891" s="18"/>
      <c r="AL891" s="18"/>
      <c r="AM891" s="18"/>
      <c r="AN891" s="18"/>
      <c r="AO891" s="18"/>
      <c r="AP891" s="18"/>
      <c r="AQ891" s="18"/>
      <c r="AR891" s="18"/>
      <c r="AS891" s="18"/>
      <c r="AT891" s="18"/>
      <c r="AU891" s="91"/>
      <c r="AV891" s="18"/>
      <c r="AW891" s="18"/>
      <c r="AX891" s="18"/>
      <c r="AY891" s="17"/>
      <c r="AZ891" s="17"/>
      <c r="BA891" s="17"/>
      <c r="BB891" s="17"/>
      <c r="BC891" s="96"/>
      <c r="BD891" s="96"/>
      <c r="BE891" s="96"/>
      <c r="BF891" s="96"/>
      <c r="BG891" s="96"/>
      <c r="BH891" s="96"/>
      <c r="BI891" s="96"/>
    </row>
    <row r="892" spans="1:61" x14ac:dyDescent="0.45">
      <c r="A892" s="17"/>
      <c r="B892" s="17"/>
      <c r="C892" s="17"/>
      <c r="D892" s="17"/>
      <c r="E892" s="15"/>
      <c r="F892" s="17"/>
      <c r="G892" s="17"/>
      <c r="H892" s="3"/>
      <c r="I892" s="88"/>
      <c r="J892" s="88"/>
      <c r="K892" s="15"/>
      <c r="L892" s="96"/>
      <c r="M892" s="89"/>
      <c r="N892" s="88"/>
      <c r="O892" s="413"/>
      <c r="P892" s="18"/>
      <c r="Q892" s="91"/>
      <c r="R892" s="18"/>
      <c r="S892" s="18"/>
      <c r="T892" s="18"/>
      <c r="U892" s="18"/>
      <c r="V892" s="18"/>
      <c r="W892" s="18"/>
      <c r="X892" s="18"/>
      <c r="Y892" s="92"/>
      <c r="Z892" s="92"/>
      <c r="AA892" s="418"/>
      <c r="AB892" s="95"/>
      <c r="AC892" s="18"/>
      <c r="AD892" s="18"/>
      <c r="AE892" s="18"/>
      <c r="AF892" s="18"/>
      <c r="AG892" s="91"/>
      <c r="AH892" s="18"/>
      <c r="AI892" s="18"/>
      <c r="AJ892" s="18"/>
      <c r="AK892" s="18"/>
      <c r="AL892" s="18"/>
      <c r="AM892" s="18"/>
      <c r="AN892" s="18"/>
      <c r="AO892" s="18"/>
      <c r="AP892" s="18"/>
      <c r="AQ892" s="18"/>
      <c r="AR892" s="18"/>
      <c r="AS892" s="18"/>
      <c r="AT892" s="18"/>
      <c r="AU892" s="91"/>
      <c r="AV892" s="18"/>
      <c r="AW892" s="18"/>
      <c r="AX892" s="18"/>
      <c r="AY892" s="17"/>
      <c r="AZ892" s="17"/>
      <c r="BA892" s="17"/>
      <c r="BB892" s="17"/>
      <c r="BC892" s="96"/>
      <c r="BD892" s="96"/>
      <c r="BE892" s="96"/>
      <c r="BF892" s="96"/>
      <c r="BG892" s="96"/>
      <c r="BH892" s="96"/>
      <c r="BI892" s="96"/>
    </row>
    <row r="893" spans="1:61" x14ac:dyDescent="0.45">
      <c r="A893" s="17"/>
      <c r="B893" s="17"/>
      <c r="C893" s="17"/>
      <c r="D893" s="17"/>
      <c r="E893" s="15"/>
      <c r="F893" s="17"/>
      <c r="G893" s="17"/>
      <c r="H893" s="3"/>
      <c r="I893" s="88"/>
      <c r="J893" s="88"/>
      <c r="K893" s="15"/>
      <c r="L893" s="96"/>
      <c r="M893" s="89"/>
      <c r="N893" s="88"/>
      <c r="O893" s="413"/>
      <c r="P893" s="18"/>
      <c r="Q893" s="91"/>
      <c r="R893" s="18"/>
      <c r="S893" s="18"/>
      <c r="T893" s="18"/>
      <c r="U893" s="18"/>
      <c r="V893" s="18"/>
      <c r="W893" s="18"/>
      <c r="X893" s="18"/>
      <c r="Y893" s="92"/>
      <c r="Z893" s="92"/>
      <c r="AA893" s="418"/>
      <c r="AB893" s="95"/>
      <c r="AC893" s="18"/>
      <c r="AD893" s="18"/>
      <c r="AE893" s="18"/>
      <c r="AF893" s="18"/>
      <c r="AG893" s="91"/>
      <c r="AH893" s="18"/>
      <c r="AI893" s="18"/>
      <c r="AJ893" s="18"/>
      <c r="AK893" s="18"/>
      <c r="AL893" s="18"/>
      <c r="AM893" s="18"/>
      <c r="AN893" s="18"/>
      <c r="AO893" s="18"/>
      <c r="AP893" s="18"/>
      <c r="AQ893" s="18"/>
      <c r="AR893" s="18"/>
      <c r="AS893" s="18"/>
      <c r="AT893" s="18"/>
      <c r="AU893" s="91"/>
      <c r="AV893" s="18"/>
      <c r="AW893" s="18"/>
      <c r="AX893" s="18"/>
      <c r="AY893" s="17"/>
      <c r="AZ893" s="17"/>
      <c r="BA893" s="17"/>
      <c r="BB893" s="17"/>
      <c r="BC893" s="96"/>
      <c r="BD893" s="96"/>
      <c r="BE893" s="96"/>
      <c r="BF893" s="96"/>
      <c r="BG893" s="96"/>
      <c r="BH893" s="96"/>
      <c r="BI893" s="96"/>
    </row>
    <row r="894" spans="1:61" x14ac:dyDescent="0.45">
      <c r="A894" s="17"/>
      <c r="B894" s="17"/>
      <c r="C894" s="17"/>
      <c r="D894" s="17"/>
      <c r="E894" s="15"/>
      <c r="F894" s="17"/>
      <c r="G894" s="17"/>
      <c r="H894" s="3"/>
      <c r="I894" s="88"/>
      <c r="J894" s="88"/>
      <c r="K894" s="15"/>
      <c r="L894" s="96"/>
      <c r="M894" s="89"/>
      <c r="N894" s="88"/>
      <c r="O894" s="413"/>
      <c r="P894" s="18"/>
      <c r="Q894" s="91"/>
      <c r="R894" s="18"/>
      <c r="S894" s="18"/>
      <c r="T894" s="18"/>
      <c r="U894" s="18"/>
      <c r="V894" s="18"/>
      <c r="W894" s="18"/>
      <c r="X894" s="18"/>
      <c r="Y894" s="92"/>
      <c r="Z894" s="92"/>
      <c r="AA894" s="418"/>
      <c r="AB894" s="95"/>
      <c r="AC894" s="18"/>
      <c r="AD894" s="18"/>
      <c r="AE894" s="18"/>
      <c r="AF894" s="18"/>
      <c r="AG894" s="91"/>
      <c r="AH894" s="18"/>
      <c r="AI894" s="18"/>
      <c r="AJ894" s="18"/>
      <c r="AK894" s="18"/>
      <c r="AL894" s="18"/>
      <c r="AM894" s="18"/>
      <c r="AN894" s="18"/>
      <c r="AO894" s="18"/>
      <c r="AP894" s="18"/>
      <c r="AQ894" s="18"/>
      <c r="AR894" s="18"/>
      <c r="AS894" s="18"/>
      <c r="AT894" s="18"/>
      <c r="AU894" s="91"/>
      <c r="AV894" s="18"/>
      <c r="AW894" s="18"/>
      <c r="AX894" s="18"/>
      <c r="AY894" s="17"/>
      <c r="AZ894" s="17"/>
      <c r="BA894" s="17"/>
      <c r="BB894" s="17"/>
      <c r="BC894" s="96"/>
      <c r="BD894" s="96"/>
      <c r="BE894" s="96"/>
      <c r="BF894" s="96"/>
      <c r="BG894" s="96"/>
      <c r="BH894" s="96"/>
      <c r="BI894" s="96"/>
    </row>
    <row r="895" spans="1:61" x14ac:dyDescent="0.45">
      <c r="A895" s="17"/>
      <c r="B895" s="17"/>
      <c r="C895" s="17"/>
      <c r="D895" s="17"/>
      <c r="E895" s="15"/>
      <c r="F895" s="17"/>
      <c r="G895" s="17"/>
      <c r="H895" s="3"/>
      <c r="I895" s="88"/>
      <c r="J895" s="88"/>
      <c r="K895" s="15"/>
      <c r="L895" s="96"/>
      <c r="M895" s="89"/>
      <c r="N895" s="88"/>
      <c r="O895" s="413"/>
      <c r="P895" s="18"/>
      <c r="Q895" s="91"/>
      <c r="R895" s="18"/>
      <c r="S895" s="18"/>
      <c r="T895" s="18"/>
      <c r="U895" s="18"/>
      <c r="V895" s="18"/>
      <c r="W895" s="18"/>
      <c r="X895" s="18"/>
      <c r="Y895" s="92"/>
      <c r="Z895" s="92"/>
      <c r="AA895" s="418"/>
      <c r="AB895" s="95"/>
      <c r="AC895" s="18"/>
      <c r="AD895" s="18"/>
      <c r="AE895" s="18"/>
      <c r="AF895" s="18"/>
      <c r="AG895" s="91"/>
      <c r="AH895" s="18"/>
      <c r="AI895" s="18"/>
      <c r="AJ895" s="18"/>
      <c r="AK895" s="18"/>
      <c r="AL895" s="18"/>
      <c r="AM895" s="18"/>
      <c r="AN895" s="18"/>
      <c r="AO895" s="18"/>
      <c r="AP895" s="18"/>
      <c r="AQ895" s="18"/>
      <c r="AR895" s="18"/>
      <c r="AS895" s="18"/>
      <c r="AT895" s="18"/>
      <c r="AU895" s="91"/>
      <c r="AV895" s="18"/>
      <c r="AW895" s="18"/>
      <c r="AX895" s="18"/>
      <c r="AY895" s="17"/>
      <c r="AZ895" s="17"/>
      <c r="BA895" s="17"/>
      <c r="BB895" s="17"/>
      <c r="BC895" s="96"/>
      <c r="BD895" s="96"/>
      <c r="BE895" s="96"/>
      <c r="BF895" s="96"/>
      <c r="BG895" s="96"/>
      <c r="BH895" s="96"/>
      <c r="BI895" s="96"/>
    </row>
    <row r="896" spans="1:61" x14ac:dyDescent="0.45">
      <c r="A896" s="17"/>
      <c r="B896" s="17"/>
      <c r="C896" s="17"/>
      <c r="D896" s="17"/>
      <c r="E896" s="15"/>
      <c r="F896" s="17"/>
      <c r="G896" s="17"/>
      <c r="H896" s="3"/>
      <c r="I896" s="88"/>
      <c r="J896" s="88"/>
      <c r="K896" s="15"/>
      <c r="L896" s="96"/>
      <c r="M896" s="89"/>
      <c r="N896" s="88"/>
      <c r="O896" s="413"/>
      <c r="P896" s="18"/>
      <c r="Q896" s="91"/>
      <c r="R896" s="18"/>
      <c r="S896" s="18"/>
      <c r="T896" s="18"/>
      <c r="U896" s="18"/>
      <c r="V896" s="18"/>
      <c r="W896" s="18"/>
      <c r="X896" s="18"/>
      <c r="Y896" s="92"/>
      <c r="Z896" s="92"/>
      <c r="AA896" s="418"/>
      <c r="AB896" s="95"/>
      <c r="AC896" s="18"/>
      <c r="AD896" s="18"/>
      <c r="AE896" s="18"/>
      <c r="AF896" s="18"/>
      <c r="AG896" s="91"/>
      <c r="AH896" s="18"/>
      <c r="AI896" s="18"/>
      <c r="AJ896" s="18"/>
      <c r="AK896" s="18"/>
      <c r="AL896" s="18"/>
      <c r="AM896" s="18"/>
      <c r="AN896" s="18"/>
      <c r="AO896" s="18"/>
      <c r="AP896" s="18"/>
      <c r="AQ896" s="18"/>
      <c r="AR896" s="18"/>
      <c r="AS896" s="18"/>
      <c r="AT896" s="18"/>
      <c r="AU896" s="91"/>
      <c r="AV896" s="18"/>
      <c r="AW896" s="18"/>
      <c r="AX896" s="18"/>
      <c r="AY896" s="17"/>
      <c r="AZ896" s="17"/>
      <c r="BA896" s="17"/>
      <c r="BB896" s="17"/>
      <c r="BC896" s="96"/>
      <c r="BD896" s="96"/>
      <c r="BE896" s="96"/>
      <c r="BF896" s="96"/>
      <c r="BG896" s="96"/>
      <c r="BH896" s="96"/>
      <c r="BI896" s="96"/>
    </row>
    <row r="897" spans="1:61" x14ac:dyDescent="0.45">
      <c r="A897" s="17"/>
      <c r="B897" s="17"/>
      <c r="C897" s="17"/>
      <c r="D897" s="17"/>
      <c r="E897" s="15"/>
      <c r="F897" s="17"/>
      <c r="G897" s="17"/>
      <c r="H897" s="3"/>
      <c r="I897" s="88"/>
      <c r="J897" s="88"/>
      <c r="K897" s="15"/>
      <c r="L897" s="96"/>
      <c r="M897" s="89"/>
      <c r="N897" s="88"/>
      <c r="O897" s="413"/>
      <c r="P897" s="18"/>
      <c r="Q897" s="91"/>
      <c r="R897" s="18"/>
      <c r="S897" s="18"/>
      <c r="T897" s="18"/>
      <c r="U897" s="18"/>
      <c r="V897" s="18"/>
      <c r="W897" s="18"/>
      <c r="X897" s="18"/>
      <c r="Y897" s="92"/>
      <c r="Z897" s="92"/>
      <c r="AA897" s="418"/>
      <c r="AB897" s="95"/>
      <c r="AC897" s="18"/>
      <c r="AD897" s="18"/>
      <c r="AE897" s="18"/>
      <c r="AF897" s="18"/>
      <c r="AG897" s="91"/>
      <c r="AH897" s="18"/>
      <c r="AI897" s="18"/>
      <c r="AJ897" s="18"/>
      <c r="AK897" s="18"/>
      <c r="AL897" s="18"/>
      <c r="AM897" s="18"/>
      <c r="AN897" s="18"/>
      <c r="AO897" s="18"/>
      <c r="AP897" s="18"/>
      <c r="AQ897" s="18"/>
      <c r="AR897" s="18"/>
      <c r="AS897" s="18"/>
      <c r="AT897" s="18"/>
      <c r="AU897" s="91"/>
      <c r="AV897" s="18"/>
      <c r="AW897" s="18"/>
      <c r="AX897" s="18"/>
      <c r="AY897" s="17"/>
      <c r="AZ897" s="17"/>
      <c r="BA897" s="17"/>
      <c r="BB897" s="17"/>
      <c r="BC897" s="96"/>
      <c r="BD897" s="96"/>
      <c r="BE897" s="96"/>
      <c r="BF897" s="96"/>
      <c r="BG897" s="96"/>
      <c r="BH897" s="96"/>
      <c r="BI897" s="96"/>
    </row>
    <row r="898" spans="1:61" x14ac:dyDescent="0.45">
      <c r="A898" s="17"/>
      <c r="B898" s="17"/>
      <c r="C898" s="17"/>
      <c r="D898" s="17"/>
      <c r="E898" s="15"/>
      <c r="F898" s="17"/>
      <c r="G898" s="17"/>
      <c r="H898" s="3"/>
      <c r="I898" s="88"/>
      <c r="J898" s="88"/>
      <c r="K898" s="15"/>
      <c r="L898" s="96"/>
      <c r="M898" s="89"/>
      <c r="N898" s="88"/>
      <c r="O898" s="413"/>
      <c r="P898" s="18"/>
      <c r="Q898" s="91"/>
      <c r="R898" s="18"/>
      <c r="S898" s="18"/>
      <c r="T898" s="18"/>
      <c r="U898" s="18"/>
      <c r="V898" s="18"/>
      <c r="W898" s="18"/>
      <c r="X898" s="18"/>
      <c r="Y898" s="92"/>
      <c r="Z898" s="92"/>
      <c r="AA898" s="418"/>
      <c r="AB898" s="95"/>
      <c r="AC898" s="18"/>
      <c r="AD898" s="18"/>
      <c r="AE898" s="18"/>
      <c r="AF898" s="18"/>
      <c r="AG898" s="91"/>
      <c r="AH898" s="18"/>
      <c r="AI898" s="18"/>
      <c r="AJ898" s="18"/>
      <c r="AK898" s="18"/>
      <c r="AL898" s="18"/>
      <c r="AM898" s="18"/>
      <c r="AN898" s="18"/>
      <c r="AO898" s="18"/>
      <c r="AP898" s="18"/>
      <c r="AQ898" s="18"/>
      <c r="AR898" s="18"/>
      <c r="AS898" s="18"/>
      <c r="AT898" s="18"/>
      <c r="AU898" s="91"/>
      <c r="AV898" s="18"/>
      <c r="AW898" s="18"/>
      <c r="AX898" s="18"/>
      <c r="AY898" s="17"/>
      <c r="AZ898" s="17"/>
      <c r="BA898" s="17"/>
      <c r="BB898" s="17"/>
      <c r="BC898" s="96"/>
      <c r="BD898" s="96"/>
      <c r="BE898" s="96"/>
      <c r="BF898" s="96"/>
      <c r="BG898" s="96"/>
      <c r="BH898" s="96"/>
      <c r="BI898" s="96"/>
    </row>
    <row r="899" spans="1:61" x14ac:dyDescent="0.45">
      <c r="A899" s="17"/>
      <c r="B899" s="17"/>
      <c r="C899" s="17"/>
      <c r="D899" s="17"/>
      <c r="E899" s="15"/>
      <c r="F899" s="17"/>
      <c r="G899" s="17"/>
      <c r="H899" s="3"/>
      <c r="I899" s="88"/>
      <c r="J899" s="88"/>
      <c r="K899" s="15"/>
      <c r="L899" s="96"/>
      <c r="M899" s="89"/>
      <c r="N899" s="88"/>
      <c r="O899" s="413"/>
      <c r="P899" s="18"/>
      <c r="Q899" s="91"/>
      <c r="R899" s="18"/>
      <c r="S899" s="18"/>
      <c r="T899" s="18"/>
      <c r="U899" s="18"/>
      <c r="V899" s="18"/>
      <c r="W899" s="18"/>
      <c r="X899" s="18"/>
      <c r="Y899" s="92"/>
      <c r="Z899" s="92"/>
      <c r="AA899" s="418"/>
      <c r="AB899" s="95"/>
      <c r="AC899" s="18"/>
      <c r="AD899" s="18"/>
      <c r="AE899" s="18"/>
      <c r="AF899" s="18"/>
      <c r="AG899" s="91"/>
      <c r="AH899" s="18"/>
      <c r="AI899" s="18"/>
      <c r="AJ899" s="18"/>
      <c r="AK899" s="18"/>
      <c r="AL899" s="18"/>
      <c r="AM899" s="18"/>
      <c r="AN899" s="18"/>
      <c r="AO899" s="18"/>
      <c r="AP899" s="18"/>
      <c r="AQ899" s="18"/>
      <c r="AR899" s="18"/>
      <c r="AS899" s="18"/>
      <c r="AT899" s="18"/>
      <c r="AU899" s="91"/>
      <c r="AV899" s="18"/>
      <c r="AW899" s="18"/>
      <c r="AX899" s="18"/>
      <c r="AY899" s="17"/>
      <c r="AZ899" s="17"/>
      <c r="BA899" s="17"/>
      <c r="BB899" s="17"/>
      <c r="BC899" s="96"/>
      <c r="BD899" s="96"/>
      <c r="BE899" s="96"/>
      <c r="BF899" s="96"/>
      <c r="BG899" s="96"/>
      <c r="BH899" s="96"/>
      <c r="BI899" s="96"/>
    </row>
    <row r="900" spans="1:61" x14ac:dyDescent="0.45">
      <c r="A900" s="17"/>
      <c r="B900" s="17"/>
      <c r="C900" s="17"/>
      <c r="D900" s="17"/>
      <c r="E900" s="15"/>
      <c r="F900" s="17"/>
      <c r="G900" s="17"/>
      <c r="H900" s="3"/>
      <c r="I900" s="88"/>
      <c r="J900" s="88"/>
      <c r="K900" s="15"/>
      <c r="L900" s="96"/>
      <c r="M900" s="89"/>
      <c r="N900" s="88"/>
      <c r="O900" s="413"/>
      <c r="P900" s="18"/>
      <c r="Q900" s="91"/>
      <c r="R900" s="18"/>
      <c r="S900" s="18"/>
      <c r="T900" s="18"/>
      <c r="U900" s="18"/>
      <c r="V900" s="18"/>
      <c r="W900" s="18"/>
      <c r="X900" s="18"/>
      <c r="Y900" s="92"/>
      <c r="Z900" s="92"/>
      <c r="AA900" s="418"/>
      <c r="AB900" s="95"/>
      <c r="AC900" s="18"/>
      <c r="AD900" s="18"/>
      <c r="AE900" s="18"/>
      <c r="AF900" s="18"/>
      <c r="AG900" s="91"/>
      <c r="AH900" s="18"/>
      <c r="AI900" s="18"/>
      <c r="AJ900" s="18"/>
      <c r="AK900" s="18"/>
      <c r="AL900" s="18"/>
      <c r="AM900" s="18"/>
      <c r="AN900" s="18"/>
      <c r="AO900" s="18"/>
      <c r="AP900" s="18"/>
      <c r="AQ900" s="18"/>
      <c r="AR900" s="18"/>
      <c r="AS900" s="18"/>
      <c r="AT900" s="18"/>
      <c r="AU900" s="91"/>
      <c r="AV900" s="18"/>
      <c r="AW900" s="18"/>
      <c r="AX900" s="18"/>
      <c r="AY900" s="17"/>
      <c r="AZ900" s="17"/>
      <c r="BA900" s="17"/>
      <c r="BB900" s="17"/>
      <c r="BC900" s="96"/>
      <c r="BD900" s="96"/>
      <c r="BE900" s="96"/>
      <c r="BF900" s="96"/>
      <c r="BG900" s="96"/>
      <c r="BH900" s="96"/>
      <c r="BI900" s="96"/>
    </row>
    <row r="901" spans="1:61" x14ac:dyDescent="0.45">
      <c r="A901" s="17"/>
      <c r="B901" s="17"/>
      <c r="C901" s="17"/>
      <c r="D901" s="17"/>
      <c r="E901" s="15"/>
      <c r="F901" s="17"/>
      <c r="G901" s="17"/>
      <c r="H901" s="3"/>
      <c r="I901" s="88"/>
      <c r="J901" s="88"/>
      <c r="K901" s="15"/>
      <c r="L901" s="96"/>
      <c r="M901" s="89"/>
      <c r="N901" s="88"/>
      <c r="O901" s="413"/>
      <c r="P901" s="18"/>
      <c r="Q901" s="91"/>
      <c r="R901" s="18"/>
      <c r="S901" s="18"/>
      <c r="T901" s="18"/>
      <c r="U901" s="18"/>
      <c r="V901" s="18"/>
      <c r="W901" s="18"/>
      <c r="X901" s="18"/>
      <c r="Y901" s="92"/>
      <c r="Z901" s="92"/>
      <c r="AA901" s="418"/>
      <c r="AB901" s="95"/>
      <c r="AC901" s="18"/>
      <c r="AD901" s="18"/>
      <c r="AE901" s="18"/>
      <c r="AF901" s="18"/>
      <c r="AG901" s="91"/>
      <c r="AH901" s="18"/>
      <c r="AI901" s="18"/>
      <c r="AJ901" s="18"/>
      <c r="AK901" s="18"/>
      <c r="AL901" s="18"/>
      <c r="AM901" s="18"/>
      <c r="AN901" s="18"/>
      <c r="AO901" s="18"/>
      <c r="AP901" s="18"/>
      <c r="AQ901" s="18"/>
      <c r="AR901" s="18"/>
      <c r="AS901" s="18"/>
      <c r="AT901" s="18"/>
      <c r="AU901" s="91"/>
      <c r="AV901" s="18"/>
      <c r="AW901" s="18"/>
      <c r="AX901" s="18"/>
      <c r="AY901" s="17"/>
      <c r="AZ901" s="17"/>
      <c r="BA901" s="17"/>
      <c r="BB901" s="17"/>
      <c r="BC901" s="96"/>
      <c r="BD901" s="96"/>
      <c r="BE901" s="96"/>
      <c r="BF901" s="96"/>
      <c r="BG901" s="96"/>
      <c r="BH901" s="96"/>
      <c r="BI901" s="96"/>
    </row>
    <row r="902" spans="1:61" x14ac:dyDescent="0.45">
      <c r="A902" s="17"/>
      <c r="B902" s="17"/>
      <c r="C902" s="17"/>
      <c r="D902" s="17"/>
      <c r="E902" s="15"/>
      <c r="F902" s="17"/>
      <c r="G902" s="17"/>
      <c r="H902" s="3"/>
      <c r="I902" s="88"/>
      <c r="J902" s="88"/>
      <c r="K902" s="15"/>
      <c r="L902" s="96"/>
      <c r="M902" s="89"/>
      <c r="N902" s="88"/>
      <c r="O902" s="413"/>
      <c r="P902" s="18"/>
      <c r="Q902" s="91"/>
      <c r="R902" s="18"/>
      <c r="S902" s="18"/>
      <c r="T902" s="18"/>
      <c r="U902" s="18"/>
      <c r="V902" s="18"/>
      <c r="W902" s="18"/>
      <c r="X902" s="18"/>
      <c r="Y902" s="92"/>
      <c r="Z902" s="92"/>
      <c r="AA902" s="418"/>
      <c r="AB902" s="95"/>
      <c r="AC902" s="18"/>
      <c r="AD902" s="18"/>
      <c r="AE902" s="18"/>
      <c r="AF902" s="18"/>
      <c r="AG902" s="91"/>
      <c r="AH902" s="18"/>
      <c r="AI902" s="18"/>
      <c r="AJ902" s="18"/>
      <c r="AK902" s="18"/>
      <c r="AL902" s="18"/>
      <c r="AM902" s="18"/>
      <c r="AN902" s="18"/>
      <c r="AO902" s="18"/>
      <c r="AP902" s="18"/>
      <c r="AQ902" s="18"/>
      <c r="AR902" s="18"/>
      <c r="AS902" s="18"/>
      <c r="AT902" s="18"/>
      <c r="AU902" s="91"/>
      <c r="AV902" s="18"/>
      <c r="AW902" s="18"/>
      <c r="AX902" s="18"/>
      <c r="AY902" s="17"/>
      <c r="AZ902" s="17"/>
      <c r="BA902" s="17"/>
      <c r="BB902" s="17"/>
      <c r="BC902" s="96"/>
      <c r="BD902" s="96"/>
      <c r="BE902" s="96"/>
      <c r="BF902" s="96"/>
      <c r="BG902" s="96"/>
      <c r="BH902" s="96"/>
      <c r="BI902" s="96"/>
    </row>
    <row r="903" spans="1:61" x14ac:dyDescent="0.45">
      <c r="A903" s="17"/>
      <c r="B903" s="17"/>
      <c r="C903" s="17"/>
      <c r="D903" s="17"/>
      <c r="E903" s="15"/>
      <c r="F903" s="17"/>
      <c r="G903" s="17"/>
      <c r="H903" s="3"/>
      <c r="I903" s="88"/>
      <c r="J903" s="88"/>
      <c r="K903" s="15"/>
      <c r="L903" s="96"/>
      <c r="M903" s="89"/>
      <c r="N903" s="88"/>
      <c r="O903" s="413"/>
      <c r="P903" s="18"/>
      <c r="Q903" s="91"/>
      <c r="R903" s="18"/>
      <c r="S903" s="18"/>
      <c r="T903" s="18"/>
      <c r="U903" s="18"/>
      <c r="V903" s="18"/>
      <c r="W903" s="18"/>
      <c r="X903" s="18"/>
      <c r="Y903" s="92"/>
      <c r="Z903" s="92"/>
      <c r="AA903" s="418"/>
      <c r="AB903" s="95"/>
      <c r="AC903" s="18"/>
      <c r="AD903" s="18"/>
      <c r="AE903" s="18"/>
      <c r="AF903" s="18"/>
      <c r="AG903" s="91"/>
      <c r="AH903" s="18"/>
      <c r="AI903" s="18"/>
      <c r="AJ903" s="18"/>
      <c r="AK903" s="18"/>
      <c r="AL903" s="18"/>
      <c r="AM903" s="18"/>
      <c r="AN903" s="18"/>
      <c r="AO903" s="18"/>
      <c r="AP903" s="18"/>
      <c r="AQ903" s="18"/>
      <c r="AR903" s="18"/>
      <c r="AS903" s="18"/>
      <c r="AT903" s="18"/>
      <c r="AU903" s="91"/>
      <c r="AV903" s="18"/>
      <c r="AW903" s="18"/>
      <c r="AX903" s="18"/>
      <c r="AY903" s="17"/>
      <c r="AZ903" s="17"/>
      <c r="BA903" s="17"/>
      <c r="BB903" s="17"/>
      <c r="BC903" s="96"/>
      <c r="BD903" s="96"/>
      <c r="BE903" s="96"/>
      <c r="BF903" s="96"/>
      <c r="BG903" s="96"/>
      <c r="BH903" s="96"/>
      <c r="BI903" s="96"/>
    </row>
    <row r="904" spans="1:61" x14ac:dyDescent="0.45">
      <c r="A904" s="17"/>
      <c r="B904" s="17"/>
      <c r="C904" s="17"/>
      <c r="D904" s="17"/>
      <c r="E904" s="15"/>
      <c r="F904" s="17"/>
      <c r="G904" s="17"/>
      <c r="H904" s="3"/>
      <c r="I904" s="88"/>
      <c r="J904" s="88"/>
      <c r="K904" s="15"/>
      <c r="L904" s="96"/>
      <c r="M904" s="89"/>
      <c r="N904" s="88"/>
      <c r="O904" s="413"/>
      <c r="P904" s="18"/>
      <c r="Q904" s="91"/>
      <c r="R904" s="18"/>
      <c r="S904" s="18"/>
      <c r="T904" s="18"/>
      <c r="U904" s="18"/>
      <c r="V904" s="18"/>
      <c r="W904" s="18"/>
      <c r="X904" s="18"/>
      <c r="Y904" s="92"/>
      <c r="Z904" s="92"/>
      <c r="AA904" s="418"/>
      <c r="AB904" s="95"/>
      <c r="AC904" s="18"/>
      <c r="AD904" s="18"/>
      <c r="AE904" s="18"/>
      <c r="AF904" s="18"/>
      <c r="AG904" s="91"/>
      <c r="AH904" s="18"/>
      <c r="AI904" s="18"/>
      <c r="AJ904" s="18"/>
      <c r="AK904" s="18"/>
      <c r="AL904" s="18"/>
      <c r="AM904" s="18"/>
      <c r="AN904" s="18"/>
      <c r="AO904" s="18"/>
      <c r="AP904" s="18"/>
      <c r="AQ904" s="18"/>
      <c r="AR904" s="18"/>
      <c r="AS904" s="18"/>
      <c r="AT904" s="18"/>
      <c r="AU904" s="91"/>
      <c r="AV904" s="18"/>
      <c r="AW904" s="18"/>
      <c r="AX904" s="18"/>
      <c r="AY904" s="17"/>
      <c r="AZ904" s="17"/>
      <c r="BA904" s="17"/>
      <c r="BB904" s="17"/>
      <c r="BC904" s="96"/>
      <c r="BD904" s="96"/>
      <c r="BE904" s="96"/>
      <c r="BF904" s="96"/>
      <c r="BG904" s="96"/>
      <c r="BH904" s="96"/>
      <c r="BI904" s="96"/>
    </row>
    <row r="905" spans="1:61" x14ac:dyDescent="0.45">
      <c r="A905" s="17"/>
      <c r="B905" s="17"/>
      <c r="C905" s="17"/>
      <c r="D905" s="17"/>
      <c r="E905" s="15"/>
      <c r="F905" s="17"/>
      <c r="G905" s="17"/>
      <c r="H905" s="3"/>
      <c r="I905" s="88"/>
      <c r="J905" s="88"/>
      <c r="K905" s="15"/>
      <c r="L905" s="96"/>
      <c r="M905" s="89"/>
      <c r="N905" s="88"/>
      <c r="O905" s="413"/>
      <c r="P905" s="18"/>
      <c r="Q905" s="91"/>
      <c r="R905" s="18"/>
      <c r="S905" s="18"/>
      <c r="T905" s="18"/>
      <c r="U905" s="18"/>
      <c r="V905" s="18"/>
      <c r="W905" s="18"/>
      <c r="X905" s="18"/>
      <c r="Y905" s="92"/>
      <c r="Z905" s="92"/>
      <c r="AA905" s="418"/>
      <c r="AB905" s="95"/>
      <c r="AC905" s="18"/>
      <c r="AD905" s="18"/>
      <c r="AE905" s="18"/>
      <c r="AF905" s="18"/>
      <c r="AG905" s="91"/>
      <c r="AH905" s="18"/>
      <c r="AI905" s="18"/>
      <c r="AJ905" s="18"/>
      <c r="AK905" s="18"/>
      <c r="AL905" s="18"/>
      <c r="AM905" s="18"/>
      <c r="AN905" s="18"/>
      <c r="AO905" s="18"/>
      <c r="AP905" s="18"/>
      <c r="AQ905" s="18"/>
      <c r="AR905" s="18"/>
      <c r="AS905" s="18"/>
      <c r="AT905" s="18"/>
      <c r="AU905" s="91"/>
      <c r="AV905" s="18"/>
      <c r="AW905" s="18"/>
      <c r="AX905" s="18"/>
      <c r="AY905" s="17"/>
      <c r="AZ905" s="17"/>
      <c r="BA905" s="17"/>
      <c r="BB905" s="17"/>
      <c r="BC905" s="96"/>
      <c r="BD905" s="96"/>
      <c r="BE905" s="96"/>
      <c r="BF905" s="96"/>
      <c r="BG905" s="96"/>
      <c r="BH905" s="96"/>
      <c r="BI905" s="96"/>
    </row>
    <row r="906" spans="1:61" x14ac:dyDescent="0.45">
      <c r="A906" s="17"/>
      <c r="B906" s="17"/>
      <c r="C906" s="17"/>
      <c r="D906" s="17"/>
      <c r="E906" s="15"/>
      <c r="F906" s="17"/>
      <c r="G906" s="17"/>
      <c r="H906" s="3"/>
      <c r="I906" s="88"/>
      <c r="J906" s="88"/>
      <c r="K906" s="15"/>
      <c r="L906" s="96"/>
      <c r="M906" s="89"/>
      <c r="N906" s="88"/>
      <c r="O906" s="413"/>
      <c r="P906" s="18"/>
      <c r="Q906" s="91"/>
      <c r="R906" s="18"/>
      <c r="S906" s="18"/>
      <c r="T906" s="18"/>
      <c r="U906" s="18"/>
      <c r="V906" s="18"/>
      <c r="W906" s="18"/>
      <c r="X906" s="18"/>
      <c r="Y906" s="92"/>
      <c r="Z906" s="92"/>
      <c r="AA906" s="418"/>
      <c r="AB906" s="95"/>
      <c r="AC906" s="18"/>
      <c r="AD906" s="18"/>
      <c r="AE906" s="18"/>
      <c r="AF906" s="18"/>
      <c r="AG906" s="91"/>
      <c r="AH906" s="18"/>
      <c r="AI906" s="18"/>
      <c r="AJ906" s="18"/>
      <c r="AK906" s="18"/>
      <c r="AL906" s="18"/>
      <c r="AM906" s="18"/>
      <c r="AN906" s="18"/>
      <c r="AO906" s="18"/>
      <c r="AP906" s="18"/>
      <c r="AQ906" s="18"/>
      <c r="AR906" s="18"/>
      <c r="AS906" s="18"/>
      <c r="AT906" s="18"/>
      <c r="AU906" s="91"/>
      <c r="AV906" s="18"/>
      <c r="AW906" s="18"/>
      <c r="AX906" s="18"/>
      <c r="AY906" s="17"/>
      <c r="AZ906" s="17"/>
      <c r="BA906" s="17"/>
      <c r="BB906" s="17"/>
      <c r="BC906" s="96"/>
      <c r="BD906" s="96"/>
      <c r="BE906" s="96"/>
      <c r="BF906" s="96"/>
      <c r="BG906" s="96"/>
      <c r="BH906" s="96"/>
      <c r="BI906" s="96"/>
    </row>
    <row r="907" spans="1:61" x14ac:dyDescent="0.45">
      <c r="A907" s="17"/>
      <c r="B907" s="17"/>
      <c r="C907" s="17"/>
      <c r="D907" s="17"/>
      <c r="E907" s="15"/>
      <c r="F907" s="17"/>
      <c r="G907" s="17"/>
      <c r="H907" s="3"/>
      <c r="I907" s="88"/>
      <c r="J907" s="88"/>
      <c r="K907" s="15"/>
      <c r="L907" s="96"/>
      <c r="M907" s="89"/>
      <c r="N907" s="88"/>
      <c r="O907" s="413"/>
      <c r="P907" s="18"/>
      <c r="Q907" s="91"/>
      <c r="R907" s="18"/>
      <c r="S907" s="18"/>
      <c r="T907" s="18"/>
      <c r="U907" s="18"/>
      <c r="V907" s="18"/>
      <c r="W907" s="18"/>
      <c r="X907" s="18"/>
      <c r="Y907" s="92"/>
      <c r="Z907" s="92"/>
      <c r="AA907" s="418"/>
      <c r="AB907" s="95"/>
      <c r="AC907" s="18"/>
      <c r="AD907" s="18"/>
      <c r="AE907" s="18"/>
      <c r="AF907" s="18"/>
      <c r="AG907" s="91"/>
      <c r="AH907" s="18"/>
      <c r="AI907" s="18"/>
      <c r="AJ907" s="18"/>
      <c r="AK907" s="18"/>
      <c r="AL907" s="18"/>
      <c r="AM907" s="18"/>
      <c r="AN907" s="18"/>
      <c r="AO907" s="18"/>
      <c r="AP907" s="18"/>
      <c r="AQ907" s="18"/>
      <c r="AR907" s="18"/>
      <c r="AS907" s="18"/>
      <c r="AT907" s="18"/>
      <c r="AU907" s="91"/>
      <c r="AV907" s="18"/>
      <c r="AW907" s="18"/>
      <c r="AX907" s="18"/>
      <c r="AY907" s="17"/>
      <c r="AZ907" s="17"/>
      <c r="BA907" s="17"/>
      <c r="BB907" s="17"/>
      <c r="BC907" s="96"/>
      <c r="BD907" s="96"/>
      <c r="BE907" s="96"/>
      <c r="BF907" s="96"/>
      <c r="BG907" s="96"/>
      <c r="BH907" s="96"/>
      <c r="BI907" s="96"/>
    </row>
    <row r="908" spans="1:61" x14ac:dyDescent="0.45">
      <c r="A908" s="17"/>
      <c r="B908" s="17"/>
      <c r="C908" s="17"/>
      <c r="D908" s="17"/>
      <c r="E908" s="15"/>
      <c r="F908" s="17"/>
      <c r="G908" s="17"/>
      <c r="H908" s="3"/>
      <c r="I908" s="88"/>
      <c r="J908" s="88"/>
      <c r="K908" s="15"/>
      <c r="L908" s="96"/>
      <c r="M908" s="89"/>
      <c r="N908" s="88"/>
      <c r="O908" s="413"/>
      <c r="P908" s="18"/>
      <c r="Q908" s="91"/>
      <c r="R908" s="18"/>
      <c r="S908" s="18"/>
      <c r="T908" s="18"/>
      <c r="U908" s="18"/>
      <c r="V908" s="18"/>
      <c r="W908" s="18"/>
      <c r="X908" s="18"/>
      <c r="Y908" s="92"/>
      <c r="Z908" s="92"/>
      <c r="AA908" s="418"/>
      <c r="AB908" s="95"/>
      <c r="AC908" s="18"/>
      <c r="AD908" s="18"/>
      <c r="AE908" s="18"/>
      <c r="AF908" s="18"/>
      <c r="AG908" s="91"/>
      <c r="AH908" s="18"/>
      <c r="AI908" s="18"/>
      <c r="AJ908" s="18"/>
      <c r="AK908" s="18"/>
      <c r="AL908" s="18"/>
      <c r="AM908" s="18"/>
      <c r="AN908" s="18"/>
      <c r="AO908" s="18"/>
      <c r="AP908" s="18"/>
      <c r="AQ908" s="18"/>
      <c r="AR908" s="18"/>
      <c r="AS908" s="18"/>
      <c r="AT908" s="18"/>
      <c r="AU908" s="91"/>
      <c r="AV908" s="18"/>
      <c r="AW908" s="18"/>
      <c r="AX908" s="18"/>
      <c r="AY908" s="17"/>
      <c r="AZ908" s="17"/>
      <c r="BA908" s="17"/>
      <c r="BB908" s="17"/>
      <c r="BC908" s="96"/>
      <c r="BD908" s="96"/>
      <c r="BE908" s="96"/>
      <c r="BF908" s="96"/>
      <c r="BG908" s="96"/>
      <c r="BH908" s="96"/>
      <c r="BI908" s="96"/>
    </row>
    <row r="909" spans="1:61" x14ac:dyDescent="0.45">
      <c r="A909" s="17"/>
      <c r="B909" s="17"/>
      <c r="C909" s="17"/>
      <c r="D909" s="17"/>
      <c r="E909" s="15"/>
      <c r="F909" s="17"/>
      <c r="G909" s="17"/>
      <c r="H909" s="3"/>
      <c r="I909" s="88"/>
      <c r="J909" s="88"/>
      <c r="K909" s="15"/>
      <c r="L909" s="96"/>
      <c r="M909" s="89"/>
      <c r="N909" s="88"/>
      <c r="O909" s="413"/>
      <c r="P909" s="18"/>
      <c r="Q909" s="91"/>
      <c r="R909" s="18"/>
      <c r="S909" s="18"/>
      <c r="T909" s="18"/>
      <c r="U909" s="18"/>
      <c r="V909" s="18"/>
      <c r="W909" s="18"/>
      <c r="X909" s="18"/>
      <c r="Y909" s="92"/>
      <c r="Z909" s="92"/>
      <c r="AA909" s="418"/>
      <c r="AB909" s="95"/>
      <c r="AC909" s="18"/>
      <c r="AD909" s="18"/>
      <c r="AE909" s="18"/>
      <c r="AF909" s="18"/>
      <c r="AG909" s="91"/>
      <c r="AH909" s="18"/>
      <c r="AI909" s="18"/>
      <c r="AJ909" s="18"/>
      <c r="AK909" s="18"/>
      <c r="AL909" s="18"/>
      <c r="AM909" s="18"/>
      <c r="AN909" s="18"/>
      <c r="AO909" s="18"/>
      <c r="AP909" s="18"/>
      <c r="AQ909" s="18"/>
      <c r="AR909" s="18"/>
      <c r="AS909" s="18"/>
      <c r="AT909" s="18"/>
      <c r="AU909" s="91"/>
      <c r="AV909" s="18"/>
      <c r="AW909" s="18"/>
      <c r="AX909" s="18"/>
      <c r="AY909" s="17"/>
      <c r="AZ909" s="17"/>
      <c r="BA909" s="17"/>
      <c r="BB909" s="17"/>
      <c r="BC909" s="96"/>
      <c r="BD909" s="96"/>
      <c r="BE909" s="96"/>
      <c r="BF909" s="96"/>
      <c r="BG909" s="96"/>
      <c r="BH909" s="96"/>
      <c r="BI909" s="96"/>
    </row>
    <row r="910" spans="1:61" x14ac:dyDescent="0.45">
      <c r="A910" s="17"/>
      <c r="B910" s="17"/>
      <c r="C910" s="17"/>
      <c r="D910" s="17"/>
      <c r="E910" s="15"/>
      <c r="F910" s="17"/>
      <c r="G910" s="17"/>
      <c r="H910" s="3"/>
      <c r="I910" s="88"/>
      <c r="J910" s="88"/>
      <c r="K910" s="15"/>
      <c r="L910" s="96"/>
      <c r="M910" s="89"/>
      <c r="N910" s="88"/>
      <c r="O910" s="413"/>
      <c r="P910" s="18"/>
      <c r="Q910" s="91"/>
      <c r="R910" s="18"/>
      <c r="S910" s="18"/>
      <c r="T910" s="18"/>
      <c r="U910" s="18"/>
      <c r="V910" s="18"/>
      <c r="W910" s="18"/>
      <c r="X910" s="18"/>
      <c r="Y910" s="92"/>
      <c r="Z910" s="92"/>
      <c r="AA910" s="418"/>
      <c r="AB910" s="95"/>
      <c r="AC910" s="18"/>
      <c r="AD910" s="18"/>
      <c r="AE910" s="18"/>
      <c r="AF910" s="18"/>
      <c r="AG910" s="91"/>
      <c r="AH910" s="18"/>
      <c r="AI910" s="18"/>
      <c r="AJ910" s="18"/>
      <c r="AK910" s="18"/>
      <c r="AL910" s="18"/>
      <c r="AM910" s="18"/>
      <c r="AN910" s="18"/>
      <c r="AO910" s="18"/>
      <c r="AP910" s="18"/>
      <c r="AQ910" s="18"/>
      <c r="AR910" s="18"/>
      <c r="AS910" s="18"/>
      <c r="AT910" s="18"/>
      <c r="AU910" s="91"/>
      <c r="AV910" s="18"/>
      <c r="AW910" s="18"/>
      <c r="AX910" s="18"/>
      <c r="AY910" s="17"/>
      <c r="AZ910" s="17"/>
      <c r="BA910" s="17"/>
      <c r="BB910" s="17"/>
      <c r="BC910" s="96"/>
      <c r="BD910" s="96"/>
      <c r="BE910" s="96"/>
      <c r="BF910" s="96"/>
      <c r="BG910" s="96"/>
      <c r="BH910" s="96"/>
      <c r="BI910" s="96"/>
    </row>
    <row r="911" spans="1:61" x14ac:dyDescent="0.45">
      <c r="A911" s="17"/>
      <c r="B911" s="17"/>
      <c r="C911" s="17"/>
      <c r="D911" s="17"/>
      <c r="E911" s="15"/>
      <c r="F911" s="17"/>
      <c r="G911" s="17"/>
      <c r="H911" s="3"/>
      <c r="I911" s="88"/>
      <c r="J911" s="88"/>
      <c r="K911" s="15"/>
      <c r="L911" s="96"/>
      <c r="M911" s="89"/>
      <c r="N911" s="88"/>
      <c r="O911" s="413"/>
      <c r="P911" s="18"/>
      <c r="Q911" s="91"/>
      <c r="R911" s="18"/>
      <c r="S911" s="18"/>
      <c r="T911" s="18"/>
      <c r="U911" s="18"/>
      <c r="V911" s="18"/>
      <c r="W911" s="18"/>
      <c r="X911" s="18"/>
      <c r="Y911" s="92"/>
      <c r="Z911" s="92"/>
      <c r="AA911" s="418"/>
      <c r="AB911" s="95"/>
      <c r="AC911" s="18"/>
      <c r="AD911" s="18"/>
      <c r="AE911" s="18"/>
      <c r="AF911" s="18"/>
      <c r="AG911" s="91"/>
      <c r="AH911" s="18"/>
      <c r="AI911" s="18"/>
      <c r="AJ911" s="18"/>
      <c r="AK911" s="18"/>
      <c r="AL911" s="18"/>
      <c r="AM911" s="18"/>
      <c r="AN911" s="18"/>
      <c r="AO911" s="18"/>
      <c r="AP911" s="18"/>
      <c r="AQ911" s="18"/>
      <c r="AR911" s="18"/>
      <c r="AS911" s="18"/>
      <c r="AT911" s="18"/>
      <c r="AU911" s="91"/>
      <c r="AV911" s="18"/>
      <c r="AW911" s="18"/>
      <c r="AX911" s="18"/>
      <c r="AY911" s="17"/>
      <c r="AZ911" s="17"/>
      <c r="BA911" s="17"/>
      <c r="BB911" s="17"/>
      <c r="BC911" s="96"/>
      <c r="BD911" s="96"/>
      <c r="BE911" s="96"/>
      <c r="BF911" s="96"/>
      <c r="BG911" s="96"/>
      <c r="BH911" s="96"/>
      <c r="BI911" s="96"/>
    </row>
    <row r="912" spans="1:61" x14ac:dyDescent="0.45">
      <c r="A912" s="17"/>
      <c r="B912" s="17"/>
      <c r="C912" s="17"/>
      <c r="D912" s="17"/>
      <c r="E912" s="15"/>
      <c r="F912" s="17"/>
      <c r="G912" s="17"/>
      <c r="H912" s="3"/>
      <c r="I912" s="88"/>
      <c r="J912" s="88"/>
      <c r="K912" s="15"/>
      <c r="L912" s="96"/>
      <c r="M912" s="89"/>
      <c r="N912" s="88"/>
      <c r="O912" s="413"/>
      <c r="P912" s="18"/>
      <c r="Q912" s="91"/>
      <c r="R912" s="18"/>
      <c r="S912" s="18"/>
      <c r="T912" s="18"/>
      <c r="U912" s="18"/>
      <c r="V912" s="18"/>
      <c r="W912" s="18"/>
      <c r="X912" s="18"/>
      <c r="Y912" s="92"/>
      <c r="Z912" s="92"/>
      <c r="AA912" s="418"/>
      <c r="AB912" s="95"/>
      <c r="AC912" s="18"/>
      <c r="AD912" s="18"/>
      <c r="AE912" s="18"/>
      <c r="AF912" s="18"/>
      <c r="AG912" s="91"/>
      <c r="AH912" s="18"/>
      <c r="AI912" s="18"/>
      <c r="AJ912" s="18"/>
      <c r="AK912" s="18"/>
      <c r="AL912" s="18"/>
      <c r="AM912" s="18"/>
      <c r="AN912" s="18"/>
      <c r="AO912" s="18"/>
      <c r="AP912" s="18"/>
      <c r="AQ912" s="18"/>
      <c r="AR912" s="18"/>
      <c r="AS912" s="18"/>
      <c r="AT912" s="18"/>
      <c r="AU912" s="91"/>
      <c r="AV912" s="18"/>
      <c r="AW912" s="18"/>
      <c r="AX912" s="18"/>
      <c r="AY912" s="17"/>
      <c r="AZ912" s="17"/>
      <c r="BA912" s="17"/>
      <c r="BB912" s="17"/>
      <c r="BC912" s="96"/>
      <c r="BD912" s="96"/>
      <c r="BE912" s="96"/>
      <c r="BF912" s="96"/>
      <c r="BG912" s="96"/>
      <c r="BH912" s="96"/>
      <c r="BI912" s="96"/>
    </row>
    <row r="913" spans="1:61" x14ac:dyDescent="0.45">
      <c r="A913" s="17"/>
      <c r="B913" s="17"/>
      <c r="C913" s="17"/>
      <c r="D913" s="17"/>
      <c r="E913" s="15"/>
      <c r="F913" s="17"/>
      <c r="G913" s="17"/>
      <c r="H913" s="3"/>
      <c r="I913" s="88"/>
      <c r="J913" s="88"/>
      <c r="K913" s="15"/>
      <c r="L913" s="96"/>
      <c r="M913" s="89"/>
      <c r="N913" s="88"/>
      <c r="O913" s="413"/>
      <c r="P913" s="18"/>
      <c r="Q913" s="91"/>
      <c r="R913" s="18"/>
      <c r="S913" s="18"/>
      <c r="T913" s="18"/>
      <c r="U913" s="18"/>
      <c r="V913" s="18"/>
      <c r="W913" s="18"/>
      <c r="X913" s="18"/>
      <c r="Y913" s="92"/>
      <c r="Z913" s="92"/>
      <c r="AA913" s="418"/>
      <c r="AB913" s="95"/>
      <c r="AC913" s="18"/>
      <c r="AD913" s="18"/>
      <c r="AE913" s="18"/>
      <c r="AF913" s="18"/>
      <c r="AG913" s="91"/>
      <c r="AH913" s="18"/>
      <c r="AI913" s="18"/>
      <c r="AJ913" s="18"/>
      <c r="AK913" s="18"/>
      <c r="AL913" s="18"/>
      <c r="AM913" s="18"/>
      <c r="AN913" s="18"/>
      <c r="AO913" s="18"/>
      <c r="AP913" s="18"/>
      <c r="AQ913" s="18"/>
      <c r="AR913" s="18"/>
      <c r="AS913" s="18"/>
      <c r="AT913" s="18"/>
      <c r="AU913" s="91"/>
      <c r="AV913" s="18"/>
      <c r="AW913" s="18"/>
      <c r="AX913" s="18"/>
      <c r="AY913" s="17"/>
      <c r="AZ913" s="17"/>
      <c r="BA913" s="17"/>
      <c r="BB913" s="17"/>
      <c r="BC913" s="96"/>
      <c r="BD913" s="96"/>
      <c r="BE913" s="96"/>
      <c r="BF913" s="96"/>
      <c r="BG913" s="96"/>
      <c r="BH913" s="96"/>
      <c r="BI913" s="96"/>
    </row>
    <row r="914" spans="1:61" x14ac:dyDescent="0.45">
      <c r="A914" s="17"/>
      <c r="B914" s="17"/>
      <c r="C914" s="17"/>
      <c r="D914" s="17"/>
      <c r="E914" s="15"/>
      <c r="F914" s="17"/>
      <c r="G914" s="17"/>
      <c r="H914" s="3"/>
      <c r="I914" s="88"/>
      <c r="J914" s="88"/>
      <c r="K914" s="15"/>
      <c r="L914" s="96"/>
      <c r="M914" s="89"/>
      <c r="N914" s="88"/>
      <c r="O914" s="413"/>
      <c r="P914" s="18"/>
      <c r="Q914" s="91"/>
      <c r="R914" s="18"/>
      <c r="S914" s="18"/>
      <c r="T914" s="18"/>
      <c r="U914" s="18"/>
      <c r="V914" s="18"/>
      <c r="W914" s="18"/>
      <c r="X914" s="18"/>
      <c r="Y914" s="92"/>
      <c r="Z914" s="92"/>
      <c r="AA914" s="418"/>
      <c r="AB914" s="95"/>
      <c r="AC914" s="18"/>
      <c r="AD914" s="18"/>
      <c r="AE914" s="18"/>
      <c r="AF914" s="18"/>
      <c r="AG914" s="91"/>
      <c r="AH914" s="18"/>
      <c r="AI914" s="18"/>
      <c r="AJ914" s="18"/>
      <c r="AK914" s="18"/>
      <c r="AL914" s="18"/>
      <c r="AM914" s="18"/>
      <c r="AN914" s="18"/>
      <c r="AO914" s="18"/>
      <c r="AP914" s="18"/>
      <c r="AQ914" s="18"/>
      <c r="AR914" s="18"/>
      <c r="AS914" s="18"/>
      <c r="AT914" s="18"/>
      <c r="AU914" s="91"/>
      <c r="AV914" s="18"/>
      <c r="AW914" s="18"/>
      <c r="AX914" s="18"/>
      <c r="AY914" s="17"/>
      <c r="AZ914" s="17"/>
      <c r="BA914" s="17"/>
      <c r="BB914" s="17"/>
      <c r="BC914" s="96"/>
      <c r="BD914" s="96"/>
      <c r="BE914" s="96"/>
      <c r="BF914" s="96"/>
      <c r="BG914" s="96"/>
      <c r="BH914" s="96"/>
      <c r="BI914" s="96"/>
    </row>
    <row r="915" spans="1:61" x14ac:dyDescent="0.45">
      <c r="A915" s="17"/>
      <c r="B915" s="17"/>
      <c r="C915" s="17"/>
      <c r="D915" s="17"/>
      <c r="E915" s="15"/>
      <c r="F915" s="17"/>
      <c r="G915" s="17"/>
      <c r="H915" s="3"/>
      <c r="I915" s="88"/>
      <c r="J915" s="88"/>
      <c r="K915" s="15"/>
      <c r="L915" s="96"/>
      <c r="M915" s="89"/>
      <c r="N915" s="88"/>
      <c r="O915" s="413"/>
      <c r="P915" s="18"/>
      <c r="Q915" s="91"/>
      <c r="R915" s="18"/>
      <c r="S915" s="18"/>
      <c r="T915" s="18"/>
      <c r="U915" s="18"/>
      <c r="V915" s="18"/>
      <c r="W915" s="18"/>
      <c r="X915" s="18"/>
      <c r="Y915" s="92"/>
      <c r="Z915" s="92"/>
      <c r="AA915" s="418"/>
      <c r="AB915" s="95"/>
      <c r="AC915" s="18"/>
      <c r="AD915" s="18"/>
      <c r="AE915" s="18"/>
      <c r="AF915" s="18"/>
      <c r="AG915" s="91"/>
      <c r="AH915" s="18"/>
      <c r="AI915" s="18"/>
      <c r="AJ915" s="18"/>
      <c r="AK915" s="18"/>
      <c r="AL915" s="18"/>
      <c r="AM915" s="18"/>
      <c r="AN915" s="18"/>
      <c r="AO915" s="18"/>
      <c r="AP915" s="18"/>
      <c r="AQ915" s="18"/>
      <c r="AR915" s="18"/>
      <c r="AS915" s="18"/>
      <c r="AT915" s="18"/>
      <c r="AU915" s="91"/>
      <c r="AV915" s="18"/>
      <c r="AW915" s="18"/>
      <c r="AX915" s="18"/>
      <c r="AY915" s="17"/>
      <c r="AZ915" s="17"/>
      <c r="BA915" s="17"/>
      <c r="BB915" s="17"/>
      <c r="BC915" s="96"/>
      <c r="BD915" s="96"/>
      <c r="BE915" s="96"/>
      <c r="BF915" s="96"/>
      <c r="BG915" s="96"/>
      <c r="BH915" s="96"/>
      <c r="BI915" s="96"/>
    </row>
    <row r="916" spans="1:61" x14ac:dyDescent="0.45">
      <c r="A916" s="17"/>
      <c r="B916" s="17"/>
      <c r="C916" s="17"/>
      <c r="D916" s="17"/>
      <c r="E916" s="15"/>
      <c r="F916" s="17"/>
      <c r="G916" s="17"/>
      <c r="H916" s="3"/>
      <c r="I916" s="88"/>
      <c r="J916" s="88"/>
      <c r="K916" s="15"/>
      <c r="L916" s="96"/>
      <c r="M916" s="89"/>
      <c r="N916" s="88"/>
      <c r="O916" s="413"/>
      <c r="P916" s="18"/>
      <c r="Q916" s="91"/>
      <c r="R916" s="18"/>
      <c r="S916" s="18"/>
      <c r="T916" s="18"/>
      <c r="U916" s="18"/>
      <c r="V916" s="18"/>
      <c r="W916" s="18"/>
      <c r="X916" s="18"/>
      <c r="Y916" s="92"/>
      <c r="Z916" s="92"/>
      <c r="AA916" s="418"/>
      <c r="AB916" s="95"/>
      <c r="AC916" s="18"/>
      <c r="AD916" s="18"/>
      <c r="AE916" s="18"/>
      <c r="AF916" s="18"/>
      <c r="AG916" s="91"/>
      <c r="AH916" s="18"/>
      <c r="AI916" s="18"/>
      <c r="AJ916" s="18"/>
      <c r="AK916" s="18"/>
      <c r="AL916" s="18"/>
      <c r="AM916" s="18"/>
      <c r="AN916" s="18"/>
      <c r="AO916" s="18"/>
      <c r="AP916" s="18"/>
      <c r="AQ916" s="18"/>
      <c r="AR916" s="18"/>
      <c r="AS916" s="18"/>
      <c r="AT916" s="18"/>
      <c r="AU916" s="91"/>
      <c r="AV916" s="18"/>
      <c r="AW916" s="18"/>
      <c r="AX916" s="18"/>
      <c r="AY916" s="17"/>
      <c r="AZ916" s="17"/>
      <c r="BA916" s="17"/>
      <c r="BB916" s="17"/>
      <c r="BC916" s="96"/>
      <c r="BD916" s="96"/>
      <c r="BE916" s="96"/>
      <c r="BF916" s="96"/>
      <c r="BG916" s="96"/>
      <c r="BH916" s="96"/>
      <c r="BI916" s="96"/>
    </row>
    <row r="917" spans="1:61" x14ac:dyDescent="0.45">
      <c r="A917" s="17"/>
      <c r="B917" s="17"/>
      <c r="C917" s="17"/>
      <c r="D917" s="17"/>
      <c r="E917" s="15"/>
      <c r="F917" s="17"/>
      <c r="G917" s="17"/>
      <c r="H917" s="3"/>
      <c r="I917" s="88"/>
      <c r="J917" s="88"/>
      <c r="K917" s="15"/>
      <c r="L917" s="96"/>
      <c r="M917" s="89"/>
      <c r="N917" s="88"/>
      <c r="O917" s="413"/>
      <c r="P917" s="18"/>
      <c r="Q917" s="91"/>
      <c r="R917" s="18"/>
      <c r="S917" s="18"/>
      <c r="T917" s="18"/>
      <c r="U917" s="18"/>
      <c r="V917" s="18"/>
      <c r="W917" s="18"/>
      <c r="X917" s="18"/>
      <c r="Y917" s="92"/>
      <c r="Z917" s="92"/>
      <c r="AA917" s="418"/>
      <c r="AB917" s="95"/>
      <c r="AC917" s="18"/>
      <c r="AD917" s="18"/>
      <c r="AE917" s="18"/>
      <c r="AF917" s="18"/>
      <c r="AG917" s="91"/>
      <c r="AH917" s="18"/>
      <c r="AI917" s="18"/>
      <c r="AJ917" s="18"/>
      <c r="AK917" s="18"/>
      <c r="AL917" s="18"/>
      <c r="AM917" s="18"/>
      <c r="AN917" s="18"/>
      <c r="AO917" s="18"/>
      <c r="AP917" s="18"/>
      <c r="AQ917" s="18"/>
      <c r="AR917" s="18"/>
      <c r="AS917" s="18"/>
      <c r="AT917" s="18"/>
      <c r="AU917" s="91"/>
      <c r="AV917" s="18"/>
      <c r="AW917" s="18"/>
      <c r="AX917" s="18"/>
      <c r="AY917" s="17"/>
      <c r="AZ917" s="17"/>
      <c r="BA917" s="17"/>
      <c r="BB917" s="17"/>
      <c r="BC917" s="96"/>
      <c r="BD917" s="96"/>
      <c r="BE917" s="96"/>
      <c r="BF917" s="96"/>
      <c r="BG917" s="96"/>
      <c r="BH917" s="96"/>
      <c r="BI917" s="96"/>
    </row>
    <row r="918" spans="1:61" x14ac:dyDescent="0.45">
      <c r="A918" s="17"/>
      <c r="B918" s="17"/>
      <c r="C918" s="17"/>
      <c r="D918" s="17"/>
      <c r="E918" s="15"/>
      <c r="F918" s="17"/>
      <c r="G918" s="17"/>
      <c r="H918" s="3"/>
      <c r="I918" s="88"/>
      <c r="J918" s="88"/>
      <c r="K918" s="15"/>
      <c r="L918" s="96"/>
      <c r="M918" s="89"/>
      <c r="N918" s="88"/>
      <c r="O918" s="413"/>
      <c r="P918" s="18"/>
      <c r="Q918" s="91"/>
      <c r="R918" s="18"/>
      <c r="S918" s="18"/>
      <c r="T918" s="18"/>
      <c r="U918" s="18"/>
      <c r="V918" s="18"/>
      <c r="W918" s="18"/>
      <c r="X918" s="18"/>
      <c r="Y918" s="92"/>
      <c r="Z918" s="92"/>
      <c r="AA918" s="418"/>
      <c r="AB918" s="95"/>
      <c r="AC918" s="18"/>
      <c r="AD918" s="18"/>
      <c r="AE918" s="18"/>
      <c r="AF918" s="18"/>
      <c r="AG918" s="91"/>
      <c r="AH918" s="18"/>
      <c r="AI918" s="18"/>
      <c r="AJ918" s="18"/>
      <c r="AK918" s="18"/>
      <c r="AL918" s="18"/>
      <c r="AM918" s="18"/>
      <c r="AN918" s="18"/>
      <c r="AO918" s="18"/>
      <c r="AP918" s="18"/>
      <c r="AQ918" s="18"/>
      <c r="AR918" s="18"/>
      <c r="AS918" s="18"/>
      <c r="AT918" s="18"/>
      <c r="AU918" s="91"/>
      <c r="AV918" s="18"/>
      <c r="AW918" s="18"/>
      <c r="AX918" s="18"/>
      <c r="AY918" s="17"/>
      <c r="AZ918" s="17"/>
      <c r="BA918" s="17"/>
      <c r="BB918" s="17"/>
      <c r="BC918" s="96"/>
      <c r="BD918" s="96"/>
      <c r="BE918" s="96"/>
      <c r="BF918" s="96"/>
      <c r="BG918" s="96"/>
      <c r="BH918" s="96"/>
      <c r="BI918" s="96"/>
    </row>
    <row r="919" spans="1:61" x14ac:dyDescent="0.45">
      <c r="A919" s="17"/>
      <c r="B919" s="17"/>
      <c r="C919" s="17"/>
      <c r="D919" s="17"/>
      <c r="E919" s="15"/>
      <c r="F919" s="17"/>
      <c r="G919" s="17"/>
      <c r="H919" s="3"/>
      <c r="I919" s="88"/>
      <c r="J919" s="88"/>
      <c r="K919" s="15"/>
      <c r="L919" s="96"/>
      <c r="M919" s="89"/>
      <c r="N919" s="88"/>
      <c r="O919" s="413"/>
      <c r="P919" s="18"/>
      <c r="Q919" s="91"/>
      <c r="R919" s="18"/>
      <c r="S919" s="18"/>
      <c r="T919" s="18"/>
      <c r="U919" s="18"/>
      <c r="V919" s="18"/>
      <c r="W919" s="18"/>
      <c r="X919" s="18"/>
      <c r="Y919" s="92"/>
      <c r="Z919" s="92"/>
      <c r="AA919" s="418"/>
      <c r="AB919" s="95"/>
      <c r="AC919" s="18"/>
      <c r="AD919" s="18"/>
      <c r="AE919" s="18"/>
      <c r="AF919" s="18"/>
      <c r="AG919" s="91"/>
      <c r="AH919" s="18"/>
      <c r="AI919" s="18"/>
      <c r="AJ919" s="18"/>
      <c r="AK919" s="18"/>
      <c r="AL919" s="18"/>
      <c r="AM919" s="18"/>
      <c r="AN919" s="18"/>
      <c r="AO919" s="18"/>
      <c r="AP919" s="18"/>
      <c r="AQ919" s="18"/>
      <c r="AR919" s="18"/>
      <c r="AS919" s="18"/>
      <c r="AT919" s="18"/>
      <c r="AU919" s="91"/>
      <c r="AV919" s="18"/>
      <c r="AW919" s="18"/>
      <c r="AX919" s="18"/>
      <c r="AY919" s="17"/>
      <c r="AZ919" s="17"/>
      <c r="BA919" s="17"/>
      <c r="BB919" s="17"/>
      <c r="BC919" s="96"/>
      <c r="BD919" s="96"/>
      <c r="BE919" s="96"/>
      <c r="BF919" s="96"/>
      <c r="BG919" s="96"/>
      <c r="BH919" s="96"/>
      <c r="BI919" s="96"/>
    </row>
    <row r="920" spans="1:61" x14ac:dyDescent="0.45">
      <c r="A920" s="17"/>
      <c r="B920" s="17"/>
      <c r="C920" s="17"/>
      <c r="D920" s="17"/>
      <c r="E920" s="15"/>
      <c r="F920" s="17"/>
      <c r="G920" s="17"/>
      <c r="H920" s="3"/>
      <c r="I920" s="88"/>
      <c r="J920" s="88"/>
      <c r="K920" s="15"/>
      <c r="L920" s="96"/>
      <c r="M920" s="89"/>
      <c r="N920" s="88"/>
      <c r="O920" s="413"/>
      <c r="P920" s="18"/>
      <c r="Q920" s="91"/>
      <c r="R920" s="18"/>
      <c r="S920" s="18"/>
      <c r="T920" s="18"/>
      <c r="U920" s="18"/>
      <c r="V920" s="18"/>
      <c r="W920" s="18"/>
      <c r="X920" s="18"/>
      <c r="Y920" s="92"/>
      <c r="Z920" s="92"/>
      <c r="AA920" s="418"/>
      <c r="AB920" s="95"/>
      <c r="AC920" s="18"/>
      <c r="AD920" s="18"/>
      <c r="AE920" s="18"/>
      <c r="AF920" s="18"/>
      <c r="AG920" s="91"/>
      <c r="AH920" s="18"/>
      <c r="AI920" s="18"/>
      <c r="AJ920" s="18"/>
      <c r="AK920" s="18"/>
      <c r="AL920" s="18"/>
      <c r="AM920" s="18"/>
      <c r="AN920" s="18"/>
      <c r="AO920" s="18"/>
      <c r="AP920" s="18"/>
      <c r="AQ920" s="18"/>
      <c r="AR920" s="18"/>
      <c r="AS920" s="18"/>
      <c r="AT920" s="18"/>
      <c r="AU920" s="91"/>
      <c r="AV920" s="18"/>
      <c r="AW920" s="18"/>
      <c r="AX920" s="18"/>
      <c r="AY920" s="17"/>
      <c r="AZ920" s="17"/>
      <c r="BA920" s="17"/>
      <c r="BB920" s="17"/>
      <c r="BC920" s="96"/>
      <c r="BD920" s="96"/>
      <c r="BE920" s="96"/>
      <c r="BF920" s="96"/>
      <c r="BG920" s="96"/>
      <c r="BH920" s="96"/>
      <c r="BI920" s="96"/>
    </row>
    <row r="921" spans="1:61" x14ac:dyDescent="0.45">
      <c r="A921" s="17"/>
      <c r="B921" s="17"/>
      <c r="C921" s="17"/>
      <c r="D921" s="17"/>
      <c r="E921" s="15"/>
      <c r="F921" s="17"/>
      <c r="G921" s="17"/>
      <c r="H921" s="3"/>
      <c r="I921" s="88"/>
      <c r="J921" s="88"/>
      <c r="K921" s="15"/>
      <c r="L921" s="96"/>
      <c r="M921" s="89"/>
      <c r="N921" s="88"/>
      <c r="O921" s="413"/>
      <c r="P921" s="18"/>
      <c r="Q921" s="91"/>
      <c r="R921" s="18"/>
      <c r="S921" s="18"/>
      <c r="T921" s="18"/>
      <c r="U921" s="18"/>
      <c r="V921" s="18"/>
      <c r="W921" s="18"/>
      <c r="X921" s="18"/>
      <c r="Y921" s="92"/>
      <c r="Z921" s="92"/>
      <c r="AA921" s="418"/>
      <c r="AB921" s="95"/>
      <c r="AC921" s="18"/>
      <c r="AD921" s="18"/>
      <c r="AE921" s="18"/>
      <c r="AF921" s="18"/>
      <c r="AG921" s="91"/>
      <c r="AH921" s="18"/>
      <c r="AI921" s="18"/>
      <c r="AJ921" s="18"/>
      <c r="AK921" s="18"/>
      <c r="AL921" s="18"/>
      <c r="AM921" s="18"/>
      <c r="AN921" s="18"/>
      <c r="AO921" s="18"/>
      <c r="AP921" s="18"/>
      <c r="AQ921" s="18"/>
      <c r="AR921" s="18"/>
      <c r="AS921" s="18"/>
      <c r="AT921" s="18"/>
      <c r="AU921" s="91"/>
      <c r="AV921" s="18"/>
      <c r="AW921" s="18"/>
      <c r="AX921" s="18"/>
      <c r="AY921" s="17"/>
      <c r="AZ921" s="17"/>
      <c r="BA921" s="17"/>
      <c r="BB921" s="17"/>
      <c r="BC921" s="96"/>
      <c r="BD921" s="96"/>
      <c r="BE921" s="96"/>
      <c r="BF921" s="96"/>
      <c r="BG921" s="96"/>
      <c r="BH921" s="96"/>
      <c r="BI921" s="96"/>
    </row>
    <row r="922" spans="1:61" x14ac:dyDescent="0.45">
      <c r="A922" s="17"/>
      <c r="B922" s="17"/>
      <c r="C922" s="17"/>
      <c r="D922" s="17"/>
      <c r="E922" s="15"/>
      <c r="F922" s="17"/>
      <c r="G922" s="17"/>
      <c r="H922" s="3"/>
      <c r="I922" s="88"/>
      <c r="J922" s="88"/>
      <c r="K922" s="15"/>
      <c r="L922" s="96"/>
      <c r="M922" s="89"/>
      <c r="N922" s="88"/>
      <c r="O922" s="413"/>
      <c r="P922" s="18"/>
      <c r="Q922" s="91"/>
      <c r="R922" s="18"/>
      <c r="S922" s="18"/>
      <c r="T922" s="18"/>
      <c r="U922" s="18"/>
      <c r="V922" s="18"/>
      <c r="W922" s="18"/>
      <c r="X922" s="18"/>
      <c r="Y922" s="92"/>
      <c r="Z922" s="92"/>
      <c r="AA922" s="418"/>
      <c r="AB922" s="95"/>
      <c r="AC922" s="18"/>
      <c r="AD922" s="18"/>
      <c r="AE922" s="18"/>
      <c r="AF922" s="18"/>
      <c r="AG922" s="91"/>
      <c r="AH922" s="18"/>
      <c r="AI922" s="18"/>
      <c r="AJ922" s="18"/>
      <c r="AK922" s="18"/>
      <c r="AL922" s="18"/>
      <c r="AM922" s="18"/>
      <c r="AN922" s="18"/>
      <c r="AO922" s="18"/>
      <c r="AP922" s="18"/>
      <c r="AQ922" s="18"/>
      <c r="AR922" s="18"/>
      <c r="AS922" s="18"/>
      <c r="AT922" s="18"/>
      <c r="AU922" s="91"/>
      <c r="AV922" s="18"/>
      <c r="AW922" s="18"/>
      <c r="AX922" s="18"/>
      <c r="AY922" s="17"/>
      <c r="AZ922" s="17"/>
      <c r="BA922" s="17"/>
      <c r="BB922" s="17"/>
      <c r="BC922" s="96"/>
      <c r="BD922" s="96"/>
      <c r="BE922" s="96"/>
      <c r="BF922" s="96"/>
      <c r="BG922" s="96"/>
      <c r="BH922" s="96"/>
      <c r="BI922" s="96"/>
    </row>
    <row r="923" spans="1:61" x14ac:dyDescent="0.45">
      <c r="A923" s="17"/>
      <c r="B923" s="17"/>
      <c r="C923" s="17"/>
      <c r="D923" s="17"/>
      <c r="E923" s="15"/>
      <c r="F923" s="17"/>
      <c r="G923" s="17"/>
      <c r="H923" s="3"/>
      <c r="I923" s="88"/>
      <c r="J923" s="88"/>
      <c r="K923" s="15"/>
      <c r="L923" s="96"/>
      <c r="M923" s="89"/>
      <c r="N923" s="88"/>
      <c r="O923" s="413"/>
      <c r="P923" s="18"/>
      <c r="Q923" s="91"/>
      <c r="R923" s="18"/>
      <c r="S923" s="18"/>
      <c r="T923" s="18"/>
      <c r="U923" s="18"/>
      <c r="V923" s="18"/>
      <c r="W923" s="18"/>
      <c r="X923" s="18"/>
      <c r="Y923" s="92"/>
      <c r="Z923" s="92"/>
      <c r="AA923" s="418"/>
      <c r="AB923" s="95"/>
      <c r="AC923" s="18"/>
      <c r="AD923" s="18"/>
      <c r="AE923" s="18"/>
      <c r="AF923" s="18"/>
      <c r="AG923" s="91"/>
      <c r="AH923" s="18"/>
      <c r="AI923" s="18"/>
      <c r="AJ923" s="18"/>
      <c r="AK923" s="18"/>
      <c r="AL923" s="18"/>
      <c r="AM923" s="18"/>
      <c r="AN923" s="18"/>
      <c r="AO923" s="18"/>
      <c r="AP923" s="18"/>
      <c r="AQ923" s="18"/>
      <c r="AR923" s="18"/>
      <c r="AS923" s="18"/>
      <c r="AT923" s="18"/>
      <c r="AU923" s="91"/>
      <c r="AV923" s="18"/>
      <c r="AW923" s="18"/>
      <c r="AX923" s="18"/>
      <c r="AY923" s="17"/>
      <c r="AZ923" s="17"/>
      <c r="BA923" s="17"/>
      <c r="BB923" s="17"/>
      <c r="BC923" s="96"/>
      <c r="BD923" s="96"/>
      <c r="BE923" s="96"/>
      <c r="BF923" s="96"/>
      <c r="BG923" s="96"/>
      <c r="BH923" s="96"/>
      <c r="BI923" s="96"/>
    </row>
  </sheetData>
  <customSheetViews>
    <customSheetView guid="{54A0920C-32A2-46BD-A896-61CC7711F9C5}" filter="1" showAutoFilter="1">
      <pageMargins left="0.7" right="0.7" top="0.75" bottom="0.75" header="0.3" footer="0.3"/>
      <autoFilter ref="A1:BE5" xr:uid="{9B5B3852-F50F-40FC-B1ED-9D8B598FFA0E}"/>
    </customSheetView>
    <customSheetView guid="{A74CD2E6-B6A8-410A-A94A-8BDEB74E955F}" filter="1" showAutoFilter="1">
      <pageMargins left="0.7" right="0.7" top="0.75" bottom="0.75" header="0.3" footer="0.3"/>
      <autoFilter ref="V1:V143" xr:uid="{2A1497DC-BCC6-4BD4-ABD5-ACCDD2444D54}"/>
    </customSheetView>
    <customSheetView guid="{71E13C1F-9FB8-40E6-BBC6-A305E02BCF5C}" filter="1" showAutoFilter="1">
      <pageMargins left="0.7" right="0.7" top="0.75" bottom="0.75" header="0.3" footer="0.3"/>
      <autoFilter ref="A1:BE5" xr:uid="{DDF99A50-1D3F-4F70-93C6-21A500476CE4}"/>
    </customSheetView>
  </customSheetViews>
  <hyperlinks>
    <hyperlink ref="A6" r:id="rId1" xr:uid="{00000000-0004-0000-2800-000000000000}"/>
    <hyperlink ref="A7" r:id="rId2" xr:uid="{00000000-0004-0000-2800-000001000000}"/>
    <hyperlink ref="A8" r:id="rId3" xr:uid="{00000000-0004-0000-2800-000002000000}"/>
    <hyperlink ref="A9" r:id="rId4" xr:uid="{00000000-0004-0000-2800-000003000000}"/>
    <hyperlink ref="A10" r:id="rId5" xr:uid="{00000000-0004-0000-2800-000004000000}"/>
    <hyperlink ref="A11" r:id="rId6" xr:uid="{00000000-0004-0000-2800-000005000000}"/>
    <hyperlink ref="A12" r:id="rId7" xr:uid="{00000000-0004-0000-2800-000006000000}"/>
    <hyperlink ref="A13" r:id="rId8" xr:uid="{00000000-0004-0000-2800-000007000000}"/>
    <hyperlink ref="A14" r:id="rId9" xr:uid="{00000000-0004-0000-2800-000008000000}"/>
    <hyperlink ref="A15" r:id="rId10" xr:uid="{00000000-0004-0000-2800-000009000000}"/>
    <hyperlink ref="A16" r:id="rId11" xr:uid="{00000000-0004-0000-2800-00000A000000}"/>
    <hyperlink ref="A17" r:id="rId12" xr:uid="{00000000-0004-0000-2800-00000B000000}"/>
    <hyperlink ref="A18" r:id="rId13" xr:uid="{00000000-0004-0000-2800-00000C000000}"/>
    <hyperlink ref="A19" r:id="rId14" xr:uid="{00000000-0004-0000-2800-00000D000000}"/>
    <hyperlink ref="A20" r:id="rId15" xr:uid="{00000000-0004-0000-2800-00000E000000}"/>
    <hyperlink ref="A21" r:id="rId16" xr:uid="{00000000-0004-0000-2800-00000F000000}"/>
    <hyperlink ref="A22" r:id="rId17" xr:uid="{00000000-0004-0000-2800-000010000000}"/>
    <hyperlink ref="A23" r:id="rId18" xr:uid="{00000000-0004-0000-2800-000011000000}"/>
    <hyperlink ref="A24" r:id="rId19" xr:uid="{00000000-0004-0000-2800-000012000000}"/>
    <hyperlink ref="A25" r:id="rId20" xr:uid="{00000000-0004-0000-2800-000013000000}"/>
    <hyperlink ref="A26" r:id="rId21" xr:uid="{00000000-0004-0000-2800-000014000000}"/>
    <hyperlink ref="A27" r:id="rId22" xr:uid="{00000000-0004-0000-2800-000015000000}"/>
    <hyperlink ref="A28" r:id="rId23" xr:uid="{00000000-0004-0000-2800-000016000000}"/>
    <hyperlink ref="A29" r:id="rId24" xr:uid="{00000000-0004-0000-2800-000017000000}"/>
    <hyperlink ref="A30" r:id="rId25" xr:uid="{00000000-0004-0000-2800-000018000000}"/>
    <hyperlink ref="A31" r:id="rId26" xr:uid="{00000000-0004-0000-2800-000019000000}"/>
    <hyperlink ref="A32" r:id="rId27" xr:uid="{00000000-0004-0000-2800-00001A000000}"/>
    <hyperlink ref="A33" r:id="rId28" xr:uid="{00000000-0004-0000-2800-00001B000000}"/>
    <hyperlink ref="A34" r:id="rId29" xr:uid="{00000000-0004-0000-2800-00001C000000}"/>
    <hyperlink ref="A35" r:id="rId30" xr:uid="{00000000-0004-0000-2800-00001D000000}"/>
    <hyperlink ref="A36" r:id="rId31" xr:uid="{00000000-0004-0000-2800-00001E000000}"/>
    <hyperlink ref="A37" r:id="rId32" xr:uid="{00000000-0004-0000-2800-00001F000000}"/>
    <hyperlink ref="A38" r:id="rId33" xr:uid="{00000000-0004-0000-2800-000020000000}"/>
    <hyperlink ref="A39" r:id="rId34" xr:uid="{00000000-0004-0000-2800-000021000000}"/>
    <hyperlink ref="A40" r:id="rId35" xr:uid="{00000000-0004-0000-2800-000022000000}"/>
    <hyperlink ref="A41" r:id="rId36" xr:uid="{00000000-0004-0000-2800-000023000000}"/>
    <hyperlink ref="A42" r:id="rId37" xr:uid="{00000000-0004-0000-2800-000024000000}"/>
    <hyperlink ref="A43" r:id="rId38" xr:uid="{00000000-0004-0000-2800-000025000000}"/>
    <hyperlink ref="A44" r:id="rId39" xr:uid="{00000000-0004-0000-2800-000026000000}"/>
    <hyperlink ref="A45" r:id="rId40" xr:uid="{00000000-0004-0000-2800-000027000000}"/>
    <hyperlink ref="A46" r:id="rId41" xr:uid="{00000000-0004-0000-2800-000028000000}"/>
    <hyperlink ref="A47" r:id="rId42" xr:uid="{00000000-0004-0000-2800-000029000000}"/>
    <hyperlink ref="A48" r:id="rId43" xr:uid="{00000000-0004-0000-2800-00002A000000}"/>
    <hyperlink ref="A49" r:id="rId44" xr:uid="{00000000-0004-0000-2800-00002B000000}"/>
    <hyperlink ref="A50" r:id="rId45" xr:uid="{00000000-0004-0000-2800-00002C000000}"/>
    <hyperlink ref="A51" r:id="rId46" xr:uid="{00000000-0004-0000-2800-00002D000000}"/>
    <hyperlink ref="A52" r:id="rId47" xr:uid="{00000000-0004-0000-2800-00002E000000}"/>
    <hyperlink ref="A53" r:id="rId48" xr:uid="{00000000-0004-0000-2800-00002F000000}"/>
    <hyperlink ref="A54" r:id="rId49" xr:uid="{00000000-0004-0000-2800-000030000000}"/>
    <hyperlink ref="A55" r:id="rId50" xr:uid="{00000000-0004-0000-2800-000031000000}"/>
    <hyperlink ref="A56" r:id="rId51" xr:uid="{00000000-0004-0000-2800-000032000000}"/>
    <hyperlink ref="A57" r:id="rId52" xr:uid="{00000000-0004-0000-2800-000033000000}"/>
    <hyperlink ref="A58" r:id="rId53" xr:uid="{00000000-0004-0000-2800-000034000000}"/>
    <hyperlink ref="A59" r:id="rId54" xr:uid="{00000000-0004-0000-2800-000035000000}"/>
    <hyperlink ref="A60" r:id="rId55" xr:uid="{00000000-0004-0000-2800-000036000000}"/>
    <hyperlink ref="A61" r:id="rId56" xr:uid="{00000000-0004-0000-2800-000037000000}"/>
    <hyperlink ref="A62" r:id="rId57" xr:uid="{00000000-0004-0000-2800-000038000000}"/>
    <hyperlink ref="A64" r:id="rId58" xr:uid="{00000000-0004-0000-2800-000039000000}"/>
    <hyperlink ref="A65" r:id="rId59" xr:uid="{00000000-0004-0000-2800-00003A000000}"/>
    <hyperlink ref="A66" r:id="rId60" xr:uid="{00000000-0004-0000-2800-00003B000000}"/>
    <hyperlink ref="A67" r:id="rId61" xr:uid="{00000000-0004-0000-2800-00003C000000}"/>
    <hyperlink ref="A68" r:id="rId62" xr:uid="{00000000-0004-0000-2800-00003D000000}"/>
    <hyperlink ref="A69" r:id="rId63" xr:uid="{00000000-0004-0000-2800-00003E000000}"/>
    <hyperlink ref="A70" r:id="rId64" xr:uid="{00000000-0004-0000-2800-00003F000000}"/>
    <hyperlink ref="A71" r:id="rId65" xr:uid="{00000000-0004-0000-2800-000040000000}"/>
    <hyperlink ref="A72" r:id="rId66" xr:uid="{00000000-0004-0000-2800-000041000000}"/>
    <hyperlink ref="A73" r:id="rId67" xr:uid="{00000000-0004-0000-2800-000042000000}"/>
    <hyperlink ref="A74" r:id="rId68" xr:uid="{00000000-0004-0000-2800-000043000000}"/>
    <hyperlink ref="A75" r:id="rId69" xr:uid="{00000000-0004-0000-2800-000044000000}"/>
    <hyperlink ref="A76" r:id="rId70" xr:uid="{00000000-0004-0000-2800-000045000000}"/>
    <hyperlink ref="A77" r:id="rId71" xr:uid="{00000000-0004-0000-2800-000046000000}"/>
    <hyperlink ref="A78" r:id="rId72" xr:uid="{00000000-0004-0000-2800-000047000000}"/>
    <hyperlink ref="A81" r:id="rId73" xr:uid="{00000000-0004-0000-2800-000048000000}"/>
    <hyperlink ref="A82" r:id="rId74" xr:uid="{00000000-0004-0000-2800-000049000000}"/>
    <hyperlink ref="A83" r:id="rId75" xr:uid="{00000000-0004-0000-2800-00004A000000}"/>
    <hyperlink ref="A84" r:id="rId76" xr:uid="{00000000-0004-0000-2800-00004B000000}"/>
    <hyperlink ref="A85" r:id="rId77" xr:uid="{00000000-0004-0000-2800-00004C000000}"/>
    <hyperlink ref="A86" r:id="rId78" xr:uid="{00000000-0004-0000-2800-00004D000000}"/>
    <hyperlink ref="A87" r:id="rId79" xr:uid="{00000000-0004-0000-2800-00004E000000}"/>
    <hyperlink ref="A88" r:id="rId80" xr:uid="{00000000-0004-0000-2800-00004F000000}"/>
    <hyperlink ref="A89" r:id="rId81" xr:uid="{00000000-0004-0000-2800-000050000000}"/>
    <hyperlink ref="A90" r:id="rId82" xr:uid="{00000000-0004-0000-2800-000051000000}"/>
    <hyperlink ref="A91" r:id="rId83" xr:uid="{00000000-0004-0000-2800-000052000000}"/>
    <hyperlink ref="A92" r:id="rId84" xr:uid="{00000000-0004-0000-2800-000053000000}"/>
    <hyperlink ref="A93" r:id="rId85" xr:uid="{00000000-0004-0000-2800-000054000000}"/>
    <hyperlink ref="A94" r:id="rId86" xr:uid="{00000000-0004-0000-2800-000055000000}"/>
    <hyperlink ref="A95" r:id="rId87" xr:uid="{00000000-0004-0000-2800-000056000000}"/>
    <hyperlink ref="A96" r:id="rId88" xr:uid="{00000000-0004-0000-2800-000057000000}"/>
    <hyperlink ref="A97" r:id="rId89" xr:uid="{00000000-0004-0000-2800-000058000000}"/>
    <hyperlink ref="A98" r:id="rId90" xr:uid="{00000000-0004-0000-2800-000059000000}"/>
    <hyperlink ref="A99" r:id="rId91" xr:uid="{00000000-0004-0000-2800-00005A000000}"/>
    <hyperlink ref="A100" r:id="rId92" xr:uid="{00000000-0004-0000-2800-00005B000000}"/>
    <hyperlink ref="A101" r:id="rId93" xr:uid="{00000000-0004-0000-2800-00005C000000}"/>
    <hyperlink ref="A103" r:id="rId94" xr:uid="{00000000-0004-0000-2800-00005D000000}"/>
    <hyperlink ref="A104" r:id="rId95" xr:uid="{00000000-0004-0000-2800-00005E000000}"/>
    <hyperlink ref="A105" r:id="rId96" xr:uid="{00000000-0004-0000-2800-00005F000000}"/>
    <hyperlink ref="A106" r:id="rId97" xr:uid="{00000000-0004-0000-2800-000060000000}"/>
    <hyperlink ref="A107" r:id="rId98" xr:uid="{00000000-0004-0000-2800-000061000000}"/>
    <hyperlink ref="A108" r:id="rId99" xr:uid="{00000000-0004-0000-2800-000062000000}"/>
    <hyperlink ref="A109" r:id="rId100" xr:uid="{00000000-0004-0000-2800-000063000000}"/>
    <hyperlink ref="A110" r:id="rId101" xr:uid="{00000000-0004-0000-2800-000064000000}"/>
    <hyperlink ref="A111" r:id="rId102" xr:uid="{00000000-0004-0000-2800-000065000000}"/>
    <hyperlink ref="A112" r:id="rId103" xr:uid="{00000000-0004-0000-2800-000066000000}"/>
    <hyperlink ref="A113" r:id="rId104" xr:uid="{00000000-0004-0000-2800-000067000000}"/>
    <hyperlink ref="A114" r:id="rId105" xr:uid="{00000000-0004-0000-2800-000068000000}"/>
    <hyperlink ref="A116" r:id="rId106" xr:uid="{00000000-0004-0000-2800-000069000000}"/>
    <hyperlink ref="A117" r:id="rId107" xr:uid="{00000000-0004-0000-2800-00006A000000}"/>
    <hyperlink ref="A118" r:id="rId108" xr:uid="{00000000-0004-0000-2800-00006B000000}"/>
    <hyperlink ref="A119" r:id="rId109" xr:uid="{00000000-0004-0000-2800-00006C000000}"/>
    <hyperlink ref="A120" r:id="rId110" xr:uid="{00000000-0004-0000-2800-00006D000000}"/>
    <hyperlink ref="A121" r:id="rId111" xr:uid="{00000000-0004-0000-2800-00006E000000}"/>
    <hyperlink ref="A122" r:id="rId112" xr:uid="{00000000-0004-0000-2800-00006F000000}"/>
    <hyperlink ref="A123" r:id="rId113" xr:uid="{00000000-0004-0000-2800-000070000000}"/>
    <hyperlink ref="A124" r:id="rId114" xr:uid="{00000000-0004-0000-2800-000071000000}"/>
    <hyperlink ref="A126" r:id="rId115" xr:uid="{00000000-0004-0000-2800-000072000000}"/>
    <hyperlink ref="A128" r:id="rId116" xr:uid="{00000000-0004-0000-2800-000073000000}"/>
    <hyperlink ref="A129" r:id="rId117" xr:uid="{00000000-0004-0000-2800-000074000000}"/>
    <hyperlink ref="A130" r:id="rId118" xr:uid="{00000000-0004-0000-2800-000075000000}"/>
    <hyperlink ref="A131" r:id="rId119" xr:uid="{00000000-0004-0000-2800-000076000000}"/>
    <hyperlink ref="A132" r:id="rId120" xr:uid="{00000000-0004-0000-2800-000077000000}"/>
    <hyperlink ref="A133" r:id="rId121" xr:uid="{00000000-0004-0000-2800-000078000000}"/>
    <hyperlink ref="A134" r:id="rId122" xr:uid="{00000000-0004-0000-2800-000079000000}"/>
    <hyperlink ref="A135" r:id="rId123" xr:uid="{00000000-0004-0000-2800-00007A000000}"/>
    <hyperlink ref="A136" r:id="rId124" xr:uid="{00000000-0004-0000-2800-00007B000000}"/>
    <hyperlink ref="A137" r:id="rId125" xr:uid="{00000000-0004-0000-2800-00007C000000}"/>
    <hyperlink ref="A138" r:id="rId126" xr:uid="{00000000-0004-0000-2800-00007D000000}"/>
    <hyperlink ref="A139" r:id="rId127" xr:uid="{00000000-0004-0000-2800-00007E000000}"/>
    <hyperlink ref="A140" r:id="rId128" xr:uid="{00000000-0004-0000-2800-00007F000000}"/>
    <hyperlink ref="A141" r:id="rId129" xr:uid="{00000000-0004-0000-2800-000080000000}"/>
    <hyperlink ref="A142" r:id="rId130" xr:uid="{00000000-0004-0000-2800-000081000000}"/>
    <hyperlink ref="A143" r:id="rId131" xr:uid="{00000000-0004-0000-2800-000082000000}"/>
    <hyperlink ref="A144" r:id="rId132" xr:uid="{00000000-0004-0000-2800-000083000000}"/>
    <hyperlink ref="A145" r:id="rId133" xr:uid="{00000000-0004-0000-2800-000084000000}"/>
    <hyperlink ref="A146" r:id="rId134" xr:uid="{00000000-0004-0000-2800-000085000000}"/>
    <hyperlink ref="A147" r:id="rId135" xr:uid="{00000000-0004-0000-2800-000086000000}"/>
    <hyperlink ref="A148" r:id="rId136" xr:uid="{00000000-0004-0000-2800-000087000000}"/>
    <hyperlink ref="A149" r:id="rId137" xr:uid="{00000000-0004-0000-2800-000088000000}"/>
    <hyperlink ref="A150" r:id="rId138" xr:uid="{00000000-0004-0000-2800-000089000000}"/>
    <hyperlink ref="A151" r:id="rId139" xr:uid="{00000000-0004-0000-2800-00008A000000}"/>
    <hyperlink ref="A152" r:id="rId140" xr:uid="{00000000-0004-0000-2800-00008B000000}"/>
    <hyperlink ref="A153" r:id="rId141" xr:uid="{00000000-0004-0000-2800-00008C000000}"/>
    <hyperlink ref="A154" r:id="rId142" xr:uid="{00000000-0004-0000-2800-00008D000000}"/>
    <hyperlink ref="A155" r:id="rId143" xr:uid="{00000000-0004-0000-2800-00008E000000}"/>
    <hyperlink ref="A156" r:id="rId144" xr:uid="{00000000-0004-0000-2800-00008F000000}"/>
    <hyperlink ref="A157" r:id="rId145" xr:uid="{00000000-0004-0000-2800-000090000000}"/>
    <hyperlink ref="A158" r:id="rId146" xr:uid="{00000000-0004-0000-2800-000091000000}"/>
    <hyperlink ref="A159" r:id="rId147" xr:uid="{00000000-0004-0000-2800-000092000000}"/>
    <hyperlink ref="A160" r:id="rId148" xr:uid="{00000000-0004-0000-2800-000093000000}"/>
    <hyperlink ref="A161" r:id="rId149" xr:uid="{00000000-0004-0000-2800-000094000000}"/>
    <hyperlink ref="A162" r:id="rId150" xr:uid="{00000000-0004-0000-2800-000095000000}"/>
    <hyperlink ref="A163" r:id="rId151" xr:uid="{00000000-0004-0000-2800-000096000000}"/>
    <hyperlink ref="A164" r:id="rId152" xr:uid="{00000000-0004-0000-2800-000097000000}"/>
    <hyperlink ref="A165" r:id="rId153" xr:uid="{00000000-0004-0000-2800-000098000000}"/>
    <hyperlink ref="A166" r:id="rId154" xr:uid="{00000000-0004-0000-2800-000099000000}"/>
    <hyperlink ref="A167" r:id="rId155" xr:uid="{00000000-0004-0000-2800-00009A000000}"/>
    <hyperlink ref="A168" r:id="rId156" xr:uid="{00000000-0004-0000-2800-00009B000000}"/>
    <hyperlink ref="A169" r:id="rId157" xr:uid="{00000000-0004-0000-2800-00009C000000}"/>
    <hyperlink ref="A170" r:id="rId158" xr:uid="{00000000-0004-0000-2800-00009D000000}"/>
    <hyperlink ref="A172" r:id="rId159" xr:uid="{00000000-0004-0000-2800-00009E000000}"/>
    <hyperlink ref="A173" r:id="rId160" xr:uid="{00000000-0004-0000-2800-00009F000000}"/>
    <hyperlink ref="A174" r:id="rId161" xr:uid="{00000000-0004-0000-2800-0000A0000000}"/>
    <hyperlink ref="A175" r:id="rId162" xr:uid="{00000000-0004-0000-2800-0000A1000000}"/>
    <hyperlink ref="A176" r:id="rId163" xr:uid="{00000000-0004-0000-2800-0000A2000000}"/>
    <hyperlink ref="A177" r:id="rId164" xr:uid="{00000000-0004-0000-2800-0000A3000000}"/>
    <hyperlink ref="A178" r:id="rId165" xr:uid="{00000000-0004-0000-2800-0000A4000000}"/>
    <hyperlink ref="A179" r:id="rId166" xr:uid="{00000000-0004-0000-2800-0000A5000000}"/>
    <hyperlink ref="A180" r:id="rId167" xr:uid="{00000000-0004-0000-2800-0000A6000000}"/>
    <hyperlink ref="A182" r:id="rId168" xr:uid="{00000000-0004-0000-2800-0000A7000000}"/>
    <hyperlink ref="A183" r:id="rId169" xr:uid="{00000000-0004-0000-2800-0000A8000000}"/>
    <hyperlink ref="A184" r:id="rId170" xr:uid="{00000000-0004-0000-2800-0000A9000000}"/>
    <hyperlink ref="A185" r:id="rId171" xr:uid="{00000000-0004-0000-2800-0000AA000000}"/>
    <hyperlink ref="A186" r:id="rId172" xr:uid="{00000000-0004-0000-2800-0000AB000000}"/>
    <hyperlink ref="A187" r:id="rId173" xr:uid="{00000000-0004-0000-2800-0000AC000000}"/>
    <hyperlink ref="A188" r:id="rId174" xr:uid="{00000000-0004-0000-2800-0000AD000000}"/>
    <hyperlink ref="A190" r:id="rId175" xr:uid="{00000000-0004-0000-2800-0000AE000000}"/>
    <hyperlink ref="A191" r:id="rId176" xr:uid="{00000000-0004-0000-2800-0000AF000000}"/>
    <hyperlink ref="A192" r:id="rId177" xr:uid="{00000000-0004-0000-2800-0000B0000000}"/>
    <hyperlink ref="A193" r:id="rId178" xr:uid="{00000000-0004-0000-2800-0000B1000000}"/>
    <hyperlink ref="A194" r:id="rId179" xr:uid="{00000000-0004-0000-2800-0000B2000000}"/>
    <hyperlink ref="A195" r:id="rId180" xr:uid="{00000000-0004-0000-2800-0000B3000000}"/>
    <hyperlink ref="A196" r:id="rId181" xr:uid="{00000000-0004-0000-2800-0000B4000000}"/>
    <hyperlink ref="A197" r:id="rId182" xr:uid="{00000000-0004-0000-2800-0000B5000000}"/>
    <hyperlink ref="A198" r:id="rId183" xr:uid="{00000000-0004-0000-2800-0000B6000000}"/>
    <hyperlink ref="A199" r:id="rId184" xr:uid="{00000000-0004-0000-2800-0000B7000000}"/>
    <hyperlink ref="A200" r:id="rId185" xr:uid="{00000000-0004-0000-2800-0000B8000000}"/>
    <hyperlink ref="A201" r:id="rId186" xr:uid="{00000000-0004-0000-2800-0000B9000000}"/>
    <hyperlink ref="A202" r:id="rId187" xr:uid="{00000000-0004-0000-2800-0000BA000000}"/>
    <hyperlink ref="A203" r:id="rId188" xr:uid="{00000000-0004-0000-2800-0000BB000000}"/>
    <hyperlink ref="A204" r:id="rId189" xr:uid="{00000000-0004-0000-2800-0000BC000000}"/>
    <hyperlink ref="A205" r:id="rId190" xr:uid="{00000000-0004-0000-2800-0000BD000000}"/>
    <hyperlink ref="A207" r:id="rId191" xr:uid="{00000000-0004-0000-2800-0000BE000000}"/>
    <hyperlink ref="A208" r:id="rId192" xr:uid="{00000000-0004-0000-2800-0000BF000000}"/>
    <hyperlink ref="A209" r:id="rId193" xr:uid="{00000000-0004-0000-2800-0000C0000000}"/>
    <hyperlink ref="A210" r:id="rId194" xr:uid="{00000000-0004-0000-2800-0000C1000000}"/>
    <hyperlink ref="A211" r:id="rId195" xr:uid="{00000000-0004-0000-2800-0000C2000000}"/>
    <hyperlink ref="A212" r:id="rId196" xr:uid="{00000000-0004-0000-2800-0000C3000000}"/>
    <hyperlink ref="A213" r:id="rId197" xr:uid="{00000000-0004-0000-2800-0000C4000000}"/>
    <hyperlink ref="A214" r:id="rId198" xr:uid="{00000000-0004-0000-2800-0000C5000000}"/>
    <hyperlink ref="A215" r:id="rId199" xr:uid="{00000000-0004-0000-2800-0000C6000000}"/>
    <hyperlink ref="A216" r:id="rId200" xr:uid="{00000000-0004-0000-2800-0000C7000000}"/>
    <hyperlink ref="A217" r:id="rId201" xr:uid="{00000000-0004-0000-2800-0000C8000000}"/>
    <hyperlink ref="A218" r:id="rId202" xr:uid="{00000000-0004-0000-2800-0000C9000000}"/>
    <hyperlink ref="A219" r:id="rId203" xr:uid="{00000000-0004-0000-2800-0000CA000000}"/>
    <hyperlink ref="A220" r:id="rId204" xr:uid="{00000000-0004-0000-2800-0000CB000000}"/>
    <hyperlink ref="A221" r:id="rId205" xr:uid="{00000000-0004-0000-2800-0000CC000000}"/>
    <hyperlink ref="A222" r:id="rId206" xr:uid="{00000000-0004-0000-2800-0000CD000000}"/>
    <hyperlink ref="A223" r:id="rId207" xr:uid="{00000000-0004-0000-2800-0000CE000000}"/>
    <hyperlink ref="A224" r:id="rId208" xr:uid="{00000000-0004-0000-2800-0000CF000000}"/>
  </hyperlinks>
  <printOptions horizontalCentered="1" gridLines="1"/>
  <pageMargins left="0.7" right="0.7" top="0.75" bottom="0.75" header="0" footer="0"/>
  <pageSetup fitToHeight="0" pageOrder="overThenDown" orientation="portrait" cellComments="atEnd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outlinePr summaryBelow="0" summaryRight="0"/>
    <pageSetUpPr fitToPage="1"/>
  </sheetPr>
  <dimension ref="A1:BN1032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defaultColWidth="14.42578125" defaultRowHeight="15.75" customHeight="1" x14ac:dyDescent="0.4"/>
  <cols>
    <col min="1" max="1" width="21.5703125" customWidth="1"/>
    <col min="2" max="2" width="22.85546875" customWidth="1"/>
    <col min="3" max="3" width="10.85546875" customWidth="1"/>
    <col min="4" max="4" width="7.140625" customWidth="1"/>
    <col min="5" max="6" width="4.85546875" customWidth="1"/>
    <col min="7" max="7" width="10.5703125" customWidth="1"/>
    <col min="8" max="8" width="16.5703125" customWidth="1"/>
    <col min="9" max="9" width="12.42578125" customWidth="1"/>
    <col min="10" max="10" width="4.85546875" customWidth="1"/>
    <col min="11" max="11" width="8.28515625" customWidth="1"/>
    <col min="12" max="12" width="13.5703125" customWidth="1"/>
    <col min="13" max="14" width="9.5703125" customWidth="1"/>
    <col min="15" max="15" width="10.7109375" customWidth="1"/>
    <col min="16" max="16" width="7.85546875" customWidth="1"/>
    <col min="17" max="17" width="6.7109375" customWidth="1"/>
    <col min="18" max="18" width="8.7109375" customWidth="1"/>
    <col min="19" max="19" width="10.7109375" customWidth="1"/>
    <col min="20" max="20" width="9.5703125" customWidth="1"/>
    <col min="21" max="21" width="10.28515625" customWidth="1"/>
    <col min="22" max="22" width="10.85546875" customWidth="1"/>
    <col min="23" max="23" width="9.5703125" customWidth="1"/>
    <col min="24" max="24" width="7" customWidth="1"/>
    <col min="25" max="25" width="17.42578125" customWidth="1"/>
    <col min="26" max="26" width="7.85546875" customWidth="1"/>
    <col min="27" max="27" width="8.140625" customWidth="1"/>
    <col min="28" max="28" width="10.85546875" customWidth="1"/>
    <col min="29" max="29" width="6.7109375" customWidth="1"/>
    <col min="30" max="30" width="7" customWidth="1"/>
    <col min="31" max="31" width="9.7109375" customWidth="1"/>
    <col min="32" max="32" width="8.7109375" customWidth="1"/>
    <col min="33" max="33" width="9" customWidth="1"/>
    <col min="34" max="34" width="11.7109375" customWidth="1"/>
    <col min="35" max="35" width="10.7109375" customWidth="1"/>
    <col min="36" max="36" width="11" customWidth="1"/>
    <col min="37" max="37" width="13.7109375" customWidth="1"/>
    <col min="38" max="38" width="9.5703125" customWidth="1"/>
    <col min="39" max="39" width="9.85546875" customWidth="1"/>
    <col min="40" max="40" width="12.5703125" customWidth="1"/>
    <col min="41" max="41" width="10.28515625" customWidth="1"/>
    <col min="42" max="42" width="10.42578125" customWidth="1"/>
    <col min="43" max="43" width="13.140625" customWidth="1"/>
    <col min="44" max="44" width="10.85546875" customWidth="1"/>
    <col min="45" max="45" width="11" customWidth="1"/>
    <col min="46" max="46" width="13.85546875" customWidth="1"/>
    <col min="47" max="47" width="9.5703125" customWidth="1"/>
    <col min="48" max="48" width="7.5703125" customWidth="1"/>
    <col min="49" max="59" width="8.28515625" customWidth="1"/>
    <col min="60" max="66" width="7.28515625" customWidth="1"/>
  </cols>
  <sheetData>
    <row r="1" spans="1:66" ht="15.75" customHeight="1" x14ac:dyDescent="0.4">
      <c r="A1" s="420" t="s">
        <v>2709</v>
      </c>
      <c r="B1" s="421"/>
      <c r="C1" s="421"/>
      <c r="D1" s="421"/>
      <c r="E1" s="422"/>
      <c r="F1" s="422"/>
      <c r="G1" s="422"/>
      <c r="H1" s="423"/>
      <c r="I1" s="424"/>
      <c r="J1" s="424"/>
      <c r="K1" s="424"/>
      <c r="L1" s="425"/>
      <c r="M1" s="425"/>
      <c r="N1" s="423"/>
      <c r="O1" s="423"/>
      <c r="P1" s="420"/>
      <c r="Q1" s="420"/>
      <c r="R1" s="420"/>
      <c r="S1" s="420"/>
      <c r="T1" s="420"/>
      <c r="U1" s="420"/>
      <c r="V1" s="420"/>
      <c r="W1" s="420"/>
      <c r="X1" s="426"/>
      <c r="Y1" s="1" t="s">
        <v>2689</v>
      </c>
      <c r="Z1" s="427">
        <f t="shared" ref="Z1:BN1" ca="1" si="0">AVERAGE(Z6:Z1032)</f>
        <v>1444.0131578947369</v>
      </c>
      <c r="AA1" s="13">
        <f t="shared" ca="1" si="0"/>
        <v>120.89473684210526</v>
      </c>
      <c r="AB1" s="428">
        <f t="shared" ca="1" si="0"/>
        <v>13.105263157894736</v>
      </c>
      <c r="AC1" s="427">
        <f t="shared" ca="1" si="0"/>
        <v>403.68421052631578</v>
      </c>
      <c r="AD1" s="13">
        <f t="shared" ca="1" si="0"/>
        <v>33.94736842105263</v>
      </c>
      <c r="AE1" s="428">
        <f t="shared" ca="1" si="0"/>
        <v>3.9473684210526314</v>
      </c>
      <c r="AF1" s="427">
        <f t="shared" ca="1" si="0"/>
        <v>665.92105263157896</v>
      </c>
      <c r="AG1" s="13">
        <f t="shared" ca="1" si="0"/>
        <v>55.789473684210527</v>
      </c>
      <c r="AH1" s="428">
        <f t="shared" ca="1" si="0"/>
        <v>6.2105263157894735</v>
      </c>
      <c r="AI1" s="427">
        <f t="shared" ca="1" si="0"/>
        <v>224.34210526315789</v>
      </c>
      <c r="AJ1" s="13">
        <f t="shared" ca="1" si="0"/>
        <v>18.94736842105263</v>
      </c>
      <c r="AK1" s="428">
        <f t="shared" ca="1" si="0"/>
        <v>2.263157894736842</v>
      </c>
      <c r="AL1" s="427">
        <f t="shared" ca="1" si="0"/>
        <v>201.44736842105263</v>
      </c>
      <c r="AM1" s="13">
        <f t="shared" ca="1" si="0"/>
        <v>17</v>
      </c>
      <c r="AN1" s="428">
        <f t="shared" ca="1" si="0"/>
        <v>2.0526315789473686</v>
      </c>
      <c r="AO1" s="427">
        <f t="shared" ca="1" si="0"/>
        <v>47.631578947368418</v>
      </c>
      <c r="AP1" s="13">
        <f t="shared" ca="1" si="0"/>
        <v>4.0526315789473681</v>
      </c>
      <c r="AQ1" s="428">
        <f t="shared" ca="1" si="0"/>
        <v>0.47368421052631576</v>
      </c>
      <c r="AR1" s="13">
        <f t="shared" ca="1" si="0"/>
        <v>9.6052631578947363</v>
      </c>
      <c r="AS1" s="13">
        <f t="shared" ca="1" si="0"/>
        <v>0.84210526315789469</v>
      </c>
      <c r="AT1" s="428">
        <f t="shared" ca="1" si="0"/>
        <v>0.10526315789473684</v>
      </c>
      <c r="AU1" s="13">
        <f t="shared" ca="1" si="0"/>
        <v>13182.5</v>
      </c>
      <c r="AV1" s="429">
        <f t="shared" ca="1" si="0"/>
        <v>0.5</v>
      </c>
      <c r="AW1" s="13">
        <f t="shared" si="0"/>
        <v>2</v>
      </c>
      <c r="AX1" s="13">
        <f t="shared" si="0"/>
        <v>0.53333333333333333</v>
      </c>
      <c r="AY1" s="13">
        <f t="shared" si="0"/>
        <v>0.53333333333333333</v>
      </c>
      <c r="AZ1" s="13">
        <f t="shared" si="0"/>
        <v>0.4</v>
      </c>
      <c r="BA1" s="13">
        <f t="shared" si="0"/>
        <v>0.33333333333333331</v>
      </c>
      <c r="BB1" s="13">
        <f t="shared" si="0"/>
        <v>0.4</v>
      </c>
      <c r="BC1" s="13">
        <f t="shared" si="0"/>
        <v>0.4</v>
      </c>
      <c r="BD1" s="13">
        <f t="shared" si="0"/>
        <v>0.33333333333333331</v>
      </c>
      <c r="BE1" s="13">
        <f t="shared" si="0"/>
        <v>0.73333333333333328</v>
      </c>
      <c r="BF1" s="13">
        <f t="shared" si="0"/>
        <v>0.6</v>
      </c>
      <c r="BG1" s="13">
        <f t="shared" si="0"/>
        <v>1.3333333333333333</v>
      </c>
      <c r="BH1" s="13">
        <f t="shared" si="0"/>
        <v>1.5333333333333334</v>
      </c>
      <c r="BI1" s="13">
        <f t="shared" si="0"/>
        <v>0.93333333333333335</v>
      </c>
      <c r="BJ1" s="13">
        <f t="shared" si="0"/>
        <v>1.2</v>
      </c>
      <c r="BK1" s="13">
        <f t="shared" si="0"/>
        <v>1.0666666666666667</v>
      </c>
      <c r="BL1" s="13">
        <f t="shared" si="0"/>
        <v>0.26666666666666666</v>
      </c>
      <c r="BM1" s="13">
        <f t="shared" si="0"/>
        <v>0.26666666666666666</v>
      </c>
      <c r="BN1" s="13">
        <f t="shared" si="0"/>
        <v>0.33333333333333331</v>
      </c>
    </row>
    <row r="2" spans="1:66" ht="15.75" customHeight="1" x14ac:dyDescent="0.4">
      <c r="A2" s="420" t="s">
        <v>470</v>
      </c>
      <c r="B2" s="421"/>
      <c r="C2" s="421"/>
      <c r="D2" s="421"/>
      <c r="E2" s="422"/>
      <c r="F2" s="422"/>
      <c r="G2" s="422"/>
      <c r="H2" s="423"/>
      <c r="I2" s="424"/>
      <c r="J2" s="424"/>
      <c r="K2" s="424"/>
      <c r="L2" s="425"/>
      <c r="M2" s="425"/>
      <c r="N2" s="423"/>
      <c r="O2" s="423"/>
      <c r="P2" s="430"/>
      <c r="Q2" s="430"/>
      <c r="R2" s="430"/>
      <c r="S2" s="430"/>
      <c r="T2" s="430"/>
      <c r="U2" s="430"/>
      <c r="V2" s="430"/>
      <c r="W2" s="430"/>
      <c r="X2" s="431"/>
      <c r="Y2" s="1" t="s">
        <v>2735</v>
      </c>
      <c r="Z2" s="427">
        <f t="shared" ref="Z2:BN2" ca="1" si="1">MAX(Z6:Z1032)</f>
        <v>3890</v>
      </c>
      <c r="AA2" s="13">
        <f t="shared" ca="1" si="1"/>
        <v>325</v>
      </c>
      <c r="AB2" s="428">
        <f t="shared" ca="1" si="1"/>
        <v>35</v>
      </c>
      <c r="AC2" s="427">
        <f t="shared" ca="1" si="1"/>
        <v>1412.5</v>
      </c>
      <c r="AD2" s="13">
        <f t="shared" ca="1" si="1"/>
        <v>118</v>
      </c>
      <c r="AE2" s="428">
        <f t="shared" ca="1" si="1"/>
        <v>13</v>
      </c>
      <c r="AF2" s="427">
        <f t="shared" ca="1" si="1"/>
        <v>1845</v>
      </c>
      <c r="AG2" s="13">
        <f t="shared" ca="1" si="1"/>
        <v>154</v>
      </c>
      <c r="AH2" s="428">
        <f t="shared" ca="1" si="1"/>
        <v>17</v>
      </c>
      <c r="AI2" s="427">
        <f t="shared" ca="1" si="1"/>
        <v>945</v>
      </c>
      <c r="AJ2" s="13">
        <f t="shared" ca="1" si="1"/>
        <v>79</v>
      </c>
      <c r="AK2" s="428">
        <f t="shared" ca="1" si="1"/>
        <v>9</v>
      </c>
      <c r="AL2" s="427">
        <f t="shared" ca="1" si="1"/>
        <v>1032.5</v>
      </c>
      <c r="AM2" s="13">
        <f t="shared" ca="1" si="1"/>
        <v>87</v>
      </c>
      <c r="AN2" s="428">
        <f t="shared" ca="1" si="1"/>
        <v>10</v>
      </c>
      <c r="AO2" s="427">
        <f t="shared" ca="1" si="1"/>
        <v>430</v>
      </c>
      <c r="AP2" s="13">
        <f t="shared" ca="1" si="1"/>
        <v>36</v>
      </c>
      <c r="AQ2" s="428">
        <f t="shared" ca="1" si="1"/>
        <v>4</v>
      </c>
      <c r="AR2" s="13">
        <f t="shared" ca="1" si="1"/>
        <v>182.5</v>
      </c>
      <c r="AS2" s="13">
        <f t="shared" ca="1" si="1"/>
        <v>16</v>
      </c>
      <c r="AT2" s="428">
        <f t="shared" ca="1" si="1"/>
        <v>2</v>
      </c>
      <c r="AU2" s="13">
        <f t="shared" ca="1" si="1"/>
        <v>25683</v>
      </c>
      <c r="AV2" s="429">
        <f t="shared" ca="1" si="1"/>
        <v>0.9</v>
      </c>
      <c r="AW2" s="13">
        <f t="shared" si="1"/>
        <v>6</v>
      </c>
      <c r="AX2" s="13">
        <f t="shared" si="1"/>
        <v>4</v>
      </c>
      <c r="AY2" s="13">
        <f t="shared" si="1"/>
        <v>2</v>
      </c>
      <c r="AZ2" s="13">
        <f t="shared" si="1"/>
        <v>3</v>
      </c>
      <c r="BA2" s="13">
        <f t="shared" si="1"/>
        <v>4</v>
      </c>
      <c r="BB2" s="13">
        <f t="shared" si="1"/>
        <v>3</v>
      </c>
      <c r="BC2" s="13">
        <f t="shared" si="1"/>
        <v>2</v>
      </c>
      <c r="BD2" s="13">
        <f t="shared" si="1"/>
        <v>2</v>
      </c>
      <c r="BE2" s="13">
        <f t="shared" si="1"/>
        <v>3</v>
      </c>
      <c r="BF2" s="13">
        <f t="shared" si="1"/>
        <v>2</v>
      </c>
      <c r="BG2" s="13">
        <f t="shared" si="1"/>
        <v>4</v>
      </c>
      <c r="BH2" s="13">
        <f t="shared" si="1"/>
        <v>5</v>
      </c>
      <c r="BI2" s="13">
        <f t="shared" si="1"/>
        <v>4</v>
      </c>
      <c r="BJ2" s="13">
        <f t="shared" si="1"/>
        <v>7</v>
      </c>
      <c r="BK2" s="13">
        <f t="shared" si="1"/>
        <v>3</v>
      </c>
      <c r="BL2" s="13">
        <f t="shared" si="1"/>
        <v>1</v>
      </c>
      <c r="BM2" s="13">
        <f t="shared" si="1"/>
        <v>2</v>
      </c>
      <c r="BN2" s="13">
        <f t="shared" si="1"/>
        <v>2</v>
      </c>
    </row>
    <row r="3" spans="1:66" ht="15.75" customHeight="1" x14ac:dyDescent="0.4">
      <c r="A3" s="420"/>
      <c r="B3" s="420"/>
      <c r="C3" s="420"/>
      <c r="D3" s="420"/>
      <c r="E3" s="420"/>
      <c r="F3" s="420"/>
      <c r="G3" s="420"/>
      <c r="H3" s="432"/>
      <c r="I3" s="424"/>
      <c r="J3" s="424"/>
      <c r="K3" s="424"/>
      <c r="L3" s="425"/>
      <c r="M3" s="425"/>
      <c r="N3" s="423"/>
      <c r="O3" s="432"/>
      <c r="P3" s="430"/>
      <c r="Q3" s="430"/>
      <c r="R3" s="430"/>
      <c r="S3" s="430"/>
      <c r="T3" s="430"/>
      <c r="U3" s="430"/>
      <c r="V3" s="430"/>
      <c r="W3" s="430"/>
      <c r="X3" s="431"/>
      <c r="Y3" s="1" t="s">
        <v>2736</v>
      </c>
      <c r="Z3" s="427">
        <f t="shared" ref="Z3:AV3" ca="1" si="2">ROUNDUP(IF(Z2*3&gt;Z1*12,Z2*3,Z1*12),0)</f>
        <v>17329</v>
      </c>
      <c r="AA3" s="13">
        <f t="shared" ca="1" si="2"/>
        <v>1451</v>
      </c>
      <c r="AB3" s="428">
        <f t="shared" ca="1" si="2"/>
        <v>158</v>
      </c>
      <c r="AC3" s="427">
        <f t="shared" ca="1" si="2"/>
        <v>4845</v>
      </c>
      <c r="AD3" s="13">
        <f t="shared" ca="1" si="2"/>
        <v>408</v>
      </c>
      <c r="AE3" s="428">
        <f t="shared" ca="1" si="2"/>
        <v>48</v>
      </c>
      <c r="AF3" s="427">
        <f t="shared" ca="1" si="2"/>
        <v>7992</v>
      </c>
      <c r="AG3" s="13">
        <f t="shared" ca="1" si="2"/>
        <v>670</v>
      </c>
      <c r="AH3" s="428">
        <f t="shared" ca="1" si="2"/>
        <v>75</v>
      </c>
      <c r="AI3" s="427">
        <f t="shared" ca="1" si="2"/>
        <v>2835</v>
      </c>
      <c r="AJ3" s="13">
        <f t="shared" ca="1" si="2"/>
        <v>237</v>
      </c>
      <c r="AK3" s="428">
        <f t="shared" ca="1" si="2"/>
        <v>28</v>
      </c>
      <c r="AL3" s="427">
        <f t="shared" ca="1" si="2"/>
        <v>3098</v>
      </c>
      <c r="AM3" s="13">
        <f t="shared" ca="1" si="2"/>
        <v>261</v>
      </c>
      <c r="AN3" s="428">
        <f t="shared" ca="1" si="2"/>
        <v>30</v>
      </c>
      <c r="AO3" s="427">
        <f t="shared" ca="1" si="2"/>
        <v>1290</v>
      </c>
      <c r="AP3" s="13">
        <f t="shared" ca="1" si="2"/>
        <v>108</v>
      </c>
      <c r="AQ3" s="428">
        <f t="shared" ca="1" si="2"/>
        <v>12</v>
      </c>
      <c r="AR3" s="13">
        <f t="shared" ca="1" si="2"/>
        <v>548</v>
      </c>
      <c r="AS3" s="13">
        <f t="shared" ca="1" si="2"/>
        <v>48</v>
      </c>
      <c r="AT3" s="428">
        <f t="shared" ca="1" si="2"/>
        <v>6</v>
      </c>
      <c r="AU3" s="13">
        <f t="shared" ca="1" si="2"/>
        <v>158190</v>
      </c>
      <c r="AV3" s="429">
        <f t="shared" ca="1" si="2"/>
        <v>6</v>
      </c>
      <c r="AW3" s="13">
        <f t="shared" ref="AW3:BN3" si="3">ROUNDUP(AW2*1.5,0)</f>
        <v>9</v>
      </c>
      <c r="AX3" s="13">
        <f t="shared" si="3"/>
        <v>6</v>
      </c>
      <c r="AY3" s="13">
        <f t="shared" si="3"/>
        <v>3</v>
      </c>
      <c r="AZ3" s="13">
        <f t="shared" si="3"/>
        <v>5</v>
      </c>
      <c r="BA3" s="13">
        <f t="shared" si="3"/>
        <v>6</v>
      </c>
      <c r="BB3" s="13">
        <f t="shared" si="3"/>
        <v>5</v>
      </c>
      <c r="BC3" s="13">
        <f t="shared" si="3"/>
        <v>3</v>
      </c>
      <c r="BD3" s="13">
        <f t="shared" si="3"/>
        <v>3</v>
      </c>
      <c r="BE3" s="13">
        <f t="shared" si="3"/>
        <v>5</v>
      </c>
      <c r="BF3" s="13">
        <f t="shared" si="3"/>
        <v>3</v>
      </c>
      <c r="BG3" s="13">
        <f t="shared" si="3"/>
        <v>6</v>
      </c>
      <c r="BH3" s="13">
        <f t="shared" si="3"/>
        <v>8</v>
      </c>
      <c r="BI3" s="13">
        <f t="shared" si="3"/>
        <v>6</v>
      </c>
      <c r="BJ3" s="13">
        <f t="shared" si="3"/>
        <v>11</v>
      </c>
      <c r="BK3" s="13">
        <f t="shared" si="3"/>
        <v>5</v>
      </c>
      <c r="BL3" s="13">
        <f t="shared" si="3"/>
        <v>2</v>
      </c>
      <c r="BM3" s="13">
        <f t="shared" si="3"/>
        <v>3</v>
      </c>
      <c r="BN3" s="13">
        <f t="shared" si="3"/>
        <v>3</v>
      </c>
    </row>
    <row r="4" spans="1:66" ht="15.75" customHeight="1" x14ac:dyDescent="0.4">
      <c r="A4" s="420"/>
      <c r="B4" s="424"/>
      <c r="C4" s="424"/>
      <c r="D4" s="424"/>
      <c r="E4" s="424"/>
      <c r="F4" s="424"/>
      <c r="G4" s="424"/>
      <c r="H4" s="432"/>
      <c r="I4" s="424"/>
      <c r="J4" s="424"/>
      <c r="K4" s="424"/>
      <c r="L4" s="425"/>
      <c r="M4" s="425"/>
      <c r="N4" s="423"/>
      <c r="O4" s="432"/>
      <c r="P4" s="430"/>
      <c r="Q4" s="430"/>
      <c r="R4" s="430"/>
      <c r="S4" s="430"/>
      <c r="T4" s="430"/>
      <c r="U4" s="430"/>
      <c r="V4" s="430"/>
      <c r="W4" s="430"/>
      <c r="X4" s="431"/>
      <c r="Z4" s="303"/>
      <c r="AB4" s="31"/>
      <c r="AC4" s="303"/>
      <c r="AE4" s="31"/>
      <c r="AF4" s="303"/>
      <c r="AH4" s="31"/>
      <c r="AI4" s="303"/>
      <c r="AK4" s="31"/>
      <c r="AL4" s="303"/>
      <c r="AN4" s="31"/>
      <c r="AO4" s="303"/>
      <c r="AQ4" s="31"/>
      <c r="AT4" s="31"/>
      <c r="AV4" s="31"/>
    </row>
    <row r="5" spans="1:66" ht="15.75" customHeight="1" x14ac:dyDescent="0.4">
      <c r="A5" s="420" t="s">
        <v>3</v>
      </c>
      <c r="B5" s="420" t="s">
        <v>2</v>
      </c>
      <c r="C5" s="420" t="s">
        <v>466</v>
      </c>
      <c r="D5" s="420" t="s">
        <v>7</v>
      </c>
      <c r="E5" s="420" t="s">
        <v>8</v>
      </c>
      <c r="F5" s="420" t="s">
        <v>10</v>
      </c>
      <c r="G5" s="420" t="s">
        <v>20</v>
      </c>
      <c r="H5" s="433" t="s">
        <v>11</v>
      </c>
      <c r="I5" s="424" t="s">
        <v>957</v>
      </c>
      <c r="J5" s="424" t="s">
        <v>15</v>
      </c>
      <c r="K5" s="424" t="s">
        <v>14</v>
      </c>
      <c r="L5" s="420" t="s">
        <v>2737</v>
      </c>
      <c r="M5" s="420" t="s">
        <v>26</v>
      </c>
      <c r="N5" s="433" t="s">
        <v>136</v>
      </c>
      <c r="O5" s="433" t="s">
        <v>4</v>
      </c>
      <c r="P5" s="420" t="s">
        <v>2738</v>
      </c>
      <c r="Q5" s="420" t="s">
        <v>2739</v>
      </c>
      <c r="R5" s="420" t="s">
        <v>2740</v>
      </c>
      <c r="S5" s="420" t="s">
        <v>2741</v>
      </c>
      <c r="T5" s="420" t="s">
        <v>2742</v>
      </c>
      <c r="U5" s="420" t="s">
        <v>2743</v>
      </c>
      <c r="V5" s="420" t="s">
        <v>2744</v>
      </c>
      <c r="W5" s="420" t="s">
        <v>2745</v>
      </c>
      <c r="X5" s="431"/>
      <c r="Y5" s="426" t="s">
        <v>466</v>
      </c>
      <c r="Z5" s="434" t="s">
        <v>2738</v>
      </c>
      <c r="AA5" s="420" t="s">
        <v>2746</v>
      </c>
      <c r="AB5" s="435" t="s">
        <v>2747</v>
      </c>
      <c r="AC5" s="434" t="s">
        <v>2739</v>
      </c>
      <c r="AD5" s="420" t="s">
        <v>2748</v>
      </c>
      <c r="AE5" s="435" t="s">
        <v>2749</v>
      </c>
      <c r="AF5" s="434" t="s">
        <v>2740</v>
      </c>
      <c r="AG5" s="420" t="s">
        <v>2750</v>
      </c>
      <c r="AH5" s="435" t="s">
        <v>2751</v>
      </c>
      <c r="AI5" s="434" t="s">
        <v>2741</v>
      </c>
      <c r="AJ5" s="420" t="s">
        <v>2752</v>
      </c>
      <c r="AK5" s="435" t="s">
        <v>2753</v>
      </c>
      <c r="AL5" s="434" t="s">
        <v>2742</v>
      </c>
      <c r="AM5" s="420" t="s">
        <v>2754</v>
      </c>
      <c r="AN5" s="435" t="s">
        <v>2755</v>
      </c>
      <c r="AO5" s="434" t="s">
        <v>2743</v>
      </c>
      <c r="AP5" s="420" t="s">
        <v>2756</v>
      </c>
      <c r="AQ5" s="435" t="s">
        <v>2757</v>
      </c>
      <c r="AR5" s="420" t="s">
        <v>2744</v>
      </c>
      <c r="AS5" s="420" t="s">
        <v>2758</v>
      </c>
      <c r="AT5" s="435" t="s">
        <v>2759</v>
      </c>
      <c r="AU5" s="420" t="s">
        <v>2745</v>
      </c>
      <c r="AV5" s="435" t="s">
        <v>2760</v>
      </c>
      <c r="AW5" s="420" t="s">
        <v>553</v>
      </c>
      <c r="AX5" s="420" t="s">
        <v>489</v>
      </c>
      <c r="AY5" s="420" t="s">
        <v>492</v>
      </c>
      <c r="AZ5" s="420" t="s">
        <v>502</v>
      </c>
      <c r="BA5" s="420" t="s">
        <v>77</v>
      </c>
      <c r="BB5" s="420" t="s">
        <v>84</v>
      </c>
      <c r="BC5" s="420" t="s">
        <v>474</v>
      </c>
      <c r="BD5" s="420" t="s">
        <v>523</v>
      </c>
      <c r="BE5" s="420" t="s">
        <v>484</v>
      </c>
      <c r="BF5" s="420" t="s">
        <v>480</v>
      </c>
      <c r="BG5" s="420" t="s">
        <v>509</v>
      </c>
      <c r="BH5" s="420" t="s">
        <v>577</v>
      </c>
      <c r="BI5" s="420" t="s">
        <v>580</v>
      </c>
      <c r="BJ5" s="420" t="s">
        <v>583</v>
      </c>
      <c r="BK5" s="420" t="s">
        <v>586</v>
      </c>
      <c r="BL5" s="420" t="s">
        <v>589</v>
      </c>
      <c r="BM5" s="420" t="s">
        <v>595</v>
      </c>
      <c r="BN5" s="420" t="s">
        <v>477</v>
      </c>
    </row>
    <row r="6" spans="1:66" ht="15.75" customHeight="1" x14ac:dyDescent="0.4">
      <c r="A6" s="436" t="s">
        <v>471</v>
      </c>
      <c r="B6" s="436"/>
      <c r="C6" s="436"/>
      <c r="D6" s="436"/>
      <c r="E6" s="436">
        <v>24</v>
      </c>
      <c r="F6" s="436">
        <v>36</v>
      </c>
      <c r="G6" s="436" t="s">
        <v>119</v>
      </c>
      <c r="H6" s="437"/>
      <c r="I6" s="438"/>
      <c r="J6" s="438"/>
      <c r="K6" s="438"/>
      <c r="L6" s="439"/>
      <c r="M6" s="439"/>
      <c r="N6" s="440"/>
      <c r="O6" s="440">
        <v>1755</v>
      </c>
      <c r="P6" s="430"/>
      <c r="Q6" s="430"/>
      <c r="R6" s="430"/>
      <c r="S6" s="430"/>
      <c r="T6" s="430"/>
      <c r="U6" s="430"/>
      <c r="V6" s="430"/>
      <c r="W6" s="430"/>
      <c r="X6" s="431"/>
      <c r="Y6" s="441">
        <v>44287</v>
      </c>
      <c r="Z6" s="442">
        <f t="shared" ref="Z6:Z24" ca="1" si="4">SUMIF(C:P,Y6,P:P)</f>
        <v>52.5</v>
      </c>
      <c r="AA6" s="431">
        <f t="shared" ref="AA6:AA24" ca="1" si="5">ROUNDUP(Z6/12,0)</f>
        <v>5</v>
      </c>
      <c r="AB6" s="443">
        <f t="shared" ref="AB6:AB24" ca="1" si="6">ROUNDUP(AA6/9.5,0)</f>
        <v>1</v>
      </c>
      <c r="AC6" s="442">
        <f t="shared" ref="AC6:AC24" ca="1" si="7">SUMIF(C:Q,Y6,Q:Q)</f>
        <v>62.5</v>
      </c>
      <c r="AD6" s="431">
        <f t="shared" ref="AD6:AD24" ca="1" si="8">ROUNDUP(AC6/12,0)</f>
        <v>6</v>
      </c>
      <c r="AE6" s="443">
        <f t="shared" ref="AE6:AE24" ca="1" si="9">ROUNDUP(AD6/9.5,0)</f>
        <v>1</v>
      </c>
      <c r="AF6" s="442">
        <f t="shared" ref="AF6:AF24" ca="1" si="10">SUMIF(C:R,Y6,R:R)</f>
        <v>730</v>
      </c>
      <c r="AG6" s="431">
        <f t="shared" ref="AG6:AG24" ca="1" si="11">ROUNDUP(AF6/12,0)</f>
        <v>61</v>
      </c>
      <c r="AH6" s="443">
        <f t="shared" ref="AH6:AH24" ca="1" si="12">ROUNDUP(AG6/9.5,0)</f>
        <v>7</v>
      </c>
      <c r="AI6" s="442">
        <f t="shared" ref="AI6:AI24" ca="1" si="13">SUMIF(C:S,Y6,S:S)</f>
        <v>0</v>
      </c>
      <c r="AJ6" s="431">
        <f t="shared" ref="AJ6:AJ24" ca="1" si="14">ROUNDUP(AI6/12,0)</f>
        <v>0</v>
      </c>
      <c r="AK6" s="443">
        <f t="shared" ref="AK6:AK24" ca="1" si="15">ROUNDUP(AJ6/9.5,0)</f>
        <v>0</v>
      </c>
      <c r="AL6" s="442">
        <f t="shared" ref="AL6:AL24" ca="1" si="16">SUMIF(C:T,Y6,T:T)</f>
        <v>0</v>
      </c>
      <c r="AM6" s="431">
        <f t="shared" ref="AM6:AM24" ca="1" si="17">ROUNDUP(AL6/12,0)</f>
        <v>0</v>
      </c>
      <c r="AN6" s="443">
        <f t="shared" ref="AN6:AN24" ca="1" si="18">ROUNDUP(AM6/9.5,0)</f>
        <v>0</v>
      </c>
      <c r="AO6" s="442">
        <f t="shared" ref="AO6:AO24" ca="1" si="19">SUMIF(C:U,Y6,U:U)</f>
        <v>0</v>
      </c>
      <c r="AP6" s="431">
        <f t="shared" ref="AP6:AP24" ca="1" si="20">ROUNDUP(AO6/12,0)</f>
        <v>0</v>
      </c>
      <c r="AQ6" s="443">
        <f t="shared" ref="AQ6:AQ24" ca="1" si="21">ROUNDUP(AP6/9.5,0)</f>
        <v>0</v>
      </c>
      <c r="AR6" s="431">
        <f t="shared" ref="AR6:AR24" ca="1" si="22">SUMIF(C:V,Y6,V:V)</f>
        <v>0</v>
      </c>
      <c r="AS6" s="431">
        <f t="shared" ref="AS6:AS24" ca="1" si="23">ROUNDUP(AR6/12,0)</f>
        <v>0</v>
      </c>
      <c r="AT6" s="443">
        <f t="shared" ref="AT6:AT24" ca="1" si="24">ROUNDUP(AS6/9.5,0)</f>
        <v>0</v>
      </c>
      <c r="AU6" s="431"/>
      <c r="AV6" s="443"/>
      <c r="AW6" s="431"/>
      <c r="AX6" s="431"/>
      <c r="AY6" s="431"/>
      <c r="AZ6" s="431"/>
      <c r="BA6" s="431"/>
      <c r="BB6" s="431"/>
      <c r="BC6" s="431"/>
      <c r="BD6" s="431"/>
      <c r="BE6" s="431"/>
      <c r="BF6" s="431"/>
      <c r="BG6" s="431"/>
      <c r="BH6" s="431"/>
      <c r="BI6" s="431"/>
      <c r="BJ6" s="431"/>
      <c r="BK6" s="431"/>
      <c r="BL6" s="431"/>
      <c r="BM6" s="431"/>
      <c r="BN6" s="431"/>
    </row>
    <row r="7" spans="1:66" ht="15.75" customHeight="1" x14ac:dyDescent="0.4">
      <c r="A7" s="436" t="s">
        <v>472</v>
      </c>
      <c r="B7" s="436"/>
      <c r="C7" s="436"/>
      <c r="D7" s="436"/>
      <c r="E7" s="436">
        <v>29</v>
      </c>
      <c r="F7" s="436">
        <v>48</v>
      </c>
      <c r="G7" s="436" t="s">
        <v>159</v>
      </c>
      <c r="H7" s="437"/>
      <c r="I7" s="438"/>
      <c r="J7" s="438"/>
      <c r="K7" s="438"/>
      <c r="L7" s="439"/>
      <c r="M7" s="439"/>
      <c r="N7" s="440"/>
      <c r="O7" s="440">
        <v>3375</v>
      </c>
      <c r="P7" s="430"/>
      <c r="Q7" s="430"/>
      <c r="R7" s="430"/>
      <c r="S7" s="430"/>
      <c r="T7" s="430"/>
      <c r="U7" s="430"/>
      <c r="V7" s="430"/>
      <c r="W7" s="430"/>
      <c r="X7" s="431"/>
      <c r="Y7" s="441">
        <v>44294</v>
      </c>
      <c r="Z7" s="442">
        <f t="shared" ca="1" si="4"/>
        <v>325</v>
      </c>
      <c r="AA7" s="431">
        <f t="shared" ca="1" si="5"/>
        <v>28</v>
      </c>
      <c r="AB7" s="443">
        <f t="shared" ca="1" si="6"/>
        <v>3</v>
      </c>
      <c r="AC7" s="442">
        <f t="shared" ca="1" si="7"/>
        <v>300</v>
      </c>
      <c r="AD7" s="431">
        <f t="shared" ca="1" si="8"/>
        <v>25</v>
      </c>
      <c r="AE7" s="443">
        <f t="shared" ca="1" si="9"/>
        <v>3</v>
      </c>
      <c r="AF7" s="442">
        <f t="shared" ca="1" si="10"/>
        <v>1845</v>
      </c>
      <c r="AG7" s="431">
        <f t="shared" ca="1" si="11"/>
        <v>154</v>
      </c>
      <c r="AH7" s="443">
        <f t="shared" ca="1" si="12"/>
        <v>17</v>
      </c>
      <c r="AI7" s="442">
        <f t="shared" ca="1" si="13"/>
        <v>170</v>
      </c>
      <c r="AJ7" s="431">
        <f t="shared" ca="1" si="14"/>
        <v>15</v>
      </c>
      <c r="AK7" s="443">
        <f t="shared" ca="1" si="15"/>
        <v>2</v>
      </c>
      <c r="AL7" s="442">
        <f t="shared" ca="1" si="16"/>
        <v>0</v>
      </c>
      <c r="AM7" s="431">
        <f t="shared" ca="1" si="17"/>
        <v>0</v>
      </c>
      <c r="AN7" s="443">
        <f t="shared" ca="1" si="18"/>
        <v>0</v>
      </c>
      <c r="AO7" s="442">
        <f t="shared" ca="1" si="19"/>
        <v>0</v>
      </c>
      <c r="AP7" s="431">
        <f t="shared" ca="1" si="20"/>
        <v>0</v>
      </c>
      <c r="AQ7" s="443">
        <f t="shared" ca="1" si="21"/>
        <v>0</v>
      </c>
      <c r="AR7" s="431">
        <f t="shared" ca="1" si="22"/>
        <v>0</v>
      </c>
      <c r="AS7" s="431">
        <f t="shared" ca="1" si="23"/>
        <v>0</v>
      </c>
      <c r="AT7" s="443">
        <f t="shared" ca="1" si="24"/>
        <v>0</v>
      </c>
      <c r="AU7" s="431"/>
      <c r="AV7" s="443"/>
      <c r="AW7" s="431"/>
      <c r="AX7" s="431"/>
      <c r="AY7" s="431"/>
      <c r="AZ7" s="431"/>
      <c r="BA7" s="431"/>
      <c r="BB7" s="431"/>
      <c r="BC7" s="431"/>
      <c r="BD7" s="431"/>
      <c r="BE7" s="431"/>
      <c r="BF7" s="431"/>
      <c r="BG7" s="431"/>
      <c r="BH7" s="431"/>
      <c r="BI7" s="431"/>
      <c r="BJ7" s="431"/>
      <c r="BK7" s="431"/>
      <c r="BL7" s="431"/>
      <c r="BM7" s="431"/>
      <c r="BN7" s="431"/>
    </row>
    <row r="8" spans="1:66" ht="15.75" customHeight="1" x14ac:dyDescent="0.4">
      <c r="A8" s="436" t="s">
        <v>473</v>
      </c>
      <c r="B8" s="436"/>
      <c r="C8" s="436"/>
      <c r="D8" s="436"/>
      <c r="E8" s="436">
        <v>22</v>
      </c>
      <c r="F8" s="436">
        <v>36</v>
      </c>
      <c r="G8" s="436" t="s">
        <v>113</v>
      </c>
      <c r="H8" s="437"/>
      <c r="I8" s="438"/>
      <c r="J8" s="438"/>
      <c r="K8" s="438"/>
      <c r="L8" s="439"/>
      <c r="M8" s="439"/>
      <c r="N8" s="440"/>
      <c r="O8" s="440">
        <f t="shared" ref="O8:O9" si="25">3374.15/2</f>
        <v>1687.075</v>
      </c>
      <c r="P8" s="430"/>
      <c r="Q8" s="430"/>
      <c r="R8" s="430"/>
      <c r="S8" s="430"/>
      <c r="T8" s="430"/>
      <c r="U8" s="430"/>
      <c r="V8" s="430"/>
      <c r="W8" s="430"/>
      <c r="X8" s="431"/>
      <c r="Y8" s="441">
        <v>44301</v>
      </c>
      <c r="Z8" s="442">
        <f t="shared" ca="1" si="4"/>
        <v>747.5</v>
      </c>
      <c r="AA8" s="431">
        <f t="shared" ca="1" si="5"/>
        <v>63</v>
      </c>
      <c r="AB8" s="443">
        <f t="shared" ca="1" si="6"/>
        <v>7</v>
      </c>
      <c r="AC8" s="442">
        <f t="shared" ca="1" si="7"/>
        <v>735</v>
      </c>
      <c r="AD8" s="431">
        <f t="shared" ca="1" si="8"/>
        <v>62</v>
      </c>
      <c r="AE8" s="443">
        <f t="shared" ca="1" si="9"/>
        <v>7</v>
      </c>
      <c r="AF8" s="442">
        <f t="shared" ca="1" si="10"/>
        <v>315</v>
      </c>
      <c r="AG8" s="431">
        <f t="shared" ca="1" si="11"/>
        <v>27</v>
      </c>
      <c r="AH8" s="443">
        <f t="shared" ca="1" si="12"/>
        <v>3</v>
      </c>
      <c r="AI8" s="442">
        <f t="shared" ca="1" si="13"/>
        <v>0</v>
      </c>
      <c r="AJ8" s="431">
        <f t="shared" ca="1" si="14"/>
        <v>0</v>
      </c>
      <c r="AK8" s="443">
        <f t="shared" ca="1" si="15"/>
        <v>0</v>
      </c>
      <c r="AL8" s="442">
        <f t="shared" ca="1" si="16"/>
        <v>0</v>
      </c>
      <c r="AM8" s="431">
        <f t="shared" ca="1" si="17"/>
        <v>0</v>
      </c>
      <c r="AN8" s="443">
        <f t="shared" ca="1" si="18"/>
        <v>0</v>
      </c>
      <c r="AO8" s="442">
        <f t="shared" ca="1" si="19"/>
        <v>205</v>
      </c>
      <c r="AP8" s="431">
        <f t="shared" ca="1" si="20"/>
        <v>18</v>
      </c>
      <c r="AQ8" s="443">
        <f t="shared" ca="1" si="21"/>
        <v>2</v>
      </c>
      <c r="AR8" s="431">
        <f t="shared" ca="1" si="22"/>
        <v>0</v>
      </c>
      <c r="AS8" s="431">
        <f t="shared" ca="1" si="23"/>
        <v>0</v>
      </c>
      <c r="AT8" s="443">
        <f t="shared" ca="1" si="24"/>
        <v>0</v>
      </c>
      <c r="AU8" s="431"/>
      <c r="AV8" s="443"/>
      <c r="AW8" s="431"/>
      <c r="AX8" s="431"/>
      <c r="AY8" s="431"/>
      <c r="AZ8" s="431"/>
      <c r="BA8" s="431"/>
      <c r="BB8" s="431"/>
      <c r="BC8" s="431"/>
      <c r="BD8" s="431"/>
      <c r="BE8" s="431"/>
      <c r="BF8" s="431"/>
      <c r="BG8" s="431"/>
      <c r="BH8" s="431"/>
      <c r="BI8" s="431"/>
      <c r="BJ8" s="431"/>
      <c r="BK8" s="431"/>
      <c r="BL8" s="431"/>
      <c r="BM8" s="431"/>
      <c r="BN8" s="431"/>
    </row>
    <row r="9" spans="1:66" ht="15.75" customHeight="1" x14ac:dyDescent="0.4">
      <c r="A9" s="436" t="s">
        <v>249</v>
      </c>
      <c r="B9" s="436"/>
      <c r="C9" s="436"/>
      <c r="D9" s="436"/>
      <c r="E9" s="436">
        <v>22</v>
      </c>
      <c r="F9" s="436">
        <v>32</v>
      </c>
      <c r="G9" s="436" t="s">
        <v>234</v>
      </c>
      <c r="H9" s="437"/>
      <c r="I9" s="438"/>
      <c r="J9" s="438"/>
      <c r="K9" s="438" t="s">
        <v>474</v>
      </c>
      <c r="L9" s="439"/>
      <c r="M9" s="439"/>
      <c r="N9" s="440"/>
      <c r="O9" s="440">
        <f t="shared" si="25"/>
        <v>1687.075</v>
      </c>
      <c r="P9" s="430"/>
      <c r="Q9" s="430"/>
      <c r="R9" s="430"/>
      <c r="S9" s="430"/>
      <c r="T9" s="430"/>
      <c r="U9" s="430"/>
      <c r="V9" s="430"/>
      <c r="W9" s="430"/>
      <c r="X9" s="431"/>
      <c r="Y9" s="441">
        <v>44308</v>
      </c>
      <c r="Z9" s="442">
        <f t="shared" ca="1" si="4"/>
        <v>1442.5</v>
      </c>
      <c r="AA9" s="431">
        <f t="shared" ca="1" si="5"/>
        <v>121</v>
      </c>
      <c r="AB9" s="443">
        <f t="shared" ca="1" si="6"/>
        <v>13</v>
      </c>
      <c r="AC9" s="442">
        <f t="shared" ca="1" si="7"/>
        <v>1412.5</v>
      </c>
      <c r="AD9" s="431">
        <f t="shared" ca="1" si="8"/>
        <v>118</v>
      </c>
      <c r="AE9" s="443">
        <f t="shared" ca="1" si="9"/>
        <v>13</v>
      </c>
      <c r="AF9" s="442">
        <f t="shared" ca="1" si="10"/>
        <v>0</v>
      </c>
      <c r="AG9" s="431">
        <f t="shared" ca="1" si="11"/>
        <v>0</v>
      </c>
      <c r="AH9" s="443">
        <f t="shared" ca="1" si="12"/>
        <v>0</v>
      </c>
      <c r="AI9" s="442">
        <f t="shared" ca="1" si="13"/>
        <v>0</v>
      </c>
      <c r="AJ9" s="431">
        <f t="shared" ca="1" si="14"/>
        <v>0</v>
      </c>
      <c r="AK9" s="443">
        <f t="shared" ca="1" si="15"/>
        <v>0</v>
      </c>
      <c r="AL9" s="442">
        <f t="shared" ca="1" si="16"/>
        <v>0</v>
      </c>
      <c r="AM9" s="431">
        <f t="shared" ca="1" si="17"/>
        <v>0</v>
      </c>
      <c r="AN9" s="443">
        <f t="shared" ca="1" si="18"/>
        <v>0</v>
      </c>
      <c r="AO9" s="442">
        <f t="shared" ca="1" si="19"/>
        <v>0</v>
      </c>
      <c r="AP9" s="431">
        <f t="shared" ca="1" si="20"/>
        <v>0</v>
      </c>
      <c r="AQ9" s="443">
        <f t="shared" ca="1" si="21"/>
        <v>0</v>
      </c>
      <c r="AR9" s="431">
        <f t="shared" ca="1" si="22"/>
        <v>0</v>
      </c>
      <c r="AS9" s="431">
        <f t="shared" ca="1" si="23"/>
        <v>0</v>
      </c>
      <c r="AT9" s="443">
        <f t="shared" ca="1" si="24"/>
        <v>0</v>
      </c>
      <c r="AU9" s="431"/>
      <c r="AV9" s="443"/>
      <c r="AW9" s="431"/>
      <c r="AX9" s="431"/>
      <c r="AY9" s="431"/>
      <c r="AZ9" s="431"/>
      <c r="BA9" s="431"/>
      <c r="BB9" s="431"/>
      <c r="BC9" s="431"/>
      <c r="BD9" s="431"/>
      <c r="BE9" s="431"/>
      <c r="BF9" s="431"/>
      <c r="BG9" s="431"/>
      <c r="BH9" s="431"/>
      <c r="BI9" s="431"/>
      <c r="BJ9" s="431"/>
      <c r="BK9" s="431"/>
      <c r="BL9" s="431"/>
      <c r="BM9" s="431"/>
      <c r="BN9" s="431"/>
    </row>
    <row r="10" spans="1:66" ht="15.75" customHeight="1" x14ac:dyDescent="0.4">
      <c r="A10" s="436" t="s">
        <v>476</v>
      </c>
      <c r="B10" s="436"/>
      <c r="C10" s="436"/>
      <c r="D10" s="436"/>
      <c r="E10" s="436">
        <v>36</v>
      </c>
      <c r="F10" s="436">
        <v>48</v>
      </c>
      <c r="G10" s="436" t="s">
        <v>124</v>
      </c>
      <c r="H10" s="437"/>
      <c r="I10" s="438"/>
      <c r="J10" s="438"/>
      <c r="K10" s="438" t="s">
        <v>477</v>
      </c>
      <c r="L10" s="439"/>
      <c r="M10" s="439"/>
      <c r="N10" s="440"/>
      <c r="O10" s="440">
        <v>3738.5</v>
      </c>
      <c r="P10" s="430"/>
      <c r="Q10" s="430"/>
      <c r="R10" s="430"/>
      <c r="S10" s="430"/>
      <c r="T10" s="430"/>
      <c r="U10" s="430"/>
      <c r="V10" s="430"/>
      <c r="W10" s="430"/>
      <c r="X10" s="431"/>
      <c r="Y10" s="441">
        <v>44315</v>
      </c>
      <c r="Z10" s="442">
        <f t="shared" ca="1" si="4"/>
        <v>472.5</v>
      </c>
      <c r="AA10" s="431">
        <f t="shared" ca="1" si="5"/>
        <v>40</v>
      </c>
      <c r="AB10" s="443">
        <f t="shared" ca="1" si="6"/>
        <v>5</v>
      </c>
      <c r="AC10" s="442">
        <f t="shared" ca="1" si="7"/>
        <v>380</v>
      </c>
      <c r="AD10" s="431">
        <f t="shared" ca="1" si="8"/>
        <v>32</v>
      </c>
      <c r="AE10" s="443">
        <f t="shared" ca="1" si="9"/>
        <v>4</v>
      </c>
      <c r="AF10" s="442">
        <f t="shared" ca="1" si="10"/>
        <v>0</v>
      </c>
      <c r="AG10" s="431">
        <f t="shared" ca="1" si="11"/>
        <v>0</v>
      </c>
      <c r="AH10" s="443">
        <f t="shared" ca="1" si="12"/>
        <v>0</v>
      </c>
      <c r="AI10" s="442">
        <f t="shared" ca="1" si="13"/>
        <v>0</v>
      </c>
      <c r="AJ10" s="431">
        <f t="shared" ca="1" si="14"/>
        <v>0</v>
      </c>
      <c r="AK10" s="443">
        <f t="shared" ca="1" si="15"/>
        <v>0</v>
      </c>
      <c r="AL10" s="442">
        <f t="shared" ca="1" si="16"/>
        <v>0</v>
      </c>
      <c r="AM10" s="431">
        <f t="shared" ca="1" si="17"/>
        <v>0</v>
      </c>
      <c r="AN10" s="443">
        <f t="shared" ca="1" si="18"/>
        <v>0</v>
      </c>
      <c r="AO10" s="442">
        <f t="shared" ca="1" si="19"/>
        <v>0</v>
      </c>
      <c r="AP10" s="431">
        <f t="shared" ca="1" si="20"/>
        <v>0</v>
      </c>
      <c r="AQ10" s="443">
        <f t="shared" ca="1" si="21"/>
        <v>0</v>
      </c>
      <c r="AR10" s="431">
        <f t="shared" ca="1" si="22"/>
        <v>0</v>
      </c>
      <c r="AS10" s="431">
        <f t="shared" ca="1" si="23"/>
        <v>0</v>
      </c>
      <c r="AT10" s="443">
        <f t="shared" ca="1" si="24"/>
        <v>0</v>
      </c>
      <c r="AU10" s="431"/>
      <c r="AV10" s="443"/>
      <c r="AW10" s="431">
        <f t="shared" ref="AW10:AW24" si="26">COUNTIF(L:L,Y10&amp;"S-11251")</f>
        <v>0</v>
      </c>
      <c r="AX10" s="431">
        <f t="shared" ref="AX10:AX24" si="27">COUNTIF(L:L,Y10&amp;"S-11305")</f>
        <v>0</v>
      </c>
      <c r="AY10" s="431">
        <f t="shared" ref="AY10:AY24" si="28">COUNTIF(L:L,Y10&amp;"S-11306")</f>
        <v>0</v>
      </c>
      <c r="AZ10" s="431">
        <f t="shared" ref="AZ10:AZ24" si="29">COUNTIF(L:L,Y10&amp;"S-13272")</f>
        <v>0</v>
      </c>
      <c r="BA10" s="431">
        <f t="shared" ref="BA10:BA24" si="30">COUNTIF(L:L,Y10&amp;"S-14048")</f>
        <v>0</v>
      </c>
      <c r="BB10" s="431">
        <f t="shared" ref="BB10:BB24" si="31">COUNTIF(L:L,Y10&amp;"S-14049")</f>
        <v>0</v>
      </c>
      <c r="BC10" s="431">
        <f t="shared" ref="BC10:BC24" si="32">COUNTIF(L:L,Y10&amp;"S-15176")</f>
        <v>1</v>
      </c>
      <c r="BD10" s="431">
        <f t="shared" ref="BD10:BD24" si="33">COUNTIF(L:L,Y10&amp;"S-16375")</f>
        <v>0</v>
      </c>
      <c r="BE10" s="431">
        <f t="shared" ref="BE10:BE24" si="34">COUNTIF(L:L,Y10&amp;"S-16377")</f>
        <v>0</v>
      </c>
      <c r="BF10" s="431">
        <f t="shared" ref="BF10:BF24" si="35">COUNTIF(L:L,Y10&amp;"S-17584")</f>
        <v>0</v>
      </c>
      <c r="BG10" s="431">
        <f t="shared" ref="BG10:BG24" si="36">COUNTIF(L:L,Y10&amp;"S-17587")</f>
        <v>2</v>
      </c>
      <c r="BH10" s="431">
        <f t="shared" ref="BH10:BH24" si="37">COUNTIF(L:L,Y10&amp;"S-4553")</f>
        <v>0</v>
      </c>
      <c r="BI10" s="431">
        <f t="shared" ref="BI10:BI24" si="38">COUNTIF(L:L,Y10&amp;"S-4554")</f>
        <v>0</v>
      </c>
      <c r="BJ10" s="431">
        <f t="shared" ref="BJ10:BJ24" si="39">COUNTIF(L:L,Y10&amp;"S-4679")</f>
        <v>0</v>
      </c>
      <c r="BK10" s="431">
        <f t="shared" ref="BK10:BK24" si="40">COUNTIF(L:L,Y10&amp;"S-4929")</f>
        <v>0</v>
      </c>
      <c r="BL10" s="431">
        <f t="shared" ref="BL10:BL24" si="41">COUNTIF(L:L,Y10&amp;"S-4947")</f>
        <v>0</v>
      </c>
      <c r="BM10" s="431">
        <f t="shared" ref="BM10:BM24" si="42">COUNTIF(L:L,Y10&amp;"S-6241")</f>
        <v>0</v>
      </c>
      <c r="BN10" s="431">
        <f t="shared" ref="BN10:BN24" si="43">COUNTIF(L:L,Y10&amp;"S-9920")</f>
        <v>0</v>
      </c>
    </row>
    <row r="11" spans="1:66" ht="15.75" customHeight="1" x14ac:dyDescent="0.4">
      <c r="A11" s="436" t="s">
        <v>479</v>
      </c>
      <c r="B11" s="436"/>
      <c r="C11" s="436"/>
      <c r="D11" s="436"/>
      <c r="E11" s="436">
        <v>22</v>
      </c>
      <c r="F11" s="436">
        <v>36</v>
      </c>
      <c r="G11" s="436" t="s">
        <v>113</v>
      </c>
      <c r="H11" s="437"/>
      <c r="I11" s="438"/>
      <c r="J11" s="438"/>
      <c r="K11" s="438" t="s">
        <v>480</v>
      </c>
      <c r="L11" s="439"/>
      <c r="M11" s="439"/>
      <c r="N11" s="440"/>
      <c r="O11" s="440">
        <v>1670</v>
      </c>
      <c r="P11" s="430"/>
      <c r="Q11" s="430"/>
      <c r="R11" s="430"/>
      <c r="S11" s="430"/>
      <c r="T11" s="430"/>
      <c r="U11" s="430"/>
      <c r="V11" s="430"/>
      <c r="W11" s="430"/>
      <c r="X11" s="431"/>
      <c r="Y11" s="441">
        <v>44322</v>
      </c>
      <c r="Z11" s="442">
        <f t="shared" ca="1" si="4"/>
        <v>0</v>
      </c>
      <c r="AA11" s="431">
        <f t="shared" ca="1" si="5"/>
        <v>0</v>
      </c>
      <c r="AB11" s="443">
        <f t="shared" ca="1" si="6"/>
        <v>0</v>
      </c>
      <c r="AC11" s="442">
        <f t="shared" ca="1" si="7"/>
        <v>0</v>
      </c>
      <c r="AD11" s="431">
        <f t="shared" ca="1" si="8"/>
        <v>0</v>
      </c>
      <c r="AE11" s="443">
        <f t="shared" ca="1" si="9"/>
        <v>0</v>
      </c>
      <c r="AF11" s="442">
        <f t="shared" ca="1" si="10"/>
        <v>820</v>
      </c>
      <c r="AG11" s="431">
        <f t="shared" ca="1" si="11"/>
        <v>69</v>
      </c>
      <c r="AH11" s="443">
        <f t="shared" ca="1" si="12"/>
        <v>8</v>
      </c>
      <c r="AI11" s="442">
        <f t="shared" ca="1" si="13"/>
        <v>0</v>
      </c>
      <c r="AJ11" s="431">
        <f t="shared" ca="1" si="14"/>
        <v>0</v>
      </c>
      <c r="AK11" s="443">
        <f t="shared" ca="1" si="15"/>
        <v>0</v>
      </c>
      <c r="AL11" s="442">
        <f t="shared" ca="1" si="16"/>
        <v>0</v>
      </c>
      <c r="AM11" s="431">
        <f t="shared" ca="1" si="17"/>
        <v>0</v>
      </c>
      <c r="AN11" s="443">
        <f t="shared" ca="1" si="18"/>
        <v>0</v>
      </c>
      <c r="AO11" s="442">
        <f t="shared" ca="1" si="19"/>
        <v>0</v>
      </c>
      <c r="AP11" s="431">
        <f t="shared" ca="1" si="20"/>
        <v>0</v>
      </c>
      <c r="AQ11" s="443">
        <f t="shared" ca="1" si="21"/>
        <v>0</v>
      </c>
      <c r="AR11" s="431">
        <f t="shared" ca="1" si="22"/>
        <v>0</v>
      </c>
      <c r="AS11" s="431">
        <f t="shared" ca="1" si="23"/>
        <v>0</v>
      </c>
      <c r="AT11" s="443">
        <f t="shared" ca="1" si="24"/>
        <v>0</v>
      </c>
      <c r="AU11" s="431"/>
      <c r="AV11" s="443"/>
      <c r="AW11" s="431">
        <f t="shared" si="26"/>
        <v>0</v>
      </c>
      <c r="AX11" s="431">
        <f t="shared" si="27"/>
        <v>1</v>
      </c>
      <c r="AY11" s="431">
        <f t="shared" si="28"/>
        <v>1</v>
      </c>
      <c r="AZ11" s="431">
        <f t="shared" si="29"/>
        <v>0</v>
      </c>
      <c r="BA11" s="431">
        <f t="shared" si="30"/>
        <v>0</v>
      </c>
      <c r="BB11" s="431">
        <f t="shared" si="31"/>
        <v>0</v>
      </c>
      <c r="BC11" s="431">
        <f t="shared" si="32"/>
        <v>0</v>
      </c>
      <c r="BD11" s="431">
        <f t="shared" si="33"/>
        <v>0</v>
      </c>
      <c r="BE11" s="431">
        <f t="shared" si="34"/>
        <v>1</v>
      </c>
      <c r="BF11" s="431">
        <f t="shared" si="35"/>
        <v>0</v>
      </c>
      <c r="BG11" s="431">
        <f t="shared" si="36"/>
        <v>0</v>
      </c>
      <c r="BH11" s="431">
        <f t="shared" si="37"/>
        <v>0</v>
      </c>
      <c r="BI11" s="431">
        <f t="shared" si="38"/>
        <v>0</v>
      </c>
      <c r="BJ11" s="431">
        <f t="shared" si="39"/>
        <v>0</v>
      </c>
      <c r="BK11" s="431">
        <f t="shared" si="40"/>
        <v>0</v>
      </c>
      <c r="BL11" s="431">
        <f t="shared" si="41"/>
        <v>0</v>
      </c>
      <c r="BM11" s="431">
        <f t="shared" si="42"/>
        <v>0</v>
      </c>
      <c r="BN11" s="431">
        <f t="shared" si="43"/>
        <v>1</v>
      </c>
    </row>
    <row r="12" spans="1:66" ht="15.75" customHeight="1" x14ac:dyDescent="0.4">
      <c r="A12" s="436" t="s">
        <v>482</v>
      </c>
      <c r="B12" s="436"/>
      <c r="C12" s="436"/>
      <c r="D12" s="436"/>
      <c r="E12" s="436">
        <v>28</v>
      </c>
      <c r="F12" s="436">
        <v>42</v>
      </c>
      <c r="G12" s="436" t="s">
        <v>137</v>
      </c>
      <c r="H12" s="437"/>
      <c r="I12" s="438" t="s">
        <v>360</v>
      </c>
      <c r="J12" s="438"/>
      <c r="K12" s="438" t="s">
        <v>477</v>
      </c>
      <c r="L12" s="439"/>
      <c r="M12" s="439"/>
      <c r="N12" s="440"/>
      <c r="O12" s="440">
        <v>2380</v>
      </c>
      <c r="P12" s="430"/>
      <c r="Q12" s="430"/>
      <c r="R12" s="430"/>
      <c r="S12" s="430"/>
      <c r="T12" s="430"/>
      <c r="U12" s="430"/>
      <c r="V12" s="430"/>
      <c r="W12" s="430"/>
      <c r="X12" s="431"/>
      <c r="Y12" s="441">
        <v>44329</v>
      </c>
      <c r="Z12" s="442">
        <f t="shared" ca="1" si="4"/>
        <v>437.5</v>
      </c>
      <c r="AA12" s="431">
        <f t="shared" ca="1" si="5"/>
        <v>37</v>
      </c>
      <c r="AB12" s="443">
        <f t="shared" ca="1" si="6"/>
        <v>4</v>
      </c>
      <c r="AC12" s="442">
        <f t="shared" ca="1" si="7"/>
        <v>340</v>
      </c>
      <c r="AD12" s="431">
        <f t="shared" ca="1" si="8"/>
        <v>29</v>
      </c>
      <c r="AE12" s="443">
        <f t="shared" ca="1" si="9"/>
        <v>4</v>
      </c>
      <c r="AF12" s="442">
        <f t="shared" ca="1" si="10"/>
        <v>410</v>
      </c>
      <c r="AG12" s="431">
        <f t="shared" ca="1" si="11"/>
        <v>35</v>
      </c>
      <c r="AH12" s="443">
        <f t="shared" ca="1" si="12"/>
        <v>4</v>
      </c>
      <c r="AI12" s="442">
        <f t="shared" ca="1" si="13"/>
        <v>0</v>
      </c>
      <c r="AJ12" s="431">
        <f t="shared" ca="1" si="14"/>
        <v>0</v>
      </c>
      <c r="AK12" s="443">
        <f t="shared" ca="1" si="15"/>
        <v>0</v>
      </c>
      <c r="AL12" s="442">
        <f t="shared" ca="1" si="16"/>
        <v>0</v>
      </c>
      <c r="AM12" s="431">
        <f t="shared" ca="1" si="17"/>
        <v>0</v>
      </c>
      <c r="AN12" s="443">
        <f t="shared" ca="1" si="18"/>
        <v>0</v>
      </c>
      <c r="AO12" s="442">
        <f t="shared" ca="1" si="19"/>
        <v>0</v>
      </c>
      <c r="AP12" s="431">
        <f t="shared" ca="1" si="20"/>
        <v>0</v>
      </c>
      <c r="AQ12" s="443">
        <f t="shared" ca="1" si="21"/>
        <v>0</v>
      </c>
      <c r="AR12" s="431">
        <f t="shared" ca="1" si="22"/>
        <v>0</v>
      </c>
      <c r="AS12" s="431">
        <f t="shared" ca="1" si="23"/>
        <v>0</v>
      </c>
      <c r="AT12" s="443">
        <f t="shared" ca="1" si="24"/>
        <v>0</v>
      </c>
      <c r="AU12" s="431"/>
      <c r="AV12" s="443"/>
      <c r="AW12" s="431">
        <f t="shared" si="26"/>
        <v>0</v>
      </c>
      <c r="AX12" s="431">
        <f t="shared" si="27"/>
        <v>1</v>
      </c>
      <c r="AY12" s="431">
        <f t="shared" si="28"/>
        <v>0</v>
      </c>
      <c r="AZ12" s="431">
        <f t="shared" si="29"/>
        <v>0</v>
      </c>
      <c r="BA12" s="431">
        <f t="shared" si="30"/>
        <v>0</v>
      </c>
      <c r="BB12" s="431">
        <f t="shared" si="31"/>
        <v>0</v>
      </c>
      <c r="BC12" s="431">
        <f t="shared" si="32"/>
        <v>0</v>
      </c>
      <c r="BD12" s="431">
        <f t="shared" si="33"/>
        <v>0</v>
      </c>
      <c r="BE12" s="431">
        <f t="shared" si="34"/>
        <v>1</v>
      </c>
      <c r="BF12" s="431">
        <f t="shared" si="35"/>
        <v>0</v>
      </c>
      <c r="BG12" s="431">
        <f t="shared" si="36"/>
        <v>0</v>
      </c>
      <c r="BH12" s="431">
        <f t="shared" si="37"/>
        <v>0</v>
      </c>
      <c r="BI12" s="431">
        <f t="shared" si="38"/>
        <v>0</v>
      </c>
      <c r="BJ12" s="431">
        <f t="shared" si="39"/>
        <v>0</v>
      </c>
      <c r="BK12" s="431">
        <f t="shared" si="40"/>
        <v>0</v>
      </c>
      <c r="BL12" s="431">
        <f t="shared" si="41"/>
        <v>0</v>
      </c>
      <c r="BM12" s="431">
        <f t="shared" si="42"/>
        <v>0</v>
      </c>
      <c r="BN12" s="431">
        <f t="shared" si="43"/>
        <v>0</v>
      </c>
    </row>
    <row r="13" spans="1:66" ht="15.75" customHeight="1" x14ac:dyDescent="0.4">
      <c r="A13" s="436" t="s">
        <v>483</v>
      </c>
      <c r="B13" s="436"/>
      <c r="C13" s="436"/>
      <c r="D13" s="436"/>
      <c r="E13" s="436">
        <v>30</v>
      </c>
      <c r="F13" s="436">
        <v>48</v>
      </c>
      <c r="G13" s="436" t="s">
        <v>61</v>
      </c>
      <c r="H13" s="437"/>
      <c r="I13" s="438" t="s">
        <v>364</v>
      </c>
      <c r="J13" s="438"/>
      <c r="K13" s="438" t="s">
        <v>484</v>
      </c>
      <c r="L13" s="439"/>
      <c r="M13" s="439"/>
      <c r="N13" s="440"/>
      <c r="O13" s="440">
        <v>3000</v>
      </c>
      <c r="P13" s="430"/>
      <c r="Q13" s="430"/>
      <c r="R13" s="430"/>
      <c r="S13" s="430"/>
      <c r="T13" s="430"/>
      <c r="U13" s="430"/>
      <c r="V13" s="430"/>
      <c r="W13" s="430"/>
      <c r="X13" s="431"/>
      <c r="Y13" s="441">
        <v>44336</v>
      </c>
      <c r="Z13" s="442">
        <f t="shared" ca="1" si="4"/>
        <v>1202.5</v>
      </c>
      <c r="AA13" s="431">
        <f t="shared" ca="1" si="5"/>
        <v>101</v>
      </c>
      <c r="AB13" s="443">
        <f t="shared" ca="1" si="6"/>
        <v>11</v>
      </c>
      <c r="AC13" s="442">
        <f t="shared" ca="1" si="7"/>
        <v>815</v>
      </c>
      <c r="AD13" s="431">
        <f t="shared" ca="1" si="8"/>
        <v>68</v>
      </c>
      <c r="AE13" s="443">
        <f t="shared" ca="1" si="9"/>
        <v>8</v>
      </c>
      <c r="AF13" s="442">
        <f t="shared" ca="1" si="10"/>
        <v>407.5</v>
      </c>
      <c r="AG13" s="431">
        <f t="shared" ca="1" si="11"/>
        <v>34</v>
      </c>
      <c r="AH13" s="443">
        <f t="shared" ca="1" si="12"/>
        <v>4</v>
      </c>
      <c r="AI13" s="442">
        <f t="shared" ca="1" si="13"/>
        <v>0</v>
      </c>
      <c r="AJ13" s="431">
        <f t="shared" ca="1" si="14"/>
        <v>0</v>
      </c>
      <c r="AK13" s="443">
        <f t="shared" ca="1" si="15"/>
        <v>0</v>
      </c>
      <c r="AL13" s="442">
        <f t="shared" ca="1" si="16"/>
        <v>0</v>
      </c>
      <c r="AM13" s="431">
        <f t="shared" ca="1" si="17"/>
        <v>0</v>
      </c>
      <c r="AN13" s="443">
        <f t="shared" ca="1" si="18"/>
        <v>0</v>
      </c>
      <c r="AO13" s="442">
        <f t="shared" ca="1" si="19"/>
        <v>0</v>
      </c>
      <c r="AP13" s="431">
        <f t="shared" ca="1" si="20"/>
        <v>0</v>
      </c>
      <c r="AQ13" s="443">
        <f t="shared" ca="1" si="21"/>
        <v>0</v>
      </c>
      <c r="AR13" s="431">
        <f t="shared" ca="1" si="22"/>
        <v>0</v>
      </c>
      <c r="AS13" s="431">
        <f t="shared" ca="1" si="23"/>
        <v>0</v>
      </c>
      <c r="AT13" s="443">
        <f t="shared" ca="1" si="24"/>
        <v>0</v>
      </c>
      <c r="AU13" s="431"/>
      <c r="AV13" s="429"/>
      <c r="AW13" s="431">
        <f t="shared" si="26"/>
        <v>0</v>
      </c>
      <c r="AX13" s="431">
        <f t="shared" si="27"/>
        <v>0</v>
      </c>
      <c r="AY13" s="431">
        <f t="shared" si="28"/>
        <v>1</v>
      </c>
      <c r="AZ13" s="431">
        <f t="shared" si="29"/>
        <v>0</v>
      </c>
      <c r="BA13" s="431">
        <f t="shared" si="30"/>
        <v>0</v>
      </c>
      <c r="BB13" s="431">
        <f t="shared" si="31"/>
        <v>0</v>
      </c>
      <c r="BC13" s="431">
        <f t="shared" si="32"/>
        <v>0</v>
      </c>
      <c r="BD13" s="431">
        <f t="shared" si="33"/>
        <v>0</v>
      </c>
      <c r="BE13" s="431">
        <f t="shared" si="34"/>
        <v>1</v>
      </c>
      <c r="BF13" s="431">
        <f t="shared" si="35"/>
        <v>0</v>
      </c>
      <c r="BG13" s="431">
        <f t="shared" si="36"/>
        <v>1</v>
      </c>
      <c r="BH13" s="431">
        <f t="shared" si="37"/>
        <v>0</v>
      </c>
      <c r="BI13" s="431">
        <f t="shared" si="38"/>
        <v>0</v>
      </c>
      <c r="BJ13" s="431">
        <f t="shared" si="39"/>
        <v>0</v>
      </c>
      <c r="BK13" s="431">
        <f t="shared" si="40"/>
        <v>0</v>
      </c>
      <c r="BL13" s="431">
        <f t="shared" si="41"/>
        <v>0</v>
      </c>
      <c r="BM13" s="431">
        <f t="shared" si="42"/>
        <v>0</v>
      </c>
      <c r="BN13" s="431">
        <f t="shared" si="43"/>
        <v>1</v>
      </c>
    </row>
    <row r="14" spans="1:66" ht="15.75" customHeight="1" x14ac:dyDescent="0.4">
      <c r="A14" s="436" t="s">
        <v>486</v>
      </c>
      <c r="B14" s="436"/>
      <c r="C14" s="436"/>
      <c r="D14" s="436"/>
      <c r="E14" s="436">
        <v>24</v>
      </c>
      <c r="F14" s="436">
        <v>36</v>
      </c>
      <c r="G14" s="436" t="s">
        <v>119</v>
      </c>
      <c r="H14" s="437"/>
      <c r="I14" s="438" t="s">
        <v>318</v>
      </c>
      <c r="J14" s="438"/>
      <c r="K14" s="438" t="s">
        <v>480</v>
      </c>
      <c r="L14" s="439"/>
      <c r="M14" s="439"/>
      <c r="N14" s="440"/>
      <c r="O14" s="440">
        <v>2210</v>
      </c>
      <c r="P14" s="430"/>
      <c r="Q14" s="430"/>
      <c r="R14" s="430"/>
      <c r="S14" s="430"/>
      <c r="T14" s="430"/>
      <c r="U14" s="430"/>
      <c r="V14" s="430"/>
      <c r="W14" s="430"/>
      <c r="X14" s="431"/>
      <c r="Y14" s="441">
        <v>44343</v>
      </c>
      <c r="Z14" s="442">
        <f t="shared" ca="1" si="4"/>
        <v>1463.75</v>
      </c>
      <c r="AA14" s="431">
        <f t="shared" ca="1" si="5"/>
        <v>122</v>
      </c>
      <c r="AB14" s="443">
        <f t="shared" ca="1" si="6"/>
        <v>13</v>
      </c>
      <c r="AC14" s="442">
        <f t="shared" ca="1" si="7"/>
        <v>200</v>
      </c>
      <c r="AD14" s="431">
        <f t="shared" ca="1" si="8"/>
        <v>17</v>
      </c>
      <c r="AE14" s="443">
        <f t="shared" ca="1" si="9"/>
        <v>2</v>
      </c>
      <c r="AF14" s="442">
        <f t="shared" ca="1" si="10"/>
        <v>150</v>
      </c>
      <c r="AG14" s="431">
        <f t="shared" ca="1" si="11"/>
        <v>13</v>
      </c>
      <c r="AH14" s="443">
        <f t="shared" ca="1" si="12"/>
        <v>2</v>
      </c>
      <c r="AI14" s="442">
        <f t="shared" ca="1" si="13"/>
        <v>202.5</v>
      </c>
      <c r="AJ14" s="431">
        <f t="shared" ca="1" si="14"/>
        <v>17</v>
      </c>
      <c r="AK14" s="443">
        <f t="shared" ca="1" si="15"/>
        <v>2</v>
      </c>
      <c r="AL14" s="442">
        <f t="shared" ca="1" si="16"/>
        <v>0</v>
      </c>
      <c r="AM14" s="431">
        <f t="shared" ca="1" si="17"/>
        <v>0</v>
      </c>
      <c r="AN14" s="443">
        <f t="shared" ca="1" si="18"/>
        <v>0</v>
      </c>
      <c r="AO14" s="442">
        <f t="shared" ca="1" si="19"/>
        <v>0</v>
      </c>
      <c r="AP14" s="431">
        <f t="shared" ca="1" si="20"/>
        <v>0</v>
      </c>
      <c r="AQ14" s="443">
        <f t="shared" ca="1" si="21"/>
        <v>0</v>
      </c>
      <c r="AR14" s="431">
        <f t="shared" ca="1" si="22"/>
        <v>0</v>
      </c>
      <c r="AS14" s="431">
        <f t="shared" ca="1" si="23"/>
        <v>0</v>
      </c>
      <c r="AT14" s="443">
        <f t="shared" ca="1" si="24"/>
        <v>0</v>
      </c>
      <c r="AU14" s="431"/>
      <c r="AV14" s="429"/>
      <c r="AW14" s="431">
        <f t="shared" si="26"/>
        <v>1</v>
      </c>
      <c r="AX14" s="431">
        <f t="shared" si="27"/>
        <v>0</v>
      </c>
      <c r="AY14" s="431">
        <f t="shared" si="28"/>
        <v>0</v>
      </c>
      <c r="AZ14" s="431">
        <f t="shared" si="29"/>
        <v>0</v>
      </c>
      <c r="BA14" s="431">
        <f t="shared" si="30"/>
        <v>0</v>
      </c>
      <c r="BB14" s="431">
        <f t="shared" si="31"/>
        <v>0</v>
      </c>
      <c r="BC14" s="431">
        <f t="shared" si="32"/>
        <v>0</v>
      </c>
      <c r="BD14" s="431">
        <f t="shared" si="33"/>
        <v>0</v>
      </c>
      <c r="BE14" s="431">
        <f t="shared" si="34"/>
        <v>0</v>
      </c>
      <c r="BF14" s="431">
        <f t="shared" si="35"/>
        <v>1</v>
      </c>
      <c r="BG14" s="431">
        <f t="shared" si="36"/>
        <v>2</v>
      </c>
      <c r="BH14" s="431">
        <f t="shared" si="37"/>
        <v>1</v>
      </c>
      <c r="BI14" s="431">
        <f t="shared" si="38"/>
        <v>0</v>
      </c>
      <c r="BJ14" s="431">
        <f t="shared" si="39"/>
        <v>0</v>
      </c>
      <c r="BK14" s="431">
        <f t="shared" si="40"/>
        <v>0</v>
      </c>
      <c r="BL14" s="431">
        <f t="shared" si="41"/>
        <v>0</v>
      </c>
      <c r="BM14" s="431">
        <f t="shared" si="42"/>
        <v>1</v>
      </c>
      <c r="BN14" s="431">
        <f t="shared" si="43"/>
        <v>0</v>
      </c>
    </row>
    <row r="15" spans="1:66" ht="15.75" customHeight="1" x14ac:dyDescent="0.4">
      <c r="A15" s="436" t="s">
        <v>68</v>
      </c>
      <c r="B15" s="436"/>
      <c r="C15" s="436"/>
      <c r="D15" s="436"/>
      <c r="E15" s="436">
        <v>30</v>
      </c>
      <c r="F15" s="436">
        <v>60</v>
      </c>
      <c r="G15" s="436" t="s">
        <v>288</v>
      </c>
      <c r="H15" s="437"/>
      <c r="I15" s="438" t="s">
        <v>487</v>
      </c>
      <c r="J15" s="438">
        <v>49</v>
      </c>
      <c r="K15" s="438" t="s">
        <v>484</v>
      </c>
      <c r="L15" s="439"/>
      <c r="M15" s="439"/>
      <c r="N15" s="440"/>
      <c r="O15" s="440">
        <v>4133.26</v>
      </c>
      <c r="P15" s="430"/>
      <c r="Q15" s="430"/>
      <c r="R15" s="430"/>
      <c r="S15" s="430"/>
      <c r="T15" s="430"/>
      <c r="U15" s="430"/>
      <c r="V15" s="430"/>
      <c r="W15" s="430"/>
      <c r="X15" s="431"/>
      <c r="Y15" s="441">
        <v>44350</v>
      </c>
      <c r="Z15" s="442">
        <f t="shared" ca="1" si="4"/>
        <v>2087.5</v>
      </c>
      <c r="AA15" s="431">
        <f t="shared" ca="1" si="5"/>
        <v>174</v>
      </c>
      <c r="AB15" s="443">
        <f t="shared" ca="1" si="6"/>
        <v>19</v>
      </c>
      <c r="AC15" s="442">
        <f t="shared" ca="1" si="7"/>
        <v>435</v>
      </c>
      <c r="AD15" s="431">
        <f t="shared" ca="1" si="8"/>
        <v>37</v>
      </c>
      <c r="AE15" s="443">
        <f t="shared" ca="1" si="9"/>
        <v>4</v>
      </c>
      <c r="AF15" s="442">
        <f t="shared" ca="1" si="10"/>
        <v>840</v>
      </c>
      <c r="AG15" s="431">
        <f t="shared" ca="1" si="11"/>
        <v>70</v>
      </c>
      <c r="AH15" s="443">
        <f t="shared" ca="1" si="12"/>
        <v>8</v>
      </c>
      <c r="AI15" s="442">
        <f t="shared" ca="1" si="13"/>
        <v>0</v>
      </c>
      <c r="AJ15" s="431">
        <f t="shared" ca="1" si="14"/>
        <v>0</v>
      </c>
      <c r="AK15" s="443">
        <f t="shared" ca="1" si="15"/>
        <v>0</v>
      </c>
      <c r="AL15" s="442">
        <f t="shared" ca="1" si="16"/>
        <v>0</v>
      </c>
      <c r="AM15" s="431">
        <f t="shared" ca="1" si="17"/>
        <v>0</v>
      </c>
      <c r="AN15" s="443">
        <f t="shared" ca="1" si="18"/>
        <v>0</v>
      </c>
      <c r="AO15" s="442">
        <f t="shared" ca="1" si="19"/>
        <v>0</v>
      </c>
      <c r="AP15" s="431">
        <f t="shared" ca="1" si="20"/>
        <v>0</v>
      </c>
      <c r="AQ15" s="443">
        <f t="shared" ca="1" si="21"/>
        <v>0</v>
      </c>
      <c r="AR15" s="431">
        <f t="shared" ca="1" si="22"/>
        <v>0</v>
      </c>
      <c r="AS15" s="431">
        <f t="shared" ca="1" si="23"/>
        <v>0</v>
      </c>
      <c r="AT15" s="443">
        <f t="shared" ca="1" si="24"/>
        <v>0</v>
      </c>
      <c r="AU15" s="431"/>
      <c r="AV15" s="429"/>
      <c r="AW15" s="431">
        <f t="shared" si="26"/>
        <v>6</v>
      </c>
      <c r="AX15" s="431">
        <f t="shared" si="27"/>
        <v>0</v>
      </c>
      <c r="AY15" s="431">
        <f t="shared" si="28"/>
        <v>0</v>
      </c>
      <c r="AZ15" s="431">
        <f t="shared" si="29"/>
        <v>0</v>
      </c>
      <c r="BA15" s="431">
        <f t="shared" si="30"/>
        <v>0</v>
      </c>
      <c r="BB15" s="431">
        <f t="shared" si="31"/>
        <v>1</v>
      </c>
      <c r="BC15" s="431">
        <f t="shared" si="32"/>
        <v>1</v>
      </c>
      <c r="BD15" s="431">
        <f t="shared" si="33"/>
        <v>0</v>
      </c>
      <c r="BE15" s="431">
        <f t="shared" si="34"/>
        <v>2</v>
      </c>
      <c r="BF15" s="431">
        <f t="shared" si="35"/>
        <v>1</v>
      </c>
      <c r="BG15" s="431">
        <f t="shared" si="36"/>
        <v>0</v>
      </c>
      <c r="BH15" s="431">
        <f t="shared" si="37"/>
        <v>1</v>
      </c>
      <c r="BI15" s="431">
        <f t="shared" si="38"/>
        <v>0</v>
      </c>
      <c r="BJ15" s="431">
        <f t="shared" si="39"/>
        <v>0</v>
      </c>
      <c r="BK15" s="431">
        <f t="shared" si="40"/>
        <v>2</v>
      </c>
      <c r="BL15" s="431">
        <f t="shared" si="41"/>
        <v>1</v>
      </c>
      <c r="BM15" s="431">
        <f t="shared" si="42"/>
        <v>0</v>
      </c>
      <c r="BN15" s="431">
        <f t="shared" si="43"/>
        <v>0</v>
      </c>
    </row>
    <row r="16" spans="1:66" ht="15.75" customHeight="1" x14ac:dyDescent="0.4">
      <c r="A16" s="436" t="s">
        <v>488</v>
      </c>
      <c r="B16" s="436"/>
      <c r="C16" s="436"/>
      <c r="D16" s="436"/>
      <c r="E16" s="436">
        <v>30</v>
      </c>
      <c r="F16" s="436">
        <v>30</v>
      </c>
      <c r="G16" s="436" t="s">
        <v>88</v>
      </c>
      <c r="H16" s="437"/>
      <c r="I16" s="438" t="s">
        <v>210</v>
      </c>
      <c r="J16" s="438"/>
      <c r="K16" s="438" t="s">
        <v>489</v>
      </c>
      <c r="L16" s="439"/>
      <c r="M16" s="439"/>
      <c r="N16" s="440"/>
      <c r="O16" s="440">
        <v>2049.9299999999998</v>
      </c>
      <c r="P16" s="430"/>
      <c r="Q16" s="430"/>
      <c r="R16" s="430"/>
      <c r="S16" s="430"/>
      <c r="T16" s="430"/>
      <c r="U16" s="430"/>
      <c r="V16" s="430"/>
      <c r="W16" s="430"/>
      <c r="X16" s="431"/>
      <c r="Y16" s="441">
        <v>44357</v>
      </c>
      <c r="Z16" s="442">
        <f t="shared" ca="1" si="4"/>
        <v>2002.5</v>
      </c>
      <c r="AA16" s="431">
        <f t="shared" ca="1" si="5"/>
        <v>167</v>
      </c>
      <c r="AB16" s="443">
        <f t="shared" ca="1" si="6"/>
        <v>18</v>
      </c>
      <c r="AC16" s="442">
        <f t="shared" ca="1" si="7"/>
        <v>1030</v>
      </c>
      <c r="AD16" s="431">
        <f t="shared" ca="1" si="8"/>
        <v>86</v>
      </c>
      <c r="AE16" s="443">
        <f t="shared" ca="1" si="9"/>
        <v>10</v>
      </c>
      <c r="AF16" s="442">
        <f t="shared" ca="1" si="10"/>
        <v>0</v>
      </c>
      <c r="AG16" s="431">
        <f t="shared" ca="1" si="11"/>
        <v>0</v>
      </c>
      <c r="AH16" s="443">
        <f t="shared" ca="1" si="12"/>
        <v>0</v>
      </c>
      <c r="AI16" s="442">
        <f t="shared" ca="1" si="13"/>
        <v>217.5</v>
      </c>
      <c r="AJ16" s="431">
        <f t="shared" ca="1" si="14"/>
        <v>19</v>
      </c>
      <c r="AK16" s="443">
        <f t="shared" ca="1" si="15"/>
        <v>2</v>
      </c>
      <c r="AL16" s="442">
        <f t="shared" ca="1" si="16"/>
        <v>490</v>
      </c>
      <c r="AM16" s="431">
        <f t="shared" ca="1" si="17"/>
        <v>41</v>
      </c>
      <c r="AN16" s="443">
        <f t="shared" ca="1" si="18"/>
        <v>5</v>
      </c>
      <c r="AO16" s="442">
        <f t="shared" ca="1" si="19"/>
        <v>0</v>
      </c>
      <c r="AP16" s="431">
        <f t="shared" ca="1" si="20"/>
        <v>0</v>
      </c>
      <c r="AQ16" s="443">
        <f t="shared" ca="1" si="21"/>
        <v>0</v>
      </c>
      <c r="AR16" s="431">
        <f t="shared" ca="1" si="22"/>
        <v>0</v>
      </c>
      <c r="AS16" s="431">
        <f t="shared" ca="1" si="23"/>
        <v>0</v>
      </c>
      <c r="AT16" s="443">
        <f t="shared" ca="1" si="24"/>
        <v>0</v>
      </c>
      <c r="AU16" s="431"/>
      <c r="AV16" s="429"/>
      <c r="AW16" s="431">
        <f t="shared" si="26"/>
        <v>2</v>
      </c>
      <c r="AX16" s="431">
        <f t="shared" si="27"/>
        <v>0</v>
      </c>
      <c r="AY16" s="431">
        <f t="shared" si="28"/>
        <v>0</v>
      </c>
      <c r="AZ16" s="431">
        <f t="shared" si="29"/>
        <v>1</v>
      </c>
      <c r="BA16" s="431">
        <f t="shared" si="30"/>
        <v>1</v>
      </c>
      <c r="BB16" s="431">
        <f t="shared" si="31"/>
        <v>0</v>
      </c>
      <c r="BC16" s="431">
        <f t="shared" si="32"/>
        <v>0</v>
      </c>
      <c r="BD16" s="431">
        <f t="shared" si="33"/>
        <v>0</v>
      </c>
      <c r="BE16" s="431">
        <f t="shared" si="34"/>
        <v>0</v>
      </c>
      <c r="BF16" s="431">
        <f t="shared" si="35"/>
        <v>0</v>
      </c>
      <c r="BG16" s="431">
        <f t="shared" si="36"/>
        <v>0</v>
      </c>
      <c r="BH16" s="431">
        <f t="shared" si="37"/>
        <v>4</v>
      </c>
      <c r="BI16" s="431">
        <f t="shared" si="38"/>
        <v>1</v>
      </c>
      <c r="BJ16" s="431">
        <f t="shared" si="39"/>
        <v>0</v>
      </c>
      <c r="BK16" s="431">
        <f t="shared" si="40"/>
        <v>0</v>
      </c>
      <c r="BL16" s="431">
        <f t="shared" si="41"/>
        <v>0</v>
      </c>
      <c r="BM16" s="431">
        <f t="shared" si="42"/>
        <v>0</v>
      </c>
      <c r="BN16" s="431">
        <f t="shared" si="43"/>
        <v>0</v>
      </c>
    </row>
    <row r="17" spans="1:66" ht="15.75" customHeight="1" x14ac:dyDescent="0.4">
      <c r="A17" s="436" t="s">
        <v>68</v>
      </c>
      <c r="B17" s="436"/>
      <c r="C17" s="436"/>
      <c r="D17" s="436"/>
      <c r="E17" s="436">
        <v>30</v>
      </c>
      <c r="F17" s="436">
        <v>60</v>
      </c>
      <c r="G17" s="436" t="s">
        <v>288</v>
      </c>
      <c r="H17" s="437"/>
      <c r="I17" s="438" t="s">
        <v>487</v>
      </c>
      <c r="J17" s="438"/>
      <c r="K17" s="438" t="s">
        <v>484</v>
      </c>
      <c r="L17" s="439"/>
      <c r="M17" s="439"/>
      <c r="N17" s="440"/>
      <c r="O17" s="440">
        <v>4828.25</v>
      </c>
      <c r="P17" s="430"/>
      <c r="Q17" s="430"/>
      <c r="R17" s="430"/>
      <c r="S17" s="430"/>
      <c r="T17" s="430"/>
      <c r="U17" s="430"/>
      <c r="V17" s="430"/>
      <c r="W17" s="430"/>
      <c r="X17" s="431"/>
      <c r="Y17" s="441">
        <v>44364</v>
      </c>
      <c r="Z17" s="442">
        <f t="shared" ca="1" si="4"/>
        <v>2685</v>
      </c>
      <c r="AA17" s="431">
        <f t="shared" ca="1" si="5"/>
        <v>224</v>
      </c>
      <c r="AB17" s="443">
        <f t="shared" ca="1" si="6"/>
        <v>24</v>
      </c>
      <c r="AC17" s="442">
        <f t="shared" ca="1" si="7"/>
        <v>155</v>
      </c>
      <c r="AD17" s="431">
        <f t="shared" ca="1" si="8"/>
        <v>13</v>
      </c>
      <c r="AE17" s="443">
        <f t="shared" ca="1" si="9"/>
        <v>2</v>
      </c>
      <c r="AF17" s="442">
        <f t="shared" ca="1" si="10"/>
        <v>0</v>
      </c>
      <c r="AG17" s="431">
        <f t="shared" ca="1" si="11"/>
        <v>0</v>
      </c>
      <c r="AH17" s="443">
        <f t="shared" ca="1" si="12"/>
        <v>0</v>
      </c>
      <c r="AI17" s="442">
        <f t="shared" ca="1" si="13"/>
        <v>400</v>
      </c>
      <c r="AJ17" s="431">
        <f t="shared" ca="1" si="14"/>
        <v>34</v>
      </c>
      <c r="AK17" s="443">
        <f t="shared" ca="1" si="15"/>
        <v>4</v>
      </c>
      <c r="AL17" s="442">
        <f t="shared" ca="1" si="16"/>
        <v>1032.5</v>
      </c>
      <c r="AM17" s="431">
        <f t="shared" ca="1" si="17"/>
        <v>87</v>
      </c>
      <c r="AN17" s="443">
        <f t="shared" ca="1" si="18"/>
        <v>10</v>
      </c>
      <c r="AO17" s="442">
        <f t="shared" ca="1" si="19"/>
        <v>0</v>
      </c>
      <c r="AP17" s="431">
        <f t="shared" ca="1" si="20"/>
        <v>0</v>
      </c>
      <c r="AQ17" s="443">
        <f t="shared" ca="1" si="21"/>
        <v>0</v>
      </c>
      <c r="AR17" s="431">
        <f t="shared" ca="1" si="22"/>
        <v>0</v>
      </c>
      <c r="AS17" s="431">
        <f t="shared" ca="1" si="23"/>
        <v>0</v>
      </c>
      <c r="AT17" s="443">
        <f t="shared" ca="1" si="24"/>
        <v>0</v>
      </c>
      <c r="AU17" s="431">
        <f t="shared" ref="AU17:AU24" ca="1" si="44">SUMIF(C:W,Y17,W:W)</f>
        <v>15801</v>
      </c>
      <c r="AV17" s="429">
        <f t="shared" ref="AV17:AV24" ca="1" si="45">ROUNDUP(AU17/(40*12*64),1)</f>
        <v>0.6</v>
      </c>
      <c r="AW17" s="431">
        <f t="shared" si="26"/>
        <v>2</v>
      </c>
      <c r="AX17" s="431">
        <f t="shared" si="27"/>
        <v>0</v>
      </c>
      <c r="AY17" s="431">
        <f t="shared" si="28"/>
        <v>1</v>
      </c>
      <c r="AZ17" s="431">
        <f t="shared" si="29"/>
        <v>1</v>
      </c>
      <c r="BA17" s="431">
        <f t="shared" si="30"/>
        <v>0</v>
      </c>
      <c r="BB17" s="431">
        <f t="shared" si="31"/>
        <v>0</v>
      </c>
      <c r="BC17" s="431">
        <f t="shared" si="32"/>
        <v>0</v>
      </c>
      <c r="BD17" s="431">
        <f t="shared" si="33"/>
        <v>0</v>
      </c>
      <c r="BE17" s="431">
        <f t="shared" si="34"/>
        <v>0</v>
      </c>
      <c r="BF17" s="431">
        <f t="shared" si="35"/>
        <v>1</v>
      </c>
      <c r="BG17" s="431">
        <f t="shared" si="36"/>
        <v>0</v>
      </c>
      <c r="BH17" s="431">
        <f t="shared" si="37"/>
        <v>5</v>
      </c>
      <c r="BI17" s="431">
        <f t="shared" si="38"/>
        <v>4</v>
      </c>
      <c r="BJ17" s="431">
        <f t="shared" si="39"/>
        <v>4</v>
      </c>
      <c r="BK17" s="431">
        <f t="shared" si="40"/>
        <v>2</v>
      </c>
      <c r="BL17" s="431">
        <f t="shared" si="41"/>
        <v>0</v>
      </c>
      <c r="BM17" s="431">
        <f t="shared" si="42"/>
        <v>0</v>
      </c>
      <c r="BN17" s="431">
        <f t="shared" si="43"/>
        <v>0</v>
      </c>
    </row>
    <row r="18" spans="1:66" ht="15.75" customHeight="1" x14ac:dyDescent="0.4">
      <c r="A18" s="444" t="s">
        <v>491</v>
      </c>
      <c r="B18" s="444"/>
      <c r="C18" s="444"/>
      <c r="D18" s="444"/>
      <c r="E18" s="444">
        <v>36</v>
      </c>
      <c r="F18" s="444">
        <v>48</v>
      </c>
      <c r="G18" s="444" t="s">
        <v>124</v>
      </c>
      <c r="H18" s="445"/>
      <c r="I18" s="446" t="s">
        <v>368</v>
      </c>
      <c r="J18" s="446"/>
      <c r="K18" s="446" t="s">
        <v>492</v>
      </c>
      <c r="L18" s="447"/>
      <c r="M18" s="447"/>
      <c r="N18" s="448"/>
      <c r="O18" s="448">
        <v>3200</v>
      </c>
      <c r="P18" s="430"/>
      <c r="Q18" s="430"/>
      <c r="R18" s="430"/>
      <c r="S18" s="430"/>
      <c r="T18" s="430"/>
      <c r="U18" s="430"/>
      <c r="V18" s="430"/>
      <c r="W18" s="430"/>
      <c r="X18" s="431"/>
      <c r="Y18" s="441">
        <v>44371</v>
      </c>
      <c r="Z18" s="442">
        <f t="shared" ca="1" si="4"/>
        <v>1817.5</v>
      </c>
      <c r="AA18" s="431">
        <f t="shared" ca="1" si="5"/>
        <v>152</v>
      </c>
      <c r="AB18" s="443">
        <f t="shared" ca="1" si="6"/>
        <v>16</v>
      </c>
      <c r="AC18" s="442">
        <f t="shared" ca="1" si="7"/>
        <v>0</v>
      </c>
      <c r="AD18" s="431">
        <f t="shared" ca="1" si="8"/>
        <v>0</v>
      </c>
      <c r="AE18" s="443">
        <f t="shared" ca="1" si="9"/>
        <v>0</v>
      </c>
      <c r="AF18" s="442">
        <f t="shared" ca="1" si="10"/>
        <v>0</v>
      </c>
      <c r="AG18" s="431">
        <f t="shared" ca="1" si="11"/>
        <v>0</v>
      </c>
      <c r="AH18" s="443">
        <f t="shared" ca="1" si="12"/>
        <v>0</v>
      </c>
      <c r="AI18" s="442">
        <f t="shared" ca="1" si="13"/>
        <v>357.5</v>
      </c>
      <c r="AJ18" s="431">
        <f t="shared" ca="1" si="14"/>
        <v>30</v>
      </c>
      <c r="AK18" s="443">
        <f t="shared" ca="1" si="15"/>
        <v>4</v>
      </c>
      <c r="AL18" s="442">
        <f t="shared" ca="1" si="16"/>
        <v>1032.5</v>
      </c>
      <c r="AM18" s="431">
        <f t="shared" ca="1" si="17"/>
        <v>87</v>
      </c>
      <c r="AN18" s="443">
        <f t="shared" ca="1" si="18"/>
        <v>10</v>
      </c>
      <c r="AO18" s="442">
        <f t="shared" ca="1" si="19"/>
        <v>0</v>
      </c>
      <c r="AP18" s="431">
        <f t="shared" ca="1" si="20"/>
        <v>0</v>
      </c>
      <c r="AQ18" s="443">
        <f t="shared" ca="1" si="21"/>
        <v>0</v>
      </c>
      <c r="AR18" s="431">
        <f t="shared" ca="1" si="22"/>
        <v>0</v>
      </c>
      <c r="AS18" s="431">
        <f t="shared" ca="1" si="23"/>
        <v>0</v>
      </c>
      <c r="AT18" s="443">
        <f t="shared" ca="1" si="24"/>
        <v>0</v>
      </c>
      <c r="AU18" s="431">
        <f t="shared" ca="1" si="44"/>
        <v>16131</v>
      </c>
      <c r="AV18" s="429">
        <f t="shared" ca="1" si="45"/>
        <v>0.6</v>
      </c>
      <c r="AW18" s="431">
        <f t="shared" si="26"/>
        <v>2</v>
      </c>
      <c r="AX18" s="431">
        <f t="shared" si="27"/>
        <v>0</v>
      </c>
      <c r="AY18" s="431">
        <f t="shared" si="28"/>
        <v>0</v>
      </c>
      <c r="AZ18" s="431">
        <f t="shared" si="29"/>
        <v>1</v>
      </c>
      <c r="BA18" s="431">
        <f t="shared" si="30"/>
        <v>0</v>
      </c>
      <c r="BB18" s="431">
        <f t="shared" si="31"/>
        <v>0</v>
      </c>
      <c r="BC18" s="431">
        <f t="shared" si="32"/>
        <v>0</v>
      </c>
      <c r="BD18" s="431">
        <f t="shared" si="33"/>
        <v>0</v>
      </c>
      <c r="BE18" s="431">
        <f t="shared" si="34"/>
        <v>0</v>
      </c>
      <c r="BF18" s="431">
        <f t="shared" si="35"/>
        <v>0</v>
      </c>
      <c r="BG18" s="431">
        <f t="shared" si="36"/>
        <v>1</v>
      </c>
      <c r="BH18" s="431">
        <f t="shared" si="37"/>
        <v>1</v>
      </c>
      <c r="BI18" s="431">
        <f t="shared" si="38"/>
        <v>0</v>
      </c>
      <c r="BJ18" s="431">
        <f t="shared" si="39"/>
        <v>1</v>
      </c>
      <c r="BK18" s="431">
        <f t="shared" si="40"/>
        <v>1</v>
      </c>
      <c r="BL18" s="431">
        <f t="shared" si="41"/>
        <v>1</v>
      </c>
      <c r="BM18" s="431">
        <f t="shared" si="42"/>
        <v>1</v>
      </c>
      <c r="BN18" s="431">
        <f t="shared" si="43"/>
        <v>0</v>
      </c>
    </row>
    <row r="19" spans="1:66" ht="15.75" customHeight="1" x14ac:dyDescent="0.4">
      <c r="A19" s="436" t="s">
        <v>494</v>
      </c>
      <c r="B19" s="436"/>
      <c r="C19" s="436"/>
      <c r="D19" s="436"/>
      <c r="E19" s="436"/>
      <c r="F19" s="436"/>
      <c r="G19" s="436" t="s">
        <v>109</v>
      </c>
      <c r="H19" s="437"/>
      <c r="I19" s="438" t="s">
        <v>269</v>
      </c>
      <c r="J19" s="438"/>
      <c r="K19" s="438" t="s">
        <v>474</v>
      </c>
      <c r="L19" s="439"/>
      <c r="M19" s="439"/>
      <c r="N19" s="440"/>
      <c r="O19" s="440">
        <v>1635</v>
      </c>
      <c r="P19" s="430"/>
      <c r="Q19" s="430"/>
      <c r="R19" s="430"/>
      <c r="S19" s="430"/>
      <c r="T19" s="430"/>
      <c r="U19" s="430"/>
      <c r="V19" s="430"/>
      <c r="W19" s="430"/>
      <c r="X19" s="431"/>
      <c r="Y19" s="441">
        <v>44378</v>
      </c>
      <c r="Z19" s="442">
        <f t="shared" ca="1" si="4"/>
        <v>1370</v>
      </c>
      <c r="AA19" s="431">
        <f t="shared" ca="1" si="5"/>
        <v>115</v>
      </c>
      <c r="AB19" s="443">
        <f t="shared" ca="1" si="6"/>
        <v>13</v>
      </c>
      <c r="AC19" s="442">
        <f t="shared" ca="1" si="7"/>
        <v>350</v>
      </c>
      <c r="AD19" s="431">
        <f t="shared" ca="1" si="8"/>
        <v>30</v>
      </c>
      <c r="AE19" s="443">
        <f t="shared" ca="1" si="9"/>
        <v>4</v>
      </c>
      <c r="AF19" s="442">
        <f t="shared" ca="1" si="10"/>
        <v>1345</v>
      </c>
      <c r="AG19" s="431">
        <f t="shared" ca="1" si="11"/>
        <v>113</v>
      </c>
      <c r="AH19" s="443">
        <f t="shared" ca="1" si="12"/>
        <v>12</v>
      </c>
      <c r="AI19" s="442">
        <f t="shared" ca="1" si="13"/>
        <v>210</v>
      </c>
      <c r="AJ19" s="431">
        <f t="shared" ca="1" si="14"/>
        <v>18</v>
      </c>
      <c r="AK19" s="443">
        <f t="shared" ca="1" si="15"/>
        <v>2</v>
      </c>
      <c r="AL19" s="442">
        <f t="shared" ca="1" si="16"/>
        <v>115</v>
      </c>
      <c r="AM19" s="431">
        <f t="shared" ca="1" si="17"/>
        <v>10</v>
      </c>
      <c r="AN19" s="443">
        <f t="shared" ca="1" si="18"/>
        <v>2</v>
      </c>
      <c r="AO19" s="442">
        <f t="shared" ca="1" si="19"/>
        <v>0</v>
      </c>
      <c r="AP19" s="431">
        <f t="shared" ca="1" si="20"/>
        <v>0</v>
      </c>
      <c r="AQ19" s="443">
        <f t="shared" ca="1" si="21"/>
        <v>0</v>
      </c>
      <c r="AR19" s="431">
        <f t="shared" ca="1" si="22"/>
        <v>0</v>
      </c>
      <c r="AS19" s="431">
        <f t="shared" ca="1" si="23"/>
        <v>0</v>
      </c>
      <c r="AT19" s="443">
        <f t="shared" ca="1" si="24"/>
        <v>0</v>
      </c>
      <c r="AU19" s="431">
        <f t="shared" ca="1" si="44"/>
        <v>7366</v>
      </c>
      <c r="AV19" s="429">
        <f t="shared" ca="1" si="45"/>
        <v>0.30000000000000004</v>
      </c>
      <c r="AW19" s="431">
        <f t="shared" si="26"/>
        <v>2</v>
      </c>
      <c r="AX19" s="431">
        <f t="shared" si="27"/>
        <v>0</v>
      </c>
      <c r="AY19" s="431">
        <f t="shared" si="28"/>
        <v>2</v>
      </c>
      <c r="AZ19" s="431">
        <f t="shared" si="29"/>
        <v>0</v>
      </c>
      <c r="BA19" s="431">
        <f t="shared" si="30"/>
        <v>0</v>
      </c>
      <c r="BB19" s="431">
        <f t="shared" si="31"/>
        <v>0</v>
      </c>
      <c r="BC19" s="431">
        <f t="shared" si="32"/>
        <v>0</v>
      </c>
      <c r="BD19" s="431">
        <f t="shared" si="33"/>
        <v>2</v>
      </c>
      <c r="BE19" s="431">
        <f t="shared" si="34"/>
        <v>0</v>
      </c>
      <c r="BF19" s="431">
        <f t="shared" si="35"/>
        <v>1</v>
      </c>
      <c r="BG19" s="431">
        <f t="shared" si="36"/>
        <v>3</v>
      </c>
      <c r="BH19" s="431">
        <f t="shared" si="37"/>
        <v>1</v>
      </c>
      <c r="BI19" s="431">
        <f t="shared" si="38"/>
        <v>1</v>
      </c>
      <c r="BJ19" s="431">
        <f t="shared" si="39"/>
        <v>1</v>
      </c>
      <c r="BK19" s="431">
        <f t="shared" si="40"/>
        <v>0</v>
      </c>
      <c r="BL19" s="431">
        <f t="shared" si="41"/>
        <v>0</v>
      </c>
      <c r="BM19" s="431">
        <f t="shared" si="42"/>
        <v>0</v>
      </c>
      <c r="BN19" s="431">
        <f t="shared" si="43"/>
        <v>2</v>
      </c>
    </row>
    <row r="20" spans="1:66" ht="15.75" customHeight="1" x14ac:dyDescent="0.4">
      <c r="A20" s="436" t="s">
        <v>495</v>
      </c>
      <c r="B20" s="436"/>
      <c r="C20" s="436"/>
      <c r="D20" s="436"/>
      <c r="E20" s="436"/>
      <c r="F20" s="436"/>
      <c r="G20" s="436" t="s">
        <v>121</v>
      </c>
      <c r="H20" s="437"/>
      <c r="I20" s="438" t="s">
        <v>291</v>
      </c>
      <c r="J20" s="438"/>
      <c r="K20" s="438" t="s">
        <v>489</v>
      </c>
      <c r="L20" s="439"/>
      <c r="M20" s="439"/>
      <c r="N20" s="440"/>
      <c r="O20" s="440">
        <v>2455</v>
      </c>
      <c r="P20" s="430"/>
      <c r="Q20" s="430"/>
      <c r="R20" s="430"/>
      <c r="S20" s="430"/>
      <c r="T20" s="430"/>
      <c r="U20" s="430"/>
      <c r="V20" s="430"/>
      <c r="W20" s="430"/>
      <c r="X20" s="431"/>
      <c r="Y20" s="441">
        <v>44385</v>
      </c>
      <c r="Z20" s="442">
        <f t="shared" ca="1" si="4"/>
        <v>75</v>
      </c>
      <c r="AA20" s="431">
        <f t="shared" ca="1" si="5"/>
        <v>7</v>
      </c>
      <c r="AB20" s="443">
        <f t="shared" ca="1" si="6"/>
        <v>1</v>
      </c>
      <c r="AC20" s="442">
        <f t="shared" ca="1" si="7"/>
        <v>0</v>
      </c>
      <c r="AD20" s="431">
        <f t="shared" ca="1" si="8"/>
        <v>0</v>
      </c>
      <c r="AE20" s="443">
        <f t="shared" ca="1" si="9"/>
        <v>0</v>
      </c>
      <c r="AF20" s="442">
        <f t="shared" ca="1" si="10"/>
        <v>1330</v>
      </c>
      <c r="AG20" s="431">
        <f t="shared" ca="1" si="11"/>
        <v>111</v>
      </c>
      <c r="AH20" s="443">
        <f t="shared" ca="1" si="12"/>
        <v>12</v>
      </c>
      <c r="AI20" s="442">
        <f t="shared" ca="1" si="13"/>
        <v>240</v>
      </c>
      <c r="AJ20" s="431">
        <f t="shared" ca="1" si="14"/>
        <v>20</v>
      </c>
      <c r="AK20" s="443">
        <f t="shared" ca="1" si="15"/>
        <v>3</v>
      </c>
      <c r="AL20" s="442">
        <f t="shared" ca="1" si="16"/>
        <v>317.5</v>
      </c>
      <c r="AM20" s="431">
        <f t="shared" ca="1" si="17"/>
        <v>27</v>
      </c>
      <c r="AN20" s="443">
        <f t="shared" ca="1" si="18"/>
        <v>3</v>
      </c>
      <c r="AO20" s="442">
        <f t="shared" ca="1" si="19"/>
        <v>0</v>
      </c>
      <c r="AP20" s="431">
        <f t="shared" ca="1" si="20"/>
        <v>0</v>
      </c>
      <c r="AQ20" s="443">
        <f t="shared" ca="1" si="21"/>
        <v>0</v>
      </c>
      <c r="AR20" s="431">
        <f t="shared" ca="1" si="22"/>
        <v>0</v>
      </c>
      <c r="AS20" s="431">
        <f t="shared" ca="1" si="23"/>
        <v>0</v>
      </c>
      <c r="AT20" s="443">
        <f t="shared" ca="1" si="24"/>
        <v>0</v>
      </c>
      <c r="AU20" s="431">
        <f t="shared" ca="1" si="44"/>
        <v>282</v>
      </c>
      <c r="AV20" s="429">
        <f t="shared" ca="1" si="45"/>
        <v>0.1</v>
      </c>
      <c r="AW20" s="431">
        <f t="shared" si="26"/>
        <v>0</v>
      </c>
      <c r="AX20" s="431">
        <f t="shared" si="27"/>
        <v>1</v>
      </c>
      <c r="AY20" s="431">
        <f t="shared" si="28"/>
        <v>0</v>
      </c>
      <c r="AZ20" s="431">
        <f t="shared" si="29"/>
        <v>0</v>
      </c>
      <c r="BA20" s="431">
        <f t="shared" si="30"/>
        <v>0</v>
      </c>
      <c r="BB20" s="431">
        <f t="shared" si="31"/>
        <v>1</v>
      </c>
      <c r="BC20" s="431">
        <f t="shared" si="32"/>
        <v>0</v>
      </c>
      <c r="BD20" s="431">
        <f t="shared" si="33"/>
        <v>0</v>
      </c>
      <c r="BE20" s="431">
        <f t="shared" si="34"/>
        <v>1</v>
      </c>
      <c r="BF20" s="431">
        <f t="shared" si="35"/>
        <v>2</v>
      </c>
      <c r="BG20" s="431">
        <f t="shared" si="36"/>
        <v>0</v>
      </c>
      <c r="BH20" s="431">
        <f t="shared" si="37"/>
        <v>1</v>
      </c>
      <c r="BI20" s="431">
        <f t="shared" si="38"/>
        <v>1</v>
      </c>
      <c r="BJ20" s="431">
        <f t="shared" si="39"/>
        <v>0</v>
      </c>
      <c r="BK20" s="431">
        <f t="shared" si="40"/>
        <v>2</v>
      </c>
      <c r="BL20" s="431">
        <f t="shared" si="41"/>
        <v>0</v>
      </c>
      <c r="BM20" s="431">
        <f t="shared" si="42"/>
        <v>0</v>
      </c>
      <c r="BN20" s="431">
        <f t="shared" si="43"/>
        <v>0</v>
      </c>
    </row>
    <row r="21" spans="1:66" ht="15.75" customHeight="1" x14ac:dyDescent="0.4">
      <c r="A21" s="436" t="s">
        <v>496</v>
      </c>
      <c r="B21" s="436"/>
      <c r="C21" s="436"/>
      <c r="D21" s="436"/>
      <c r="E21" s="436"/>
      <c r="F21" s="436"/>
      <c r="G21" s="436" t="s">
        <v>44</v>
      </c>
      <c r="H21" s="437"/>
      <c r="I21" s="438" t="s">
        <v>234</v>
      </c>
      <c r="J21" s="438"/>
      <c r="K21" s="438" t="s">
        <v>474</v>
      </c>
      <c r="L21" s="439"/>
      <c r="M21" s="439"/>
      <c r="N21" s="440"/>
      <c r="O21" s="440">
        <v>1395</v>
      </c>
      <c r="P21" s="430"/>
      <c r="Q21" s="430"/>
      <c r="R21" s="430"/>
      <c r="S21" s="430"/>
      <c r="T21" s="430"/>
      <c r="U21" s="430"/>
      <c r="V21" s="430"/>
      <c r="W21" s="430"/>
      <c r="X21" s="431"/>
      <c r="Y21" s="441">
        <v>44392</v>
      </c>
      <c r="Z21" s="442">
        <f t="shared" ca="1" si="4"/>
        <v>3890</v>
      </c>
      <c r="AA21" s="431">
        <f t="shared" ca="1" si="5"/>
        <v>325</v>
      </c>
      <c r="AB21" s="443">
        <f t="shared" ca="1" si="6"/>
        <v>35</v>
      </c>
      <c r="AC21" s="442">
        <f t="shared" ca="1" si="7"/>
        <v>335</v>
      </c>
      <c r="AD21" s="431">
        <f t="shared" ca="1" si="8"/>
        <v>28</v>
      </c>
      <c r="AE21" s="443">
        <f t="shared" ca="1" si="9"/>
        <v>3</v>
      </c>
      <c r="AF21" s="442">
        <f t="shared" ca="1" si="10"/>
        <v>1237.5</v>
      </c>
      <c r="AG21" s="431">
        <f t="shared" ca="1" si="11"/>
        <v>104</v>
      </c>
      <c r="AH21" s="443">
        <f t="shared" ca="1" si="12"/>
        <v>11</v>
      </c>
      <c r="AI21" s="442">
        <f t="shared" ca="1" si="13"/>
        <v>522.5</v>
      </c>
      <c r="AJ21" s="431">
        <f t="shared" ca="1" si="14"/>
        <v>44</v>
      </c>
      <c r="AK21" s="443">
        <f t="shared" ca="1" si="15"/>
        <v>5</v>
      </c>
      <c r="AL21" s="442">
        <f t="shared" ca="1" si="16"/>
        <v>357.5</v>
      </c>
      <c r="AM21" s="431">
        <f t="shared" ca="1" si="17"/>
        <v>30</v>
      </c>
      <c r="AN21" s="443">
        <f t="shared" ca="1" si="18"/>
        <v>4</v>
      </c>
      <c r="AO21" s="442">
        <f t="shared" ca="1" si="19"/>
        <v>0</v>
      </c>
      <c r="AP21" s="431">
        <f t="shared" ca="1" si="20"/>
        <v>0</v>
      </c>
      <c r="AQ21" s="443">
        <f t="shared" ca="1" si="21"/>
        <v>0</v>
      </c>
      <c r="AR21" s="431">
        <f t="shared" ca="1" si="22"/>
        <v>182.5</v>
      </c>
      <c r="AS21" s="431">
        <f t="shared" ca="1" si="23"/>
        <v>16</v>
      </c>
      <c r="AT21" s="443">
        <f t="shared" ca="1" si="24"/>
        <v>2</v>
      </c>
      <c r="AU21" s="431">
        <f t="shared" ca="1" si="44"/>
        <v>25683</v>
      </c>
      <c r="AV21" s="429">
        <f t="shared" ca="1" si="45"/>
        <v>0.9</v>
      </c>
      <c r="AW21" s="431">
        <f t="shared" si="26"/>
        <v>3</v>
      </c>
      <c r="AX21" s="431">
        <f t="shared" si="27"/>
        <v>4</v>
      </c>
      <c r="AY21" s="431">
        <f t="shared" si="28"/>
        <v>2</v>
      </c>
      <c r="AZ21" s="431">
        <f t="shared" si="29"/>
        <v>3</v>
      </c>
      <c r="BA21" s="431">
        <f t="shared" si="30"/>
        <v>4</v>
      </c>
      <c r="BB21" s="431">
        <f t="shared" si="31"/>
        <v>1</v>
      </c>
      <c r="BC21" s="431">
        <f t="shared" si="32"/>
        <v>2</v>
      </c>
      <c r="BD21" s="431">
        <f t="shared" si="33"/>
        <v>0</v>
      </c>
      <c r="BE21" s="431">
        <f t="shared" si="34"/>
        <v>1</v>
      </c>
      <c r="BF21" s="431">
        <f t="shared" si="35"/>
        <v>1</v>
      </c>
      <c r="BG21" s="431">
        <f t="shared" si="36"/>
        <v>1</v>
      </c>
      <c r="BH21" s="431">
        <f t="shared" si="37"/>
        <v>2</v>
      </c>
      <c r="BI21" s="431">
        <f t="shared" si="38"/>
        <v>2</v>
      </c>
      <c r="BJ21" s="431">
        <f t="shared" si="39"/>
        <v>3</v>
      </c>
      <c r="BK21" s="431">
        <f t="shared" si="40"/>
        <v>2</v>
      </c>
      <c r="BL21" s="431">
        <f t="shared" si="41"/>
        <v>0</v>
      </c>
      <c r="BM21" s="431">
        <f t="shared" si="42"/>
        <v>2</v>
      </c>
      <c r="BN21" s="431">
        <f t="shared" si="43"/>
        <v>0</v>
      </c>
    </row>
    <row r="22" spans="1:66" ht="15.75" customHeight="1" x14ac:dyDescent="0.4">
      <c r="A22" s="436" t="s">
        <v>496</v>
      </c>
      <c r="B22" s="436"/>
      <c r="C22" s="436"/>
      <c r="D22" s="436"/>
      <c r="E22" s="436"/>
      <c r="F22" s="436"/>
      <c r="G22" s="436" t="s">
        <v>44</v>
      </c>
      <c r="H22" s="437"/>
      <c r="I22" s="438" t="s">
        <v>269</v>
      </c>
      <c r="J22" s="438"/>
      <c r="K22" s="438" t="s">
        <v>45</v>
      </c>
      <c r="L22" s="439"/>
      <c r="M22" s="439"/>
      <c r="N22" s="440"/>
      <c r="O22" s="440">
        <v>1395</v>
      </c>
      <c r="P22" s="430"/>
      <c r="Q22" s="430"/>
      <c r="R22" s="430"/>
      <c r="S22" s="430"/>
      <c r="T22" s="430"/>
      <c r="U22" s="430"/>
      <c r="V22" s="430"/>
      <c r="W22" s="430"/>
      <c r="X22" s="431"/>
      <c r="Y22" s="441">
        <v>44399</v>
      </c>
      <c r="Z22" s="442">
        <f t="shared" ca="1" si="4"/>
        <v>2005</v>
      </c>
      <c r="AA22" s="431">
        <f t="shared" ca="1" si="5"/>
        <v>168</v>
      </c>
      <c r="AB22" s="443">
        <f t="shared" ca="1" si="6"/>
        <v>18</v>
      </c>
      <c r="AC22" s="442">
        <f t="shared" ca="1" si="7"/>
        <v>0</v>
      </c>
      <c r="AD22" s="431">
        <f t="shared" ca="1" si="8"/>
        <v>0</v>
      </c>
      <c r="AE22" s="443">
        <f t="shared" ca="1" si="9"/>
        <v>0</v>
      </c>
      <c r="AF22" s="442">
        <f t="shared" ca="1" si="10"/>
        <v>190</v>
      </c>
      <c r="AG22" s="431">
        <f t="shared" ca="1" si="11"/>
        <v>16</v>
      </c>
      <c r="AH22" s="443">
        <f t="shared" ca="1" si="12"/>
        <v>2</v>
      </c>
      <c r="AI22" s="442">
        <f t="shared" ca="1" si="13"/>
        <v>945</v>
      </c>
      <c r="AJ22" s="431">
        <f t="shared" ca="1" si="14"/>
        <v>79</v>
      </c>
      <c r="AK22" s="443">
        <f t="shared" ca="1" si="15"/>
        <v>9</v>
      </c>
      <c r="AL22" s="442">
        <f t="shared" ca="1" si="16"/>
        <v>172.5</v>
      </c>
      <c r="AM22" s="431">
        <f t="shared" ca="1" si="17"/>
        <v>15</v>
      </c>
      <c r="AN22" s="443">
        <f t="shared" ca="1" si="18"/>
        <v>2</v>
      </c>
      <c r="AO22" s="442">
        <f t="shared" ca="1" si="19"/>
        <v>270</v>
      </c>
      <c r="AP22" s="431">
        <f t="shared" ca="1" si="20"/>
        <v>23</v>
      </c>
      <c r="AQ22" s="443">
        <f t="shared" ca="1" si="21"/>
        <v>3</v>
      </c>
      <c r="AR22" s="431">
        <f t="shared" ca="1" si="22"/>
        <v>0</v>
      </c>
      <c r="AS22" s="431">
        <f t="shared" ca="1" si="23"/>
        <v>0</v>
      </c>
      <c r="AT22" s="443">
        <f t="shared" ca="1" si="24"/>
        <v>0</v>
      </c>
      <c r="AU22" s="431">
        <f t="shared" ca="1" si="44"/>
        <v>12469</v>
      </c>
      <c r="AV22" s="429">
        <f t="shared" ca="1" si="45"/>
        <v>0.5</v>
      </c>
      <c r="AW22" s="431">
        <f t="shared" si="26"/>
        <v>3</v>
      </c>
      <c r="AX22" s="431">
        <f t="shared" si="27"/>
        <v>0</v>
      </c>
      <c r="AY22" s="431">
        <f t="shared" si="28"/>
        <v>1</v>
      </c>
      <c r="AZ22" s="431">
        <f t="shared" si="29"/>
        <v>0</v>
      </c>
      <c r="BA22" s="431">
        <f t="shared" si="30"/>
        <v>0</v>
      </c>
      <c r="BB22" s="431">
        <f t="shared" si="31"/>
        <v>0</v>
      </c>
      <c r="BC22" s="431">
        <f t="shared" si="32"/>
        <v>0</v>
      </c>
      <c r="BD22" s="431">
        <f t="shared" si="33"/>
        <v>2</v>
      </c>
      <c r="BE22" s="431">
        <f t="shared" si="34"/>
        <v>1</v>
      </c>
      <c r="BF22" s="431">
        <f t="shared" si="35"/>
        <v>0</v>
      </c>
      <c r="BG22" s="431">
        <f t="shared" si="36"/>
        <v>3</v>
      </c>
      <c r="BH22" s="431">
        <f t="shared" si="37"/>
        <v>2</v>
      </c>
      <c r="BI22" s="431">
        <f t="shared" si="38"/>
        <v>2</v>
      </c>
      <c r="BJ22" s="431">
        <f t="shared" si="39"/>
        <v>2</v>
      </c>
      <c r="BK22" s="431">
        <f t="shared" si="40"/>
        <v>3</v>
      </c>
      <c r="BL22" s="431">
        <f t="shared" si="41"/>
        <v>1</v>
      </c>
      <c r="BM22" s="431">
        <f t="shared" si="42"/>
        <v>0</v>
      </c>
      <c r="BN22" s="431">
        <f t="shared" si="43"/>
        <v>0</v>
      </c>
    </row>
    <row r="23" spans="1:66" ht="15.75" customHeight="1" x14ac:dyDescent="0.4">
      <c r="A23" s="436" t="s">
        <v>496</v>
      </c>
      <c r="B23" s="436"/>
      <c r="C23" s="436"/>
      <c r="D23" s="436"/>
      <c r="E23" s="436"/>
      <c r="F23" s="436"/>
      <c r="G23" s="436" t="s">
        <v>44</v>
      </c>
      <c r="H23" s="437"/>
      <c r="I23" s="438" t="s">
        <v>283</v>
      </c>
      <c r="J23" s="438"/>
      <c r="K23" s="438" t="s">
        <v>45</v>
      </c>
      <c r="L23" s="439"/>
      <c r="M23" s="439"/>
      <c r="N23" s="440"/>
      <c r="O23" s="440">
        <v>1395</v>
      </c>
      <c r="P23" s="430"/>
      <c r="Q23" s="430"/>
      <c r="R23" s="430"/>
      <c r="S23" s="430"/>
      <c r="T23" s="430"/>
      <c r="U23" s="430"/>
      <c r="V23" s="430"/>
      <c r="W23" s="430"/>
      <c r="X23" s="431"/>
      <c r="Y23" s="441">
        <v>44406</v>
      </c>
      <c r="Z23" s="442">
        <f t="shared" ca="1" si="4"/>
        <v>2922.5</v>
      </c>
      <c r="AA23" s="431">
        <f t="shared" ca="1" si="5"/>
        <v>244</v>
      </c>
      <c r="AB23" s="443">
        <f t="shared" ca="1" si="6"/>
        <v>26</v>
      </c>
      <c r="AC23" s="442">
        <f t="shared" ca="1" si="7"/>
        <v>665</v>
      </c>
      <c r="AD23" s="431">
        <f t="shared" ca="1" si="8"/>
        <v>56</v>
      </c>
      <c r="AE23" s="443">
        <f t="shared" ca="1" si="9"/>
        <v>6</v>
      </c>
      <c r="AF23" s="442">
        <f t="shared" ca="1" si="10"/>
        <v>1260</v>
      </c>
      <c r="AG23" s="431">
        <f t="shared" ca="1" si="11"/>
        <v>105</v>
      </c>
      <c r="AH23" s="443">
        <f t="shared" ca="1" si="12"/>
        <v>12</v>
      </c>
      <c r="AI23" s="442">
        <f t="shared" ca="1" si="13"/>
        <v>582.5</v>
      </c>
      <c r="AJ23" s="431">
        <f t="shared" ca="1" si="14"/>
        <v>49</v>
      </c>
      <c r="AK23" s="443">
        <f t="shared" ca="1" si="15"/>
        <v>6</v>
      </c>
      <c r="AL23" s="442">
        <f t="shared" ca="1" si="16"/>
        <v>0</v>
      </c>
      <c r="AM23" s="431">
        <f t="shared" ca="1" si="17"/>
        <v>0</v>
      </c>
      <c r="AN23" s="443">
        <f t="shared" ca="1" si="18"/>
        <v>0</v>
      </c>
      <c r="AO23" s="442">
        <f t="shared" ca="1" si="19"/>
        <v>0</v>
      </c>
      <c r="AP23" s="431">
        <f t="shared" ca="1" si="20"/>
        <v>0</v>
      </c>
      <c r="AQ23" s="443">
        <f t="shared" ca="1" si="21"/>
        <v>0</v>
      </c>
      <c r="AR23" s="431">
        <f t="shared" ca="1" si="22"/>
        <v>0</v>
      </c>
      <c r="AS23" s="431">
        <f t="shared" ca="1" si="23"/>
        <v>0</v>
      </c>
      <c r="AT23" s="443">
        <f t="shared" ca="1" si="24"/>
        <v>0</v>
      </c>
      <c r="AU23" s="431">
        <f t="shared" ca="1" si="44"/>
        <v>13048</v>
      </c>
      <c r="AV23" s="429">
        <f t="shared" ca="1" si="45"/>
        <v>0.5</v>
      </c>
      <c r="AW23" s="431">
        <f t="shared" si="26"/>
        <v>5</v>
      </c>
      <c r="AX23" s="431">
        <f t="shared" si="27"/>
        <v>0</v>
      </c>
      <c r="AY23" s="431">
        <f t="shared" si="28"/>
        <v>0</v>
      </c>
      <c r="AZ23" s="431">
        <f t="shared" si="29"/>
        <v>0</v>
      </c>
      <c r="BA23" s="431">
        <f t="shared" si="30"/>
        <v>0</v>
      </c>
      <c r="BB23" s="431">
        <f t="shared" si="31"/>
        <v>0</v>
      </c>
      <c r="BC23" s="431">
        <f t="shared" si="32"/>
        <v>1</v>
      </c>
      <c r="BD23" s="431">
        <f t="shared" si="33"/>
        <v>1</v>
      </c>
      <c r="BE23" s="431">
        <f t="shared" si="34"/>
        <v>0</v>
      </c>
      <c r="BF23" s="431">
        <f t="shared" si="35"/>
        <v>0</v>
      </c>
      <c r="BG23" s="431">
        <f t="shared" si="36"/>
        <v>3</v>
      </c>
      <c r="BH23" s="431">
        <f t="shared" si="37"/>
        <v>3</v>
      </c>
      <c r="BI23" s="431">
        <f t="shared" si="38"/>
        <v>0</v>
      </c>
      <c r="BJ23" s="431">
        <f t="shared" si="39"/>
        <v>7</v>
      </c>
      <c r="BK23" s="431">
        <f t="shared" si="40"/>
        <v>2</v>
      </c>
      <c r="BL23" s="431">
        <f t="shared" si="41"/>
        <v>1</v>
      </c>
      <c r="BM23" s="431">
        <f t="shared" si="42"/>
        <v>0</v>
      </c>
      <c r="BN23" s="431">
        <f t="shared" si="43"/>
        <v>1</v>
      </c>
    </row>
    <row r="24" spans="1:66" ht="15.75" customHeight="1" x14ac:dyDescent="0.4">
      <c r="A24" s="436" t="s">
        <v>497</v>
      </c>
      <c r="B24" s="436"/>
      <c r="C24" s="436"/>
      <c r="D24" s="436"/>
      <c r="E24" s="436"/>
      <c r="F24" s="436"/>
      <c r="G24" s="436" t="s">
        <v>121</v>
      </c>
      <c r="H24" s="437"/>
      <c r="I24" s="438" t="s">
        <v>291</v>
      </c>
      <c r="J24" s="438"/>
      <c r="K24" s="438" t="s">
        <v>489</v>
      </c>
      <c r="L24" s="439"/>
      <c r="M24" s="439"/>
      <c r="N24" s="440"/>
      <c r="O24" s="440">
        <v>15000</v>
      </c>
      <c r="P24" s="430"/>
      <c r="Q24" s="430"/>
      <c r="R24" s="430"/>
      <c r="S24" s="430"/>
      <c r="T24" s="430"/>
      <c r="U24" s="430"/>
      <c r="V24" s="430"/>
      <c r="W24" s="430"/>
      <c r="X24" s="431"/>
      <c r="Y24" s="441">
        <v>44413</v>
      </c>
      <c r="Z24" s="442">
        <f t="shared" ca="1" si="4"/>
        <v>2437.5</v>
      </c>
      <c r="AA24" s="431">
        <f t="shared" ca="1" si="5"/>
        <v>204</v>
      </c>
      <c r="AB24" s="443">
        <f t="shared" ca="1" si="6"/>
        <v>22</v>
      </c>
      <c r="AC24" s="442">
        <f t="shared" ca="1" si="7"/>
        <v>455</v>
      </c>
      <c r="AD24" s="431">
        <f t="shared" ca="1" si="8"/>
        <v>38</v>
      </c>
      <c r="AE24" s="443">
        <f t="shared" ca="1" si="9"/>
        <v>4</v>
      </c>
      <c r="AF24" s="442">
        <f t="shared" ca="1" si="10"/>
        <v>1772.5</v>
      </c>
      <c r="AG24" s="431">
        <f t="shared" ca="1" si="11"/>
        <v>148</v>
      </c>
      <c r="AH24" s="443">
        <f t="shared" ca="1" si="12"/>
        <v>16</v>
      </c>
      <c r="AI24" s="442">
        <f t="shared" ca="1" si="13"/>
        <v>415</v>
      </c>
      <c r="AJ24" s="431">
        <f t="shared" ca="1" si="14"/>
        <v>35</v>
      </c>
      <c r="AK24" s="443">
        <f t="shared" ca="1" si="15"/>
        <v>4</v>
      </c>
      <c r="AL24" s="442">
        <f t="shared" ca="1" si="16"/>
        <v>310</v>
      </c>
      <c r="AM24" s="431">
        <f t="shared" ca="1" si="17"/>
        <v>26</v>
      </c>
      <c r="AN24" s="443">
        <f t="shared" ca="1" si="18"/>
        <v>3</v>
      </c>
      <c r="AO24" s="442">
        <f t="shared" ca="1" si="19"/>
        <v>430</v>
      </c>
      <c r="AP24" s="431">
        <f t="shared" ca="1" si="20"/>
        <v>36</v>
      </c>
      <c r="AQ24" s="443">
        <f t="shared" ca="1" si="21"/>
        <v>4</v>
      </c>
      <c r="AR24" s="431">
        <f t="shared" ca="1" si="22"/>
        <v>0</v>
      </c>
      <c r="AS24" s="431">
        <f t="shared" ca="1" si="23"/>
        <v>0</v>
      </c>
      <c r="AT24" s="443">
        <f t="shared" ca="1" si="24"/>
        <v>0</v>
      </c>
      <c r="AU24" s="431">
        <f t="shared" ca="1" si="44"/>
        <v>14680</v>
      </c>
      <c r="AV24" s="429">
        <f t="shared" ca="1" si="45"/>
        <v>0.5</v>
      </c>
      <c r="AW24" s="431">
        <f t="shared" si="26"/>
        <v>4</v>
      </c>
      <c r="AX24" s="431">
        <f t="shared" si="27"/>
        <v>1</v>
      </c>
      <c r="AY24" s="431">
        <f t="shared" si="28"/>
        <v>0</v>
      </c>
      <c r="AZ24" s="431">
        <f t="shared" si="29"/>
        <v>0</v>
      </c>
      <c r="BA24" s="431">
        <f t="shared" si="30"/>
        <v>0</v>
      </c>
      <c r="BB24" s="431">
        <f t="shared" si="31"/>
        <v>3</v>
      </c>
      <c r="BC24" s="431">
        <f t="shared" si="32"/>
        <v>1</v>
      </c>
      <c r="BD24" s="431">
        <f t="shared" si="33"/>
        <v>0</v>
      </c>
      <c r="BE24" s="431">
        <f t="shared" si="34"/>
        <v>3</v>
      </c>
      <c r="BF24" s="431">
        <f t="shared" si="35"/>
        <v>2</v>
      </c>
      <c r="BG24" s="431">
        <f t="shared" si="36"/>
        <v>4</v>
      </c>
      <c r="BH24" s="431">
        <f t="shared" si="37"/>
        <v>2</v>
      </c>
      <c r="BI24" s="431">
        <f t="shared" si="38"/>
        <v>3</v>
      </c>
      <c r="BJ24" s="431">
        <f t="shared" si="39"/>
        <v>0</v>
      </c>
      <c r="BK24" s="431">
        <f t="shared" si="40"/>
        <v>2</v>
      </c>
      <c r="BL24" s="431">
        <f t="shared" si="41"/>
        <v>0</v>
      </c>
      <c r="BM24" s="431">
        <f t="shared" si="42"/>
        <v>0</v>
      </c>
      <c r="BN24" s="431">
        <f t="shared" si="43"/>
        <v>0</v>
      </c>
    </row>
    <row r="25" spans="1:66" ht="15.75" customHeight="1" x14ac:dyDescent="0.4">
      <c r="A25" s="436" t="s">
        <v>455</v>
      </c>
      <c r="B25" s="436"/>
      <c r="C25" s="436"/>
      <c r="D25" s="436"/>
      <c r="E25" s="436"/>
      <c r="F25" s="436"/>
      <c r="G25" s="436" t="s">
        <v>214</v>
      </c>
      <c r="H25" s="437"/>
      <c r="I25" s="438" t="s">
        <v>378</v>
      </c>
      <c r="J25" s="438"/>
      <c r="K25" s="438" t="s">
        <v>498</v>
      </c>
      <c r="L25" s="439"/>
      <c r="M25" s="439"/>
      <c r="N25" s="440"/>
      <c r="O25" s="440">
        <v>3855</v>
      </c>
      <c r="P25" s="430"/>
      <c r="Q25" s="430"/>
      <c r="R25" s="430"/>
      <c r="S25" s="430"/>
      <c r="T25" s="430"/>
      <c r="U25" s="430"/>
      <c r="V25" s="430"/>
      <c r="W25" s="430"/>
      <c r="X25" s="431"/>
      <c r="Z25" s="442"/>
      <c r="AA25" s="431"/>
      <c r="AB25" s="443"/>
      <c r="AC25" s="442"/>
      <c r="AD25" s="431"/>
      <c r="AE25" s="443"/>
      <c r="AF25" s="442"/>
      <c r="AG25" s="431"/>
      <c r="AH25" s="443"/>
      <c r="AI25" s="442"/>
      <c r="AJ25" s="431"/>
      <c r="AK25" s="443"/>
      <c r="AL25" s="442"/>
      <c r="AM25" s="431"/>
      <c r="AN25" s="443"/>
      <c r="AO25" s="442"/>
      <c r="AP25" s="431"/>
      <c r="AQ25" s="443"/>
      <c r="AR25" s="431"/>
      <c r="AS25" s="431"/>
      <c r="AT25" s="443"/>
      <c r="AU25" s="431"/>
      <c r="AV25" s="443"/>
      <c r="AW25" s="431"/>
      <c r="AX25" s="431"/>
      <c r="AY25" s="431"/>
      <c r="AZ25" s="431"/>
      <c r="BA25" s="431"/>
      <c r="BB25" s="431"/>
      <c r="BC25" s="431"/>
      <c r="BD25" s="431"/>
      <c r="BE25" s="431"/>
      <c r="BF25" s="431"/>
      <c r="BG25" s="431"/>
      <c r="BH25" s="431"/>
      <c r="BI25" s="431"/>
      <c r="BJ25" s="431"/>
      <c r="BK25" s="431"/>
      <c r="BL25" s="431"/>
      <c r="BM25" s="431"/>
      <c r="BN25" s="431"/>
    </row>
    <row r="26" spans="1:66" ht="15.75" customHeight="1" x14ac:dyDescent="0.4">
      <c r="A26" s="436" t="s">
        <v>499</v>
      </c>
      <c r="B26" s="436"/>
      <c r="C26" s="436"/>
      <c r="D26" s="436"/>
      <c r="E26" s="436"/>
      <c r="F26" s="436"/>
      <c r="G26" s="436" t="s">
        <v>194</v>
      </c>
      <c r="H26" s="437"/>
      <c r="I26" s="438" t="s">
        <v>340</v>
      </c>
      <c r="J26" s="438"/>
      <c r="K26" s="438" t="s">
        <v>480</v>
      </c>
      <c r="L26" s="439"/>
      <c r="M26" s="439"/>
      <c r="N26" s="440"/>
      <c r="O26" s="440">
        <v>2355</v>
      </c>
      <c r="P26" s="430"/>
      <c r="Q26" s="430"/>
      <c r="R26" s="430"/>
      <c r="S26" s="430"/>
      <c r="T26" s="430"/>
      <c r="U26" s="430"/>
      <c r="V26" s="430"/>
      <c r="W26" s="430"/>
      <c r="X26" s="431"/>
      <c r="Z26" s="442"/>
      <c r="AA26" s="431"/>
      <c r="AB26" s="443"/>
      <c r="AC26" s="442"/>
      <c r="AD26" s="431"/>
      <c r="AE26" s="443"/>
      <c r="AF26" s="442"/>
      <c r="AG26" s="431"/>
      <c r="AH26" s="443"/>
      <c r="AI26" s="442"/>
      <c r="AJ26" s="431"/>
      <c r="AK26" s="443"/>
      <c r="AL26" s="442"/>
      <c r="AM26" s="431"/>
      <c r="AN26" s="443"/>
      <c r="AO26" s="442"/>
      <c r="AP26" s="431"/>
      <c r="AQ26" s="443"/>
      <c r="AR26" s="431"/>
      <c r="AS26" s="431"/>
      <c r="AT26" s="443"/>
      <c r="AU26" s="431"/>
      <c r="AV26" s="443"/>
      <c r="AW26" s="431"/>
      <c r="AX26" s="431"/>
      <c r="AY26" s="431"/>
      <c r="AZ26" s="431"/>
      <c r="BA26" s="431"/>
      <c r="BB26" s="431"/>
      <c r="BC26" s="431"/>
      <c r="BD26" s="431"/>
      <c r="BE26" s="431"/>
      <c r="BF26" s="431"/>
      <c r="BG26" s="431"/>
      <c r="BH26" s="431"/>
      <c r="BI26" s="431"/>
      <c r="BJ26" s="431"/>
      <c r="BK26" s="431"/>
      <c r="BL26" s="431"/>
      <c r="BM26" s="431"/>
      <c r="BN26" s="431"/>
    </row>
    <row r="27" spans="1:66" ht="15.75" customHeight="1" x14ac:dyDescent="0.4">
      <c r="A27" s="436" t="s">
        <v>242</v>
      </c>
      <c r="B27" s="436"/>
      <c r="C27" s="436"/>
      <c r="D27" s="436"/>
      <c r="E27" s="436"/>
      <c r="F27" s="436"/>
      <c r="G27" s="436" t="s">
        <v>113</v>
      </c>
      <c r="H27" s="437"/>
      <c r="I27" s="438" t="s">
        <v>304</v>
      </c>
      <c r="J27" s="438"/>
      <c r="K27" s="438" t="s">
        <v>480</v>
      </c>
      <c r="L27" s="439"/>
      <c r="M27" s="439"/>
      <c r="N27" s="440"/>
      <c r="O27" s="440">
        <f>2683+77</f>
        <v>2760</v>
      </c>
      <c r="P27" s="430"/>
      <c r="Q27" s="430"/>
      <c r="R27" s="430"/>
      <c r="S27" s="430"/>
      <c r="T27" s="430"/>
      <c r="U27" s="430"/>
      <c r="V27" s="430"/>
      <c r="W27" s="430"/>
      <c r="X27" s="449"/>
      <c r="Z27" s="450"/>
      <c r="AA27" s="449"/>
      <c r="AB27" s="451"/>
      <c r="AC27" s="450"/>
      <c r="AD27" s="449"/>
      <c r="AE27" s="451"/>
      <c r="AF27" s="450"/>
      <c r="AG27" s="449"/>
      <c r="AH27" s="451"/>
      <c r="AI27" s="450"/>
      <c r="AJ27" s="449"/>
      <c r="AK27" s="451"/>
      <c r="AL27" s="450"/>
      <c r="AM27" s="449"/>
      <c r="AN27" s="451"/>
      <c r="AO27" s="450"/>
      <c r="AP27" s="449"/>
      <c r="AQ27" s="451"/>
      <c r="AR27" s="449"/>
      <c r="AS27" s="449"/>
      <c r="AT27" s="451"/>
      <c r="AU27" s="449"/>
      <c r="AV27" s="451"/>
      <c r="AW27" s="449"/>
      <c r="AX27" s="449"/>
      <c r="AY27" s="449"/>
      <c r="AZ27" s="449"/>
      <c r="BA27" s="449"/>
      <c r="BB27" s="449"/>
      <c r="BC27" s="449"/>
      <c r="BD27" s="449"/>
      <c r="BE27" s="449"/>
      <c r="BF27" s="449"/>
      <c r="BG27" s="449"/>
      <c r="BH27" s="449"/>
      <c r="BI27" s="449"/>
      <c r="BJ27" s="449"/>
      <c r="BK27" s="449"/>
      <c r="BL27" s="449"/>
      <c r="BM27" s="449"/>
      <c r="BN27" s="449"/>
    </row>
    <row r="28" spans="1:66" ht="15.75" customHeight="1" x14ac:dyDescent="0.4">
      <c r="A28" s="436" t="s">
        <v>476</v>
      </c>
      <c r="B28" s="436"/>
      <c r="C28" s="436"/>
      <c r="D28" s="436"/>
      <c r="E28" s="436"/>
      <c r="F28" s="436"/>
      <c r="G28" s="436" t="s">
        <v>124</v>
      </c>
      <c r="H28" s="437"/>
      <c r="I28" s="438" t="s">
        <v>369</v>
      </c>
      <c r="J28" s="438"/>
      <c r="K28" s="438" t="s">
        <v>492</v>
      </c>
      <c r="L28" s="439"/>
      <c r="M28" s="439"/>
      <c r="N28" s="440"/>
      <c r="O28" s="440">
        <v>3738.5</v>
      </c>
      <c r="P28" s="430"/>
      <c r="Q28" s="430"/>
      <c r="R28" s="430"/>
      <c r="S28" s="430"/>
      <c r="T28" s="430"/>
      <c r="U28" s="430"/>
      <c r="V28" s="430"/>
      <c r="W28" s="430"/>
      <c r="X28" s="449"/>
      <c r="Z28" s="450"/>
      <c r="AA28" s="449"/>
      <c r="AB28" s="451"/>
      <c r="AC28" s="450"/>
      <c r="AD28" s="449"/>
      <c r="AE28" s="451"/>
      <c r="AF28" s="450"/>
      <c r="AG28" s="449"/>
      <c r="AH28" s="451"/>
      <c r="AI28" s="450"/>
      <c r="AJ28" s="449"/>
      <c r="AK28" s="451"/>
      <c r="AL28" s="450"/>
      <c r="AM28" s="449"/>
      <c r="AN28" s="451"/>
      <c r="AO28" s="450"/>
      <c r="AP28" s="449"/>
      <c r="AQ28" s="451"/>
      <c r="AR28" s="449"/>
      <c r="AS28" s="449"/>
      <c r="AT28" s="451"/>
      <c r="AU28" s="449"/>
      <c r="AV28" s="451"/>
      <c r="AW28" s="449"/>
      <c r="AX28" s="449"/>
      <c r="AY28" s="449"/>
      <c r="AZ28" s="449"/>
      <c r="BA28" s="449"/>
      <c r="BB28" s="449"/>
      <c r="BC28" s="449"/>
      <c r="BD28" s="449"/>
      <c r="BE28" s="449"/>
      <c r="BF28" s="449"/>
      <c r="BG28" s="449"/>
      <c r="BH28" s="449"/>
      <c r="BI28" s="449"/>
      <c r="BJ28" s="449"/>
      <c r="BK28" s="449"/>
      <c r="BL28" s="449"/>
      <c r="BM28" s="449"/>
      <c r="BN28" s="449"/>
    </row>
    <row r="29" spans="1:66" ht="15.75" customHeight="1" x14ac:dyDescent="0.4">
      <c r="A29" s="444" t="s">
        <v>500</v>
      </c>
      <c r="B29" s="444"/>
      <c r="C29" s="444"/>
      <c r="D29" s="444"/>
      <c r="E29" s="444"/>
      <c r="F29" s="444"/>
      <c r="G29" s="444" t="s">
        <v>218</v>
      </c>
      <c r="H29" s="445"/>
      <c r="I29" s="446" t="s">
        <v>116</v>
      </c>
      <c r="J29" s="446"/>
      <c r="K29" s="446" t="s">
        <v>480</v>
      </c>
      <c r="L29" s="447"/>
      <c r="M29" s="447"/>
      <c r="N29" s="448"/>
      <c r="O29" s="448">
        <v>7500</v>
      </c>
      <c r="P29" s="430"/>
      <c r="Q29" s="430"/>
      <c r="R29" s="430"/>
      <c r="S29" s="430"/>
      <c r="T29" s="430"/>
      <c r="U29" s="430"/>
      <c r="V29" s="430"/>
      <c r="W29" s="430"/>
      <c r="X29" s="449"/>
      <c r="Z29" s="450"/>
      <c r="AA29" s="449"/>
      <c r="AB29" s="451"/>
      <c r="AC29" s="450"/>
      <c r="AD29" s="449"/>
      <c r="AE29" s="451"/>
      <c r="AF29" s="450"/>
      <c r="AG29" s="449"/>
      <c r="AH29" s="451"/>
      <c r="AI29" s="450"/>
      <c r="AJ29" s="449"/>
      <c r="AK29" s="451"/>
      <c r="AL29" s="450"/>
      <c r="AM29" s="449"/>
      <c r="AN29" s="451"/>
      <c r="AO29" s="450"/>
      <c r="AP29" s="449"/>
      <c r="AQ29" s="451"/>
      <c r="AR29" s="449"/>
      <c r="AS29" s="449"/>
      <c r="AT29" s="451"/>
      <c r="AU29" s="449"/>
      <c r="AV29" s="451"/>
      <c r="AW29" s="449"/>
      <c r="AX29" s="449"/>
      <c r="AY29" s="449"/>
      <c r="AZ29" s="449"/>
      <c r="BA29" s="449"/>
      <c r="BB29" s="449"/>
      <c r="BC29" s="449"/>
      <c r="BD29" s="449"/>
      <c r="BE29" s="449"/>
      <c r="BF29" s="449"/>
      <c r="BG29" s="449"/>
      <c r="BH29" s="449"/>
      <c r="BI29" s="449"/>
      <c r="BJ29" s="449"/>
      <c r="BK29" s="449"/>
      <c r="BL29" s="449"/>
      <c r="BM29" s="449"/>
      <c r="BN29" s="449"/>
    </row>
    <row r="30" spans="1:66" ht="15.75" customHeight="1" x14ac:dyDescent="0.4">
      <c r="A30" s="436" t="s">
        <v>501</v>
      </c>
      <c r="B30" s="436"/>
      <c r="C30" s="436"/>
      <c r="D30" s="436"/>
      <c r="E30" s="436"/>
      <c r="F30" s="436"/>
      <c r="G30" s="436" t="s">
        <v>60</v>
      </c>
      <c r="H30" s="437"/>
      <c r="I30" s="438" t="s">
        <v>81</v>
      </c>
      <c r="J30" s="438"/>
      <c r="K30" s="438" t="s">
        <v>502</v>
      </c>
      <c r="L30" s="439"/>
      <c r="M30" s="439"/>
      <c r="N30" s="440"/>
      <c r="O30" s="440">
        <v>3200</v>
      </c>
      <c r="P30" s="430"/>
      <c r="Q30" s="430"/>
      <c r="R30" s="430"/>
      <c r="S30" s="430"/>
      <c r="T30" s="430"/>
      <c r="U30" s="430"/>
      <c r="V30" s="430"/>
      <c r="W30" s="430"/>
      <c r="X30" s="449"/>
      <c r="Z30" s="450"/>
      <c r="AA30" s="449"/>
      <c r="AB30" s="451"/>
      <c r="AC30" s="450"/>
      <c r="AD30" s="449"/>
      <c r="AE30" s="451"/>
      <c r="AF30" s="450"/>
      <c r="AG30" s="449"/>
      <c r="AH30" s="451"/>
      <c r="AI30" s="450"/>
      <c r="AJ30" s="449"/>
      <c r="AK30" s="451"/>
      <c r="AL30" s="450"/>
      <c r="AM30" s="449"/>
      <c r="AN30" s="451"/>
      <c r="AO30" s="450"/>
      <c r="AP30" s="449"/>
      <c r="AQ30" s="451"/>
      <c r="AR30" s="449"/>
      <c r="AS30" s="449"/>
      <c r="AT30" s="451"/>
      <c r="AU30" s="449"/>
      <c r="AV30" s="451"/>
      <c r="AW30" s="449"/>
      <c r="AX30" s="449"/>
      <c r="AY30" s="449"/>
      <c r="AZ30" s="449"/>
      <c r="BA30" s="449"/>
      <c r="BB30" s="449"/>
      <c r="BC30" s="449"/>
      <c r="BD30" s="449"/>
      <c r="BE30" s="449"/>
      <c r="BF30" s="449"/>
      <c r="BG30" s="449"/>
      <c r="BH30" s="449"/>
      <c r="BI30" s="449"/>
      <c r="BJ30" s="449"/>
      <c r="BK30" s="449"/>
      <c r="BL30" s="449"/>
      <c r="BM30" s="449"/>
      <c r="BN30" s="449"/>
    </row>
    <row r="31" spans="1:66" ht="15.75" customHeight="1" x14ac:dyDescent="0.4">
      <c r="A31" s="436" t="s">
        <v>504</v>
      </c>
      <c r="B31" s="436"/>
      <c r="C31" s="436"/>
      <c r="D31" s="436"/>
      <c r="E31" s="436"/>
      <c r="F31" s="436"/>
      <c r="G31" s="436" t="s">
        <v>60</v>
      </c>
      <c r="H31" s="437"/>
      <c r="I31" s="438" t="s">
        <v>81</v>
      </c>
      <c r="J31" s="438"/>
      <c r="K31" s="438" t="s">
        <v>502</v>
      </c>
      <c r="L31" s="439"/>
      <c r="M31" s="439"/>
      <c r="N31" s="440"/>
      <c r="O31" s="440">
        <v>3200</v>
      </c>
      <c r="P31" s="430"/>
      <c r="Q31" s="430"/>
      <c r="R31" s="430"/>
      <c r="S31" s="430"/>
      <c r="T31" s="430"/>
      <c r="U31" s="430"/>
      <c r="V31" s="430"/>
      <c r="W31" s="430"/>
      <c r="X31" s="449"/>
      <c r="Z31" s="450"/>
      <c r="AA31" s="449"/>
      <c r="AB31" s="451"/>
      <c r="AC31" s="450"/>
      <c r="AD31" s="449"/>
      <c r="AE31" s="451"/>
      <c r="AF31" s="450"/>
      <c r="AG31" s="449"/>
      <c r="AH31" s="451"/>
      <c r="AI31" s="450"/>
      <c r="AJ31" s="449"/>
      <c r="AK31" s="451"/>
      <c r="AL31" s="450"/>
      <c r="AM31" s="449"/>
      <c r="AN31" s="451"/>
      <c r="AO31" s="450"/>
      <c r="AP31" s="449"/>
      <c r="AQ31" s="451"/>
      <c r="AR31" s="449"/>
      <c r="AS31" s="449"/>
      <c r="AT31" s="451"/>
      <c r="AU31" s="449"/>
      <c r="AV31" s="451"/>
      <c r="AW31" s="449"/>
      <c r="AX31" s="449"/>
      <c r="AY31" s="449"/>
      <c r="AZ31" s="449"/>
      <c r="BA31" s="449"/>
      <c r="BB31" s="449"/>
      <c r="BC31" s="449"/>
      <c r="BD31" s="449"/>
      <c r="BE31" s="449"/>
      <c r="BF31" s="449"/>
      <c r="BG31" s="449"/>
      <c r="BH31" s="449"/>
      <c r="BI31" s="449"/>
      <c r="BJ31" s="449"/>
      <c r="BK31" s="449"/>
      <c r="BL31" s="449"/>
      <c r="BM31" s="449"/>
      <c r="BN31" s="449"/>
    </row>
    <row r="32" spans="1:66" ht="15.75" customHeight="1" x14ac:dyDescent="0.4">
      <c r="A32" s="436" t="s">
        <v>505</v>
      </c>
      <c r="B32" s="436"/>
      <c r="C32" s="436"/>
      <c r="D32" s="436"/>
      <c r="E32" s="436"/>
      <c r="F32" s="436"/>
      <c r="G32" s="436" t="s">
        <v>60</v>
      </c>
      <c r="H32" s="437"/>
      <c r="I32" s="438" t="s">
        <v>81</v>
      </c>
      <c r="J32" s="438"/>
      <c r="K32" s="438" t="s">
        <v>502</v>
      </c>
      <c r="L32" s="439"/>
      <c r="M32" s="439"/>
      <c r="N32" s="440"/>
      <c r="O32" s="440">
        <v>3200</v>
      </c>
      <c r="P32" s="430"/>
      <c r="Q32" s="430"/>
      <c r="R32" s="430"/>
      <c r="S32" s="430"/>
      <c r="T32" s="430"/>
      <c r="U32" s="430"/>
      <c r="V32" s="430"/>
      <c r="W32" s="430"/>
      <c r="X32" s="449"/>
      <c r="Z32" s="450"/>
      <c r="AA32" s="449"/>
      <c r="AB32" s="451"/>
      <c r="AC32" s="450"/>
      <c r="AD32" s="449"/>
      <c r="AE32" s="451"/>
      <c r="AF32" s="450"/>
      <c r="AG32" s="449"/>
      <c r="AH32" s="451"/>
      <c r="AI32" s="450"/>
      <c r="AJ32" s="449"/>
      <c r="AK32" s="451"/>
      <c r="AL32" s="450"/>
      <c r="AM32" s="449"/>
      <c r="AN32" s="451"/>
      <c r="AO32" s="450"/>
      <c r="AP32" s="449"/>
      <c r="AQ32" s="451"/>
      <c r="AR32" s="449"/>
      <c r="AS32" s="449"/>
      <c r="AT32" s="451"/>
      <c r="AU32" s="449"/>
      <c r="AV32" s="451"/>
      <c r="AW32" s="449"/>
      <c r="AX32" s="449"/>
      <c r="AY32" s="449"/>
      <c r="AZ32" s="449"/>
      <c r="BA32" s="449"/>
      <c r="BB32" s="449"/>
      <c r="BC32" s="449"/>
      <c r="BD32" s="449"/>
      <c r="BE32" s="449"/>
      <c r="BF32" s="449"/>
      <c r="BG32" s="449"/>
      <c r="BH32" s="449"/>
      <c r="BI32" s="449"/>
      <c r="BJ32" s="449"/>
      <c r="BK32" s="449"/>
      <c r="BL32" s="449"/>
      <c r="BM32" s="449"/>
      <c r="BN32" s="449"/>
    </row>
    <row r="33" spans="1:66" ht="15.75" customHeight="1" x14ac:dyDescent="0.4">
      <c r="A33" s="436" t="s">
        <v>506</v>
      </c>
      <c r="B33" s="436"/>
      <c r="C33" s="436"/>
      <c r="D33" s="436"/>
      <c r="E33" s="436"/>
      <c r="F33" s="436"/>
      <c r="G33" s="436" t="s">
        <v>60</v>
      </c>
      <c r="H33" s="437"/>
      <c r="I33" s="438" t="s">
        <v>81</v>
      </c>
      <c r="J33" s="438"/>
      <c r="K33" s="438" t="s">
        <v>502</v>
      </c>
      <c r="L33" s="439"/>
      <c r="M33" s="439"/>
      <c r="N33" s="440"/>
      <c r="O33" s="440">
        <v>3200</v>
      </c>
      <c r="P33" s="430"/>
      <c r="Q33" s="430"/>
      <c r="R33" s="430"/>
      <c r="S33" s="430"/>
      <c r="T33" s="430"/>
      <c r="U33" s="430"/>
      <c r="V33" s="430"/>
      <c r="W33" s="430"/>
      <c r="X33" s="449"/>
      <c r="Z33" s="450"/>
      <c r="AA33" s="449"/>
      <c r="AB33" s="451"/>
      <c r="AC33" s="450"/>
      <c r="AD33" s="449"/>
      <c r="AE33" s="451"/>
      <c r="AF33" s="450"/>
      <c r="AG33" s="449"/>
      <c r="AH33" s="451"/>
      <c r="AI33" s="450"/>
      <c r="AJ33" s="449"/>
      <c r="AK33" s="451"/>
      <c r="AL33" s="450"/>
      <c r="AM33" s="449"/>
      <c r="AN33" s="451"/>
      <c r="AO33" s="450"/>
      <c r="AP33" s="449"/>
      <c r="AQ33" s="451"/>
      <c r="AR33" s="449"/>
      <c r="AS33" s="449"/>
      <c r="AT33" s="451"/>
      <c r="AU33" s="449"/>
      <c r="AV33" s="451"/>
      <c r="AW33" s="449"/>
      <c r="AX33" s="449"/>
      <c r="AY33" s="449"/>
      <c r="AZ33" s="449"/>
      <c r="BA33" s="449"/>
      <c r="BB33" s="449"/>
      <c r="BC33" s="449"/>
      <c r="BD33" s="449"/>
      <c r="BE33" s="449"/>
      <c r="BF33" s="449"/>
      <c r="BG33" s="449"/>
      <c r="BH33" s="449"/>
      <c r="BI33" s="449"/>
      <c r="BJ33" s="449"/>
      <c r="BK33" s="449"/>
      <c r="BL33" s="449"/>
      <c r="BM33" s="449"/>
      <c r="BN33" s="449"/>
    </row>
    <row r="34" spans="1:66" ht="15.75" customHeight="1" x14ac:dyDescent="0.4">
      <c r="A34" s="436" t="s">
        <v>507</v>
      </c>
      <c r="B34" s="436"/>
      <c r="C34" s="436"/>
      <c r="D34" s="436" t="s">
        <v>42</v>
      </c>
      <c r="E34" s="436"/>
      <c r="F34" s="436"/>
      <c r="G34" s="436" t="s">
        <v>283</v>
      </c>
      <c r="H34" s="437"/>
      <c r="I34" s="438" t="s">
        <v>105</v>
      </c>
      <c r="J34" s="438"/>
      <c r="K34" s="438" t="s">
        <v>105</v>
      </c>
      <c r="L34" s="439"/>
      <c r="M34" s="439"/>
      <c r="N34" s="440"/>
      <c r="O34" s="440">
        <v>0</v>
      </c>
      <c r="P34" s="430"/>
      <c r="Q34" s="430"/>
      <c r="R34" s="430"/>
      <c r="S34" s="430"/>
      <c r="T34" s="430"/>
      <c r="U34" s="430"/>
      <c r="V34" s="430"/>
      <c r="W34" s="430"/>
      <c r="X34" s="449"/>
      <c r="Z34" s="450"/>
      <c r="AA34" s="449"/>
      <c r="AB34" s="451"/>
      <c r="AC34" s="450"/>
      <c r="AD34" s="449"/>
      <c r="AE34" s="451"/>
      <c r="AF34" s="450"/>
      <c r="AG34" s="449"/>
      <c r="AH34" s="451"/>
      <c r="AI34" s="450"/>
      <c r="AJ34" s="449"/>
      <c r="AK34" s="451"/>
      <c r="AL34" s="450"/>
      <c r="AM34" s="449"/>
      <c r="AN34" s="451"/>
      <c r="AO34" s="450"/>
      <c r="AP34" s="449"/>
      <c r="AQ34" s="451"/>
      <c r="AR34" s="449"/>
      <c r="AS34" s="449"/>
      <c r="AT34" s="451"/>
      <c r="AU34" s="449"/>
      <c r="AV34" s="451"/>
      <c r="AW34" s="449"/>
      <c r="AX34" s="449"/>
      <c r="AY34" s="449"/>
      <c r="AZ34" s="449"/>
      <c r="BA34" s="449"/>
      <c r="BB34" s="449"/>
      <c r="BC34" s="449"/>
      <c r="BD34" s="449"/>
      <c r="BE34" s="449"/>
      <c r="BF34" s="449"/>
      <c r="BG34" s="449"/>
      <c r="BH34" s="449"/>
      <c r="BI34" s="449"/>
      <c r="BJ34" s="449"/>
      <c r="BK34" s="449"/>
      <c r="BL34" s="449"/>
      <c r="BM34" s="449"/>
      <c r="BN34" s="449"/>
    </row>
    <row r="35" spans="1:66" ht="15.75" customHeight="1" x14ac:dyDescent="0.4">
      <c r="A35" s="444" t="s">
        <v>508</v>
      </c>
      <c r="B35" s="444"/>
      <c r="C35" s="445">
        <v>44287</v>
      </c>
      <c r="D35" s="444" t="s">
        <v>42</v>
      </c>
      <c r="E35" s="444">
        <v>9</v>
      </c>
      <c r="F35" s="444">
        <v>12</v>
      </c>
      <c r="G35" s="444" t="s">
        <v>60</v>
      </c>
      <c r="H35" s="444" t="s">
        <v>690</v>
      </c>
      <c r="I35" s="446" t="s">
        <v>81</v>
      </c>
      <c r="J35" s="446"/>
      <c r="K35" s="446" t="s">
        <v>502</v>
      </c>
      <c r="L35" s="447"/>
      <c r="M35" s="447"/>
      <c r="N35" s="448"/>
      <c r="O35" s="448">
        <v>3502</v>
      </c>
      <c r="P35" s="430">
        <f t="shared" ref="P35:P289" si="46">IF(D35="2 3D","",IF(D35="4 FREE","",(SUM(E35:F35)*2)*1.25))</f>
        <v>52.5</v>
      </c>
      <c r="Q35" s="430">
        <f t="shared" ref="Q35:Q289" si="47">IF(D35="1 Orig",IF(H35="EH",(((E35+2)+(F35+2))*2)*1.25,""),"")</f>
        <v>62.5</v>
      </c>
      <c r="R35" s="430" t="str">
        <f t="shared" ref="R35:R289" si="48">IF(D35="2 3D",IF(H35="EH",(((E35+2)+(F35+2))*2)*1.25,""),"")</f>
        <v/>
      </c>
      <c r="S35" s="430" t="str">
        <f t="shared" ref="S35:S289" si="49">IF(H35="Black",(((E35+2)+(F35+2))*2)*1.25,"")</f>
        <v/>
      </c>
      <c r="T35" s="430" t="str">
        <f t="shared" ref="T35:T289" si="50">IF(H35="Gold",(((E35+2)+(F35+2))*2)*1.25,"")</f>
        <v/>
      </c>
      <c r="U35" s="430" t="str">
        <f t="shared" ref="U35:U289" si="51">IF(H35="White",(((E35+2)+(F35+2))*2)*1.25,"")</f>
        <v/>
      </c>
      <c r="V35" s="430" t="str">
        <f t="shared" ref="V35:V289" si="52">IF(H35="Silver",(((E35+2)+(F35+2))*2)*1.25,"")</f>
        <v/>
      </c>
      <c r="W35" s="430" t="str">
        <f t="shared" ref="W35:W289" si="53">IF(D35="3 Canv",ROUNDUP((E35*F35)*1.25,0),"")</f>
        <v/>
      </c>
      <c r="X35" s="449"/>
      <c r="Z35" s="450"/>
      <c r="AA35" s="449"/>
      <c r="AB35" s="451"/>
      <c r="AC35" s="450"/>
      <c r="AD35" s="449"/>
      <c r="AE35" s="451"/>
      <c r="AF35" s="450"/>
      <c r="AG35" s="449"/>
      <c r="AH35" s="451"/>
      <c r="AI35" s="450"/>
      <c r="AJ35" s="449"/>
      <c r="AK35" s="451"/>
      <c r="AL35" s="450"/>
      <c r="AM35" s="449"/>
      <c r="AN35" s="451"/>
      <c r="AO35" s="450"/>
      <c r="AP35" s="449"/>
      <c r="AQ35" s="451"/>
      <c r="AR35" s="449"/>
      <c r="AS35" s="449"/>
      <c r="AT35" s="451"/>
      <c r="AU35" s="449"/>
      <c r="AV35" s="451"/>
      <c r="AW35" s="449"/>
      <c r="AX35" s="449"/>
      <c r="AY35" s="449"/>
      <c r="AZ35" s="449"/>
      <c r="BA35" s="449"/>
      <c r="BB35" s="449"/>
      <c r="BC35" s="449"/>
      <c r="BD35" s="449"/>
      <c r="BE35" s="449"/>
      <c r="BF35" s="449"/>
      <c r="BG35" s="449"/>
      <c r="BH35" s="449"/>
      <c r="BI35" s="449"/>
      <c r="BJ35" s="449"/>
      <c r="BK35" s="449"/>
      <c r="BL35" s="449"/>
      <c r="BM35" s="449"/>
      <c r="BN35" s="449"/>
    </row>
    <row r="36" spans="1:66" ht="13.15" x14ac:dyDescent="0.4">
      <c r="A36" s="436" t="s">
        <v>482</v>
      </c>
      <c r="B36" s="436"/>
      <c r="C36" s="437">
        <v>44287</v>
      </c>
      <c r="D36" s="436" t="s">
        <v>54</v>
      </c>
      <c r="E36" s="436">
        <v>20</v>
      </c>
      <c r="F36" s="436">
        <v>30</v>
      </c>
      <c r="G36" s="436" t="s">
        <v>44</v>
      </c>
      <c r="H36" s="436" t="s">
        <v>690</v>
      </c>
      <c r="I36" s="438" t="s">
        <v>234</v>
      </c>
      <c r="J36" s="438">
        <v>25</v>
      </c>
      <c r="K36" s="438" t="s">
        <v>480</v>
      </c>
      <c r="L36" s="439"/>
      <c r="M36" s="439"/>
      <c r="N36" s="440"/>
      <c r="O36" s="440">
        <v>1635</v>
      </c>
      <c r="P36" s="430" t="str">
        <f t="shared" si="46"/>
        <v/>
      </c>
      <c r="Q36" s="430" t="str">
        <f t="shared" si="47"/>
        <v/>
      </c>
      <c r="R36" s="430">
        <f t="shared" si="48"/>
        <v>135</v>
      </c>
      <c r="S36" s="430" t="str">
        <f t="shared" si="49"/>
        <v/>
      </c>
      <c r="T36" s="430" t="str">
        <f t="shared" si="50"/>
        <v/>
      </c>
      <c r="U36" s="430" t="str">
        <f t="shared" si="51"/>
        <v/>
      </c>
      <c r="V36" s="430" t="str">
        <f t="shared" si="52"/>
        <v/>
      </c>
      <c r="W36" s="430" t="str">
        <f t="shared" si="53"/>
        <v/>
      </c>
      <c r="X36" s="449"/>
      <c r="Z36" s="450"/>
      <c r="AA36" s="449"/>
      <c r="AB36" s="451"/>
      <c r="AC36" s="450"/>
      <c r="AD36" s="449"/>
      <c r="AE36" s="451"/>
      <c r="AF36" s="450"/>
      <c r="AG36" s="449"/>
      <c r="AH36" s="451"/>
      <c r="AI36" s="450"/>
      <c r="AJ36" s="449"/>
      <c r="AK36" s="451"/>
      <c r="AL36" s="450"/>
      <c r="AM36" s="449"/>
      <c r="AN36" s="451"/>
      <c r="AO36" s="450"/>
      <c r="AP36" s="449"/>
      <c r="AQ36" s="451"/>
      <c r="AR36" s="449"/>
      <c r="AS36" s="449"/>
      <c r="AT36" s="451"/>
      <c r="AU36" s="449"/>
      <c r="AV36" s="451"/>
      <c r="AW36" s="449"/>
      <c r="AX36" s="449"/>
      <c r="AY36" s="449"/>
      <c r="AZ36" s="449"/>
      <c r="BA36" s="449"/>
      <c r="BB36" s="449"/>
      <c r="BC36" s="449"/>
      <c r="BD36" s="449"/>
      <c r="BE36" s="449"/>
      <c r="BF36" s="449"/>
      <c r="BG36" s="449"/>
      <c r="BH36" s="449"/>
      <c r="BI36" s="449"/>
      <c r="BJ36" s="449"/>
      <c r="BK36" s="449"/>
      <c r="BL36" s="449"/>
      <c r="BM36" s="449"/>
      <c r="BN36" s="449"/>
    </row>
    <row r="37" spans="1:66" ht="13.15" x14ac:dyDescent="0.4">
      <c r="A37" s="436" t="s">
        <v>486</v>
      </c>
      <c r="B37" s="436"/>
      <c r="C37" s="437">
        <v>44287</v>
      </c>
      <c r="D37" s="436" t="s">
        <v>54</v>
      </c>
      <c r="E37" s="436">
        <v>30</v>
      </c>
      <c r="F37" s="436">
        <v>46</v>
      </c>
      <c r="G37" s="436" t="s">
        <v>104</v>
      </c>
      <c r="H37" s="436" t="s">
        <v>690</v>
      </c>
      <c r="I37" s="438" t="s">
        <v>225</v>
      </c>
      <c r="J37" s="438">
        <v>41</v>
      </c>
      <c r="K37" s="438" t="s">
        <v>509</v>
      </c>
      <c r="L37" s="439"/>
      <c r="M37" s="439"/>
      <c r="N37" s="440"/>
      <c r="O37" s="440">
        <v>3375</v>
      </c>
      <c r="P37" s="430" t="str">
        <f t="shared" si="46"/>
        <v/>
      </c>
      <c r="Q37" s="430" t="str">
        <f t="shared" si="47"/>
        <v/>
      </c>
      <c r="R37" s="430">
        <f t="shared" si="48"/>
        <v>200</v>
      </c>
      <c r="S37" s="430" t="str">
        <f t="shared" si="49"/>
        <v/>
      </c>
      <c r="T37" s="430" t="str">
        <f t="shared" si="50"/>
        <v/>
      </c>
      <c r="U37" s="430" t="str">
        <f t="shared" si="51"/>
        <v/>
      </c>
      <c r="V37" s="430" t="str">
        <f t="shared" si="52"/>
        <v/>
      </c>
      <c r="W37" s="430" t="str">
        <f t="shared" si="53"/>
        <v/>
      </c>
      <c r="X37" s="449"/>
      <c r="Z37" s="450"/>
      <c r="AA37" s="449"/>
      <c r="AB37" s="451"/>
      <c r="AC37" s="450"/>
      <c r="AD37" s="449"/>
      <c r="AE37" s="451"/>
      <c r="AF37" s="450"/>
      <c r="AG37" s="449"/>
      <c r="AH37" s="451"/>
      <c r="AI37" s="450"/>
      <c r="AJ37" s="449"/>
      <c r="AK37" s="451"/>
      <c r="AL37" s="450"/>
      <c r="AM37" s="449"/>
      <c r="AN37" s="451"/>
      <c r="AO37" s="450"/>
      <c r="AP37" s="449"/>
      <c r="AQ37" s="451"/>
      <c r="AR37" s="449"/>
      <c r="AS37" s="449"/>
      <c r="AT37" s="451"/>
      <c r="AU37" s="449"/>
      <c r="AV37" s="451"/>
      <c r="AW37" s="449"/>
      <c r="AX37" s="449"/>
      <c r="AY37" s="449"/>
      <c r="AZ37" s="449"/>
      <c r="BA37" s="449"/>
      <c r="BB37" s="449"/>
      <c r="BC37" s="449"/>
      <c r="BD37" s="449"/>
      <c r="BE37" s="449"/>
      <c r="BF37" s="449"/>
      <c r="BG37" s="449"/>
      <c r="BH37" s="449"/>
      <c r="BI37" s="449"/>
      <c r="BJ37" s="449"/>
      <c r="BK37" s="449"/>
      <c r="BL37" s="449"/>
      <c r="BM37" s="449"/>
      <c r="BN37" s="449"/>
    </row>
    <row r="38" spans="1:66" ht="13.15" x14ac:dyDescent="0.4">
      <c r="A38" s="436" t="s">
        <v>242</v>
      </c>
      <c r="B38" s="436"/>
      <c r="C38" s="437">
        <v>44287</v>
      </c>
      <c r="D38" s="436" t="s">
        <v>54</v>
      </c>
      <c r="E38" s="436">
        <v>30</v>
      </c>
      <c r="F38" s="436">
        <v>48</v>
      </c>
      <c r="G38" s="436" t="s">
        <v>61</v>
      </c>
      <c r="H38" s="436" t="s">
        <v>690</v>
      </c>
      <c r="I38" s="438" t="s">
        <v>353</v>
      </c>
      <c r="J38" s="438">
        <v>41</v>
      </c>
      <c r="K38" s="438" t="s">
        <v>509</v>
      </c>
      <c r="L38" s="439"/>
      <c r="M38" s="439"/>
      <c r="N38" s="440"/>
      <c r="O38" s="440">
        <v>3216.4</v>
      </c>
      <c r="P38" s="430" t="str">
        <f t="shared" si="46"/>
        <v/>
      </c>
      <c r="Q38" s="430" t="str">
        <f t="shared" si="47"/>
        <v/>
      </c>
      <c r="R38" s="430">
        <f t="shared" si="48"/>
        <v>205</v>
      </c>
      <c r="S38" s="430" t="str">
        <f t="shared" si="49"/>
        <v/>
      </c>
      <c r="T38" s="430" t="str">
        <f t="shared" si="50"/>
        <v/>
      </c>
      <c r="U38" s="430" t="str">
        <f t="shared" si="51"/>
        <v/>
      </c>
      <c r="V38" s="430" t="str">
        <f t="shared" si="52"/>
        <v/>
      </c>
      <c r="W38" s="430" t="str">
        <f t="shared" si="53"/>
        <v/>
      </c>
      <c r="X38" s="449"/>
      <c r="Z38" s="450"/>
      <c r="AA38" s="449"/>
      <c r="AB38" s="451"/>
      <c r="AC38" s="450"/>
      <c r="AD38" s="449"/>
      <c r="AE38" s="451"/>
      <c r="AF38" s="450"/>
      <c r="AG38" s="449"/>
      <c r="AH38" s="451"/>
      <c r="AI38" s="450"/>
      <c r="AJ38" s="449"/>
      <c r="AK38" s="451"/>
      <c r="AL38" s="450"/>
      <c r="AM38" s="449"/>
      <c r="AN38" s="451"/>
      <c r="AO38" s="450"/>
      <c r="AP38" s="449"/>
      <c r="AQ38" s="451"/>
      <c r="AR38" s="449"/>
      <c r="AS38" s="449"/>
      <c r="AT38" s="451"/>
      <c r="AU38" s="449"/>
      <c r="AV38" s="451"/>
      <c r="AW38" s="449"/>
      <c r="AX38" s="449"/>
      <c r="AY38" s="449"/>
      <c r="AZ38" s="449"/>
      <c r="BA38" s="449"/>
      <c r="BB38" s="449"/>
      <c r="BC38" s="449"/>
      <c r="BD38" s="449"/>
      <c r="BE38" s="449"/>
      <c r="BF38" s="449"/>
      <c r="BG38" s="449"/>
      <c r="BH38" s="449"/>
      <c r="BI38" s="449"/>
      <c r="BJ38" s="449"/>
      <c r="BK38" s="449"/>
      <c r="BL38" s="449"/>
      <c r="BM38" s="449"/>
      <c r="BN38" s="449"/>
    </row>
    <row r="39" spans="1:66" ht="13.15" x14ac:dyDescent="0.4">
      <c r="A39" s="436" t="s">
        <v>68</v>
      </c>
      <c r="B39" s="436"/>
      <c r="C39" s="437">
        <v>44287</v>
      </c>
      <c r="D39" s="436" t="s">
        <v>54</v>
      </c>
      <c r="E39" s="436">
        <v>24</v>
      </c>
      <c r="F39" s="436">
        <v>48</v>
      </c>
      <c r="G39" s="436" t="s">
        <v>106</v>
      </c>
      <c r="H39" s="436" t="s">
        <v>690</v>
      </c>
      <c r="I39" s="438" t="s">
        <v>321</v>
      </c>
      <c r="J39" s="438">
        <v>40</v>
      </c>
      <c r="K39" s="438" t="s">
        <v>509</v>
      </c>
      <c r="L39" s="439"/>
      <c r="M39" s="439"/>
      <c r="N39" s="440"/>
      <c r="O39" s="440">
        <v>2800</v>
      </c>
      <c r="P39" s="430" t="str">
        <f t="shared" si="46"/>
        <v/>
      </c>
      <c r="Q39" s="430" t="str">
        <f t="shared" si="47"/>
        <v/>
      </c>
      <c r="R39" s="430">
        <f t="shared" si="48"/>
        <v>190</v>
      </c>
      <c r="S39" s="430" t="str">
        <f t="shared" si="49"/>
        <v/>
      </c>
      <c r="T39" s="430" t="str">
        <f t="shared" si="50"/>
        <v/>
      </c>
      <c r="U39" s="430" t="str">
        <f t="shared" si="51"/>
        <v/>
      </c>
      <c r="V39" s="430" t="str">
        <f t="shared" si="52"/>
        <v/>
      </c>
      <c r="W39" s="430" t="str">
        <f t="shared" si="53"/>
        <v/>
      </c>
      <c r="X39" s="449"/>
      <c r="Z39" s="450"/>
      <c r="AA39" s="449"/>
      <c r="AB39" s="451"/>
      <c r="AC39" s="450"/>
      <c r="AD39" s="449"/>
      <c r="AE39" s="451"/>
      <c r="AF39" s="450"/>
      <c r="AG39" s="449"/>
      <c r="AH39" s="451"/>
      <c r="AI39" s="450"/>
      <c r="AJ39" s="449"/>
      <c r="AK39" s="451"/>
      <c r="AL39" s="450"/>
      <c r="AM39" s="449"/>
      <c r="AN39" s="451"/>
      <c r="AO39" s="450"/>
      <c r="AP39" s="449"/>
      <c r="AQ39" s="451"/>
      <c r="AR39" s="449"/>
      <c r="AS39" s="449"/>
      <c r="AT39" s="451"/>
      <c r="AU39" s="449"/>
      <c r="AV39" s="451"/>
      <c r="AW39" s="449"/>
      <c r="AX39" s="449"/>
      <c r="AY39" s="449"/>
      <c r="AZ39" s="449"/>
      <c r="BA39" s="449"/>
      <c r="BB39" s="449"/>
      <c r="BC39" s="449"/>
      <c r="BD39" s="449"/>
      <c r="BE39" s="449"/>
      <c r="BF39" s="449"/>
      <c r="BG39" s="449"/>
      <c r="BH39" s="449"/>
      <c r="BI39" s="449"/>
      <c r="BJ39" s="449"/>
      <c r="BK39" s="449"/>
      <c r="BL39" s="449"/>
      <c r="BM39" s="449"/>
      <c r="BN39" s="449"/>
    </row>
    <row r="40" spans="1:66" ht="13.15" x14ac:dyDescent="0.4">
      <c r="A40" s="444" t="s">
        <v>511</v>
      </c>
      <c r="B40" s="444"/>
      <c r="C40" s="445">
        <v>44294</v>
      </c>
      <c r="D40" s="444" t="s">
        <v>42</v>
      </c>
      <c r="E40" s="444">
        <v>30</v>
      </c>
      <c r="F40" s="444">
        <v>24</v>
      </c>
      <c r="G40" s="444" t="s">
        <v>300</v>
      </c>
      <c r="H40" s="444" t="s">
        <v>690</v>
      </c>
      <c r="I40" s="446" t="s">
        <v>512</v>
      </c>
      <c r="J40" s="446">
        <v>25</v>
      </c>
      <c r="K40" s="446" t="s">
        <v>480</v>
      </c>
      <c r="L40" s="447"/>
      <c r="M40" s="447"/>
      <c r="N40" s="448"/>
      <c r="O40" s="448">
        <v>10800</v>
      </c>
      <c r="P40" s="430">
        <f t="shared" si="46"/>
        <v>135</v>
      </c>
      <c r="Q40" s="430">
        <f t="shared" si="47"/>
        <v>145</v>
      </c>
      <c r="R40" s="430" t="str">
        <f t="shared" si="48"/>
        <v/>
      </c>
      <c r="S40" s="430" t="str">
        <f t="shared" si="49"/>
        <v/>
      </c>
      <c r="T40" s="430" t="str">
        <f t="shared" si="50"/>
        <v/>
      </c>
      <c r="U40" s="430" t="str">
        <f t="shared" si="51"/>
        <v/>
      </c>
      <c r="V40" s="430" t="str">
        <f t="shared" si="52"/>
        <v/>
      </c>
      <c r="W40" s="430" t="str">
        <f t="shared" si="53"/>
        <v/>
      </c>
      <c r="X40" s="449"/>
      <c r="Z40" s="450"/>
      <c r="AA40" s="449"/>
      <c r="AB40" s="451"/>
      <c r="AC40" s="450"/>
      <c r="AD40" s="449"/>
      <c r="AE40" s="451"/>
      <c r="AF40" s="450"/>
      <c r="AG40" s="449"/>
      <c r="AH40" s="451"/>
      <c r="AI40" s="450"/>
      <c r="AJ40" s="449"/>
      <c r="AK40" s="451"/>
      <c r="AL40" s="450"/>
      <c r="AM40" s="449"/>
      <c r="AN40" s="451"/>
      <c r="AO40" s="450"/>
      <c r="AP40" s="449"/>
      <c r="AQ40" s="451"/>
      <c r="AR40" s="449"/>
      <c r="AS40" s="449"/>
      <c r="AT40" s="451"/>
      <c r="AU40" s="449"/>
      <c r="AV40" s="451"/>
      <c r="AW40" s="449"/>
      <c r="AX40" s="449"/>
      <c r="AY40" s="449"/>
      <c r="AZ40" s="449"/>
      <c r="BA40" s="449"/>
      <c r="BB40" s="449"/>
      <c r="BC40" s="449"/>
      <c r="BD40" s="449"/>
      <c r="BE40" s="449"/>
      <c r="BF40" s="449"/>
      <c r="BG40" s="449"/>
      <c r="BH40" s="449"/>
      <c r="BI40" s="449"/>
      <c r="BJ40" s="449"/>
      <c r="BK40" s="449"/>
      <c r="BL40" s="449"/>
      <c r="BM40" s="449"/>
      <c r="BN40" s="449"/>
    </row>
    <row r="41" spans="1:66" ht="13.15" x14ac:dyDescent="0.4">
      <c r="A41" s="436" t="s">
        <v>513</v>
      </c>
      <c r="B41" s="436"/>
      <c r="C41" s="437">
        <v>44294</v>
      </c>
      <c r="D41" s="436" t="s">
        <v>42</v>
      </c>
      <c r="E41" s="436">
        <v>8</v>
      </c>
      <c r="F41" s="436">
        <v>10</v>
      </c>
      <c r="G41" s="436" t="s">
        <v>342</v>
      </c>
      <c r="H41" s="437" t="s">
        <v>514</v>
      </c>
      <c r="I41" s="438" t="s">
        <v>515</v>
      </c>
      <c r="J41" s="438">
        <v>7</v>
      </c>
      <c r="K41" s="438" t="s">
        <v>502</v>
      </c>
      <c r="L41" s="439"/>
      <c r="M41" s="439"/>
      <c r="N41" s="440"/>
      <c r="O41" s="440">
        <v>2640</v>
      </c>
      <c r="P41" s="430">
        <f t="shared" si="46"/>
        <v>45</v>
      </c>
      <c r="Q41" s="430" t="str">
        <f t="shared" si="47"/>
        <v/>
      </c>
      <c r="R41" s="430" t="str">
        <f t="shared" si="48"/>
        <v/>
      </c>
      <c r="S41" s="430" t="str">
        <f t="shared" si="49"/>
        <v/>
      </c>
      <c r="T41" s="430" t="str">
        <f t="shared" si="50"/>
        <v/>
      </c>
      <c r="U41" s="430" t="str">
        <f t="shared" si="51"/>
        <v/>
      </c>
      <c r="V41" s="430" t="str">
        <f t="shared" si="52"/>
        <v/>
      </c>
      <c r="W41" s="430" t="str">
        <f t="shared" si="53"/>
        <v/>
      </c>
      <c r="X41" s="449"/>
      <c r="Z41" s="450"/>
      <c r="AA41" s="449"/>
      <c r="AB41" s="451"/>
      <c r="AC41" s="450"/>
      <c r="AD41" s="449"/>
      <c r="AE41" s="451"/>
      <c r="AF41" s="450"/>
      <c r="AG41" s="449"/>
      <c r="AH41" s="451"/>
      <c r="AI41" s="450"/>
      <c r="AJ41" s="449"/>
      <c r="AK41" s="451"/>
      <c r="AL41" s="450"/>
      <c r="AM41" s="449"/>
      <c r="AN41" s="451"/>
      <c r="AO41" s="450"/>
      <c r="AP41" s="449"/>
      <c r="AQ41" s="451"/>
      <c r="AR41" s="449"/>
      <c r="AS41" s="449"/>
      <c r="AT41" s="451"/>
      <c r="AU41" s="449"/>
      <c r="AV41" s="451"/>
      <c r="AW41" s="449"/>
      <c r="AX41" s="449"/>
      <c r="AY41" s="449"/>
      <c r="AZ41" s="449"/>
      <c r="BA41" s="449"/>
      <c r="BB41" s="449"/>
      <c r="BC41" s="449"/>
      <c r="BD41" s="449"/>
      <c r="BE41" s="449"/>
      <c r="BF41" s="449"/>
      <c r="BG41" s="449"/>
      <c r="BH41" s="449"/>
      <c r="BI41" s="449"/>
      <c r="BJ41" s="449"/>
      <c r="BK41" s="449"/>
      <c r="BL41" s="449"/>
      <c r="BM41" s="449"/>
      <c r="BN41" s="449"/>
    </row>
    <row r="42" spans="1:66" ht="13.15" x14ac:dyDescent="0.4">
      <c r="A42" s="436" t="s">
        <v>516</v>
      </c>
      <c r="B42" s="436"/>
      <c r="C42" s="437">
        <v>44294</v>
      </c>
      <c r="D42" s="436" t="s">
        <v>54</v>
      </c>
      <c r="E42" s="436">
        <v>20</v>
      </c>
      <c r="F42" s="436">
        <v>24</v>
      </c>
      <c r="G42" s="436" t="s">
        <v>109</v>
      </c>
      <c r="H42" s="436" t="s">
        <v>690</v>
      </c>
      <c r="I42" s="438" t="s">
        <v>269</v>
      </c>
      <c r="J42" s="438" t="s">
        <v>105</v>
      </c>
      <c r="K42" s="106" t="s">
        <v>105</v>
      </c>
      <c r="L42" s="439"/>
      <c r="M42" s="439"/>
      <c r="N42" s="440"/>
      <c r="O42" s="440">
        <v>0</v>
      </c>
      <c r="P42" s="430" t="str">
        <f t="shared" si="46"/>
        <v/>
      </c>
      <c r="Q42" s="430" t="str">
        <f t="shared" si="47"/>
        <v/>
      </c>
      <c r="R42" s="430">
        <f t="shared" si="48"/>
        <v>120</v>
      </c>
      <c r="S42" s="430" t="str">
        <f t="shared" si="49"/>
        <v/>
      </c>
      <c r="T42" s="430" t="str">
        <f t="shared" si="50"/>
        <v/>
      </c>
      <c r="U42" s="430" t="str">
        <f t="shared" si="51"/>
        <v/>
      </c>
      <c r="V42" s="430" t="str">
        <f t="shared" si="52"/>
        <v/>
      </c>
      <c r="W42" s="430" t="str">
        <f t="shared" si="53"/>
        <v/>
      </c>
      <c r="X42" s="449"/>
      <c r="Z42" s="450"/>
      <c r="AA42" s="449"/>
      <c r="AB42" s="451"/>
      <c r="AC42" s="450"/>
      <c r="AD42" s="449"/>
      <c r="AE42" s="451"/>
      <c r="AF42" s="450"/>
      <c r="AG42" s="449"/>
      <c r="AH42" s="451"/>
      <c r="AI42" s="450"/>
      <c r="AJ42" s="449"/>
      <c r="AK42" s="451"/>
      <c r="AL42" s="450"/>
      <c r="AM42" s="449"/>
      <c r="AN42" s="451"/>
      <c r="AO42" s="450"/>
      <c r="AP42" s="449"/>
      <c r="AQ42" s="451"/>
      <c r="AR42" s="449"/>
      <c r="AS42" s="449"/>
      <c r="AT42" s="451"/>
      <c r="AU42" s="449"/>
      <c r="AV42" s="451"/>
      <c r="AW42" s="449"/>
      <c r="AX42" s="449"/>
      <c r="AY42" s="449"/>
      <c r="AZ42" s="449"/>
      <c r="BA42" s="449"/>
      <c r="BB42" s="449"/>
      <c r="BC42" s="449"/>
      <c r="BD42" s="449"/>
      <c r="BE42" s="449"/>
      <c r="BF42" s="449"/>
      <c r="BG42" s="449"/>
      <c r="BH42" s="449"/>
      <c r="BI42" s="449"/>
      <c r="BJ42" s="449"/>
      <c r="BK42" s="449"/>
      <c r="BL42" s="449"/>
      <c r="BM42" s="449"/>
      <c r="BN42" s="449"/>
    </row>
    <row r="43" spans="1:66" ht="13.15" x14ac:dyDescent="0.4">
      <c r="A43" s="436" t="s">
        <v>517</v>
      </c>
      <c r="B43" s="436"/>
      <c r="C43" s="437">
        <v>44294</v>
      </c>
      <c r="D43" s="436" t="s">
        <v>54</v>
      </c>
      <c r="E43" s="436">
        <v>24</v>
      </c>
      <c r="F43" s="436">
        <v>30</v>
      </c>
      <c r="G43" s="436" t="s">
        <v>111</v>
      </c>
      <c r="H43" s="436" t="s">
        <v>690</v>
      </c>
      <c r="I43" s="438" t="s">
        <v>283</v>
      </c>
      <c r="J43" s="438" t="s">
        <v>105</v>
      </c>
      <c r="K43" s="106" t="s">
        <v>105</v>
      </c>
      <c r="L43" s="439"/>
      <c r="M43" s="439"/>
      <c r="N43" s="440"/>
      <c r="O43" s="440">
        <v>0</v>
      </c>
      <c r="P43" s="430" t="str">
        <f t="shared" si="46"/>
        <v/>
      </c>
      <c r="Q43" s="430" t="str">
        <f t="shared" si="47"/>
        <v/>
      </c>
      <c r="R43" s="430">
        <f t="shared" si="48"/>
        <v>145</v>
      </c>
      <c r="S43" s="430" t="str">
        <f t="shared" si="49"/>
        <v/>
      </c>
      <c r="T43" s="430" t="str">
        <f t="shared" si="50"/>
        <v/>
      </c>
      <c r="U43" s="430" t="str">
        <f t="shared" si="51"/>
        <v/>
      </c>
      <c r="V43" s="430" t="str">
        <f t="shared" si="52"/>
        <v/>
      </c>
      <c r="W43" s="430" t="str">
        <f t="shared" si="53"/>
        <v/>
      </c>
      <c r="X43" s="449"/>
      <c r="Z43" s="450"/>
      <c r="AA43" s="449"/>
      <c r="AB43" s="451"/>
      <c r="AC43" s="450"/>
      <c r="AD43" s="449"/>
      <c r="AE43" s="451"/>
      <c r="AF43" s="450"/>
      <c r="AG43" s="449"/>
      <c r="AH43" s="451"/>
      <c r="AI43" s="450"/>
      <c r="AJ43" s="449"/>
      <c r="AK43" s="451"/>
      <c r="AL43" s="450"/>
      <c r="AM43" s="449"/>
      <c r="AN43" s="451"/>
      <c r="AO43" s="450"/>
      <c r="AP43" s="449"/>
      <c r="AQ43" s="451"/>
      <c r="AR43" s="449"/>
      <c r="AS43" s="449"/>
      <c r="AT43" s="451"/>
      <c r="AU43" s="449"/>
      <c r="AV43" s="451"/>
      <c r="AW43" s="449"/>
      <c r="AX43" s="449"/>
      <c r="AY43" s="449"/>
      <c r="AZ43" s="449"/>
      <c r="BA43" s="449"/>
      <c r="BB43" s="449"/>
      <c r="BC43" s="449"/>
      <c r="BD43" s="449"/>
      <c r="BE43" s="449"/>
      <c r="BF43" s="449"/>
      <c r="BG43" s="449"/>
      <c r="BH43" s="449"/>
      <c r="BI43" s="449"/>
      <c r="BJ43" s="449"/>
      <c r="BK43" s="449"/>
      <c r="BL43" s="449"/>
      <c r="BM43" s="449"/>
      <c r="BN43" s="449"/>
    </row>
    <row r="44" spans="1:66" ht="13.15" x14ac:dyDescent="0.4">
      <c r="A44" s="452" t="s">
        <v>242</v>
      </c>
      <c r="B44" s="452"/>
      <c r="C44" s="437">
        <v>44294</v>
      </c>
      <c r="D44" s="452" t="s">
        <v>54</v>
      </c>
      <c r="E44" s="452">
        <v>22</v>
      </c>
      <c r="F44" s="452">
        <v>36</v>
      </c>
      <c r="G44" s="452" t="s">
        <v>113</v>
      </c>
      <c r="H44" s="452" t="s">
        <v>690</v>
      </c>
      <c r="I44" s="438" t="s">
        <v>304</v>
      </c>
      <c r="J44" s="438">
        <v>23</v>
      </c>
      <c r="K44" s="438" t="s">
        <v>474</v>
      </c>
      <c r="L44" s="453"/>
      <c r="M44" s="453"/>
      <c r="N44" s="454"/>
      <c r="O44" s="454">
        <v>1615</v>
      </c>
      <c r="P44" s="430" t="str">
        <f t="shared" si="46"/>
        <v/>
      </c>
      <c r="Q44" s="430" t="str">
        <f t="shared" si="47"/>
        <v/>
      </c>
      <c r="R44" s="430">
        <f t="shared" si="48"/>
        <v>155</v>
      </c>
      <c r="S44" s="430" t="str">
        <f t="shared" si="49"/>
        <v/>
      </c>
      <c r="T44" s="430" t="str">
        <f t="shared" si="50"/>
        <v/>
      </c>
      <c r="U44" s="430" t="str">
        <f t="shared" si="51"/>
        <v/>
      </c>
      <c r="V44" s="430" t="str">
        <f t="shared" si="52"/>
        <v/>
      </c>
      <c r="W44" s="430" t="str">
        <f t="shared" si="53"/>
        <v/>
      </c>
      <c r="X44" s="449"/>
      <c r="Z44" s="450"/>
      <c r="AA44" s="449"/>
      <c r="AB44" s="451"/>
      <c r="AC44" s="450"/>
      <c r="AD44" s="449"/>
      <c r="AE44" s="451"/>
      <c r="AF44" s="450"/>
      <c r="AG44" s="449"/>
      <c r="AH44" s="451"/>
      <c r="AI44" s="450"/>
      <c r="AJ44" s="449"/>
      <c r="AK44" s="451"/>
      <c r="AL44" s="450"/>
      <c r="AM44" s="449"/>
      <c r="AN44" s="451"/>
      <c r="AO44" s="450"/>
      <c r="AP44" s="449"/>
      <c r="AQ44" s="451"/>
      <c r="AR44" s="449"/>
      <c r="AS44" s="449"/>
      <c r="AT44" s="451"/>
      <c r="AU44" s="449"/>
      <c r="AV44" s="451"/>
      <c r="AW44" s="449"/>
      <c r="AX44" s="449"/>
      <c r="AY44" s="449"/>
      <c r="AZ44" s="449"/>
      <c r="BA44" s="449"/>
      <c r="BB44" s="449"/>
      <c r="BC44" s="449"/>
      <c r="BD44" s="449"/>
      <c r="BE44" s="449"/>
      <c r="BF44" s="449"/>
      <c r="BG44" s="449"/>
      <c r="BH44" s="449"/>
      <c r="BI44" s="449"/>
      <c r="BJ44" s="449"/>
      <c r="BK44" s="449"/>
      <c r="BL44" s="449"/>
      <c r="BM44" s="449"/>
      <c r="BN44" s="449"/>
    </row>
    <row r="45" spans="1:66" ht="13.15" x14ac:dyDescent="0.4">
      <c r="A45" s="452" t="s">
        <v>518</v>
      </c>
      <c r="B45" s="452"/>
      <c r="C45" s="437">
        <v>44294</v>
      </c>
      <c r="D45" s="452" t="s">
        <v>54</v>
      </c>
      <c r="E45" s="452">
        <v>30</v>
      </c>
      <c r="F45" s="452">
        <v>40</v>
      </c>
      <c r="G45" s="452" t="s">
        <v>114</v>
      </c>
      <c r="H45" s="452" t="s">
        <v>690</v>
      </c>
      <c r="I45" s="438" t="s">
        <v>215</v>
      </c>
      <c r="J45" s="438">
        <v>39</v>
      </c>
      <c r="K45" s="438" t="s">
        <v>509</v>
      </c>
      <c r="L45" s="453"/>
      <c r="M45" s="453"/>
      <c r="N45" s="454"/>
      <c r="O45" s="454">
        <v>2465</v>
      </c>
      <c r="P45" s="430" t="str">
        <f t="shared" si="46"/>
        <v/>
      </c>
      <c r="Q45" s="430" t="str">
        <f t="shared" si="47"/>
        <v/>
      </c>
      <c r="R45" s="430">
        <f t="shared" si="48"/>
        <v>185</v>
      </c>
      <c r="S45" s="430" t="str">
        <f t="shared" si="49"/>
        <v/>
      </c>
      <c r="T45" s="430" t="str">
        <f t="shared" si="50"/>
        <v/>
      </c>
      <c r="U45" s="430" t="str">
        <f t="shared" si="51"/>
        <v/>
      </c>
      <c r="V45" s="430" t="str">
        <f t="shared" si="52"/>
        <v/>
      </c>
      <c r="W45" s="430" t="str">
        <f t="shared" si="53"/>
        <v/>
      </c>
      <c r="X45" s="449"/>
      <c r="Z45" s="450"/>
      <c r="AA45" s="449"/>
      <c r="AB45" s="451"/>
      <c r="AC45" s="450"/>
      <c r="AD45" s="449"/>
      <c r="AE45" s="451"/>
      <c r="AF45" s="450"/>
      <c r="AG45" s="449"/>
      <c r="AH45" s="451"/>
      <c r="AI45" s="450"/>
      <c r="AJ45" s="449"/>
      <c r="AK45" s="451"/>
      <c r="AL45" s="450"/>
      <c r="AM45" s="449"/>
      <c r="AN45" s="451"/>
      <c r="AO45" s="450"/>
      <c r="AP45" s="449"/>
      <c r="AQ45" s="451"/>
      <c r="AR45" s="449"/>
      <c r="AS45" s="449"/>
      <c r="AT45" s="451"/>
      <c r="AU45" s="449"/>
      <c r="AV45" s="451"/>
      <c r="AW45" s="449"/>
      <c r="AX45" s="449"/>
      <c r="AY45" s="449"/>
      <c r="AZ45" s="449"/>
      <c r="BA45" s="449"/>
      <c r="BB45" s="449"/>
      <c r="BC45" s="449"/>
      <c r="BD45" s="449"/>
      <c r="BE45" s="449"/>
      <c r="BF45" s="449"/>
      <c r="BG45" s="449"/>
      <c r="BH45" s="449"/>
      <c r="BI45" s="449"/>
      <c r="BJ45" s="449"/>
      <c r="BK45" s="449"/>
      <c r="BL45" s="449"/>
      <c r="BM45" s="449"/>
      <c r="BN45" s="449"/>
    </row>
    <row r="46" spans="1:66" ht="13.15" x14ac:dyDescent="0.4">
      <c r="A46" s="452" t="s">
        <v>486</v>
      </c>
      <c r="B46" s="452"/>
      <c r="C46" s="437">
        <v>44294</v>
      </c>
      <c r="D46" s="452" t="s">
        <v>54</v>
      </c>
      <c r="E46" s="452">
        <v>30</v>
      </c>
      <c r="F46" s="452">
        <v>46</v>
      </c>
      <c r="G46" s="452" t="s">
        <v>104</v>
      </c>
      <c r="H46" s="452" t="s">
        <v>690</v>
      </c>
      <c r="I46" s="438" t="s">
        <v>225</v>
      </c>
      <c r="J46" s="438">
        <v>39</v>
      </c>
      <c r="K46" s="438" t="s">
        <v>509</v>
      </c>
      <c r="L46" s="453"/>
      <c r="M46" s="453"/>
      <c r="N46" s="454"/>
      <c r="O46" s="454">
        <v>6209.0249999999996</v>
      </c>
      <c r="P46" s="430" t="str">
        <f t="shared" si="46"/>
        <v/>
      </c>
      <c r="Q46" s="430" t="str">
        <f t="shared" si="47"/>
        <v/>
      </c>
      <c r="R46" s="430">
        <f t="shared" si="48"/>
        <v>200</v>
      </c>
      <c r="S46" s="430" t="str">
        <f t="shared" si="49"/>
        <v/>
      </c>
      <c r="T46" s="430" t="str">
        <f t="shared" si="50"/>
        <v/>
      </c>
      <c r="U46" s="430" t="str">
        <f t="shared" si="51"/>
        <v/>
      </c>
      <c r="V46" s="430" t="str">
        <f t="shared" si="52"/>
        <v/>
      </c>
      <c r="W46" s="430" t="str">
        <f t="shared" si="53"/>
        <v/>
      </c>
      <c r="X46" s="449"/>
      <c r="Z46" s="450"/>
      <c r="AA46" s="449"/>
      <c r="AB46" s="451"/>
      <c r="AC46" s="450"/>
      <c r="AD46" s="449"/>
      <c r="AE46" s="451"/>
      <c r="AF46" s="450"/>
      <c r="AG46" s="449"/>
      <c r="AH46" s="451"/>
      <c r="AI46" s="450"/>
      <c r="AJ46" s="449"/>
      <c r="AK46" s="451"/>
      <c r="AL46" s="450"/>
      <c r="AM46" s="449"/>
      <c r="AN46" s="451"/>
      <c r="AO46" s="450"/>
      <c r="AP46" s="449"/>
      <c r="AQ46" s="451"/>
      <c r="AR46" s="449"/>
      <c r="AS46" s="449"/>
      <c r="AT46" s="451"/>
      <c r="AU46" s="449"/>
      <c r="AV46" s="451"/>
      <c r="AW46" s="449"/>
      <c r="AX46" s="449"/>
      <c r="AY46" s="449"/>
      <c r="AZ46" s="449"/>
      <c r="BA46" s="449"/>
      <c r="BB46" s="449"/>
      <c r="BC46" s="449"/>
      <c r="BD46" s="449"/>
      <c r="BE46" s="449"/>
      <c r="BF46" s="449"/>
      <c r="BG46" s="449"/>
      <c r="BH46" s="449"/>
      <c r="BI46" s="449"/>
      <c r="BJ46" s="449"/>
      <c r="BK46" s="449"/>
      <c r="BL46" s="449"/>
      <c r="BM46" s="449"/>
      <c r="BN46" s="449"/>
    </row>
    <row r="47" spans="1:66" ht="13.15" x14ac:dyDescent="0.4">
      <c r="A47" s="452" t="s">
        <v>473</v>
      </c>
      <c r="B47" s="452"/>
      <c r="C47" s="437">
        <v>44294</v>
      </c>
      <c r="D47" s="452" t="s">
        <v>54</v>
      </c>
      <c r="E47" s="452">
        <v>30</v>
      </c>
      <c r="F47" s="452">
        <v>48</v>
      </c>
      <c r="G47" s="452" t="s">
        <v>61</v>
      </c>
      <c r="H47" s="452" t="s">
        <v>690</v>
      </c>
      <c r="I47" s="438" t="s">
        <v>353</v>
      </c>
      <c r="J47" s="438">
        <v>42</v>
      </c>
      <c r="K47" s="438" t="s">
        <v>509</v>
      </c>
      <c r="L47" s="453"/>
      <c r="M47" s="453"/>
      <c r="N47" s="454"/>
      <c r="O47" s="454">
        <v>6209.25</v>
      </c>
      <c r="P47" s="430" t="str">
        <f t="shared" si="46"/>
        <v/>
      </c>
      <c r="Q47" s="430" t="str">
        <f t="shared" si="47"/>
        <v/>
      </c>
      <c r="R47" s="430">
        <f t="shared" si="48"/>
        <v>205</v>
      </c>
      <c r="S47" s="430" t="str">
        <f t="shared" si="49"/>
        <v/>
      </c>
      <c r="T47" s="430" t="str">
        <f t="shared" si="50"/>
        <v/>
      </c>
      <c r="U47" s="430" t="str">
        <f t="shared" si="51"/>
        <v/>
      </c>
      <c r="V47" s="430" t="str">
        <f t="shared" si="52"/>
        <v/>
      </c>
      <c r="W47" s="430" t="str">
        <f t="shared" si="53"/>
        <v/>
      </c>
      <c r="X47" s="449"/>
      <c r="Z47" s="450"/>
      <c r="AA47" s="449"/>
      <c r="AB47" s="451"/>
      <c r="AC47" s="450"/>
      <c r="AD47" s="449"/>
      <c r="AE47" s="451"/>
      <c r="AF47" s="450"/>
      <c r="AG47" s="449"/>
      <c r="AH47" s="451"/>
      <c r="AI47" s="450"/>
      <c r="AJ47" s="449"/>
      <c r="AK47" s="451"/>
      <c r="AL47" s="450"/>
      <c r="AM47" s="449"/>
      <c r="AN47" s="451"/>
      <c r="AO47" s="450"/>
      <c r="AP47" s="449"/>
      <c r="AQ47" s="451"/>
      <c r="AR47" s="449"/>
      <c r="AS47" s="449"/>
      <c r="AT47" s="451"/>
      <c r="AU47" s="449"/>
      <c r="AV47" s="451"/>
      <c r="AW47" s="449"/>
      <c r="AX47" s="449"/>
      <c r="AY47" s="449"/>
      <c r="AZ47" s="449"/>
      <c r="BA47" s="449"/>
      <c r="BB47" s="449"/>
      <c r="BC47" s="449"/>
      <c r="BD47" s="449"/>
      <c r="BE47" s="449"/>
      <c r="BF47" s="449"/>
      <c r="BG47" s="449"/>
      <c r="BH47" s="449"/>
      <c r="BI47" s="449"/>
      <c r="BJ47" s="449"/>
      <c r="BK47" s="449"/>
      <c r="BL47" s="449"/>
      <c r="BM47" s="449"/>
      <c r="BN47" s="449"/>
    </row>
    <row r="48" spans="1:66" ht="13.15" x14ac:dyDescent="0.4">
      <c r="A48" s="452" t="s">
        <v>483</v>
      </c>
      <c r="B48" s="452"/>
      <c r="C48" s="437">
        <v>44294</v>
      </c>
      <c r="D48" s="452" t="s">
        <v>54</v>
      </c>
      <c r="E48" s="452">
        <v>30</v>
      </c>
      <c r="F48" s="452">
        <v>48</v>
      </c>
      <c r="G48" s="452" t="s">
        <v>61</v>
      </c>
      <c r="H48" s="452" t="s">
        <v>690</v>
      </c>
      <c r="I48" s="438" t="s">
        <v>353</v>
      </c>
      <c r="J48" s="438">
        <v>42</v>
      </c>
      <c r="K48" s="438" t="s">
        <v>509</v>
      </c>
      <c r="L48" s="453"/>
      <c r="M48" s="453"/>
      <c r="N48" s="454"/>
      <c r="O48" s="454">
        <v>2890</v>
      </c>
      <c r="P48" s="430" t="str">
        <f t="shared" si="46"/>
        <v/>
      </c>
      <c r="Q48" s="430" t="str">
        <f t="shared" si="47"/>
        <v/>
      </c>
      <c r="R48" s="430">
        <f t="shared" si="48"/>
        <v>205</v>
      </c>
      <c r="S48" s="430" t="str">
        <f t="shared" si="49"/>
        <v/>
      </c>
      <c r="T48" s="430" t="str">
        <f t="shared" si="50"/>
        <v/>
      </c>
      <c r="U48" s="430" t="str">
        <f t="shared" si="51"/>
        <v/>
      </c>
      <c r="V48" s="430" t="str">
        <f t="shared" si="52"/>
        <v/>
      </c>
      <c r="W48" s="430" t="str">
        <f t="shared" si="53"/>
        <v/>
      </c>
      <c r="X48" s="449"/>
      <c r="Z48" s="450"/>
      <c r="AA48" s="449"/>
      <c r="AB48" s="451"/>
      <c r="AC48" s="450"/>
      <c r="AD48" s="449"/>
      <c r="AE48" s="451"/>
      <c r="AF48" s="450"/>
      <c r="AG48" s="449"/>
      <c r="AH48" s="451"/>
      <c r="AI48" s="450"/>
      <c r="AJ48" s="449"/>
      <c r="AK48" s="451"/>
      <c r="AL48" s="450"/>
      <c r="AM48" s="449"/>
      <c r="AN48" s="451"/>
      <c r="AO48" s="450"/>
      <c r="AP48" s="449"/>
      <c r="AQ48" s="451"/>
      <c r="AR48" s="449"/>
      <c r="AS48" s="449"/>
      <c r="AT48" s="451"/>
      <c r="AU48" s="449"/>
      <c r="AV48" s="451"/>
      <c r="AW48" s="449"/>
      <c r="AX48" s="449"/>
      <c r="AY48" s="449"/>
      <c r="AZ48" s="449"/>
      <c r="BA48" s="449"/>
      <c r="BB48" s="449"/>
      <c r="BC48" s="449"/>
      <c r="BD48" s="449"/>
      <c r="BE48" s="449"/>
      <c r="BF48" s="449"/>
      <c r="BG48" s="449"/>
      <c r="BH48" s="449"/>
      <c r="BI48" s="449"/>
      <c r="BJ48" s="449"/>
      <c r="BK48" s="449"/>
      <c r="BL48" s="449"/>
      <c r="BM48" s="449"/>
      <c r="BN48" s="449"/>
    </row>
    <row r="49" spans="1:66" ht="13.15" x14ac:dyDescent="0.4">
      <c r="A49" s="452" t="s">
        <v>519</v>
      </c>
      <c r="B49" s="452"/>
      <c r="C49" s="437">
        <v>44294</v>
      </c>
      <c r="D49" s="452" t="s">
        <v>54</v>
      </c>
      <c r="E49" s="452">
        <v>28</v>
      </c>
      <c r="F49" s="452">
        <v>36</v>
      </c>
      <c r="G49" s="452" t="s">
        <v>121</v>
      </c>
      <c r="H49" s="455" t="s">
        <v>1</v>
      </c>
      <c r="I49" s="438" t="s">
        <v>291</v>
      </c>
      <c r="J49" s="438">
        <v>25</v>
      </c>
      <c r="K49" s="438" t="s">
        <v>480</v>
      </c>
      <c r="L49" s="453"/>
      <c r="M49" s="453"/>
      <c r="N49" s="454"/>
      <c r="O49" s="454">
        <v>1920</v>
      </c>
      <c r="P49" s="430" t="str">
        <f t="shared" si="46"/>
        <v/>
      </c>
      <c r="Q49" s="430" t="str">
        <f t="shared" si="47"/>
        <v/>
      </c>
      <c r="R49" s="430" t="str">
        <f t="shared" si="48"/>
        <v/>
      </c>
      <c r="S49" s="430">
        <f t="shared" si="49"/>
        <v>170</v>
      </c>
      <c r="T49" s="430" t="str">
        <f t="shared" si="50"/>
        <v/>
      </c>
      <c r="U49" s="430" t="str">
        <f t="shared" si="51"/>
        <v/>
      </c>
      <c r="V49" s="430" t="str">
        <f t="shared" si="52"/>
        <v/>
      </c>
      <c r="W49" s="430" t="str">
        <f t="shared" si="53"/>
        <v/>
      </c>
      <c r="X49" s="449"/>
      <c r="Z49" s="450"/>
      <c r="AA49" s="449"/>
      <c r="AB49" s="451"/>
      <c r="AC49" s="450"/>
      <c r="AD49" s="449"/>
      <c r="AE49" s="451"/>
      <c r="AF49" s="450"/>
      <c r="AG49" s="449"/>
      <c r="AH49" s="451"/>
      <c r="AI49" s="450"/>
      <c r="AJ49" s="449"/>
      <c r="AK49" s="451"/>
      <c r="AL49" s="450"/>
      <c r="AM49" s="449"/>
      <c r="AN49" s="451"/>
      <c r="AO49" s="450"/>
      <c r="AP49" s="449"/>
      <c r="AQ49" s="451"/>
      <c r="AR49" s="449"/>
      <c r="AS49" s="449"/>
      <c r="AT49" s="451"/>
      <c r="AU49" s="449"/>
      <c r="AV49" s="451"/>
      <c r="AW49" s="449"/>
      <c r="AX49" s="449"/>
      <c r="AY49" s="449"/>
      <c r="AZ49" s="449"/>
      <c r="BA49" s="449"/>
      <c r="BB49" s="449"/>
      <c r="BC49" s="449"/>
      <c r="BD49" s="449"/>
      <c r="BE49" s="449"/>
      <c r="BF49" s="449"/>
      <c r="BG49" s="449"/>
      <c r="BH49" s="449"/>
      <c r="BI49" s="449"/>
      <c r="BJ49" s="449"/>
      <c r="BK49" s="449"/>
      <c r="BL49" s="449"/>
      <c r="BM49" s="449"/>
      <c r="BN49" s="449"/>
    </row>
    <row r="50" spans="1:66" ht="13.15" x14ac:dyDescent="0.4">
      <c r="A50" s="452" t="s">
        <v>520</v>
      </c>
      <c r="B50" s="452"/>
      <c r="C50" s="437">
        <v>44294</v>
      </c>
      <c r="D50" s="452" t="s">
        <v>54</v>
      </c>
      <c r="E50" s="452">
        <v>28</v>
      </c>
      <c r="F50" s="452">
        <v>48</v>
      </c>
      <c r="G50" s="452" t="s">
        <v>123</v>
      </c>
      <c r="H50" s="452" t="s">
        <v>690</v>
      </c>
      <c r="I50" s="438" t="s">
        <v>203</v>
      </c>
      <c r="J50" s="438">
        <v>41</v>
      </c>
      <c r="K50" s="438" t="s">
        <v>509</v>
      </c>
      <c r="L50" s="453"/>
      <c r="M50" s="453"/>
      <c r="N50" s="454"/>
      <c r="O50" s="454">
        <v>2720</v>
      </c>
      <c r="P50" s="430" t="str">
        <f t="shared" si="46"/>
        <v/>
      </c>
      <c r="Q50" s="430" t="str">
        <f t="shared" si="47"/>
        <v/>
      </c>
      <c r="R50" s="430">
        <f t="shared" si="48"/>
        <v>200</v>
      </c>
      <c r="S50" s="430" t="str">
        <f t="shared" si="49"/>
        <v/>
      </c>
      <c r="T50" s="430" t="str">
        <f t="shared" si="50"/>
        <v/>
      </c>
      <c r="U50" s="430" t="str">
        <f t="shared" si="51"/>
        <v/>
      </c>
      <c r="V50" s="430" t="str">
        <f t="shared" si="52"/>
        <v/>
      </c>
      <c r="W50" s="430" t="str">
        <f t="shared" si="53"/>
        <v/>
      </c>
      <c r="X50" s="449"/>
      <c r="Z50" s="450"/>
      <c r="AA50" s="449"/>
      <c r="AB50" s="451"/>
      <c r="AC50" s="450"/>
      <c r="AD50" s="449"/>
      <c r="AE50" s="451"/>
      <c r="AF50" s="450"/>
      <c r="AG50" s="449"/>
      <c r="AH50" s="451"/>
      <c r="AI50" s="450"/>
      <c r="AJ50" s="449"/>
      <c r="AK50" s="451"/>
      <c r="AL50" s="450"/>
      <c r="AM50" s="449"/>
      <c r="AN50" s="451"/>
      <c r="AO50" s="450"/>
      <c r="AP50" s="449"/>
      <c r="AQ50" s="451"/>
      <c r="AR50" s="449"/>
      <c r="AS50" s="449"/>
      <c r="AT50" s="451"/>
      <c r="AU50" s="449"/>
      <c r="AV50" s="451"/>
      <c r="AW50" s="449"/>
      <c r="AX50" s="449"/>
      <c r="AY50" s="449"/>
      <c r="AZ50" s="449"/>
      <c r="BA50" s="449"/>
      <c r="BB50" s="449"/>
      <c r="BC50" s="449"/>
      <c r="BD50" s="449"/>
      <c r="BE50" s="449"/>
      <c r="BF50" s="449"/>
      <c r="BG50" s="449"/>
      <c r="BH50" s="449"/>
      <c r="BI50" s="449"/>
      <c r="BJ50" s="449"/>
      <c r="BK50" s="449"/>
      <c r="BL50" s="449"/>
      <c r="BM50" s="449"/>
      <c r="BN50" s="449"/>
    </row>
    <row r="51" spans="1:66" ht="13.15" x14ac:dyDescent="0.4">
      <c r="A51" s="452" t="s">
        <v>518</v>
      </c>
      <c r="B51" s="452"/>
      <c r="C51" s="437">
        <v>44294</v>
      </c>
      <c r="D51" s="452" t="s">
        <v>54</v>
      </c>
      <c r="E51" s="452">
        <v>36</v>
      </c>
      <c r="F51" s="452">
        <v>48</v>
      </c>
      <c r="G51" s="452" t="s">
        <v>124</v>
      </c>
      <c r="H51" s="452" t="s">
        <v>690</v>
      </c>
      <c r="I51" s="438" t="s">
        <v>369</v>
      </c>
      <c r="J51" s="438">
        <v>40</v>
      </c>
      <c r="K51" s="438" t="s">
        <v>477</v>
      </c>
      <c r="L51" s="453"/>
      <c r="M51" s="453"/>
      <c r="N51" s="454"/>
      <c r="O51" s="454">
        <v>3400</v>
      </c>
      <c r="P51" s="430" t="str">
        <f t="shared" si="46"/>
        <v/>
      </c>
      <c r="Q51" s="430" t="str">
        <f t="shared" si="47"/>
        <v/>
      </c>
      <c r="R51" s="430">
        <f t="shared" si="48"/>
        <v>220</v>
      </c>
      <c r="S51" s="430" t="str">
        <f t="shared" si="49"/>
        <v/>
      </c>
      <c r="T51" s="430" t="str">
        <f t="shared" si="50"/>
        <v/>
      </c>
      <c r="U51" s="430" t="str">
        <f t="shared" si="51"/>
        <v/>
      </c>
      <c r="V51" s="430" t="str">
        <f t="shared" si="52"/>
        <v/>
      </c>
      <c r="W51" s="430" t="str">
        <f t="shared" si="53"/>
        <v/>
      </c>
      <c r="X51" s="449"/>
      <c r="Z51" s="450"/>
      <c r="AA51" s="449"/>
      <c r="AB51" s="451"/>
      <c r="AC51" s="450"/>
      <c r="AD51" s="449"/>
      <c r="AE51" s="451"/>
      <c r="AF51" s="450"/>
      <c r="AG51" s="449"/>
      <c r="AH51" s="451"/>
      <c r="AI51" s="450"/>
      <c r="AJ51" s="449"/>
      <c r="AK51" s="451"/>
      <c r="AL51" s="450"/>
      <c r="AM51" s="449"/>
      <c r="AN51" s="451"/>
      <c r="AO51" s="450"/>
      <c r="AP51" s="449"/>
      <c r="AQ51" s="451"/>
      <c r="AR51" s="449"/>
      <c r="AS51" s="449"/>
      <c r="AT51" s="451"/>
      <c r="AU51" s="449"/>
      <c r="AV51" s="451"/>
      <c r="AW51" s="449"/>
      <c r="AX51" s="449"/>
      <c r="AY51" s="449"/>
      <c r="AZ51" s="449"/>
      <c r="BA51" s="449"/>
      <c r="BB51" s="449"/>
      <c r="BC51" s="449"/>
      <c r="BD51" s="449"/>
      <c r="BE51" s="449"/>
      <c r="BF51" s="449"/>
      <c r="BG51" s="449"/>
      <c r="BH51" s="449"/>
      <c r="BI51" s="449"/>
      <c r="BJ51" s="449"/>
      <c r="BK51" s="449"/>
      <c r="BL51" s="449"/>
      <c r="BM51" s="449"/>
      <c r="BN51" s="449"/>
    </row>
    <row r="52" spans="1:66" ht="13.15" x14ac:dyDescent="0.4">
      <c r="A52" s="452" t="s">
        <v>507</v>
      </c>
      <c r="B52" s="452"/>
      <c r="C52" s="437">
        <v>44294</v>
      </c>
      <c r="D52" s="452" t="s">
        <v>54</v>
      </c>
      <c r="E52" s="452">
        <v>36</v>
      </c>
      <c r="F52" s="452">
        <v>44</v>
      </c>
      <c r="G52" s="452" t="s">
        <v>126</v>
      </c>
      <c r="H52" s="452" t="s">
        <v>690</v>
      </c>
      <c r="I52" s="438" t="s">
        <v>521</v>
      </c>
      <c r="J52" s="438">
        <v>39</v>
      </c>
      <c r="K52" s="438" t="s">
        <v>477</v>
      </c>
      <c r="L52" s="453"/>
      <c r="M52" s="453"/>
      <c r="N52" s="454"/>
      <c r="O52" s="454">
        <v>3230</v>
      </c>
      <c r="P52" s="430" t="str">
        <f t="shared" si="46"/>
        <v/>
      </c>
      <c r="Q52" s="430" t="str">
        <f t="shared" si="47"/>
        <v/>
      </c>
      <c r="R52" s="430">
        <f t="shared" si="48"/>
        <v>210</v>
      </c>
      <c r="S52" s="430" t="str">
        <f t="shared" si="49"/>
        <v/>
      </c>
      <c r="T52" s="430" t="str">
        <f t="shared" si="50"/>
        <v/>
      </c>
      <c r="U52" s="430" t="str">
        <f t="shared" si="51"/>
        <v/>
      </c>
      <c r="V52" s="430" t="str">
        <f t="shared" si="52"/>
        <v/>
      </c>
      <c r="W52" s="430" t="str">
        <f t="shared" si="53"/>
        <v/>
      </c>
      <c r="X52" s="449"/>
      <c r="Z52" s="450"/>
      <c r="AA52" s="449"/>
      <c r="AB52" s="451"/>
      <c r="AC52" s="450"/>
      <c r="AD52" s="449"/>
      <c r="AE52" s="451"/>
      <c r="AF52" s="450"/>
      <c r="AG52" s="449"/>
      <c r="AH52" s="451"/>
      <c r="AI52" s="450"/>
      <c r="AJ52" s="449"/>
      <c r="AK52" s="451"/>
      <c r="AL52" s="450"/>
      <c r="AM52" s="449"/>
      <c r="AN52" s="451"/>
      <c r="AO52" s="450"/>
      <c r="AP52" s="449"/>
      <c r="AQ52" s="451"/>
      <c r="AR52" s="449"/>
      <c r="AS52" s="449"/>
      <c r="AT52" s="451"/>
      <c r="AU52" s="449"/>
      <c r="AV52" s="451"/>
      <c r="AW52" s="449"/>
      <c r="AX52" s="449"/>
      <c r="AY52" s="449"/>
      <c r="AZ52" s="449"/>
      <c r="BA52" s="449"/>
      <c r="BB52" s="449"/>
      <c r="BC52" s="449"/>
      <c r="BD52" s="449"/>
      <c r="BE52" s="449"/>
      <c r="BF52" s="449"/>
      <c r="BG52" s="449"/>
      <c r="BH52" s="449"/>
      <c r="BI52" s="449"/>
      <c r="BJ52" s="449"/>
      <c r="BK52" s="449"/>
      <c r="BL52" s="449"/>
      <c r="BM52" s="449"/>
      <c r="BN52" s="449"/>
    </row>
    <row r="53" spans="1:66" ht="13.15" x14ac:dyDescent="0.4">
      <c r="A53" s="456" t="s">
        <v>522</v>
      </c>
      <c r="B53" s="456"/>
      <c r="C53" s="457">
        <v>44294</v>
      </c>
      <c r="D53" s="456" t="s">
        <v>42</v>
      </c>
      <c r="E53" s="456">
        <v>26</v>
      </c>
      <c r="F53" s="456">
        <v>32</v>
      </c>
      <c r="G53" s="456" t="s">
        <v>283</v>
      </c>
      <c r="H53" s="456" t="s">
        <v>690</v>
      </c>
      <c r="I53" s="458" t="s">
        <v>332</v>
      </c>
      <c r="J53" s="458">
        <v>25</v>
      </c>
      <c r="K53" s="458" t="s">
        <v>523</v>
      </c>
      <c r="L53" s="459"/>
      <c r="M53" s="459"/>
      <c r="N53" s="460"/>
      <c r="O53" s="460">
        <v>10500</v>
      </c>
      <c r="P53" s="430">
        <f t="shared" si="46"/>
        <v>145</v>
      </c>
      <c r="Q53" s="430">
        <f t="shared" si="47"/>
        <v>155</v>
      </c>
      <c r="R53" s="430" t="str">
        <f t="shared" si="48"/>
        <v/>
      </c>
      <c r="S53" s="430" t="str">
        <f t="shared" si="49"/>
        <v/>
      </c>
      <c r="T53" s="430" t="str">
        <f t="shared" si="50"/>
        <v/>
      </c>
      <c r="U53" s="430" t="str">
        <f t="shared" si="51"/>
        <v/>
      </c>
      <c r="V53" s="430" t="str">
        <f t="shared" si="52"/>
        <v/>
      </c>
      <c r="W53" s="430" t="str">
        <f t="shared" si="53"/>
        <v/>
      </c>
      <c r="X53" s="449"/>
      <c r="Z53" s="450"/>
      <c r="AA53" s="449"/>
      <c r="AB53" s="451"/>
      <c r="AC53" s="450"/>
      <c r="AD53" s="449"/>
      <c r="AE53" s="451"/>
      <c r="AF53" s="450"/>
      <c r="AG53" s="449"/>
      <c r="AH53" s="451"/>
      <c r="AI53" s="450"/>
      <c r="AJ53" s="449"/>
      <c r="AK53" s="451"/>
      <c r="AL53" s="450"/>
      <c r="AM53" s="449"/>
      <c r="AN53" s="451"/>
      <c r="AO53" s="450"/>
      <c r="AP53" s="449"/>
      <c r="AQ53" s="451"/>
      <c r="AR53" s="449"/>
      <c r="AS53" s="449"/>
      <c r="AT53" s="451"/>
      <c r="AU53" s="449"/>
      <c r="AV53" s="451"/>
      <c r="AW53" s="449"/>
      <c r="AX53" s="449"/>
      <c r="AY53" s="449"/>
      <c r="AZ53" s="449"/>
      <c r="BA53" s="449"/>
      <c r="BB53" s="449"/>
      <c r="BC53" s="449"/>
      <c r="BD53" s="449"/>
      <c r="BE53" s="449"/>
      <c r="BF53" s="449"/>
      <c r="BG53" s="449"/>
      <c r="BH53" s="449"/>
      <c r="BI53" s="449"/>
      <c r="BJ53" s="449"/>
      <c r="BK53" s="449"/>
      <c r="BL53" s="449"/>
      <c r="BM53" s="449"/>
      <c r="BN53" s="449"/>
    </row>
    <row r="54" spans="1:66" ht="13.15" x14ac:dyDescent="0.4">
      <c r="A54" s="444" t="s">
        <v>525</v>
      </c>
      <c r="B54" s="444"/>
      <c r="C54" s="445">
        <v>44301</v>
      </c>
      <c r="D54" s="444" t="s">
        <v>42</v>
      </c>
      <c r="E54" s="444">
        <v>26</v>
      </c>
      <c r="F54" s="444">
        <v>48</v>
      </c>
      <c r="G54" s="444" t="s">
        <v>228</v>
      </c>
      <c r="H54" s="444" t="s">
        <v>690</v>
      </c>
      <c r="I54" s="446" t="s">
        <v>337</v>
      </c>
      <c r="J54" s="446">
        <v>41</v>
      </c>
      <c r="K54" s="446" t="s">
        <v>492</v>
      </c>
      <c r="L54" s="447"/>
      <c r="M54" s="447"/>
      <c r="N54" s="448"/>
      <c r="O54" s="448">
        <v>14000</v>
      </c>
      <c r="P54" s="430">
        <f t="shared" si="46"/>
        <v>185</v>
      </c>
      <c r="Q54" s="430">
        <f t="shared" si="47"/>
        <v>195</v>
      </c>
      <c r="R54" s="430" t="str">
        <f t="shared" si="48"/>
        <v/>
      </c>
      <c r="S54" s="430" t="str">
        <f t="shared" si="49"/>
        <v/>
      </c>
      <c r="T54" s="430" t="str">
        <f t="shared" si="50"/>
        <v/>
      </c>
      <c r="U54" s="430" t="str">
        <f t="shared" si="51"/>
        <v/>
      </c>
      <c r="V54" s="430" t="str">
        <f t="shared" si="52"/>
        <v/>
      </c>
      <c r="W54" s="430" t="str">
        <f t="shared" si="53"/>
        <v/>
      </c>
      <c r="X54" s="449"/>
      <c r="Z54" s="450"/>
      <c r="AA54" s="449"/>
      <c r="AB54" s="451"/>
      <c r="AC54" s="450"/>
      <c r="AD54" s="449"/>
      <c r="AE54" s="451"/>
      <c r="AF54" s="450"/>
      <c r="AG54" s="449"/>
      <c r="AH54" s="451"/>
      <c r="AI54" s="450"/>
      <c r="AJ54" s="449"/>
      <c r="AK54" s="451"/>
      <c r="AL54" s="450"/>
      <c r="AM54" s="449"/>
      <c r="AN54" s="451"/>
      <c r="AO54" s="450"/>
      <c r="AP54" s="449"/>
      <c r="AQ54" s="451"/>
      <c r="AR54" s="449"/>
      <c r="AS54" s="449"/>
      <c r="AT54" s="451"/>
      <c r="AU54" s="449"/>
      <c r="AV54" s="451"/>
      <c r="AW54" s="449"/>
      <c r="AX54" s="449"/>
      <c r="AY54" s="449"/>
      <c r="AZ54" s="449"/>
      <c r="BA54" s="449"/>
      <c r="BB54" s="449"/>
      <c r="BC54" s="449"/>
      <c r="BD54" s="449"/>
      <c r="BE54" s="449"/>
      <c r="BF54" s="449"/>
      <c r="BG54" s="449"/>
      <c r="BH54" s="449"/>
      <c r="BI54" s="449"/>
      <c r="BJ54" s="449"/>
      <c r="BK54" s="449"/>
      <c r="BL54" s="449"/>
      <c r="BM54" s="449"/>
      <c r="BN54" s="449"/>
    </row>
    <row r="55" spans="1:66" ht="13.15" x14ac:dyDescent="0.4">
      <c r="A55" s="436" t="s">
        <v>526</v>
      </c>
      <c r="B55" s="436"/>
      <c r="C55" s="437">
        <v>44301</v>
      </c>
      <c r="D55" s="436" t="s">
        <v>42</v>
      </c>
      <c r="E55" s="436">
        <v>28</v>
      </c>
      <c r="F55" s="436">
        <v>36</v>
      </c>
      <c r="G55" s="436" t="s">
        <v>121</v>
      </c>
      <c r="H55" s="436" t="s">
        <v>690</v>
      </c>
      <c r="I55" s="438" t="s">
        <v>343</v>
      </c>
      <c r="J55" s="438"/>
      <c r="K55" s="438"/>
      <c r="L55" s="439"/>
      <c r="M55" s="439"/>
      <c r="N55" s="440"/>
      <c r="O55" s="440">
        <v>15000</v>
      </c>
      <c r="P55" s="430">
        <f t="shared" si="46"/>
        <v>160</v>
      </c>
      <c r="Q55" s="430">
        <f t="shared" si="47"/>
        <v>170</v>
      </c>
      <c r="R55" s="430" t="str">
        <f t="shared" si="48"/>
        <v/>
      </c>
      <c r="S55" s="430" t="str">
        <f t="shared" si="49"/>
        <v/>
      </c>
      <c r="T55" s="430" t="str">
        <f t="shared" si="50"/>
        <v/>
      </c>
      <c r="U55" s="430" t="str">
        <f t="shared" si="51"/>
        <v/>
      </c>
      <c r="V55" s="430" t="str">
        <f t="shared" si="52"/>
        <v/>
      </c>
      <c r="W55" s="430" t="str">
        <f t="shared" si="53"/>
        <v/>
      </c>
      <c r="X55" s="449"/>
      <c r="Z55" s="450"/>
      <c r="AA55" s="449"/>
      <c r="AB55" s="451"/>
      <c r="AC55" s="450"/>
      <c r="AD55" s="449"/>
      <c r="AE55" s="451"/>
      <c r="AF55" s="450"/>
      <c r="AG55" s="449"/>
      <c r="AH55" s="451"/>
      <c r="AI55" s="450"/>
      <c r="AJ55" s="449"/>
      <c r="AK55" s="451"/>
      <c r="AL55" s="450"/>
      <c r="AM55" s="449"/>
      <c r="AN55" s="451"/>
      <c r="AO55" s="450"/>
      <c r="AP55" s="449"/>
      <c r="AQ55" s="451"/>
      <c r="AR55" s="449"/>
      <c r="AS55" s="449"/>
      <c r="AT55" s="451"/>
      <c r="AU55" s="449"/>
      <c r="AV55" s="451"/>
      <c r="AW55" s="449"/>
      <c r="AX55" s="449"/>
      <c r="AY55" s="449"/>
      <c r="AZ55" s="449"/>
      <c r="BA55" s="449"/>
      <c r="BB55" s="449"/>
      <c r="BC55" s="449"/>
      <c r="BD55" s="449"/>
      <c r="BE55" s="449"/>
      <c r="BF55" s="449"/>
      <c r="BG55" s="449"/>
      <c r="BH55" s="449"/>
      <c r="BI55" s="449"/>
      <c r="BJ55" s="449"/>
      <c r="BK55" s="449"/>
      <c r="BL55" s="449"/>
      <c r="BM55" s="449"/>
      <c r="BN55" s="449"/>
    </row>
    <row r="56" spans="1:66" ht="13.15" x14ac:dyDescent="0.4">
      <c r="A56" s="436" t="s">
        <v>528</v>
      </c>
      <c r="B56" s="436"/>
      <c r="C56" s="437">
        <v>44301</v>
      </c>
      <c r="D56" s="436" t="s">
        <v>42</v>
      </c>
      <c r="E56" s="436">
        <v>26</v>
      </c>
      <c r="F56" s="436">
        <v>40</v>
      </c>
      <c r="G56" s="436" t="s">
        <v>118</v>
      </c>
      <c r="H56" s="436" t="s">
        <v>690</v>
      </c>
      <c r="I56" s="438" t="s">
        <v>137</v>
      </c>
      <c r="J56" s="438">
        <v>26</v>
      </c>
      <c r="K56" s="106" t="s">
        <v>523</v>
      </c>
      <c r="L56" s="439"/>
      <c r="M56" s="439"/>
      <c r="N56" s="440"/>
      <c r="O56" s="440">
        <v>10000</v>
      </c>
      <c r="P56" s="430">
        <f t="shared" si="46"/>
        <v>165</v>
      </c>
      <c r="Q56" s="430">
        <f t="shared" si="47"/>
        <v>175</v>
      </c>
      <c r="R56" s="430" t="str">
        <f t="shared" si="48"/>
        <v/>
      </c>
      <c r="S56" s="430" t="str">
        <f t="shared" si="49"/>
        <v/>
      </c>
      <c r="T56" s="430" t="str">
        <f t="shared" si="50"/>
        <v/>
      </c>
      <c r="U56" s="430" t="str">
        <f t="shared" si="51"/>
        <v/>
      </c>
      <c r="V56" s="430" t="str">
        <f t="shared" si="52"/>
        <v/>
      </c>
      <c r="W56" s="430" t="str">
        <f t="shared" si="53"/>
        <v/>
      </c>
      <c r="X56" s="449"/>
      <c r="Z56" s="450"/>
      <c r="AA56" s="449"/>
      <c r="AB56" s="451"/>
      <c r="AC56" s="450"/>
      <c r="AD56" s="449"/>
      <c r="AE56" s="451"/>
      <c r="AF56" s="450"/>
      <c r="AG56" s="449"/>
      <c r="AH56" s="451"/>
      <c r="AI56" s="450"/>
      <c r="AJ56" s="449"/>
      <c r="AK56" s="451"/>
      <c r="AL56" s="450"/>
      <c r="AM56" s="449"/>
      <c r="AN56" s="451"/>
      <c r="AO56" s="450"/>
      <c r="AP56" s="449"/>
      <c r="AQ56" s="451"/>
      <c r="AR56" s="449"/>
      <c r="AS56" s="449"/>
      <c r="AT56" s="451"/>
      <c r="AU56" s="449"/>
      <c r="AV56" s="451"/>
      <c r="AW56" s="449"/>
      <c r="AX56" s="449"/>
      <c r="AY56" s="449"/>
      <c r="AZ56" s="449"/>
      <c r="BA56" s="449"/>
      <c r="BB56" s="449"/>
      <c r="BC56" s="449"/>
      <c r="BD56" s="449"/>
      <c r="BE56" s="449"/>
      <c r="BF56" s="449"/>
      <c r="BG56" s="449"/>
      <c r="BH56" s="449"/>
      <c r="BI56" s="449"/>
      <c r="BJ56" s="449"/>
      <c r="BK56" s="449"/>
      <c r="BL56" s="449"/>
      <c r="BM56" s="449"/>
      <c r="BN56" s="449"/>
    </row>
    <row r="57" spans="1:66" ht="13.15" x14ac:dyDescent="0.4">
      <c r="A57" s="436" t="s">
        <v>529</v>
      </c>
      <c r="B57" s="436"/>
      <c r="C57" s="437">
        <v>44301</v>
      </c>
      <c r="D57" s="436" t="s">
        <v>54</v>
      </c>
      <c r="E57" s="436">
        <v>20</v>
      </c>
      <c r="F57" s="436">
        <v>28</v>
      </c>
      <c r="G57" s="436" t="s">
        <v>128</v>
      </c>
      <c r="H57" s="436" t="s">
        <v>690</v>
      </c>
      <c r="I57" s="438" t="s">
        <v>218</v>
      </c>
      <c r="J57" s="438">
        <v>19</v>
      </c>
      <c r="K57" s="106" t="s">
        <v>474</v>
      </c>
      <c r="L57" s="439"/>
      <c r="M57" s="439"/>
      <c r="N57" s="440"/>
      <c r="O57" s="440">
        <v>1000</v>
      </c>
      <c r="P57" s="430" t="str">
        <f t="shared" si="46"/>
        <v/>
      </c>
      <c r="Q57" s="430" t="str">
        <f t="shared" si="47"/>
        <v/>
      </c>
      <c r="R57" s="430">
        <f t="shared" si="48"/>
        <v>130</v>
      </c>
      <c r="S57" s="430" t="str">
        <f t="shared" si="49"/>
        <v/>
      </c>
      <c r="T57" s="430" t="str">
        <f t="shared" si="50"/>
        <v/>
      </c>
      <c r="U57" s="430" t="str">
        <f t="shared" si="51"/>
        <v/>
      </c>
      <c r="V57" s="430" t="str">
        <f t="shared" si="52"/>
        <v/>
      </c>
      <c r="W57" s="430" t="str">
        <f t="shared" si="53"/>
        <v/>
      </c>
      <c r="X57" s="449"/>
      <c r="Z57" s="450"/>
      <c r="AA57" s="449"/>
      <c r="AB57" s="451"/>
      <c r="AC57" s="450"/>
      <c r="AD57" s="449"/>
      <c r="AE57" s="451"/>
      <c r="AF57" s="450"/>
      <c r="AG57" s="449"/>
      <c r="AH57" s="451"/>
      <c r="AI57" s="450"/>
      <c r="AJ57" s="449"/>
      <c r="AK57" s="451"/>
      <c r="AL57" s="450"/>
      <c r="AM57" s="449"/>
      <c r="AN57" s="451"/>
      <c r="AO57" s="450"/>
      <c r="AP57" s="449"/>
      <c r="AQ57" s="451"/>
      <c r="AR57" s="449"/>
      <c r="AS57" s="449"/>
      <c r="AT57" s="451"/>
      <c r="AU57" s="449"/>
      <c r="AV57" s="451"/>
      <c r="AW57" s="449"/>
      <c r="AX57" s="449"/>
      <c r="AY57" s="449"/>
      <c r="AZ57" s="449"/>
      <c r="BA57" s="449"/>
      <c r="BB57" s="449"/>
      <c r="BC57" s="449"/>
      <c r="BD57" s="449"/>
      <c r="BE57" s="449"/>
      <c r="BF57" s="449"/>
      <c r="BG57" s="449"/>
      <c r="BH57" s="449"/>
      <c r="BI57" s="449"/>
      <c r="BJ57" s="449"/>
      <c r="BK57" s="449"/>
      <c r="BL57" s="449"/>
      <c r="BM57" s="449"/>
      <c r="BN57" s="449"/>
    </row>
    <row r="58" spans="1:66" ht="13.15" x14ac:dyDescent="0.4">
      <c r="A58" s="436" t="s">
        <v>530</v>
      </c>
      <c r="B58" s="436"/>
      <c r="C58" s="437">
        <v>44301</v>
      </c>
      <c r="D58" s="436" t="s">
        <v>42</v>
      </c>
      <c r="E58" s="436">
        <v>9</v>
      </c>
      <c r="F58" s="436">
        <v>12</v>
      </c>
      <c r="G58" s="436" t="s">
        <v>60</v>
      </c>
      <c r="H58" s="437" t="s">
        <v>531</v>
      </c>
      <c r="I58" s="438" t="s">
        <v>179</v>
      </c>
      <c r="J58" s="438">
        <v>12</v>
      </c>
      <c r="K58" s="438" t="s">
        <v>532</v>
      </c>
      <c r="L58" s="439"/>
      <c r="M58" s="439"/>
      <c r="N58" s="440"/>
      <c r="O58" s="440">
        <v>3496</v>
      </c>
      <c r="P58" s="430">
        <f t="shared" si="46"/>
        <v>52.5</v>
      </c>
      <c r="Q58" s="430" t="str">
        <f t="shared" si="47"/>
        <v/>
      </c>
      <c r="R58" s="430" t="str">
        <f t="shared" si="48"/>
        <v/>
      </c>
      <c r="S58" s="430" t="str">
        <f t="shared" si="49"/>
        <v/>
      </c>
      <c r="T58" s="430" t="str">
        <f t="shared" si="50"/>
        <v/>
      </c>
      <c r="U58" s="430" t="str">
        <f t="shared" si="51"/>
        <v/>
      </c>
      <c r="V58" s="430" t="str">
        <f t="shared" si="52"/>
        <v/>
      </c>
      <c r="W58" s="430" t="str">
        <f t="shared" si="53"/>
        <v/>
      </c>
      <c r="X58" s="449"/>
      <c r="Z58" s="450"/>
      <c r="AA58" s="449"/>
      <c r="AB58" s="451"/>
      <c r="AC58" s="450"/>
      <c r="AD58" s="449"/>
      <c r="AE58" s="451"/>
      <c r="AF58" s="450"/>
      <c r="AG58" s="449"/>
      <c r="AH58" s="451"/>
      <c r="AI58" s="450"/>
      <c r="AJ58" s="449"/>
      <c r="AK58" s="451"/>
      <c r="AL58" s="450"/>
      <c r="AM58" s="449"/>
      <c r="AN58" s="451"/>
      <c r="AO58" s="450"/>
      <c r="AP58" s="449"/>
      <c r="AQ58" s="451"/>
      <c r="AR58" s="449"/>
      <c r="AS58" s="449"/>
      <c r="AT58" s="451"/>
      <c r="AU58" s="449"/>
      <c r="AV58" s="451"/>
      <c r="AW58" s="449"/>
      <c r="AX58" s="449"/>
      <c r="AY58" s="449"/>
      <c r="AZ58" s="449"/>
      <c r="BA58" s="449"/>
      <c r="BB58" s="449"/>
      <c r="BC58" s="449"/>
      <c r="BD58" s="449"/>
      <c r="BE58" s="449"/>
      <c r="BF58" s="449"/>
      <c r="BG58" s="449"/>
      <c r="BH58" s="449"/>
      <c r="BI58" s="449"/>
      <c r="BJ58" s="449"/>
      <c r="BK58" s="449"/>
      <c r="BL58" s="449"/>
      <c r="BM58" s="449"/>
      <c r="BN58" s="449"/>
    </row>
    <row r="59" spans="1:66" ht="13.15" x14ac:dyDescent="0.4">
      <c r="A59" s="436" t="s">
        <v>459</v>
      </c>
      <c r="B59" s="436"/>
      <c r="C59" s="437">
        <v>44301</v>
      </c>
      <c r="D59" s="436" t="s">
        <v>54</v>
      </c>
      <c r="E59" s="436">
        <v>30</v>
      </c>
      <c r="F59" s="436">
        <v>48</v>
      </c>
      <c r="G59" s="436" t="s">
        <v>61</v>
      </c>
      <c r="H59" s="437" t="s">
        <v>5</v>
      </c>
      <c r="I59" s="438" t="s">
        <v>353</v>
      </c>
      <c r="J59" s="438">
        <v>36</v>
      </c>
      <c r="K59" s="438" t="s">
        <v>509</v>
      </c>
      <c r="L59" s="439"/>
      <c r="M59" s="439"/>
      <c r="N59" s="440"/>
      <c r="O59" s="440">
        <v>3400</v>
      </c>
      <c r="P59" s="430" t="str">
        <f t="shared" si="46"/>
        <v/>
      </c>
      <c r="Q59" s="430" t="str">
        <f t="shared" si="47"/>
        <v/>
      </c>
      <c r="R59" s="430" t="str">
        <f t="shared" si="48"/>
        <v/>
      </c>
      <c r="S59" s="430" t="str">
        <f t="shared" si="49"/>
        <v/>
      </c>
      <c r="T59" s="430" t="str">
        <f t="shared" si="50"/>
        <v/>
      </c>
      <c r="U59" s="430">
        <f t="shared" si="51"/>
        <v>205</v>
      </c>
      <c r="V59" s="430" t="str">
        <f t="shared" si="52"/>
        <v/>
      </c>
      <c r="W59" s="430" t="str">
        <f t="shared" si="53"/>
        <v/>
      </c>
      <c r="X59" s="449"/>
      <c r="Z59" s="450"/>
      <c r="AA59" s="449"/>
      <c r="AB59" s="451"/>
      <c r="AC59" s="450"/>
      <c r="AD59" s="449"/>
      <c r="AE59" s="451"/>
      <c r="AF59" s="450"/>
      <c r="AG59" s="449"/>
      <c r="AH59" s="451"/>
      <c r="AI59" s="450"/>
      <c r="AJ59" s="449"/>
      <c r="AK59" s="451"/>
      <c r="AL59" s="450"/>
      <c r="AM59" s="449"/>
      <c r="AN59" s="451"/>
      <c r="AO59" s="450"/>
      <c r="AP59" s="449"/>
      <c r="AQ59" s="451"/>
      <c r="AR59" s="449"/>
      <c r="AS59" s="449"/>
      <c r="AT59" s="451"/>
      <c r="AU59" s="449"/>
      <c r="AV59" s="451"/>
      <c r="AW59" s="449"/>
      <c r="AX59" s="449"/>
      <c r="AY59" s="449"/>
      <c r="AZ59" s="449"/>
      <c r="BA59" s="449"/>
      <c r="BB59" s="449"/>
      <c r="BC59" s="449"/>
      <c r="BD59" s="449"/>
      <c r="BE59" s="449"/>
      <c r="BF59" s="449"/>
      <c r="BG59" s="449"/>
      <c r="BH59" s="449"/>
      <c r="BI59" s="449"/>
      <c r="BJ59" s="449"/>
      <c r="BK59" s="449"/>
      <c r="BL59" s="449"/>
      <c r="BM59" s="449"/>
      <c r="BN59" s="449"/>
    </row>
    <row r="60" spans="1:66" ht="13.15" x14ac:dyDescent="0.4">
      <c r="A60" s="436" t="s">
        <v>534</v>
      </c>
      <c r="B60" s="436"/>
      <c r="C60" s="437">
        <v>44301</v>
      </c>
      <c r="D60" s="436" t="s">
        <v>54</v>
      </c>
      <c r="E60" s="436">
        <v>28</v>
      </c>
      <c r="F60" s="436">
        <v>42</v>
      </c>
      <c r="G60" s="436" t="s">
        <v>137</v>
      </c>
      <c r="H60" s="436" t="s">
        <v>690</v>
      </c>
      <c r="I60" s="438" t="s">
        <v>343</v>
      </c>
      <c r="J60" s="438">
        <v>38</v>
      </c>
      <c r="K60" s="438" t="s">
        <v>509</v>
      </c>
      <c r="L60" s="439"/>
      <c r="M60" s="439"/>
      <c r="N60" s="440"/>
      <c r="O60" s="440">
        <f>3135-75</f>
        <v>3060</v>
      </c>
      <c r="P60" s="430" t="str">
        <f t="shared" si="46"/>
        <v/>
      </c>
      <c r="Q60" s="430" t="str">
        <f t="shared" si="47"/>
        <v/>
      </c>
      <c r="R60" s="430">
        <f t="shared" si="48"/>
        <v>185</v>
      </c>
      <c r="S60" s="430" t="str">
        <f t="shared" si="49"/>
        <v/>
      </c>
      <c r="T60" s="430" t="str">
        <f t="shared" si="50"/>
        <v/>
      </c>
      <c r="U60" s="430" t="str">
        <f t="shared" si="51"/>
        <v/>
      </c>
      <c r="V60" s="430" t="str">
        <f t="shared" si="52"/>
        <v/>
      </c>
      <c r="W60" s="430" t="str">
        <f t="shared" si="53"/>
        <v/>
      </c>
      <c r="X60" s="449"/>
      <c r="Z60" s="450"/>
      <c r="AA60" s="449"/>
      <c r="AB60" s="451"/>
      <c r="AC60" s="450"/>
      <c r="AD60" s="449"/>
      <c r="AE60" s="451"/>
      <c r="AF60" s="450"/>
      <c r="AG60" s="449"/>
      <c r="AH60" s="451"/>
      <c r="AI60" s="450"/>
      <c r="AJ60" s="449"/>
      <c r="AK60" s="451"/>
      <c r="AL60" s="450"/>
      <c r="AM60" s="449"/>
      <c r="AN60" s="451"/>
      <c r="AO60" s="450"/>
      <c r="AP60" s="449"/>
      <c r="AQ60" s="451"/>
      <c r="AR60" s="449"/>
      <c r="AS60" s="449"/>
      <c r="AT60" s="451"/>
      <c r="AU60" s="449"/>
      <c r="AV60" s="451"/>
      <c r="AW60" s="449"/>
      <c r="AX60" s="449"/>
      <c r="AY60" s="449"/>
      <c r="AZ60" s="449"/>
      <c r="BA60" s="449"/>
      <c r="BB60" s="449"/>
      <c r="BC60" s="449"/>
      <c r="BD60" s="449"/>
      <c r="BE60" s="449"/>
      <c r="BF60" s="449"/>
      <c r="BG60" s="449"/>
      <c r="BH60" s="449"/>
      <c r="BI60" s="449"/>
      <c r="BJ60" s="449"/>
      <c r="BK60" s="449"/>
      <c r="BL60" s="449"/>
      <c r="BM60" s="449"/>
      <c r="BN60" s="449"/>
    </row>
    <row r="61" spans="1:66" ht="13.15" x14ac:dyDescent="0.4">
      <c r="A61" s="456" t="s">
        <v>535</v>
      </c>
      <c r="B61" s="456"/>
      <c r="C61" s="457">
        <v>44301</v>
      </c>
      <c r="D61" s="456" t="s">
        <v>42</v>
      </c>
      <c r="E61" s="456">
        <v>26</v>
      </c>
      <c r="F61" s="456">
        <v>48</v>
      </c>
      <c r="G61" s="456" t="s">
        <v>228</v>
      </c>
      <c r="H61" s="456" t="s">
        <v>690</v>
      </c>
      <c r="I61" s="458" t="s">
        <v>337</v>
      </c>
      <c r="J61" s="458">
        <v>37</v>
      </c>
      <c r="K61" s="458" t="s">
        <v>509</v>
      </c>
      <c r="L61" s="459"/>
      <c r="M61" s="459"/>
      <c r="N61" s="460"/>
      <c r="O61" s="460">
        <v>12000</v>
      </c>
      <c r="P61" s="430">
        <f t="shared" si="46"/>
        <v>185</v>
      </c>
      <c r="Q61" s="430">
        <f t="shared" si="47"/>
        <v>195</v>
      </c>
      <c r="R61" s="430" t="str">
        <f t="shared" si="48"/>
        <v/>
      </c>
      <c r="S61" s="430" t="str">
        <f t="shared" si="49"/>
        <v/>
      </c>
      <c r="T61" s="430" t="str">
        <f t="shared" si="50"/>
        <v/>
      </c>
      <c r="U61" s="430" t="str">
        <f t="shared" si="51"/>
        <v/>
      </c>
      <c r="V61" s="430" t="str">
        <f t="shared" si="52"/>
        <v/>
      </c>
      <c r="W61" s="430" t="str">
        <f t="shared" si="53"/>
        <v/>
      </c>
      <c r="X61" s="449"/>
      <c r="Z61" s="450"/>
      <c r="AA61" s="449"/>
      <c r="AB61" s="451"/>
      <c r="AC61" s="450"/>
      <c r="AD61" s="449"/>
      <c r="AE61" s="451"/>
      <c r="AF61" s="450"/>
      <c r="AG61" s="449"/>
      <c r="AH61" s="451"/>
      <c r="AI61" s="450"/>
      <c r="AJ61" s="449"/>
      <c r="AK61" s="451"/>
      <c r="AL61" s="450"/>
      <c r="AM61" s="449"/>
      <c r="AN61" s="451"/>
      <c r="AO61" s="450"/>
      <c r="AP61" s="449"/>
      <c r="AQ61" s="451"/>
      <c r="AR61" s="449"/>
      <c r="AS61" s="449"/>
      <c r="AT61" s="451"/>
      <c r="AU61" s="449"/>
      <c r="AV61" s="451"/>
      <c r="AW61" s="449"/>
      <c r="AX61" s="449"/>
      <c r="AY61" s="449"/>
      <c r="AZ61" s="449"/>
      <c r="BA61" s="449"/>
      <c r="BB61" s="449"/>
      <c r="BC61" s="449"/>
      <c r="BD61" s="449"/>
      <c r="BE61" s="449"/>
      <c r="BF61" s="449"/>
      <c r="BG61" s="449"/>
      <c r="BH61" s="449"/>
      <c r="BI61" s="449"/>
      <c r="BJ61" s="449"/>
      <c r="BK61" s="449"/>
      <c r="BL61" s="449"/>
      <c r="BM61" s="449"/>
      <c r="BN61" s="449"/>
    </row>
    <row r="62" spans="1:66" ht="13.15" x14ac:dyDescent="0.4">
      <c r="A62" s="444" t="s">
        <v>536</v>
      </c>
      <c r="B62" s="444"/>
      <c r="C62" s="445">
        <v>44308</v>
      </c>
      <c r="D62" s="444" t="s">
        <v>42</v>
      </c>
      <c r="E62" s="444">
        <v>23</v>
      </c>
      <c r="F62" s="444">
        <v>26</v>
      </c>
      <c r="G62" s="444" t="s">
        <v>287</v>
      </c>
      <c r="H62" s="444" t="s">
        <v>690</v>
      </c>
      <c r="I62" s="446" t="s">
        <v>137</v>
      </c>
      <c r="J62" s="446"/>
      <c r="K62" s="446" t="s">
        <v>523</v>
      </c>
      <c r="L62" s="447"/>
      <c r="M62" s="447"/>
      <c r="N62" s="448"/>
      <c r="O62" s="448">
        <v>9000</v>
      </c>
      <c r="P62" s="430">
        <f t="shared" si="46"/>
        <v>122.5</v>
      </c>
      <c r="Q62" s="430">
        <f t="shared" si="47"/>
        <v>132.5</v>
      </c>
      <c r="R62" s="430" t="str">
        <f t="shared" si="48"/>
        <v/>
      </c>
      <c r="S62" s="430" t="str">
        <f t="shared" si="49"/>
        <v/>
      </c>
      <c r="T62" s="430" t="str">
        <f t="shared" si="50"/>
        <v/>
      </c>
      <c r="U62" s="430" t="str">
        <f t="shared" si="51"/>
        <v/>
      </c>
      <c r="V62" s="430" t="str">
        <f t="shared" si="52"/>
        <v/>
      </c>
      <c r="W62" s="430" t="str">
        <f t="shared" si="53"/>
        <v/>
      </c>
      <c r="X62" s="449"/>
      <c r="Z62" s="450"/>
      <c r="AA62" s="449"/>
      <c r="AB62" s="451"/>
      <c r="AC62" s="450"/>
      <c r="AD62" s="449"/>
      <c r="AE62" s="451"/>
      <c r="AF62" s="450"/>
      <c r="AG62" s="449"/>
      <c r="AH62" s="451"/>
      <c r="AI62" s="450"/>
      <c r="AJ62" s="449"/>
      <c r="AK62" s="451"/>
      <c r="AL62" s="450"/>
      <c r="AM62" s="449"/>
      <c r="AN62" s="451"/>
      <c r="AO62" s="450"/>
      <c r="AP62" s="449"/>
      <c r="AQ62" s="451"/>
      <c r="AR62" s="449"/>
      <c r="AS62" s="449"/>
      <c r="AT62" s="451"/>
      <c r="AU62" s="449"/>
      <c r="AV62" s="451"/>
      <c r="AW62" s="449"/>
      <c r="AX62" s="449"/>
      <c r="AY62" s="449"/>
      <c r="AZ62" s="449"/>
      <c r="BA62" s="449"/>
      <c r="BB62" s="449"/>
      <c r="BC62" s="449"/>
      <c r="BD62" s="449"/>
      <c r="BE62" s="449"/>
      <c r="BF62" s="449"/>
      <c r="BG62" s="449"/>
      <c r="BH62" s="449"/>
      <c r="BI62" s="449"/>
      <c r="BJ62" s="449"/>
      <c r="BK62" s="449"/>
      <c r="BL62" s="449"/>
      <c r="BM62" s="449"/>
      <c r="BN62" s="449"/>
    </row>
    <row r="63" spans="1:66" ht="13.15" x14ac:dyDescent="0.4">
      <c r="A63" s="436" t="s">
        <v>537</v>
      </c>
      <c r="B63" s="436"/>
      <c r="C63" s="437">
        <v>44308</v>
      </c>
      <c r="D63" s="436" t="s">
        <v>42</v>
      </c>
      <c r="E63" s="436">
        <v>12</v>
      </c>
      <c r="F63" s="436">
        <v>16</v>
      </c>
      <c r="G63" s="436" t="s">
        <v>62</v>
      </c>
      <c r="H63" s="437" t="s">
        <v>538</v>
      </c>
      <c r="I63" s="438" t="s">
        <v>157</v>
      </c>
      <c r="J63" s="438">
        <v>15</v>
      </c>
      <c r="K63" s="438" t="s">
        <v>474</v>
      </c>
      <c r="L63" s="439"/>
      <c r="M63" s="439"/>
      <c r="N63" s="440"/>
      <c r="O63" s="440">
        <v>4800</v>
      </c>
      <c r="P63" s="430">
        <f t="shared" si="46"/>
        <v>70</v>
      </c>
      <c r="Q63" s="430" t="str">
        <f t="shared" si="47"/>
        <v/>
      </c>
      <c r="R63" s="430" t="str">
        <f t="shared" si="48"/>
        <v/>
      </c>
      <c r="S63" s="430" t="str">
        <f t="shared" si="49"/>
        <v/>
      </c>
      <c r="T63" s="430" t="str">
        <f t="shared" si="50"/>
        <v/>
      </c>
      <c r="U63" s="430" t="str">
        <f t="shared" si="51"/>
        <v/>
      </c>
      <c r="V63" s="430" t="str">
        <f t="shared" si="52"/>
        <v/>
      </c>
      <c r="W63" s="430" t="str">
        <f t="shared" si="53"/>
        <v/>
      </c>
      <c r="X63" s="449"/>
      <c r="Z63" s="450"/>
      <c r="AA63" s="449"/>
      <c r="AB63" s="451"/>
      <c r="AC63" s="450"/>
      <c r="AD63" s="449"/>
      <c r="AE63" s="451"/>
      <c r="AF63" s="450"/>
      <c r="AG63" s="449"/>
      <c r="AH63" s="451"/>
      <c r="AI63" s="450"/>
      <c r="AJ63" s="449"/>
      <c r="AK63" s="451"/>
      <c r="AL63" s="450"/>
      <c r="AM63" s="449"/>
      <c r="AN63" s="451"/>
      <c r="AO63" s="450"/>
      <c r="AP63" s="449"/>
      <c r="AQ63" s="451"/>
      <c r="AR63" s="449"/>
      <c r="AS63" s="449"/>
      <c r="AT63" s="451"/>
      <c r="AU63" s="449"/>
      <c r="AV63" s="451"/>
      <c r="AW63" s="449"/>
      <c r="AX63" s="449"/>
      <c r="AY63" s="449"/>
      <c r="AZ63" s="449"/>
      <c r="BA63" s="449"/>
      <c r="BB63" s="449"/>
      <c r="BC63" s="449"/>
      <c r="BD63" s="449"/>
      <c r="BE63" s="449"/>
      <c r="BF63" s="449"/>
      <c r="BG63" s="449"/>
      <c r="BH63" s="449"/>
      <c r="BI63" s="449"/>
      <c r="BJ63" s="449"/>
      <c r="BK63" s="449"/>
      <c r="BL63" s="449"/>
      <c r="BM63" s="449"/>
      <c r="BN63" s="449"/>
    </row>
    <row r="64" spans="1:66" ht="13.15" x14ac:dyDescent="0.4">
      <c r="A64" s="436" t="s">
        <v>539</v>
      </c>
      <c r="B64" s="436"/>
      <c r="C64" s="437">
        <v>44308</v>
      </c>
      <c r="D64" s="436" t="s">
        <v>42</v>
      </c>
      <c r="E64" s="436">
        <v>12</v>
      </c>
      <c r="F64" s="436">
        <v>12</v>
      </c>
      <c r="G64" s="436" t="s">
        <v>57</v>
      </c>
      <c r="H64" s="437" t="s">
        <v>540</v>
      </c>
      <c r="I64" s="438" t="s">
        <v>157</v>
      </c>
      <c r="J64" s="438"/>
      <c r="K64" s="438" t="s">
        <v>474</v>
      </c>
      <c r="L64" s="439"/>
      <c r="M64" s="439"/>
      <c r="N64" s="440"/>
      <c r="O64" s="440">
        <v>3300</v>
      </c>
      <c r="P64" s="430">
        <f t="shared" si="46"/>
        <v>60</v>
      </c>
      <c r="Q64" s="430" t="str">
        <f t="shared" si="47"/>
        <v/>
      </c>
      <c r="R64" s="430" t="str">
        <f t="shared" si="48"/>
        <v/>
      </c>
      <c r="S64" s="430" t="str">
        <f t="shared" si="49"/>
        <v/>
      </c>
      <c r="T64" s="430" t="str">
        <f t="shared" si="50"/>
        <v/>
      </c>
      <c r="U64" s="430" t="str">
        <f t="shared" si="51"/>
        <v/>
      </c>
      <c r="V64" s="430" t="str">
        <f t="shared" si="52"/>
        <v/>
      </c>
      <c r="W64" s="430" t="str">
        <f t="shared" si="53"/>
        <v/>
      </c>
      <c r="X64" s="449"/>
      <c r="Z64" s="450"/>
      <c r="AA64" s="449"/>
      <c r="AB64" s="451"/>
      <c r="AC64" s="450"/>
      <c r="AD64" s="449"/>
      <c r="AE64" s="451"/>
      <c r="AF64" s="450"/>
      <c r="AG64" s="449"/>
      <c r="AH64" s="451"/>
      <c r="AI64" s="450"/>
      <c r="AJ64" s="449"/>
      <c r="AK64" s="451"/>
      <c r="AL64" s="450"/>
      <c r="AM64" s="449"/>
      <c r="AN64" s="451"/>
      <c r="AO64" s="450"/>
      <c r="AP64" s="449"/>
      <c r="AQ64" s="451"/>
      <c r="AR64" s="449"/>
      <c r="AS64" s="449"/>
      <c r="AT64" s="451"/>
      <c r="AU64" s="449"/>
      <c r="AV64" s="451"/>
      <c r="AW64" s="449"/>
      <c r="AX64" s="449"/>
      <c r="AY64" s="449"/>
      <c r="AZ64" s="449"/>
      <c r="BA64" s="449"/>
      <c r="BB64" s="449"/>
      <c r="BC64" s="449"/>
      <c r="BD64" s="449"/>
      <c r="BE64" s="449"/>
      <c r="BF64" s="449"/>
      <c r="BG64" s="449"/>
      <c r="BH64" s="449"/>
      <c r="BI64" s="449"/>
      <c r="BJ64" s="449"/>
      <c r="BK64" s="449"/>
      <c r="BL64" s="449"/>
      <c r="BM64" s="449"/>
      <c r="BN64" s="449"/>
    </row>
    <row r="65" spans="1:66" ht="13.15" x14ac:dyDescent="0.4">
      <c r="A65" s="436" t="s">
        <v>541</v>
      </c>
      <c r="B65" s="436"/>
      <c r="C65" s="437">
        <v>44308</v>
      </c>
      <c r="D65" s="436" t="s">
        <v>42</v>
      </c>
      <c r="E65" s="436">
        <v>12</v>
      </c>
      <c r="F65" s="436">
        <v>12</v>
      </c>
      <c r="G65" s="436" t="s">
        <v>57</v>
      </c>
      <c r="H65" s="436" t="s">
        <v>690</v>
      </c>
      <c r="I65" s="438" t="s">
        <v>542</v>
      </c>
      <c r="J65" s="438"/>
      <c r="K65" s="438"/>
      <c r="L65" s="439"/>
      <c r="M65" s="439"/>
      <c r="N65" s="440"/>
      <c r="O65" s="440">
        <v>4300</v>
      </c>
      <c r="P65" s="430">
        <f t="shared" si="46"/>
        <v>60</v>
      </c>
      <c r="Q65" s="430">
        <f t="shared" si="47"/>
        <v>70</v>
      </c>
      <c r="R65" s="430" t="str">
        <f t="shared" si="48"/>
        <v/>
      </c>
      <c r="S65" s="430" t="str">
        <f t="shared" si="49"/>
        <v/>
      </c>
      <c r="T65" s="430" t="str">
        <f t="shared" si="50"/>
        <v/>
      </c>
      <c r="U65" s="430" t="str">
        <f t="shared" si="51"/>
        <v/>
      </c>
      <c r="V65" s="430" t="str">
        <f t="shared" si="52"/>
        <v/>
      </c>
      <c r="W65" s="430" t="str">
        <f t="shared" si="53"/>
        <v/>
      </c>
      <c r="X65" s="449"/>
      <c r="Z65" s="450"/>
      <c r="AA65" s="449"/>
      <c r="AB65" s="451"/>
      <c r="AC65" s="450"/>
      <c r="AD65" s="449"/>
      <c r="AE65" s="451"/>
      <c r="AF65" s="450"/>
      <c r="AG65" s="449"/>
      <c r="AH65" s="451"/>
      <c r="AI65" s="450"/>
      <c r="AJ65" s="449"/>
      <c r="AK65" s="451"/>
      <c r="AL65" s="450"/>
      <c r="AM65" s="449"/>
      <c r="AN65" s="451"/>
      <c r="AO65" s="450"/>
      <c r="AP65" s="449"/>
      <c r="AQ65" s="451"/>
      <c r="AR65" s="449"/>
      <c r="AS65" s="449"/>
      <c r="AT65" s="451"/>
      <c r="AU65" s="449"/>
      <c r="AV65" s="451"/>
      <c r="AW65" s="449"/>
      <c r="AX65" s="449"/>
      <c r="AY65" s="449"/>
      <c r="AZ65" s="449"/>
      <c r="BA65" s="449"/>
      <c r="BB65" s="449"/>
      <c r="BC65" s="449"/>
      <c r="BD65" s="449"/>
      <c r="BE65" s="449"/>
      <c r="BF65" s="449"/>
      <c r="BG65" s="449"/>
      <c r="BH65" s="449"/>
      <c r="BI65" s="449"/>
      <c r="BJ65" s="449"/>
      <c r="BK65" s="449"/>
      <c r="BL65" s="449"/>
      <c r="BM65" s="449"/>
      <c r="BN65" s="449"/>
    </row>
    <row r="66" spans="1:66" ht="13.15" x14ac:dyDescent="0.4">
      <c r="A66" s="430" t="s">
        <v>543</v>
      </c>
      <c r="B66" s="430"/>
      <c r="C66" s="437">
        <v>44308</v>
      </c>
      <c r="D66" s="430" t="s">
        <v>42</v>
      </c>
      <c r="E66" s="430">
        <v>36</v>
      </c>
      <c r="F66" s="430">
        <v>60</v>
      </c>
      <c r="G66" s="430" t="s">
        <v>185</v>
      </c>
      <c r="H66" s="461" t="s">
        <v>690</v>
      </c>
      <c r="I66" s="438" t="s">
        <v>544</v>
      </c>
      <c r="J66" s="438"/>
      <c r="K66" s="438"/>
      <c r="L66" s="462"/>
      <c r="M66" s="462"/>
      <c r="N66" s="461"/>
      <c r="O66" s="461">
        <v>26000</v>
      </c>
      <c r="P66" s="430">
        <f t="shared" si="46"/>
        <v>240</v>
      </c>
      <c r="Q66" s="430">
        <f t="shared" si="47"/>
        <v>250</v>
      </c>
      <c r="R66" s="430" t="str">
        <f t="shared" si="48"/>
        <v/>
      </c>
      <c r="S66" s="430" t="str">
        <f t="shared" si="49"/>
        <v/>
      </c>
      <c r="T66" s="430" t="str">
        <f t="shared" si="50"/>
        <v/>
      </c>
      <c r="U66" s="430" t="str">
        <f t="shared" si="51"/>
        <v/>
      </c>
      <c r="V66" s="430" t="str">
        <f t="shared" si="52"/>
        <v/>
      </c>
      <c r="W66" s="430" t="str">
        <f t="shared" si="53"/>
        <v/>
      </c>
      <c r="X66" s="449"/>
      <c r="Z66" s="450"/>
      <c r="AA66" s="449"/>
      <c r="AB66" s="451"/>
      <c r="AC66" s="450"/>
      <c r="AD66" s="449"/>
      <c r="AE66" s="451"/>
      <c r="AF66" s="450"/>
      <c r="AG66" s="449"/>
      <c r="AH66" s="451"/>
      <c r="AI66" s="450"/>
      <c r="AJ66" s="449"/>
      <c r="AK66" s="451"/>
      <c r="AL66" s="450"/>
      <c r="AM66" s="449"/>
      <c r="AN66" s="451"/>
      <c r="AO66" s="450"/>
      <c r="AP66" s="449"/>
      <c r="AQ66" s="451"/>
      <c r="AR66" s="449"/>
      <c r="AS66" s="449"/>
      <c r="AT66" s="451"/>
      <c r="AU66" s="449"/>
      <c r="AV66" s="451"/>
      <c r="AW66" s="449"/>
      <c r="AX66" s="449"/>
      <c r="AY66" s="449"/>
      <c r="AZ66" s="449"/>
      <c r="BA66" s="449"/>
      <c r="BB66" s="449"/>
      <c r="BC66" s="449"/>
      <c r="BD66" s="449"/>
      <c r="BE66" s="449"/>
      <c r="BF66" s="449"/>
      <c r="BG66" s="449"/>
      <c r="BH66" s="449"/>
      <c r="BI66" s="449"/>
      <c r="BJ66" s="449"/>
      <c r="BK66" s="449"/>
      <c r="BL66" s="449"/>
      <c r="BM66" s="449"/>
      <c r="BN66" s="449"/>
    </row>
    <row r="67" spans="1:66" ht="13.15" x14ac:dyDescent="0.4">
      <c r="A67" s="430" t="s">
        <v>545</v>
      </c>
      <c r="B67" s="430"/>
      <c r="C67" s="437">
        <v>44308</v>
      </c>
      <c r="D67" s="430" t="s">
        <v>42</v>
      </c>
      <c r="E67" s="430">
        <v>24</v>
      </c>
      <c r="F67" s="430">
        <v>36</v>
      </c>
      <c r="G67" s="430" t="s">
        <v>119</v>
      </c>
      <c r="H67" s="461" t="s">
        <v>690</v>
      </c>
      <c r="I67" s="438" t="s">
        <v>318</v>
      </c>
      <c r="J67" s="438"/>
      <c r="K67" s="438"/>
      <c r="L67" s="462"/>
      <c r="M67" s="462"/>
      <c r="N67" s="461"/>
      <c r="O67" s="461">
        <v>13000</v>
      </c>
      <c r="P67" s="430">
        <f t="shared" si="46"/>
        <v>150</v>
      </c>
      <c r="Q67" s="430">
        <f t="shared" si="47"/>
        <v>160</v>
      </c>
      <c r="R67" s="430" t="str">
        <f t="shared" si="48"/>
        <v/>
      </c>
      <c r="S67" s="430" t="str">
        <f t="shared" si="49"/>
        <v/>
      </c>
      <c r="T67" s="430" t="str">
        <f t="shared" si="50"/>
        <v/>
      </c>
      <c r="U67" s="430" t="str">
        <f t="shared" si="51"/>
        <v/>
      </c>
      <c r="V67" s="430" t="str">
        <f t="shared" si="52"/>
        <v/>
      </c>
      <c r="W67" s="430" t="str">
        <f t="shared" si="53"/>
        <v/>
      </c>
      <c r="X67" s="449"/>
      <c r="Z67" s="450"/>
      <c r="AA67" s="449"/>
      <c r="AB67" s="451"/>
      <c r="AC67" s="450"/>
      <c r="AD67" s="449"/>
      <c r="AE67" s="451"/>
      <c r="AF67" s="450"/>
      <c r="AG67" s="449"/>
      <c r="AH67" s="451"/>
      <c r="AI67" s="450"/>
      <c r="AJ67" s="449"/>
      <c r="AK67" s="451"/>
      <c r="AL67" s="450"/>
      <c r="AM67" s="449"/>
      <c r="AN67" s="451"/>
      <c r="AO67" s="450"/>
      <c r="AP67" s="449"/>
      <c r="AQ67" s="451"/>
      <c r="AR67" s="449"/>
      <c r="AS67" s="449"/>
      <c r="AT67" s="451"/>
      <c r="AU67" s="449"/>
      <c r="AV67" s="451"/>
      <c r="AW67" s="449"/>
      <c r="AX67" s="449"/>
      <c r="AY67" s="449"/>
      <c r="AZ67" s="449"/>
      <c r="BA67" s="449"/>
      <c r="BB67" s="449"/>
      <c r="BC67" s="449"/>
      <c r="BD67" s="449"/>
      <c r="BE67" s="449"/>
      <c r="BF67" s="449"/>
      <c r="BG67" s="449"/>
      <c r="BH67" s="449"/>
      <c r="BI67" s="449"/>
      <c r="BJ67" s="449"/>
      <c r="BK67" s="449"/>
      <c r="BL67" s="449"/>
      <c r="BM67" s="449"/>
      <c r="BN67" s="449"/>
    </row>
    <row r="68" spans="1:66" ht="13.15" x14ac:dyDescent="0.4">
      <c r="A68" s="430" t="s">
        <v>430</v>
      </c>
      <c r="B68" s="430"/>
      <c r="C68" s="437">
        <v>44308</v>
      </c>
      <c r="D68" s="430" t="s">
        <v>42</v>
      </c>
      <c r="E68" s="430">
        <v>24</v>
      </c>
      <c r="F68" s="430">
        <v>24</v>
      </c>
      <c r="G68" s="430" t="s">
        <v>201</v>
      </c>
      <c r="H68" s="461" t="s">
        <v>690</v>
      </c>
      <c r="I68" s="438" t="s">
        <v>305</v>
      </c>
      <c r="J68" s="438"/>
      <c r="K68" s="438"/>
      <c r="L68" s="462"/>
      <c r="M68" s="462"/>
      <c r="N68" s="461"/>
      <c r="O68" s="461">
        <v>8600</v>
      </c>
      <c r="P68" s="430">
        <f t="shared" si="46"/>
        <v>120</v>
      </c>
      <c r="Q68" s="430">
        <f t="shared" si="47"/>
        <v>130</v>
      </c>
      <c r="R68" s="430" t="str">
        <f t="shared" si="48"/>
        <v/>
      </c>
      <c r="S68" s="430" t="str">
        <f t="shared" si="49"/>
        <v/>
      </c>
      <c r="T68" s="430" t="str">
        <f t="shared" si="50"/>
        <v/>
      </c>
      <c r="U68" s="430" t="str">
        <f t="shared" si="51"/>
        <v/>
      </c>
      <c r="V68" s="430" t="str">
        <f t="shared" si="52"/>
        <v/>
      </c>
      <c r="W68" s="430" t="str">
        <f t="shared" si="53"/>
        <v/>
      </c>
      <c r="X68" s="449"/>
      <c r="Z68" s="450"/>
      <c r="AA68" s="449"/>
      <c r="AB68" s="451"/>
      <c r="AC68" s="450"/>
      <c r="AD68" s="449"/>
      <c r="AE68" s="451"/>
      <c r="AF68" s="450"/>
      <c r="AG68" s="449"/>
      <c r="AH68" s="451"/>
      <c r="AI68" s="450"/>
      <c r="AJ68" s="449"/>
      <c r="AK68" s="451"/>
      <c r="AL68" s="450"/>
      <c r="AM68" s="449"/>
      <c r="AN68" s="451"/>
      <c r="AO68" s="450"/>
      <c r="AP68" s="449"/>
      <c r="AQ68" s="451"/>
      <c r="AR68" s="449"/>
      <c r="AS68" s="449"/>
      <c r="AT68" s="451"/>
      <c r="AU68" s="449"/>
      <c r="AV68" s="451"/>
      <c r="AW68" s="449"/>
      <c r="AX68" s="449"/>
      <c r="AY68" s="449"/>
      <c r="AZ68" s="449"/>
      <c r="BA68" s="449"/>
      <c r="BB68" s="449"/>
      <c r="BC68" s="449"/>
      <c r="BD68" s="449"/>
      <c r="BE68" s="449"/>
      <c r="BF68" s="449"/>
      <c r="BG68" s="449"/>
      <c r="BH68" s="449"/>
      <c r="BI68" s="449"/>
      <c r="BJ68" s="449"/>
      <c r="BK68" s="449"/>
      <c r="BL68" s="449"/>
      <c r="BM68" s="449"/>
      <c r="BN68" s="449"/>
    </row>
    <row r="69" spans="1:66" ht="13.15" x14ac:dyDescent="0.4">
      <c r="A69" s="430" t="s">
        <v>546</v>
      </c>
      <c r="B69" s="430"/>
      <c r="C69" s="437">
        <v>44308</v>
      </c>
      <c r="D69" s="430" t="s">
        <v>42</v>
      </c>
      <c r="E69" s="430">
        <v>24</v>
      </c>
      <c r="F69" s="430">
        <v>24</v>
      </c>
      <c r="G69" s="430" t="s">
        <v>201</v>
      </c>
      <c r="H69" s="461" t="s">
        <v>690</v>
      </c>
      <c r="I69" s="438" t="s">
        <v>305</v>
      </c>
      <c r="J69" s="438"/>
      <c r="K69" s="438"/>
      <c r="L69" s="462"/>
      <c r="M69" s="462"/>
      <c r="N69" s="461"/>
      <c r="O69" s="461">
        <v>8600</v>
      </c>
      <c r="P69" s="430">
        <f t="shared" si="46"/>
        <v>120</v>
      </c>
      <c r="Q69" s="430">
        <f t="shared" si="47"/>
        <v>130</v>
      </c>
      <c r="R69" s="430" t="str">
        <f t="shared" si="48"/>
        <v/>
      </c>
      <c r="S69" s="430" t="str">
        <f t="shared" si="49"/>
        <v/>
      </c>
      <c r="T69" s="430" t="str">
        <f t="shared" si="50"/>
        <v/>
      </c>
      <c r="U69" s="430" t="str">
        <f t="shared" si="51"/>
        <v/>
      </c>
      <c r="V69" s="430" t="str">
        <f t="shared" si="52"/>
        <v/>
      </c>
      <c r="W69" s="430" t="str">
        <f t="shared" si="53"/>
        <v/>
      </c>
      <c r="X69" s="449"/>
      <c r="Z69" s="450"/>
      <c r="AA69" s="449"/>
      <c r="AB69" s="451"/>
      <c r="AC69" s="450"/>
      <c r="AD69" s="449"/>
      <c r="AE69" s="451"/>
      <c r="AF69" s="450"/>
      <c r="AG69" s="449"/>
      <c r="AH69" s="451"/>
      <c r="AI69" s="450"/>
      <c r="AJ69" s="449"/>
      <c r="AK69" s="451"/>
      <c r="AL69" s="450"/>
      <c r="AM69" s="449"/>
      <c r="AN69" s="451"/>
      <c r="AO69" s="450"/>
      <c r="AP69" s="449"/>
      <c r="AQ69" s="451"/>
      <c r="AR69" s="449"/>
      <c r="AS69" s="449"/>
      <c r="AT69" s="451"/>
      <c r="AU69" s="449"/>
      <c r="AV69" s="451"/>
      <c r="AW69" s="449"/>
      <c r="AX69" s="449"/>
      <c r="AY69" s="449"/>
      <c r="AZ69" s="449"/>
      <c r="BA69" s="449"/>
      <c r="BB69" s="449"/>
      <c r="BC69" s="449"/>
      <c r="BD69" s="449"/>
      <c r="BE69" s="449"/>
      <c r="BF69" s="449"/>
      <c r="BG69" s="449"/>
      <c r="BH69" s="449"/>
      <c r="BI69" s="449"/>
      <c r="BJ69" s="449"/>
      <c r="BK69" s="449"/>
      <c r="BL69" s="449"/>
      <c r="BM69" s="449"/>
      <c r="BN69" s="449"/>
    </row>
    <row r="70" spans="1:66" ht="13.15" x14ac:dyDescent="0.4">
      <c r="A70" s="430" t="s">
        <v>547</v>
      </c>
      <c r="B70" s="430"/>
      <c r="C70" s="437">
        <v>44308</v>
      </c>
      <c r="D70" s="430" t="s">
        <v>42</v>
      </c>
      <c r="E70" s="430">
        <v>24</v>
      </c>
      <c r="F70" s="430">
        <v>24</v>
      </c>
      <c r="G70" s="430" t="s">
        <v>201</v>
      </c>
      <c r="H70" s="461" t="s">
        <v>690</v>
      </c>
      <c r="I70" s="438" t="s">
        <v>305</v>
      </c>
      <c r="J70" s="438"/>
      <c r="K70" s="438"/>
      <c r="L70" s="462"/>
      <c r="M70" s="462"/>
      <c r="N70" s="461"/>
      <c r="O70" s="461">
        <v>8600</v>
      </c>
      <c r="P70" s="430">
        <f t="shared" si="46"/>
        <v>120</v>
      </c>
      <c r="Q70" s="430">
        <f t="shared" si="47"/>
        <v>130</v>
      </c>
      <c r="R70" s="430" t="str">
        <f t="shared" si="48"/>
        <v/>
      </c>
      <c r="S70" s="430" t="str">
        <f t="shared" si="49"/>
        <v/>
      </c>
      <c r="T70" s="430" t="str">
        <f t="shared" si="50"/>
        <v/>
      </c>
      <c r="U70" s="430" t="str">
        <f t="shared" si="51"/>
        <v/>
      </c>
      <c r="V70" s="430" t="str">
        <f t="shared" si="52"/>
        <v/>
      </c>
      <c r="W70" s="430" t="str">
        <f t="shared" si="53"/>
        <v/>
      </c>
      <c r="X70" s="449"/>
      <c r="Z70" s="450"/>
      <c r="AA70" s="449"/>
      <c r="AB70" s="451"/>
      <c r="AC70" s="450"/>
      <c r="AD70" s="449"/>
      <c r="AE70" s="451"/>
      <c r="AF70" s="450"/>
      <c r="AG70" s="449"/>
      <c r="AH70" s="451"/>
      <c r="AI70" s="450"/>
      <c r="AJ70" s="449"/>
      <c r="AK70" s="451"/>
      <c r="AL70" s="450"/>
      <c r="AM70" s="449"/>
      <c r="AN70" s="451"/>
      <c r="AO70" s="450"/>
      <c r="AP70" s="449"/>
      <c r="AQ70" s="451"/>
      <c r="AR70" s="449"/>
      <c r="AS70" s="449"/>
      <c r="AT70" s="451"/>
      <c r="AU70" s="449"/>
      <c r="AV70" s="451"/>
      <c r="AW70" s="449"/>
      <c r="AX70" s="449"/>
      <c r="AY70" s="449"/>
      <c r="AZ70" s="449"/>
      <c r="BA70" s="449"/>
      <c r="BB70" s="449"/>
      <c r="BC70" s="449"/>
      <c r="BD70" s="449"/>
      <c r="BE70" s="449"/>
      <c r="BF70" s="449"/>
      <c r="BG70" s="449"/>
      <c r="BH70" s="449"/>
      <c r="BI70" s="449"/>
      <c r="BJ70" s="449"/>
      <c r="BK70" s="449"/>
      <c r="BL70" s="449"/>
      <c r="BM70" s="449"/>
      <c r="BN70" s="449"/>
    </row>
    <row r="71" spans="1:66" ht="13.15" x14ac:dyDescent="0.4">
      <c r="A71" s="430" t="s">
        <v>548</v>
      </c>
      <c r="B71" s="430"/>
      <c r="C71" s="437">
        <v>44308</v>
      </c>
      <c r="D71" s="430" t="s">
        <v>42</v>
      </c>
      <c r="E71" s="430">
        <v>24</v>
      </c>
      <c r="F71" s="430">
        <v>30</v>
      </c>
      <c r="G71" s="430" t="s">
        <v>111</v>
      </c>
      <c r="H71" s="461" t="s">
        <v>690</v>
      </c>
      <c r="I71" s="438" t="s">
        <v>283</v>
      </c>
      <c r="J71" s="438"/>
      <c r="K71" s="438"/>
      <c r="L71" s="462"/>
      <c r="M71" s="462"/>
      <c r="N71" s="461"/>
      <c r="O71" s="461">
        <v>10800</v>
      </c>
      <c r="P71" s="430">
        <f t="shared" si="46"/>
        <v>135</v>
      </c>
      <c r="Q71" s="430">
        <f t="shared" si="47"/>
        <v>145</v>
      </c>
      <c r="R71" s="430" t="str">
        <f t="shared" si="48"/>
        <v/>
      </c>
      <c r="S71" s="430" t="str">
        <f t="shared" si="49"/>
        <v/>
      </c>
      <c r="T71" s="430" t="str">
        <f t="shared" si="50"/>
        <v/>
      </c>
      <c r="U71" s="430" t="str">
        <f t="shared" si="51"/>
        <v/>
      </c>
      <c r="V71" s="430" t="str">
        <f t="shared" si="52"/>
        <v/>
      </c>
      <c r="W71" s="430" t="str">
        <f t="shared" si="53"/>
        <v/>
      </c>
      <c r="X71" s="449"/>
      <c r="Z71" s="450"/>
      <c r="AA71" s="449"/>
      <c r="AB71" s="451"/>
      <c r="AC71" s="450"/>
      <c r="AD71" s="449"/>
      <c r="AE71" s="451"/>
      <c r="AF71" s="450"/>
      <c r="AG71" s="449"/>
      <c r="AH71" s="451"/>
      <c r="AI71" s="450"/>
      <c r="AJ71" s="449"/>
      <c r="AK71" s="451"/>
      <c r="AL71" s="450"/>
      <c r="AM71" s="449"/>
      <c r="AN71" s="451"/>
      <c r="AO71" s="450"/>
      <c r="AP71" s="449"/>
      <c r="AQ71" s="451"/>
      <c r="AR71" s="449"/>
      <c r="AS71" s="449"/>
      <c r="AT71" s="451"/>
      <c r="AU71" s="449"/>
      <c r="AV71" s="451"/>
      <c r="AW71" s="449"/>
      <c r="AX71" s="449"/>
      <c r="AY71" s="449"/>
      <c r="AZ71" s="449"/>
      <c r="BA71" s="449"/>
      <c r="BB71" s="449"/>
      <c r="BC71" s="449"/>
      <c r="BD71" s="449"/>
      <c r="BE71" s="449"/>
      <c r="BF71" s="449"/>
      <c r="BG71" s="449"/>
      <c r="BH71" s="449"/>
      <c r="BI71" s="449"/>
      <c r="BJ71" s="449"/>
      <c r="BK71" s="449"/>
      <c r="BL71" s="449"/>
      <c r="BM71" s="449"/>
      <c r="BN71" s="449"/>
    </row>
    <row r="72" spans="1:66" ht="13.15" x14ac:dyDescent="0.4">
      <c r="A72" s="430" t="s">
        <v>549</v>
      </c>
      <c r="B72" s="430"/>
      <c r="C72" s="437">
        <v>44308</v>
      </c>
      <c r="D72" s="430" t="s">
        <v>42</v>
      </c>
      <c r="E72" s="430">
        <v>24</v>
      </c>
      <c r="F72" s="430">
        <v>24</v>
      </c>
      <c r="G72" s="430" t="s">
        <v>201</v>
      </c>
      <c r="H72" s="461" t="s">
        <v>690</v>
      </c>
      <c r="I72" s="438" t="s">
        <v>305</v>
      </c>
      <c r="J72" s="438"/>
      <c r="K72" s="438"/>
      <c r="L72" s="462"/>
      <c r="M72" s="462"/>
      <c r="N72" s="461"/>
      <c r="O72" s="461">
        <v>8600</v>
      </c>
      <c r="P72" s="430">
        <f t="shared" si="46"/>
        <v>120</v>
      </c>
      <c r="Q72" s="430">
        <f t="shared" si="47"/>
        <v>130</v>
      </c>
      <c r="R72" s="430" t="str">
        <f t="shared" si="48"/>
        <v/>
      </c>
      <c r="S72" s="430" t="str">
        <f t="shared" si="49"/>
        <v/>
      </c>
      <c r="T72" s="430" t="str">
        <f t="shared" si="50"/>
        <v/>
      </c>
      <c r="U72" s="430" t="str">
        <f t="shared" si="51"/>
        <v/>
      </c>
      <c r="V72" s="430" t="str">
        <f t="shared" si="52"/>
        <v/>
      </c>
      <c r="W72" s="430" t="str">
        <f t="shared" si="53"/>
        <v/>
      </c>
      <c r="X72" s="449"/>
      <c r="Z72" s="450"/>
      <c r="AA72" s="449"/>
      <c r="AB72" s="451"/>
      <c r="AC72" s="450"/>
      <c r="AD72" s="449"/>
      <c r="AE72" s="451"/>
      <c r="AF72" s="450"/>
      <c r="AG72" s="449"/>
      <c r="AH72" s="451"/>
      <c r="AI72" s="450"/>
      <c r="AJ72" s="449"/>
      <c r="AK72" s="451"/>
      <c r="AL72" s="450"/>
      <c r="AM72" s="449"/>
      <c r="AN72" s="451"/>
      <c r="AO72" s="450"/>
      <c r="AP72" s="449"/>
      <c r="AQ72" s="451"/>
      <c r="AR72" s="449"/>
      <c r="AS72" s="449"/>
      <c r="AT72" s="451"/>
      <c r="AU72" s="449"/>
      <c r="AV72" s="451"/>
      <c r="AW72" s="449"/>
      <c r="AX72" s="449"/>
      <c r="AY72" s="449"/>
      <c r="AZ72" s="449"/>
      <c r="BA72" s="449"/>
      <c r="BB72" s="449"/>
      <c r="BC72" s="449"/>
      <c r="BD72" s="449"/>
      <c r="BE72" s="449"/>
      <c r="BF72" s="449"/>
      <c r="BG72" s="449"/>
      <c r="BH72" s="449"/>
      <c r="BI72" s="449"/>
      <c r="BJ72" s="449"/>
      <c r="BK72" s="449"/>
      <c r="BL72" s="449"/>
      <c r="BM72" s="449"/>
      <c r="BN72" s="449"/>
    </row>
    <row r="73" spans="1:66" ht="13.15" x14ac:dyDescent="0.4">
      <c r="A73" s="430" t="s">
        <v>550</v>
      </c>
      <c r="B73" s="430"/>
      <c r="C73" s="463">
        <v>44308</v>
      </c>
      <c r="D73" s="430" t="s">
        <v>42</v>
      </c>
      <c r="E73" s="430">
        <v>22</v>
      </c>
      <c r="F73" s="430">
        <v>28</v>
      </c>
      <c r="G73" s="430" t="s">
        <v>272</v>
      </c>
      <c r="H73" s="461" t="s">
        <v>690</v>
      </c>
      <c r="I73" s="438" t="s">
        <v>111</v>
      </c>
      <c r="J73" s="438"/>
      <c r="K73" s="438"/>
      <c r="L73" s="462"/>
      <c r="M73" s="462"/>
      <c r="N73" s="461"/>
      <c r="O73" s="461">
        <v>9200</v>
      </c>
      <c r="P73" s="430">
        <f t="shared" si="46"/>
        <v>125</v>
      </c>
      <c r="Q73" s="430">
        <f t="shared" si="47"/>
        <v>135</v>
      </c>
      <c r="R73" s="430" t="str">
        <f t="shared" si="48"/>
        <v/>
      </c>
      <c r="S73" s="430" t="str">
        <f t="shared" si="49"/>
        <v/>
      </c>
      <c r="T73" s="430" t="str">
        <f t="shared" si="50"/>
        <v/>
      </c>
      <c r="U73" s="430" t="str">
        <f t="shared" si="51"/>
        <v/>
      </c>
      <c r="V73" s="430" t="str">
        <f t="shared" si="52"/>
        <v/>
      </c>
      <c r="W73" s="430" t="str">
        <f t="shared" si="53"/>
        <v/>
      </c>
      <c r="X73" s="449"/>
      <c r="Z73" s="450"/>
      <c r="AA73" s="449"/>
      <c r="AB73" s="451"/>
      <c r="AC73" s="450"/>
      <c r="AD73" s="449"/>
      <c r="AE73" s="451"/>
      <c r="AF73" s="450"/>
      <c r="AG73" s="449"/>
      <c r="AH73" s="451"/>
      <c r="AI73" s="450"/>
      <c r="AJ73" s="449"/>
      <c r="AK73" s="451"/>
      <c r="AL73" s="450"/>
      <c r="AM73" s="449"/>
      <c r="AN73" s="451"/>
      <c r="AO73" s="450"/>
      <c r="AP73" s="449"/>
      <c r="AQ73" s="451"/>
      <c r="AR73" s="449"/>
      <c r="AS73" s="449"/>
      <c r="AT73" s="451"/>
      <c r="AU73" s="449"/>
      <c r="AV73" s="451"/>
      <c r="AW73" s="449"/>
      <c r="AX73" s="449"/>
      <c r="AY73" s="449"/>
      <c r="AZ73" s="449"/>
      <c r="BA73" s="449"/>
      <c r="BB73" s="449"/>
      <c r="BC73" s="449"/>
      <c r="BD73" s="449"/>
      <c r="BE73" s="449"/>
      <c r="BF73" s="449"/>
      <c r="BG73" s="449"/>
      <c r="BH73" s="449"/>
      <c r="BI73" s="449"/>
      <c r="BJ73" s="449"/>
      <c r="BK73" s="449"/>
      <c r="BL73" s="449"/>
      <c r="BM73" s="449"/>
      <c r="BN73" s="449"/>
    </row>
    <row r="74" spans="1:66" ht="13.15" x14ac:dyDescent="0.4">
      <c r="A74" s="464" t="s">
        <v>520</v>
      </c>
      <c r="B74" s="464"/>
      <c r="C74" s="465">
        <v>44315</v>
      </c>
      <c r="D74" s="464" t="s">
        <v>42</v>
      </c>
      <c r="E74" s="464">
        <v>28</v>
      </c>
      <c r="F74" s="464">
        <v>48</v>
      </c>
      <c r="G74" s="464" t="s">
        <v>123</v>
      </c>
      <c r="H74" s="466" t="s">
        <v>690</v>
      </c>
      <c r="I74" s="446" t="s">
        <v>203</v>
      </c>
      <c r="J74" s="446">
        <v>38</v>
      </c>
      <c r="K74" s="446" t="s">
        <v>509</v>
      </c>
      <c r="L74" s="464" t="str">
        <f t="shared" ref="L74:L315" si="54">C74&amp;K74</f>
        <v>44315S-17587</v>
      </c>
      <c r="M74" s="464"/>
      <c r="N74" s="466"/>
      <c r="O74" s="466">
        <v>13000</v>
      </c>
      <c r="P74" s="430">
        <f t="shared" si="46"/>
        <v>190</v>
      </c>
      <c r="Q74" s="430">
        <f t="shared" si="47"/>
        <v>200</v>
      </c>
      <c r="R74" s="430" t="str">
        <f t="shared" si="48"/>
        <v/>
      </c>
      <c r="S74" s="430" t="str">
        <f t="shared" si="49"/>
        <v/>
      </c>
      <c r="T74" s="430" t="str">
        <f t="shared" si="50"/>
        <v/>
      </c>
      <c r="U74" s="430" t="str">
        <f t="shared" si="51"/>
        <v/>
      </c>
      <c r="V74" s="430" t="str">
        <f t="shared" si="52"/>
        <v/>
      </c>
      <c r="W74" s="430" t="str">
        <f t="shared" si="53"/>
        <v/>
      </c>
      <c r="X74" s="449"/>
      <c r="Y74" s="467"/>
      <c r="Z74" s="450"/>
      <c r="AA74" s="449"/>
      <c r="AB74" s="451"/>
      <c r="AC74" s="450"/>
      <c r="AD74" s="449"/>
      <c r="AE74" s="451"/>
      <c r="AF74" s="450"/>
      <c r="AG74" s="449"/>
      <c r="AH74" s="451"/>
      <c r="AI74" s="450"/>
      <c r="AJ74" s="449"/>
      <c r="AK74" s="451"/>
      <c r="AL74" s="450"/>
      <c r="AM74" s="449"/>
      <c r="AN74" s="451"/>
      <c r="AO74" s="450"/>
      <c r="AP74" s="449"/>
      <c r="AQ74" s="451"/>
      <c r="AR74" s="449"/>
      <c r="AS74" s="449"/>
      <c r="AT74" s="451"/>
      <c r="AU74" s="449"/>
      <c r="AV74" s="451"/>
      <c r="AW74" s="449"/>
      <c r="AX74" s="449"/>
      <c r="AY74" s="449"/>
      <c r="AZ74" s="449"/>
      <c r="BA74" s="449"/>
      <c r="BB74" s="449"/>
      <c r="BC74" s="449"/>
      <c r="BD74" s="449"/>
      <c r="BE74" s="449"/>
      <c r="BF74" s="449"/>
      <c r="BG74" s="449"/>
      <c r="BH74" s="449"/>
      <c r="BI74" s="449"/>
      <c r="BJ74" s="449"/>
      <c r="BK74" s="449"/>
      <c r="BL74" s="449"/>
      <c r="BM74" s="449"/>
      <c r="BN74" s="449"/>
    </row>
    <row r="75" spans="1:66" ht="13.15" x14ac:dyDescent="0.4">
      <c r="A75" s="430" t="s">
        <v>551</v>
      </c>
      <c r="B75" s="430"/>
      <c r="C75" s="463">
        <v>44315</v>
      </c>
      <c r="D75" s="430" t="s">
        <v>42</v>
      </c>
      <c r="E75" s="430">
        <v>9</v>
      </c>
      <c r="F75" s="430">
        <v>12</v>
      </c>
      <c r="G75" s="430" t="s">
        <v>60</v>
      </c>
      <c r="H75" s="461" t="s">
        <v>538</v>
      </c>
      <c r="I75" s="438" t="s">
        <v>81</v>
      </c>
      <c r="J75" s="438">
        <v>13</v>
      </c>
      <c r="K75" s="438" t="s">
        <v>532</v>
      </c>
      <c r="L75" s="430" t="str">
        <f t="shared" si="54"/>
        <v>44315S-9919</v>
      </c>
      <c r="M75" s="430"/>
      <c r="N75" s="461"/>
      <c r="O75" s="461">
        <v>2200</v>
      </c>
      <c r="P75" s="430">
        <f t="shared" si="46"/>
        <v>52.5</v>
      </c>
      <c r="Q75" s="430" t="str">
        <f t="shared" si="47"/>
        <v/>
      </c>
      <c r="R75" s="430" t="str">
        <f t="shared" si="48"/>
        <v/>
      </c>
      <c r="S75" s="430" t="str">
        <f t="shared" si="49"/>
        <v/>
      </c>
      <c r="T75" s="430" t="str">
        <f t="shared" si="50"/>
        <v/>
      </c>
      <c r="U75" s="430" t="str">
        <f t="shared" si="51"/>
        <v/>
      </c>
      <c r="V75" s="430" t="str">
        <f t="shared" si="52"/>
        <v/>
      </c>
      <c r="W75" s="430" t="str">
        <f t="shared" si="53"/>
        <v/>
      </c>
      <c r="X75" s="449"/>
      <c r="Z75" s="450"/>
      <c r="AA75" s="449"/>
      <c r="AB75" s="451"/>
      <c r="AC75" s="450"/>
      <c r="AD75" s="449"/>
      <c r="AE75" s="451"/>
      <c r="AF75" s="450"/>
      <c r="AG75" s="449"/>
      <c r="AH75" s="451"/>
      <c r="AI75" s="450"/>
      <c r="AJ75" s="449"/>
      <c r="AK75" s="451"/>
      <c r="AL75" s="450"/>
      <c r="AM75" s="449"/>
      <c r="AN75" s="451"/>
      <c r="AO75" s="450"/>
      <c r="AP75" s="449"/>
      <c r="AQ75" s="451"/>
      <c r="AR75" s="449"/>
      <c r="AS75" s="449"/>
      <c r="AT75" s="451"/>
      <c r="AU75" s="449"/>
      <c r="AV75" s="451"/>
      <c r="AW75" s="449"/>
      <c r="AX75" s="449"/>
      <c r="AY75" s="449"/>
      <c r="AZ75" s="449"/>
      <c r="BA75" s="449"/>
      <c r="BB75" s="449"/>
      <c r="BC75" s="449"/>
      <c r="BD75" s="449"/>
      <c r="BE75" s="449"/>
      <c r="BF75" s="449"/>
      <c r="BG75" s="449"/>
      <c r="BH75" s="449"/>
      <c r="BI75" s="449"/>
      <c r="BJ75" s="449"/>
      <c r="BK75" s="449"/>
      <c r="BL75" s="449"/>
      <c r="BM75" s="449"/>
      <c r="BN75" s="449"/>
    </row>
    <row r="76" spans="1:66" ht="13.15" x14ac:dyDescent="0.4">
      <c r="A76" s="430" t="s">
        <v>552</v>
      </c>
      <c r="B76" s="430"/>
      <c r="C76" s="463">
        <v>44315</v>
      </c>
      <c r="D76" s="430" t="s">
        <v>42</v>
      </c>
      <c r="E76" s="430">
        <v>12</v>
      </c>
      <c r="F76" s="430">
        <v>12</v>
      </c>
      <c r="G76" s="430" t="s">
        <v>57</v>
      </c>
      <c r="H76" s="461" t="s">
        <v>538</v>
      </c>
      <c r="I76" s="438" t="s">
        <v>208</v>
      </c>
      <c r="J76" s="438">
        <v>16</v>
      </c>
      <c r="K76" s="438" t="s">
        <v>474</v>
      </c>
      <c r="L76" s="430" t="str">
        <f t="shared" si="54"/>
        <v>44315S-15176</v>
      </c>
      <c r="M76" s="430"/>
      <c r="N76" s="461"/>
      <c r="O76" s="461">
        <v>3000</v>
      </c>
      <c r="P76" s="430">
        <f t="shared" si="46"/>
        <v>60</v>
      </c>
      <c r="Q76" s="430" t="str">
        <f t="shared" si="47"/>
        <v/>
      </c>
      <c r="R76" s="430" t="str">
        <f t="shared" si="48"/>
        <v/>
      </c>
      <c r="S76" s="430" t="str">
        <f t="shared" si="49"/>
        <v/>
      </c>
      <c r="T76" s="430" t="str">
        <f t="shared" si="50"/>
        <v/>
      </c>
      <c r="U76" s="430" t="str">
        <f t="shared" si="51"/>
        <v/>
      </c>
      <c r="V76" s="430" t="str">
        <f t="shared" si="52"/>
        <v/>
      </c>
      <c r="W76" s="430" t="str">
        <f t="shared" si="53"/>
        <v/>
      </c>
      <c r="X76" s="449"/>
      <c r="Z76" s="450"/>
      <c r="AA76" s="449"/>
      <c r="AB76" s="451"/>
      <c r="AC76" s="450"/>
      <c r="AD76" s="449"/>
      <c r="AE76" s="451"/>
      <c r="AF76" s="450"/>
      <c r="AG76" s="449"/>
      <c r="AH76" s="451"/>
      <c r="AI76" s="450"/>
      <c r="AJ76" s="449"/>
      <c r="AK76" s="451"/>
      <c r="AL76" s="450"/>
      <c r="AM76" s="449"/>
      <c r="AN76" s="451"/>
      <c r="AO76" s="450"/>
      <c r="AP76" s="449"/>
      <c r="AQ76" s="451"/>
      <c r="AR76" s="449"/>
      <c r="AS76" s="449"/>
      <c r="AT76" s="451"/>
      <c r="AU76" s="449"/>
      <c r="AV76" s="451"/>
      <c r="AW76" s="449"/>
      <c r="AX76" s="449"/>
      <c r="AY76" s="449"/>
      <c r="AZ76" s="449"/>
      <c r="BA76" s="449"/>
      <c r="BB76" s="449"/>
      <c r="BC76" s="449"/>
      <c r="BD76" s="449"/>
      <c r="BE76" s="449"/>
      <c r="BF76" s="449"/>
      <c r="BG76" s="449"/>
      <c r="BH76" s="449"/>
      <c r="BI76" s="449"/>
      <c r="BJ76" s="449"/>
      <c r="BK76" s="449"/>
      <c r="BL76" s="449"/>
      <c r="BM76" s="449"/>
      <c r="BN76" s="449"/>
    </row>
    <row r="77" spans="1:66" ht="13.15" x14ac:dyDescent="0.4">
      <c r="A77" s="430" t="s">
        <v>554</v>
      </c>
      <c r="B77" s="430"/>
      <c r="C77" s="463">
        <f>C78-7</f>
        <v>44315</v>
      </c>
      <c r="D77" s="430" t="s">
        <v>42</v>
      </c>
      <c r="E77" s="430">
        <v>29</v>
      </c>
      <c r="F77" s="430">
        <v>39</v>
      </c>
      <c r="G77" s="430" t="s">
        <v>333</v>
      </c>
      <c r="H77" s="461" t="s">
        <v>690</v>
      </c>
      <c r="I77" s="438" t="s">
        <v>220</v>
      </c>
      <c r="J77" s="438">
        <v>36</v>
      </c>
      <c r="K77" s="438" t="s">
        <v>509</v>
      </c>
      <c r="L77" s="430" t="str">
        <f t="shared" si="54"/>
        <v>44315S-17587</v>
      </c>
      <c r="M77" s="430"/>
      <c r="N77" s="461"/>
      <c r="O77" s="461">
        <v>0</v>
      </c>
      <c r="P77" s="430">
        <f t="shared" si="46"/>
        <v>170</v>
      </c>
      <c r="Q77" s="430">
        <f t="shared" si="47"/>
        <v>180</v>
      </c>
      <c r="R77" s="430" t="str">
        <f t="shared" si="48"/>
        <v/>
      </c>
      <c r="S77" s="430" t="str">
        <f t="shared" si="49"/>
        <v/>
      </c>
      <c r="T77" s="430" t="str">
        <f t="shared" si="50"/>
        <v/>
      </c>
      <c r="U77" s="430" t="str">
        <f t="shared" si="51"/>
        <v/>
      </c>
      <c r="V77" s="430" t="str">
        <f t="shared" si="52"/>
        <v/>
      </c>
      <c r="W77" s="430" t="str">
        <f t="shared" si="53"/>
        <v/>
      </c>
      <c r="X77" s="449"/>
      <c r="Z77" s="450"/>
      <c r="AA77" s="449"/>
      <c r="AB77" s="451"/>
      <c r="AC77" s="450"/>
      <c r="AD77" s="449"/>
      <c r="AE77" s="451"/>
      <c r="AF77" s="450"/>
      <c r="AG77" s="449"/>
      <c r="AH77" s="451"/>
      <c r="AI77" s="450"/>
      <c r="AJ77" s="449"/>
      <c r="AK77" s="451"/>
      <c r="AL77" s="450"/>
      <c r="AM77" s="449"/>
      <c r="AN77" s="451"/>
      <c r="AO77" s="450"/>
      <c r="AP77" s="449"/>
      <c r="AQ77" s="451"/>
      <c r="AR77" s="449"/>
      <c r="AS77" s="449"/>
      <c r="AT77" s="451"/>
      <c r="AU77" s="449"/>
      <c r="AV77" s="451"/>
      <c r="AW77" s="449"/>
      <c r="AX77" s="449"/>
      <c r="AY77" s="449"/>
      <c r="AZ77" s="449"/>
      <c r="BA77" s="449"/>
      <c r="BB77" s="449"/>
      <c r="BC77" s="449"/>
      <c r="BD77" s="449"/>
      <c r="BE77" s="449"/>
      <c r="BF77" s="449"/>
      <c r="BG77" s="449"/>
      <c r="BH77" s="449"/>
      <c r="BI77" s="449"/>
      <c r="BJ77" s="449"/>
      <c r="BK77" s="449"/>
      <c r="BL77" s="449"/>
      <c r="BM77" s="449"/>
      <c r="BN77" s="449"/>
    </row>
    <row r="78" spans="1:66" ht="13.15" x14ac:dyDescent="0.4">
      <c r="A78" s="464" t="s">
        <v>511</v>
      </c>
      <c r="B78" s="464"/>
      <c r="C78" s="465">
        <v>44322</v>
      </c>
      <c r="D78" s="464" t="s">
        <v>54</v>
      </c>
      <c r="E78" s="464">
        <v>32</v>
      </c>
      <c r="F78" s="464">
        <v>40</v>
      </c>
      <c r="G78" s="464" t="s">
        <v>71</v>
      </c>
      <c r="H78" s="466" t="s">
        <v>690</v>
      </c>
      <c r="I78" s="446" t="s">
        <v>280</v>
      </c>
      <c r="J78" s="446">
        <v>37</v>
      </c>
      <c r="K78" s="446" t="s">
        <v>477</v>
      </c>
      <c r="L78" s="464" t="str">
        <f t="shared" si="54"/>
        <v>44322S-9920</v>
      </c>
      <c r="M78" s="464"/>
      <c r="N78" s="466"/>
      <c r="O78" s="466">
        <v>3000</v>
      </c>
      <c r="P78" s="430" t="str">
        <f t="shared" si="46"/>
        <v/>
      </c>
      <c r="Q78" s="430" t="str">
        <f t="shared" si="47"/>
        <v/>
      </c>
      <c r="R78" s="430">
        <f t="shared" si="48"/>
        <v>190</v>
      </c>
      <c r="S78" s="430" t="str">
        <f t="shared" si="49"/>
        <v/>
      </c>
      <c r="T78" s="430" t="str">
        <f t="shared" si="50"/>
        <v/>
      </c>
      <c r="U78" s="430" t="str">
        <f t="shared" si="51"/>
        <v/>
      </c>
      <c r="V78" s="430" t="str">
        <f t="shared" si="52"/>
        <v/>
      </c>
      <c r="W78" s="430" t="str">
        <f t="shared" si="53"/>
        <v/>
      </c>
      <c r="X78" s="449"/>
      <c r="Z78" s="450"/>
      <c r="AA78" s="449"/>
      <c r="AB78" s="451"/>
      <c r="AC78" s="450"/>
      <c r="AD78" s="449"/>
      <c r="AE78" s="451"/>
      <c r="AF78" s="450"/>
      <c r="AG78" s="449"/>
      <c r="AH78" s="451"/>
      <c r="AI78" s="450"/>
      <c r="AJ78" s="449"/>
      <c r="AK78" s="451"/>
      <c r="AL78" s="450"/>
      <c r="AM78" s="449"/>
      <c r="AN78" s="451"/>
      <c r="AO78" s="450"/>
      <c r="AP78" s="449"/>
      <c r="AQ78" s="451"/>
      <c r="AR78" s="449"/>
      <c r="AS78" s="449"/>
      <c r="AT78" s="451"/>
      <c r="AU78" s="449"/>
      <c r="AV78" s="451"/>
      <c r="AW78" s="449"/>
      <c r="AX78" s="449"/>
      <c r="AY78" s="449"/>
      <c r="AZ78" s="449"/>
      <c r="BA78" s="449"/>
      <c r="BB78" s="449"/>
      <c r="BC78" s="449"/>
      <c r="BD78" s="449"/>
      <c r="BE78" s="449"/>
      <c r="BF78" s="449"/>
      <c r="BG78" s="449"/>
      <c r="BH78" s="449"/>
      <c r="BI78" s="449"/>
      <c r="BJ78" s="449"/>
      <c r="BK78" s="449"/>
      <c r="BL78" s="449"/>
      <c r="BM78" s="449"/>
      <c r="BN78" s="449"/>
    </row>
    <row r="79" spans="1:66" ht="13.15" x14ac:dyDescent="0.4">
      <c r="A79" s="430" t="s">
        <v>488</v>
      </c>
      <c r="B79" s="430"/>
      <c r="C79" s="463">
        <v>44322</v>
      </c>
      <c r="D79" s="430" t="s">
        <v>54</v>
      </c>
      <c r="E79" s="430">
        <v>30</v>
      </c>
      <c r="F79" s="430">
        <v>30</v>
      </c>
      <c r="G79" s="430" t="s">
        <v>88</v>
      </c>
      <c r="H79" s="461" t="s">
        <v>690</v>
      </c>
      <c r="I79" s="438" t="s">
        <v>210</v>
      </c>
      <c r="J79" s="438">
        <v>23</v>
      </c>
      <c r="K79" s="438" t="s">
        <v>489</v>
      </c>
      <c r="L79" s="430" t="str">
        <f t="shared" si="54"/>
        <v>44322S-11305</v>
      </c>
      <c r="M79" s="430"/>
      <c r="N79" s="461"/>
      <c r="O79" s="461">
        <v>1870</v>
      </c>
      <c r="P79" s="430" t="str">
        <f t="shared" si="46"/>
        <v/>
      </c>
      <c r="Q79" s="430" t="str">
        <f t="shared" si="47"/>
        <v/>
      </c>
      <c r="R79" s="430">
        <f t="shared" si="48"/>
        <v>160</v>
      </c>
      <c r="S79" s="430" t="str">
        <f t="shared" si="49"/>
        <v/>
      </c>
      <c r="T79" s="430" t="str">
        <f t="shared" si="50"/>
        <v/>
      </c>
      <c r="U79" s="430" t="str">
        <f t="shared" si="51"/>
        <v/>
      </c>
      <c r="V79" s="430" t="str">
        <f t="shared" si="52"/>
        <v/>
      </c>
      <c r="W79" s="430" t="str">
        <f t="shared" si="53"/>
        <v/>
      </c>
      <c r="X79" s="449"/>
      <c r="Z79" s="450"/>
      <c r="AA79" s="449"/>
      <c r="AB79" s="451"/>
      <c r="AC79" s="450"/>
      <c r="AD79" s="449"/>
      <c r="AE79" s="451"/>
      <c r="AF79" s="450"/>
      <c r="AG79" s="449"/>
      <c r="AH79" s="451"/>
      <c r="AI79" s="450"/>
      <c r="AJ79" s="449"/>
      <c r="AK79" s="451"/>
      <c r="AL79" s="450"/>
      <c r="AM79" s="449"/>
      <c r="AN79" s="451"/>
      <c r="AO79" s="450"/>
      <c r="AP79" s="449"/>
      <c r="AQ79" s="451"/>
      <c r="AR79" s="449"/>
      <c r="AS79" s="449"/>
      <c r="AT79" s="451"/>
      <c r="AU79" s="449"/>
      <c r="AV79" s="451"/>
      <c r="AW79" s="449"/>
      <c r="AX79" s="449"/>
      <c r="AY79" s="449"/>
      <c r="AZ79" s="449"/>
      <c r="BA79" s="449"/>
      <c r="BB79" s="449"/>
      <c r="BC79" s="449"/>
      <c r="BD79" s="449"/>
      <c r="BE79" s="449"/>
      <c r="BF79" s="449"/>
      <c r="BG79" s="449"/>
      <c r="BH79" s="449"/>
      <c r="BI79" s="449"/>
      <c r="BJ79" s="449"/>
      <c r="BK79" s="449"/>
      <c r="BL79" s="449"/>
      <c r="BM79" s="449"/>
      <c r="BN79" s="449"/>
    </row>
    <row r="80" spans="1:66" ht="13.15" x14ac:dyDescent="0.4">
      <c r="A80" s="430" t="s">
        <v>555</v>
      </c>
      <c r="B80" s="430"/>
      <c r="C80" s="463">
        <v>44322</v>
      </c>
      <c r="D80" s="430" t="s">
        <v>54</v>
      </c>
      <c r="E80" s="430">
        <v>45</v>
      </c>
      <c r="F80" s="430">
        <v>50</v>
      </c>
      <c r="G80" s="430" t="s">
        <v>146</v>
      </c>
      <c r="H80" s="461" t="s">
        <v>690</v>
      </c>
      <c r="I80" s="438" t="s">
        <v>556</v>
      </c>
      <c r="J80" s="438">
        <v>51</v>
      </c>
      <c r="K80" s="438" t="s">
        <v>484</v>
      </c>
      <c r="L80" s="430" t="str">
        <f t="shared" si="54"/>
        <v>44322S-16377</v>
      </c>
      <c r="M80" s="430"/>
      <c r="N80" s="461"/>
      <c r="O80" s="461">
        <v>5355</v>
      </c>
      <c r="P80" s="430" t="str">
        <f t="shared" si="46"/>
        <v/>
      </c>
      <c r="Q80" s="430" t="str">
        <f t="shared" si="47"/>
        <v/>
      </c>
      <c r="R80" s="430">
        <f t="shared" si="48"/>
        <v>247.5</v>
      </c>
      <c r="S80" s="430" t="str">
        <f t="shared" si="49"/>
        <v/>
      </c>
      <c r="T80" s="430" t="str">
        <f t="shared" si="50"/>
        <v/>
      </c>
      <c r="U80" s="430" t="str">
        <f t="shared" si="51"/>
        <v/>
      </c>
      <c r="V80" s="430" t="str">
        <f t="shared" si="52"/>
        <v/>
      </c>
      <c r="W80" s="430" t="str">
        <f t="shared" si="53"/>
        <v/>
      </c>
      <c r="X80" s="449"/>
      <c r="Z80" s="450"/>
      <c r="AA80" s="449"/>
      <c r="AB80" s="451"/>
      <c r="AC80" s="450"/>
      <c r="AD80" s="449"/>
      <c r="AE80" s="451"/>
      <c r="AF80" s="450"/>
      <c r="AG80" s="449"/>
      <c r="AH80" s="451"/>
      <c r="AI80" s="450"/>
      <c r="AJ80" s="449"/>
      <c r="AK80" s="451"/>
      <c r="AL80" s="450"/>
      <c r="AM80" s="449"/>
      <c r="AN80" s="451"/>
      <c r="AO80" s="450"/>
      <c r="AP80" s="449"/>
      <c r="AQ80" s="451"/>
      <c r="AR80" s="449"/>
      <c r="AS80" s="449"/>
      <c r="AT80" s="451"/>
      <c r="AU80" s="449"/>
      <c r="AV80" s="451"/>
      <c r="AW80" s="449"/>
      <c r="AX80" s="449"/>
      <c r="AY80" s="449"/>
      <c r="AZ80" s="449"/>
      <c r="BA80" s="449"/>
      <c r="BB80" s="449"/>
      <c r="BC80" s="449"/>
      <c r="BD80" s="449"/>
      <c r="BE80" s="449"/>
      <c r="BF80" s="449"/>
      <c r="BG80" s="449"/>
      <c r="BH80" s="449"/>
      <c r="BI80" s="449"/>
      <c r="BJ80" s="449"/>
      <c r="BK80" s="449"/>
      <c r="BL80" s="449"/>
      <c r="BM80" s="449"/>
      <c r="BN80" s="449"/>
    </row>
    <row r="81" spans="1:66" ht="13.15" x14ac:dyDescent="0.4">
      <c r="A81" s="430" t="s">
        <v>557</v>
      </c>
      <c r="B81" s="430"/>
      <c r="C81" s="463">
        <v>44322</v>
      </c>
      <c r="D81" s="430" t="s">
        <v>54</v>
      </c>
      <c r="E81" s="430">
        <v>35</v>
      </c>
      <c r="F81" s="430">
        <v>50</v>
      </c>
      <c r="G81" s="430" t="s">
        <v>147</v>
      </c>
      <c r="H81" s="461" t="s">
        <v>690</v>
      </c>
      <c r="I81" s="438" t="s">
        <v>366</v>
      </c>
      <c r="J81" s="438">
        <v>46</v>
      </c>
      <c r="K81" s="438" t="s">
        <v>492</v>
      </c>
      <c r="L81" s="430" t="str">
        <f t="shared" si="54"/>
        <v>44322S-11306</v>
      </c>
      <c r="M81" s="430"/>
      <c r="N81" s="461"/>
      <c r="O81" s="461">
        <v>4200</v>
      </c>
      <c r="P81" s="430" t="str">
        <f t="shared" si="46"/>
        <v/>
      </c>
      <c r="Q81" s="430" t="str">
        <f t="shared" si="47"/>
        <v/>
      </c>
      <c r="R81" s="430">
        <f t="shared" si="48"/>
        <v>222.5</v>
      </c>
      <c r="S81" s="430" t="str">
        <f t="shared" si="49"/>
        <v/>
      </c>
      <c r="T81" s="430" t="str">
        <f t="shared" si="50"/>
        <v/>
      </c>
      <c r="U81" s="430" t="str">
        <f t="shared" si="51"/>
        <v/>
      </c>
      <c r="V81" s="430" t="str">
        <f t="shared" si="52"/>
        <v/>
      </c>
      <c r="W81" s="430" t="str">
        <f t="shared" si="53"/>
        <v/>
      </c>
      <c r="X81" s="449"/>
      <c r="Z81" s="450"/>
      <c r="AA81" s="449"/>
      <c r="AB81" s="451"/>
      <c r="AC81" s="450"/>
      <c r="AD81" s="449"/>
      <c r="AE81" s="451"/>
      <c r="AF81" s="450"/>
      <c r="AG81" s="449"/>
      <c r="AH81" s="451"/>
      <c r="AI81" s="450"/>
      <c r="AJ81" s="449"/>
      <c r="AK81" s="451"/>
      <c r="AL81" s="450"/>
      <c r="AM81" s="449"/>
      <c r="AN81" s="451"/>
      <c r="AO81" s="450"/>
      <c r="AP81" s="449"/>
      <c r="AQ81" s="451"/>
      <c r="AR81" s="449"/>
      <c r="AS81" s="449"/>
      <c r="AT81" s="451"/>
      <c r="AU81" s="449"/>
      <c r="AV81" s="451"/>
      <c r="AW81" s="449"/>
      <c r="AX81" s="449"/>
      <c r="AY81" s="449"/>
      <c r="AZ81" s="449"/>
      <c r="BA81" s="449"/>
      <c r="BB81" s="449"/>
      <c r="BC81" s="449"/>
      <c r="BD81" s="449"/>
      <c r="BE81" s="449"/>
      <c r="BF81" s="449"/>
      <c r="BG81" s="449"/>
      <c r="BH81" s="449"/>
      <c r="BI81" s="449"/>
      <c r="BJ81" s="449"/>
      <c r="BK81" s="449"/>
      <c r="BL81" s="449"/>
      <c r="BM81" s="449"/>
      <c r="BN81" s="449"/>
    </row>
    <row r="82" spans="1:66" ht="13.15" x14ac:dyDescent="0.4">
      <c r="A82" s="468" t="s">
        <v>290</v>
      </c>
      <c r="B82" s="464"/>
      <c r="C82" s="465">
        <v>44329</v>
      </c>
      <c r="D82" s="464" t="s">
        <v>66</v>
      </c>
      <c r="E82" s="464">
        <v>17</v>
      </c>
      <c r="F82" s="464">
        <v>26</v>
      </c>
      <c r="G82" s="464" t="s">
        <v>148</v>
      </c>
      <c r="H82" s="466" t="s">
        <v>558</v>
      </c>
      <c r="I82" s="446" t="s">
        <v>45</v>
      </c>
      <c r="J82" s="446">
        <v>2</v>
      </c>
      <c r="K82" s="446" t="s">
        <v>559</v>
      </c>
      <c r="L82" s="464" t="str">
        <f t="shared" si="54"/>
        <v>44329TUBE</v>
      </c>
      <c r="M82" s="464"/>
      <c r="N82" s="466"/>
      <c r="O82" s="466">
        <v>210</v>
      </c>
      <c r="P82" s="430">
        <f t="shared" si="46"/>
        <v>107.5</v>
      </c>
      <c r="Q82" s="430" t="str">
        <f t="shared" si="47"/>
        <v/>
      </c>
      <c r="R82" s="430" t="str">
        <f t="shared" si="48"/>
        <v/>
      </c>
      <c r="S82" s="430" t="str">
        <f t="shared" si="49"/>
        <v/>
      </c>
      <c r="T82" s="430" t="str">
        <f t="shared" si="50"/>
        <v/>
      </c>
      <c r="U82" s="430" t="str">
        <f t="shared" si="51"/>
        <v/>
      </c>
      <c r="V82" s="430" t="str">
        <f t="shared" si="52"/>
        <v/>
      </c>
      <c r="W82" s="430">
        <f t="shared" si="53"/>
        <v>553</v>
      </c>
      <c r="X82" s="449"/>
      <c r="Z82" s="450"/>
      <c r="AA82" s="449"/>
      <c r="AB82" s="451"/>
      <c r="AC82" s="450"/>
      <c r="AD82" s="449"/>
      <c r="AE82" s="451"/>
      <c r="AF82" s="450"/>
      <c r="AG82" s="449"/>
      <c r="AH82" s="451"/>
      <c r="AI82" s="450"/>
      <c r="AJ82" s="449"/>
      <c r="AK82" s="451"/>
      <c r="AL82" s="450"/>
      <c r="AM82" s="449"/>
      <c r="AN82" s="451"/>
      <c r="AO82" s="450"/>
      <c r="AP82" s="449"/>
      <c r="AQ82" s="451"/>
      <c r="AR82" s="449"/>
      <c r="AS82" s="449"/>
      <c r="AT82" s="451"/>
      <c r="AU82" s="449"/>
      <c r="AV82" s="451"/>
      <c r="AW82" s="449"/>
      <c r="AX82" s="449"/>
      <c r="AY82" s="449"/>
      <c r="AZ82" s="449"/>
      <c r="BA82" s="449"/>
      <c r="BB82" s="449"/>
      <c r="BC82" s="449"/>
      <c r="BD82" s="449"/>
      <c r="BE82" s="449"/>
      <c r="BF82" s="449"/>
      <c r="BG82" s="449"/>
      <c r="BH82" s="449"/>
      <c r="BI82" s="449"/>
      <c r="BJ82" s="449"/>
      <c r="BK82" s="449"/>
      <c r="BL82" s="449"/>
      <c r="BM82" s="449"/>
      <c r="BN82" s="449"/>
    </row>
    <row r="83" spans="1:66" ht="13.15" x14ac:dyDescent="0.4">
      <c r="A83" s="469" t="s">
        <v>560</v>
      </c>
      <c r="B83" s="430"/>
      <c r="C83" s="463">
        <v>44329</v>
      </c>
      <c r="D83" s="430" t="s">
        <v>42</v>
      </c>
      <c r="E83" s="430">
        <v>86</v>
      </c>
      <c r="F83" s="430">
        <v>46</v>
      </c>
      <c r="G83" s="430" t="s">
        <v>561</v>
      </c>
      <c r="H83" s="461" t="s">
        <v>690</v>
      </c>
      <c r="I83" s="438" t="s">
        <v>45</v>
      </c>
      <c r="J83" s="438">
        <v>360</v>
      </c>
      <c r="K83" s="438" t="s">
        <v>384</v>
      </c>
      <c r="L83" s="430" t="str">
        <f t="shared" si="54"/>
        <v>44329CRATE</v>
      </c>
      <c r="M83" s="430"/>
      <c r="N83" s="461"/>
      <c r="O83" s="461">
        <v>25000</v>
      </c>
      <c r="P83" s="430">
        <f t="shared" si="46"/>
        <v>330</v>
      </c>
      <c r="Q83" s="430">
        <f t="shared" si="47"/>
        <v>340</v>
      </c>
      <c r="R83" s="430" t="str">
        <f t="shared" si="48"/>
        <v/>
      </c>
      <c r="S83" s="430" t="str">
        <f t="shared" si="49"/>
        <v/>
      </c>
      <c r="T83" s="430" t="str">
        <f t="shared" si="50"/>
        <v/>
      </c>
      <c r="U83" s="430" t="str">
        <f t="shared" si="51"/>
        <v/>
      </c>
      <c r="V83" s="430" t="str">
        <f t="shared" si="52"/>
        <v/>
      </c>
      <c r="W83" s="430" t="str">
        <f t="shared" si="53"/>
        <v/>
      </c>
      <c r="X83" s="449"/>
      <c r="Z83" s="450"/>
      <c r="AA83" s="449"/>
      <c r="AB83" s="451"/>
      <c r="AC83" s="450"/>
      <c r="AD83" s="449"/>
      <c r="AE83" s="451"/>
      <c r="AF83" s="450"/>
      <c r="AG83" s="449"/>
      <c r="AH83" s="451"/>
      <c r="AI83" s="450"/>
      <c r="AJ83" s="449"/>
      <c r="AK83" s="451"/>
      <c r="AL83" s="450"/>
      <c r="AM83" s="449"/>
      <c r="AN83" s="451"/>
      <c r="AO83" s="450"/>
      <c r="AP83" s="449"/>
      <c r="AQ83" s="451"/>
      <c r="AR83" s="449"/>
      <c r="AS83" s="449"/>
      <c r="AT83" s="451"/>
      <c r="AU83" s="449"/>
      <c r="AV83" s="451"/>
      <c r="AW83" s="449"/>
      <c r="AX83" s="449"/>
      <c r="AY83" s="449"/>
      <c r="AZ83" s="449"/>
      <c r="BA83" s="449"/>
      <c r="BB83" s="449"/>
      <c r="BC83" s="449"/>
      <c r="BD83" s="449"/>
      <c r="BE83" s="449"/>
      <c r="BF83" s="449"/>
      <c r="BG83" s="449"/>
      <c r="BH83" s="449"/>
      <c r="BI83" s="449"/>
      <c r="BJ83" s="449"/>
      <c r="BK83" s="449"/>
      <c r="BL83" s="449"/>
      <c r="BM83" s="449"/>
      <c r="BN83" s="449"/>
    </row>
    <row r="84" spans="1:66" ht="13.15" x14ac:dyDescent="0.4">
      <c r="A84" s="430" t="s">
        <v>459</v>
      </c>
      <c r="B84" s="430"/>
      <c r="C84" s="463">
        <v>44329</v>
      </c>
      <c r="D84" s="430" t="s">
        <v>54</v>
      </c>
      <c r="E84" s="430">
        <v>22</v>
      </c>
      <c r="F84" s="430">
        <v>36</v>
      </c>
      <c r="G84" s="430" t="s">
        <v>113</v>
      </c>
      <c r="H84" s="461" t="s">
        <v>690</v>
      </c>
      <c r="I84" s="438" t="s">
        <v>304</v>
      </c>
      <c r="J84" s="438">
        <v>24</v>
      </c>
      <c r="K84" s="438" t="s">
        <v>489</v>
      </c>
      <c r="L84" s="430" t="str">
        <f t="shared" si="54"/>
        <v>44329S-11305</v>
      </c>
      <c r="M84" s="430"/>
      <c r="N84" s="461"/>
      <c r="O84" s="461">
        <v>1900</v>
      </c>
      <c r="P84" s="430" t="str">
        <f t="shared" si="46"/>
        <v/>
      </c>
      <c r="Q84" s="430" t="str">
        <f t="shared" si="47"/>
        <v/>
      </c>
      <c r="R84" s="430">
        <f t="shared" si="48"/>
        <v>155</v>
      </c>
      <c r="S84" s="430" t="str">
        <f t="shared" si="49"/>
        <v/>
      </c>
      <c r="T84" s="430" t="str">
        <f t="shared" si="50"/>
        <v/>
      </c>
      <c r="U84" s="430" t="str">
        <f t="shared" si="51"/>
        <v/>
      </c>
      <c r="V84" s="430" t="str">
        <f t="shared" si="52"/>
        <v/>
      </c>
      <c r="W84" s="430" t="str">
        <f t="shared" si="53"/>
        <v/>
      </c>
      <c r="X84" s="449"/>
      <c r="Z84" s="450"/>
      <c r="AA84" s="449"/>
      <c r="AB84" s="451"/>
      <c r="AC84" s="450"/>
      <c r="AD84" s="449"/>
      <c r="AE84" s="451"/>
      <c r="AF84" s="450"/>
      <c r="AG84" s="449"/>
      <c r="AH84" s="451"/>
      <c r="AI84" s="450"/>
      <c r="AJ84" s="449"/>
      <c r="AK84" s="451"/>
      <c r="AL84" s="450"/>
      <c r="AM84" s="449"/>
      <c r="AN84" s="451"/>
      <c r="AO84" s="450"/>
      <c r="AP84" s="449"/>
      <c r="AQ84" s="451"/>
      <c r="AR84" s="449"/>
      <c r="AS84" s="449"/>
      <c r="AT84" s="451"/>
      <c r="AU84" s="449"/>
      <c r="AV84" s="451"/>
      <c r="AW84" s="449"/>
      <c r="AX84" s="449"/>
      <c r="AY84" s="449"/>
      <c r="AZ84" s="449"/>
      <c r="BA84" s="449"/>
      <c r="BB84" s="449"/>
      <c r="BC84" s="449"/>
      <c r="BD84" s="449"/>
      <c r="BE84" s="449"/>
      <c r="BF84" s="449"/>
      <c r="BG84" s="449"/>
      <c r="BH84" s="449"/>
      <c r="BI84" s="449"/>
      <c r="BJ84" s="449"/>
      <c r="BK84" s="449"/>
      <c r="BL84" s="449"/>
      <c r="BM84" s="449"/>
      <c r="BN84" s="449"/>
    </row>
    <row r="85" spans="1:66" ht="13.15" x14ac:dyDescent="0.4">
      <c r="A85" s="469" t="s">
        <v>459</v>
      </c>
      <c r="B85" s="430"/>
      <c r="C85" s="463">
        <v>44329</v>
      </c>
      <c r="D85" s="430" t="s">
        <v>54</v>
      </c>
      <c r="E85" s="430">
        <v>38</v>
      </c>
      <c r="F85" s="430">
        <v>60</v>
      </c>
      <c r="G85" s="430" t="s">
        <v>151</v>
      </c>
      <c r="H85" s="461" t="s">
        <v>690</v>
      </c>
      <c r="I85" s="438" t="s">
        <v>376</v>
      </c>
      <c r="J85" s="438">
        <v>53</v>
      </c>
      <c r="K85" s="438" t="s">
        <v>484</v>
      </c>
      <c r="L85" s="430" t="str">
        <f t="shared" si="54"/>
        <v>44329S-16377</v>
      </c>
      <c r="M85" s="430"/>
      <c r="N85" s="461"/>
      <c r="O85" s="461">
        <v>5492.8</v>
      </c>
      <c r="P85" s="430" t="str">
        <f t="shared" si="46"/>
        <v/>
      </c>
      <c r="Q85" s="430" t="str">
        <f t="shared" si="47"/>
        <v/>
      </c>
      <c r="R85" s="430">
        <f t="shared" si="48"/>
        <v>255</v>
      </c>
      <c r="S85" s="430" t="str">
        <f t="shared" si="49"/>
        <v/>
      </c>
      <c r="T85" s="430" t="str">
        <f t="shared" si="50"/>
        <v/>
      </c>
      <c r="U85" s="430" t="str">
        <f t="shared" si="51"/>
        <v/>
      </c>
      <c r="V85" s="430" t="str">
        <f t="shared" si="52"/>
        <v/>
      </c>
      <c r="W85" s="430" t="str">
        <f t="shared" si="53"/>
        <v/>
      </c>
      <c r="X85" s="449"/>
      <c r="Z85" s="450"/>
      <c r="AA85" s="449"/>
      <c r="AB85" s="451"/>
      <c r="AC85" s="450"/>
      <c r="AD85" s="449"/>
      <c r="AE85" s="451"/>
      <c r="AF85" s="450"/>
      <c r="AG85" s="449"/>
      <c r="AH85" s="451"/>
      <c r="AI85" s="450"/>
      <c r="AJ85" s="449"/>
      <c r="AK85" s="451"/>
      <c r="AL85" s="450"/>
      <c r="AM85" s="449"/>
      <c r="AN85" s="451"/>
      <c r="AO85" s="450"/>
      <c r="AP85" s="449"/>
      <c r="AQ85" s="451"/>
      <c r="AR85" s="449"/>
      <c r="AS85" s="449"/>
      <c r="AT85" s="451"/>
      <c r="AU85" s="449"/>
      <c r="AV85" s="451"/>
      <c r="AW85" s="449"/>
      <c r="AX85" s="449"/>
      <c r="AY85" s="449"/>
      <c r="AZ85" s="449"/>
      <c r="BA85" s="449"/>
      <c r="BB85" s="449"/>
      <c r="BC85" s="449"/>
      <c r="BD85" s="449"/>
      <c r="BE85" s="449"/>
      <c r="BF85" s="449"/>
      <c r="BG85" s="449"/>
      <c r="BH85" s="449"/>
      <c r="BI85" s="449"/>
      <c r="BJ85" s="449"/>
      <c r="BK85" s="449"/>
      <c r="BL85" s="449"/>
      <c r="BM85" s="449"/>
      <c r="BN85" s="449"/>
    </row>
    <row r="86" spans="1:66" ht="13.15" x14ac:dyDescent="0.4">
      <c r="A86" s="468" t="s">
        <v>563</v>
      </c>
      <c r="B86" s="464"/>
      <c r="C86" s="465">
        <v>44336</v>
      </c>
      <c r="D86" s="464" t="s">
        <v>42</v>
      </c>
      <c r="E86" s="464">
        <v>32</v>
      </c>
      <c r="F86" s="464">
        <v>40</v>
      </c>
      <c r="G86" s="464" t="s">
        <v>71</v>
      </c>
      <c r="H86" s="466" t="s">
        <v>690</v>
      </c>
      <c r="I86" s="446" t="s">
        <v>280</v>
      </c>
      <c r="J86" s="446">
        <v>35</v>
      </c>
      <c r="K86" s="446" t="s">
        <v>477</v>
      </c>
      <c r="L86" s="464" t="str">
        <f t="shared" si="54"/>
        <v>44336S-9920</v>
      </c>
      <c r="M86" s="464"/>
      <c r="N86" s="466"/>
      <c r="O86" s="466">
        <v>15000</v>
      </c>
      <c r="P86" s="430">
        <f t="shared" si="46"/>
        <v>180</v>
      </c>
      <c r="Q86" s="430">
        <f t="shared" si="47"/>
        <v>190</v>
      </c>
      <c r="R86" s="430" t="str">
        <f t="shared" si="48"/>
        <v/>
      </c>
      <c r="S86" s="430" t="str">
        <f t="shared" si="49"/>
        <v/>
      </c>
      <c r="T86" s="430" t="str">
        <f t="shared" si="50"/>
        <v/>
      </c>
      <c r="U86" s="430" t="str">
        <f t="shared" si="51"/>
        <v/>
      </c>
      <c r="V86" s="430" t="str">
        <f t="shared" si="52"/>
        <v/>
      </c>
      <c r="W86" s="430" t="str">
        <f t="shared" si="53"/>
        <v/>
      </c>
      <c r="X86" s="449"/>
      <c r="Z86" s="450"/>
      <c r="AA86" s="449"/>
      <c r="AB86" s="451"/>
      <c r="AC86" s="450"/>
      <c r="AD86" s="449"/>
      <c r="AE86" s="451"/>
      <c r="AF86" s="450"/>
      <c r="AG86" s="449"/>
      <c r="AH86" s="451"/>
      <c r="AI86" s="450"/>
      <c r="AJ86" s="449"/>
      <c r="AK86" s="451"/>
      <c r="AL86" s="450"/>
      <c r="AM86" s="449"/>
      <c r="AN86" s="451"/>
      <c r="AO86" s="450"/>
      <c r="AP86" s="449"/>
      <c r="AQ86" s="451"/>
      <c r="AR86" s="449"/>
      <c r="AS86" s="449"/>
      <c r="AT86" s="451"/>
      <c r="AU86" s="449"/>
      <c r="AV86" s="451"/>
      <c r="AW86" s="449"/>
      <c r="AX86" s="449"/>
      <c r="AY86" s="449"/>
      <c r="AZ86" s="449"/>
      <c r="BA86" s="449"/>
      <c r="BB86" s="449"/>
      <c r="BC86" s="449"/>
      <c r="BD86" s="449"/>
      <c r="BE86" s="449"/>
      <c r="BF86" s="449"/>
      <c r="BG86" s="449"/>
      <c r="BH86" s="449"/>
      <c r="BI86" s="449"/>
      <c r="BJ86" s="449"/>
      <c r="BK86" s="449"/>
      <c r="BL86" s="449"/>
      <c r="BM86" s="449"/>
      <c r="BN86" s="449"/>
    </row>
    <row r="87" spans="1:66" ht="13.15" x14ac:dyDescent="0.4">
      <c r="A87" s="469" t="s">
        <v>564</v>
      </c>
      <c r="B87" s="430"/>
      <c r="C87" s="463">
        <v>44336</v>
      </c>
      <c r="D87" s="430" t="s">
        <v>42</v>
      </c>
      <c r="E87" s="430">
        <v>28</v>
      </c>
      <c r="F87" s="430">
        <v>40</v>
      </c>
      <c r="G87" s="430" t="s">
        <v>230</v>
      </c>
      <c r="H87" s="461" t="s">
        <v>690</v>
      </c>
      <c r="I87" s="438" t="s">
        <v>285</v>
      </c>
      <c r="J87" s="438">
        <v>36</v>
      </c>
      <c r="K87" s="438" t="s">
        <v>509</v>
      </c>
      <c r="L87" s="430" t="str">
        <f t="shared" si="54"/>
        <v>44336S-17587</v>
      </c>
      <c r="M87" s="430"/>
      <c r="N87" s="461"/>
      <c r="O87" s="461">
        <v>15000</v>
      </c>
      <c r="P87" s="430">
        <f t="shared" si="46"/>
        <v>170</v>
      </c>
      <c r="Q87" s="430">
        <f t="shared" si="47"/>
        <v>180</v>
      </c>
      <c r="R87" s="430" t="str">
        <f t="shared" si="48"/>
        <v/>
      </c>
      <c r="S87" s="430" t="str">
        <f t="shared" si="49"/>
        <v/>
      </c>
      <c r="T87" s="430" t="str">
        <f t="shared" si="50"/>
        <v/>
      </c>
      <c r="U87" s="430" t="str">
        <f t="shared" si="51"/>
        <v/>
      </c>
      <c r="V87" s="430" t="str">
        <f t="shared" si="52"/>
        <v/>
      </c>
      <c r="W87" s="430" t="str">
        <f t="shared" si="53"/>
        <v/>
      </c>
      <c r="X87" s="449"/>
      <c r="Z87" s="450"/>
      <c r="AA87" s="449"/>
      <c r="AB87" s="451"/>
      <c r="AC87" s="450"/>
      <c r="AD87" s="449"/>
      <c r="AE87" s="451"/>
      <c r="AF87" s="450"/>
      <c r="AG87" s="449"/>
      <c r="AH87" s="451"/>
      <c r="AI87" s="450"/>
      <c r="AJ87" s="449"/>
      <c r="AK87" s="451"/>
      <c r="AL87" s="450"/>
      <c r="AM87" s="449"/>
      <c r="AN87" s="451"/>
      <c r="AO87" s="450"/>
      <c r="AP87" s="449"/>
      <c r="AQ87" s="451"/>
      <c r="AR87" s="449"/>
      <c r="AS87" s="449"/>
      <c r="AT87" s="451"/>
      <c r="AU87" s="449"/>
      <c r="AV87" s="451"/>
      <c r="AW87" s="449"/>
      <c r="AX87" s="449"/>
      <c r="AY87" s="449"/>
      <c r="AZ87" s="449"/>
      <c r="BA87" s="449"/>
      <c r="BB87" s="449"/>
      <c r="BC87" s="449"/>
      <c r="BD87" s="449"/>
      <c r="BE87" s="449"/>
      <c r="BF87" s="449"/>
      <c r="BG87" s="449"/>
      <c r="BH87" s="449"/>
      <c r="BI87" s="449"/>
      <c r="BJ87" s="449"/>
      <c r="BK87" s="449"/>
      <c r="BL87" s="449"/>
      <c r="BM87" s="449"/>
      <c r="BN87" s="449"/>
    </row>
    <row r="88" spans="1:66" ht="13.15" x14ac:dyDescent="0.4">
      <c r="A88" s="469" t="s">
        <v>566</v>
      </c>
      <c r="B88" s="430"/>
      <c r="C88" s="463">
        <v>44336</v>
      </c>
      <c r="D88" s="430" t="s">
        <v>42</v>
      </c>
      <c r="E88" s="430">
        <v>42</v>
      </c>
      <c r="F88" s="430">
        <v>52</v>
      </c>
      <c r="G88" s="430" t="s">
        <v>567</v>
      </c>
      <c r="H88" s="461" t="s">
        <v>690</v>
      </c>
      <c r="I88" s="438" t="s">
        <v>567</v>
      </c>
      <c r="J88" s="438">
        <v>36</v>
      </c>
      <c r="K88" s="438" t="s">
        <v>484</v>
      </c>
      <c r="L88" s="430" t="str">
        <f t="shared" si="54"/>
        <v>44336S-16377</v>
      </c>
      <c r="M88" s="430"/>
      <c r="N88" s="461"/>
      <c r="O88" s="461">
        <v>34000</v>
      </c>
      <c r="P88" s="430">
        <f t="shared" si="46"/>
        <v>235</v>
      </c>
      <c r="Q88" s="430">
        <f t="shared" si="47"/>
        <v>245</v>
      </c>
      <c r="R88" s="430" t="str">
        <f t="shared" si="48"/>
        <v/>
      </c>
      <c r="S88" s="430" t="str">
        <f t="shared" si="49"/>
        <v/>
      </c>
      <c r="T88" s="430" t="str">
        <f t="shared" si="50"/>
        <v/>
      </c>
      <c r="U88" s="430" t="str">
        <f t="shared" si="51"/>
        <v/>
      </c>
      <c r="V88" s="430" t="str">
        <f t="shared" si="52"/>
        <v/>
      </c>
      <c r="W88" s="430" t="str">
        <f t="shared" si="53"/>
        <v/>
      </c>
      <c r="X88" s="449"/>
      <c r="Z88" s="450"/>
      <c r="AA88" s="449"/>
      <c r="AB88" s="451"/>
      <c r="AC88" s="450"/>
      <c r="AD88" s="449"/>
      <c r="AE88" s="451"/>
      <c r="AF88" s="450"/>
      <c r="AG88" s="449"/>
      <c r="AH88" s="451"/>
      <c r="AI88" s="450"/>
      <c r="AJ88" s="449"/>
      <c r="AK88" s="451"/>
      <c r="AL88" s="450"/>
      <c r="AM88" s="449"/>
      <c r="AN88" s="451"/>
      <c r="AO88" s="450"/>
      <c r="AP88" s="449"/>
      <c r="AQ88" s="451"/>
      <c r="AR88" s="449"/>
      <c r="AS88" s="449"/>
      <c r="AT88" s="451"/>
      <c r="AU88" s="449"/>
      <c r="AV88" s="451"/>
      <c r="AW88" s="449"/>
      <c r="AX88" s="449"/>
      <c r="AY88" s="449"/>
      <c r="AZ88" s="449"/>
      <c r="BA88" s="449"/>
      <c r="BB88" s="449"/>
      <c r="BC88" s="449"/>
      <c r="BD88" s="449"/>
      <c r="BE88" s="449"/>
      <c r="BF88" s="449"/>
      <c r="BG88" s="449"/>
      <c r="BH88" s="449"/>
      <c r="BI88" s="449"/>
      <c r="BJ88" s="449"/>
      <c r="BK88" s="449"/>
      <c r="BL88" s="449"/>
      <c r="BM88" s="449"/>
      <c r="BN88" s="449"/>
    </row>
    <row r="89" spans="1:66" ht="13.15" x14ac:dyDescent="0.4">
      <c r="A89" s="469" t="s">
        <v>570</v>
      </c>
      <c r="B89" s="430"/>
      <c r="C89" s="463">
        <v>44336</v>
      </c>
      <c r="D89" s="430" t="s">
        <v>42</v>
      </c>
      <c r="E89" s="430">
        <v>28</v>
      </c>
      <c r="F89" s="430">
        <v>48</v>
      </c>
      <c r="G89" s="430" t="s">
        <v>123</v>
      </c>
      <c r="H89" s="461" t="s">
        <v>690</v>
      </c>
      <c r="I89" s="438" t="s">
        <v>203</v>
      </c>
      <c r="J89" s="438" t="s">
        <v>45</v>
      </c>
      <c r="K89" s="438" t="s">
        <v>45</v>
      </c>
      <c r="L89" s="430" t="str">
        <f t="shared" si="54"/>
        <v>44336N/A</v>
      </c>
      <c r="M89" s="430"/>
      <c r="N89" s="461"/>
      <c r="O89" s="461">
        <v>0</v>
      </c>
      <c r="P89" s="430">
        <f t="shared" si="46"/>
        <v>190</v>
      </c>
      <c r="Q89" s="430">
        <f t="shared" si="47"/>
        <v>200</v>
      </c>
      <c r="R89" s="430" t="str">
        <f t="shared" si="48"/>
        <v/>
      </c>
      <c r="S89" s="430" t="str">
        <f t="shared" si="49"/>
        <v/>
      </c>
      <c r="T89" s="430" t="str">
        <f t="shared" si="50"/>
        <v/>
      </c>
      <c r="U89" s="430" t="str">
        <f t="shared" si="51"/>
        <v/>
      </c>
      <c r="V89" s="430" t="str">
        <f t="shared" si="52"/>
        <v/>
      </c>
      <c r="W89" s="430" t="str">
        <f t="shared" si="53"/>
        <v/>
      </c>
      <c r="X89" s="449"/>
      <c r="Z89" s="450"/>
      <c r="AA89" s="449"/>
      <c r="AB89" s="451"/>
      <c r="AC89" s="450"/>
      <c r="AD89" s="449"/>
      <c r="AE89" s="451"/>
      <c r="AF89" s="450"/>
      <c r="AG89" s="449"/>
      <c r="AH89" s="451"/>
      <c r="AI89" s="450"/>
      <c r="AJ89" s="449"/>
      <c r="AK89" s="451"/>
      <c r="AL89" s="450"/>
      <c r="AM89" s="449"/>
      <c r="AN89" s="451"/>
      <c r="AO89" s="450"/>
      <c r="AP89" s="449"/>
      <c r="AQ89" s="451"/>
      <c r="AR89" s="449"/>
      <c r="AS89" s="449"/>
      <c r="AT89" s="451"/>
      <c r="AU89" s="449"/>
      <c r="AV89" s="451"/>
      <c r="AW89" s="449"/>
      <c r="AX89" s="449"/>
      <c r="AY89" s="449"/>
      <c r="AZ89" s="449"/>
      <c r="BA89" s="449"/>
      <c r="BB89" s="449"/>
      <c r="BC89" s="449"/>
      <c r="BD89" s="449"/>
      <c r="BE89" s="449"/>
      <c r="BF89" s="449"/>
      <c r="BG89" s="449"/>
      <c r="BH89" s="449"/>
      <c r="BI89" s="449"/>
      <c r="BJ89" s="449"/>
      <c r="BK89" s="449"/>
      <c r="BL89" s="449"/>
      <c r="BM89" s="449"/>
      <c r="BN89" s="449"/>
    </row>
    <row r="90" spans="1:66" ht="13.15" x14ac:dyDescent="0.4">
      <c r="A90" s="430" t="s">
        <v>571</v>
      </c>
      <c r="B90" s="430"/>
      <c r="C90" s="463">
        <v>44336</v>
      </c>
      <c r="D90" s="430" t="s">
        <v>54</v>
      </c>
      <c r="E90" s="430">
        <v>29</v>
      </c>
      <c r="F90" s="430">
        <v>40</v>
      </c>
      <c r="G90" s="430" t="s">
        <v>152</v>
      </c>
      <c r="H90" s="461" t="s">
        <v>690</v>
      </c>
      <c r="I90" s="438" t="s">
        <v>345</v>
      </c>
      <c r="J90" s="438" t="s">
        <v>45</v>
      </c>
      <c r="K90" s="438" t="s">
        <v>45</v>
      </c>
      <c r="L90" s="430" t="str">
        <f t="shared" si="54"/>
        <v>44336N/A</v>
      </c>
      <c r="M90" s="430"/>
      <c r="N90" s="461"/>
      <c r="O90" s="461">
        <v>2500</v>
      </c>
      <c r="P90" s="430" t="str">
        <f t="shared" si="46"/>
        <v/>
      </c>
      <c r="Q90" s="430" t="str">
        <f t="shared" si="47"/>
        <v/>
      </c>
      <c r="R90" s="430">
        <f t="shared" si="48"/>
        <v>182.5</v>
      </c>
      <c r="S90" s="430" t="str">
        <f t="shared" si="49"/>
        <v/>
      </c>
      <c r="T90" s="430" t="str">
        <f t="shared" si="50"/>
        <v/>
      </c>
      <c r="U90" s="430" t="str">
        <f t="shared" si="51"/>
        <v/>
      </c>
      <c r="V90" s="430" t="str">
        <f t="shared" si="52"/>
        <v/>
      </c>
      <c r="W90" s="430" t="str">
        <f t="shared" si="53"/>
        <v/>
      </c>
      <c r="X90" s="449"/>
      <c r="Z90" s="450"/>
      <c r="AA90" s="449"/>
      <c r="AB90" s="451"/>
      <c r="AC90" s="450"/>
      <c r="AD90" s="449"/>
      <c r="AE90" s="451"/>
      <c r="AF90" s="450"/>
      <c r="AG90" s="449"/>
      <c r="AH90" s="451"/>
      <c r="AI90" s="450"/>
      <c r="AJ90" s="449"/>
      <c r="AK90" s="451"/>
      <c r="AL90" s="450"/>
      <c r="AM90" s="449"/>
      <c r="AN90" s="451"/>
      <c r="AO90" s="450"/>
      <c r="AP90" s="449"/>
      <c r="AQ90" s="451"/>
      <c r="AR90" s="449"/>
      <c r="AS90" s="449"/>
      <c r="AT90" s="451"/>
      <c r="AU90" s="449"/>
      <c r="AV90" s="451"/>
      <c r="AW90" s="449"/>
      <c r="AX90" s="449"/>
      <c r="AY90" s="449"/>
      <c r="AZ90" s="449"/>
      <c r="BA90" s="449"/>
      <c r="BB90" s="449"/>
      <c r="BC90" s="449"/>
      <c r="BD90" s="449"/>
      <c r="BE90" s="449"/>
      <c r="BF90" s="449"/>
      <c r="BG90" s="449"/>
      <c r="BH90" s="449"/>
      <c r="BI90" s="449"/>
      <c r="BJ90" s="449"/>
      <c r="BK90" s="449"/>
      <c r="BL90" s="449"/>
      <c r="BM90" s="449"/>
      <c r="BN90" s="449"/>
    </row>
    <row r="91" spans="1:66" ht="13.15" x14ac:dyDescent="0.4">
      <c r="A91" s="430" t="s">
        <v>572</v>
      </c>
      <c r="B91" s="430"/>
      <c r="C91" s="463">
        <v>44336</v>
      </c>
      <c r="D91" s="430" t="s">
        <v>42</v>
      </c>
      <c r="E91" s="430">
        <v>11</v>
      </c>
      <c r="F91" s="430">
        <v>14</v>
      </c>
      <c r="G91" s="430" t="s">
        <v>101</v>
      </c>
      <c r="H91" s="461" t="s">
        <v>538</v>
      </c>
      <c r="I91" s="438" t="s">
        <v>191</v>
      </c>
      <c r="J91" s="438" t="s">
        <v>45</v>
      </c>
      <c r="K91" s="438" t="s">
        <v>45</v>
      </c>
      <c r="L91" s="430" t="str">
        <f t="shared" si="54"/>
        <v>44336N/A</v>
      </c>
      <c r="M91" s="430"/>
      <c r="N91" s="461"/>
      <c r="O91" s="461">
        <v>4600</v>
      </c>
      <c r="P91" s="430">
        <f t="shared" si="46"/>
        <v>62.5</v>
      </c>
      <c r="Q91" s="430" t="str">
        <f t="shared" si="47"/>
        <v/>
      </c>
      <c r="R91" s="430" t="str">
        <f t="shared" si="48"/>
        <v/>
      </c>
      <c r="S91" s="430" t="str">
        <f t="shared" si="49"/>
        <v/>
      </c>
      <c r="T91" s="430" t="str">
        <f t="shared" si="50"/>
        <v/>
      </c>
      <c r="U91" s="430" t="str">
        <f t="shared" si="51"/>
        <v/>
      </c>
      <c r="V91" s="430" t="str">
        <f t="shared" si="52"/>
        <v/>
      </c>
      <c r="W91" s="430" t="str">
        <f t="shared" si="53"/>
        <v/>
      </c>
      <c r="X91" s="449"/>
      <c r="Z91" s="450"/>
      <c r="AA91" s="449"/>
      <c r="AB91" s="451"/>
      <c r="AC91" s="450"/>
      <c r="AD91" s="449"/>
      <c r="AE91" s="451"/>
      <c r="AF91" s="450"/>
      <c r="AG91" s="449"/>
      <c r="AH91" s="451"/>
      <c r="AI91" s="450"/>
      <c r="AJ91" s="449"/>
      <c r="AK91" s="451"/>
      <c r="AL91" s="450"/>
      <c r="AM91" s="449"/>
      <c r="AN91" s="451"/>
      <c r="AO91" s="450"/>
      <c r="AP91" s="449"/>
      <c r="AQ91" s="451"/>
      <c r="AR91" s="449"/>
      <c r="AS91" s="449"/>
      <c r="AT91" s="451"/>
      <c r="AU91" s="449"/>
      <c r="AV91" s="451"/>
      <c r="AW91" s="449"/>
      <c r="AX91" s="449"/>
      <c r="AY91" s="449"/>
      <c r="AZ91" s="449"/>
      <c r="BA91" s="449"/>
      <c r="BB91" s="449"/>
      <c r="BC91" s="449"/>
      <c r="BD91" s="449"/>
      <c r="BE91" s="449"/>
      <c r="BF91" s="449"/>
      <c r="BG91" s="449"/>
      <c r="BH91" s="449"/>
      <c r="BI91" s="449"/>
      <c r="BJ91" s="449"/>
      <c r="BK91" s="449"/>
      <c r="BL91" s="449"/>
      <c r="BM91" s="449"/>
      <c r="BN91" s="449"/>
    </row>
    <row r="92" spans="1:66" ht="13.15" x14ac:dyDescent="0.4">
      <c r="A92" s="469" t="s">
        <v>574</v>
      </c>
      <c r="B92" s="430"/>
      <c r="C92" s="463">
        <v>44336</v>
      </c>
      <c r="D92" s="430" t="s">
        <v>66</v>
      </c>
      <c r="E92" s="430">
        <v>15</v>
      </c>
      <c r="F92" s="430">
        <v>20</v>
      </c>
      <c r="G92" s="430" t="s">
        <v>154</v>
      </c>
      <c r="H92" s="461" t="s">
        <v>558</v>
      </c>
      <c r="I92" s="438" t="s">
        <v>45</v>
      </c>
      <c r="J92" s="438">
        <v>1</v>
      </c>
      <c r="K92" s="438" t="s">
        <v>559</v>
      </c>
      <c r="L92" s="430" t="str">
        <f t="shared" si="54"/>
        <v>44336TUBE</v>
      </c>
      <c r="M92" s="430"/>
      <c r="N92" s="461"/>
      <c r="O92" s="461">
        <v>155</v>
      </c>
      <c r="P92" s="430">
        <f t="shared" si="46"/>
        <v>87.5</v>
      </c>
      <c r="Q92" s="430" t="str">
        <f t="shared" si="47"/>
        <v/>
      </c>
      <c r="R92" s="430" t="str">
        <f t="shared" si="48"/>
        <v/>
      </c>
      <c r="S92" s="430" t="str">
        <f t="shared" si="49"/>
        <v/>
      </c>
      <c r="T92" s="430" t="str">
        <f t="shared" si="50"/>
        <v/>
      </c>
      <c r="U92" s="430" t="str">
        <f t="shared" si="51"/>
        <v/>
      </c>
      <c r="V92" s="430" t="str">
        <f t="shared" si="52"/>
        <v/>
      </c>
      <c r="W92" s="430">
        <f t="shared" si="53"/>
        <v>375</v>
      </c>
      <c r="X92" s="449"/>
      <c r="Z92" s="450"/>
      <c r="AA92" s="449"/>
      <c r="AB92" s="451"/>
      <c r="AC92" s="450"/>
      <c r="AD92" s="449"/>
      <c r="AE92" s="451"/>
      <c r="AF92" s="450"/>
      <c r="AG92" s="449"/>
      <c r="AH92" s="451"/>
      <c r="AI92" s="450"/>
      <c r="AJ92" s="449"/>
      <c r="AK92" s="451"/>
      <c r="AL92" s="450"/>
      <c r="AM92" s="449"/>
      <c r="AN92" s="451"/>
      <c r="AO92" s="450"/>
      <c r="AP92" s="449"/>
      <c r="AQ92" s="451"/>
      <c r="AR92" s="449"/>
      <c r="AS92" s="449"/>
      <c r="AT92" s="451"/>
      <c r="AU92" s="449"/>
      <c r="AV92" s="451"/>
      <c r="AW92" s="449"/>
      <c r="AX92" s="449"/>
      <c r="AY92" s="449"/>
      <c r="AZ92" s="449"/>
      <c r="BA92" s="449"/>
      <c r="BB92" s="449"/>
      <c r="BC92" s="449"/>
      <c r="BD92" s="449"/>
      <c r="BE92" s="449"/>
      <c r="BF92" s="449"/>
      <c r="BG92" s="449"/>
      <c r="BH92" s="449"/>
      <c r="BI92" s="449"/>
      <c r="BJ92" s="449"/>
      <c r="BK92" s="449"/>
      <c r="BL92" s="449"/>
      <c r="BM92" s="449"/>
      <c r="BN92" s="449"/>
    </row>
    <row r="93" spans="1:66" ht="13.15" x14ac:dyDescent="0.4">
      <c r="A93" s="469" t="s">
        <v>519</v>
      </c>
      <c r="B93" s="430"/>
      <c r="C93" s="463">
        <v>44336</v>
      </c>
      <c r="D93" s="430" t="s">
        <v>66</v>
      </c>
      <c r="E93" s="430">
        <v>30</v>
      </c>
      <c r="F93" s="430">
        <v>39</v>
      </c>
      <c r="G93" s="430" t="s">
        <v>155</v>
      </c>
      <c r="H93" s="461" t="s">
        <v>558</v>
      </c>
      <c r="I93" s="438" t="s">
        <v>45</v>
      </c>
      <c r="J93" s="438">
        <v>2</v>
      </c>
      <c r="K93" s="438" t="s">
        <v>559</v>
      </c>
      <c r="L93" s="430" t="str">
        <f t="shared" si="54"/>
        <v>44336TUBE</v>
      </c>
      <c r="M93" s="430"/>
      <c r="N93" s="461"/>
      <c r="O93" s="461">
        <v>367</v>
      </c>
      <c r="P93" s="430">
        <f t="shared" si="46"/>
        <v>172.5</v>
      </c>
      <c r="Q93" s="430" t="str">
        <f t="shared" si="47"/>
        <v/>
      </c>
      <c r="R93" s="430" t="str">
        <f t="shared" si="48"/>
        <v/>
      </c>
      <c r="S93" s="430" t="str">
        <f t="shared" si="49"/>
        <v/>
      </c>
      <c r="T93" s="430" t="str">
        <f t="shared" si="50"/>
        <v/>
      </c>
      <c r="U93" s="430" t="str">
        <f t="shared" si="51"/>
        <v/>
      </c>
      <c r="V93" s="430" t="str">
        <f t="shared" si="52"/>
        <v/>
      </c>
      <c r="W93" s="430">
        <f t="shared" si="53"/>
        <v>1463</v>
      </c>
      <c r="X93" s="449"/>
      <c r="Z93" s="450"/>
      <c r="AA93" s="449"/>
      <c r="AB93" s="451"/>
      <c r="AC93" s="450"/>
      <c r="AD93" s="449"/>
      <c r="AE93" s="451"/>
      <c r="AF93" s="450"/>
      <c r="AG93" s="449"/>
      <c r="AH93" s="451"/>
      <c r="AI93" s="450"/>
      <c r="AJ93" s="449"/>
      <c r="AK93" s="451"/>
      <c r="AL93" s="450"/>
      <c r="AM93" s="449"/>
      <c r="AN93" s="451"/>
      <c r="AO93" s="450"/>
      <c r="AP93" s="449"/>
      <c r="AQ93" s="451"/>
      <c r="AR93" s="449"/>
      <c r="AS93" s="449"/>
      <c r="AT93" s="451"/>
      <c r="AU93" s="449"/>
      <c r="AV93" s="451"/>
      <c r="AW93" s="449"/>
      <c r="AX93" s="449"/>
      <c r="AY93" s="449"/>
      <c r="AZ93" s="449"/>
      <c r="BA93" s="449"/>
      <c r="BB93" s="449"/>
      <c r="BC93" s="449"/>
      <c r="BD93" s="449"/>
      <c r="BE93" s="449"/>
      <c r="BF93" s="449"/>
      <c r="BG93" s="449"/>
      <c r="BH93" s="449"/>
      <c r="BI93" s="449"/>
      <c r="BJ93" s="449"/>
      <c r="BK93" s="449"/>
      <c r="BL93" s="449"/>
      <c r="BM93" s="449"/>
      <c r="BN93" s="449"/>
    </row>
    <row r="94" spans="1:66" ht="13.15" x14ac:dyDescent="0.4">
      <c r="A94" s="469" t="s">
        <v>579</v>
      </c>
      <c r="B94" s="430"/>
      <c r="C94" s="463">
        <v>44336</v>
      </c>
      <c r="D94" s="430" t="s">
        <v>66</v>
      </c>
      <c r="E94" s="430">
        <v>18</v>
      </c>
      <c r="F94" s="430">
        <v>24</v>
      </c>
      <c r="G94" s="430" t="s">
        <v>157</v>
      </c>
      <c r="H94" s="461" t="s">
        <v>558</v>
      </c>
      <c r="I94" s="438" t="s">
        <v>45</v>
      </c>
      <c r="J94" s="438">
        <v>2</v>
      </c>
      <c r="K94" s="438" t="s">
        <v>559</v>
      </c>
      <c r="L94" s="430" t="str">
        <f t="shared" si="54"/>
        <v>44336TUBE</v>
      </c>
      <c r="M94" s="430"/>
      <c r="N94" s="461"/>
      <c r="O94" s="461">
        <v>179.7</v>
      </c>
      <c r="P94" s="430">
        <f t="shared" si="46"/>
        <v>105</v>
      </c>
      <c r="Q94" s="430" t="str">
        <f t="shared" si="47"/>
        <v/>
      </c>
      <c r="R94" s="430" t="str">
        <f t="shared" si="48"/>
        <v/>
      </c>
      <c r="S94" s="430" t="str">
        <f t="shared" si="49"/>
        <v/>
      </c>
      <c r="T94" s="430" t="str">
        <f t="shared" si="50"/>
        <v/>
      </c>
      <c r="U94" s="430" t="str">
        <f t="shared" si="51"/>
        <v/>
      </c>
      <c r="V94" s="430" t="str">
        <f t="shared" si="52"/>
        <v/>
      </c>
      <c r="W94" s="430">
        <f t="shared" si="53"/>
        <v>540</v>
      </c>
      <c r="X94" s="449"/>
      <c r="Z94" s="450"/>
      <c r="AA94" s="449"/>
      <c r="AB94" s="451"/>
      <c r="AC94" s="450"/>
      <c r="AD94" s="449"/>
      <c r="AE94" s="451"/>
      <c r="AF94" s="450"/>
      <c r="AG94" s="449"/>
      <c r="AH94" s="451"/>
      <c r="AI94" s="450"/>
      <c r="AJ94" s="449"/>
      <c r="AK94" s="451"/>
      <c r="AL94" s="450"/>
      <c r="AM94" s="449"/>
      <c r="AN94" s="451"/>
      <c r="AO94" s="450"/>
      <c r="AP94" s="449"/>
      <c r="AQ94" s="451"/>
      <c r="AR94" s="449"/>
      <c r="AS94" s="449"/>
      <c r="AT94" s="451"/>
      <c r="AU94" s="449"/>
      <c r="AV94" s="451"/>
      <c r="AW94" s="449"/>
      <c r="AX94" s="449"/>
      <c r="AY94" s="449"/>
      <c r="AZ94" s="449"/>
      <c r="BA94" s="449"/>
      <c r="BB94" s="449"/>
      <c r="BC94" s="449"/>
      <c r="BD94" s="449"/>
      <c r="BE94" s="449"/>
      <c r="BF94" s="449"/>
      <c r="BG94" s="449"/>
      <c r="BH94" s="449"/>
      <c r="BI94" s="449"/>
      <c r="BJ94" s="449"/>
      <c r="BK94" s="449"/>
      <c r="BL94" s="449"/>
      <c r="BM94" s="449"/>
      <c r="BN94" s="449"/>
    </row>
    <row r="95" spans="1:66" ht="13.15" x14ac:dyDescent="0.4">
      <c r="A95" s="469" t="s">
        <v>582</v>
      </c>
      <c r="B95" s="430"/>
      <c r="C95" s="463">
        <v>44336</v>
      </c>
      <c r="D95" s="430" t="s">
        <v>54</v>
      </c>
      <c r="E95" s="430">
        <v>38</v>
      </c>
      <c r="F95" s="430">
        <v>48</v>
      </c>
      <c r="G95" s="430" t="s">
        <v>158</v>
      </c>
      <c r="H95" s="461" t="s">
        <v>690</v>
      </c>
      <c r="I95" s="438" t="s">
        <v>293</v>
      </c>
      <c r="J95" s="438">
        <v>45</v>
      </c>
      <c r="K95" s="438" t="s">
        <v>492</v>
      </c>
      <c r="L95" s="430" t="str">
        <f t="shared" si="54"/>
        <v>44336S-11306</v>
      </c>
      <c r="M95" s="430"/>
      <c r="N95" s="461"/>
      <c r="O95" s="461">
        <v>3740</v>
      </c>
      <c r="P95" s="430" t="str">
        <f t="shared" si="46"/>
        <v/>
      </c>
      <c r="Q95" s="430" t="str">
        <f t="shared" si="47"/>
        <v/>
      </c>
      <c r="R95" s="430">
        <f t="shared" si="48"/>
        <v>225</v>
      </c>
      <c r="S95" s="430" t="str">
        <f t="shared" si="49"/>
        <v/>
      </c>
      <c r="T95" s="430" t="str">
        <f t="shared" si="50"/>
        <v/>
      </c>
      <c r="U95" s="430" t="str">
        <f t="shared" si="51"/>
        <v/>
      </c>
      <c r="V95" s="430" t="str">
        <f t="shared" si="52"/>
        <v/>
      </c>
      <c r="W95" s="430" t="str">
        <f t="shared" si="53"/>
        <v/>
      </c>
      <c r="X95" s="449"/>
      <c r="Z95" s="450"/>
      <c r="AA95" s="449"/>
      <c r="AB95" s="451"/>
      <c r="AC95" s="450"/>
      <c r="AD95" s="449"/>
      <c r="AE95" s="451"/>
      <c r="AF95" s="450"/>
      <c r="AG95" s="449"/>
      <c r="AH95" s="451"/>
      <c r="AI95" s="450"/>
      <c r="AJ95" s="449"/>
      <c r="AK95" s="451"/>
      <c r="AL95" s="450"/>
      <c r="AM95" s="449"/>
      <c r="AN95" s="451"/>
      <c r="AO95" s="450"/>
      <c r="AP95" s="449"/>
      <c r="AQ95" s="451"/>
      <c r="AR95" s="449"/>
      <c r="AS95" s="449"/>
      <c r="AT95" s="451"/>
      <c r="AU95" s="449"/>
      <c r="AV95" s="451"/>
      <c r="AW95" s="449"/>
      <c r="AX95" s="449"/>
      <c r="AY95" s="449"/>
      <c r="AZ95" s="449"/>
      <c r="BA95" s="449"/>
      <c r="BB95" s="449"/>
      <c r="BC95" s="449"/>
      <c r="BD95" s="449"/>
      <c r="BE95" s="449"/>
      <c r="BF95" s="449"/>
      <c r="BG95" s="449"/>
      <c r="BH95" s="449"/>
      <c r="BI95" s="449"/>
      <c r="BJ95" s="449"/>
      <c r="BK95" s="449"/>
      <c r="BL95" s="449"/>
      <c r="BM95" s="449"/>
      <c r="BN95" s="449"/>
    </row>
    <row r="96" spans="1:66" ht="13.15" x14ac:dyDescent="0.4">
      <c r="A96" s="468" t="s">
        <v>585</v>
      </c>
      <c r="B96" s="464"/>
      <c r="C96" s="465">
        <v>44343</v>
      </c>
      <c r="D96" s="464" t="s">
        <v>54</v>
      </c>
      <c r="E96" s="464">
        <v>29</v>
      </c>
      <c r="F96" s="464">
        <v>48</v>
      </c>
      <c r="G96" s="464" t="s">
        <v>159</v>
      </c>
      <c r="H96" s="466" t="s">
        <v>1</v>
      </c>
      <c r="I96" s="446" t="s">
        <v>309</v>
      </c>
      <c r="J96" s="446">
        <v>38</v>
      </c>
      <c r="K96" s="446" t="s">
        <v>509</v>
      </c>
      <c r="L96" s="464" t="str">
        <f t="shared" si="54"/>
        <v>44343S-17587</v>
      </c>
      <c r="M96" s="464"/>
      <c r="N96" s="466"/>
      <c r="O96" s="466">
        <v>2805</v>
      </c>
      <c r="P96" s="430" t="str">
        <f t="shared" si="46"/>
        <v/>
      </c>
      <c r="Q96" s="430" t="str">
        <f t="shared" si="47"/>
        <v/>
      </c>
      <c r="R96" s="430" t="str">
        <f t="shared" si="48"/>
        <v/>
      </c>
      <c r="S96" s="430">
        <f t="shared" si="49"/>
        <v>202.5</v>
      </c>
      <c r="T96" s="430" t="str">
        <f t="shared" si="50"/>
        <v/>
      </c>
      <c r="U96" s="430" t="str">
        <f t="shared" si="51"/>
        <v/>
      </c>
      <c r="V96" s="430" t="str">
        <f t="shared" si="52"/>
        <v/>
      </c>
      <c r="W96" s="430" t="str">
        <f t="shared" si="53"/>
        <v/>
      </c>
      <c r="X96" s="449"/>
      <c r="Z96" s="450"/>
      <c r="AA96" s="449"/>
      <c r="AB96" s="451"/>
      <c r="AC96" s="450"/>
      <c r="AD96" s="449"/>
      <c r="AE96" s="451"/>
      <c r="AF96" s="450"/>
      <c r="AG96" s="449"/>
      <c r="AH96" s="451"/>
      <c r="AI96" s="450"/>
      <c r="AJ96" s="449"/>
      <c r="AK96" s="451"/>
      <c r="AL96" s="450"/>
      <c r="AM96" s="449"/>
      <c r="AN96" s="451"/>
      <c r="AO96" s="450"/>
      <c r="AP96" s="449"/>
      <c r="AQ96" s="451"/>
      <c r="AR96" s="449"/>
      <c r="AS96" s="449"/>
      <c r="AT96" s="451"/>
      <c r="AU96" s="449"/>
      <c r="AV96" s="451"/>
      <c r="AW96" s="449"/>
      <c r="AX96" s="449"/>
      <c r="AY96" s="449"/>
      <c r="AZ96" s="449"/>
      <c r="BA96" s="449"/>
      <c r="BB96" s="449"/>
      <c r="BC96" s="449"/>
      <c r="BD96" s="449"/>
      <c r="BE96" s="449"/>
      <c r="BF96" s="449"/>
      <c r="BG96" s="449"/>
      <c r="BH96" s="449"/>
      <c r="BI96" s="449"/>
      <c r="BJ96" s="449"/>
      <c r="BK96" s="449"/>
      <c r="BL96" s="449"/>
      <c r="BM96" s="449"/>
      <c r="BN96" s="449"/>
    </row>
    <row r="97" spans="1:66" ht="13.15" x14ac:dyDescent="0.4">
      <c r="A97" s="469" t="s">
        <v>588</v>
      </c>
      <c r="B97" s="430"/>
      <c r="C97" s="463">
        <v>44343</v>
      </c>
      <c r="D97" s="430" t="s">
        <v>54</v>
      </c>
      <c r="E97" s="430">
        <v>26</v>
      </c>
      <c r="F97" s="430">
        <v>30</v>
      </c>
      <c r="G97" s="430" t="s">
        <v>162</v>
      </c>
      <c r="H97" s="461" t="s">
        <v>690</v>
      </c>
      <c r="I97" s="438" t="s">
        <v>331</v>
      </c>
      <c r="J97" s="438">
        <v>25</v>
      </c>
      <c r="K97" s="438" t="s">
        <v>480</v>
      </c>
      <c r="L97" s="430" t="str">
        <f t="shared" si="54"/>
        <v>44343S-17584</v>
      </c>
      <c r="M97" s="430"/>
      <c r="N97" s="461"/>
      <c r="O97" s="461">
        <v>1615</v>
      </c>
      <c r="P97" s="430" t="str">
        <f t="shared" si="46"/>
        <v/>
      </c>
      <c r="Q97" s="430" t="str">
        <f t="shared" si="47"/>
        <v/>
      </c>
      <c r="R97" s="430">
        <f t="shared" si="48"/>
        <v>150</v>
      </c>
      <c r="S97" s="430" t="str">
        <f t="shared" si="49"/>
        <v/>
      </c>
      <c r="T97" s="430" t="str">
        <f t="shared" si="50"/>
        <v/>
      </c>
      <c r="U97" s="430" t="str">
        <f t="shared" si="51"/>
        <v/>
      </c>
      <c r="V97" s="430" t="str">
        <f t="shared" si="52"/>
        <v/>
      </c>
      <c r="W97" s="430" t="str">
        <f t="shared" si="53"/>
        <v/>
      </c>
      <c r="X97" s="449"/>
      <c r="Z97" s="450"/>
      <c r="AA97" s="449"/>
      <c r="AB97" s="451"/>
      <c r="AC97" s="450"/>
      <c r="AD97" s="449"/>
      <c r="AE97" s="451"/>
      <c r="AF97" s="450"/>
      <c r="AG97" s="449"/>
      <c r="AH97" s="451"/>
      <c r="AI97" s="450"/>
      <c r="AJ97" s="449"/>
      <c r="AK97" s="451"/>
      <c r="AL97" s="450"/>
      <c r="AM97" s="449"/>
      <c r="AN97" s="451"/>
      <c r="AO97" s="450"/>
      <c r="AP97" s="449"/>
      <c r="AQ97" s="451"/>
      <c r="AR97" s="449"/>
      <c r="AS97" s="449"/>
      <c r="AT97" s="451"/>
      <c r="AU97" s="449"/>
      <c r="AV97" s="451"/>
      <c r="AW97" s="449"/>
      <c r="AX97" s="449"/>
      <c r="AY97" s="449"/>
      <c r="AZ97" s="449"/>
      <c r="BA97" s="449"/>
      <c r="BB97" s="449"/>
      <c r="BC97" s="449"/>
      <c r="BD97" s="449"/>
      <c r="BE97" s="449"/>
      <c r="BF97" s="449"/>
      <c r="BG97" s="449"/>
      <c r="BH97" s="449"/>
      <c r="BI97" s="449"/>
      <c r="BJ97" s="449"/>
      <c r="BK97" s="449"/>
      <c r="BL97" s="449"/>
      <c r="BM97" s="449"/>
      <c r="BN97" s="449"/>
    </row>
    <row r="98" spans="1:66" ht="13.15" x14ac:dyDescent="0.4">
      <c r="A98" s="469" t="s">
        <v>591</v>
      </c>
      <c r="B98" s="430"/>
      <c r="C98" s="463">
        <v>44343</v>
      </c>
      <c r="D98" s="430" t="s">
        <v>42</v>
      </c>
      <c r="E98" s="430">
        <v>27.5</v>
      </c>
      <c r="F98" s="430">
        <v>60</v>
      </c>
      <c r="G98" s="430" t="s">
        <v>593</v>
      </c>
      <c r="H98" s="461" t="s">
        <v>592</v>
      </c>
      <c r="I98" s="438" t="s">
        <v>594</v>
      </c>
      <c r="J98" s="438">
        <v>91</v>
      </c>
      <c r="K98" s="438" t="s">
        <v>384</v>
      </c>
      <c r="L98" s="430" t="str">
        <f t="shared" si="54"/>
        <v>44343CRATE</v>
      </c>
      <c r="M98" s="430"/>
      <c r="N98" s="461"/>
      <c r="O98" s="461">
        <v>26000</v>
      </c>
      <c r="P98" s="430">
        <f t="shared" si="46"/>
        <v>218.75</v>
      </c>
      <c r="Q98" s="430" t="str">
        <f t="shared" si="47"/>
        <v/>
      </c>
      <c r="R98" s="430" t="str">
        <f t="shared" si="48"/>
        <v/>
      </c>
      <c r="S98" s="430" t="str">
        <f t="shared" si="49"/>
        <v/>
      </c>
      <c r="T98" s="430" t="str">
        <f t="shared" si="50"/>
        <v/>
      </c>
      <c r="U98" s="430" t="str">
        <f t="shared" si="51"/>
        <v/>
      </c>
      <c r="V98" s="430" t="str">
        <f t="shared" si="52"/>
        <v/>
      </c>
      <c r="W98" s="430" t="str">
        <f t="shared" si="53"/>
        <v/>
      </c>
      <c r="X98" s="449"/>
      <c r="Z98" s="450"/>
      <c r="AA98" s="449"/>
      <c r="AB98" s="451"/>
      <c r="AC98" s="450"/>
      <c r="AD98" s="449"/>
      <c r="AE98" s="451"/>
      <c r="AF98" s="450"/>
      <c r="AG98" s="449"/>
      <c r="AH98" s="451"/>
      <c r="AI98" s="450"/>
      <c r="AJ98" s="449"/>
      <c r="AK98" s="451"/>
      <c r="AL98" s="450"/>
      <c r="AM98" s="449"/>
      <c r="AN98" s="451"/>
      <c r="AO98" s="450"/>
      <c r="AP98" s="449"/>
      <c r="AQ98" s="451"/>
      <c r="AR98" s="449"/>
      <c r="AS98" s="449"/>
      <c r="AT98" s="451"/>
      <c r="AU98" s="449"/>
      <c r="AV98" s="451"/>
      <c r="AW98" s="449"/>
      <c r="AX98" s="449"/>
      <c r="AY98" s="449"/>
      <c r="AZ98" s="449"/>
      <c r="BA98" s="449"/>
      <c r="BB98" s="449"/>
      <c r="BC98" s="449"/>
      <c r="BD98" s="449"/>
      <c r="BE98" s="449"/>
      <c r="BF98" s="449"/>
      <c r="BG98" s="449"/>
      <c r="BH98" s="449"/>
      <c r="BI98" s="449"/>
      <c r="BJ98" s="449"/>
      <c r="BK98" s="449"/>
      <c r="BL98" s="449"/>
      <c r="BM98" s="449"/>
      <c r="BN98" s="449"/>
    </row>
    <row r="99" spans="1:66" ht="13.15" x14ac:dyDescent="0.4">
      <c r="A99" s="469" t="s">
        <v>597</v>
      </c>
      <c r="B99" s="430"/>
      <c r="C99" s="463">
        <v>44343</v>
      </c>
      <c r="D99" s="430" t="s">
        <v>66</v>
      </c>
      <c r="E99" s="430">
        <v>30</v>
      </c>
      <c r="F99" s="430">
        <v>40</v>
      </c>
      <c r="G99" s="430" t="s">
        <v>114</v>
      </c>
      <c r="H99" s="461" t="s">
        <v>558</v>
      </c>
      <c r="I99" s="438" t="s">
        <v>45</v>
      </c>
      <c r="J99" s="438">
        <v>6</v>
      </c>
      <c r="K99" s="438" t="s">
        <v>595</v>
      </c>
      <c r="L99" s="430" t="str">
        <f t="shared" si="54"/>
        <v>44343S-6241</v>
      </c>
      <c r="M99" s="430"/>
      <c r="N99" s="461"/>
      <c r="O99" s="461">
        <f t="shared" ref="O99:O102" si="55">1106.55/4</f>
        <v>276.63749999999999</v>
      </c>
      <c r="P99" s="430">
        <f t="shared" si="46"/>
        <v>175</v>
      </c>
      <c r="Q99" s="430" t="str">
        <f t="shared" si="47"/>
        <v/>
      </c>
      <c r="R99" s="430" t="str">
        <f t="shared" si="48"/>
        <v/>
      </c>
      <c r="S99" s="430" t="str">
        <f t="shared" si="49"/>
        <v/>
      </c>
      <c r="T99" s="430" t="str">
        <f t="shared" si="50"/>
        <v/>
      </c>
      <c r="U99" s="430" t="str">
        <f t="shared" si="51"/>
        <v/>
      </c>
      <c r="V99" s="430" t="str">
        <f t="shared" si="52"/>
        <v/>
      </c>
      <c r="W99" s="430">
        <f t="shared" si="53"/>
        <v>1500</v>
      </c>
      <c r="X99" s="449"/>
      <c r="Z99" s="450"/>
      <c r="AA99" s="449"/>
      <c r="AB99" s="451"/>
      <c r="AC99" s="450"/>
      <c r="AD99" s="449"/>
      <c r="AE99" s="451"/>
      <c r="AF99" s="450"/>
      <c r="AG99" s="449"/>
      <c r="AH99" s="451"/>
      <c r="AI99" s="450"/>
      <c r="AJ99" s="449"/>
      <c r="AK99" s="451"/>
      <c r="AL99" s="450"/>
      <c r="AM99" s="449"/>
      <c r="AN99" s="451"/>
      <c r="AO99" s="450"/>
      <c r="AP99" s="449"/>
      <c r="AQ99" s="451"/>
      <c r="AR99" s="449"/>
      <c r="AS99" s="449"/>
      <c r="AT99" s="451"/>
      <c r="AU99" s="449"/>
      <c r="AV99" s="451"/>
      <c r="AW99" s="449"/>
      <c r="AX99" s="449"/>
      <c r="AY99" s="449"/>
      <c r="AZ99" s="449"/>
      <c r="BA99" s="449"/>
      <c r="BB99" s="449"/>
      <c r="BC99" s="449"/>
      <c r="BD99" s="449"/>
      <c r="BE99" s="449"/>
      <c r="BF99" s="449"/>
      <c r="BG99" s="449"/>
      <c r="BH99" s="449"/>
      <c r="BI99" s="449"/>
      <c r="BJ99" s="449"/>
      <c r="BK99" s="449"/>
      <c r="BL99" s="449"/>
      <c r="BM99" s="449"/>
      <c r="BN99" s="449"/>
    </row>
    <row r="100" spans="1:66" ht="13.15" x14ac:dyDescent="0.4">
      <c r="A100" s="469" t="s">
        <v>598</v>
      </c>
      <c r="B100" s="430"/>
      <c r="C100" s="463">
        <v>44343</v>
      </c>
      <c r="D100" s="430" t="s">
        <v>66</v>
      </c>
      <c r="E100" s="430">
        <v>35</v>
      </c>
      <c r="F100" s="430">
        <v>35</v>
      </c>
      <c r="G100" s="430" t="s">
        <v>164</v>
      </c>
      <c r="H100" s="461" t="s">
        <v>558</v>
      </c>
      <c r="I100" s="438" t="s">
        <v>45</v>
      </c>
      <c r="J100" s="438"/>
      <c r="K100" s="438" t="s">
        <v>599</v>
      </c>
      <c r="L100" s="430" t="str">
        <f t="shared" si="54"/>
        <v>44343" "</v>
      </c>
      <c r="M100" s="430"/>
      <c r="N100" s="461"/>
      <c r="O100" s="461">
        <f t="shared" si="55"/>
        <v>276.63749999999999</v>
      </c>
      <c r="P100" s="430">
        <f t="shared" si="46"/>
        <v>175</v>
      </c>
      <c r="Q100" s="430" t="str">
        <f t="shared" si="47"/>
        <v/>
      </c>
      <c r="R100" s="430" t="str">
        <f t="shared" si="48"/>
        <v/>
      </c>
      <c r="S100" s="430" t="str">
        <f t="shared" si="49"/>
        <v/>
      </c>
      <c r="T100" s="430" t="str">
        <f t="shared" si="50"/>
        <v/>
      </c>
      <c r="U100" s="430" t="str">
        <f t="shared" si="51"/>
        <v/>
      </c>
      <c r="V100" s="430" t="str">
        <f t="shared" si="52"/>
        <v/>
      </c>
      <c r="W100" s="430">
        <f t="shared" si="53"/>
        <v>1532</v>
      </c>
      <c r="X100" s="449"/>
      <c r="Z100" s="450"/>
      <c r="AA100" s="449"/>
      <c r="AB100" s="451"/>
      <c r="AC100" s="450"/>
      <c r="AD100" s="449"/>
      <c r="AE100" s="451"/>
      <c r="AF100" s="450"/>
      <c r="AG100" s="449"/>
      <c r="AH100" s="451"/>
      <c r="AI100" s="450"/>
      <c r="AJ100" s="449"/>
      <c r="AK100" s="451"/>
      <c r="AL100" s="450"/>
      <c r="AM100" s="449"/>
      <c r="AN100" s="451"/>
      <c r="AO100" s="450"/>
      <c r="AP100" s="449"/>
      <c r="AQ100" s="451"/>
      <c r="AR100" s="449"/>
      <c r="AS100" s="449"/>
      <c r="AT100" s="451"/>
      <c r="AU100" s="449"/>
      <c r="AV100" s="451"/>
      <c r="AW100" s="449"/>
      <c r="AX100" s="449"/>
      <c r="AY100" s="449"/>
      <c r="AZ100" s="449"/>
      <c r="BA100" s="449"/>
      <c r="BB100" s="449"/>
      <c r="BC100" s="449"/>
      <c r="BD100" s="449"/>
      <c r="BE100" s="449"/>
      <c r="BF100" s="449"/>
      <c r="BG100" s="449"/>
      <c r="BH100" s="449"/>
      <c r="BI100" s="449"/>
      <c r="BJ100" s="449"/>
      <c r="BK100" s="449"/>
      <c r="BL100" s="449"/>
      <c r="BM100" s="449"/>
      <c r="BN100" s="449"/>
    </row>
    <row r="101" spans="1:66" ht="13.15" x14ac:dyDescent="0.4">
      <c r="A101" s="469" t="s">
        <v>526</v>
      </c>
      <c r="B101" s="430"/>
      <c r="C101" s="463">
        <v>44343</v>
      </c>
      <c r="D101" s="430" t="s">
        <v>66</v>
      </c>
      <c r="E101" s="430">
        <v>28</v>
      </c>
      <c r="F101" s="430">
        <v>36</v>
      </c>
      <c r="G101" s="430" t="s">
        <v>121</v>
      </c>
      <c r="H101" s="461" t="s">
        <v>558</v>
      </c>
      <c r="I101" s="438" t="s">
        <v>45</v>
      </c>
      <c r="J101" s="438"/>
      <c r="K101" s="438" t="s">
        <v>599</v>
      </c>
      <c r="L101" s="430" t="str">
        <f t="shared" si="54"/>
        <v>44343" "</v>
      </c>
      <c r="M101" s="430"/>
      <c r="N101" s="461"/>
      <c r="O101" s="461">
        <f t="shared" si="55"/>
        <v>276.63749999999999</v>
      </c>
      <c r="P101" s="430">
        <f t="shared" si="46"/>
        <v>160</v>
      </c>
      <c r="Q101" s="430" t="str">
        <f t="shared" si="47"/>
        <v/>
      </c>
      <c r="R101" s="430" t="str">
        <f t="shared" si="48"/>
        <v/>
      </c>
      <c r="S101" s="430" t="str">
        <f t="shared" si="49"/>
        <v/>
      </c>
      <c r="T101" s="430" t="str">
        <f t="shared" si="50"/>
        <v/>
      </c>
      <c r="U101" s="430" t="str">
        <f t="shared" si="51"/>
        <v/>
      </c>
      <c r="V101" s="430" t="str">
        <f t="shared" si="52"/>
        <v/>
      </c>
      <c r="W101" s="430">
        <f t="shared" si="53"/>
        <v>1260</v>
      </c>
      <c r="X101" s="449"/>
      <c r="Z101" s="450"/>
      <c r="AA101" s="449"/>
      <c r="AB101" s="451"/>
      <c r="AC101" s="450"/>
      <c r="AD101" s="449"/>
      <c r="AE101" s="451"/>
      <c r="AF101" s="450"/>
      <c r="AG101" s="449"/>
      <c r="AH101" s="451"/>
      <c r="AI101" s="450"/>
      <c r="AJ101" s="449"/>
      <c r="AK101" s="451"/>
      <c r="AL101" s="450"/>
      <c r="AM101" s="449"/>
      <c r="AN101" s="451"/>
      <c r="AO101" s="450"/>
      <c r="AP101" s="449"/>
      <c r="AQ101" s="451"/>
      <c r="AR101" s="449"/>
      <c r="AS101" s="449"/>
      <c r="AT101" s="451"/>
      <c r="AU101" s="449"/>
      <c r="AV101" s="451"/>
      <c r="AW101" s="449"/>
      <c r="AX101" s="449"/>
      <c r="AY101" s="449"/>
      <c r="AZ101" s="449"/>
      <c r="BA101" s="449"/>
      <c r="BB101" s="449"/>
      <c r="BC101" s="449"/>
      <c r="BD101" s="449"/>
      <c r="BE101" s="449"/>
      <c r="BF101" s="449"/>
      <c r="BG101" s="449"/>
      <c r="BH101" s="449"/>
      <c r="BI101" s="449"/>
      <c r="BJ101" s="449"/>
      <c r="BK101" s="449"/>
      <c r="BL101" s="449"/>
      <c r="BM101" s="449"/>
      <c r="BN101" s="449"/>
    </row>
    <row r="102" spans="1:66" ht="13.15" x14ac:dyDescent="0.4">
      <c r="A102" s="469" t="s">
        <v>601</v>
      </c>
      <c r="B102" s="430"/>
      <c r="C102" s="463">
        <v>44343</v>
      </c>
      <c r="D102" s="430" t="s">
        <v>66</v>
      </c>
      <c r="E102" s="430">
        <v>24</v>
      </c>
      <c r="F102" s="430">
        <v>32</v>
      </c>
      <c r="G102" s="430" t="s">
        <v>116</v>
      </c>
      <c r="H102" s="461" t="s">
        <v>558</v>
      </c>
      <c r="I102" s="438" t="s">
        <v>45</v>
      </c>
      <c r="J102" s="438"/>
      <c r="K102" s="438" t="s">
        <v>599</v>
      </c>
      <c r="L102" s="430" t="str">
        <f t="shared" si="54"/>
        <v>44343" "</v>
      </c>
      <c r="M102" s="430"/>
      <c r="N102" s="461"/>
      <c r="O102" s="461">
        <f t="shared" si="55"/>
        <v>276.63749999999999</v>
      </c>
      <c r="P102" s="430">
        <f t="shared" si="46"/>
        <v>140</v>
      </c>
      <c r="Q102" s="430" t="str">
        <f t="shared" si="47"/>
        <v/>
      </c>
      <c r="R102" s="430" t="str">
        <f t="shared" si="48"/>
        <v/>
      </c>
      <c r="S102" s="430" t="str">
        <f t="shared" si="49"/>
        <v/>
      </c>
      <c r="T102" s="430" t="str">
        <f t="shared" si="50"/>
        <v/>
      </c>
      <c r="U102" s="430" t="str">
        <f t="shared" si="51"/>
        <v/>
      </c>
      <c r="V102" s="430" t="str">
        <f t="shared" si="52"/>
        <v/>
      </c>
      <c r="W102" s="430">
        <f t="shared" si="53"/>
        <v>960</v>
      </c>
      <c r="X102" s="449"/>
      <c r="Z102" s="450"/>
      <c r="AA102" s="449"/>
      <c r="AB102" s="451"/>
      <c r="AC102" s="450"/>
      <c r="AD102" s="449"/>
      <c r="AE102" s="451"/>
      <c r="AF102" s="450"/>
      <c r="AG102" s="449"/>
      <c r="AH102" s="451"/>
      <c r="AI102" s="450"/>
      <c r="AJ102" s="449"/>
      <c r="AK102" s="451"/>
      <c r="AL102" s="450"/>
      <c r="AM102" s="449"/>
      <c r="AN102" s="451"/>
      <c r="AO102" s="450"/>
      <c r="AP102" s="449"/>
      <c r="AQ102" s="451"/>
      <c r="AR102" s="449"/>
      <c r="AS102" s="449"/>
      <c r="AT102" s="451"/>
      <c r="AU102" s="449"/>
      <c r="AV102" s="451"/>
      <c r="AW102" s="449"/>
      <c r="AX102" s="449"/>
      <c r="AY102" s="449"/>
      <c r="AZ102" s="449"/>
      <c r="BA102" s="449"/>
      <c r="BB102" s="449"/>
      <c r="BC102" s="449"/>
      <c r="BD102" s="449"/>
      <c r="BE102" s="449"/>
      <c r="BF102" s="449"/>
      <c r="BG102" s="449"/>
      <c r="BH102" s="449"/>
      <c r="BI102" s="449"/>
      <c r="BJ102" s="449"/>
      <c r="BK102" s="449"/>
      <c r="BL102" s="449"/>
      <c r="BM102" s="449"/>
      <c r="BN102" s="449"/>
    </row>
    <row r="103" spans="1:66" ht="13.15" x14ac:dyDescent="0.4">
      <c r="A103" s="469" t="s">
        <v>494</v>
      </c>
      <c r="B103" s="430"/>
      <c r="C103" s="463">
        <v>44343</v>
      </c>
      <c r="D103" s="430" t="s">
        <v>604</v>
      </c>
      <c r="E103" s="430">
        <v>8</v>
      </c>
      <c r="F103" s="430">
        <v>11</v>
      </c>
      <c r="G103" s="430" t="s">
        <v>605</v>
      </c>
      <c r="H103" s="461" t="s">
        <v>603</v>
      </c>
      <c r="I103" s="438" t="s">
        <v>140</v>
      </c>
      <c r="J103" s="438">
        <v>8</v>
      </c>
      <c r="K103" s="438" t="s">
        <v>577</v>
      </c>
      <c r="L103" s="430" t="str">
        <f t="shared" si="54"/>
        <v>44343S-4553</v>
      </c>
      <c r="M103" s="430"/>
      <c r="N103" s="461"/>
      <c r="O103" s="461">
        <v>0</v>
      </c>
      <c r="P103" s="430" t="str">
        <f t="shared" si="46"/>
        <v/>
      </c>
      <c r="Q103" s="430" t="str">
        <f t="shared" si="47"/>
        <v/>
      </c>
      <c r="R103" s="430" t="str">
        <f t="shared" si="48"/>
        <v/>
      </c>
      <c r="S103" s="430" t="str">
        <f t="shared" si="49"/>
        <v/>
      </c>
      <c r="T103" s="430" t="str">
        <f t="shared" si="50"/>
        <v/>
      </c>
      <c r="U103" s="430" t="str">
        <f t="shared" si="51"/>
        <v/>
      </c>
      <c r="V103" s="430" t="str">
        <f t="shared" si="52"/>
        <v/>
      </c>
      <c r="W103" s="430" t="str">
        <f t="shared" si="53"/>
        <v/>
      </c>
      <c r="X103" s="449"/>
      <c r="Z103" s="450"/>
      <c r="AA103" s="449"/>
      <c r="AB103" s="451"/>
      <c r="AC103" s="450"/>
      <c r="AD103" s="449"/>
      <c r="AE103" s="451"/>
      <c r="AF103" s="450"/>
      <c r="AG103" s="449"/>
      <c r="AH103" s="451"/>
      <c r="AI103" s="450"/>
      <c r="AJ103" s="449"/>
      <c r="AK103" s="451"/>
      <c r="AL103" s="450"/>
      <c r="AM103" s="449"/>
      <c r="AN103" s="451"/>
      <c r="AO103" s="450"/>
      <c r="AP103" s="449"/>
      <c r="AQ103" s="451"/>
      <c r="AR103" s="449"/>
      <c r="AS103" s="449"/>
      <c r="AT103" s="451"/>
      <c r="AU103" s="449"/>
      <c r="AV103" s="451"/>
      <c r="AW103" s="449"/>
      <c r="AX103" s="449"/>
      <c r="AY103" s="449"/>
      <c r="AZ103" s="449"/>
      <c r="BA103" s="449"/>
      <c r="BB103" s="449"/>
      <c r="BC103" s="449"/>
      <c r="BD103" s="449"/>
      <c r="BE103" s="449"/>
      <c r="BF103" s="449"/>
      <c r="BG103" s="449"/>
      <c r="BH103" s="449"/>
      <c r="BI103" s="449"/>
      <c r="BJ103" s="449"/>
      <c r="BK103" s="449"/>
      <c r="BL103" s="449"/>
      <c r="BM103" s="449"/>
      <c r="BN103" s="449"/>
    </row>
    <row r="104" spans="1:66" ht="13.15" x14ac:dyDescent="0.4">
      <c r="A104" s="469" t="s">
        <v>519</v>
      </c>
      <c r="B104" s="430"/>
      <c r="C104" s="463">
        <v>44343</v>
      </c>
      <c r="D104" s="430" t="s">
        <v>66</v>
      </c>
      <c r="E104" s="430">
        <v>30</v>
      </c>
      <c r="F104" s="430">
        <v>39</v>
      </c>
      <c r="G104" s="430" t="s">
        <v>155</v>
      </c>
      <c r="H104" s="461" t="s">
        <v>558</v>
      </c>
      <c r="I104" s="438" t="s">
        <v>45</v>
      </c>
      <c r="J104" s="438">
        <v>2</v>
      </c>
      <c r="K104" s="438" t="s">
        <v>575</v>
      </c>
      <c r="L104" s="430" t="str">
        <f t="shared" si="54"/>
        <v>44343S-3938</v>
      </c>
      <c r="M104" s="430"/>
      <c r="N104" s="461"/>
      <c r="O104" s="461">
        <v>367</v>
      </c>
      <c r="P104" s="430">
        <f t="shared" si="46"/>
        <v>172.5</v>
      </c>
      <c r="Q104" s="430" t="str">
        <f t="shared" si="47"/>
        <v/>
      </c>
      <c r="R104" s="430" t="str">
        <f t="shared" si="48"/>
        <v/>
      </c>
      <c r="S104" s="430" t="str">
        <f t="shared" si="49"/>
        <v/>
      </c>
      <c r="T104" s="430" t="str">
        <f t="shared" si="50"/>
        <v/>
      </c>
      <c r="U104" s="430" t="str">
        <f t="shared" si="51"/>
        <v/>
      </c>
      <c r="V104" s="430" t="str">
        <f t="shared" si="52"/>
        <v/>
      </c>
      <c r="W104" s="430">
        <f t="shared" si="53"/>
        <v>1463</v>
      </c>
      <c r="X104" s="449"/>
      <c r="Z104" s="450"/>
      <c r="AA104" s="449"/>
      <c r="AB104" s="451"/>
      <c r="AC104" s="450"/>
      <c r="AD104" s="449"/>
      <c r="AE104" s="451"/>
      <c r="AF104" s="450"/>
      <c r="AG104" s="449"/>
      <c r="AH104" s="451"/>
      <c r="AI104" s="450"/>
      <c r="AJ104" s="449"/>
      <c r="AK104" s="451"/>
      <c r="AL104" s="450"/>
      <c r="AM104" s="449"/>
      <c r="AN104" s="451"/>
      <c r="AO104" s="450"/>
      <c r="AP104" s="449"/>
      <c r="AQ104" s="451"/>
      <c r="AR104" s="449"/>
      <c r="AS104" s="449"/>
      <c r="AT104" s="451"/>
      <c r="AU104" s="449"/>
      <c r="AV104" s="451"/>
      <c r="AW104" s="449"/>
      <c r="AX104" s="449"/>
      <c r="AY104" s="449"/>
      <c r="AZ104" s="449"/>
      <c r="BA104" s="449"/>
      <c r="BB104" s="449"/>
      <c r="BC104" s="449"/>
      <c r="BD104" s="449"/>
      <c r="BE104" s="449"/>
      <c r="BF104" s="449"/>
      <c r="BG104" s="449"/>
      <c r="BH104" s="449"/>
      <c r="BI104" s="449"/>
      <c r="BJ104" s="449"/>
      <c r="BK104" s="449"/>
      <c r="BL104" s="449"/>
      <c r="BM104" s="449"/>
      <c r="BN104" s="449"/>
    </row>
    <row r="105" spans="1:66" ht="13.15" x14ac:dyDescent="0.4">
      <c r="A105" s="469" t="s">
        <v>606</v>
      </c>
      <c r="B105" s="430"/>
      <c r="C105" s="463">
        <v>44343</v>
      </c>
      <c r="D105" s="430" t="s">
        <v>66</v>
      </c>
      <c r="E105" s="430">
        <v>46</v>
      </c>
      <c r="F105" s="430">
        <v>47</v>
      </c>
      <c r="G105" s="430" t="s">
        <v>171</v>
      </c>
      <c r="H105" s="461" t="s">
        <v>50</v>
      </c>
      <c r="I105" s="438" t="s">
        <v>45</v>
      </c>
      <c r="J105" s="438">
        <v>26</v>
      </c>
      <c r="K105" s="438" t="s">
        <v>553</v>
      </c>
      <c r="L105" s="430" t="str">
        <f t="shared" si="54"/>
        <v>44343S-11251</v>
      </c>
      <c r="M105" s="430"/>
      <c r="N105" s="461"/>
      <c r="O105" s="461">
        <v>788</v>
      </c>
      <c r="P105" s="430">
        <f t="shared" si="46"/>
        <v>232.5</v>
      </c>
      <c r="Q105" s="430" t="str">
        <f t="shared" si="47"/>
        <v/>
      </c>
      <c r="R105" s="430" t="str">
        <f t="shared" si="48"/>
        <v/>
      </c>
      <c r="S105" s="430" t="str">
        <f t="shared" si="49"/>
        <v/>
      </c>
      <c r="T105" s="430" t="str">
        <f t="shared" si="50"/>
        <v/>
      </c>
      <c r="U105" s="430" t="str">
        <f t="shared" si="51"/>
        <v/>
      </c>
      <c r="V105" s="430" t="str">
        <f t="shared" si="52"/>
        <v/>
      </c>
      <c r="W105" s="430">
        <f t="shared" si="53"/>
        <v>2703</v>
      </c>
      <c r="X105" s="449"/>
      <c r="Z105" s="450"/>
      <c r="AA105" s="449"/>
      <c r="AB105" s="451"/>
      <c r="AC105" s="450"/>
      <c r="AD105" s="449"/>
      <c r="AE105" s="451"/>
      <c r="AF105" s="450"/>
      <c r="AG105" s="449"/>
      <c r="AH105" s="451"/>
      <c r="AI105" s="450"/>
      <c r="AJ105" s="449"/>
      <c r="AK105" s="451"/>
      <c r="AL105" s="450"/>
      <c r="AM105" s="449"/>
      <c r="AN105" s="451"/>
      <c r="AO105" s="450"/>
      <c r="AP105" s="449"/>
      <c r="AQ105" s="451"/>
      <c r="AR105" s="449"/>
      <c r="AS105" s="449"/>
      <c r="AT105" s="451"/>
      <c r="AU105" s="449"/>
      <c r="AV105" s="451"/>
      <c r="AW105" s="449"/>
      <c r="AX105" s="449"/>
      <c r="AY105" s="449"/>
      <c r="AZ105" s="449"/>
      <c r="BA105" s="449"/>
      <c r="BB105" s="449"/>
      <c r="BC105" s="449"/>
      <c r="BD105" s="449"/>
      <c r="BE105" s="449"/>
      <c r="BF105" s="449"/>
      <c r="BG105" s="449"/>
      <c r="BH105" s="449"/>
      <c r="BI105" s="449"/>
      <c r="BJ105" s="449"/>
      <c r="BK105" s="449"/>
      <c r="BL105" s="449"/>
      <c r="BM105" s="449"/>
      <c r="BN105" s="449"/>
    </row>
    <row r="106" spans="1:66" ht="13.15" x14ac:dyDescent="0.4">
      <c r="A106" s="469" t="s">
        <v>570</v>
      </c>
      <c r="B106" s="430"/>
      <c r="C106" s="463">
        <f>C107-7</f>
        <v>44343</v>
      </c>
      <c r="D106" s="430" t="s">
        <v>42</v>
      </c>
      <c r="E106" s="430">
        <v>28</v>
      </c>
      <c r="F106" s="430">
        <v>48</v>
      </c>
      <c r="G106" s="430" t="s">
        <v>123</v>
      </c>
      <c r="H106" s="461" t="s">
        <v>690</v>
      </c>
      <c r="I106" s="438" t="s">
        <v>203</v>
      </c>
      <c r="J106" s="438">
        <v>38</v>
      </c>
      <c r="K106" s="438" t="s">
        <v>509</v>
      </c>
      <c r="L106" s="430" t="str">
        <f t="shared" si="54"/>
        <v>44343S-17587</v>
      </c>
      <c r="M106" s="430"/>
      <c r="N106" s="461"/>
      <c r="O106" s="461">
        <v>12942</v>
      </c>
      <c r="P106" s="430">
        <f t="shared" si="46"/>
        <v>190</v>
      </c>
      <c r="Q106" s="430">
        <f t="shared" si="47"/>
        <v>200</v>
      </c>
      <c r="R106" s="430" t="str">
        <f t="shared" si="48"/>
        <v/>
      </c>
      <c r="S106" s="430" t="str">
        <f t="shared" si="49"/>
        <v/>
      </c>
      <c r="T106" s="430" t="str">
        <f t="shared" si="50"/>
        <v/>
      </c>
      <c r="U106" s="430" t="str">
        <f t="shared" si="51"/>
        <v/>
      </c>
      <c r="V106" s="430" t="str">
        <f t="shared" si="52"/>
        <v/>
      </c>
      <c r="W106" s="430" t="str">
        <f t="shared" si="53"/>
        <v/>
      </c>
      <c r="X106" s="449"/>
      <c r="Z106" s="450"/>
      <c r="AA106" s="449"/>
      <c r="AB106" s="451"/>
      <c r="AC106" s="450"/>
      <c r="AD106" s="449"/>
      <c r="AE106" s="451"/>
      <c r="AF106" s="450"/>
      <c r="AG106" s="449"/>
      <c r="AH106" s="451"/>
      <c r="AI106" s="450"/>
      <c r="AJ106" s="449"/>
      <c r="AK106" s="451"/>
      <c r="AL106" s="450"/>
      <c r="AM106" s="449"/>
      <c r="AN106" s="451"/>
      <c r="AO106" s="450"/>
      <c r="AP106" s="449"/>
      <c r="AQ106" s="451"/>
      <c r="AR106" s="449"/>
      <c r="AS106" s="449"/>
      <c r="AT106" s="451"/>
      <c r="AU106" s="449"/>
      <c r="AV106" s="451"/>
      <c r="AW106" s="449"/>
      <c r="AX106" s="449"/>
      <c r="AY106" s="449"/>
      <c r="AZ106" s="449"/>
      <c r="BA106" s="449"/>
      <c r="BB106" s="449"/>
      <c r="BC106" s="449"/>
      <c r="BD106" s="449"/>
      <c r="BE106" s="449"/>
      <c r="BF106" s="449"/>
      <c r="BG106" s="449"/>
      <c r="BH106" s="449"/>
      <c r="BI106" s="449"/>
      <c r="BJ106" s="449"/>
      <c r="BK106" s="449"/>
      <c r="BL106" s="449"/>
      <c r="BM106" s="449"/>
      <c r="BN106" s="449"/>
    </row>
    <row r="107" spans="1:66" ht="13.15" x14ac:dyDescent="0.4">
      <c r="A107" s="468" t="s">
        <v>338</v>
      </c>
      <c r="B107" s="464"/>
      <c r="C107" s="465">
        <v>44350</v>
      </c>
      <c r="D107" s="464" t="s">
        <v>66</v>
      </c>
      <c r="E107" s="464">
        <v>30</v>
      </c>
      <c r="F107" s="464">
        <v>45</v>
      </c>
      <c r="G107" s="464" t="s">
        <v>172</v>
      </c>
      <c r="H107" s="466" t="s">
        <v>50</v>
      </c>
      <c r="I107" s="446" t="s">
        <v>45</v>
      </c>
      <c r="J107" s="446">
        <v>23</v>
      </c>
      <c r="K107" s="446" t="s">
        <v>553</v>
      </c>
      <c r="L107" s="464" t="str">
        <f t="shared" si="54"/>
        <v>44350S-11251</v>
      </c>
      <c r="M107" s="464"/>
      <c r="N107" s="466"/>
      <c r="O107" s="466">
        <f>653/2</f>
        <v>326.5</v>
      </c>
      <c r="P107" s="430">
        <f t="shared" si="46"/>
        <v>187.5</v>
      </c>
      <c r="Q107" s="430" t="str">
        <f t="shared" si="47"/>
        <v/>
      </c>
      <c r="R107" s="430" t="str">
        <f t="shared" si="48"/>
        <v/>
      </c>
      <c r="S107" s="430" t="str">
        <f t="shared" si="49"/>
        <v/>
      </c>
      <c r="T107" s="430" t="str">
        <f t="shared" si="50"/>
        <v/>
      </c>
      <c r="U107" s="430" t="str">
        <f t="shared" si="51"/>
        <v/>
      </c>
      <c r="V107" s="430" t="str">
        <f t="shared" si="52"/>
        <v/>
      </c>
      <c r="W107" s="430">
        <f t="shared" si="53"/>
        <v>1688</v>
      </c>
      <c r="X107" s="449"/>
      <c r="Z107" s="450"/>
      <c r="AA107" s="449"/>
      <c r="AB107" s="451"/>
      <c r="AC107" s="450"/>
      <c r="AD107" s="449"/>
      <c r="AE107" s="451"/>
      <c r="AF107" s="450"/>
      <c r="AG107" s="449"/>
      <c r="AH107" s="451"/>
      <c r="AI107" s="450"/>
      <c r="AJ107" s="449"/>
      <c r="AK107" s="451"/>
      <c r="AL107" s="450"/>
      <c r="AM107" s="449"/>
      <c r="AN107" s="451"/>
      <c r="AO107" s="450"/>
      <c r="AP107" s="449"/>
      <c r="AQ107" s="451"/>
      <c r="AR107" s="449"/>
      <c r="AS107" s="449"/>
      <c r="AT107" s="451"/>
      <c r="AU107" s="449"/>
      <c r="AV107" s="451"/>
      <c r="AW107" s="449"/>
      <c r="AX107" s="449"/>
      <c r="AY107" s="449"/>
      <c r="AZ107" s="449"/>
      <c r="BA107" s="449"/>
      <c r="BB107" s="449"/>
      <c r="BC107" s="449"/>
      <c r="BD107" s="449"/>
      <c r="BE107" s="449"/>
      <c r="BF107" s="449"/>
      <c r="BG107" s="449"/>
      <c r="BH107" s="449"/>
      <c r="BI107" s="449"/>
      <c r="BJ107" s="449"/>
      <c r="BK107" s="449"/>
      <c r="BL107" s="449"/>
      <c r="BM107" s="449"/>
      <c r="BN107" s="449"/>
    </row>
    <row r="108" spans="1:66" ht="13.15" x14ac:dyDescent="0.4">
      <c r="A108" s="469" t="s">
        <v>609</v>
      </c>
      <c r="B108" s="430"/>
      <c r="C108" s="463">
        <v>44350</v>
      </c>
      <c r="D108" s="430" t="s">
        <v>66</v>
      </c>
      <c r="E108" s="430">
        <v>20</v>
      </c>
      <c r="F108" s="430">
        <v>28</v>
      </c>
      <c r="G108" s="430" t="s">
        <v>128</v>
      </c>
      <c r="H108" s="461" t="s">
        <v>50</v>
      </c>
      <c r="I108" s="438" t="s">
        <v>45</v>
      </c>
      <c r="J108" s="438">
        <v>8</v>
      </c>
      <c r="K108" s="438" t="s">
        <v>589</v>
      </c>
      <c r="L108" s="430" t="str">
        <f t="shared" si="54"/>
        <v>44350S-4947</v>
      </c>
      <c r="M108" s="430"/>
      <c r="N108" s="461"/>
      <c r="O108" s="461">
        <v>326.5</v>
      </c>
      <c r="P108" s="430">
        <f t="shared" si="46"/>
        <v>120</v>
      </c>
      <c r="Q108" s="430" t="str">
        <f t="shared" si="47"/>
        <v/>
      </c>
      <c r="R108" s="430" t="str">
        <f t="shared" si="48"/>
        <v/>
      </c>
      <c r="S108" s="430" t="str">
        <f t="shared" si="49"/>
        <v/>
      </c>
      <c r="T108" s="430" t="str">
        <f t="shared" si="50"/>
        <v/>
      </c>
      <c r="U108" s="430" t="str">
        <f t="shared" si="51"/>
        <v/>
      </c>
      <c r="V108" s="430" t="str">
        <f t="shared" si="52"/>
        <v/>
      </c>
      <c r="W108" s="430">
        <f t="shared" si="53"/>
        <v>700</v>
      </c>
      <c r="X108" s="449"/>
      <c r="Z108" s="450"/>
      <c r="AA108" s="449"/>
      <c r="AB108" s="451"/>
      <c r="AC108" s="450"/>
      <c r="AD108" s="449"/>
      <c r="AE108" s="451"/>
      <c r="AF108" s="450"/>
      <c r="AG108" s="449"/>
      <c r="AH108" s="451"/>
      <c r="AI108" s="450"/>
      <c r="AJ108" s="449"/>
      <c r="AK108" s="451"/>
      <c r="AL108" s="450"/>
      <c r="AM108" s="449"/>
      <c r="AN108" s="451"/>
      <c r="AO108" s="450"/>
      <c r="AP108" s="449"/>
      <c r="AQ108" s="451"/>
      <c r="AR108" s="449"/>
      <c r="AS108" s="449"/>
      <c r="AT108" s="451"/>
      <c r="AU108" s="449"/>
      <c r="AV108" s="451"/>
      <c r="AW108" s="449"/>
      <c r="AX108" s="449"/>
      <c r="AY108" s="449"/>
      <c r="AZ108" s="449"/>
      <c r="BA108" s="449"/>
      <c r="BB108" s="449"/>
      <c r="BC108" s="449"/>
      <c r="BD108" s="449"/>
      <c r="BE108" s="449"/>
      <c r="BF108" s="449"/>
      <c r="BG108" s="449"/>
      <c r="BH108" s="449"/>
      <c r="BI108" s="449"/>
      <c r="BJ108" s="449"/>
      <c r="BK108" s="449"/>
      <c r="BL108" s="449"/>
      <c r="BM108" s="449"/>
      <c r="BN108" s="449"/>
    </row>
    <row r="109" spans="1:66" ht="13.15" x14ac:dyDescent="0.4">
      <c r="A109" s="469" t="s">
        <v>597</v>
      </c>
      <c r="B109" s="430"/>
      <c r="C109" s="463">
        <v>44350</v>
      </c>
      <c r="D109" s="430" t="s">
        <v>66</v>
      </c>
      <c r="E109" s="430">
        <v>30</v>
      </c>
      <c r="F109" s="430">
        <v>40</v>
      </c>
      <c r="G109" s="430" t="s">
        <v>114</v>
      </c>
      <c r="H109" s="461" t="s">
        <v>50</v>
      </c>
      <c r="I109" s="438" t="s">
        <v>45</v>
      </c>
      <c r="J109" s="438">
        <v>15</v>
      </c>
      <c r="K109" s="438" t="s">
        <v>586</v>
      </c>
      <c r="L109" s="430" t="str">
        <f t="shared" si="54"/>
        <v>44350S-4929</v>
      </c>
      <c r="M109" s="430"/>
      <c r="N109" s="461"/>
      <c r="O109" s="461">
        <v>344.8</v>
      </c>
      <c r="P109" s="430">
        <f t="shared" si="46"/>
        <v>175</v>
      </c>
      <c r="Q109" s="430" t="str">
        <f t="shared" si="47"/>
        <v/>
      </c>
      <c r="R109" s="430" t="str">
        <f t="shared" si="48"/>
        <v/>
      </c>
      <c r="S109" s="430" t="str">
        <f t="shared" si="49"/>
        <v/>
      </c>
      <c r="T109" s="430" t="str">
        <f t="shared" si="50"/>
        <v/>
      </c>
      <c r="U109" s="430" t="str">
        <f t="shared" si="51"/>
        <v/>
      </c>
      <c r="V109" s="430" t="str">
        <f t="shared" si="52"/>
        <v/>
      </c>
      <c r="W109" s="430">
        <f t="shared" si="53"/>
        <v>1500</v>
      </c>
      <c r="X109" s="449"/>
      <c r="Z109" s="450"/>
      <c r="AA109" s="449"/>
      <c r="AB109" s="451"/>
      <c r="AC109" s="450"/>
      <c r="AD109" s="449"/>
      <c r="AE109" s="451"/>
      <c r="AF109" s="450"/>
      <c r="AG109" s="449"/>
      <c r="AH109" s="451"/>
      <c r="AI109" s="450"/>
      <c r="AJ109" s="449"/>
      <c r="AK109" s="451"/>
      <c r="AL109" s="450"/>
      <c r="AM109" s="449"/>
      <c r="AN109" s="451"/>
      <c r="AO109" s="450"/>
      <c r="AP109" s="449"/>
      <c r="AQ109" s="451"/>
      <c r="AR109" s="449"/>
      <c r="AS109" s="449"/>
      <c r="AT109" s="451"/>
      <c r="AU109" s="449"/>
      <c r="AV109" s="451"/>
      <c r="AW109" s="449"/>
      <c r="AX109" s="449"/>
      <c r="AY109" s="449"/>
      <c r="AZ109" s="449"/>
      <c r="BA109" s="449"/>
      <c r="BB109" s="449"/>
      <c r="BC109" s="449"/>
      <c r="BD109" s="449"/>
      <c r="BE109" s="449"/>
      <c r="BF109" s="449"/>
      <c r="BG109" s="449"/>
      <c r="BH109" s="449"/>
      <c r="BI109" s="449"/>
      <c r="BJ109" s="449"/>
      <c r="BK109" s="449"/>
      <c r="BL109" s="449"/>
      <c r="BM109" s="449"/>
      <c r="BN109" s="449"/>
    </row>
    <row r="110" spans="1:66" ht="13.15" x14ac:dyDescent="0.4">
      <c r="A110" s="469" t="s">
        <v>525</v>
      </c>
      <c r="B110" s="430"/>
      <c r="C110" s="463">
        <v>44350</v>
      </c>
      <c r="D110" s="430" t="s">
        <v>66</v>
      </c>
      <c r="E110" s="430">
        <v>20</v>
      </c>
      <c r="F110" s="430">
        <v>37</v>
      </c>
      <c r="G110" s="430" t="s">
        <v>173</v>
      </c>
      <c r="H110" s="461" t="s">
        <v>558</v>
      </c>
      <c r="I110" s="438" t="s">
        <v>45</v>
      </c>
      <c r="J110" s="438">
        <v>2</v>
      </c>
      <c r="K110" s="438" t="s">
        <v>84</v>
      </c>
      <c r="L110" s="430" t="str">
        <f t="shared" si="54"/>
        <v>44350S-14049</v>
      </c>
      <c r="M110" s="430"/>
      <c r="N110" s="461"/>
      <c r="O110" s="461">
        <v>298.13</v>
      </c>
      <c r="P110" s="430">
        <f t="shared" si="46"/>
        <v>142.5</v>
      </c>
      <c r="Q110" s="430" t="str">
        <f t="shared" si="47"/>
        <v/>
      </c>
      <c r="R110" s="430" t="str">
        <f t="shared" si="48"/>
        <v/>
      </c>
      <c r="S110" s="430" t="str">
        <f t="shared" si="49"/>
        <v/>
      </c>
      <c r="T110" s="430" t="str">
        <f t="shared" si="50"/>
        <v/>
      </c>
      <c r="U110" s="430" t="str">
        <f t="shared" si="51"/>
        <v/>
      </c>
      <c r="V110" s="430" t="str">
        <f t="shared" si="52"/>
        <v/>
      </c>
      <c r="W110" s="430">
        <f t="shared" si="53"/>
        <v>925</v>
      </c>
      <c r="X110" s="449"/>
      <c r="Z110" s="450"/>
      <c r="AA110" s="449"/>
      <c r="AB110" s="451"/>
      <c r="AC110" s="450"/>
      <c r="AD110" s="449"/>
      <c r="AE110" s="451"/>
      <c r="AF110" s="450"/>
      <c r="AG110" s="449"/>
      <c r="AH110" s="451"/>
      <c r="AI110" s="450"/>
      <c r="AJ110" s="449"/>
      <c r="AK110" s="451"/>
      <c r="AL110" s="450"/>
      <c r="AM110" s="449"/>
      <c r="AN110" s="451"/>
      <c r="AO110" s="450"/>
      <c r="AP110" s="449"/>
      <c r="AQ110" s="451"/>
      <c r="AR110" s="449"/>
      <c r="AS110" s="449"/>
      <c r="AT110" s="451"/>
      <c r="AU110" s="449"/>
      <c r="AV110" s="451"/>
      <c r="AW110" s="449"/>
      <c r="AX110" s="449"/>
      <c r="AY110" s="449"/>
      <c r="AZ110" s="449"/>
      <c r="BA110" s="449"/>
      <c r="BB110" s="449"/>
      <c r="BC110" s="449"/>
      <c r="BD110" s="449"/>
      <c r="BE110" s="449"/>
      <c r="BF110" s="449"/>
      <c r="BG110" s="449"/>
      <c r="BH110" s="449"/>
      <c r="BI110" s="449"/>
      <c r="BJ110" s="449"/>
      <c r="BK110" s="449"/>
      <c r="BL110" s="449"/>
      <c r="BM110" s="449"/>
      <c r="BN110" s="449"/>
    </row>
    <row r="111" spans="1:66" ht="13.15" x14ac:dyDescent="0.4">
      <c r="A111" s="469" t="s">
        <v>610</v>
      </c>
      <c r="B111" s="430"/>
      <c r="C111" s="463">
        <v>44350</v>
      </c>
      <c r="D111" s="430" t="s">
        <v>66</v>
      </c>
      <c r="E111" s="430">
        <v>36</v>
      </c>
      <c r="F111" s="430">
        <v>47</v>
      </c>
      <c r="G111" s="430" t="s">
        <v>174</v>
      </c>
      <c r="H111" s="461" t="s">
        <v>50</v>
      </c>
      <c r="I111" s="438" t="s">
        <v>45</v>
      </c>
      <c r="J111" s="438">
        <v>25</v>
      </c>
      <c r="K111" s="438" t="s">
        <v>553</v>
      </c>
      <c r="L111" s="430" t="str">
        <f t="shared" si="54"/>
        <v>44350S-11251</v>
      </c>
      <c r="M111" s="430"/>
      <c r="N111" s="461"/>
      <c r="O111" s="461">
        <v>623.44000000000005</v>
      </c>
      <c r="P111" s="430">
        <f t="shared" si="46"/>
        <v>207.5</v>
      </c>
      <c r="Q111" s="430" t="str">
        <f t="shared" si="47"/>
        <v/>
      </c>
      <c r="R111" s="430" t="str">
        <f t="shared" si="48"/>
        <v/>
      </c>
      <c r="S111" s="430" t="str">
        <f t="shared" si="49"/>
        <v/>
      </c>
      <c r="T111" s="430" t="str">
        <f t="shared" si="50"/>
        <v/>
      </c>
      <c r="U111" s="430" t="str">
        <f t="shared" si="51"/>
        <v/>
      </c>
      <c r="V111" s="430" t="str">
        <f t="shared" si="52"/>
        <v/>
      </c>
      <c r="W111" s="430">
        <f t="shared" si="53"/>
        <v>2115</v>
      </c>
      <c r="X111" s="449"/>
      <c r="Z111" s="450"/>
      <c r="AA111" s="449"/>
      <c r="AB111" s="451"/>
      <c r="AC111" s="450"/>
      <c r="AD111" s="449"/>
      <c r="AE111" s="451"/>
      <c r="AF111" s="450"/>
      <c r="AG111" s="449"/>
      <c r="AH111" s="451"/>
      <c r="AI111" s="450"/>
      <c r="AJ111" s="449"/>
      <c r="AK111" s="451"/>
      <c r="AL111" s="450"/>
      <c r="AM111" s="449"/>
      <c r="AN111" s="451"/>
      <c r="AO111" s="450"/>
      <c r="AP111" s="449"/>
      <c r="AQ111" s="451"/>
      <c r="AR111" s="449"/>
      <c r="AS111" s="449"/>
      <c r="AT111" s="451"/>
      <c r="AU111" s="449"/>
      <c r="AV111" s="451"/>
      <c r="AW111" s="449"/>
      <c r="AX111" s="449"/>
      <c r="AY111" s="449"/>
      <c r="AZ111" s="449"/>
      <c r="BA111" s="449"/>
      <c r="BB111" s="449"/>
      <c r="BC111" s="449"/>
      <c r="BD111" s="449"/>
      <c r="BE111" s="449"/>
      <c r="BF111" s="449"/>
      <c r="BG111" s="449"/>
      <c r="BH111" s="449"/>
      <c r="BI111" s="449"/>
      <c r="BJ111" s="449"/>
      <c r="BK111" s="449"/>
      <c r="BL111" s="449"/>
      <c r="BM111" s="449"/>
      <c r="BN111" s="449"/>
    </row>
    <row r="112" spans="1:66" ht="13.15" x14ac:dyDescent="0.4">
      <c r="A112" s="469" t="s">
        <v>611</v>
      </c>
      <c r="B112" s="430"/>
      <c r="C112" s="463">
        <v>44350</v>
      </c>
      <c r="D112" s="430" t="s">
        <v>66</v>
      </c>
      <c r="E112" s="430">
        <v>34</v>
      </c>
      <c r="F112" s="430">
        <v>46</v>
      </c>
      <c r="G112" s="430" t="s">
        <v>177</v>
      </c>
      <c r="H112" s="461" t="s">
        <v>50</v>
      </c>
      <c r="I112" s="438" t="s">
        <v>45</v>
      </c>
      <c r="J112" s="438">
        <v>25</v>
      </c>
      <c r="K112" s="438" t="s">
        <v>553</v>
      </c>
      <c r="L112" s="430" t="str">
        <f t="shared" si="54"/>
        <v>44350S-11251</v>
      </c>
      <c r="M112" s="430"/>
      <c r="N112" s="461"/>
      <c r="O112" s="461">
        <v>515.16999999999996</v>
      </c>
      <c r="P112" s="430">
        <f t="shared" si="46"/>
        <v>200</v>
      </c>
      <c r="Q112" s="430" t="str">
        <f t="shared" si="47"/>
        <v/>
      </c>
      <c r="R112" s="430" t="str">
        <f t="shared" si="48"/>
        <v/>
      </c>
      <c r="S112" s="430" t="str">
        <f t="shared" si="49"/>
        <v/>
      </c>
      <c r="T112" s="430" t="str">
        <f t="shared" si="50"/>
        <v/>
      </c>
      <c r="U112" s="430" t="str">
        <f t="shared" si="51"/>
        <v/>
      </c>
      <c r="V112" s="430" t="str">
        <f t="shared" si="52"/>
        <v/>
      </c>
      <c r="W112" s="430">
        <f t="shared" si="53"/>
        <v>1955</v>
      </c>
      <c r="X112" s="449"/>
      <c r="Z112" s="450"/>
      <c r="AA112" s="449"/>
      <c r="AB112" s="451"/>
      <c r="AC112" s="450"/>
      <c r="AD112" s="449"/>
      <c r="AE112" s="451"/>
      <c r="AF112" s="450"/>
      <c r="AG112" s="449"/>
      <c r="AH112" s="451"/>
      <c r="AI112" s="450"/>
      <c r="AJ112" s="449"/>
      <c r="AK112" s="451"/>
      <c r="AL112" s="450"/>
      <c r="AM112" s="449"/>
      <c r="AN112" s="451"/>
      <c r="AO112" s="450"/>
      <c r="AP112" s="449"/>
      <c r="AQ112" s="451"/>
      <c r="AR112" s="449"/>
      <c r="AS112" s="449"/>
      <c r="AT112" s="451"/>
      <c r="AU112" s="449"/>
      <c r="AV112" s="451"/>
      <c r="AW112" s="449"/>
      <c r="AX112" s="449"/>
      <c r="AY112" s="449"/>
      <c r="AZ112" s="449"/>
      <c r="BA112" s="449"/>
      <c r="BB112" s="449"/>
      <c r="BC112" s="449"/>
      <c r="BD112" s="449"/>
      <c r="BE112" s="449"/>
      <c r="BF112" s="449"/>
      <c r="BG112" s="449"/>
      <c r="BH112" s="449"/>
      <c r="BI112" s="449"/>
      <c r="BJ112" s="449"/>
      <c r="BK112" s="449"/>
      <c r="BL112" s="449"/>
      <c r="BM112" s="449"/>
      <c r="BN112" s="449"/>
    </row>
    <row r="113" spans="1:66" ht="13.15" x14ac:dyDescent="0.4">
      <c r="A113" s="469" t="s">
        <v>612</v>
      </c>
      <c r="B113" s="430"/>
      <c r="C113" s="463">
        <v>44350</v>
      </c>
      <c r="D113" s="430" t="s">
        <v>66</v>
      </c>
      <c r="E113" s="430">
        <v>15</v>
      </c>
      <c r="F113" s="430">
        <v>23</v>
      </c>
      <c r="G113" s="430" t="s">
        <v>110</v>
      </c>
      <c r="H113" s="461" t="s">
        <v>50</v>
      </c>
      <c r="I113" s="438" t="s">
        <v>45</v>
      </c>
      <c r="J113" s="438">
        <v>6</v>
      </c>
      <c r="K113" s="438" t="s">
        <v>577</v>
      </c>
      <c r="L113" s="430" t="str">
        <f t="shared" si="54"/>
        <v>44350S-4553</v>
      </c>
      <c r="M113" s="430"/>
      <c r="N113" s="461"/>
      <c r="O113" s="461">
        <v>200.3</v>
      </c>
      <c r="P113" s="430">
        <f t="shared" si="46"/>
        <v>95</v>
      </c>
      <c r="Q113" s="430" t="str">
        <f t="shared" si="47"/>
        <v/>
      </c>
      <c r="R113" s="430" t="str">
        <f t="shared" si="48"/>
        <v/>
      </c>
      <c r="S113" s="430" t="str">
        <f t="shared" si="49"/>
        <v/>
      </c>
      <c r="T113" s="430" t="str">
        <f t="shared" si="50"/>
        <v/>
      </c>
      <c r="U113" s="430" t="str">
        <f t="shared" si="51"/>
        <v/>
      </c>
      <c r="V113" s="430" t="str">
        <f t="shared" si="52"/>
        <v/>
      </c>
      <c r="W113" s="430">
        <f t="shared" si="53"/>
        <v>432</v>
      </c>
      <c r="X113" s="449"/>
      <c r="Z113" s="450"/>
      <c r="AA113" s="449"/>
      <c r="AB113" s="451"/>
      <c r="AC113" s="450"/>
      <c r="AD113" s="449"/>
      <c r="AE113" s="451"/>
      <c r="AF113" s="450"/>
      <c r="AG113" s="449"/>
      <c r="AH113" s="451"/>
      <c r="AI113" s="450"/>
      <c r="AJ113" s="449"/>
      <c r="AK113" s="451"/>
      <c r="AL113" s="450"/>
      <c r="AM113" s="449"/>
      <c r="AN113" s="451"/>
      <c r="AO113" s="450"/>
      <c r="AP113" s="449"/>
      <c r="AQ113" s="451"/>
      <c r="AR113" s="449"/>
      <c r="AS113" s="449"/>
      <c r="AT113" s="451"/>
      <c r="AU113" s="449"/>
      <c r="AV113" s="451"/>
      <c r="AW113" s="449"/>
      <c r="AX113" s="449"/>
      <c r="AY113" s="449"/>
      <c r="AZ113" s="449"/>
      <c r="BA113" s="449"/>
      <c r="BB113" s="449"/>
      <c r="BC113" s="449"/>
      <c r="BD113" s="449"/>
      <c r="BE113" s="449"/>
      <c r="BF113" s="449"/>
      <c r="BG113" s="449"/>
      <c r="BH113" s="449"/>
      <c r="BI113" s="449"/>
      <c r="BJ113" s="449"/>
      <c r="BK113" s="449"/>
      <c r="BL113" s="449"/>
      <c r="BM113" s="449"/>
      <c r="BN113" s="449"/>
    </row>
    <row r="114" spans="1:66" ht="13.15" x14ac:dyDescent="0.4">
      <c r="A114" s="469" t="s">
        <v>488</v>
      </c>
      <c r="B114" s="430"/>
      <c r="C114" s="463">
        <v>44350</v>
      </c>
      <c r="D114" s="430" t="s">
        <v>66</v>
      </c>
      <c r="E114" s="430">
        <v>34</v>
      </c>
      <c r="F114" s="430">
        <v>34</v>
      </c>
      <c r="G114" s="430" t="s">
        <v>180</v>
      </c>
      <c r="H114" s="461" t="s">
        <v>50</v>
      </c>
      <c r="I114" s="438" t="s">
        <v>45</v>
      </c>
      <c r="J114" s="438">
        <v>14</v>
      </c>
      <c r="K114" s="438" t="s">
        <v>586</v>
      </c>
      <c r="L114" s="430" t="str">
        <f t="shared" si="54"/>
        <v>44350S-4929</v>
      </c>
      <c r="M114" s="430"/>
      <c r="N114" s="461"/>
      <c r="O114" s="461">
        <v>404.16</v>
      </c>
      <c r="P114" s="430">
        <f t="shared" si="46"/>
        <v>170</v>
      </c>
      <c r="Q114" s="430" t="str">
        <f t="shared" si="47"/>
        <v/>
      </c>
      <c r="R114" s="430" t="str">
        <f t="shared" si="48"/>
        <v/>
      </c>
      <c r="S114" s="430" t="str">
        <f t="shared" si="49"/>
        <v/>
      </c>
      <c r="T114" s="430" t="str">
        <f t="shared" si="50"/>
        <v/>
      </c>
      <c r="U114" s="430" t="str">
        <f t="shared" si="51"/>
        <v/>
      </c>
      <c r="V114" s="430" t="str">
        <f t="shared" si="52"/>
        <v/>
      </c>
      <c r="W114" s="430">
        <f t="shared" si="53"/>
        <v>1445</v>
      </c>
      <c r="X114" s="449"/>
      <c r="Z114" s="450"/>
      <c r="AA114" s="449"/>
      <c r="AB114" s="451"/>
      <c r="AC114" s="450"/>
      <c r="AD114" s="449"/>
      <c r="AE114" s="451"/>
      <c r="AF114" s="450"/>
      <c r="AG114" s="449"/>
      <c r="AH114" s="451"/>
      <c r="AI114" s="450"/>
      <c r="AJ114" s="449"/>
      <c r="AK114" s="451"/>
      <c r="AL114" s="450"/>
      <c r="AM114" s="449"/>
      <c r="AN114" s="451"/>
      <c r="AO114" s="450"/>
      <c r="AP114" s="449"/>
      <c r="AQ114" s="451"/>
      <c r="AR114" s="449"/>
      <c r="AS114" s="449"/>
      <c r="AT114" s="451"/>
      <c r="AU114" s="449"/>
      <c r="AV114" s="451"/>
      <c r="AW114" s="449"/>
      <c r="AX114" s="449"/>
      <c r="AY114" s="449"/>
      <c r="AZ114" s="449"/>
      <c r="BA114" s="449"/>
      <c r="BB114" s="449"/>
      <c r="BC114" s="449"/>
      <c r="BD114" s="449"/>
      <c r="BE114" s="449"/>
      <c r="BF114" s="449"/>
      <c r="BG114" s="449"/>
      <c r="BH114" s="449"/>
      <c r="BI114" s="449"/>
      <c r="BJ114" s="449"/>
      <c r="BK114" s="449"/>
      <c r="BL114" s="449"/>
      <c r="BM114" s="449"/>
      <c r="BN114" s="449"/>
    </row>
    <row r="115" spans="1:66" ht="13.15" x14ac:dyDescent="0.4">
      <c r="A115" s="469" t="s">
        <v>613</v>
      </c>
      <c r="B115" s="430"/>
      <c r="C115" s="463">
        <v>44350</v>
      </c>
      <c r="D115" s="430" t="s">
        <v>66</v>
      </c>
      <c r="E115" s="430">
        <v>27</v>
      </c>
      <c r="F115" s="430">
        <v>43</v>
      </c>
      <c r="G115" s="430" t="s">
        <v>181</v>
      </c>
      <c r="H115" s="461" t="s">
        <v>50</v>
      </c>
      <c r="I115" s="438" t="s">
        <v>45</v>
      </c>
      <c r="J115" s="438">
        <v>22</v>
      </c>
      <c r="K115" s="438" t="s">
        <v>553</v>
      </c>
      <c r="L115" s="430" t="str">
        <f t="shared" si="54"/>
        <v>44350S-11251</v>
      </c>
      <c r="M115" s="430"/>
      <c r="N115" s="461"/>
      <c r="O115" s="461">
        <v>452</v>
      </c>
      <c r="P115" s="430">
        <f t="shared" si="46"/>
        <v>175</v>
      </c>
      <c r="Q115" s="430" t="str">
        <f t="shared" si="47"/>
        <v/>
      </c>
      <c r="R115" s="430" t="str">
        <f t="shared" si="48"/>
        <v/>
      </c>
      <c r="S115" s="430" t="str">
        <f t="shared" si="49"/>
        <v/>
      </c>
      <c r="T115" s="430" t="str">
        <f t="shared" si="50"/>
        <v/>
      </c>
      <c r="U115" s="430" t="str">
        <f t="shared" si="51"/>
        <v/>
      </c>
      <c r="V115" s="430" t="str">
        <f t="shared" si="52"/>
        <v/>
      </c>
      <c r="W115" s="430">
        <f t="shared" si="53"/>
        <v>1452</v>
      </c>
      <c r="X115" s="449"/>
      <c r="Z115" s="450"/>
      <c r="AA115" s="449"/>
      <c r="AB115" s="451"/>
      <c r="AC115" s="450"/>
      <c r="AD115" s="449"/>
      <c r="AE115" s="451"/>
      <c r="AF115" s="450"/>
      <c r="AG115" s="449"/>
      <c r="AH115" s="451"/>
      <c r="AI115" s="450"/>
      <c r="AJ115" s="449"/>
      <c r="AK115" s="451"/>
      <c r="AL115" s="450"/>
      <c r="AM115" s="449"/>
      <c r="AN115" s="451"/>
      <c r="AO115" s="450"/>
      <c r="AP115" s="449"/>
      <c r="AQ115" s="451"/>
      <c r="AR115" s="449"/>
      <c r="AS115" s="449"/>
      <c r="AT115" s="451"/>
      <c r="AU115" s="449"/>
      <c r="AV115" s="451"/>
      <c r="AW115" s="449"/>
      <c r="AX115" s="449"/>
      <c r="AY115" s="449"/>
      <c r="AZ115" s="449"/>
      <c r="BA115" s="449"/>
      <c r="BB115" s="449"/>
      <c r="BC115" s="449"/>
      <c r="BD115" s="449"/>
      <c r="BE115" s="449"/>
      <c r="BF115" s="449"/>
      <c r="BG115" s="449"/>
      <c r="BH115" s="449"/>
      <c r="BI115" s="449"/>
      <c r="BJ115" s="449"/>
      <c r="BK115" s="449"/>
      <c r="BL115" s="449"/>
      <c r="BM115" s="449"/>
      <c r="BN115" s="449"/>
    </row>
    <row r="116" spans="1:66" ht="13.15" x14ac:dyDescent="0.4">
      <c r="A116" s="469" t="s">
        <v>571</v>
      </c>
      <c r="B116" s="430"/>
      <c r="C116" s="463">
        <v>44350</v>
      </c>
      <c r="D116" s="430" t="s">
        <v>42</v>
      </c>
      <c r="E116" s="430">
        <v>22</v>
      </c>
      <c r="F116" s="430">
        <v>30</v>
      </c>
      <c r="G116" s="430" t="s">
        <v>218</v>
      </c>
      <c r="H116" s="461" t="s">
        <v>592</v>
      </c>
      <c r="I116" s="438" t="s">
        <v>216</v>
      </c>
      <c r="J116" s="438">
        <v>27</v>
      </c>
      <c r="K116" s="438" t="s">
        <v>480</v>
      </c>
      <c r="L116" s="430" t="str">
        <f t="shared" si="54"/>
        <v>44350S-17584</v>
      </c>
      <c r="M116" s="430"/>
      <c r="N116" s="461"/>
      <c r="O116" s="461">
        <v>9900</v>
      </c>
      <c r="P116" s="430">
        <f t="shared" si="46"/>
        <v>130</v>
      </c>
      <c r="Q116" s="430" t="str">
        <f t="shared" si="47"/>
        <v/>
      </c>
      <c r="R116" s="430" t="str">
        <f t="shared" si="48"/>
        <v/>
      </c>
      <c r="S116" s="430" t="str">
        <f t="shared" si="49"/>
        <v/>
      </c>
      <c r="T116" s="430" t="str">
        <f t="shared" si="50"/>
        <v/>
      </c>
      <c r="U116" s="430" t="str">
        <f t="shared" si="51"/>
        <v/>
      </c>
      <c r="V116" s="430" t="str">
        <f t="shared" si="52"/>
        <v/>
      </c>
      <c r="W116" s="430" t="str">
        <f t="shared" si="53"/>
        <v/>
      </c>
      <c r="X116" s="449"/>
      <c r="Z116" s="450"/>
      <c r="AA116" s="449"/>
      <c r="AB116" s="451"/>
      <c r="AC116" s="450"/>
      <c r="AD116" s="449"/>
      <c r="AE116" s="451"/>
      <c r="AF116" s="450"/>
      <c r="AG116" s="449"/>
      <c r="AH116" s="451"/>
      <c r="AI116" s="450"/>
      <c r="AJ116" s="449"/>
      <c r="AK116" s="451"/>
      <c r="AL116" s="450"/>
      <c r="AM116" s="449"/>
      <c r="AN116" s="451"/>
      <c r="AO116" s="450"/>
      <c r="AP116" s="449"/>
      <c r="AQ116" s="451"/>
      <c r="AR116" s="449"/>
      <c r="AS116" s="449"/>
      <c r="AT116" s="451"/>
      <c r="AU116" s="449"/>
      <c r="AV116" s="451"/>
      <c r="AW116" s="449"/>
      <c r="AX116" s="449"/>
      <c r="AY116" s="449"/>
      <c r="AZ116" s="449"/>
      <c r="BA116" s="449"/>
      <c r="BB116" s="449"/>
      <c r="BC116" s="449"/>
      <c r="BD116" s="449"/>
      <c r="BE116" s="449"/>
      <c r="BF116" s="449"/>
      <c r="BG116" s="449"/>
      <c r="BH116" s="449"/>
      <c r="BI116" s="449"/>
      <c r="BJ116" s="449"/>
      <c r="BK116" s="449"/>
      <c r="BL116" s="449"/>
      <c r="BM116" s="449"/>
      <c r="BN116" s="449"/>
    </row>
    <row r="117" spans="1:66" ht="13.15" x14ac:dyDescent="0.4">
      <c r="A117" s="469" t="s">
        <v>614</v>
      </c>
      <c r="B117" s="430"/>
      <c r="C117" s="463">
        <v>44350</v>
      </c>
      <c r="D117" s="430" t="s">
        <v>42</v>
      </c>
      <c r="E117" s="430">
        <v>36</v>
      </c>
      <c r="F117" s="430">
        <v>46</v>
      </c>
      <c r="G117" s="430" t="s">
        <v>284</v>
      </c>
      <c r="H117" s="461" t="s">
        <v>690</v>
      </c>
      <c r="I117" s="438" t="s">
        <v>158</v>
      </c>
      <c r="J117" s="438">
        <v>33</v>
      </c>
      <c r="K117" s="438" t="s">
        <v>553</v>
      </c>
      <c r="L117" s="430" t="str">
        <f t="shared" si="54"/>
        <v>44350S-11251</v>
      </c>
      <c r="M117" s="430"/>
      <c r="N117" s="461"/>
      <c r="O117" s="461">
        <v>0</v>
      </c>
      <c r="P117" s="430">
        <f t="shared" si="46"/>
        <v>205</v>
      </c>
      <c r="Q117" s="430">
        <f t="shared" si="47"/>
        <v>215</v>
      </c>
      <c r="R117" s="430" t="str">
        <f t="shared" si="48"/>
        <v/>
      </c>
      <c r="S117" s="430" t="str">
        <f t="shared" si="49"/>
        <v/>
      </c>
      <c r="T117" s="430" t="str">
        <f t="shared" si="50"/>
        <v/>
      </c>
      <c r="U117" s="430" t="str">
        <f t="shared" si="51"/>
        <v/>
      </c>
      <c r="V117" s="430" t="str">
        <f t="shared" si="52"/>
        <v/>
      </c>
      <c r="W117" s="430" t="str">
        <f t="shared" si="53"/>
        <v/>
      </c>
      <c r="X117" s="449"/>
      <c r="Z117" s="450"/>
      <c r="AA117" s="449"/>
      <c r="AB117" s="451"/>
      <c r="AC117" s="450"/>
      <c r="AD117" s="449"/>
      <c r="AE117" s="451"/>
      <c r="AF117" s="450"/>
      <c r="AG117" s="449"/>
      <c r="AH117" s="451"/>
      <c r="AI117" s="450"/>
      <c r="AJ117" s="449"/>
      <c r="AK117" s="451"/>
      <c r="AL117" s="450"/>
      <c r="AM117" s="449"/>
      <c r="AN117" s="451"/>
      <c r="AO117" s="450"/>
      <c r="AP117" s="449"/>
      <c r="AQ117" s="451"/>
      <c r="AR117" s="449"/>
      <c r="AS117" s="449"/>
      <c r="AT117" s="451"/>
      <c r="AU117" s="449"/>
      <c r="AV117" s="451"/>
      <c r="AW117" s="449"/>
      <c r="AX117" s="449"/>
      <c r="AY117" s="449"/>
      <c r="AZ117" s="449"/>
      <c r="BA117" s="449"/>
      <c r="BB117" s="449"/>
      <c r="BC117" s="449"/>
      <c r="BD117" s="449"/>
      <c r="BE117" s="449"/>
      <c r="BF117" s="449"/>
      <c r="BG117" s="449"/>
      <c r="BH117" s="449"/>
      <c r="BI117" s="449"/>
      <c r="BJ117" s="449"/>
      <c r="BK117" s="449"/>
      <c r="BL117" s="449"/>
      <c r="BM117" s="449"/>
      <c r="BN117" s="449"/>
    </row>
    <row r="118" spans="1:66" ht="13.15" x14ac:dyDescent="0.4">
      <c r="A118" s="469" t="s">
        <v>615</v>
      </c>
      <c r="B118" s="430"/>
      <c r="C118" s="463">
        <v>44350</v>
      </c>
      <c r="D118" s="430" t="s">
        <v>42</v>
      </c>
      <c r="E118" s="430">
        <v>36</v>
      </c>
      <c r="F118" s="430">
        <v>48</v>
      </c>
      <c r="G118" s="430" t="s">
        <v>124</v>
      </c>
      <c r="H118" s="461" t="s">
        <v>690</v>
      </c>
      <c r="I118" s="438" t="s">
        <v>369</v>
      </c>
      <c r="J118" s="438">
        <v>33</v>
      </c>
      <c r="K118" s="438" t="s">
        <v>553</v>
      </c>
      <c r="L118" s="430" t="str">
        <f t="shared" si="54"/>
        <v>44350S-11251</v>
      </c>
      <c r="M118" s="430"/>
      <c r="N118" s="461"/>
      <c r="O118" s="461">
        <v>0</v>
      </c>
      <c r="P118" s="430">
        <f t="shared" si="46"/>
        <v>210</v>
      </c>
      <c r="Q118" s="430">
        <f t="shared" si="47"/>
        <v>220</v>
      </c>
      <c r="R118" s="430" t="str">
        <f t="shared" si="48"/>
        <v/>
      </c>
      <c r="S118" s="430" t="str">
        <f t="shared" si="49"/>
        <v/>
      </c>
      <c r="T118" s="430" t="str">
        <f t="shared" si="50"/>
        <v/>
      </c>
      <c r="U118" s="430" t="str">
        <f t="shared" si="51"/>
        <v/>
      </c>
      <c r="V118" s="430" t="str">
        <f t="shared" si="52"/>
        <v/>
      </c>
      <c r="W118" s="430" t="str">
        <f t="shared" si="53"/>
        <v/>
      </c>
      <c r="X118" s="449"/>
      <c r="Z118" s="450"/>
      <c r="AA118" s="449"/>
      <c r="AB118" s="451"/>
      <c r="AC118" s="450"/>
      <c r="AD118" s="449"/>
      <c r="AE118" s="451"/>
      <c r="AF118" s="450"/>
      <c r="AG118" s="449"/>
      <c r="AH118" s="451"/>
      <c r="AI118" s="450"/>
      <c r="AJ118" s="449"/>
      <c r="AK118" s="451"/>
      <c r="AL118" s="450"/>
      <c r="AM118" s="449"/>
      <c r="AN118" s="451"/>
      <c r="AO118" s="450"/>
      <c r="AP118" s="449"/>
      <c r="AQ118" s="451"/>
      <c r="AR118" s="449"/>
      <c r="AS118" s="449"/>
      <c r="AT118" s="451"/>
      <c r="AU118" s="449"/>
      <c r="AV118" s="451"/>
      <c r="AW118" s="449"/>
      <c r="AX118" s="449"/>
      <c r="AY118" s="449"/>
      <c r="AZ118" s="449"/>
      <c r="BA118" s="449"/>
      <c r="BB118" s="449"/>
      <c r="BC118" s="449"/>
      <c r="BD118" s="449"/>
      <c r="BE118" s="449"/>
      <c r="BF118" s="449"/>
      <c r="BG118" s="449"/>
      <c r="BH118" s="449"/>
      <c r="BI118" s="449"/>
      <c r="BJ118" s="449"/>
      <c r="BK118" s="449"/>
      <c r="BL118" s="449"/>
      <c r="BM118" s="449"/>
      <c r="BN118" s="449"/>
    </row>
    <row r="119" spans="1:66" ht="13.15" x14ac:dyDescent="0.4">
      <c r="A119" s="430" t="s">
        <v>511</v>
      </c>
      <c r="B119" s="430"/>
      <c r="C119" s="463">
        <v>44350</v>
      </c>
      <c r="D119" s="430" t="s">
        <v>54</v>
      </c>
      <c r="E119" s="430">
        <v>24</v>
      </c>
      <c r="F119" s="430">
        <v>30</v>
      </c>
      <c r="G119" s="430" t="s">
        <v>111</v>
      </c>
      <c r="H119" s="461" t="s">
        <v>690</v>
      </c>
      <c r="I119" s="438" t="s">
        <v>283</v>
      </c>
      <c r="J119" s="438" t="s">
        <v>45</v>
      </c>
      <c r="K119" s="438" t="s">
        <v>45</v>
      </c>
      <c r="L119" s="430" t="str">
        <f t="shared" si="54"/>
        <v>44350N/A</v>
      </c>
      <c r="M119" s="430"/>
      <c r="N119" s="461"/>
      <c r="O119" s="461">
        <v>0</v>
      </c>
      <c r="P119" s="430" t="str">
        <f t="shared" si="46"/>
        <v/>
      </c>
      <c r="Q119" s="430" t="str">
        <f t="shared" si="47"/>
        <v/>
      </c>
      <c r="R119" s="430">
        <f t="shared" si="48"/>
        <v>145</v>
      </c>
      <c r="S119" s="430" t="str">
        <f t="shared" si="49"/>
        <v/>
      </c>
      <c r="T119" s="430" t="str">
        <f t="shared" si="50"/>
        <v/>
      </c>
      <c r="U119" s="430" t="str">
        <f t="shared" si="51"/>
        <v/>
      </c>
      <c r="V119" s="430" t="str">
        <f t="shared" si="52"/>
        <v/>
      </c>
      <c r="W119" s="430" t="str">
        <f t="shared" si="53"/>
        <v/>
      </c>
      <c r="X119" s="449"/>
      <c r="Z119" s="450"/>
      <c r="AA119" s="449"/>
      <c r="AB119" s="451"/>
      <c r="AC119" s="450"/>
      <c r="AD119" s="449"/>
      <c r="AE119" s="451"/>
      <c r="AF119" s="450"/>
      <c r="AG119" s="449"/>
      <c r="AH119" s="451"/>
      <c r="AI119" s="450"/>
      <c r="AJ119" s="449"/>
      <c r="AK119" s="451"/>
      <c r="AL119" s="450"/>
      <c r="AM119" s="449"/>
      <c r="AN119" s="451"/>
      <c r="AO119" s="450"/>
      <c r="AP119" s="449"/>
      <c r="AQ119" s="451"/>
      <c r="AR119" s="449"/>
      <c r="AS119" s="449"/>
      <c r="AT119" s="451"/>
      <c r="AU119" s="449"/>
      <c r="AV119" s="451"/>
      <c r="AW119" s="449"/>
      <c r="AX119" s="449"/>
      <c r="AY119" s="449"/>
      <c r="AZ119" s="449"/>
      <c r="BA119" s="449"/>
      <c r="BB119" s="449"/>
      <c r="BC119" s="449"/>
      <c r="BD119" s="449"/>
      <c r="BE119" s="449"/>
      <c r="BF119" s="449"/>
      <c r="BG119" s="449"/>
      <c r="BH119" s="449"/>
      <c r="BI119" s="449"/>
      <c r="BJ119" s="449"/>
      <c r="BK119" s="449"/>
      <c r="BL119" s="449"/>
      <c r="BM119" s="449"/>
      <c r="BN119" s="449"/>
    </row>
    <row r="120" spans="1:66" ht="13.15" x14ac:dyDescent="0.4">
      <c r="A120" s="430" t="s">
        <v>511</v>
      </c>
      <c r="B120" s="430"/>
      <c r="C120" s="463">
        <v>44350</v>
      </c>
      <c r="D120" s="430" t="s">
        <v>54</v>
      </c>
      <c r="E120" s="430">
        <v>32</v>
      </c>
      <c r="F120" s="430">
        <v>40</v>
      </c>
      <c r="G120" s="430" t="s">
        <v>71</v>
      </c>
      <c r="H120" s="461" t="s">
        <v>690</v>
      </c>
      <c r="I120" s="438" t="s">
        <v>280</v>
      </c>
      <c r="J120" s="438" t="s">
        <v>45</v>
      </c>
      <c r="K120" s="438" t="s">
        <v>45</v>
      </c>
      <c r="L120" s="430" t="str">
        <f t="shared" si="54"/>
        <v>44350N/A</v>
      </c>
      <c r="M120" s="430"/>
      <c r="N120" s="461"/>
      <c r="O120" s="461">
        <v>0</v>
      </c>
      <c r="P120" s="430" t="str">
        <f t="shared" si="46"/>
        <v/>
      </c>
      <c r="Q120" s="430" t="str">
        <f t="shared" si="47"/>
        <v/>
      </c>
      <c r="R120" s="430">
        <f t="shared" si="48"/>
        <v>190</v>
      </c>
      <c r="S120" s="430" t="str">
        <f t="shared" si="49"/>
        <v/>
      </c>
      <c r="T120" s="430" t="str">
        <f t="shared" si="50"/>
        <v/>
      </c>
      <c r="U120" s="430" t="str">
        <f t="shared" si="51"/>
        <v/>
      </c>
      <c r="V120" s="430" t="str">
        <f t="shared" si="52"/>
        <v/>
      </c>
      <c r="W120" s="430" t="str">
        <f t="shared" si="53"/>
        <v/>
      </c>
      <c r="X120" s="449"/>
      <c r="Z120" s="450"/>
      <c r="AA120" s="449"/>
      <c r="AB120" s="451"/>
      <c r="AC120" s="450"/>
      <c r="AD120" s="449"/>
      <c r="AE120" s="451"/>
      <c r="AF120" s="450"/>
      <c r="AG120" s="449"/>
      <c r="AH120" s="451"/>
      <c r="AI120" s="450"/>
      <c r="AJ120" s="449"/>
      <c r="AK120" s="451"/>
      <c r="AL120" s="450"/>
      <c r="AM120" s="449"/>
      <c r="AN120" s="451"/>
      <c r="AO120" s="450"/>
      <c r="AP120" s="449"/>
      <c r="AQ120" s="451"/>
      <c r="AR120" s="449"/>
      <c r="AS120" s="449"/>
      <c r="AT120" s="451"/>
      <c r="AU120" s="449"/>
      <c r="AV120" s="451"/>
      <c r="AW120" s="449"/>
      <c r="AX120" s="449"/>
      <c r="AY120" s="449"/>
      <c r="AZ120" s="449"/>
      <c r="BA120" s="449"/>
      <c r="BB120" s="449"/>
      <c r="BC120" s="449"/>
      <c r="BD120" s="449"/>
      <c r="BE120" s="449"/>
      <c r="BF120" s="449"/>
      <c r="BG120" s="449"/>
      <c r="BH120" s="449"/>
      <c r="BI120" s="449"/>
      <c r="BJ120" s="449"/>
      <c r="BK120" s="449"/>
      <c r="BL120" s="449"/>
      <c r="BM120" s="449"/>
      <c r="BN120" s="449"/>
    </row>
    <row r="121" spans="1:66" ht="13.15" x14ac:dyDescent="0.4">
      <c r="A121" s="469" t="s">
        <v>472</v>
      </c>
      <c r="B121" s="430" t="s">
        <v>616</v>
      </c>
      <c r="C121" s="463">
        <v>44350</v>
      </c>
      <c r="D121" s="430" t="s">
        <v>54</v>
      </c>
      <c r="E121" s="430">
        <v>36</v>
      </c>
      <c r="F121" s="430">
        <v>60</v>
      </c>
      <c r="G121" s="430" t="s">
        <v>185</v>
      </c>
      <c r="H121" s="461" t="s">
        <v>690</v>
      </c>
      <c r="I121" s="438" t="s">
        <v>544</v>
      </c>
      <c r="J121" s="438">
        <v>50</v>
      </c>
      <c r="K121" s="438" t="s">
        <v>484</v>
      </c>
      <c r="L121" s="430" t="str">
        <f t="shared" si="54"/>
        <v>44350S-16377</v>
      </c>
      <c r="M121" s="430"/>
      <c r="N121" s="461"/>
      <c r="O121" s="461">
        <v>0</v>
      </c>
      <c r="P121" s="430" t="str">
        <f t="shared" si="46"/>
        <v/>
      </c>
      <c r="Q121" s="430" t="str">
        <f t="shared" si="47"/>
        <v/>
      </c>
      <c r="R121" s="430">
        <f t="shared" si="48"/>
        <v>250</v>
      </c>
      <c r="S121" s="430" t="str">
        <f t="shared" si="49"/>
        <v/>
      </c>
      <c r="T121" s="430" t="str">
        <f t="shared" si="50"/>
        <v/>
      </c>
      <c r="U121" s="430" t="str">
        <f t="shared" si="51"/>
        <v/>
      </c>
      <c r="V121" s="430" t="str">
        <f t="shared" si="52"/>
        <v/>
      </c>
      <c r="W121" s="430" t="str">
        <f t="shared" si="53"/>
        <v/>
      </c>
      <c r="X121" s="449"/>
      <c r="Z121" s="450"/>
      <c r="AA121" s="449"/>
      <c r="AB121" s="451"/>
      <c r="AC121" s="450"/>
      <c r="AD121" s="449"/>
      <c r="AE121" s="451"/>
      <c r="AF121" s="450"/>
      <c r="AG121" s="449"/>
      <c r="AH121" s="451"/>
      <c r="AI121" s="450"/>
      <c r="AJ121" s="449"/>
      <c r="AK121" s="451"/>
      <c r="AL121" s="450"/>
      <c r="AM121" s="449"/>
      <c r="AN121" s="451"/>
      <c r="AO121" s="450"/>
      <c r="AP121" s="449"/>
      <c r="AQ121" s="451"/>
      <c r="AR121" s="449"/>
      <c r="AS121" s="449"/>
      <c r="AT121" s="451"/>
      <c r="AU121" s="449"/>
      <c r="AV121" s="451"/>
      <c r="AW121" s="449"/>
      <c r="AX121" s="449"/>
      <c r="AY121" s="449"/>
      <c r="AZ121" s="449"/>
      <c r="BA121" s="449"/>
      <c r="BB121" s="449"/>
      <c r="BC121" s="449"/>
      <c r="BD121" s="449"/>
      <c r="BE121" s="449"/>
      <c r="BF121" s="449"/>
      <c r="BG121" s="449"/>
      <c r="BH121" s="449"/>
      <c r="BI121" s="449"/>
      <c r="BJ121" s="449"/>
      <c r="BK121" s="449"/>
      <c r="BL121" s="449"/>
      <c r="BM121" s="449"/>
      <c r="BN121" s="449"/>
    </row>
    <row r="122" spans="1:66" ht="13.15" x14ac:dyDescent="0.4">
      <c r="A122" s="469" t="s">
        <v>483</v>
      </c>
      <c r="B122" s="430"/>
      <c r="C122" s="463">
        <v>44350</v>
      </c>
      <c r="D122" s="430" t="s">
        <v>54</v>
      </c>
      <c r="E122" s="430">
        <v>38</v>
      </c>
      <c r="F122" s="430">
        <v>60</v>
      </c>
      <c r="G122" s="430" t="s">
        <v>151</v>
      </c>
      <c r="H122" s="461" t="s">
        <v>690</v>
      </c>
      <c r="I122" s="438" t="s">
        <v>376</v>
      </c>
      <c r="J122" s="438">
        <v>50</v>
      </c>
      <c r="K122" s="438" t="s">
        <v>484</v>
      </c>
      <c r="L122" s="430" t="str">
        <f t="shared" si="54"/>
        <v>44350S-16377</v>
      </c>
      <c r="M122" s="430"/>
      <c r="N122" s="461"/>
      <c r="O122" s="461">
        <v>4675</v>
      </c>
      <c r="P122" s="430" t="str">
        <f t="shared" si="46"/>
        <v/>
      </c>
      <c r="Q122" s="430" t="str">
        <f t="shared" si="47"/>
        <v/>
      </c>
      <c r="R122" s="430">
        <f t="shared" si="48"/>
        <v>255</v>
      </c>
      <c r="S122" s="430" t="str">
        <f t="shared" si="49"/>
        <v/>
      </c>
      <c r="T122" s="430" t="str">
        <f t="shared" si="50"/>
        <v/>
      </c>
      <c r="U122" s="430" t="str">
        <f t="shared" si="51"/>
        <v/>
      </c>
      <c r="V122" s="430" t="str">
        <f t="shared" si="52"/>
        <v/>
      </c>
      <c r="W122" s="430" t="str">
        <f t="shared" si="53"/>
        <v/>
      </c>
      <c r="X122" s="449"/>
      <c r="Z122" s="450"/>
      <c r="AA122" s="449"/>
      <c r="AB122" s="451"/>
      <c r="AC122" s="450"/>
      <c r="AD122" s="449"/>
      <c r="AE122" s="451"/>
      <c r="AF122" s="450"/>
      <c r="AG122" s="449"/>
      <c r="AH122" s="451"/>
      <c r="AI122" s="450"/>
      <c r="AJ122" s="449"/>
      <c r="AK122" s="451"/>
      <c r="AL122" s="450"/>
      <c r="AM122" s="449"/>
      <c r="AN122" s="451"/>
      <c r="AO122" s="450"/>
      <c r="AP122" s="449"/>
      <c r="AQ122" s="451"/>
      <c r="AR122" s="449"/>
      <c r="AS122" s="449"/>
      <c r="AT122" s="451"/>
      <c r="AU122" s="449"/>
      <c r="AV122" s="451"/>
      <c r="AW122" s="449"/>
      <c r="AX122" s="449"/>
      <c r="AY122" s="449"/>
      <c r="AZ122" s="449"/>
      <c r="BA122" s="449"/>
      <c r="BB122" s="449"/>
      <c r="BC122" s="449"/>
      <c r="BD122" s="449"/>
      <c r="BE122" s="449"/>
      <c r="BF122" s="449"/>
      <c r="BG122" s="449"/>
      <c r="BH122" s="449"/>
      <c r="BI122" s="449"/>
      <c r="BJ122" s="449"/>
      <c r="BK122" s="449"/>
      <c r="BL122" s="449"/>
      <c r="BM122" s="449"/>
      <c r="BN122" s="449"/>
    </row>
    <row r="123" spans="1:66" ht="13.15" x14ac:dyDescent="0.4">
      <c r="A123" s="469" t="s">
        <v>618</v>
      </c>
      <c r="B123" s="430" t="s">
        <v>617</v>
      </c>
      <c r="C123" s="463">
        <v>44350</v>
      </c>
      <c r="D123" s="430" t="s">
        <v>42</v>
      </c>
      <c r="E123" s="430">
        <v>12</v>
      </c>
      <c r="F123" s="430">
        <v>16</v>
      </c>
      <c r="G123" s="430" t="s">
        <v>62</v>
      </c>
      <c r="H123" s="461" t="s">
        <v>619</v>
      </c>
      <c r="I123" s="438" t="s">
        <v>157</v>
      </c>
      <c r="J123" s="438">
        <v>16</v>
      </c>
      <c r="K123" s="438" t="s">
        <v>474</v>
      </c>
      <c r="L123" s="430" t="str">
        <f t="shared" si="54"/>
        <v>44350S-15176</v>
      </c>
      <c r="M123" s="430"/>
      <c r="N123" s="461"/>
      <c r="O123" s="461">
        <v>4800</v>
      </c>
      <c r="P123" s="430">
        <f t="shared" si="46"/>
        <v>70</v>
      </c>
      <c r="Q123" s="430" t="str">
        <f t="shared" si="47"/>
        <v/>
      </c>
      <c r="R123" s="430" t="str">
        <f t="shared" si="48"/>
        <v/>
      </c>
      <c r="S123" s="430" t="str">
        <f t="shared" si="49"/>
        <v/>
      </c>
      <c r="T123" s="430" t="str">
        <f t="shared" si="50"/>
        <v/>
      </c>
      <c r="U123" s="430" t="str">
        <f t="shared" si="51"/>
        <v/>
      </c>
      <c r="V123" s="430" t="str">
        <f t="shared" si="52"/>
        <v/>
      </c>
      <c r="W123" s="430" t="str">
        <f t="shared" si="53"/>
        <v/>
      </c>
      <c r="X123" s="449"/>
      <c r="Z123" s="450"/>
      <c r="AA123" s="449"/>
      <c r="AB123" s="451"/>
      <c r="AC123" s="450"/>
      <c r="AD123" s="449"/>
      <c r="AE123" s="451"/>
      <c r="AF123" s="450"/>
      <c r="AG123" s="449"/>
      <c r="AH123" s="451"/>
      <c r="AI123" s="450"/>
      <c r="AJ123" s="449"/>
      <c r="AK123" s="451"/>
      <c r="AL123" s="450"/>
      <c r="AM123" s="449"/>
      <c r="AN123" s="451"/>
      <c r="AO123" s="450"/>
      <c r="AP123" s="449"/>
      <c r="AQ123" s="451"/>
      <c r="AR123" s="449"/>
      <c r="AS123" s="449"/>
      <c r="AT123" s="451"/>
      <c r="AU123" s="449"/>
      <c r="AV123" s="451"/>
      <c r="AW123" s="449"/>
      <c r="AX123" s="449"/>
      <c r="AY123" s="449"/>
      <c r="AZ123" s="449"/>
      <c r="BA123" s="449"/>
      <c r="BB123" s="449"/>
      <c r="BC123" s="449"/>
      <c r="BD123" s="449"/>
      <c r="BE123" s="449"/>
      <c r="BF123" s="449"/>
      <c r="BG123" s="449"/>
      <c r="BH123" s="449"/>
      <c r="BI123" s="449"/>
      <c r="BJ123" s="449"/>
      <c r="BK123" s="449"/>
      <c r="BL123" s="449"/>
      <c r="BM123" s="449"/>
      <c r="BN123" s="449"/>
    </row>
    <row r="124" spans="1:66" ht="13.15" x14ac:dyDescent="0.4">
      <c r="A124" s="468" t="s">
        <v>620</v>
      </c>
      <c r="B124" s="464"/>
      <c r="C124" s="465">
        <v>44357</v>
      </c>
      <c r="D124" s="464" t="s">
        <v>42</v>
      </c>
      <c r="E124" s="464">
        <v>9</v>
      </c>
      <c r="F124" s="464">
        <v>12</v>
      </c>
      <c r="G124" s="464" t="s">
        <v>60</v>
      </c>
      <c r="H124" s="466" t="s">
        <v>621</v>
      </c>
      <c r="I124" s="446" t="s">
        <v>81</v>
      </c>
      <c r="J124" s="446">
        <v>11</v>
      </c>
      <c r="K124" s="446" t="s">
        <v>502</v>
      </c>
      <c r="L124" s="464" t="str">
        <f t="shared" si="54"/>
        <v>44357S-13272</v>
      </c>
      <c r="M124" s="464"/>
      <c r="N124" s="466"/>
      <c r="O124" s="466">
        <v>2500</v>
      </c>
      <c r="P124" s="430">
        <f t="shared" si="46"/>
        <v>52.5</v>
      </c>
      <c r="Q124" s="430" t="str">
        <f t="shared" si="47"/>
        <v/>
      </c>
      <c r="R124" s="430" t="str">
        <f t="shared" si="48"/>
        <v/>
      </c>
      <c r="S124" s="430" t="str">
        <f t="shared" si="49"/>
        <v/>
      </c>
      <c r="T124" s="430" t="str">
        <f t="shared" si="50"/>
        <v/>
      </c>
      <c r="U124" s="430" t="str">
        <f t="shared" si="51"/>
        <v/>
      </c>
      <c r="V124" s="430" t="str">
        <f t="shared" si="52"/>
        <v/>
      </c>
      <c r="W124" s="430" t="str">
        <f t="shared" si="53"/>
        <v/>
      </c>
      <c r="X124" s="449"/>
      <c r="Z124" s="450"/>
      <c r="AA124" s="449"/>
      <c r="AB124" s="451"/>
      <c r="AC124" s="450"/>
      <c r="AD124" s="449"/>
      <c r="AE124" s="451"/>
      <c r="AF124" s="450"/>
      <c r="AG124" s="449"/>
      <c r="AH124" s="451"/>
      <c r="AI124" s="450"/>
      <c r="AJ124" s="449"/>
      <c r="AK124" s="451"/>
      <c r="AL124" s="450"/>
      <c r="AM124" s="449"/>
      <c r="AN124" s="451"/>
      <c r="AO124" s="450"/>
      <c r="AP124" s="449"/>
      <c r="AQ124" s="451"/>
      <c r="AR124" s="449"/>
      <c r="AS124" s="449"/>
      <c r="AT124" s="451"/>
      <c r="AU124" s="449"/>
      <c r="AV124" s="451"/>
      <c r="AW124" s="449"/>
      <c r="AX124" s="449"/>
      <c r="AY124" s="449"/>
      <c r="AZ124" s="449"/>
      <c r="BA124" s="449"/>
      <c r="BB124" s="449"/>
      <c r="BC124" s="449"/>
      <c r="BD124" s="449"/>
      <c r="BE124" s="449"/>
      <c r="BF124" s="449"/>
      <c r="BG124" s="449"/>
      <c r="BH124" s="449"/>
      <c r="BI124" s="449"/>
      <c r="BJ124" s="449"/>
      <c r="BK124" s="449"/>
      <c r="BL124" s="449"/>
      <c r="BM124" s="449"/>
      <c r="BN124" s="449"/>
    </row>
    <row r="125" spans="1:66" ht="13.15" x14ac:dyDescent="0.4">
      <c r="A125" s="469" t="s">
        <v>432</v>
      </c>
      <c r="B125" s="430"/>
      <c r="C125" s="463">
        <v>44357</v>
      </c>
      <c r="D125" s="430" t="s">
        <v>66</v>
      </c>
      <c r="E125" s="430">
        <v>33</v>
      </c>
      <c r="F125" s="430">
        <v>50</v>
      </c>
      <c r="G125" s="430" t="s">
        <v>187</v>
      </c>
      <c r="H125" s="461" t="s">
        <v>1</v>
      </c>
      <c r="I125" s="438" t="s">
        <v>361</v>
      </c>
      <c r="J125" s="438">
        <v>31</v>
      </c>
      <c r="K125" s="438" t="s">
        <v>553</v>
      </c>
      <c r="L125" s="430" t="str">
        <f t="shared" si="54"/>
        <v>44357S-11251</v>
      </c>
      <c r="M125" s="430"/>
      <c r="N125" s="461"/>
      <c r="O125" s="461">
        <v>843.4</v>
      </c>
      <c r="P125" s="430">
        <f t="shared" si="46"/>
        <v>207.5</v>
      </c>
      <c r="Q125" s="430" t="str">
        <f t="shared" si="47"/>
        <v/>
      </c>
      <c r="R125" s="430" t="str">
        <f t="shared" si="48"/>
        <v/>
      </c>
      <c r="S125" s="430">
        <f t="shared" si="49"/>
        <v>217.5</v>
      </c>
      <c r="T125" s="430" t="str">
        <f t="shared" si="50"/>
        <v/>
      </c>
      <c r="U125" s="430" t="str">
        <f t="shared" si="51"/>
        <v/>
      </c>
      <c r="V125" s="430" t="str">
        <f t="shared" si="52"/>
        <v/>
      </c>
      <c r="W125" s="430">
        <f t="shared" si="53"/>
        <v>2063</v>
      </c>
      <c r="X125" s="449"/>
      <c r="Z125" s="450"/>
      <c r="AA125" s="449"/>
      <c r="AB125" s="451"/>
      <c r="AC125" s="450"/>
      <c r="AD125" s="449"/>
      <c r="AE125" s="451"/>
      <c r="AF125" s="450"/>
      <c r="AG125" s="449"/>
      <c r="AH125" s="451"/>
      <c r="AI125" s="450"/>
      <c r="AJ125" s="449"/>
      <c r="AK125" s="451"/>
      <c r="AL125" s="450"/>
      <c r="AM125" s="449"/>
      <c r="AN125" s="451"/>
      <c r="AO125" s="450"/>
      <c r="AP125" s="449"/>
      <c r="AQ125" s="451"/>
      <c r="AR125" s="449"/>
      <c r="AS125" s="449"/>
      <c r="AT125" s="451"/>
      <c r="AU125" s="449"/>
      <c r="AV125" s="451"/>
      <c r="AW125" s="449"/>
      <c r="AX125" s="449"/>
      <c r="AY125" s="449"/>
      <c r="AZ125" s="449"/>
      <c r="BA125" s="449"/>
      <c r="BB125" s="449"/>
      <c r="BC125" s="449"/>
      <c r="BD125" s="449"/>
      <c r="BE125" s="449"/>
      <c r="BF125" s="449"/>
      <c r="BG125" s="449"/>
      <c r="BH125" s="449"/>
      <c r="BI125" s="449"/>
      <c r="BJ125" s="449"/>
      <c r="BK125" s="449"/>
      <c r="BL125" s="449"/>
      <c r="BM125" s="449"/>
      <c r="BN125" s="449"/>
    </row>
    <row r="126" spans="1:66" ht="13.15" x14ac:dyDescent="0.4">
      <c r="A126" s="469" t="s">
        <v>622</v>
      </c>
      <c r="B126" s="430"/>
      <c r="C126" s="463">
        <v>44357</v>
      </c>
      <c r="D126" s="430" t="s">
        <v>66</v>
      </c>
      <c r="E126" s="430">
        <v>24</v>
      </c>
      <c r="F126" s="430">
        <v>30</v>
      </c>
      <c r="G126" s="430" t="s">
        <v>111</v>
      </c>
      <c r="H126" s="461" t="s">
        <v>50</v>
      </c>
      <c r="I126" s="438" t="s">
        <v>45</v>
      </c>
      <c r="J126" s="438">
        <v>9</v>
      </c>
      <c r="K126" s="438" t="s">
        <v>580</v>
      </c>
      <c r="L126" s="430" t="str">
        <f t="shared" si="54"/>
        <v>44357S-4554</v>
      </c>
      <c r="M126" s="430"/>
      <c r="N126" s="461"/>
      <c r="O126" s="461">
        <v>238</v>
      </c>
      <c r="P126" s="430">
        <f t="shared" si="46"/>
        <v>135</v>
      </c>
      <c r="Q126" s="430" t="str">
        <f t="shared" si="47"/>
        <v/>
      </c>
      <c r="R126" s="430" t="str">
        <f t="shared" si="48"/>
        <v/>
      </c>
      <c r="S126" s="430" t="str">
        <f t="shared" si="49"/>
        <v/>
      </c>
      <c r="T126" s="430" t="str">
        <f t="shared" si="50"/>
        <v/>
      </c>
      <c r="U126" s="430" t="str">
        <f t="shared" si="51"/>
        <v/>
      </c>
      <c r="V126" s="430" t="str">
        <f t="shared" si="52"/>
        <v/>
      </c>
      <c r="W126" s="430">
        <f t="shared" si="53"/>
        <v>900</v>
      </c>
      <c r="X126" s="449"/>
      <c r="Z126" s="450"/>
      <c r="AA126" s="449"/>
      <c r="AB126" s="451"/>
      <c r="AC126" s="450"/>
      <c r="AD126" s="449"/>
      <c r="AE126" s="451"/>
      <c r="AF126" s="450"/>
      <c r="AG126" s="449"/>
      <c r="AH126" s="451"/>
      <c r="AI126" s="450"/>
      <c r="AJ126" s="449"/>
      <c r="AK126" s="451"/>
      <c r="AL126" s="450"/>
      <c r="AM126" s="449"/>
      <c r="AN126" s="451"/>
      <c r="AO126" s="450"/>
      <c r="AP126" s="449"/>
      <c r="AQ126" s="451"/>
      <c r="AR126" s="449"/>
      <c r="AS126" s="449"/>
      <c r="AT126" s="451"/>
      <c r="AU126" s="449"/>
      <c r="AV126" s="451"/>
      <c r="AW126" s="449"/>
      <c r="AX126" s="449"/>
      <c r="AY126" s="449"/>
      <c r="AZ126" s="449"/>
      <c r="BA126" s="449"/>
      <c r="BB126" s="449"/>
      <c r="BC126" s="449"/>
      <c r="BD126" s="449"/>
      <c r="BE126" s="449"/>
      <c r="BF126" s="449"/>
      <c r="BG126" s="449"/>
      <c r="BH126" s="449"/>
      <c r="BI126" s="449"/>
      <c r="BJ126" s="449"/>
      <c r="BK126" s="449"/>
      <c r="BL126" s="449"/>
      <c r="BM126" s="449"/>
      <c r="BN126" s="449"/>
    </row>
    <row r="127" spans="1:66" ht="13.15" x14ac:dyDescent="0.4">
      <c r="A127" s="430" t="s">
        <v>612</v>
      </c>
      <c r="B127" s="430"/>
      <c r="C127" s="463">
        <v>44357</v>
      </c>
      <c r="D127" s="430" t="s">
        <v>42</v>
      </c>
      <c r="E127" s="430">
        <v>24</v>
      </c>
      <c r="F127" s="430">
        <v>36</v>
      </c>
      <c r="G127" s="430" t="s">
        <v>119</v>
      </c>
      <c r="H127" s="461" t="s">
        <v>690</v>
      </c>
      <c r="I127" s="438" t="s">
        <v>318</v>
      </c>
      <c r="J127" s="438" t="s">
        <v>45</v>
      </c>
      <c r="K127" s="438" t="s">
        <v>45</v>
      </c>
      <c r="L127" s="430" t="str">
        <f t="shared" si="54"/>
        <v>44357N/A</v>
      </c>
      <c r="M127" s="430"/>
      <c r="N127" s="461"/>
      <c r="O127" s="461">
        <v>0</v>
      </c>
      <c r="P127" s="430">
        <f t="shared" si="46"/>
        <v>150</v>
      </c>
      <c r="Q127" s="430">
        <f t="shared" si="47"/>
        <v>160</v>
      </c>
      <c r="R127" s="430" t="str">
        <f t="shared" si="48"/>
        <v/>
      </c>
      <c r="S127" s="430" t="str">
        <f t="shared" si="49"/>
        <v/>
      </c>
      <c r="T127" s="430" t="str">
        <f t="shared" si="50"/>
        <v/>
      </c>
      <c r="U127" s="430" t="str">
        <f t="shared" si="51"/>
        <v/>
      </c>
      <c r="V127" s="430" t="str">
        <f t="shared" si="52"/>
        <v/>
      </c>
      <c r="W127" s="430" t="str">
        <f t="shared" si="53"/>
        <v/>
      </c>
      <c r="X127" s="449"/>
      <c r="Z127" s="450"/>
      <c r="AA127" s="449"/>
      <c r="AB127" s="451"/>
      <c r="AC127" s="450"/>
      <c r="AD127" s="449"/>
      <c r="AE127" s="451"/>
      <c r="AF127" s="450"/>
      <c r="AG127" s="449"/>
      <c r="AH127" s="451"/>
      <c r="AI127" s="450"/>
      <c r="AJ127" s="449"/>
      <c r="AK127" s="451"/>
      <c r="AL127" s="450"/>
      <c r="AM127" s="449"/>
      <c r="AN127" s="451"/>
      <c r="AO127" s="450"/>
      <c r="AP127" s="449"/>
      <c r="AQ127" s="451"/>
      <c r="AR127" s="449"/>
      <c r="AS127" s="449"/>
      <c r="AT127" s="451"/>
      <c r="AU127" s="449"/>
      <c r="AV127" s="451"/>
      <c r="AW127" s="449"/>
      <c r="AX127" s="449"/>
      <c r="AY127" s="449"/>
      <c r="AZ127" s="449"/>
      <c r="BA127" s="449"/>
      <c r="BB127" s="449"/>
      <c r="BC127" s="449"/>
      <c r="BD127" s="449"/>
      <c r="BE127" s="449"/>
      <c r="BF127" s="449"/>
      <c r="BG127" s="449"/>
      <c r="BH127" s="449"/>
      <c r="BI127" s="449"/>
      <c r="BJ127" s="449"/>
      <c r="BK127" s="449"/>
      <c r="BL127" s="449"/>
      <c r="BM127" s="449"/>
      <c r="BN127" s="449"/>
    </row>
    <row r="128" spans="1:66" ht="13.15" x14ac:dyDescent="0.4">
      <c r="A128" s="430" t="s">
        <v>623</v>
      </c>
      <c r="B128" s="430"/>
      <c r="C128" s="463">
        <v>44357</v>
      </c>
      <c r="D128" s="430" t="s">
        <v>42</v>
      </c>
      <c r="E128" s="430">
        <v>24</v>
      </c>
      <c r="F128" s="430">
        <v>36</v>
      </c>
      <c r="G128" s="430" t="s">
        <v>119</v>
      </c>
      <c r="H128" s="461" t="s">
        <v>690</v>
      </c>
      <c r="I128" s="438" t="s">
        <v>318</v>
      </c>
      <c r="J128" s="438" t="s">
        <v>45</v>
      </c>
      <c r="K128" s="438" t="s">
        <v>45</v>
      </c>
      <c r="L128" s="430" t="str">
        <f t="shared" si="54"/>
        <v>44357N/A</v>
      </c>
      <c r="M128" s="430"/>
      <c r="N128" s="461"/>
      <c r="O128" s="461">
        <v>0</v>
      </c>
      <c r="P128" s="430">
        <f t="shared" si="46"/>
        <v>150</v>
      </c>
      <c r="Q128" s="430">
        <f t="shared" si="47"/>
        <v>160</v>
      </c>
      <c r="R128" s="430" t="str">
        <f t="shared" si="48"/>
        <v/>
      </c>
      <c r="S128" s="430" t="str">
        <f t="shared" si="49"/>
        <v/>
      </c>
      <c r="T128" s="430" t="str">
        <f t="shared" si="50"/>
        <v/>
      </c>
      <c r="U128" s="430" t="str">
        <f t="shared" si="51"/>
        <v/>
      </c>
      <c r="V128" s="430" t="str">
        <f t="shared" si="52"/>
        <v/>
      </c>
      <c r="W128" s="430" t="str">
        <f t="shared" si="53"/>
        <v/>
      </c>
      <c r="X128" s="449"/>
      <c r="Z128" s="450"/>
      <c r="AA128" s="449"/>
      <c r="AB128" s="451"/>
      <c r="AC128" s="450"/>
      <c r="AD128" s="449"/>
      <c r="AE128" s="451"/>
      <c r="AF128" s="450"/>
      <c r="AG128" s="449"/>
      <c r="AH128" s="451"/>
      <c r="AI128" s="450"/>
      <c r="AJ128" s="449"/>
      <c r="AK128" s="451"/>
      <c r="AL128" s="450"/>
      <c r="AM128" s="449"/>
      <c r="AN128" s="451"/>
      <c r="AO128" s="450"/>
      <c r="AP128" s="449"/>
      <c r="AQ128" s="451"/>
      <c r="AR128" s="449"/>
      <c r="AS128" s="449"/>
      <c r="AT128" s="451"/>
      <c r="AU128" s="449"/>
      <c r="AV128" s="451"/>
      <c r="AW128" s="449"/>
      <c r="AX128" s="449"/>
      <c r="AY128" s="449"/>
      <c r="AZ128" s="449"/>
      <c r="BA128" s="449"/>
      <c r="BB128" s="449"/>
      <c r="BC128" s="449"/>
      <c r="BD128" s="449"/>
      <c r="BE128" s="449"/>
      <c r="BF128" s="449"/>
      <c r="BG128" s="449"/>
      <c r="BH128" s="449"/>
      <c r="BI128" s="449"/>
      <c r="BJ128" s="449"/>
      <c r="BK128" s="449"/>
      <c r="BL128" s="449"/>
      <c r="BM128" s="449"/>
      <c r="BN128" s="449"/>
    </row>
    <row r="129" spans="1:66" ht="13.15" x14ac:dyDescent="0.4">
      <c r="A129" s="430" t="s">
        <v>624</v>
      </c>
      <c r="B129" s="430"/>
      <c r="C129" s="463">
        <v>44357</v>
      </c>
      <c r="D129" s="430" t="s">
        <v>42</v>
      </c>
      <c r="E129" s="430">
        <v>36</v>
      </c>
      <c r="F129" s="430">
        <v>60</v>
      </c>
      <c r="G129" s="430" t="s">
        <v>185</v>
      </c>
      <c r="H129" s="461" t="s">
        <v>690</v>
      </c>
      <c r="I129" s="438" t="s">
        <v>544</v>
      </c>
      <c r="J129" s="438" t="s">
        <v>45</v>
      </c>
      <c r="K129" s="438" t="s">
        <v>45</v>
      </c>
      <c r="L129" s="430" t="str">
        <f t="shared" si="54"/>
        <v>44357N/A</v>
      </c>
      <c r="M129" s="430"/>
      <c r="N129" s="461"/>
      <c r="O129" s="461">
        <v>0</v>
      </c>
      <c r="P129" s="430">
        <f t="shared" si="46"/>
        <v>240</v>
      </c>
      <c r="Q129" s="430">
        <f t="shared" si="47"/>
        <v>250</v>
      </c>
      <c r="R129" s="430" t="str">
        <f t="shared" si="48"/>
        <v/>
      </c>
      <c r="S129" s="430" t="str">
        <f t="shared" si="49"/>
        <v/>
      </c>
      <c r="T129" s="430" t="str">
        <f t="shared" si="50"/>
        <v/>
      </c>
      <c r="U129" s="430" t="str">
        <f t="shared" si="51"/>
        <v/>
      </c>
      <c r="V129" s="430" t="str">
        <f t="shared" si="52"/>
        <v/>
      </c>
      <c r="W129" s="430" t="str">
        <f t="shared" si="53"/>
        <v/>
      </c>
      <c r="X129" s="449"/>
      <c r="Z129" s="450"/>
      <c r="AA129" s="449"/>
      <c r="AB129" s="451"/>
      <c r="AC129" s="450"/>
      <c r="AD129" s="449"/>
      <c r="AE129" s="451"/>
      <c r="AF129" s="450"/>
      <c r="AG129" s="449"/>
      <c r="AH129" s="451"/>
      <c r="AI129" s="450"/>
      <c r="AJ129" s="449"/>
      <c r="AK129" s="451"/>
      <c r="AL129" s="450"/>
      <c r="AM129" s="449"/>
      <c r="AN129" s="451"/>
      <c r="AO129" s="450"/>
      <c r="AP129" s="449"/>
      <c r="AQ129" s="451"/>
      <c r="AR129" s="449"/>
      <c r="AS129" s="449"/>
      <c r="AT129" s="451"/>
      <c r="AU129" s="449"/>
      <c r="AV129" s="451"/>
      <c r="AW129" s="449"/>
      <c r="AX129" s="449"/>
      <c r="AY129" s="449"/>
      <c r="AZ129" s="449"/>
      <c r="BA129" s="449"/>
      <c r="BB129" s="449"/>
      <c r="BC129" s="449"/>
      <c r="BD129" s="449"/>
      <c r="BE129" s="449"/>
      <c r="BF129" s="449"/>
      <c r="BG129" s="449"/>
      <c r="BH129" s="449"/>
      <c r="BI129" s="449"/>
      <c r="BJ129" s="449"/>
      <c r="BK129" s="449"/>
      <c r="BL129" s="449"/>
      <c r="BM129" s="449"/>
      <c r="BN129" s="449"/>
    </row>
    <row r="130" spans="1:66" ht="13.15" x14ac:dyDescent="0.4">
      <c r="A130" s="430" t="s">
        <v>625</v>
      </c>
      <c r="B130" s="430"/>
      <c r="C130" s="463">
        <v>44357</v>
      </c>
      <c r="D130" s="430" t="s">
        <v>42</v>
      </c>
      <c r="E130" s="430">
        <v>22</v>
      </c>
      <c r="F130" s="430">
        <v>30</v>
      </c>
      <c r="G130" s="430" t="s">
        <v>218</v>
      </c>
      <c r="H130" s="461" t="s">
        <v>690</v>
      </c>
      <c r="I130" s="438" t="s">
        <v>116</v>
      </c>
      <c r="J130" s="438" t="s">
        <v>45</v>
      </c>
      <c r="K130" s="438" t="s">
        <v>45</v>
      </c>
      <c r="L130" s="430" t="str">
        <f t="shared" si="54"/>
        <v>44357N/A</v>
      </c>
      <c r="M130" s="430"/>
      <c r="N130" s="461"/>
      <c r="O130" s="461">
        <v>0</v>
      </c>
      <c r="P130" s="430">
        <f t="shared" si="46"/>
        <v>130</v>
      </c>
      <c r="Q130" s="430">
        <f t="shared" si="47"/>
        <v>140</v>
      </c>
      <c r="R130" s="430" t="str">
        <f t="shared" si="48"/>
        <v/>
      </c>
      <c r="S130" s="430" t="str">
        <f t="shared" si="49"/>
        <v/>
      </c>
      <c r="T130" s="430" t="str">
        <f t="shared" si="50"/>
        <v/>
      </c>
      <c r="U130" s="430" t="str">
        <f t="shared" si="51"/>
        <v/>
      </c>
      <c r="V130" s="430" t="str">
        <f t="shared" si="52"/>
        <v/>
      </c>
      <c r="W130" s="430" t="str">
        <f t="shared" si="53"/>
        <v/>
      </c>
      <c r="X130" s="449"/>
      <c r="Z130" s="450"/>
      <c r="AA130" s="449"/>
      <c r="AB130" s="451"/>
      <c r="AC130" s="450"/>
      <c r="AD130" s="449"/>
      <c r="AE130" s="451"/>
      <c r="AF130" s="450"/>
      <c r="AG130" s="449"/>
      <c r="AH130" s="451"/>
      <c r="AI130" s="450"/>
      <c r="AJ130" s="449"/>
      <c r="AK130" s="451"/>
      <c r="AL130" s="450"/>
      <c r="AM130" s="449"/>
      <c r="AN130" s="451"/>
      <c r="AO130" s="450"/>
      <c r="AP130" s="449"/>
      <c r="AQ130" s="451"/>
      <c r="AR130" s="449"/>
      <c r="AS130" s="449"/>
      <c r="AT130" s="451"/>
      <c r="AU130" s="449"/>
      <c r="AV130" s="451"/>
      <c r="AW130" s="449"/>
      <c r="AX130" s="449"/>
      <c r="AY130" s="449"/>
      <c r="AZ130" s="449"/>
      <c r="BA130" s="449"/>
      <c r="BB130" s="449"/>
      <c r="BC130" s="449"/>
      <c r="BD130" s="449"/>
      <c r="BE130" s="449"/>
      <c r="BF130" s="449"/>
      <c r="BG130" s="449"/>
      <c r="BH130" s="449"/>
      <c r="BI130" s="449"/>
      <c r="BJ130" s="449"/>
      <c r="BK130" s="449"/>
      <c r="BL130" s="449"/>
      <c r="BM130" s="449"/>
      <c r="BN130" s="449"/>
    </row>
    <row r="131" spans="1:66" ht="13.15" x14ac:dyDescent="0.4">
      <c r="A131" s="430" t="s">
        <v>626</v>
      </c>
      <c r="B131" s="430"/>
      <c r="C131" s="463">
        <v>44357</v>
      </c>
      <c r="D131" s="430" t="s">
        <v>42</v>
      </c>
      <c r="E131" s="430">
        <v>24</v>
      </c>
      <c r="F131" s="430">
        <v>36</v>
      </c>
      <c r="G131" s="430" t="s">
        <v>119</v>
      </c>
      <c r="H131" s="461" t="s">
        <v>690</v>
      </c>
      <c r="I131" s="438" t="s">
        <v>318</v>
      </c>
      <c r="J131" s="438" t="s">
        <v>45</v>
      </c>
      <c r="K131" s="438" t="s">
        <v>45</v>
      </c>
      <c r="L131" s="430" t="str">
        <f t="shared" si="54"/>
        <v>44357N/A</v>
      </c>
      <c r="M131" s="430"/>
      <c r="N131" s="461"/>
      <c r="O131" s="461">
        <v>0</v>
      </c>
      <c r="P131" s="430">
        <f t="shared" si="46"/>
        <v>150</v>
      </c>
      <c r="Q131" s="430">
        <f t="shared" si="47"/>
        <v>160</v>
      </c>
      <c r="R131" s="430" t="str">
        <f t="shared" si="48"/>
        <v/>
      </c>
      <c r="S131" s="430" t="str">
        <f t="shared" si="49"/>
        <v/>
      </c>
      <c r="T131" s="430" t="str">
        <f t="shared" si="50"/>
        <v/>
      </c>
      <c r="U131" s="430" t="str">
        <f t="shared" si="51"/>
        <v/>
      </c>
      <c r="V131" s="430" t="str">
        <f t="shared" si="52"/>
        <v/>
      </c>
      <c r="W131" s="430" t="str">
        <f t="shared" si="53"/>
        <v/>
      </c>
      <c r="X131" s="449"/>
      <c r="Z131" s="450"/>
      <c r="AA131" s="449"/>
      <c r="AB131" s="451"/>
      <c r="AC131" s="450"/>
      <c r="AD131" s="449"/>
      <c r="AE131" s="451"/>
      <c r="AF131" s="450"/>
      <c r="AG131" s="449"/>
      <c r="AH131" s="451"/>
      <c r="AI131" s="450"/>
      <c r="AJ131" s="449"/>
      <c r="AK131" s="451"/>
      <c r="AL131" s="450"/>
      <c r="AM131" s="449"/>
      <c r="AN131" s="451"/>
      <c r="AO131" s="450"/>
      <c r="AP131" s="449"/>
      <c r="AQ131" s="451"/>
      <c r="AR131" s="449"/>
      <c r="AS131" s="449"/>
      <c r="AT131" s="451"/>
      <c r="AU131" s="449"/>
      <c r="AV131" s="451"/>
      <c r="AW131" s="449"/>
      <c r="AX131" s="449"/>
      <c r="AY131" s="449"/>
      <c r="AZ131" s="449"/>
      <c r="BA131" s="449"/>
      <c r="BB131" s="449"/>
      <c r="BC131" s="449"/>
      <c r="BD131" s="449"/>
      <c r="BE131" s="449"/>
      <c r="BF131" s="449"/>
      <c r="BG131" s="449"/>
      <c r="BH131" s="449"/>
      <c r="BI131" s="449"/>
      <c r="BJ131" s="449"/>
      <c r="BK131" s="449"/>
      <c r="BL131" s="449"/>
      <c r="BM131" s="449"/>
      <c r="BN131" s="449"/>
    </row>
    <row r="132" spans="1:66" ht="13.15" x14ac:dyDescent="0.4">
      <c r="A132" s="430" t="s">
        <v>627</v>
      </c>
      <c r="B132" s="430"/>
      <c r="C132" s="463">
        <v>44357</v>
      </c>
      <c r="D132" s="430" t="s">
        <v>42</v>
      </c>
      <c r="E132" s="430">
        <v>26</v>
      </c>
      <c r="F132" s="430">
        <v>34</v>
      </c>
      <c r="G132" s="430" t="s">
        <v>315</v>
      </c>
      <c r="H132" s="461" t="s">
        <v>690</v>
      </c>
      <c r="I132" s="438" t="s">
        <v>121</v>
      </c>
      <c r="J132" s="438" t="s">
        <v>45</v>
      </c>
      <c r="K132" s="438" t="s">
        <v>45</v>
      </c>
      <c r="L132" s="430" t="str">
        <f t="shared" si="54"/>
        <v>44357N/A</v>
      </c>
      <c r="M132" s="430"/>
      <c r="N132" s="461"/>
      <c r="O132" s="461">
        <v>0</v>
      </c>
      <c r="P132" s="430">
        <f t="shared" si="46"/>
        <v>150</v>
      </c>
      <c r="Q132" s="430">
        <f t="shared" si="47"/>
        <v>160</v>
      </c>
      <c r="R132" s="430" t="str">
        <f t="shared" si="48"/>
        <v/>
      </c>
      <c r="S132" s="430" t="str">
        <f t="shared" si="49"/>
        <v/>
      </c>
      <c r="T132" s="430" t="str">
        <f t="shared" si="50"/>
        <v/>
      </c>
      <c r="U132" s="430" t="str">
        <f t="shared" si="51"/>
        <v/>
      </c>
      <c r="V132" s="430" t="str">
        <f t="shared" si="52"/>
        <v/>
      </c>
      <c r="W132" s="430" t="str">
        <f t="shared" si="53"/>
        <v/>
      </c>
      <c r="X132" s="449"/>
      <c r="Z132" s="450"/>
      <c r="AA132" s="449"/>
      <c r="AB132" s="451"/>
      <c r="AC132" s="450"/>
      <c r="AD132" s="449"/>
      <c r="AE132" s="451"/>
      <c r="AF132" s="450"/>
      <c r="AG132" s="449"/>
      <c r="AH132" s="451"/>
      <c r="AI132" s="450"/>
      <c r="AJ132" s="449"/>
      <c r="AK132" s="451"/>
      <c r="AL132" s="450"/>
      <c r="AM132" s="449"/>
      <c r="AN132" s="451"/>
      <c r="AO132" s="450"/>
      <c r="AP132" s="449"/>
      <c r="AQ132" s="451"/>
      <c r="AR132" s="449"/>
      <c r="AS132" s="449"/>
      <c r="AT132" s="451"/>
      <c r="AU132" s="449"/>
      <c r="AV132" s="451"/>
      <c r="AW132" s="449"/>
      <c r="AX132" s="449"/>
      <c r="AY132" s="449"/>
      <c r="AZ132" s="449"/>
      <c r="BA132" s="449"/>
      <c r="BB132" s="449"/>
      <c r="BC132" s="449"/>
      <c r="BD132" s="449"/>
      <c r="BE132" s="449"/>
      <c r="BF132" s="449"/>
      <c r="BG132" s="449"/>
      <c r="BH132" s="449"/>
      <c r="BI132" s="449"/>
      <c r="BJ132" s="449"/>
      <c r="BK132" s="449"/>
      <c r="BL132" s="449"/>
      <c r="BM132" s="449"/>
      <c r="BN132" s="449"/>
    </row>
    <row r="133" spans="1:66" ht="13.15" x14ac:dyDescent="0.4">
      <c r="A133" s="469" t="s">
        <v>629</v>
      </c>
      <c r="B133" s="430" t="s">
        <v>628</v>
      </c>
      <c r="C133" s="463">
        <v>44357</v>
      </c>
      <c r="D133" s="430" t="s">
        <v>66</v>
      </c>
      <c r="E133" s="430">
        <v>15</v>
      </c>
      <c r="F133" s="430">
        <v>20</v>
      </c>
      <c r="G133" s="430" t="s">
        <v>154</v>
      </c>
      <c r="H133" s="461" t="s">
        <v>558</v>
      </c>
      <c r="I133" s="438" t="s">
        <v>45</v>
      </c>
      <c r="J133" s="438">
        <v>1</v>
      </c>
      <c r="K133" s="438" t="s">
        <v>77</v>
      </c>
      <c r="L133" s="430" t="str">
        <f t="shared" si="54"/>
        <v>44357S-14048</v>
      </c>
      <c r="M133" s="430"/>
      <c r="N133" s="461"/>
      <c r="O133" s="461">
        <v>175</v>
      </c>
      <c r="P133" s="430">
        <f t="shared" si="46"/>
        <v>87.5</v>
      </c>
      <c r="Q133" s="430" t="str">
        <f t="shared" si="47"/>
        <v/>
      </c>
      <c r="R133" s="430" t="str">
        <f t="shared" si="48"/>
        <v/>
      </c>
      <c r="S133" s="430" t="str">
        <f t="shared" si="49"/>
        <v/>
      </c>
      <c r="T133" s="430" t="str">
        <f t="shared" si="50"/>
        <v/>
      </c>
      <c r="U133" s="430" t="str">
        <f t="shared" si="51"/>
        <v/>
      </c>
      <c r="V133" s="430" t="str">
        <f t="shared" si="52"/>
        <v/>
      </c>
      <c r="W133" s="430">
        <f t="shared" si="53"/>
        <v>375</v>
      </c>
      <c r="X133" s="449"/>
      <c r="Z133" s="450"/>
      <c r="AA133" s="449"/>
      <c r="AB133" s="451"/>
      <c r="AC133" s="450"/>
      <c r="AD133" s="449"/>
      <c r="AE133" s="451"/>
      <c r="AF133" s="450"/>
      <c r="AG133" s="449"/>
      <c r="AH133" s="451"/>
      <c r="AI133" s="450"/>
      <c r="AJ133" s="449"/>
      <c r="AK133" s="451"/>
      <c r="AL133" s="450"/>
      <c r="AM133" s="449"/>
      <c r="AN133" s="451"/>
      <c r="AO133" s="450"/>
      <c r="AP133" s="449"/>
      <c r="AQ133" s="451"/>
      <c r="AR133" s="449"/>
      <c r="AS133" s="449"/>
      <c r="AT133" s="451"/>
      <c r="AU133" s="449"/>
      <c r="AV133" s="451"/>
      <c r="AW133" s="449"/>
      <c r="AX133" s="449"/>
      <c r="AY133" s="449"/>
      <c r="AZ133" s="449"/>
      <c r="BA133" s="449"/>
      <c r="BB133" s="449"/>
      <c r="BC133" s="449"/>
      <c r="BD133" s="449"/>
      <c r="BE133" s="449"/>
      <c r="BF133" s="449"/>
      <c r="BG133" s="449"/>
      <c r="BH133" s="449"/>
      <c r="BI133" s="449"/>
      <c r="BJ133" s="449"/>
      <c r="BK133" s="449"/>
      <c r="BL133" s="449"/>
      <c r="BM133" s="449"/>
      <c r="BN133" s="449"/>
    </row>
    <row r="134" spans="1:66" ht="13.15" x14ac:dyDescent="0.4">
      <c r="A134" s="469" t="s">
        <v>313</v>
      </c>
      <c r="B134" s="430" t="s">
        <v>630</v>
      </c>
      <c r="C134" s="463">
        <v>44357</v>
      </c>
      <c r="D134" s="430" t="s">
        <v>66</v>
      </c>
      <c r="E134" s="430">
        <v>31</v>
      </c>
      <c r="F134" s="430">
        <v>40</v>
      </c>
      <c r="G134" s="430" t="s">
        <v>188</v>
      </c>
      <c r="H134" s="461" t="s">
        <v>51</v>
      </c>
      <c r="I134" s="438" t="s">
        <v>355</v>
      </c>
      <c r="J134" s="438">
        <v>26</v>
      </c>
      <c r="K134" s="438" t="s">
        <v>553</v>
      </c>
      <c r="L134" s="430" t="str">
        <f t="shared" si="54"/>
        <v>44357S-11251</v>
      </c>
      <c r="M134" s="430"/>
      <c r="N134" s="461"/>
      <c r="O134" s="461">
        <v>979</v>
      </c>
      <c r="P134" s="430">
        <f t="shared" si="46"/>
        <v>177.5</v>
      </c>
      <c r="Q134" s="430" t="str">
        <f t="shared" si="47"/>
        <v/>
      </c>
      <c r="R134" s="430" t="str">
        <f t="shared" si="48"/>
        <v/>
      </c>
      <c r="S134" s="430" t="str">
        <f t="shared" si="49"/>
        <v/>
      </c>
      <c r="T134" s="430">
        <f t="shared" si="50"/>
        <v>187.5</v>
      </c>
      <c r="U134" s="430" t="str">
        <f t="shared" si="51"/>
        <v/>
      </c>
      <c r="V134" s="430" t="str">
        <f t="shared" si="52"/>
        <v/>
      </c>
      <c r="W134" s="430">
        <f t="shared" si="53"/>
        <v>1550</v>
      </c>
      <c r="X134" s="449"/>
      <c r="Z134" s="450"/>
      <c r="AA134" s="449"/>
      <c r="AB134" s="451"/>
      <c r="AC134" s="450"/>
      <c r="AD134" s="449"/>
      <c r="AE134" s="451"/>
      <c r="AF134" s="450"/>
      <c r="AG134" s="449"/>
      <c r="AH134" s="451"/>
      <c r="AI134" s="450"/>
      <c r="AJ134" s="449"/>
      <c r="AK134" s="451"/>
      <c r="AL134" s="450"/>
      <c r="AM134" s="449"/>
      <c r="AN134" s="451"/>
      <c r="AO134" s="450"/>
      <c r="AP134" s="449"/>
      <c r="AQ134" s="451"/>
      <c r="AR134" s="449"/>
      <c r="AS134" s="449"/>
      <c r="AT134" s="451"/>
      <c r="AU134" s="449"/>
      <c r="AV134" s="451"/>
      <c r="AW134" s="449"/>
      <c r="AX134" s="449"/>
      <c r="AY134" s="449"/>
      <c r="AZ134" s="449"/>
      <c r="BA134" s="449"/>
      <c r="BB134" s="449"/>
      <c r="BC134" s="449"/>
      <c r="BD134" s="449"/>
      <c r="BE134" s="449"/>
      <c r="BF134" s="449"/>
      <c r="BG134" s="449"/>
      <c r="BH134" s="449"/>
      <c r="BI134" s="449"/>
      <c r="BJ134" s="449"/>
      <c r="BK134" s="449"/>
      <c r="BL134" s="449"/>
      <c r="BM134" s="449"/>
      <c r="BN134" s="449"/>
    </row>
    <row r="135" spans="1:66" ht="13.15" x14ac:dyDescent="0.4">
      <c r="A135" s="469" t="s">
        <v>632</v>
      </c>
      <c r="B135" s="430" t="s">
        <v>631</v>
      </c>
      <c r="C135" s="463">
        <v>44357</v>
      </c>
      <c r="D135" s="430" t="s">
        <v>66</v>
      </c>
      <c r="E135" s="430">
        <v>17</v>
      </c>
      <c r="F135" s="430">
        <v>23</v>
      </c>
      <c r="G135" s="430" t="s">
        <v>96</v>
      </c>
      <c r="H135" s="461" t="s">
        <v>50</v>
      </c>
      <c r="I135" s="438" t="s">
        <v>45</v>
      </c>
      <c r="J135" s="438">
        <v>6</v>
      </c>
      <c r="K135" s="438" t="s">
        <v>577</v>
      </c>
      <c r="L135" s="430" t="str">
        <f t="shared" si="54"/>
        <v>44357S-4553</v>
      </c>
      <c r="M135" s="430"/>
      <c r="N135" s="461"/>
      <c r="O135" s="461">
        <v>224</v>
      </c>
      <c r="P135" s="430">
        <f t="shared" si="46"/>
        <v>100</v>
      </c>
      <c r="Q135" s="430" t="str">
        <f t="shared" si="47"/>
        <v/>
      </c>
      <c r="R135" s="430" t="str">
        <f t="shared" si="48"/>
        <v/>
      </c>
      <c r="S135" s="430" t="str">
        <f t="shared" si="49"/>
        <v/>
      </c>
      <c r="T135" s="430" t="str">
        <f t="shared" si="50"/>
        <v/>
      </c>
      <c r="U135" s="430" t="str">
        <f t="shared" si="51"/>
        <v/>
      </c>
      <c r="V135" s="430" t="str">
        <f t="shared" si="52"/>
        <v/>
      </c>
      <c r="W135" s="430">
        <f t="shared" si="53"/>
        <v>489</v>
      </c>
      <c r="X135" s="449"/>
      <c r="Z135" s="450"/>
      <c r="AA135" s="449"/>
      <c r="AB135" s="451"/>
      <c r="AC135" s="450"/>
      <c r="AD135" s="449"/>
      <c r="AE135" s="451"/>
      <c r="AF135" s="450"/>
      <c r="AG135" s="449"/>
      <c r="AH135" s="451"/>
      <c r="AI135" s="450"/>
      <c r="AJ135" s="449"/>
      <c r="AK135" s="451"/>
      <c r="AL135" s="450"/>
      <c r="AM135" s="449"/>
      <c r="AN135" s="451"/>
      <c r="AO135" s="450"/>
      <c r="AP135" s="449"/>
      <c r="AQ135" s="451"/>
      <c r="AR135" s="449"/>
      <c r="AS135" s="449"/>
      <c r="AT135" s="451"/>
      <c r="AU135" s="449"/>
      <c r="AV135" s="451"/>
      <c r="AW135" s="449"/>
      <c r="AX135" s="449"/>
      <c r="AY135" s="449"/>
      <c r="AZ135" s="449"/>
      <c r="BA135" s="449"/>
      <c r="BB135" s="449"/>
      <c r="BC135" s="449"/>
      <c r="BD135" s="449"/>
      <c r="BE135" s="449"/>
      <c r="BF135" s="449"/>
      <c r="BG135" s="449"/>
      <c r="BH135" s="449"/>
      <c r="BI135" s="449"/>
      <c r="BJ135" s="449"/>
      <c r="BK135" s="449"/>
      <c r="BL135" s="449"/>
      <c r="BM135" s="449"/>
      <c r="BN135" s="449"/>
    </row>
    <row r="136" spans="1:66" ht="13.15" x14ac:dyDescent="0.4">
      <c r="A136" s="469" t="s">
        <v>341</v>
      </c>
      <c r="B136" s="430" t="s">
        <v>633</v>
      </c>
      <c r="C136" s="463">
        <v>44357</v>
      </c>
      <c r="D136" s="430" t="s">
        <v>66</v>
      </c>
      <c r="E136" s="430">
        <v>16</v>
      </c>
      <c r="F136" s="430">
        <v>20</v>
      </c>
      <c r="G136" s="430" t="s">
        <v>112</v>
      </c>
      <c r="H136" s="461" t="s">
        <v>51</v>
      </c>
      <c r="I136" s="438" t="s">
        <v>211</v>
      </c>
      <c r="J136" s="438">
        <v>9</v>
      </c>
      <c r="K136" s="438" t="s">
        <v>577</v>
      </c>
      <c r="L136" s="430" t="str">
        <f t="shared" si="54"/>
        <v>44357S-4553</v>
      </c>
      <c r="M136" s="430"/>
      <c r="N136" s="461"/>
      <c r="O136" s="461">
        <f t="shared" ref="O136:O138" si="56">1233.15/3</f>
        <v>411.05</v>
      </c>
      <c r="P136" s="430">
        <f t="shared" si="46"/>
        <v>90</v>
      </c>
      <c r="Q136" s="430" t="str">
        <f t="shared" si="47"/>
        <v/>
      </c>
      <c r="R136" s="430" t="str">
        <f t="shared" si="48"/>
        <v/>
      </c>
      <c r="S136" s="430" t="str">
        <f t="shared" si="49"/>
        <v/>
      </c>
      <c r="T136" s="430">
        <f t="shared" si="50"/>
        <v>100</v>
      </c>
      <c r="U136" s="430" t="str">
        <f t="shared" si="51"/>
        <v/>
      </c>
      <c r="V136" s="430" t="str">
        <f t="shared" si="52"/>
        <v/>
      </c>
      <c r="W136" s="430">
        <f t="shared" si="53"/>
        <v>400</v>
      </c>
      <c r="X136" s="449"/>
      <c r="Z136" s="450"/>
      <c r="AA136" s="449"/>
      <c r="AB136" s="451"/>
      <c r="AC136" s="450"/>
      <c r="AD136" s="449"/>
      <c r="AE136" s="451"/>
      <c r="AF136" s="450"/>
      <c r="AG136" s="449"/>
      <c r="AH136" s="451"/>
      <c r="AI136" s="450"/>
      <c r="AJ136" s="449"/>
      <c r="AK136" s="451"/>
      <c r="AL136" s="450"/>
      <c r="AM136" s="449"/>
      <c r="AN136" s="451"/>
      <c r="AO136" s="450"/>
      <c r="AP136" s="449"/>
      <c r="AQ136" s="451"/>
      <c r="AR136" s="449"/>
      <c r="AS136" s="449"/>
      <c r="AT136" s="451"/>
      <c r="AU136" s="449"/>
      <c r="AV136" s="451"/>
      <c r="AW136" s="449"/>
      <c r="AX136" s="449"/>
      <c r="AY136" s="449"/>
      <c r="AZ136" s="449"/>
      <c r="BA136" s="449"/>
      <c r="BB136" s="449"/>
      <c r="BC136" s="449"/>
      <c r="BD136" s="449"/>
      <c r="BE136" s="449"/>
      <c r="BF136" s="449"/>
      <c r="BG136" s="449"/>
      <c r="BH136" s="449"/>
      <c r="BI136" s="449"/>
      <c r="BJ136" s="449"/>
      <c r="BK136" s="449"/>
      <c r="BL136" s="449"/>
      <c r="BM136" s="449"/>
      <c r="BN136" s="449"/>
    </row>
    <row r="137" spans="1:66" ht="13.15" x14ac:dyDescent="0.4">
      <c r="A137" s="469" t="s">
        <v>634</v>
      </c>
      <c r="B137" s="430" t="s">
        <v>633</v>
      </c>
      <c r="C137" s="463">
        <v>44357</v>
      </c>
      <c r="D137" s="430" t="s">
        <v>66</v>
      </c>
      <c r="E137" s="430">
        <v>15</v>
      </c>
      <c r="F137" s="430">
        <v>20</v>
      </c>
      <c r="G137" s="430" t="s">
        <v>154</v>
      </c>
      <c r="H137" s="461" t="s">
        <v>51</v>
      </c>
      <c r="I137" s="438" t="s">
        <v>211</v>
      </c>
      <c r="J137" s="438">
        <v>8</v>
      </c>
      <c r="K137" s="438" t="s">
        <v>577</v>
      </c>
      <c r="L137" s="430" t="str">
        <f t="shared" si="54"/>
        <v>44357S-4553</v>
      </c>
      <c r="M137" s="430"/>
      <c r="N137" s="461"/>
      <c r="O137" s="461">
        <f t="shared" si="56"/>
        <v>411.05</v>
      </c>
      <c r="P137" s="430">
        <f t="shared" si="46"/>
        <v>87.5</v>
      </c>
      <c r="Q137" s="430" t="str">
        <f t="shared" si="47"/>
        <v/>
      </c>
      <c r="R137" s="430" t="str">
        <f t="shared" si="48"/>
        <v/>
      </c>
      <c r="S137" s="430" t="str">
        <f t="shared" si="49"/>
        <v/>
      </c>
      <c r="T137" s="430">
        <f t="shared" si="50"/>
        <v>97.5</v>
      </c>
      <c r="U137" s="430" t="str">
        <f t="shared" si="51"/>
        <v/>
      </c>
      <c r="V137" s="430" t="str">
        <f t="shared" si="52"/>
        <v/>
      </c>
      <c r="W137" s="430">
        <f t="shared" si="53"/>
        <v>375</v>
      </c>
      <c r="X137" s="449"/>
      <c r="Z137" s="450"/>
      <c r="AA137" s="449"/>
      <c r="AB137" s="451"/>
      <c r="AC137" s="450"/>
      <c r="AD137" s="449"/>
      <c r="AE137" s="451"/>
      <c r="AF137" s="450"/>
      <c r="AG137" s="449"/>
      <c r="AH137" s="451"/>
      <c r="AI137" s="450"/>
      <c r="AJ137" s="449"/>
      <c r="AK137" s="451"/>
      <c r="AL137" s="450"/>
      <c r="AM137" s="449"/>
      <c r="AN137" s="451"/>
      <c r="AO137" s="450"/>
      <c r="AP137" s="449"/>
      <c r="AQ137" s="451"/>
      <c r="AR137" s="449"/>
      <c r="AS137" s="449"/>
      <c r="AT137" s="451"/>
      <c r="AU137" s="449"/>
      <c r="AV137" s="451"/>
      <c r="AW137" s="449"/>
      <c r="AX137" s="449"/>
      <c r="AY137" s="449"/>
      <c r="AZ137" s="449"/>
      <c r="BA137" s="449"/>
      <c r="BB137" s="449"/>
      <c r="BC137" s="449"/>
      <c r="BD137" s="449"/>
      <c r="BE137" s="449"/>
      <c r="BF137" s="449"/>
      <c r="BG137" s="449"/>
      <c r="BH137" s="449"/>
      <c r="BI137" s="449"/>
      <c r="BJ137" s="449"/>
      <c r="BK137" s="449"/>
      <c r="BL137" s="449"/>
      <c r="BM137" s="449"/>
      <c r="BN137" s="449"/>
    </row>
    <row r="138" spans="1:66" ht="13.15" x14ac:dyDescent="0.4">
      <c r="A138" s="469" t="s">
        <v>635</v>
      </c>
      <c r="B138" s="430" t="s">
        <v>633</v>
      </c>
      <c r="C138" s="463">
        <v>44357</v>
      </c>
      <c r="D138" s="430" t="s">
        <v>66</v>
      </c>
      <c r="E138" s="430">
        <v>15</v>
      </c>
      <c r="F138" s="430">
        <v>23</v>
      </c>
      <c r="G138" s="430" t="s">
        <v>110</v>
      </c>
      <c r="H138" s="461" t="s">
        <v>51</v>
      </c>
      <c r="I138" s="438" t="s">
        <v>211</v>
      </c>
      <c r="J138" s="438">
        <v>9</v>
      </c>
      <c r="K138" s="438" t="s">
        <v>577</v>
      </c>
      <c r="L138" s="430" t="str">
        <f t="shared" si="54"/>
        <v>44357S-4553</v>
      </c>
      <c r="M138" s="430"/>
      <c r="N138" s="461"/>
      <c r="O138" s="461">
        <f t="shared" si="56"/>
        <v>411.05</v>
      </c>
      <c r="P138" s="430">
        <f t="shared" si="46"/>
        <v>95</v>
      </c>
      <c r="Q138" s="430" t="str">
        <f t="shared" si="47"/>
        <v/>
      </c>
      <c r="R138" s="430" t="str">
        <f t="shared" si="48"/>
        <v/>
      </c>
      <c r="S138" s="430" t="str">
        <f t="shared" si="49"/>
        <v/>
      </c>
      <c r="T138" s="430">
        <f t="shared" si="50"/>
        <v>105</v>
      </c>
      <c r="U138" s="430" t="str">
        <f t="shared" si="51"/>
        <v/>
      </c>
      <c r="V138" s="430" t="str">
        <f t="shared" si="52"/>
        <v/>
      </c>
      <c r="W138" s="430">
        <f t="shared" si="53"/>
        <v>432</v>
      </c>
      <c r="X138" s="449"/>
      <c r="Z138" s="450"/>
      <c r="AA138" s="449"/>
      <c r="AB138" s="451"/>
      <c r="AC138" s="450"/>
      <c r="AD138" s="449"/>
      <c r="AE138" s="451"/>
      <c r="AF138" s="450"/>
      <c r="AG138" s="449"/>
      <c r="AH138" s="451"/>
      <c r="AI138" s="450"/>
      <c r="AJ138" s="449"/>
      <c r="AK138" s="451"/>
      <c r="AL138" s="450"/>
      <c r="AM138" s="449"/>
      <c r="AN138" s="451"/>
      <c r="AO138" s="450"/>
      <c r="AP138" s="449"/>
      <c r="AQ138" s="451"/>
      <c r="AR138" s="449"/>
      <c r="AS138" s="449"/>
      <c r="AT138" s="451"/>
      <c r="AU138" s="449"/>
      <c r="AV138" s="451"/>
      <c r="AW138" s="449"/>
      <c r="AX138" s="449"/>
      <c r="AY138" s="449"/>
      <c r="AZ138" s="449"/>
      <c r="BA138" s="449"/>
      <c r="BB138" s="449"/>
      <c r="BC138" s="449"/>
      <c r="BD138" s="449"/>
      <c r="BE138" s="449"/>
      <c r="BF138" s="449"/>
      <c r="BG138" s="449"/>
      <c r="BH138" s="449"/>
      <c r="BI138" s="449"/>
      <c r="BJ138" s="449"/>
      <c r="BK138" s="449"/>
      <c r="BL138" s="449"/>
      <c r="BM138" s="449"/>
      <c r="BN138" s="449"/>
    </row>
    <row r="139" spans="1:66" ht="13.15" x14ac:dyDescent="0.4">
      <c r="A139" s="468" t="s">
        <v>473</v>
      </c>
      <c r="B139" s="464" t="s">
        <v>636</v>
      </c>
      <c r="C139" s="465">
        <v>44364</v>
      </c>
      <c r="D139" s="464" t="s">
        <v>54</v>
      </c>
      <c r="E139" s="464">
        <v>30</v>
      </c>
      <c r="F139" s="464">
        <v>48</v>
      </c>
      <c r="G139" s="464" t="s">
        <v>61</v>
      </c>
      <c r="H139" s="466" t="s">
        <v>637</v>
      </c>
      <c r="I139" s="446" t="s">
        <v>364</v>
      </c>
      <c r="J139" s="446">
        <v>47</v>
      </c>
      <c r="K139" s="446" t="s">
        <v>492</v>
      </c>
      <c r="L139" s="464" t="str">
        <f t="shared" si="54"/>
        <v>44364S-11306</v>
      </c>
      <c r="M139" s="464"/>
      <c r="N139" s="466"/>
      <c r="O139" s="466">
        <v>3300</v>
      </c>
      <c r="P139" s="430" t="str">
        <f t="shared" si="46"/>
        <v/>
      </c>
      <c r="Q139" s="430" t="str">
        <f t="shared" si="47"/>
        <v/>
      </c>
      <c r="R139" s="430" t="str">
        <f t="shared" si="48"/>
        <v/>
      </c>
      <c r="S139" s="430" t="str">
        <f t="shared" si="49"/>
        <v/>
      </c>
      <c r="T139" s="430" t="str">
        <f t="shared" si="50"/>
        <v/>
      </c>
      <c r="U139" s="430" t="str">
        <f t="shared" si="51"/>
        <v/>
      </c>
      <c r="V139" s="430" t="str">
        <f t="shared" si="52"/>
        <v/>
      </c>
      <c r="W139" s="430" t="str">
        <f t="shared" si="53"/>
        <v/>
      </c>
      <c r="X139" s="449"/>
      <c r="Z139" s="450"/>
      <c r="AA139" s="449"/>
      <c r="AB139" s="451"/>
      <c r="AC139" s="450"/>
      <c r="AD139" s="449"/>
      <c r="AE139" s="451"/>
      <c r="AF139" s="450"/>
      <c r="AG139" s="449"/>
      <c r="AH139" s="451"/>
      <c r="AI139" s="450"/>
      <c r="AJ139" s="449"/>
      <c r="AK139" s="451"/>
      <c r="AL139" s="450"/>
      <c r="AM139" s="449"/>
      <c r="AN139" s="451"/>
      <c r="AO139" s="450"/>
      <c r="AP139" s="449"/>
      <c r="AQ139" s="451"/>
      <c r="AR139" s="449"/>
      <c r="AS139" s="449"/>
      <c r="AT139" s="451"/>
      <c r="AU139" s="449"/>
      <c r="AV139" s="451"/>
      <c r="AW139" s="449"/>
      <c r="AX139" s="449"/>
      <c r="AY139" s="449"/>
      <c r="AZ139" s="449"/>
      <c r="BA139" s="449"/>
      <c r="BB139" s="449"/>
      <c r="BC139" s="449"/>
      <c r="BD139" s="449"/>
      <c r="BE139" s="449"/>
      <c r="BF139" s="449"/>
      <c r="BG139" s="449"/>
      <c r="BH139" s="449"/>
      <c r="BI139" s="449"/>
      <c r="BJ139" s="449"/>
      <c r="BK139" s="449"/>
      <c r="BL139" s="449"/>
      <c r="BM139" s="449"/>
      <c r="BN139" s="449"/>
    </row>
    <row r="140" spans="1:66" ht="13.15" x14ac:dyDescent="0.4">
      <c r="A140" s="430" t="s">
        <v>585</v>
      </c>
      <c r="B140" s="430" t="s">
        <v>638</v>
      </c>
      <c r="C140" s="463">
        <v>44364</v>
      </c>
      <c r="D140" s="430" t="s">
        <v>54</v>
      </c>
      <c r="E140" s="430">
        <v>29</v>
      </c>
      <c r="F140" s="430">
        <v>48</v>
      </c>
      <c r="G140" s="430" t="s">
        <v>159</v>
      </c>
      <c r="H140" s="461" t="s">
        <v>1</v>
      </c>
      <c r="I140" s="438" t="s">
        <v>309</v>
      </c>
      <c r="J140" s="438" t="s">
        <v>45</v>
      </c>
      <c r="K140" s="438" t="s">
        <v>45</v>
      </c>
      <c r="L140" s="430" t="str">
        <f t="shared" si="54"/>
        <v>44364N/A</v>
      </c>
      <c r="M140" s="430"/>
      <c r="N140" s="461"/>
      <c r="O140" s="461">
        <v>0</v>
      </c>
      <c r="P140" s="430" t="str">
        <f t="shared" si="46"/>
        <v/>
      </c>
      <c r="Q140" s="430" t="str">
        <f t="shared" si="47"/>
        <v/>
      </c>
      <c r="R140" s="430" t="str">
        <f t="shared" si="48"/>
        <v/>
      </c>
      <c r="S140" s="430">
        <f t="shared" si="49"/>
        <v>202.5</v>
      </c>
      <c r="T140" s="430" t="str">
        <f t="shared" si="50"/>
        <v/>
      </c>
      <c r="U140" s="430" t="str">
        <f t="shared" si="51"/>
        <v/>
      </c>
      <c r="V140" s="430" t="str">
        <f t="shared" si="52"/>
        <v/>
      </c>
      <c r="W140" s="430" t="str">
        <f t="shared" si="53"/>
        <v/>
      </c>
      <c r="X140" s="449"/>
      <c r="Z140" s="450"/>
      <c r="AA140" s="449"/>
      <c r="AB140" s="451"/>
      <c r="AC140" s="450"/>
      <c r="AD140" s="449"/>
      <c r="AE140" s="451"/>
      <c r="AF140" s="450"/>
      <c r="AG140" s="449"/>
      <c r="AH140" s="451"/>
      <c r="AI140" s="450"/>
      <c r="AJ140" s="449"/>
      <c r="AK140" s="451"/>
      <c r="AL140" s="450"/>
      <c r="AM140" s="449"/>
      <c r="AN140" s="451"/>
      <c r="AO140" s="450"/>
      <c r="AP140" s="449"/>
      <c r="AQ140" s="451"/>
      <c r="AR140" s="449"/>
      <c r="AS140" s="449"/>
      <c r="AT140" s="451"/>
      <c r="AU140" s="449"/>
      <c r="AV140" s="451"/>
      <c r="AW140" s="449"/>
      <c r="AX140" s="449"/>
      <c r="AY140" s="449"/>
      <c r="AZ140" s="449"/>
      <c r="BA140" s="449"/>
      <c r="BB140" s="449"/>
      <c r="BC140" s="449"/>
      <c r="BD140" s="449"/>
      <c r="BE140" s="449"/>
      <c r="BF140" s="449"/>
      <c r="BG140" s="449"/>
      <c r="BH140" s="449"/>
      <c r="BI140" s="449"/>
      <c r="BJ140" s="449"/>
      <c r="BK140" s="449"/>
      <c r="BL140" s="449"/>
      <c r="BM140" s="449"/>
      <c r="BN140" s="449"/>
    </row>
    <row r="141" spans="1:66" ht="13.15" x14ac:dyDescent="0.4">
      <c r="A141" s="469" t="s">
        <v>534</v>
      </c>
      <c r="B141" s="430" t="s">
        <v>639</v>
      </c>
      <c r="C141" s="463">
        <v>44364</v>
      </c>
      <c r="D141" s="430" t="s">
        <v>66</v>
      </c>
      <c r="E141" s="430">
        <v>23</v>
      </c>
      <c r="F141" s="430">
        <v>35</v>
      </c>
      <c r="G141" s="430" t="s">
        <v>192</v>
      </c>
      <c r="H141" s="461" t="s">
        <v>51</v>
      </c>
      <c r="I141" s="438" t="s">
        <v>311</v>
      </c>
      <c r="J141" s="438">
        <v>18</v>
      </c>
      <c r="K141" s="438" t="s">
        <v>583</v>
      </c>
      <c r="L141" s="430" t="str">
        <f t="shared" si="54"/>
        <v>44364S-4679</v>
      </c>
      <c r="M141" s="430"/>
      <c r="N141" s="461"/>
      <c r="O141" s="461">
        <v>713</v>
      </c>
      <c r="P141" s="430">
        <f t="shared" si="46"/>
        <v>145</v>
      </c>
      <c r="Q141" s="430" t="str">
        <f t="shared" si="47"/>
        <v/>
      </c>
      <c r="R141" s="430" t="str">
        <f t="shared" si="48"/>
        <v/>
      </c>
      <c r="S141" s="430" t="str">
        <f t="shared" si="49"/>
        <v/>
      </c>
      <c r="T141" s="430">
        <f t="shared" si="50"/>
        <v>155</v>
      </c>
      <c r="U141" s="430" t="str">
        <f t="shared" si="51"/>
        <v/>
      </c>
      <c r="V141" s="430" t="str">
        <f t="shared" si="52"/>
        <v/>
      </c>
      <c r="W141" s="430">
        <f t="shared" si="53"/>
        <v>1007</v>
      </c>
      <c r="X141" s="449"/>
      <c r="Z141" s="450"/>
      <c r="AA141" s="449"/>
      <c r="AB141" s="451"/>
      <c r="AC141" s="450"/>
      <c r="AD141" s="449"/>
      <c r="AE141" s="451"/>
      <c r="AF141" s="450"/>
      <c r="AG141" s="449"/>
      <c r="AH141" s="451"/>
      <c r="AI141" s="450"/>
      <c r="AJ141" s="449"/>
      <c r="AK141" s="451"/>
      <c r="AL141" s="450"/>
      <c r="AM141" s="449"/>
      <c r="AN141" s="451"/>
      <c r="AO141" s="450"/>
      <c r="AP141" s="449"/>
      <c r="AQ141" s="451"/>
      <c r="AR141" s="449"/>
      <c r="AS141" s="449"/>
      <c r="AT141" s="451"/>
      <c r="AU141" s="449"/>
      <c r="AV141" s="451"/>
      <c r="AW141" s="449"/>
      <c r="AX141" s="449"/>
      <c r="AY141" s="449"/>
      <c r="AZ141" s="449"/>
      <c r="BA141" s="449"/>
      <c r="BB141" s="449"/>
      <c r="BC141" s="449"/>
      <c r="BD141" s="449"/>
      <c r="BE141" s="449"/>
      <c r="BF141" s="449"/>
      <c r="BG141" s="449"/>
      <c r="BH141" s="449"/>
      <c r="BI141" s="449"/>
      <c r="BJ141" s="449"/>
      <c r="BK141" s="449"/>
      <c r="BL141" s="449"/>
      <c r="BM141" s="449"/>
      <c r="BN141" s="449"/>
    </row>
    <row r="142" spans="1:66" ht="13.15" x14ac:dyDescent="0.4">
      <c r="A142" s="469" t="s">
        <v>641</v>
      </c>
      <c r="B142" s="430" t="s">
        <v>640</v>
      </c>
      <c r="C142" s="463">
        <v>44364</v>
      </c>
      <c r="D142" s="430" t="s">
        <v>66</v>
      </c>
      <c r="E142" s="430">
        <v>30</v>
      </c>
      <c r="F142" s="430">
        <v>30</v>
      </c>
      <c r="G142" s="430" t="s">
        <v>88</v>
      </c>
      <c r="H142" s="461" t="s">
        <v>51</v>
      </c>
      <c r="I142" s="438" t="s">
        <v>210</v>
      </c>
      <c r="J142" s="438">
        <v>18</v>
      </c>
      <c r="K142" s="438" t="s">
        <v>583</v>
      </c>
      <c r="L142" s="430" t="str">
        <f t="shared" si="54"/>
        <v>44364S-4679</v>
      </c>
      <c r="M142" s="430"/>
      <c r="N142" s="461"/>
      <c r="O142" s="461">
        <f>320+365</f>
        <v>685</v>
      </c>
      <c r="P142" s="430">
        <f t="shared" si="46"/>
        <v>150</v>
      </c>
      <c r="Q142" s="430" t="str">
        <f t="shared" si="47"/>
        <v/>
      </c>
      <c r="R142" s="430" t="str">
        <f t="shared" si="48"/>
        <v/>
      </c>
      <c r="S142" s="430" t="str">
        <f t="shared" si="49"/>
        <v/>
      </c>
      <c r="T142" s="430">
        <f t="shared" si="50"/>
        <v>160</v>
      </c>
      <c r="U142" s="430" t="str">
        <f t="shared" si="51"/>
        <v/>
      </c>
      <c r="V142" s="430" t="str">
        <f t="shared" si="52"/>
        <v/>
      </c>
      <c r="W142" s="430">
        <f t="shared" si="53"/>
        <v>1125</v>
      </c>
      <c r="X142" s="449"/>
      <c r="Z142" s="450"/>
      <c r="AA142" s="449"/>
      <c r="AB142" s="451"/>
      <c r="AC142" s="450"/>
      <c r="AD142" s="449"/>
      <c r="AE142" s="451"/>
      <c r="AF142" s="450"/>
      <c r="AG142" s="449"/>
      <c r="AH142" s="451"/>
      <c r="AI142" s="450"/>
      <c r="AJ142" s="449"/>
      <c r="AK142" s="451"/>
      <c r="AL142" s="450"/>
      <c r="AM142" s="449"/>
      <c r="AN142" s="451"/>
      <c r="AO142" s="450"/>
      <c r="AP142" s="449"/>
      <c r="AQ142" s="451"/>
      <c r="AR142" s="449"/>
      <c r="AS142" s="449"/>
      <c r="AT142" s="451"/>
      <c r="AU142" s="449"/>
      <c r="AV142" s="451"/>
      <c r="AW142" s="449"/>
      <c r="AX142" s="449"/>
      <c r="AY142" s="449"/>
      <c r="AZ142" s="449"/>
      <c r="BA142" s="449"/>
      <c r="BB142" s="449"/>
      <c r="BC142" s="449"/>
      <c r="BD142" s="449"/>
      <c r="BE142" s="449"/>
      <c r="BF142" s="449"/>
      <c r="BG142" s="449"/>
      <c r="BH142" s="449"/>
      <c r="BI142" s="449"/>
      <c r="BJ142" s="449"/>
      <c r="BK142" s="449"/>
      <c r="BL142" s="449"/>
      <c r="BM142" s="449"/>
      <c r="BN142" s="449"/>
    </row>
    <row r="143" spans="1:66" ht="13.15" x14ac:dyDescent="0.4">
      <c r="A143" s="469" t="s">
        <v>579</v>
      </c>
      <c r="B143" s="430" t="s">
        <v>642</v>
      </c>
      <c r="C143" s="463">
        <v>44364</v>
      </c>
      <c r="D143" s="430" t="s">
        <v>66</v>
      </c>
      <c r="E143" s="430">
        <v>27</v>
      </c>
      <c r="F143" s="430">
        <v>36</v>
      </c>
      <c r="G143" s="430" t="s">
        <v>194</v>
      </c>
      <c r="H143" s="461" t="s">
        <v>51</v>
      </c>
      <c r="I143" s="438" t="s">
        <v>340</v>
      </c>
      <c r="J143" s="438">
        <v>18</v>
      </c>
      <c r="K143" s="438" t="s">
        <v>583</v>
      </c>
      <c r="L143" s="430" t="str">
        <f t="shared" si="54"/>
        <v>44364S-4679</v>
      </c>
      <c r="M143" s="430"/>
      <c r="N143" s="461"/>
      <c r="O143" s="461">
        <v>764.47</v>
      </c>
      <c r="P143" s="430">
        <f t="shared" si="46"/>
        <v>157.5</v>
      </c>
      <c r="Q143" s="430" t="str">
        <f t="shared" si="47"/>
        <v/>
      </c>
      <c r="R143" s="430" t="str">
        <f t="shared" si="48"/>
        <v/>
      </c>
      <c r="S143" s="430" t="str">
        <f t="shared" si="49"/>
        <v/>
      </c>
      <c r="T143" s="430">
        <f t="shared" si="50"/>
        <v>167.5</v>
      </c>
      <c r="U143" s="430" t="str">
        <f t="shared" si="51"/>
        <v/>
      </c>
      <c r="V143" s="430" t="str">
        <f t="shared" si="52"/>
        <v/>
      </c>
      <c r="W143" s="430">
        <f t="shared" si="53"/>
        <v>1215</v>
      </c>
      <c r="X143" s="449"/>
      <c r="Z143" s="450"/>
      <c r="AA143" s="449"/>
      <c r="AB143" s="451"/>
      <c r="AC143" s="450"/>
      <c r="AD143" s="449"/>
      <c r="AE143" s="451"/>
      <c r="AF143" s="450"/>
      <c r="AG143" s="449"/>
      <c r="AH143" s="451"/>
      <c r="AI143" s="450"/>
      <c r="AJ143" s="449"/>
      <c r="AK143" s="451"/>
      <c r="AL143" s="450"/>
      <c r="AM143" s="449"/>
      <c r="AN143" s="451"/>
      <c r="AO143" s="450"/>
      <c r="AP143" s="449"/>
      <c r="AQ143" s="451"/>
      <c r="AR143" s="449"/>
      <c r="AS143" s="449"/>
      <c r="AT143" s="451"/>
      <c r="AU143" s="449"/>
      <c r="AV143" s="451"/>
      <c r="AW143" s="449"/>
      <c r="AX143" s="449"/>
      <c r="AY143" s="449"/>
      <c r="AZ143" s="449"/>
      <c r="BA143" s="449"/>
      <c r="BB143" s="449"/>
      <c r="BC143" s="449"/>
      <c r="BD143" s="449"/>
      <c r="BE143" s="449"/>
      <c r="BF143" s="449"/>
      <c r="BG143" s="449"/>
      <c r="BH143" s="449"/>
      <c r="BI143" s="449"/>
      <c r="BJ143" s="449"/>
      <c r="BK143" s="449"/>
      <c r="BL143" s="449"/>
      <c r="BM143" s="449"/>
      <c r="BN143" s="449"/>
    </row>
    <row r="144" spans="1:66" ht="13.15" x14ac:dyDescent="0.4">
      <c r="A144" s="469" t="s">
        <v>644</v>
      </c>
      <c r="B144" s="430" t="s">
        <v>643</v>
      </c>
      <c r="C144" s="463">
        <v>44364</v>
      </c>
      <c r="D144" s="430" t="s">
        <v>66</v>
      </c>
      <c r="E144" s="430">
        <v>20</v>
      </c>
      <c r="F144" s="430">
        <v>26</v>
      </c>
      <c r="G144" s="430" t="s">
        <v>195</v>
      </c>
      <c r="H144" s="461" t="s">
        <v>51</v>
      </c>
      <c r="I144" s="438" t="s">
        <v>272</v>
      </c>
      <c r="J144" s="438">
        <v>10</v>
      </c>
      <c r="K144" s="438" t="s">
        <v>577</v>
      </c>
      <c r="L144" s="430" t="str">
        <f t="shared" si="54"/>
        <v>44364S-4553</v>
      </c>
      <c r="M144" s="430"/>
      <c r="N144" s="461"/>
      <c r="O144" s="461">
        <v>536.46</v>
      </c>
      <c r="P144" s="430">
        <f t="shared" si="46"/>
        <v>115</v>
      </c>
      <c r="Q144" s="430" t="str">
        <f t="shared" si="47"/>
        <v/>
      </c>
      <c r="R144" s="430" t="str">
        <f t="shared" si="48"/>
        <v/>
      </c>
      <c r="S144" s="430" t="str">
        <f t="shared" si="49"/>
        <v/>
      </c>
      <c r="T144" s="430">
        <f t="shared" si="50"/>
        <v>125</v>
      </c>
      <c r="U144" s="430" t="str">
        <f t="shared" si="51"/>
        <v/>
      </c>
      <c r="V144" s="430" t="str">
        <f t="shared" si="52"/>
        <v/>
      </c>
      <c r="W144" s="430">
        <f t="shared" si="53"/>
        <v>650</v>
      </c>
      <c r="X144" s="449"/>
      <c r="Z144" s="450"/>
      <c r="AA144" s="449"/>
      <c r="AB144" s="451"/>
      <c r="AC144" s="450"/>
      <c r="AD144" s="449"/>
      <c r="AE144" s="451"/>
      <c r="AF144" s="450"/>
      <c r="AG144" s="449"/>
      <c r="AH144" s="451"/>
      <c r="AI144" s="450"/>
      <c r="AJ144" s="449"/>
      <c r="AK144" s="451"/>
      <c r="AL144" s="450"/>
      <c r="AM144" s="449"/>
      <c r="AN144" s="451"/>
      <c r="AO144" s="450"/>
      <c r="AP144" s="449"/>
      <c r="AQ144" s="451"/>
      <c r="AR144" s="449"/>
      <c r="AS144" s="449"/>
      <c r="AT144" s="451"/>
      <c r="AU144" s="449"/>
      <c r="AV144" s="451"/>
      <c r="AW144" s="449"/>
      <c r="AX144" s="449"/>
      <c r="AY144" s="449"/>
      <c r="AZ144" s="449"/>
      <c r="BA144" s="449"/>
      <c r="BB144" s="449"/>
      <c r="BC144" s="449"/>
      <c r="BD144" s="449"/>
      <c r="BE144" s="449"/>
      <c r="BF144" s="449"/>
      <c r="BG144" s="449"/>
      <c r="BH144" s="449"/>
      <c r="BI144" s="449"/>
      <c r="BJ144" s="449"/>
      <c r="BK144" s="449"/>
      <c r="BL144" s="449"/>
      <c r="BM144" s="449"/>
      <c r="BN144" s="449"/>
    </row>
    <row r="145" spans="1:66" ht="13.15" x14ac:dyDescent="0.4">
      <c r="A145" s="469" t="s">
        <v>476</v>
      </c>
      <c r="B145" s="430" t="s">
        <v>645</v>
      </c>
      <c r="C145" s="463">
        <v>44364</v>
      </c>
      <c r="D145" s="430" t="s">
        <v>66</v>
      </c>
      <c r="E145" s="430">
        <v>22</v>
      </c>
      <c r="F145" s="430">
        <v>29</v>
      </c>
      <c r="G145" s="430" t="s">
        <v>197</v>
      </c>
      <c r="H145" s="461" t="s">
        <v>51</v>
      </c>
      <c r="I145" s="438" t="s">
        <v>301</v>
      </c>
      <c r="J145" s="438">
        <v>12</v>
      </c>
      <c r="K145" s="438" t="s">
        <v>580</v>
      </c>
      <c r="L145" s="430" t="str">
        <f t="shared" si="54"/>
        <v>44364S-4554</v>
      </c>
      <c r="M145" s="430"/>
      <c r="N145" s="461"/>
      <c r="O145" s="461">
        <v>503.35</v>
      </c>
      <c r="P145" s="430">
        <f t="shared" si="46"/>
        <v>127.5</v>
      </c>
      <c r="Q145" s="430" t="str">
        <f t="shared" si="47"/>
        <v/>
      </c>
      <c r="R145" s="430" t="str">
        <f t="shared" si="48"/>
        <v/>
      </c>
      <c r="S145" s="430" t="str">
        <f t="shared" si="49"/>
        <v/>
      </c>
      <c r="T145" s="430">
        <f t="shared" si="50"/>
        <v>137.5</v>
      </c>
      <c r="U145" s="430" t="str">
        <f t="shared" si="51"/>
        <v/>
      </c>
      <c r="V145" s="430" t="str">
        <f t="shared" si="52"/>
        <v/>
      </c>
      <c r="W145" s="430">
        <f t="shared" si="53"/>
        <v>798</v>
      </c>
      <c r="X145" s="449"/>
      <c r="Z145" s="450"/>
      <c r="AA145" s="449"/>
      <c r="AB145" s="451"/>
      <c r="AC145" s="450"/>
      <c r="AD145" s="449"/>
      <c r="AE145" s="451"/>
      <c r="AF145" s="450"/>
      <c r="AG145" s="449"/>
      <c r="AH145" s="451"/>
      <c r="AI145" s="450"/>
      <c r="AJ145" s="449"/>
      <c r="AK145" s="451"/>
      <c r="AL145" s="450"/>
      <c r="AM145" s="449"/>
      <c r="AN145" s="451"/>
      <c r="AO145" s="450"/>
      <c r="AP145" s="449"/>
      <c r="AQ145" s="451"/>
      <c r="AR145" s="449"/>
      <c r="AS145" s="449"/>
      <c r="AT145" s="451"/>
      <c r="AU145" s="449"/>
      <c r="AV145" s="451"/>
      <c r="AW145" s="449"/>
      <c r="AX145" s="449"/>
      <c r="AY145" s="449"/>
      <c r="AZ145" s="449"/>
      <c r="BA145" s="449"/>
      <c r="BB145" s="449"/>
      <c r="BC145" s="449"/>
      <c r="BD145" s="449"/>
      <c r="BE145" s="449"/>
      <c r="BF145" s="449"/>
      <c r="BG145" s="449"/>
      <c r="BH145" s="449"/>
      <c r="BI145" s="449"/>
      <c r="BJ145" s="449"/>
      <c r="BK145" s="449"/>
      <c r="BL145" s="449"/>
      <c r="BM145" s="449"/>
      <c r="BN145" s="449"/>
    </row>
    <row r="146" spans="1:66" ht="13.15" x14ac:dyDescent="0.4">
      <c r="A146" s="469" t="s">
        <v>437</v>
      </c>
      <c r="B146" s="430" t="s">
        <v>645</v>
      </c>
      <c r="C146" s="463">
        <v>44364</v>
      </c>
      <c r="D146" s="430" t="s">
        <v>66</v>
      </c>
      <c r="E146" s="430">
        <v>15</v>
      </c>
      <c r="F146" s="430">
        <v>22</v>
      </c>
      <c r="G146" s="430" t="s">
        <v>163</v>
      </c>
      <c r="H146" s="461" t="s">
        <v>51</v>
      </c>
      <c r="I146" s="438" t="s">
        <v>196</v>
      </c>
      <c r="J146" s="438">
        <v>9</v>
      </c>
      <c r="K146" s="438" t="s">
        <v>577</v>
      </c>
      <c r="L146" s="430" t="str">
        <f t="shared" si="54"/>
        <v>44364S-4553</v>
      </c>
      <c r="M146" s="430"/>
      <c r="N146" s="461"/>
      <c r="O146" s="461">
        <v>287.45</v>
      </c>
      <c r="P146" s="430">
        <f t="shared" si="46"/>
        <v>92.5</v>
      </c>
      <c r="Q146" s="430" t="str">
        <f t="shared" si="47"/>
        <v/>
      </c>
      <c r="R146" s="430" t="str">
        <f t="shared" si="48"/>
        <v/>
      </c>
      <c r="S146" s="430" t="str">
        <f t="shared" si="49"/>
        <v/>
      </c>
      <c r="T146" s="430">
        <f t="shared" si="50"/>
        <v>102.5</v>
      </c>
      <c r="U146" s="430" t="str">
        <f t="shared" si="51"/>
        <v/>
      </c>
      <c r="V146" s="430" t="str">
        <f t="shared" si="52"/>
        <v/>
      </c>
      <c r="W146" s="430">
        <f t="shared" si="53"/>
        <v>413</v>
      </c>
      <c r="X146" s="449"/>
      <c r="Z146" s="450"/>
      <c r="AA146" s="449"/>
      <c r="AB146" s="451"/>
      <c r="AC146" s="450"/>
      <c r="AD146" s="449"/>
      <c r="AE146" s="451"/>
      <c r="AF146" s="450"/>
      <c r="AG146" s="449"/>
      <c r="AH146" s="451"/>
      <c r="AI146" s="450"/>
      <c r="AJ146" s="449"/>
      <c r="AK146" s="451"/>
      <c r="AL146" s="450"/>
      <c r="AM146" s="449"/>
      <c r="AN146" s="451"/>
      <c r="AO146" s="450"/>
      <c r="AP146" s="449"/>
      <c r="AQ146" s="451"/>
      <c r="AR146" s="449"/>
      <c r="AS146" s="449"/>
      <c r="AT146" s="451"/>
      <c r="AU146" s="449"/>
      <c r="AV146" s="451"/>
      <c r="AW146" s="449"/>
      <c r="AX146" s="449"/>
      <c r="AY146" s="449"/>
      <c r="AZ146" s="449"/>
      <c r="BA146" s="449"/>
      <c r="BB146" s="449"/>
      <c r="BC146" s="449"/>
      <c r="BD146" s="449"/>
      <c r="BE146" s="449"/>
      <c r="BF146" s="449"/>
      <c r="BG146" s="449"/>
      <c r="BH146" s="449"/>
      <c r="BI146" s="449"/>
      <c r="BJ146" s="449"/>
      <c r="BK146" s="449"/>
      <c r="BL146" s="449"/>
      <c r="BM146" s="449"/>
      <c r="BN146" s="449"/>
    </row>
    <row r="147" spans="1:66" ht="13.15" x14ac:dyDescent="0.4">
      <c r="A147" s="469" t="s">
        <v>647</v>
      </c>
      <c r="B147" s="430" t="s">
        <v>646</v>
      </c>
      <c r="C147" s="463">
        <v>44364</v>
      </c>
      <c r="D147" s="430" t="s">
        <v>604</v>
      </c>
      <c r="E147" s="430">
        <v>9</v>
      </c>
      <c r="F147" s="430">
        <v>14</v>
      </c>
      <c r="G147" s="430" t="s">
        <v>648</v>
      </c>
      <c r="H147" s="461" t="s">
        <v>603</v>
      </c>
      <c r="I147" s="438" t="s">
        <v>191</v>
      </c>
      <c r="J147" s="438">
        <v>11</v>
      </c>
      <c r="K147" s="438" t="s">
        <v>577</v>
      </c>
      <c r="L147" s="430" t="str">
        <f t="shared" si="54"/>
        <v>44364S-4553</v>
      </c>
      <c r="M147" s="430"/>
      <c r="N147" s="461"/>
      <c r="O147" s="461">
        <v>0</v>
      </c>
      <c r="P147" s="430" t="str">
        <f t="shared" si="46"/>
        <v/>
      </c>
      <c r="Q147" s="430" t="str">
        <f t="shared" si="47"/>
        <v/>
      </c>
      <c r="R147" s="430" t="str">
        <f t="shared" si="48"/>
        <v/>
      </c>
      <c r="S147" s="430" t="str">
        <f t="shared" si="49"/>
        <v/>
      </c>
      <c r="T147" s="430" t="str">
        <f t="shared" si="50"/>
        <v/>
      </c>
      <c r="U147" s="430" t="str">
        <f t="shared" si="51"/>
        <v/>
      </c>
      <c r="V147" s="430" t="str">
        <f t="shared" si="52"/>
        <v/>
      </c>
      <c r="W147" s="430" t="str">
        <f t="shared" si="53"/>
        <v/>
      </c>
      <c r="X147" s="449"/>
      <c r="Z147" s="450"/>
      <c r="AA147" s="449"/>
      <c r="AB147" s="451"/>
      <c r="AC147" s="450"/>
      <c r="AD147" s="449"/>
      <c r="AE147" s="451"/>
      <c r="AF147" s="450"/>
      <c r="AG147" s="449"/>
      <c r="AH147" s="451"/>
      <c r="AI147" s="450"/>
      <c r="AJ147" s="449"/>
      <c r="AK147" s="451"/>
      <c r="AL147" s="450"/>
      <c r="AM147" s="449"/>
      <c r="AN147" s="451"/>
      <c r="AO147" s="450"/>
      <c r="AP147" s="449"/>
      <c r="AQ147" s="451"/>
      <c r="AR147" s="449"/>
      <c r="AS147" s="449"/>
      <c r="AT147" s="451"/>
      <c r="AU147" s="449"/>
      <c r="AV147" s="451"/>
      <c r="AW147" s="449"/>
      <c r="AX147" s="449"/>
      <c r="AY147" s="449"/>
      <c r="AZ147" s="449"/>
      <c r="BA147" s="449"/>
      <c r="BB147" s="449"/>
      <c r="BC147" s="449"/>
      <c r="BD147" s="449"/>
      <c r="BE147" s="449"/>
      <c r="BF147" s="449"/>
      <c r="BG147" s="449"/>
      <c r="BH147" s="449"/>
      <c r="BI147" s="449"/>
      <c r="BJ147" s="449"/>
      <c r="BK147" s="449"/>
      <c r="BL147" s="449"/>
      <c r="BM147" s="449"/>
      <c r="BN147" s="449"/>
    </row>
    <row r="148" spans="1:66" ht="13.15" x14ac:dyDescent="0.4">
      <c r="A148" s="430" t="s">
        <v>406</v>
      </c>
      <c r="B148" s="430" t="s">
        <v>649</v>
      </c>
      <c r="C148" s="463">
        <v>44364</v>
      </c>
      <c r="D148" s="430" t="s">
        <v>42</v>
      </c>
      <c r="E148" s="430">
        <v>27</v>
      </c>
      <c r="F148" s="430">
        <v>48</v>
      </c>
      <c r="G148" s="430" t="s">
        <v>224</v>
      </c>
      <c r="H148" s="461" t="s">
        <v>650</v>
      </c>
      <c r="I148" s="438" t="s">
        <v>651</v>
      </c>
      <c r="J148" s="438" t="s">
        <v>45</v>
      </c>
      <c r="K148" s="438" t="s">
        <v>45</v>
      </c>
      <c r="L148" s="430" t="str">
        <f t="shared" si="54"/>
        <v>44364N/A</v>
      </c>
      <c r="M148" s="430"/>
      <c r="N148" s="461"/>
      <c r="O148" s="461">
        <v>18000</v>
      </c>
      <c r="P148" s="430">
        <f t="shared" si="46"/>
        <v>187.5</v>
      </c>
      <c r="Q148" s="430" t="str">
        <f t="shared" si="47"/>
        <v/>
      </c>
      <c r="R148" s="430" t="str">
        <f t="shared" si="48"/>
        <v/>
      </c>
      <c r="S148" s="430" t="str">
        <f t="shared" si="49"/>
        <v/>
      </c>
      <c r="T148" s="430" t="str">
        <f t="shared" si="50"/>
        <v/>
      </c>
      <c r="U148" s="430" t="str">
        <f t="shared" si="51"/>
        <v/>
      </c>
      <c r="V148" s="430" t="str">
        <f t="shared" si="52"/>
        <v/>
      </c>
      <c r="W148" s="430" t="str">
        <f t="shared" si="53"/>
        <v/>
      </c>
      <c r="X148" s="449"/>
      <c r="Z148" s="450"/>
      <c r="AA148" s="449"/>
      <c r="AB148" s="451"/>
      <c r="AC148" s="450"/>
      <c r="AD148" s="449"/>
      <c r="AE148" s="451"/>
      <c r="AF148" s="450"/>
      <c r="AG148" s="449"/>
      <c r="AH148" s="451"/>
      <c r="AI148" s="450"/>
      <c r="AJ148" s="449"/>
      <c r="AK148" s="451"/>
      <c r="AL148" s="450"/>
      <c r="AM148" s="449"/>
      <c r="AN148" s="451"/>
      <c r="AO148" s="450"/>
      <c r="AP148" s="449"/>
      <c r="AQ148" s="451"/>
      <c r="AR148" s="449"/>
      <c r="AS148" s="449"/>
      <c r="AT148" s="451"/>
      <c r="AU148" s="449"/>
      <c r="AV148" s="451"/>
      <c r="AW148" s="449"/>
      <c r="AX148" s="449"/>
      <c r="AY148" s="449"/>
      <c r="AZ148" s="449"/>
      <c r="BA148" s="449"/>
      <c r="BB148" s="449"/>
      <c r="BC148" s="449"/>
      <c r="BD148" s="449"/>
      <c r="BE148" s="449"/>
      <c r="BF148" s="449"/>
      <c r="BG148" s="449"/>
      <c r="BH148" s="449"/>
      <c r="BI148" s="449"/>
      <c r="BJ148" s="449"/>
      <c r="BK148" s="449"/>
      <c r="BL148" s="449"/>
      <c r="BM148" s="449"/>
      <c r="BN148" s="449"/>
    </row>
    <row r="149" spans="1:66" ht="13.15" x14ac:dyDescent="0.4">
      <c r="A149" s="469" t="s">
        <v>653</v>
      </c>
      <c r="B149" s="430" t="s">
        <v>652</v>
      </c>
      <c r="C149" s="463">
        <v>44364</v>
      </c>
      <c r="D149" s="430" t="s">
        <v>66</v>
      </c>
      <c r="E149" s="430">
        <v>24</v>
      </c>
      <c r="F149" s="430">
        <v>27</v>
      </c>
      <c r="G149" s="430" t="s">
        <v>198</v>
      </c>
      <c r="H149" s="461" t="s">
        <v>50</v>
      </c>
      <c r="I149" s="438" t="s">
        <v>198</v>
      </c>
      <c r="J149" s="438">
        <v>10</v>
      </c>
      <c r="K149" s="438" t="s">
        <v>580</v>
      </c>
      <c r="L149" s="430" t="str">
        <f t="shared" si="54"/>
        <v>44364S-4554</v>
      </c>
      <c r="M149" s="430"/>
      <c r="N149" s="461"/>
      <c r="O149" s="461">
        <f t="shared" ref="O149:O151" si="57">732.3/3</f>
        <v>244.1</v>
      </c>
      <c r="P149" s="430">
        <f t="shared" si="46"/>
        <v>127.5</v>
      </c>
      <c r="Q149" s="430" t="str">
        <f t="shared" si="47"/>
        <v/>
      </c>
      <c r="R149" s="430" t="str">
        <f t="shared" si="48"/>
        <v/>
      </c>
      <c r="S149" s="430" t="str">
        <f t="shared" si="49"/>
        <v/>
      </c>
      <c r="T149" s="430" t="str">
        <f t="shared" si="50"/>
        <v/>
      </c>
      <c r="U149" s="430" t="str">
        <f t="shared" si="51"/>
        <v/>
      </c>
      <c r="V149" s="430" t="str">
        <f t="shared" si="52"/>
        <v/>
      </c>
      <c r="W149" s="430">
        <f t="shared" si="53"/>
        <v>810</v>
      </c>
      <c r="X149" s="449"/>
      <c r="Z149" s="450"/>
      <c r="AA149" s="449"/>
      <c r="AB149" s="451"/>
      <c r="AC149" s="450"/>
      <c r="AD149" s="449"/>
      <c r="AE149" s="451"/>
      <c r="AF149" s="450"/>
      <c r="AG149" s="449"/>
      <c r="AH149" s="451"/>
      <c r="AI149" s="450"/>
      <c r="AJ149" s="449"/>
      <c r="AK149" s="451"/>
      <c r="AL149" s="450"/>
      <c r="AM149" s="449"/>
      <c r="AN149" s="451"/>
      <c r="AO149" s="450"/>
      <c r="AP149" s="449"/>
      <c r="AQ149" s="451"/>
      <c r="AR149" s="449"/>
      <c r="AS149" s="449"/>
      <c r="AT149" s="451"/>
      <c r="AU149" s="449"/>
      <c r="AV149" s="451"/>
      <c r="AW149" s="449"/>
      <c r="AX149" s="449"/>
      <c r="AY149" s="449"/>
      <c r="AZ149" s="449"/>
      <c r="BA149" s="449"/>
      <c r="BB149" s="449"/>
      <c r="BC149" s="449"/>
      <c r="BD149" s="449"/>
      <c r="BE149" s="449"/>
      <c r="BF149" s="449"/>
      <c r="BG149" s="449"/>
      <c r="BH149" s="449"/>
      <c r="BI149" s="449"/>
      <c r="BJ149" s="449"/>
      <c r="BK149" s="449"/>
      <c r="BL149" s="449"/>
      <c r="BM149" s="449"/>
      <c r="BN149" s="449"/>
    </row>
    <row r="150" spans="1:66" ht="13.15" x14ac:dyDescent="0.4">
      <c r="A150" s="469" t="s">
        <v>563</v>
      </c>
      <c r="B150" s="430" t="s">
        <v>652</v>
      </c>
      <c r="C150" s="463">
        <v>44364</v>
      </c>
      <c r="D150" s="430" t="s">
        <v>66</v>
      </c>
      <c r="E150" s="430">
        <v>24</v>
      </c>
      <c r="F150" s="430">
        <v>30</v>
      </c>
      <c r="G150" s="430" t="s">
        <v>111</v>
      </c>
      <c r="H150" s="461" t="s">
        <v>50</v>
      </c>
      <c r="I150" s="438" t="s">
        <v>111</v>
      </c>
      <c r="J150" s="438">
        <v>9</v>
      </c>
      <c r="K150" s="438" t="s">
        <v>580</v>
      </c>
      <c r="L150" s="430" t="str">
        <f t="shared" si="54"/>
        <v>44364S-4554</v>
      </c>
      <c r="M150" s="430"/>
      <c r="N150" s="461"/>
      <c r="O150" s="461">
        <f t="shared" si="57"/>
        <v>244.1</v>
      </c>
      <c r="P150" s="430">
        <f t="shared" si="46"/>
        <v>135</v>
      </c>
      <c r="Q150" s="430" t="str">
        <f t="shared" si="47"/>
        <v/>
      </c>
      <c r="R150" s="430" t="str">
        <f t="shared" si="48"/>
        <v/>
      </c>
      <c r="S150" s="430" t="str">
        <f t="shared" si="49"/>
        <v/>
      </c>
      <c r="T150" s="430" t="str">
        <f t="shared" si="50"/>
        <v/>
      </c>
      <c r="U150" s="430" t="str">
        <f t="shared" si="51"/>
        <v/>
      </c>
      <c r="V150" s="430" t="str">
        <f t="shared" si="52"/>
        <v/>
      </c>
      <c r="W150" s="430">
        <f t="shared" si="53"/>
        <v>900</v>
      </c>
      <c r="X150" s="449"/>
      <c r="Z150" s="450"/>
      <c r="AA150" s="449"/>
      <c r="AB150" s="451"/>
      <c r="AC150" s="450"/>
      <c r="AD150" s="449"/>
      <c r="AE150" s="451"/>
      <c r="AF150" s="450"/>
      <c r="AG150" s="449"/>
      <c r="AH150" s="451"/>
      <c r="AI150" s="450"/>
      <c r="AJ150" s="449"/>
      <c r="AK150" s="451"/>
      <c r="AL150" s="450"/>
      <c r="AM150" s="449"/>
      <c r="AN150" s="451"/>
      <c r="AO150" s="450"/>
      <c r="AP150" s="449"/>
      <c r="AQ150" s="451"/>
      <c r="AR150" s="449"/>
      <c r="AS150" s="449"/>
      <c r="AT150" s="451"/>
      <c r="AU150" s="449"/>
      <c r="AV150" s="451"/>
      <c r="AW150" s="449"/>
      <c r="AX150" s="449"/>
      <c r="AY150" s="449"/>
      <c r="AZ150" s="449"/>
      <c r="BA150" s="449"/>
      <c r="BB150" s="449"/>
      <c r="BC150" s="449"/>
      <c r="BD150" s="449"/>
      <c r="BE150" s="449"/>
      <c r="BF150" s="449"/>
      <c r="BG150" s="449"/>
      <c r="BH150" s="449"/>
      <c r="BI150" s="449"/>
      <c r="BJ150" s="449"/>
      <c r="BK150" s="449"/>
      <c r="BL150" s="449"/>
      <c r="BM150" s="449"/>
      <c r="BN150" s="449"/>
    </row>
    <row r="151" spans="1:66" ht="13.15" x14ac:dyDescent="0.4">
      <c r="A151" s="469" t="s">
        <v>488</v>
      </c>
      <c r="B151" s="430" t="s">
        <v>652</v>
      </c>
      <c r="C151" s="463">
        <v>44364</v>
      </c>
      <c r="D151" s="430" t="s">
        <v>66</v>
      </c>
      <c r="E151" s="430">
        <v>24</v>
      </c>
      <c r="F151" s="430">
        <v>24</v>
      </c>
      <c r="G151" s="430" t="s">
        <v>201</v>
      </c>
      <c r="H151" s="461" t="s">
        <v>50</v>
      </c>
      <c r="I151" s="438" t="s">
        <v>201</v>
      </c>
      <c r="J151" s="438">
        <v>9</v>
      </c>
      <c r="K151" s="438" t="s">
        <v>580</v>
      </c>
      <c r="L151" s="430" t="str">
        <f t="shared" si="54"/>
        <v>44364S-4554</v>
      </c>
      <c r="M151" s="430"/>
      <c r="N151" s="461"/>
      <c r="O151" s="461">
        <f t="shared" si="57"/>
        <v>244.1</v>
      </c>
      <c r="P151" s="430">
        <f t="shared" si="46"/>
        <v>120</v>
      </c>
      <c r="Q151" s="430" t="str">
        <f t="shared" si="47"/>
        <v/>
      </c>
      <c r="R151" s="430" t="str">
        <f t="shared" si="48"/>
        <v/>
      </c>
      <c r="S151" s="430" t="str">
        <f t="shared" si="49"/>
        <v/>
      </c>
      <c r="T151" s="430" t="str">
        <f t="shared" si="50"/>
        <v/>
      </c>
      <c r="U151" s="430" t="str">
        <f t="shared" si="51"/>
        <v/>
      </c>
      <c r="V151" s="430" t="str">
        <f t="shared" si="52"/>
        <v/>
      </c>
      <c r="W151" s="430">
        <f t="shared" si="53"/>
        <v>720</v>
      </c>
      <c r="X151" s="449"/>
      <c r="Z151" s="450"/>
      <c r="AA151" s="449"/>
      <c r="AB151" s="451"/>
      <c r="AC151" s="450"/>
      <c r="AD151" s="449"/>
      <c r="AE151" s="451"/>
      <c r="AF151" s="450"/>
      <c r="AG151" s="449"/>
      <c r="AH151" s="451"/>
      <c r="AI151" s="450"/>
      <c r="AJ151" s="449"/>
      <c r="AK151" s="451"/>
      <c r="AL151" s="450"/>
      <c r="AM151" s="449"/>
      <c r="AN151" s="451"/>
      <c r="AO151" s="450"/>
      <c r="AP151" s="449"/>
      <c r="AQ151" s="451"/>
      <c r="AR151" s="449"/>
      <c r="AS151" s="449"/>
      <c r="AT151" s="451"/>
      <c r="AU151" s="449"/>
      <c r="AV151" s="451"/>
      <c r="AW151" s="449"/>
      <c r="AX151" s="449"/>
      <c r="AY151" s="449"/>
      <c r="AZ151" s="449"/>
      <c r="BA151" s="449"/>
      <c r="BB151" s="449"/>
      <c r="BC151" s="449"/>
      <c r="BD151" s="449"/>
      <c r="BE151" s="449"/>
      <c r="BF151" s="449"/>
      <c r="BG151" s="449"/>
      <c r="BH151" s="449"/>
      <c r="BI151" s="449"/>
      <c r="BJ151" s="449"/>
      <c r="BK151" s="449"/>
      <c r="BL151" s="449"/>
      <c r="BM151" s="449"/>
      <c r="BN151" s="449"/>
    </row>
    <row r="152" spans="1:66" ht="13.15" x14ac:dyDescent="0.4">
      <c r="A152" s="469" t="s">
        <v>472</v>
      </c>
      <c r="B152" s="430" t="s">
        <v>654</v>
      </c>
      <c r="C152" s="463">
        <v>44364</v>
      </c>
      <c r="D152" s="430" t="s">
        <v>66</v>
      </c>
      <c r="E152" s="430">
        <v>30</v>
      </c>
      <c r="F152" s="430">
        <v>50</v>
      </c>
      <c r="G152" s="430" t="s">
        <v>203</v>
      </c>
      <c r="H152" s="461" t="s">
        <v>50</v>
      </c>
      <c r="I152" s="438" t="s">
        <v>203</v>
      </c>
      <c r="J152" s="438">
        <v>25</v>
      </c>
      <c r="K152" s="438" t="s">
        <v>553</v>
      </c>
      <c r="L152" s="430" t="str">
        <f t="shared" si="54"/>
        <v>44364S-11251</v>
      </c>
      <c r="M152" s="430"/>
      <c r="N152" s="461"/>
      <c r="O152" s="461">
        <v>530</v>
      </c>
      <c r="P152" s="430">
        <f t="shared" si="46"/>
        <v>200</v>
      </c>
      <c r="Q152" s="430" t="str">
        <f t="shared" si="47"/>
        <v/>
      </c>
      <c r="R152" s="430" t="str">
        <f t="shared" si="48"/>
        <v/>
      </c>
      <c r="S152" s="430" t="str">
        <f t="shared" si="49"/>
        <v/>
      </c>
      <c r="T152" s="430" t="str">
        <f t="shared" si="50"/>
        <v/>
      </c>
      <c r="U152" s="430" t="str">
        <f t="shared" si="51"/>
        <v/>
      </c>
      <c r="V152" s="430" t="str">
        <f t="shared" si="52"/>
        <v/>
      </c>
      <c r="W152" s="430">
        <f t="shared" si="53"/>
        <v>1875</v>
      </c>
      <c r="X152" s="449"/>
      <c r="Z152" s="450"/>
      <c r="AA152" s="449"/>
      <c r="AB152" s="451"/>
      <c r="AC152" s="450"/>
      <c r="AD152" s="449"/>
      <c r="AE152" s="451"/>
      <c r="AF152" s="450"/>
      <c r="AG152" s="449"/>
      <c r="AH152" s="451"/>
      <c r="AI152" s="450"/>
      <c r="AJ152" s="449"/>
      <c r="AK152" s="451"/>
      <c r="AL152" s="450"/>
      <c r="AM152" s="449"/>
      <c r="AN152" s="451"/>
      <c r="AO152" s="450"/>
      <c r="AP152" s="449"/>
      <c r="AQ152" s="451"/>
      <c r="AR152" s="449"/>
      <c r="AS152" s="449"/>
      <c r="AT152" s="451"/>
      <c r="AU152" s="449"/>
      <c r="AV152" s="451"/>
      <c r="AW152" s="449"/>
      <c r="AX152" s="449"/>
      <c r="AY152" s="449"/>
      <c r="AZ152" s="449"/>
      <c r="BA152" s="449"/>
      <c r="BB152" s="449"/>
      <c r="BC152" s="449"/>
      <c r="BD152" s="449"/>
      <c r="BE152" s="449"/>
      <c r="BF152" s="449"/>
      <c r="BG152" s="449"/>
      <c r="BH152" s="449"/>
      <c r="BI152" s="449"/>
      <c r="BJ152" s="449"/>
      <c r="BK152" s="449"/>
      <c r="BL152" s="449"/>
      <c r="BM152" s="449"/>
      <c r="BN152" s="449"/>
    </row>
    <row r="153" spans="1:66" ht="13.15" x14ac:dyDescent="0.4">
      <c r="A153" s="430" t="s">
        <v>655</v>
      </c>
      <c r="B153" s="430" t="s">
        <v>45</v>
      </c>
      <c r="C153" s="463">
        <v>44364</v>
      </c>
      <c r="D153" s="430" t="s">
        <v>42</v>
      </c>
      <c r="E153" s="430">
        <v>12</v>
      </c>
      <c r="F153" s="430">
        <v>16</v>
      </c>
      <c r="G153" s="430" t="s">
        <v>62</v>
      </c>
      <c r="H153" s="461" t="s">
        <v>603</v>
      </c>
      <c r="I153" s="438" t="s">
        <v>157</v>
      </c>
      <c r="J153" s="438" t="s">
        <v>45</v>
      </c>
      <c r="K153" s="438" t="s">
        <v>45</v>
      </c>
      <c r="L153" s="430" t="str">
        <f t="shared" si="54"/>
        <v>44364N/A</v>
      </c>
      <c r="M153" s="430"/>
      <c r="N153" s="461"/>
      <c r="O153" s="461">
        <v>0</v>
      </c>
      <c r="P153" s="430">
        <f t="shared" si="46"/>
        <v>70</v>
      </c>
      <c r="Q153" s="430" t="str">
        <f t="shared" si="47"/>
        <v/>
      </c>
      <c r="R153" s="430" t="str">
        <f t="shared" si="48"/>
        <v/>
      </c>
      <c r="S153" s="430" t="str">
        <f t="shared" si="49"/>
        <v/>
      </c>
      <c r="T153" s="430" t="str">
        <f t="shared" si="50"/>
        <v/>
      </c>
      <c r="U153" s="430" t="str">
        <f t="shared" si="51"/>
        <v/>
      </c>
      <c r="V153" s="430" t="str">
        <f t="shared" si="52"/>
        <v/>
      </c>
      <c r="W153" s="430" t="str">
        <f t="shared" si="53"/>
        <v/>
      </c>
      <c r="X153" s="449"/>
      <c r="Z153" s="450"/>
      <c r="AA153" s="449"/>
      <c r="AB153" s="451"/>
      <c r="AC153" s="450"/>
      <c r="AD153" s="449"/>
      <c r="AE153" s="451"/>
      <c r="AF153" s="450"/>
      <c r="AG153" s="449"/>
      <c r="AH153" s="451"/>
      <c r="AI153" s="450"/>
      <c r="AJ153" s="449"/>
      <c r="AK153" s="451"/>
      <c r="AL153" s="450"/>
      <c r="AM153" s="449"/>
      <c r="AN153" s="451"/>
      <c r="AO153" s="450"/>
      <c r="AP153" s="449"/>
      <c r="AQ153" s="451"/>
      <c r="AR153" s="449"/>
      <c r="AS153" s="449"/>
      <c r="AT153" s="451"/>
      <c r="AU153" s="449"/>
      <c r="AV153" s="451"/>
      <c r="AW153" s="449"/>
      <c r="AX153" s="449"/>
      <c r="AY153" s="449"/>
      <c r="AZ153" s="449"/>
      <c r="BA153" s="449"/>
      <c r="BB153" s="449"/>
      <c r="BC153" s="449"/>
      <c r="BD153" s="449"/>
      <c r="BE153" s="449"/>
      <c r="BF153" s="449"/>
      <c r="BG153" s="449"/>
      <c r="BH153" s="449"/>
      <c r="BI153" s="449"/>
      <c r="BJ153" s="449"/>
      <c r="BK153" s="449"/>
      <c r="BL153" s="449"/>
      <c r="BM153" s="449"/>
      <c r="BN153" s="449"/>
    </row>
    <row r="154" spans="1:66" ht="13.15" x14ac:dyDescent="0.4">
      <c r="A154" s="469" t="s">
        <v>436</v>
      </c>
      <c r="B154" s="430" t="s">
        <v>656</v>
      </c>
      <c r="C154" s="463">
        <v>44364</v>
      </c>
      <c r="D154" s="430" t="s">
        <v>42</v>
      </c>
      <c r="E154" s="430">
        <v>24</v>
      </c>
      <c r="F154" s="430">
        <v>34</v>
      </c>
      <c r="G154" s="430" t="s">
        <v>302</v>
      </c>
      <c r="H154" s="461" t="s">
        <v>690</v>
      </c>
      <c r="I154" s="438" t="s">
        <v>264</v>
      </c>
      <c r="J154" s="438">
        <v>26</v>
      </c>
      <c r="K154" s="438" t="s">
        <v>480</v>
      </c>
      <c r="L154" s="430" t="str">
        <f t="shared" si="54"/>
        <v>44364S-17584</v>
      </c>
      <c r="M154" s="430"/>
      <c r="N154" s="461"/>
      <c r="O154" s="461">
        <v>10000</v>
      </c>
      <c r="P154" s="430">
        <f t="shared" si="46"/>
        <v>145</v>
      </c>
      <c r="Q154" s="430">
        <f t="shared" si="47"/>
        <v>155</v>
      </c>
      <c r="R154" s="430" t="str">
        <f t="shared" si="48"/>
        <v/>
      </c>
      <c r="S154" s="430" t="str">
        <f t="shared" si="49"/>
        <v/>
      </c>
      <c r="T154" s="430" t="str">
        <f t="shared" si="50"/>
        <v/>
      </c>
      <c r="U154" s="430" t="str">
        <f t="shared" si="51"/>
        <v/>
      </c>
      <c r="V154" s="430" t="str">
        <f t="shared" si="52"/>
        <v/>
      </c>
      <c r="W154" s="430" t="str">
        <f t="shared" si="53"/>
        <v/>
      </c>
      <c r="X154" s="449"/>
      <c r="Z154" s="450"/>
      <c r="AA154" s="449"/>
      <c r="AB154" s="451"/>
      <c r="AC154" s="450"/>
      <c r="AD154" s="449"/>
      <c r="AE154" s="451"/>
      <c r="AF154" s="450"/>
      <c r="AG154" s="449"/>
      <c r="AH154" s="451"/>
      <c r="AI154" s="450"/>
      <c r="AJ154" s="449"/>
      <c r="AK154" s="451"/>
      <c r="AL154" s="450"/>
      <c r="AM154" s="449"/>
      <c r="AN154" s="451"/>
      <c r="AO154" s="450"/>
      <c r="AP154" s="449"/>
      <c r="AQ154" s="451"/>
      <c r="AR154" s="449"/>
      <c r="AS154" s="449"/>
      <c r="AT154" s="451"/>
      <c r="AU154" s="449"/>
      <c r="AV154" s="451"/>
      <c r="AW154" s="449"/>
      <c r="AX154" s="449"/>
      <c r="AY154" s="449"/>
      <c r="AZ154" s="449"/>
      <c r="BA154" s="449"/>
      <c r="BB154" s="449"/>
      <c r="BC154" s="449"/>
      <c r="BD154" s="449"/>
      <c r="BE154" s="449"/>
      <c r="BF154" s="449"/>
      <c r="BG154" s="449"/>
      <c r="BH154" s="449"/>
      <c r="BI154" s="449"/>
      <c r="BJ154" s="449"/>
      <c r="BK154" s="449"/>
      <c r="BL154" s="449"/>
      <c r="BM154" s="449"/>
      <c r="BN154" s="449"/>
    </row>
    <row r="155" spans="1:66" ht="13.15" x14ac:dyDescent="0.4">
      <c r="A155" s="469" t="s">
        <v>658</v>
      </c>
      <c r="B155" s="430" t="s">
        <v>657</v>
      </c>
      <c r="C155" s="463">
        <v>44364</v>
      </c>
      <c r="D155" s="430" t="s">
        <v>42</v>
      </c>
      <c r="E155" s="430">
        <v>11</v>
      </c>
      <c r="F155" s="430">
        <v>14</v>
      </c>
      <c r="G155" s="430" t="s">
        <v>101</v>
      </c>
      <c r="H155" s="461" t="s">
        <v>603</v>
      </c>
      <c r="I155" s="438" t="s">
        <v>191</v>
      </c>
      <c r="J155" s="438">
        <v>11</v>
      </c>
      <c r="K155" s="438" t="s">
        <v>502</v>
      </c>
      <c r="L155" s="430" t="str">
        <f t="shared" si="54"/>
        <v>44364S-13272</v>
      </c>
      <c r="M155" s="430"/>
      <c r="N155" s="461"/>
      <c r="O155" s="461">
        <v>3000</v>
      </c>
      <c r="P155" s="430">
        <f t="shared" si="46"/>
        <v>62.5</v>
      </c>
      <c r="Q155" s="430" t="str">
        <f t="shared" si="47"/>
        <v/>
      </c>
      <c r="R155" s="430" t="str">
        <f t="shared" si="48"/>
        <v/>
      </c>
      <c r="S155" s="430" t="str">
        <f t="shared" si="49"/>
        <v/>
      </c>
      <c r="T155" s="430" t="str">
        <f t="shared" si="50"/>
        <v/>
      </c>
      <c r="U155" s="430" t="str">
        <f t="shared" si="51"/>
        <v/>
      </c>
      <c r="V155" s="430" t="str">
        <f t="shared" si="52"/>
        <v/>
      </c>
      <c r="W155" s="430" t="str">
        <f t="shared" si="53"/>
        <v/>
      </c>
      <c r="X155" s="449"/>
      <c r="Z155" s="450"/>
      <c r="AA155" s="449"/>
      <c r="AB155" s="451"/>
      <c r="AC155" s="450"/>
      <c r="AD155" s="449"/>
      <c r="AE155" s="451"/>
      <c r="AF155" s="450"/>
      <c r="AG155" s="449"/>
      <c r="AH155" s="451"/>
      <c r="AI155" s="450"/>
      <c r="AJ155" s="449"/>
      <c r="AK155" s="451"/>
      <c r="AL155" s="450"/>
      <c r="AM155" s="449"/>
      <c r="AN155" s="451"/>
      <c r="AO155" s="450"/>
      <c r="AP155" s="449"/>
      <c r="AQ155" s="451"/>
      <c r="AR155" s="449"/>
      <c r="AS155" s="449"/>
      <c r="AT155" s="451"/>
      <c r="AU155" s="449"/>
      <c r="AV155" s="451"/>
      <c r="AW155" s="449"/>
      <c r="AX155" s="449"/>
      <c r="AY155" s="449"/>
      <c r="AZ155" s="449"/>
      <c r="BA155" s="449"/>
      <c r="BB155" s="449"/>
      <c r="BC155" s="449"/>
      <c r="BD155" s="449"/>
      <c r="BE155" s="449"/>
      <c r="BF155" s="449"/>
      <c r="BG155" s="449"/>
      <c r="BH155" s="449"/>
      <c r="BI155" s="449"/>
      <c r="BJ155" s="449"/>
      <c r="BK155" s="449"/>
      <c r="BL155" s="449"/>
      <c r="BM155" s="449"/>
      <c r="BN155" s="449"/>
    </row>
    <row r="156" spans="1:66" ht="13.15" x14ac:dyDescent="0.4">
      <c r="A156" s="469" t="s">
        <v>660</v>
      </c>
      <c r="B156" s="430" t="s">
        <v>659</v>
      </c>
      <c r="C156" s="463">
        <v>44364</v>
      </c>
      <c r="D156" s="430" t="s">
        <v>66</v>
      </c>
      <c r="E156" s="430">
        <v>17</v>
      </c>
      <c r="F156" s="430">
        <v>20</v>
      </c>
      <c r="G156" s="430" t="s">
        <v>191</v>
      </c>
      <c r="H156" s="461" t="s">
        <v>1</v>
      </c>
      <c r="I156" s="438" t="s">
        <v>229</v>
      </c>
      <c r="J156" s="438">
        <v>10</v>
      </c>
      <c r="K156" s="438" t="s">
        <v>577</v>
      </c>
      <c r="L156" s="430" t="str">
        <f t="shared" si="54"/>
        <v>44364S-4553</v>
      </c>
      <c r="M156" s="430"/>
      <c r="N156" s="461"/>
      <c r="O156" s="461">
        <v>264.35000000000002</v>
      </c>
      <c r="P156" s="430">
        <f t="shared" si="46"/>
        <v>92.5</v>
      </c>
      <c r="Q156" s="430" t="str">
        <f t="shared" si="47"/>
        <v/>
      </c>
      <c r="R156" s="430" t="str">
        <f t="shared" si="48"/>
        <v/>
      </c>
      <c r="S156" s="430">
        <f t="shared" si="49"/>
        <v>102.5</v>
      </c>
      <c r="T156" s="430" t="str">
        <f t="shared" si="50"/>
        <v/>
      </c>
      <c r="U156" s="430" t="str">
        <f t="shared" si="51"/>
        <v/>
      </c>
      <c r="V156" s="430" t="str">
        <f t="shared" si="52"/>
        <v/>
      </c>
      <c r="W156" s="430">
        <f t="shared" si="53"/>
        <v>425</v>
      </c>
      <c r="X156" s="449"/>
      <c r="Z156" s="450"/>
      <c r="AA156" s="449"/>
      <c r="AB156" s="451"/>
      <c r="AC156" s="450"/>
      <c r="AD156" s="449"/>
      <c r="AE156" s="451"/>
      <c r="AF156" s="450"/>
      <c r="AG156" s="449"/>
      <c r="AH156" s="451"/>
      <c r="AI156" s="450"/>
      <c r="AJ156" s="449"/>
      <c r="AK156" s="451"/>
      <c r="AL156" s="450"/>
      <c r="AM156" s="449"/>
      <c r="AN156" s="451"/>
      <c r="AO156" s="450"/>
      <c r="AP156" s="449"/>
      <c r="AQ156" s="451"/>
      <c r="AR156" s="449"/>
      <c r="AS156" s="449"/>
      <c r="AT156" s="451"/>
      <c r="AU156" s="449"/>
      <c r="AV156" s="451"/>
      <c r="AW156" s="449"/>
      <c r="AX156" s="449"/>
      <c r="AY156" s="449"/>
      <c r="AZ156" s="449"/>
      <c r="BA156" s="449"/>
      <c r="BB156" s="449"/>
      <c r="BC156" s="449"/>
      <c r="BD156" s="449"/>
      <c r="BE156" s="449"/>
      <c r="BF156" s="449"/>
      <c r="BG156" s="449"/>
      <c r="BH156" s="449"/>
      <c r="BI156" s="449"/>
      <c r="BJ156" s="449"/>
      <c r="BK156" s="449"/>
      <c r="BL156" s="449"/>
      <c r="BM156" s="449"/>
      <c r="BN156" s="449"/>
    </row>
    <row r="157" spans="1:66" ht="13.15" x14ac:dyDescent="0.4">
      <c r="A157" s="469" t="s">
        <v>513</v>
      </c>
      <c r="B157" s="430" t="s">
        <v>661</v>
      </c>
      <c r="C157" s="463">
        <v>44364</v>
      </c>
      <c r="D157" s="430" t="s">
        <v>66</v>
      </c>
      <c r="E157" s="430">
        <v>15</v>
      </c>
      <c r="F157" s="430">
        <v>19</v>
      </c>
      <c r="G157" s="430" t="s">
        <v>79</v>
      </c>
      <c r="H157" s="461" t="s">
        <v>1</v>
      </c>
      <c r="I157" s="438" t="s">
        <v>193</v>
      </c>
      <c r="J157" s="438">
        <v>9</v>
      </c>
      <c r="K157" s="438" t="s">
        <v>577</v>
      </c>
      <c r="L157" s="430" t="str">
        <f t="shared" si="54"/>
        <v>44364S-4553</v>
      </c>
      <c r="M157" s="430"/>
      <c r="N157" s="461"/>
      <c r="O157" s="461">
        <v>276</v>
      </c>
      <c r="P157" s="430">
        <f t="shared" si="46"/>
        <v>85</v>
      </c>
      <c r="Q157" s="430" t="str">
        <f t="shared" si="47"/>
        <v/>
      </c>
      <c r="R157" s="430" t="str">
        <f t="shared" si="48"/>
        <v/>
      </c>
      <c r="S157" s="430">
        <f t="shared" si="49"/>
        <v>95</v>
      </c>
      <c r="T157" s="430" t="str">
        <f t="shared" si="50"/>
        <v/>
      </c>
      <c r="U157" s="430" t="str">
        <f t="shared" si="51"/>
        <v/>
      </c>
      <c r="V157" s="430" t="str">
        <f t="shared" si="52"/>
        <v/>
      </c>
      <c r="W157" s="430">
        <f t="shared" si="53"/>
        <v>357</v>
      </c>
      <c r="X157" s="449"/>
      <c r="Z157" s="450"/>
      <c r="AA157" s="449"/>
      <c r="AB157" s="451"/>
      <c r="AC157" s="450"/>
      <c r="AD157" s="449"/>
      <c r="AE157" s="451"/>
      <c r="AF157" s="450"/>
      <c r="AG157" s="449"/>
      <c r="AH157" s="451"/>
      <c r="AI157" s="450"/>
      <c r="AJ157" s="449"/>
      <c r="AK157" s="451"/>
      <c r="AL157" s="450"/>
      <c r="AM157" s="449"/>
      <c r="AN157" s="451"/>
      <c r="AO157" s="450"/>
      <c r="AP157" s="449"/>
      <c r="AQ157" s="451"/>
      <c r="AR157" s="449"/>
      <c r="AS157" s="449"/>
      <c r="AT157" s="451"/>
      <c r="AU157" s="449"/>
      <c r="AV157" s="451"/>
      <c r="AW157" s="449"/>
      <c r="AX157" s="449"/>
      <c r="AY157" s="449"/>
      <c r="AZ157" s="449"/>
      <c r="BA157" s="449"/>
      <c r="BB157" s="449"/>
      <c r="BC157" s="449"/>
      <c r="BD157" s="449"/>
      <c r="BE157" s="449"/>
      <c r="BF157" s="449"/>
      <c r="BG157" s="449"/>
      <c r="BH157" s="449"/>
      <c r="BI157" s="449"/>
      <c r="BJ157" s="449"/>
      <c r="BK157" s="449"/>
      <c r="BL157" s="449"/>
      <c r="BM157" s="449"/>
      <c r="BN157" s="449"/>
    </row>
    <row r="158" spans="1:66" ht="13.15" x14ac:dyDescent="0.4">
      <c r="A158" s="469" t="s">
        <v>588</v>
      </c>
      <c r="B158" s="430" t="s">
        <v>662</v>
      </c>
      <c r="C158" s="463">
        <v>44364</v>
      </c>
      <c r="D158" s="430" t="s">
        <v>66</v>
      </c>
      <c r="E158" s="430">
        <v>32</v>
      </c>
      <c r="F158" s="430">
        <v>38</v>
      </c>
      <c r="G158" s="430" t="s">
        <v>205</v>
      </c>
      <c r="H158" s="461" t="s">
        <v>51</v>
      </c>
      <c r="I158" s="438" t="s">
        <v>358</v>
      </c>
      <c r="J158" s="438">
        <v>21</v>
      </c>
      <c r="K158" s="438" t="s">
        <v>586</v>
      </c>
      <c r="L158" s="430" t="str">
        <f t="shared" si="54"/>
        <v>44364S-4929</v>
      </c>
      <c r="M158" s="430"/>
      <c r="N158" s="461"/>
      <c r="O158" s="461">
        <v>909</v>
      </c>
      <c r="P158" s="430">
        <f t="shared" si="46"/>
        <v>175</v>
      </c>
      <c r="Q158" s="430" t="str">
        <f t="shared" si="47"/>
        <v/>
      </c>
      <c r="R158" s="430" t="str">
        <f t="shared" si="48"/>
        <v/>
      </c>
      <c r="S158" s="430" t="str">
        <f t="shared" si="49"/>
        <v/>
      </c>
      <c r="T158" s="430">
        <f t="shared" si="50"/>
        <v>185</v>
      </c>
      <c r="U158" s="430" t="str">
        <f t="shared" si="51"/>
        <v/>
      </c>
      <c r="V158" s="430" t="str">
        <f t="shared" si="52"/>
        <v/>
      </c>
      <c r="W158" s="430">
        <f t="shared" si="53"/>
        <v>1520</v>
      </c>
      <c r="X158" s="449"/>
      <c r="Z158" s="450"/>
      <c r="AA158" s="449"/>
      <c r="AB158" s="451"/>
      <c r="AC158" s="450"/>
      <c r="AD158" s="449"/>
      <c r="AE158" s="451"/>
      <c r="AF158" s="450"/>
      <c r="AG158" s="449"/>
      <c r="AH158" s="451"/>
      <c r="AI158" s="450"/>
      <c r="AJ158" s="449"/>
      <c r="AK158" s="451"/>
      <c r="AL158" s="450"/>
      <c r="AM158" s="449"/>
      <c r="AN158" s="451"/>
      <c r="AO158" s="450"/>
      <c r="AP158" s="449"/>
      <c r="AQ158" s="451"/>
      <c r="AR158" s="449"/>
      <c r="AS158" s="449"/>
      <c r="AT158" s="451"/>
      <c r="AU158" s="449"/>
      <c r="AV158" s="451"/>
      <c r="AW158" s="449"/>
      <c r="AX158" s="449"/>
      <c r="AY158" s="449"/>
      <c r="AZ158" s="449"/>
      <c r="BA158" s="449"/>
      <c r="BB158" s="449"/>
      <c r="BC158" s="449"/>
      <c r="BD158" s="449"/>
      <c r="BE158" s="449"/>
      <c r="BF158" s="449"/>
      <c r="BG158" s="449"/>
      <c r="BH158" s="449"/>
      <c r="BI158" s="449"/>
      <c r="BJ158" s="449"/>
      <c r="BK158" s="449"/>
      <c r="BL158" s="449"/>
      <c r="BM158" s="449"/>
      <c r="BN158" s="449"/>
    </row>
    <row r="159" spans="1:66" ht="13.15" x14ac:dyDescent="0.4">
      <c r="A159" s="469" t="s">
        <v>664</v>
      </c>
      <c r="B159" s="430" t="s">
        <v>663</v>
      </c>
      <c r="C159" s="463">
        <v>44364</v>
      </c>
      <c r="D159" s="430" t="s">
        <v>66</v>
      </c>
      <c r="E159" s="430">
        <v>26</v>
      </c>
      <c r="F159" s="430">
        <v>43</v>
      </c>
      <c r="G159" s="430" t="s">
        <v>206</v>
      </c>
      <c r="H159" s="461" t="s">
        <v>50</v>
      </c>
      <c r="I159" s="438" t="s">
        <v>206</v>
      </c>
      <c r="J159" s="438">
        <v>24</v>
      </c>
      <c r="K159" s="438" t="s">
        <v>553</v>
      </c>
      <c r="L159" s="430" t="str">
        <f t="shared" si="54"/>
        <v>44364S-11251</v>
      </c>
      <c r="M159" s="430"/>
      <c r="N159" s="461"/>
      <c r="O159" s="461">
        <v>363</v>
      </c>
      <c r="P159" s="430">
        <f t="shared" si="46"/>
        <v>172.5</v>
      </c>
      <c r="Q159" s="430" t="str">
        <f t="shared" si="47"/>
        <v/>
      </c>
      <c r="R159" s="430" t="str">
        <f t="shared" si="48"/>
        <v/>
      </c>
      <c r="S159" s="430" t="str">
        <f t="shared" si="49"/>
        <v/>
      </c>
      <c r="T159" s="430" t="str">
        <f t="shared" si="50"/>
        <v/>
      </c>
      <c r="U159" s="430" t="str">
        <f t="shared" si="51"/>
        <v/>
      </c>
      <c r="V159" s="430" t="str">
        <f t="shared" si="52"/>
        <v/>
      </c>
      <c r="W159" s="430">
        <f t="shared" si="53"/>
        <v>1398</v>
      </c>
      <c r="X159" s="449"/>
      <c r="Z159" s="450"/>
      <c r="AA159" s="449"/>
      <c r="AB159" s="451"/>
      <c r="AC159" s="450"/>
      <c r="AD159" s="449"/>
      <c r="AE159" s="451"/>
      <c r="AF159" s="450"/>
      <c r="AG159" s="449"/>
      <c r="AH159" s="451"/>
      <c r="AI159" s="450"/>
      <c r="AJ159" s="449"/>
      <c r="AK159" s="451"/>
      <c r="AL159" s="450"/>
      <c r="AM159" s="449"/>
      <c r="AN159" s="451"/>
      <c r="AO159" s="450"/>
      <c r="AP159" s="449"/>
      <c r="AQ159" s="451"/>
      <c r="AR159" s="449"/>
      <c r="AS159" s="449"/>
      <c r="AT159" s="451"/>
      <c r="AU159" s="449"/>
      <c r="AV159" s="451"/>
      <c r="AW159" s="449"/>
      <c r="AX159" s="449"/>
      <c r="AY159" s="449"/>
      <c r="AZ159" s="449"/>
      <c r="BA159" s="449"/>
      <c r="BB159" s="449"/>
      <c r="BC159" s="449"/>
      <c r="BD159" s="449"/>
      <c r="BE159" s="449"/>
      <c r="BF159" s="449"/>
      <c r="BG159" s="449"/>
      <c r="BH159" s="449"/>
      <c r="BI159" s="449"/>
      <c r="BJ159" s="449"/>
      <c r="BK159" s="449"/>
      <c r="BL159" s="449"/>
      <c r="BM159" s="449"/>
      <c r="BN159" s="449"/>
    </row>
    <row r="160" spans="1:66" ht="13.15" x14ac:dyDescent="0.4">
      <c r="A160" s="469" t="s">
        <v>666</v>
      </c>
      <c r="B160" s="430" t="s">
        <v>665</v>
      </c>
      <c r="C160" s="463">
        <v>44364</v>
      </c>
      <c r="D160" s="430" t="s">
        <v>66</v>
      </c>
      <c r="E160" s="430">
        <v>26</v>
      </c>
      <c r="F160" s="430">
        <v>35</v>
      </c>
      <c r="G160" s="430" t="s">
        <v>207</v>
      </c>
      <c r="H160" s="461" t="s">
        <v>50</v>
      </c>
      <c r="I160" s="438" t="s">
        <v>207</v>
      </c>
      <c r="J160" s="438">
        <v>15.5</v>
      </c>
      <c r="K160" s="438" t="s">
        <v>583</v>
      </c>
      <c r="L160" s="430" t="str">
        <f t="shared" si="54"/>
        <v>44364S-4679</v>
      </c>
      <c r="M160" s="430"/>
      <c r="N160" s="461"/>
      <c r="O160" s="461">
        <v>314</v>
      </c>
      <c r="P160" s="430">
        <f t="shared" si="46"/>
        <v>152.5</v>
      </c>
      <c r="Q160" s="430" t="str">
        <f t="shared" si="47"/>
        <v/>
      </c>
      <c r="R160" s="430" t="str">
        <f t="shared" si="48"/>
        <v/>
      </c>
      <c r="S160" s="430" t="str">
        <f t="shared" si="49"/>
        <v/>
      </c>
      <c r="T160" s="430" t="str">
        <f t="shared" si="50"/>
        <v/>
      </c>
      <c r="U160" s="430" t="str">
        <f t="shared" si="51"/>
        <v/>
      </c>
      <c r="V160" s="430" t="str">
        <f t="shared" si="52"/>
        <v/>
      </c>
      <c r="W160" s="430">
        <f t="shared" si="53"/>
        <v>1138</v>
      </c>
      <c r="X160" s="449"/>
      <c r="Z160" s="450"/>
      <c r="AA160" s="449"/>
      <c r="AB160" s="451"/>
      <c r="AC160" s="450"/>
      <c r="AD160" s="449"/>
      <c r="AE160" s="451"/>
      <c r="AF160" s="450"/>
      <c r="AG160" s="449"/>
      <c r="AH160" s="451"/>
      <c r="AI160" s="450"/>
      <c r="AJ160" s="449"/>
      <c r="AK160" s="451"/>
      <c r="AL160" s="450"/>
      <c r="AM160" s="449"/>
      <c r="AN160" s="451"/>
      <c r="AO160" s="450"/>
      <c r="AP160" s="449"/>
      <c r="AQ160" s="451"/>
      <c r="AR160" s="449"/>
      <c r="AS160" s="449"/>
      <c r="AT160" s="451"/>
      <c r="AU160" s="449"/>
      <c r="AV160" s="451"/>
      <c r="AW160" s="449"/>
      <c r="AX160" s="449"/>
      <c r="AY160" s="449"/>
      <c r="AZ160" s="449"/>
      <c r="BA160" s="449"/>
      <c r="BB160" s="449"/>
      <c r="BC160" s="449"/>
      <c r="BD160" s="449"/>
      <c r="BE160" s="449"/>
      <c r="BF160" s="449"/>
      <c r="BG160" s="449"/>
      <c r="BH160" s="449"/>
      <c r="BI160" s="449"/>
      <c r="BJ160" s="449"/>
      <c r="BK160" s="449"/>
      <c r="BL160" s="449"/>
      <c r="BM160" s="449"/>
      <c r="BN160" s="449"/>
    </row>
    <row r="161" spans="1:66" ht="13.15" x14ac:dyDescent="0.4">
      <c r="A161" s="469" t="s">
        <v>609</v>
      </c>
      <c r="B161" s="430" t="s">
        <v>667</v>
      </c>
      <c r="C161" s="463">
        <v>44364</v>
      </c>
      <c r="D161" s="430" t="s">
        <v>66</v>
      </c>
      <c r="E161" s="430">
        <v>29</v>
      </c>
      <c r="F161" s="430">
        <v>40</v>
      </c>
      <c r="G161" s="430" t="s">
        <v>152</v>
      </c>
      <c r="H161" s="461" t="s">
        <v>50</v>
      </c>
      <c r="I161" s="438" t="s">
        <v>152</v>
      </c>
      <c r="J161" s="438">
        <v>16.5</v>
      </c>
      <c r="K161" s="438" t="s">
        <v>586</v>
      </c>
      <c r="L161" s="430" t="str">
        <f t="shared" si="54"/>
        <v>44364S-4929</v>
      </c>
      <c r="M161" s="430"/>
      <c r="N161" s="461"/>
      <c r="O161" s="461">
        <v>440</v>
      </c>
      <c r="P161" s="430">
        <f t="shared" si="46"/>
        <v>172.5</v>
      </c>
      <c r="Q161" s="430" t="str">
        <f t="shared" si="47"/>
        <v/>
      </c>
      <c r="R161" s="430" t="str">
        <f t="shared" si="48"/>
        <v/>
      </c>
      <c r="S161" s="430" t="str">
        <f t="shared" si="49"/>
        <v/>
      </c>
      <c r="T161" s="430" t="str">
        <f t="shared" si="50"/>
        <v/>
      </c>
      <c r="U161" s="430" t="str">
        <f t="shared" si="51"/>
        <v/>
      </c>
      <c r="V161" s="430" t="str">
        <f t="shared" si="52"/>
        <v/>
      </c>
      <c r="W161" s="430">
        <f t="shared" si="53"/>
        <v>1450</v>
      </c>
      <c r="X161" s="449"/>
      <c r="Z161" s="450"/>
      <c r="AA161" s="449"/>
      <c r="AB161" s="451"/>
      <c r="AC161" s="450"/>
      <c r="AD161" s="449"/>
      <c r="AE161" s="451"/>
      <c r="AF161" s="450"/>
      <c r="AG161" s="449"/>
      <c r="AH161" s="451"/>
      <c r="AI161" s="450"/>
      <c r="AJ161" s="449"/>
      <c r="AK161" s="451"/>
      <c r="AL161" s="450"/>
      <c r="AM161" s="449"/>
      <c r="AN161" s="451"/>
      <c r="AO161" s="450"/>
      <c r="AP161" s="449"/>
      <c r="AQ161" s="451"/>
      <c r="AR161" s="449"/>
      <c r="AS161" s="449"/>
      <c r="AT161" s="451"/>
      <c r="AU161" s="449"/>
      <c r="AV161" s="451"/>
      <c r="AW161" s="449"/>
      <c r="AX161" s="449"/>
      <c r="AY161" s="449"/>
      <c r="AZ161" s="449"/>
      <c r="BA161" s="449"/>
      <c r="BB161" s="449"/>
      <c r="BC161" s="449"/>
      <c r="BD161" s="449"/>
      <c r="BE161" s="449"/>
      <c r="BF161" s="449"/>
      <c r="BG161" s="449"/>
      <c r="BH161" s="449"/>
      <c r="BI161" s="449"/>
      <c r="BJ161" s="449"/>
      <c r="BK161" s="449"/>
      <c r="BL161" s="449"/>
      <c r="BM161" s="449"/>
      <c r="BN161" s="449"/>
    </row>
    <row r="162" spans="1:66" ht="13.15" x14ac:dyDescent="0.4">
      <c r="A162" s="468" t="s">
        <v>669</v>
      </c>
      <c r="B162" s="464" t="s">
        <v>668</v>
      </c>
      <c r="C162" s="465">
        <v>44371</v>
      </c>
      <c r="D162" s="464" t="s">
        <v>42</v>
      </c>
      <c r="E162" s="464">
        <v>8</v>
      </c>
      <c r="F162" s="464">
        <v>10</v>
      </c>
      <c r="G162" s="464" t="s">
        <v>342</v>
      </c>
      <c r="H162" s="466" t="s">
        <v>603</v>
      </c>
      <c r="I162" s="446" t="s">
        <v>670</v>
      </c>
      <c r="J162" s="446">
        <v>9</v>
      </c>
      <c r="K162" s="446" t="s">
        <v>502</v>
      </c>
      <c r="L162" s="464" t="str">
        <f t="shared" si="54"/>
        <v>44371S-13272</v>
      </c>
      <c r="M162" s="464"/>
      <c r="N162" s="466"/>
      <c r="O162" s="466">
        <v>1400</v>
      </c>
      <c r="P162" s="430">
        <f t="shared" si="46"/>
        <v>45</v>
      </c>
      <c r="Q162" s="430" t="str">
        <f t="shared" si="47"/>
        <v/>
      </c>
      <c r="R162" s="430" t="str">
        <f t="shared" si="48"/>
        <v/>
      </c>
      <c r="S162" s="430" t="str">
        <f t="shared" si="49"/>
        <v/>
      </c>
      <c r="T162" s="430" t="str">
        <f t="shared" si="50"/>
        <v/>
      </c>
      <c r="U162" s="430" t="str">
        <f t="shared" si="51"/>
        <v/>
      </c>
      <c r="V162" s="430" t="str">
        <f t="shared" si="52"/>
        <v/>
      </c>
      <c r="W162" s="430" t="str">
        <f t="shared" si="53"/>
        <v/>
      </c>
      <c r="X162" s="449"/>
      <c r="Z162" s="450"/>
      <c r="AA162" s="449"/>
      <c r="AB162" s="451"/>
      <c r="AC162" s="450"/>
      <c r="AD162" s="449"/>
      <c r="AE162" s="451"/>
      <c r="AF162" s="450"/>
      <c r="AG162" s="449"/>
      <c r="AH162" s="451"/>
      <c r="AI162" s="450"/>
      <c r="AJ162" s="449"/>
      <c r="AK162" s="451"/>
      <c r="AL162" s="450"/>
      <c r="AM162" s="449"/>
      <c r="AN162" s="451"/>
      <c r="AO162" s="450"/>
      <c r="AP162" s="449"/>
      <c r="AQ162" s="451"/>
      <c r="AR162" s="449"/>
      <c r="AS162" s="449"/>
      <c r="AT162" s="451"/>
      <c r="AU162" s="449"/>
      <c r="AV162" s="451"/>
      <c r="AW162" s="449"/>
      <c r="AX162" s="449"/>
      <c r="AY162" s="449"/>
      <c r="AZ162" s="449"/>
      <c r="BA162" s="449"/>
      <c r="BB162" s="449"/>
      <c r="BC162" s="449"/>
      <c r="BD162" s="449"/>
      <c r="BE162" s="449"/>
      <c r="BF162" s="449"/>
      <c r="BG162" s="449"/>
      <c r="BH162" s="449"/>
      <c r="BI162" s="449"/>
      <c r="BJ162" s="449"/>
      <c r="BK162" s="449"/>
      <c r="BL162" s="449"/>
      <c r="BM162" s="449"/>
      <c r="BN162" s="449"/>
    </row>
    <row r="163" spans="1:66" ht="13.15" x14ac:dyDescent="0.4">
      <c r="A163" s="430" t="s">
        <v>672</v>
      </c>
      <c r="B163" s="430" t="s">
        <v>671</v>
      </c>
      <c r="C163" s="463">
        <v>44371</v>
      </c>
      <c r="D163" s="430" t="s">
        <v>66</v>
      </c>
      <c r="E163" s="430">
        <v>39</v>
      </c>
      <c r="F163" s="430">
        <v>53</v>
      </c>
      <c r="G163" s="430" t="s">
        <v>209</v>
      </c>
      <c r="H163" s="461" t="s">
        <v>51</v>
      </c>
      <c r="I163" s="438" t="s">
        <v>209</v>
      </c>
      <c r="J163" s="438">
        <v>35</v>
      </c>
      <c r="K163" s="438" t="s">
        <v>553</v>
      </c>
      <c r="L163" s="430" t="str">
        <f t="shared" si="54"/>
        <v>44371S-11251</v>
      </c>
      <c r="M163" s="430"/>
      <c r="N163" s="461"/>
      <c r="O163" s="461">
        <v>1424.95</v>
      </c>
      <c r="P163" s="430">
        <f t="shared" si="46"/>
        <v>230</v>
      </c>
      <c r="Q163" s="430" t="str">
        <f t="shared" si="47"/>
        <v/>
      </c>
      <c r="R163" s="430" t="str">
        <f t="shared" si="48"/>
        <v/>
      </c>
      <c r="S163" s="430" t="str">
        <f t="shared" si="49"/>
        <v/>
      </c>
      <c r="T163" s="430">
        <f t="shared" si="50"/>
        <v>240</v>
      </c>
      <c r="U163" s="430" t="str">
        <f t="shared" si="51"/>
        <v/>
      </c>
      <c r="V163" s="430" t="str">
        <f t="shared" si="52"/>
        <v/>
      </c>
      <c r="W163" s="430">
        <f t="shared" si="53"/>
        <v>2584</v>
      </c>
      <c r="X163" s="449"/>
      <c r="Z163" s="450"/>
      <c r="AA163" s="449"/>
      <c r="AB163" s="451"/>
      <c r="AC163" s="450"/>
      <c r="AD163" s="449"/>
      <c r="AE163" s="451"/>
      <c r="AF163" s="450"/>
      <c r="AG163" s="449"/>
      <c r="AH163" s="451"/>
      <c r="AI163" s="450"/>
      <c r="AJ163" s="449"/>
      <c r="AK163" s="451"/>
      <c r="AL163" s="450"/>
      <c r="AM163" s="449"/>
      <c r="AN163" s="451"/>
      <c r="AO163" s="450"/>
      <c r="AP163" s="449"/>
      <c r="AQ163" s="451"/>
      <c r="AR163" s="449"/>
      <c r="AS163" s="449"/>
      <c r="AT163" s="451"/>
      <c r="AU163" s="449"/>
      <c r="AV163" s="451"/>
      <c r="AW163" s="449"/>
      <c r="AX163" s="449"/>
      <c r="AY163" s="449"/>
      <c r="AZ163" s="449"/>
      <c r="BA163" s="449"/>
      <c r="BB163" s="449"/>
      <c r="BC163" s="449"/>
      <c r="BD163" s="449"/>
      <c r="BE163" s="449"/>
      <c r="BF163" s="449"/>
      <c r="BG163" s="449"/>
      <c r="BH163" s="449"/>
      <c r="BI163" s="449"/>
      <c r="BJ163" s="449"/>
      <c r="BK163" s="449"/>
      <c r="BL163" s="449"/>
      <c r="BM163" s="449"/>
      <c r="BN163" s="449"/>
    </row>
    <row r="164" spans="1:66" ht="13.15" x14ac:dyDescent="0.4">
      <c r="A164" s="469" t="s">
        <v>446</v>
      </c>
      <c r="B164" s="430" t="s">
        <v>673</v>
      </c>
      <c r="C164" s="463">
        <v>44371</v>
      </c>
      <c r="D164" s="430" t="s">
        <v>66</v>
      </c>
      <c r="E164" s="430">
        <v>32</v>
      </c>
      <c r="F164" s="430">
        <v>32</v>
      </c>
      <c r="G164" s="430" t="s">
        <v>210</v>
      </c>
      <c r="H164" s="461" t="s">
        <v>558</v>
      </c>
      <c r="I164" s="438" t="s">
        <v>45</v>
      </c>
      <c r="J164" s="438">
        <v>3</v>
      </c>
      <c r="K164" s="438" t="s">
        <v>595</v>
      </c>
      <c r="L164" s="430" t="str">
        <f t="shared" si="54"/>
        <v>44371S-6241</v>
      </c>
      <c r="M164" s="430"/>
      <c r="N164" s="461"/>
      <c r="O164" s="461">
        <v>339</v>
      </c>
      <c r="P164" s="430">
        <f t="shared" si="46"/>
        <v>160</v>
      </c>
      <c r="Q164" s="430" t="str">
        <f t="shared" si="47"/>
        <v/>
      </c>
      <c r="R164" s="430" t="str">
        <f t="shared" si="48"/>
        <v/>
      </c>
      <c r="S164" s="430" t="str">
        <f t="shared" si="49"/>
        <v/>
      </c>
      <c r="T164" s="430" t="str">
        <f t="shared" si="50"/>
        <v/>
      </c>
      <c r="U164" s="430" t="str">
        <f t="shared" si="51"/>
        <v/>
      </c>
      <c r="V164" s="430" t="str">
        <f t="shared" si="52"/>
        <v/>
      </c>
      <c r="W164" s="430">
        <f t="shared" si="53"/>
        <v>1280</v>
      </c>
      <c r="X164" s="449"/>
      <c r="Z164" s="450"/>
      <c r="AA164" s="449"/>
      <c r="AB164" s="451"/>
      <c r="AC164" s="450"/>
      <c r="AD164" s="449"/>
      <c r="AE164" s="451"/>
      <c r="AF164" s="450"/>
      <c r="AG164" s="449"/>
      <c r="AH164" s="451"/>
      <c r="AI164" s="450"/>
      <c r="AJ164" s="449"/>
      <c r="AK164" s="451"/>
      <c r="AL164" s="450"/>
      <c r="AM164" s="449"/>
      <c r="AN164" s="451"/>
      <c r="AO164" s="450"/>
      <c r="AP164" s="449"/>
      <c r="AQ164" s="451"/>
      <c r="AR164" s="449"/>
      <c r="AS164" s="449"/>
      <c r="AT164" s="451"/>
      <c r="AU164" s="449"/>
      <c r="AV164" s="451"/>
      <c r="AW164" s="449"/>
      <c r="AX164" s="449"/>
      <c r="AY164" s="449"/>
      <c r="AZ164" s="449"/>
      <c r="BA164" s="449"/>
      <c r="BB164" s="449"/>
      <c r="BC164" s="449"/>
      <c r="BD164" s="449"/>
      <c r="BE164" s="449"/>
      <c r="BF164" s="449"/>
      <c r="BG164" s="449"/>
      <c r="BH164" s="449"/>
      <c r="BI164" s="449"/>
      <c r="BJ164" s="449"/>
      <c r="BK164" s="449"/>
      <c r="BL164" s="449"/>
      <c r="BM164" s="449"/>
      <c r="BN164" s="449"/>
    </row>
    <row r="165" spans="1:66" ht="13.15" x14ac:dyDescent="0.4">
      <c r="A165" s="430" t="s">
        <v>437</v>
      </c>
      <c r="B165" s="430" t="s">
        <v>674</v>
      </c>
      <c r="C165" s="463">
        <v>44371</v>
      </c>
      <c r="D165" s="430" t="s">
        <v>66</v>
      </c>
      <c r="E165" s="430">
        <v>41</v>
      </c>
      <c r="F165" s="430">
        <v>60</v>
      </c>
      <c r="G165" s="430" t="s">
        <v>212</v>
      </c>
      <c r="H165" s="461" t="s">
        <v>51</v>
      </c>
      <c r="I165" s="438" t="s">
        <v>675</v>
      </c>
      <c r="J165" s="438">
        <v>262</v>
      </c>
      <c r="K165" s="438" t="s">
        <v>384</v>
      </c>
      <c r="L165" s="430" t="str">
        <f t="shared" si="54"/>
        <v>44371CRATE</v>
      </c>
      <c r="M165" s="430"/>
      <c r="N165" s="461"/>
      <c r="O165" s="461">
        <f t="shared" ref="O165:O167" si="58">3872.35/3</f>
        <v>1290.7833333333333</v>
      </c>
      <c r="P165" s="430">
        <f t="shared" si="46"/>
        <v>252.5</v>
      </c>
      <c r="Q165" s="430" t="str">
        <f t="shared" si="47"/>
        <v/>
      </c>
      <c r="R165" s="430" t="str">
        <f t="shared" si="48"/>
        <v/>
      </c>
      <c r="S165" s="430" t="str">
        <f t="shared" si="49"/>
        <v/>
      </c>
      <c r="T165" s="430">
        <f t="shared" si="50"/>
        <v>262.5</v>
      </c>
      <c r="U165" s="430" t="str">
        <f t="shared" si="51"/>
        <v/>
      </c>
      <c r="V165" s="430" t="str">
        <f t="shared" si="52"/>
        <v/>
      </c>
      <c r="W165" s="430">
        <f t="shared" si="53"/>
        <v>3075</v>
      </c>
      <c r="X165" s="449"/>
      <c r="Z165" s="450"/>
      <c r="AA165" s="449"/>
      <c r="AB165" s="451"/>
      <c r="AC165" s="450"/>
      <c r="AD165" s="449"/>
      <c r="AE165" s="451"/>
      <c r="AF165" s="450"/>
      <c r="AG165" s="449"/>
      <c r="AH165" s="451"/>
      <c r="AI165" s="450"/>
      <c r="AJ165" s="449"/>
      <c r="AK165" s="451"/>
      <c r="AL165" s="450"/>
      <c r="AM165" s="449"/>
      <c r="AN165" s="451"/>
      <c r="AO165" s="450"/>
      <c r="AP165" s="449"/>
      <c r="AQ165" s="451"/>
      <c r="AR165" s="449"/>
      <c r="AS165" s="449"/>
      <c r="AT165" s="451"/>
      <c r="AU165" s="449"/>
      <c r="AV165" s="451"/>
      <c r="AW165" s="449"/>
      <c r="AX165" s="449"/>
      <c r="AY165" s="449"/>
      <c r="AZ165" s="449"/>
      <c r="BA165" s="449"/>
      <c r="BB165" s="449"/>
      <c r="BC165" s="449"/>
      <c r="BD165" s="449"/>
      <c r="BE165" s="449"/>
      <c r="BF165" s="449"/>
      <c r="BG165" s="449"/>
      <c r="BH165" s="449"/>
      <c r="BI165" s="449"/>
      <c r="BJ165" s="449"/>
      <c r="BK165" s="449"/>
      <c r="BL165" s="449"/>
      <c r="BM165" s="449"/>
      <c r="BN165" s="449"/>
    </row>
    <row r="166" spans="1:66" ht="13.15" x14ac:dyDescent="0.4">
      <c r="A166" s="430" t="s">
        <v>483</v>
      </c>
      <c r="B166" s="430" t="s">
        <v>674</v>
      </c>
      <c r="C166" s="463">
        <v>44371</v>
      </c>
      <c r="D166" s="430" t="s">
        <v>66</v>
      </c>
      <c r="E166" s="430">
        <v>30</v>
      </c>
      <c r="F166" s="430">
        <v>48</v>
      </c>
      <c r="G166" s="430" t="s">
        <v>61</v>
      </c>
      <c r="H166" s="461" t="s">
        <v>51</v>
      </c>
      <c r="I166" s="438" t="s">
        <v>353</v>
      </c>
      <c r="J166" s="438" t="s">
        <v>602</v>
      </c>
      <c r="K166" s="438" t="s">
        <v>384</v>
      </c>
      <c r="L166" s="430" t="str">
        <f t="shared" si="54"/>
        <v>44371CRATE</v>
      </c>
      <c r="M166" s="430"/>
      <c r="N166" s="461"/>
      <c r="O166" s="461">
        <f t="shared" si="58"/>
        <v>1290.7833333333333</v>
      </c>
      <c r="P166" s="430">
        <f t="shared" si="46"/>
        <v>195</v>
      </c>
      <c r="Q166" s="430" t="str">
        <f t="shared" si="47"/>
        <v/>
      </c>
      <c r="R166" s="430" t="str">
        <f t="shared" si="48"/>
        <v/>
      </c>
      <c r="S166" s="430" t="str">
        <f t="shared" si="49"/>
        <v/>
      </c>
      <c r="T166" s="430">
        <f t="shared" si="50"/>
        <v>205</v>
      </c>
      <c r="U166" s="430" t="str">
        <f t="shared" si="51"/>
        <v/>
      </c>
      <c r="V166" s="430" t="str">
        <f t="shared" si="52"/>
        <v/>
      </c>
      <c r="W166" s="430">
        <f t="shared" si="53"/>
        <v>1800</v>
      </c>
      <c r="X166" s="449"/>
      <c r="Z166" s="450"/>
      <c r="AA166" s="449"/>
      <c r="AB166" s="451"/>
      <c r="AC166" s="450"/>
      <c r="AD166" s="449"/>
      <c r="AE166" s="451"/>
      <c r="AF166" s="450"/>
      <c r="AG166" s="449"/>
      <c r="AH166" s="451"/>
      <c r="AI166" s="450"/>
      <c r="AJ166" s="449"/>
      <c r="AK166" s="451"/>
      <c r="AL166" s="450"/>
      <c r="AM166" s="449"/>
      <c r="AN166" s="451"/>
      <c r="AO166" s="450"/>
      <c r="AP166" s="449"/>
      <c r="AQ166" s="451"/>
      <c r="AR166" s="449"/>
      <c r="AS166" s="449"/>
      <c r="AT166" s="451"/>
      <c r="AU166" s="449"/>
      <c r="AV166" s="451"/>
      <c r="AW166" s="449"/>
      <c r="AX166" s="449"/>
      <c r="AY166" s="449"/>
      <c r="AZ166" s="449"/>
      <c r="BA166" s="449"/>
      <c r="BB166" s="449"/>
      <c r="BC166" s="449"/>
      <c r="BD166" s="449"/>
      <c r="BE166" s="449"/>
      <c r="BF166" s="449"/>
      <c r="BG166" s="449"/>
      <c r="BH166" s="449"/>
      <c r="BI166" s="449"/>
      <c r="BJ166" s="449"/>
      <c r="BK166" s="449"/>
      <c r="BL166" s="449"/>
      <c r="BM166" s="449"/>
      <c r="BN166" s="449"/>
    </row>
    <row r="167" spans="1:66" ht="13.15" x14ac:dyDescent="0.4">
      <c r="A167" s="430" t="s">
        <v>676</v>
      </c>
      <c r="B167" s="430" t="s">
        <v>674</v>
      </c>
      <c r="C167" s="463">
        <v>44371</v>
      </c>
      <c r="D167" s="430" t="s">
        <v>66</v>
      </c>
      <c r="E167" s="430">
        <v>40</v>
      </c>
      <c r="F167" s="430">
        <v>40</v>
      </c>
      <c r="G167" s="430" t="s">
        <v>214</v>
      </c>
      <c r="H167" s="461" t="s">
        <v>51</v>
      </c>
      <c r="I167" s="438" t="s">
        <v>378</v>
      </c>
      <c r="J167" s="438" t="s">
        <v>602</v>
      </c>
      <c r="K167" s="438" t="s">
        <v>384</v>
      </c>
      <c r="L167" s="430" t="str">
        <f t="shared" si="54"/>
        <v>44371CRATE</v>
      </c>
      <c r="M167" s="430"/>
      <c r="N167" s="461"/>
      <c r="O167" s="461">
        <f t="shared" si="58"/>
        <v>1290.7833333333333</v>
      </c>
      <c r="P167" s="430">
        <f t="shared" si="46"/>
        <v>200</v>
      </c>
      <c r="Q167" s="430" t="str">
        <f t="shared" si="47"/>
        <v/>
      </c>
      <c r="R167" s="430" t="str">
        <f t="shared" si="48"/>
        <v/>
      </c>
      <c r="S167" s="430" t="str">
        <f t="shared" si="49"/>
        <v/>
      </c>
      <c r="T167" s="430">
        <f t="shared" si="50"/>
        <v>210</v>
      </c>
      <c r="U167" s="430" t="str">
        <f t="shared" si="51"/>
        <v/>
      </c>
      <c r="V167" s="430" t="str">
        <f t="shared" si="52"/>
        <v/>
      </c>
      <c r="W167" s="430">
        <f t="shared" si="53"/>
        <v>2000</v>
      </c>
      <c r="X167" s="449"/>
      <c r="Z167" s="450"/>
      <c r="AA167" s="449"/>
      <c r="AB167" s="451"/>
      <c r="AC167" s="450"/>
      <c r="AD167" s="449"/>
      <c r="AE167" s="451"/>
      <c r="AF167" s="450"/>
      <c r="AG167" s="449"/>
      <c r="AH167" s="451"/>
      <c r="AI167" s="450"/>
      <c r="AJ167" s="449"/>
      <c r="AK167" s="451"/>
      <c r="AL167" s="450"/>
      <c r="AM167" s="449"/>
      <c r="AN167" s="451"/>
      <c r="AO167" s="450"/>
      <c r="AP167" s="449"/>
      <c r="AQ167" s="451"/>
      <c r="AR167" s="449"/>
      <c r="AS167" s="449"/>
      <c r="AT167" s="451"/>
      <c r="AU167" s="449"/>
      <c r="AV167" s="451"/>
      <c r="AW167" s="449"/>
      <c r="AX167" s="449"/>
      <c r="AY167" s="449"/>
      <c r="AZ167" s="449"/>
      <c r="BA167" s="449"/>
      <c r="BB167" s="449"/>
      <c r="BC167" s="449"/>
      <c r="BD167" s="449"/>
      <c r="BE167" s="449"/>
      <c r="BF167" s="449"/>
      <c r="BG167" s="449"/>
      <c r="BH167" s="449"/>
      <c r="BI167" s="449"/>
      <c r="BJ167" s="449"/>
      <c r="BK167" s="449"/>
      <c r="BL167" s="449"/>
      <c r="BM167" s="449"/>
      <c r="BN167" s="449"/>
    </row>
    <row r="168" spans="1:66" ht="13.15" x14ac:dyDescent="0.4">
      <c r="A168" s="469" t="s">
        <v>585</v>
      </c>
      <c r="B168" s="430" t="s">
        <v>638</v>
      </c>
      <c r="C168" s="463">
        <v>44371</v>
      </c>
      <c r="D168" s="430" t="s">
        <v>54</v>
      </c>
      <c r="E168" s="430">
        <v>29</v>
      </c>
      <c r="F168" s="430">
        <v>48</v>
      </c>
      <c r="G168" s="430" t="s">
        <v>159</v>
      </c>
      <c r="H168" s="461" t="s">
        <v>1</v>
      </c>
      <c r="I168" s="438" t="s">
        <v>309</v>
      </c>
      <c r="J168" s="438">
        <v>37</v>
      </c>
      <c r="K168" s="438" t="s">
        <v>509</v>
      </c>
      <c r="L168" s="430" t="str">
        <f t="shared" si="54"/>
        <v>44371S-17587</v>
      </c>
      <c r="M168" s="430"/>
      <c r="N168" s="461"/>
      <c r="O168" s="461">
        <v>2880</v>
      </c>
      <c r="P168" s="430" t="str">
        <f t="shared" si="46"/>
        <v/>
      </c>
      <c r="Q168" s="430" t="str">
        <f t="shared" si="47"/>
        <v/>
      </c>
      <c r="R168" s="430" t="str">
        <f t="shared" si="48"/>
        <v/>
      </c>
      <c r="S168" s="430">
        <f t="shared" si="49"/>
        <v>202.5</v>
      </c>
      <c r="T168" s="430" t="str">
        <f t="shared" si="50"/>
        <v/>
      </c>
      <c r="U168" s="430" t="str">
        <f t="shared" si="51"/>
        <v/>
      </c>
      <c r="V168" s="430" t="str">
        <f t="shared" si="52"/>
        <v/>
      </c>
      <c r="W168" s="430" t="str">
        <f t="shared" si="53"/>
        <v/>
      </c>
      <c r="X168" s="449"/>
      <c r="Z168" s="450"/>
      <c r="AA168" s="449"/>
      <c r="AB168" s="451"/>
      <c r="AC168" s="450"/>
      <c r="AD168" s="449"/>
      <c r="AE168" s="451"/>
      <c r="AF168" s="450"/>
      <c r="AG168" s="449"/>
      <c r="AH168" s="451"/>
      <c r="AI168" s="450"/>
      <c r="AJ168" s="449"/>
      <c r="AK168" s="451"/>
      <c r="AL168" s="450"/>
      <c r="AM168" s="449"/>
      <c r="AN168" s="451"/>
      <c r="AO168" s="450"/>
      <c r="AP168" s="449"/>
      <c r="AQ168" s="451"/>
      <c r="AR168" s="449"/>
      <c r="AS168" s="449"/>
      <c r="AT168" s="451"/>
      <c r="AU168" s="449"/>
      <c r="AV168" s="451"/>
      <c r="AW168" s="449"/>
      <c r="AX168" s="449"/>
      <c r="AY168" s="449"/>
      <c r="AZ168" s="449"/>
      <c r="BA168" s="449"/>
      <c r="BB168" s="449"/>
      <c r="BC168" s="449"/>
      <c r="BD168" s="449"/>
      <c r="BE168" s="449"/>
      <c r="BF168" s="449"/>
      <c r="BG168" s="449"/>
      <c r="BH168" s="449"/>
      <c r="BI168" s="449"/>
      <c r="BJ168" s="449"/>
      <c r="BK168" s="449"/>
      <c r="BL168" s="449"/>
      <c r="BM168" s="449"/>
      <c r="BN168" s="449"/>
    </row>
    <row r="169" spans="1:66" ht="13.15" x14ac:dyDescent="0.4">
      <c r="A169" s="469" t="s">
        <v>677</v>
      </c>
      <c r="B169" s="430" t="s">
        <v>652</v>
      </c>
      <c r="C169" s="463">
        <v>44371</v>
      </c>
      <c r="D169" s="430" t="s">
        <v>66</v>
      </c>
      <c r="E169" s="430">
        <v>20</v>
      </c>
      <c r="F169" s="430">
        <v>28</v>
      </c>
      <c r="G169" s="430" t="s">
        <v>128</v>
      </c>
      <c r="H169" s="461" t="s">
        <v>50</v>
      </c>
      <c r="I169" s="438" t="s">
        <v>128</v>
      </c>
      <c r="J169" s="438">
        <v>9</v>
      </c>
      <c r="K169" s="438" t="s">
        <v>589</v>
      </c>
      <c r="L169" s="430" t="str">
        <f t="shared" si="54"/>
        <v>44371S-4947</v>
      </c>
      <c r="M169" s="430"/>
      <c r="N169" s="461"/>
      <c r="O169" s="461">
        <v>279.8</v>
      </c>
      <c r="P169" s="430">
        <f t="shared" si="46"/>
        <v>120</v>
      </c>
      <c r="Q169" s="430" t="str">
        <f t="shared" si="47"/>
        <v/>
      </c>
      <c r="R169" s="430" t="str">
        <f t="shared" si="48"/>
        <v/>
      </c>
      <c r="S169" s="430" t="str">
        <f t="shared" si="49"/>
        <v/>
      </c>
      <c r="T169" s="430" t="str">
        <f t="shared" si="50"/>
        <v/>
      </c>
      <c r="U169" s="430" t="str">
        <f t="shared" si="51"/>
        <v/>
      </c>
      <c r="V169" s="430" t="str">
        <f t="shared" si="52"/>
        <v/>
      </c>
      <c r="W169" s="430">
        <f t="shared" si="53"/>
        <v>700</v>
      </c>
      <c r="X169" s="449"/>
      <c r="Z169" s="450"/>
      <c r="AA169" s="449"/>
      <c r="AB169" s="451"/>
      <c r="AC169" s="450"/>
      <c r="AD169" s="449"/>
      <c r="AE169" s="451"/>
      <c r="AF169" s="450"/>
      <c r="AG169" s="449"/>
      <c r="AH169" s="451"/>
      <c r="AI169" s="450"/>
      <c r="AJ169" s="449"/>
      <c r="AK169" s="451"/>
      <c r="AL169" s="450"/>
      <c r="AM169" s="449"/>
      <c r="AN169" s="451"/>
      <c r="AO169" s="450"/>
      <c r="AP169" s="449"/>
      <c r="AQ169" s="451"/>
      <c r="AR169" s="449"/>
      <c r="AS169" s="449"/>
      <c r="AT169" s="451"/>
      <c r="AU169" s="449"/>
      <c r="AV169" s="451"/>
      <c r="AW169" s="449"/>
      <c r="AX169" s="449"/>
      <c r="AY169" s="449"/>
      <c r="AZ169" s="449"/>
      <c r="BA169" s="449"/>
      <c r="BB169" s="449"/>
      <c r="BC169" s="449"/>
      <c r="BD169" s="449"/>
      <c r="BE169" s="449"/>
      <c r="BF169" s="449"/>
      <c r="BG169" s="449"/>
      <c r="BH169" s="449"/>
      <c r="BI169" s="449"/>
      <c r="BJ169" s="449"/>
      <c r="BK169" s="449"/>
      <c r="BL169" s="449"/>
      <c r="BM169" s="449"/>
      <c r="BN169" s="449"/>
    </row>
    <row r="170" spans="1:66" ht="13.15" x14ac:dyDescent="0.4">
      <c r="A170" s="469" t="s">
        <v>446</v>
      </c>
      <c r="B170" s="430" t="s">
        <v>678</v>
      </c>
      <c r="C170" s="463">
        <v>44371</v>
      </c>
      <c r="D170" s="430" t="s">
        <v>66</v>
      </c>
      <c r="E170" s="430">
        <v>34</v>
      </c>
      <c r="F170" s="430">
        <v>34</v>
      </c>
      <c r="G170" s="430" t="s">
        <v>180</v>
      </c>
      <c r="H170" s="461" t="s">
        <v>50</v>
      </c>
      <c r="I170" s="438" t="s">
        <v>180</v>
      </c>
      <c r="J170" s="438">
        <v>17</v>
      </c>
      <c r="K170" s="438" t="s">
        <v>586</v>
      </c>
      <c r="L170" s="430" t="str">
        <f t="shared" si="54"/>
        <v>44371S-4929</v>
      </c>
      <c r="M170" s="430"/>
      <c r="N170" s="461"/>
      <c r="O170" s="461">
        <v>444.09</v>
      </c>
      <c r="P170" s="430">
        <f t="shared" si="46"/>
        <v>170</v>
      </c>
      <c r="Q170" s="430" t="str">
        <f t="shared" si="47"/>
        <v/>
      </c>
      <c r="R170" s="430" t="str">
        <f t="shared" si="48"/>
        <v/>
      </c>
      <c r="S170" s="430" t="str">
        <f t="shared" si="49"/>
        <v/>
      </c>
      <c r="T170" s="430" t="str">
        <f t="shared" si="50"/>
        <v/>
      </c>
      <c r="U170" s="430" t="str">
        <f t="shared" si="51"/>
        <v/>
      </c>
      <c r="V170" s="430" t="str">
        <f t="shared" si="52"/>
        <v/>
      </c>
      <c r="W170" s="430">
        <f t="shared" si="53"/>
        <v>1445</v>
      </c>
      <c r="X170" s="449"/>
      <c r="Z170" s="450"/>
      <c r="AA170" s="449"/>
      <c r="AB170" s="451"/>
      <c r="AC170" s="450"/>
      <c r="AD170" s="449"/>
      <c r="AE170" s="451"/>
      <c r="AF170" s="450"/>
      <c r="AG170" s="449"/>
      <c r="AH170" s="451"/>
      <c r="AI170" s="450"/>
      <c r="AJ170" s="449"/>
      <c r="AK170" s="451"/>
      <c r="AL170" s="450"/>
      <c r="AM170" s="449"/>
      <c r="AN170" s="451"/>
      <c r="AO170" s="450"/>
      <c r="AP170" s="449"/>
      <c r="AQ170" s="451"/>
      <c r="AR170" s="449"/>
      <c r="AS170" s="449"/>
      <c r="AT170" s="451"/>
      <c r="AU170" s="449"/>
      <c r="AV170" s="451"/>
      <c r="AW170" s="449"/>
      <c r="AX170" s="449"/>
      <c r="AY170" s="449"/>
      <c r="AZ170" s="449"/>
      <c r="BA170" s="449"/>
      <c r="BB170" s="449"/>
      <c r="BC170" s="449"/>
      <c r="BD170" s="449"/>
      <c r="BE170" s="449"/>
      <c r="BF170" s="449"/>
      <c r="BG170" s="449"/>
      <c r="BH170" s="449"/>
      <c r="BI170" s="449"/>
      <c r="BJ170" s="449"/>
      <c r="BK170" s="449"/>
      <c r="BL170" s="449"/>
      <c r="BM170" s="449"/>
      <c r="BN170" s="449"/>
    </row>
    <row r="171" spans="1:66" ht="13.15" x14ac:dyDescent="0.4">
      <c r="A171" s="469" t="s">
        <v>308</v>
      </c>
      <c r="B171" s="430" t="s">
        <v>679</v>
      </c>
      <c r="C171" s="463">
        <v>44371</v>
      </c>
      <c r="D171" s="430" t="s">
        <v>66</v>
      </c>
      <c r="E171" s="430">
        <v>32</v>
      </c>
      <c r="F171" s="430">
        <v>32</v>
      </c>
      <c r="G171" s="430" t="s">
        <v>215</v>
      </c>
      <c r="H171" s="461" t="s">
        <v>50</v>
      </c>
      <c r="I171" s="438" t="s">
        <v>215</v>
      </c>
      <c r="J171" s="438">
        <v>25</v>
      </c>
      <c r="K171" s="438" t="s">
        <v>553</v>
      </c>
      <c r="L171" s="430" t="str">
        <f t="shared" si="54"/>
        <v>44371S-11251</v>
      </c>
      <c r="M171" s="430"/>
      <c r="N171" s="461"/>
      <c r="O171" s="461">
        <v>412.6</v>
      </c>
      <c r="P171" s="430">
        <f t="shared" si="46"/>
        <v>160</v>
      </c>
      <c r="Q171" s="430" t="str">
        <f t="shared" si="47"/>
        <v/>
      </c>
      <c r="R171" s="430" t="str">
        <f t="shared" si="48"/>
        <v/>
      </c>
      <c r="S171" s="430" t="str">
        <f t="shared" si="49"/>
        <v/>
      </c>
      <c r="T171" s="430" t="str">
        <f t="shared" si="50"/>
        <v/>
      </c>
      <c r="U171" s="430" t="str">
        <f t="shared" si="51"/>
        <v/>
      </c>
      <c r="V171" s="430" t="str">
        <f t="shared" si="52"/>
        <v/>
      </c>
      <c r="W171" s="430">
        <f t="shared" si="53"/>
        <v>1280</v>
      </c>
      <c r="X171" s="449"/>
      <c r="Z171" s="450"/>
      <c r="AA171" s="449"/>
      <c r="AB171" s="451"/>
      <c r="AC171" s="450"/>
      <c r="AD171" s="449"/>
      <c r="AE171" s="451"/>
      <c r="AF171" s="450"/>
      <c r="AG171" s="449"/>
      <c r="AH171" s="451"/>
      <c r="AI171" s="450"/>
      <c r="AJ171" s="449"/>
      <c r="AK171" s="451"/>
      <c r="AL171" s="450"/>
      <c r="AM171" s="449"/>
      <c r="AN171" s="451"/>
      <c r="AO171" s="450"/>
      <c r="AP171" s="449"/>
      <c r="AQ171" s="451"/>
      <c r="AR171" s="449"/>
      <c r="AS171" s="449"/>
      <c r="AT171" s="451"/>
      <c r="AU171" s="449"/>
      <c r="AV171" s="451"/>
      <c r="AW171" s="449"/>
      <c r="AX171" s="449"/>
      <c r="AY171" s="449"/>
      <c r="AZ171" s="449"/>
      <c r="BA171" s="449"/>
      <c r="BB171" s="449"/>
      <c r="BC171" s="449"/>
      <c r="BD171" s="449"/>
      <c r="BE171" s="449"/>
      <c r="BF171" s="449"/>
      <c r="BG171" s="449"/>
      <c r="BH171" s="449"/>
      <c r="BI171" s="449"/>
      <c r="BJ171" s="449"/>
      <c r="BK171" s="449"/>
      <c r="BL171" s="449"/>
      <c r="BM171" s="449"/>
      <c r="BN171" s="449"/>
    </row>
    <row r="172" spans="1:66" ht="13.15" x14ac:dyDescent="0.4">
      <c r="A172" s="469" t="s">
        <v>615</v>
      </c>
      <c r="B172" s="430" t="s">
        <v>425</v>
      </c>
      <c r="C172" s="463">
        <v>44371</v>
      </c>
      <c r="D172" s="430" t="s">
        <v>604</v>
      </c>
      <c r="E172" s="430">
        <v>18</v>
      </c>
      <c r="F172" s="430">
        <v>24</v>
      </c>
      <c r="G172" s="430" t="s">
        <v>157</v>
      </c>
      <c r="H172" s="461" t="s">
        <v>51</v>
      </c>
      <c r="I172" s="438" t="s">
        <v>195</v>
      </c>
      <c r="J172" s="438">
        <v>10</v>
      </c>
      <c r="K172" s="438" t="s">
        <v>577</v>
      </c>
      <c r="L172" s="430" t="str">
        <f t="shared" si="54"/>
        <v>44371S-4553</v>
      </c>
      <c r="M172" s="430"/>
      <c r="N172" s="461"/>
      <c r="O172" s="461">
        <v>0</v>
      </c>
      <c r="P172" s="430" t="str">
        <f t="shared" si="46"/>
        <v/>
      </c>
      <c r="Q172" s="430" t="str">
        <f t="shared" si="47"/>
        <v/>
      </c>
      <c r="R172" s="430" t="str">
        <f t="shared" si="48"/>
        <v/>
      </c>
      <c r="S172" s="430" t="str">
        <f t="shared" si="49"/>
        <v/>
      </c>
      <c r="T172" s="430">
        <f t="shared" si="50"/>
        <v>115</v>
      </c>
      <c r="U172" s="430" t="str">
        <f t="shared" si="51"/>
        <v/>
      </c>
      <c r="V172" s="430" t="str">
        <f t="shared" si="52"/>
        <v/>
      </c>
      <c r="W172" s="430" t="str">
        <f t="shared" si="53"/>
        <v/>
      </c>
      <c r="X172" s="449"/>
      <c r="Z172" s="450"/>
      <c r="AA172" s="449"/>
      <c r="AB172" s="451"/>
      <c r="AC172" s="450"/>
      <c r="AD172" s="449"/>
      <c r="AE172" s="451"/>
      <c r="AF172" s="450"/>
      <c r="AG172" s="449"/>
      <c r="AH172" s="451"/>
      <c r="AI172" s="450"/>
      <c r="AJ172" s="449"/>
      <c r="AK172" s="451"/>
      <c r="AL172" s="450"/>
      <c r="AM172" s="449"/>
      <c r="AN172" s="451"/>
      <c r="AO172" s="450"/>
      <c r="AP172" s="449"/>
      <c r="AQ172" s="451"/>
      <c r="AR172" s="449"/>
      <c r="AS172" s="449"/>
      <c r="AT172" s="451"/>
      <c r="AU172" s="449"/>
      <c r="AV172" s="451"/>
      <c r="AW172" s="449"/>
      <c r="AX172" s="449"/>
      <c r="AY172" s="449"/>
      <c r="AZ172" s="449"/>
      <c r="BA172" s="449"/>
      <c r="BB172" s="449"/>
      <c r="BC172" s="449"/>
      <c r="BD172" s="449"/>
      <c r="BE172" s="449"/>
      <c r="BF172" s="449"/>
      <c r="BG172" s="449"/>
      <c r="BH172" s="449"/>
      <c r="BI172" s="449"/>
      <c r="BJ172" s="449"/>
      <c r="BK172" s="449"/>
      <c r="BL172" s="449"/>
      <c r="BM172" s="449"/>
      <c r="BN172" s="449"/>
    </row>
    <row r="173" spans="1:66" ht="13.15" x14ac:dyDescent="0.4">
      <c r="A173" s="469" t="s">
        <v>308</v>
      </c>
      <c r="B173" s="430" t="s">
        <v>680</v>
      </c>
      <c r="C173" s="463">
        <v>44371</v>
      </c>
      <c r="D173" s="430" t="s">
        <v>66</v>
      </c>
      <c r="E173" s="430">
        <v>25</v>
      </c>
      <c r="F173" s="430">
        <v>33</v>
      </c>
      <c r="G173" s="430" t="s">
        <v>216</v>
      </c>
      <c r="H173" s="461" t="s">
        <v>1</v>
      </c>
      <c r="I173" s="438" t="s">
        <v>312</v>
      </c>
      <c r="J173" s="438">
        <v>20</v>
      </c>
      <c r="K173" s="438" t="s">
        <v>583</v>
      </c>
      <c r="L173" s="430" t="str">
        <f t="shared" si="54"/>
        <v>44371S-4679</v>
      </c>
      <c r="M173" s="430"/>
      <c r="N173" s="461"/>
      <c r="O173" s="461">
        <v>473.45</v>
      </c>
      <c r="P173" s="430">
        <f t="shared" si="46"/>
        <v>145</v>
      </c>
      <c r="Q173" s="430" t="str">
        <f t="shared" si="47"/>
        <v/>
      </c>
      <c r="R173" s="430" t="str">
        <f t="shared" si="48"/>
        <v/>
      </c>
      <c r="S173" s="430">
        <f t="shared" si="49"/>
        <v>155</v>
      </c>
      <c r="T173" s="430" t="str">
        <f t="shared" si="50"/>
        <v/>
      </c>
      <c r="U173" s="430" t="str">
        <f t="shared" si="51"/>
        <v/>
      </c>
      <c r="V173" s="430" t="str">
        <f t="shared" si="52"/>
        <v/>
      </c>
      <c r="W173" s="430">
        <f t="shared" si="53"/>
        <v>1032</v>
      </c>
      <c r="X173" s="449"/>
      <c r="Z173" s="450"/>
      <c r="AA173" s="449"/>
      <c r="AB173" s="451"/>
      <c r="AC173" s="450"/>
      <c r="AD173" s="449"/>
      <c r="AE173" s="451"/>
      <c r="AF173" s="450"/>
      <c r="AG173" s="449"/>
      <c r="AH173" s="451"/>
      <c r="AI173" s="450"/>
      <c r="AJ173" s="449"/>
      <c r="AK173" s="451"/>
      <c r="AL173" s="450"/>
      <c r="AM173" s="449"/>
      <c r="AN173" s="451"/>
      <c r="AO173" s="450"/>
      <c r="AP173" s="449"/>
      <c r="AQ173" s="451"/>
      <c r="AR173" s="449"/>
      <c r="AS173" s="449"/>
      <c r="AT173" s="451"/>
      <c r="AU173" s="449"/>
      <c r="AV173" s="451"/>
      <c r="AW173" s="449"/>
      <c r="AX173" s="449"/>
      <c r="AY173" s="449"/>
      <c r="AZ173" s="449"/>
      <c r="BA173" s="449"/>
      <c r="BB173" s="449"/>
      <c r="BC173" s="449"/>
      <c r="BD173" s="449"/>
      <c r="BE173" s="449"/>
      <c r="BF173" s="449"/>
      <c r="BG173" s="449"/>
      <c r="BH173" s="449"/>
      <c r="BI173" s="449"/>
      <c r="BJ173" s="449"/>
      <c r="BK173" s="449"/>
      <c r="BL173" s="449"/>
      <c r="BM173" s="449"/>
      <c r="BN173" s="449"/>
    </row>
    <row r="174" spans="1:66" ht="13.15" x14ac:dyDescent="0.4">
      <c r="A174" t="s">
        <v>682</v>
      </c>
      <c r="B174" s="430" t="s">
        <v>681</v>
      </c>
      <c r="C174" s="463">
        <f>C175-7</f>
        <v>44371</v>
      </c>
      <c r="D174" s="430" t="s">
        <v>66</v>
      </c>
      <c r="E174" s="430">
        <v>22</v>
      </c>
      <c r="F174" s="430">
        <v>34</v>
      </c>
      <c r="G174" s="430" t="s">
        <v>217</v>
      </c>
      <c r="H174" s="461" t="s">
        <v>50</v>
      </c>
      <c r="I174" s="438" t="s">
        <v>217</v>
      </c>
      <c r="J174" s="438" t="s">
        <v>45</v>
      </c>
      <c r="K174" s="438" t="s">
        <v>45</v>
      </c>
      <c r="L174" s="430" t="str">
        <f t="shared" si="54"/>
        <v>44371N/A</v>
      </c>
      <c r="M174" s="430"/>
      <c r="N174" s="461"/>
      <c r="O174" s="461">
        <v>277.95</v>
      </c>
      <c r="P174" s="430">
        <f t="shared" si="46"/>
        <v>140</v>
      </c>
      <c r="Q174" s="430" t="str">
        <f t="shared" si="47"/>
        <v/>
      </c>
      <c r="R174" s="430" t="str">
        <f t="shared" si="48"/>
        <v/>
      </c>
      <c r="S174" s="430" t="str">
        <f t="shared" si="49"/>
        <v/>
      </c>
      <c r="T174" s="430" t="str">
        <f t="shared" si="50"/>
        <v/>
      </c>
      <c r="U174" s="430" t="str">
        <f t="shared" si="51"/>
        <v/>
      </c>
      <c r="V174" s="430" t="str">
        <f t="shared" si="52"/>
        <v/>
      </c>
      <c r="W174" s="430">
        <f t="shared" si="53"/>
        <v>935</v>
      </c>
      <c r="X174" s="449"/>
      <c r="Z174" s="450"/>
      <c r="AA174" s="449"/>
      <c r="AB174" s="451"/>
      <c r="AC174" s="450"/>
      <c r="AD174" s="449"/>
      <c r="AE174" s="451"/>
      <c r="AF174" s="450"/>
      <c r="AG174" s="449"/>
      <c r="AH174" s="451"/>
      <c r="AI174" s="450"/>
      <c r="AJ174" s="449"/>
      <c r="AK174" s="451"/>
      <c r="AL174" s="450"/>
      <c r="AM174" s="449"/>
      <c r="AN174" s="451"/>
      <c r="AO174" s="450"/>
      <c r="AP174" s="449"/>
      <c r="AQ174" s="451"/>
      <c r="AR174" s="449"/>
      <c r="AS174" s="449"/>
      <c r="AT174" s="451"/>
      <c r="AU174" s="449"/>
      <c r="AV174" s="451"/>
      <c r="AW174" s="449"/>
      <c r="AX174" s="449"/>
      <c r="AY174" s="449"/>
      <c r="AZ174" s="449"/>
      <c r="BA174" s="449"/>
      <c r="BB174" s="449"/>
      <c r="BC174" s="449"/>
      <c r="BD174" s="449"/>
      <c r="BE174" s="449"/>
      <c r="BF174" s="449"/>
      <c r="BG174" s="449"/>
      <c r="BH174" s="449"/>
      <c r="BI174" s="449"/>
      <c r="BJ174" s="449"/>
      <c r="BK174" s="449"/>
      <c r="BL174" s="449"/>
      <c r="BM174" s="449"/>
      <c r="BN174" s="449"/>
    </row>
    <row r="175" spans="1:66" ht="13.15" x14ac:dyDescent="0.4">
      <c r="A175" s="468" t="s">
        <v>677</v>
      </c>
      <c r="B175" s="464" t="s">
        <v>683</v>
      </c>
      <c r="C175" s="465">
        <v>44378</v>
      </c>
      <c r="D175" s="464" t="s">
        <v>66</v>
      </c>
      <c r="E175" s="464">
        <v>22</v>
      </c>
      <c r="F175" s="464">
        <v>30</v>
      </c>
      <c r="G175" s="464" t="s">
        <v>218</v>
      </c>
      <c r="H175" s="466" t="s">
        <v>50</v>
      </c>
      <c r="I175" s="446" t="s">
        <v>218</v>
      </c>
      <c r="J175" s="446">
        <v>10</v>
      </c>
      <c r="K175" s="446" t="s">
        <v>580</v>
      </c>
      <c r="L175" s="464" t="str">
        <f t="shared" si="54"/>
        <v>44378S-4554</v>
      </c>
      <c r="M175" s="464"/>
      <c r="N175" s="466"/>
      <c r="O175" s="466">
        <v>299.63</v>
      </c>
      <c r="P175" s="430">
        <f t="shared" si="46"/>
        <v>130</v>
      </c>
      <c r="Q175" s="430" t="str">
        <f t="shared" si="47"/>
        <v/>
      </c>
      <c r="R175" s="430" t="str">
        <f t="shared" si="48"/>
        <v/>
      </c>
      <c r="S175" s="430" t="str">
        <f t="shared" si="49"/>
        <v/>
      </c>
      <c r="T175" s="430" t="str">
        <f t="shared" si="50"/>
        <v/>
      </c>
      <c r="U175" s="430" t="str">
        <f t="shared" si="51"/>
        <v/>
      </c>
      <c r="V175" s="430" t="str">
        <f t="shared" si="52"/>
        <v/>
      </c>
      <c r="W175" s="430">
        <f t="shared" si="53"/>
        <v>825</v>
      </c>
      <c r="X175" s="449"/>
      <c r="Z175" s="450"/>
      <c r="AA175" s="449"/>
      <c r="AB175" s="451"/>
      <c r="AC175" s="450"/>
      <c r="AD175" s="449"/>
      <c r="AE175" s="451"/>
      <c r="AF175" s="450"/>
      <c r="AG175" s="449"/>
      <c r="AH175" s="451"/>
      <c r="AI175" s="450"/>
      <c r="AJ175" s="449"/>
      <c r="AK175" s="451"/>
      <c r="AL175" s="450"/>
      <c r="AM175" s="449"/>
      <c r="AN175" s="451"/>
      <c r="AO175" s="450"/>
      <c r="AP175" s="449"/>
      <c r="AQ175" s="451"/>
      <c r="AR175" s="449"/>
      <c r="AS175" s="449"/>
      <c r="AT175" s="451"/>
      <c r="AU175" s="449"/>
      <c r="AV175" s="451"/>
      <c r="AW175" s="449"/>
      <c r="AX175" s="449"/>
      <c r="AY175" s="449"/>
      <c r="AZ175" s="449"/>
      <c r="BA175" s="449"/>
      <c r="BB175" s="449"/>
      <c r="BC175" s="449"/>
      <c r="BD175" s="449"/>
      <c r="BE175" s="449"/>
      <c r="BF175" s="449"/>
      <c r="BG175" s="449"/>
      <c r="BH175" s="449"/>
      <c r="BI175" s="449"/>
      <c r="BJ175" s="449"/>
      <c r="BK175" s="449"/>
      <c r="BL175" s="449"/>
      <c r="BM175" s="449"/>
      <c r="BN175" s="449"/>
    </row>
    <row r="176" spans="1:66" ht="13.15" x14ac:dyDescent="0.4">
      <c r="A176" s="469" t="s">
        <v>625</v>
      </c>
      <c r="B176" s="430" t="s">
        <v>683</v>
      </c>
      <c r="C176" s="463">
        <v>44378</v>
      </c>
      <c r="D176" s="430" t="s">
        <v>66</v>
      </c>
      <c r="E176" s="430">
        <v>28</v>
      </c>
      <c r="F176" s="430">
        <v>38</v>
      </c>
      <c r="G176" s="430" t="s">
        <v>219</v>
      </c>
      <c r="H176" s="461" t="s">
        <v>50</v>
      </c>
      <c r="I176" s="438" t="s">
        <v>219</v>
      </c>
      <c r="J176" s="438">
        <v>16</v>
      </c>
      <c r="K176" s="438" t="s">
        <v>583</v>
      </c>
      <c r="L176" s="430" t="str">
        <f t="shared" si="54"/>
        <v>44378S-4679</v>
      </c>
      <c r="M176" s="430"/>
      <c r="N176" s="461"/>
      <c r="O176" s="461">
        <v>299.63</v>
      </c>
      <c r="P176" s="430">
        <f t="shared" si="46"/>
        <v>165</v>
      </c>
      <c r="Q176" s="430" t="str">
        <f t="shared" si="47"/>
        <v/>
      </c>
      <c r="R176" s="430" t="str">
        <f t="shared" si="48"/>
        <v/>
      </c>
      <c r="S176" s="430" t="str">
        <f t="shared" si="49"/>
        <v/>
      </c>
      <c r="T176" s="430" t="str">
        <f t="shared" si="50"/>
        <v/>
      </c>
      <c r="U176" s="430" t="str">
        <f t="shared" si="51"/>
        <v/>
      </c>
      <c r="V176" s="430" t="str">
        <f t="shared" si="52"/>
        <v/>
      </c>
      <c r="W176" s="430">
        <f t="shared" si="53"/>
        <v>1330</v>
      </c>
      <c r="X176" s="449"/>
      <c r="Z176" s="450"/>
      <c r="AA176" s="449"/>
      <c r="AB176" s="451"/>
      <c r="AC176" s="450"/>
      <c r="AD176" s="449"/>
      <c r="AE176" s="451"/>
      <c r="AF176" s="450"/>
      <c r="AG176" s="449"/>
      <c r="AH176" s="451"/>
      <c r="AI176" s="450"/>
      <c r="AJ176" s="449"/>
      <c r="AK176" s="451"/>
      <c r="AL176" s="450"/>
      <c r="AM176" s="449"/>
      <c r="AN176" s="451"/>
      <c r="AO176" s="450"/>
      <c r="AP176" s="449"/>
      <c r="AQ176" s="451"/>
      <c r="AR176" s="449"/>
      <c r="AS176" s="449"/>
      <c r="AT176" s="451"/>
      <c r="AU176" s="449"/>
      <c r="AV176" s="451"/>
      <c r="AW176" s="449"/>
      <c r="AX176" s="449"/>
      <c r="AY176" s="449"/>
      <c r="AZ176" s="449"/>
      <c r="BA176" s="449"/>
      <c r="BB176" s="449"/>
      <c r="BC176" s="449"/>
      <c r="BD176" s="449"/>
      <c r="BE176" s="449"/>
      <c r="BF176" s="449"/>
      <c r="BG176" s="449"/>
      <c r="BH176" s="449"/>
      <c r="BI176" s="449"/>
      <c r="BJ176" s="449"/>
      <c r="BK176" s="449"/>
      <c r="BL176" s="449"/>
      <c r="BM176" s="449"/>
      <c r="BN176" s="449"/>
    </row>
    <row r="177" spans="1:66" ht="13.15" x14ac:dyDescent="0.4">
      <c r="A177" s="469" t="s">
        <v>685</v>
      </c>
      <c r="B177" s="430" t="s">
        <v>684</v>
      </c>
      <c r="C177" s="463">
        <v>44378</v>
      </c>
      <c r="D177" s="430" t="s">
        <v>66</v>
      </c>
      <c r="E177" s="430">
        <v>31</v>
      </c>
      <c r="F177" s="430">
        <v>41</v>
      </c>
      <c r="G177" s="430" t="s">
        <v>220</v>
      </c>
      <c r="H177" s="461" t="s">
        <v>50</v>
      </c>
      <c r="I177" s="438" t="s">
        <v>220</v>
      </c>
      <c r="J177" s="438">
        <v>24</v>
      </c>
      <c r="K177" s="438" t="s">
        <v>553</v>
      </c>
      <c r="L177" s="430" t="str">
        <f t="shared" si="54"/>
        <v>44378S-11251</v>
      </c>
      <c r="M177" s="430"/>
      <c r="N177" s="461"/>
      <c r="O177" s="461">
        <v>403</v>
      </c>
      <c r="P177" s="430">
        <f t="shared" si="46"/>
        <v>180</v>
      </c>
      <c r="Q177" s="430" t="str">
        <f t="shared" si="47"/>
        <v/>
      </c>
      <c r="R177" s="430" t="str">
        <f t="shared" si="48"/>
        <v/>
      </c>
      <c r="S177" s="430" t="str">
        <f t="shared" si="49"/>
        <v/>
      </c>
      <c r="T177" s="430" t="str">
        <f t="shared" si="50"/>
        <v/>
      </c>
      <c r="U177" s="430" t="str">
        <f t="shared" si="51"/>
        <v/>
      </c>
      <c r="V177" s="430" t="str">
        <f t="shared" si="52"/>
        <v/>
      </c>
      <c r="W177" s="430">
        <f t="shared" si="53"/>
        <v>1589</v>
      </c>
      <c r="X177" s="449"/>
      <c r="Z177" s="450"/>
      <c r="AA177" s="449"/>
      <c r="AB177" s="451"/>
      <c r="AC177" s="450"/>
      <c r="AD177" s="449"/>
      <c r="AE177" s="451"/>
      <c r="AF177" s="450"/>
      <c r="AG177" s="449"/>
      <c r="AH177" s="451"/>
      <c r="AI177" s="450"/>
      <c r="AJ177" s="449"/>
      <c r="AK177" s="451"/>
      <c r="AL177" s="450"/>
      <c r="AM177" s="449"/>
      <c r="AN177" s="451"/>
      <c r="AO177" s="450"/>
      <c r="AP177" s="449"/>
      <c r="AQ177" s="451"/>
      <c r="AR177" s="449"/>
      <c r="AS177" s="449"/>
      <c r="AT177" s="451"/>
      <c r="AU177" s="449"/>
      <c r="AV177" s="451"/>
      <c r="AW177" s="449"/>
      <c r="AX177" s="449"/>
      <c r="AY177" s="449"/>
      <c r="AZ177" s="449"/>
      <c r="BA177" s="449"/>
      <c r="BB177" s="449"/>
      <c r="BC177" s="449"/>
      <c r="BD177" s="449"/>
      <c r="BE177" s="449"/>
      <c r="BF177" s="449"/>
      <c r="BG177" s="449"/>
      <c r="BH177" s="449"/>
      <c r="BI177" s="449"/>
      <c r="BJ177" s="449"/>
      <c r="BK177" s="449"/>
      <c r="BL177" s="449"/>
      <c r="BM177" s="449"/>
      <c r="BN177" s="449"/>
    </row>
    <row r="178" spans="1:66" ht="13.15" x14ac:dyDescent="0.4">
      <c r="A178" s="430" t="s">
        <v>483</v>
      </c>
      <c r="B178" s="430" t="s">
        <v>686</v>
      </c>
      <c r="C178" s="463">
        <v>44378</v>
      </c>
      <c r="D178" s="430" t="s">
        <v>66</v>
      </c>
      <c r="E178" s="430">
        <v>30</v>
      </c>
      <c r="F178" s="430">
        <v>48</v>
      </c>
      <c r="G178" s="430" t="s">
        <v>61</v>
      </c>
      <c r="H178" s="461" t="s">
        <v>50</v>
      </c>
      <c r="I178" s="438" t="s">
        <v>45</v>
      </c>
      <c r="J178" s="438" t="s">
        <v>45</v>
      </c>
      <c r="K178" s="438" t="s">
        <v>45</v>
      </c>
      <c r="L178" s="430" t="str">
        <f t="shared" si="54"/>
        <v>44378N/A</v>
      </c>
      <c r="M178" s="430"/>
      <c r="N178" s="461"/>
      <c r="O178" s="461">
        <v>450</v>
      </c>
      <c r="P178" s="430">
        <f t="shared" si="46"/>
        <v>195</v>
      </c>
      <c r="Q178" s="430" t="str">
        <f t="shared" si="47"/>
        <v/>
      </c>
      <c r="R178" s="430" t="str">
        <f t="shared" si="48"/>
        <v/>
      </c>
      <c r="S178" s="430" t="str">
        <f t="shared" si="49"/>
        <v/>
      </c>
      <c r="T178" s="430" t="str">
        <f t="shared" si="50"/>
        <v/>
      </c>
      <c r="U178" s="430" t="str">
        <f t="shared" si="51"/>
        <v/>
      </c>
      <c r="V178" s="430" t="str">
        <f t="shared" si="52"/>
        <v/>
      </c>
      <c r="W178" s="430">
        <f t="shared" si="53"/>
        <v>1800</v>
      </c>
      <c r="X178" s="449"/>
      <c r="Z178" s="450"/>
      <c r="AA178" s="449"/>
      <c r="AB178" s="451"/>
      <c r="AC178" s="450"/>
      <c r="AD178" s="449"/>
      <c r="AE178" s="451"/>
      <c r="AF178" s="450"/>
      <c r="AG178" s="449"/>
      <c r="AH178" s="451"/>
      <c r="AI178" s="450"/>
      <c r="AJ178" s="449"/>
      <c r="AK178" s="451"/>
      <c r="AL178" s="450"/>
      <c r="AM178" s="449"/>
      <c r="AN178" s="451"/>
      <c r="AO178" s="450"/>
      <c r="AP178" s="449"/>
      <c r="AQ178" s="451"/>
      <c r="AR178" s="449"/>
      <c r="AS178" s="449"/>
      <c r="AT178" s="451"/>
      <c r="AU178" s="449"/>
      <c r="AV178" s="451"/>
      <c r="AW178" s="449"/>
      <c r="AX178" s="449"/>
      <c r="AY178" s="449"/>
      <c r="AZ178" s="449"/>
      <c r="BA178" s="449"/>
      <c r="BB178" s="449"/>
      <c r="BC178" s="449"/>
      <c r="BD178" s="449"/>
      <c r="BE178" s="449"/>
      <c r="BF178" s="449"/>
      <c r="BG178" s="449"/>
      <c r="BH178" s="449"/>
      <c r="BI178" s="449"/>
      <c r="BJ178" s="449"/>
      <c r="BK178" s="449"/>
      <c r="BL178" s="449"/>
      <c r="BM178" s="449"/>
      <c r="BN178" s="449"/>
    </row>
    <row r="179" spans="1:66" ht="13.15" x14ac:dyDescent="0.4">
      <c r="A179" s="469" t="s">
        <v>545</v>
      </c>
      <c r="B179" s="430" t="s">
        <v>687</v>
      </c>
      <c r="C179" s="463">
        <v>44378</v>
      </c>
      <c r="D179" s="430" t="s">
        <v>66</v>
      </c>
      <c r="E179" s="430">
        <v>31</v>
      </c>
      <c r="F179" s="430">
        <v>47</v>
      </c>
      <c r="G179" s="430" t="s">
        <v>223</v>
      </c>
      <c r="H179" s="461" t="s">
        <v>50</v>
      </c>
      <c r="I179" s="438" t="s">
        <v>223</v>
      </c>
      <c r="J179" s="438">
        <v>27</v>
      </c>
      <c r="K179" s="438" t="s">
        <v>553</v>
      </c>
      <c r="L179" s="430" t="str">
        <f t="shared" si="54"/>
        <v>44378S-11251</v>
      </c>
      <c r="M179" s="430"/>
      <c r="N179" s="461"/>
      <c r="O179" s="461">
        <v>506</v>
      </c>
      <c r="P179" s="430">
        <f t="shared" si="46"/>
        <v>195</v>
      </c>
      <c r="Q179" s="430" t="str">
        <f t="shared" si="47"/>
        <v/>
      </c>
      <c r="R179" s="430" t="str">
        <f t="shared" si="48"/>
        <v/>
      </c>
      <c r="S179" s="430" t="str">
        <f t="shared" si="49"/>
        <v/>
      </c>
      <c r="T179" s="430" t="str">
        <f t="shared" si="50"/>
        <v/>
      </c>
      <c r="U179" s="430" t="str">
        <f t="shared" si="51"/>
        <v/>
      </c>
      <c r="V179" s="430" t="str">
        <f t="shared" si="52"/>
        <v/>
      </c>
      <c r="W179" s="430">
        <f t="shared" si="53"/>
        <v>1822</v>
      </c>
      <c r="X179" s="449"/>
      <c r="Z179" s="450"/>
      <c r="AA179" s="449"/>
      <c r="AB179" s="451"/>
      <c r="AC179" s="450"/>
      <c r="AD179" s="449"/>
      <c r="AE179" s="451"/>
      <c r="AF179" s="450"/>
      <c r="AG179" s="449"/>
      <c r="AH179" s="451"/>
      <c r="AI179" s="450"/>
      <c r="AJ179" s="449"/>
      <c r="AK179" s="451"/>
      <c r="AL179" s="450"/>
      <c r="AM179" s="449"/>
      <c r="AN179" s="451"/>
      <c r="AO179" s="450"/>
      <c r="AP179" s="449"/>
      <c r="AQ179" s="451"/>
      <c r="AR179" s="449"/>
      <c r="AS179" s="449"/>
      <c r="AT179" s="451"/>
      <c r="AU179" s="449"/>
      <c r="AV179" s="451"/>
      <c r="AW179" s="449"/>
      <c r="AX179" s="449"/>
      <c r="AY179" s="449"/>
      <c r="AZ179" s="449"/>
      <c r="BA179" s="449"/>
      <c r="BB179" s="449"/>
      <c r="BC179" s="449"/>
      <c r="BD179" s="449"/>
      <c r="BE179" s="449"/>
      <c r="BF179" s="449"/>
      <c r="BG179" s="449"/>
      <c r="BH179" s="449"/>
      <c r="BI179" s="449"/>
      <c r="BJ179" s="449"/>
      <c r="BK179" s="449"/>
      <c r="BL179" s="449"/>
      <c r="BM179" s="449"/>
      <c r="BN179" s="449"/>
    </row>
    <row r="180" spans="1:66" ht="13.15" x14ac:dyDescent="0.4">
      <c r="A180" s="469" t="s">
        <v>627</v>
      </c>
      <c r="B180" s="430" t="s">
        <v>688</v>
      </c>
      <c r="C180" s="463">
        <v>44378</v>
      </c>
      <c r="D180" s="430" t="s">
        <v>604</v>
      </c>
      <c r="E180" s="430">
        <v>18</v>
      </c>
      <c r="F180" s="430">
        <v>24</v>
      </c>
      <c r="G180" s="430" t="s">
        <v>157</v>
      </c>
      <c r="H180" s="461" t="s">
        <v>51</v>
      </c>
      <c r="I180" s="438" t="s">
        <v>195</v>
      </c>
      <c r="J180" s="438">
        <v>9</v>
      </c>
      <c r="K180" s="438" t="s">
        <v>577</v>
      </c>
      <c r="L180" s="430" t="str">
        <f t="shared" si="54"/>
        <v>44378S-4553</v>
      </c>
      <c r="M180" s="430"/>
      <c r="N180" s="461"/>
      <c r="O180" s="461">
        <v>0</v>
      </c>
      <c r="P180" s="430" t="str">
        <f t="shared" si="46"/>
        <v/>
      </c>
      <c r="Q180" s="430" t="str">
        <f t="shared" si="47"/>
        <v/>
      </c>
      <c r="R180" s="430" t="str">
        <f t="shared" si="48"/>
        <v/>
      </c>
      <c r="S180" s="430" t="str">
        <f t="shared" si="49"/>
        <v/>
      </c>
      <c r="T180" s="430">
        <f t="shared" si="50"/>
        <v>115</v>
      </c>
      <c r="U180" s="430" t="str">
        <f t="shared" si="51"/>
        <v/>
      </c>
      <c r="V180" s="430" t="str">
        <f t="shared" si="52"/>
        <v/>
      </c>
      <c r="W180" s="430" t="str">
        <f t="shared" si="53"/>
        <v/>
      </c>
      <c r="X180" s="449"/>
      <c r="Z180" s="450"/>
      <c r="AA180" s="449"/>
      <c r="AB180" s="451"/>
      <c r="AC180" s="450"/>
      <c r="AD180" s="449"/>
      <c r="AE180" s="451"/>
      <c r="AF180" s="450"/>
      <c r="AG180" s="449"/>
      <c r="AH180" s="451"/>
      <c r="AI180" s="450"/>
      <c r="AJ180" s="449"/>
      <c r="AK180" s="451"/>
      <c r="AL180" s="450"/>
      <c r="AM180" s="449"/>
      <c r="AN180" s="451"/>
      <c r="AO180" s="450"/>
      <c r="AP180" s="449"/>
      <c r="AQ180" s="451"/>
      <c r="AR180" s="449"/>
      <c r="AS180" s="449"/>
      <c r="AT180" s="451"/>
      <c r="AU180" s="449"/>
      <c r="AV180" s="451"/>
      <c r="AW180" s="449"/>
      <c r="AX180" s="449"/>
      <c r="AY180" s="449"/>
      <c r="AZ180" s="449"/>
      <c r="BA180" s="449"/>
      <c r="BB180" s="449"/>
      <c r="BC180" s="449"/>
      <c r="BD180" s="449"/>
      <c r="BE180" s="449"/>
      <c r="BF180" s="449"/>
      <c r="BG180" s="449"/>
      <c r="BH180" s="449"/>
      <c r="BI180" s="449"/>
      <c r="BJ180" s="449"/>
      <c r="BK180" s="449"/>
      <c r="BL180" s="449"/>
      <c r="BM180" s="449"/>
      <c r="BN180" s="449"/>
    </row>
    <row r="181" spans="1:66" ht="13.15" x14ac:dyDescent="0.4">
      <c r="A181" s="469" t="s">
        <v>406</v>
      </c>
      <c r="B181" s="430" t="s">
        <v>689</v>
      </c>
      <c r="C181" s="463">
        <v>44378</v>
      </c>
      <c r="D181" s="430" t="s">
        <v>54</v>
      </c>
      <c r="E181" s="430">
        <v>27</v>
      </c>
      <c r="F181" s="430">
        <v>48</v>
      </c>
      <c r="G181" s="430" t="s">
        <v>224</v>
      </c>
      <c r="H181" s="461" t="s">
        <v>690</v>
      </c>
      <c r="I181" s="438" t="s">
        <v>651</v>
      </c>
      <c r="J181" s="438">
        <v>37</v>
      </c>
      <c r="K181" s="438" t="s">
        <v>509</v>
      </c>
      <c r="L181" s="430" t="str">
        <f t="shared" si="54"/>
        <v>44378S-17587</v>
      </c>
      <c r="M181" s="430"/>
      <c r="N181" s="461"/>
      <c r="O181" s="461">
        <v>2720</v>
      </c>
      <c r="P181" s="430" t="str">
        <f t="shared" si="46"/>
        <v/>
      </c>
      <c r="Q181" s="430" t="str">
        <f t="shared" si="47"/>
        <v/>
      </c>
      <c r="R181" s="430">
        <f t="shared" si="48"/>
        <v>197.5</v>
      </c>
      <c r="S181" s="430" t="str">
        <f t="shared" si="49"/>
        <v/>
      </c>
      <c r="T181" s="430" t="str">
        <f t="shared" si="50"/>
        <v/>
      </c>
      <c r="U181" s="430" t="str">
        <f t="shared" si="51"/>
        <v/>
      </c>
      <c r="V181" s="430" t="str">
        <f t="shared" si="52"/>
        <v/>
      </c>
      <c r="W181" s="430" t="str">
        <f t="shared" si="53"/>
        <v/>
      </c>
      <c r="X181" s="449"/>
      <c r="Z181" s="450"/>
      <c r="AA181" s="449"/>
      <c r="AB181" s="451"/>
      <c r="AC181" s="450"/>
      <c r="AD181" s="449"/>
      <c r="AE181" s="451"/>
      <c r="AF181" s="450"/>
      <c r="AG181" s="449"/>
      <c r="AH181" s="451"/>
      <c r="AI181" s="450"/>
      <c r="AJ181" s="449"/>
      <c r="AK181" s="451"/>
      <c r="AL181" s="450"/>
      <c r="AM181" s="449"/>
      <c r="AN181" s="451"/>
      <c r="AO181" s="450"/>
      <c r="AP181" s="449"/>
      <c r="AQ181" s="451"/>
      <c r="AR181" s="449"/>
      <c r="AS181" s="449"/>
      <c r="AT181" s="451"/>
      <c r="AU181" s="449"/>
      <c r="AV181" s="451"/>
      <c r="AW181" s="449"/>
      <c r="AX181" s="449"/>
      <c r="AY181" s="449"/>
      <c r="AZ181" s="449"/>
      <c r="BA181" s="449"/>
      <c r="BB181" s="449"/>
      <c r="BC181" s="449"/>
      <c r="BD181" s="449"/>
      <c r="BE181" s="449"/>
      <c r="BF181" s="449"/>
      <c r="BG181" s="449"/>
      <c r="BH181" s="449"/>
      <c r="BI181" s="449"/>
      <c r="BJ181" s="449"/>
      <c r="BK181" s="449"/>
      <c r="BL181" s="449"/>
      <c r="BM181" s="449"/>
      <c r="BN181" s="449"/>
    </row>
    <row r="182" spans="1:66" ht="13.15" x14ac:dyDescent="0.4">
      <c r="A182" s="469" t="s">
        <v>545</v>
      </c>
      <c r="B182" s="430" t="s">
        <v>691</v>
      </c>
      <c r="C182" s="463">
        <v>44378</v>
      </c>
      <c r="D182" s="430" t="s">
        <v>54</v>
      </c>
      <c r="E182" s="430">
        <v>32</v>
      </c>
      <c r="F182" s="430">
        <v>48</v>
      </c>
      <c r="G182" s="430" t="s">
        <v>225</v>
      </c>
      <c r="H182" s="461" t="s">
        <v>690</v>
      </c>
      <c r="I182" s="438" t="s">
        <v>347</v>
      </c>
      <c r="J182" s="438">
        <v>38</v>
      </c>
      <c r="K182" s="438" t="s">
        <v>509</v>
      </c>
      <c r="L182" s="430" t="str">
        <f t="shared" si="54"/>
        <v>44378S-17587</v>
      </c>
      <c r="M182" s="430"/>
      <c r="N182" s="461"/>
      <c r="O182" s="461">
        <v>3060</v>
      </c>
      <c r="P182" s="430" t="str">
        <f t="shared" si="46"/>
        <v/>
      </c>
      <c r="Q182" s="430" t="str">
        <f t="shared" si="47"/>
        <v/>
      </c>
      <c r="R182" s="430">
        <f t="shared" si="48"/>
        <v>210</v>
      </c>
      <c r="S182" s="430" t="str">
        <f t="shared" si="49"/>
        <v/>
      </c>
      <c r="T182" s="430" t="str">
        <f t="shared" si="50"/>
        <v/>
      </c>
      <c r="U182" s="430" t="str">
        <f t="shared" si="51"/>
        <v/>
      </c>
      <c r="V182" s="430" t="str">
        <f t="shared" si="52"/>
        <v/>
      </c>
      <c r="W182" s="430" t="str">
        <f t="shared" si="53"/>
        <v/>
      </c>
      <c r="X182" s="449"/>
      <c r="Z182" s="450"/>
      <c r="AA182" s="449"/>
      <c r="AB182" s="451"/>
      <c r="AC182" s="450"/>
      <c r="AD182" s="449"/>
      <c r="AE182" s="451"/>
      <c r="AF182" s="450"/>
      <c r="AG182" s="449"/>
      <c r="AH182" s="451"/>
      <c r="AI182" s="450"/>
      <c r="AJ182" s="449"/>
      <c r="AK182" s="451"/>
      <c r="AL182" s="450"/>
      <c r="AM182" s="449"/>
      <c r="AN182" s="451"/>
      <c r="AO182" s="450"/>
      <c r="AP182" s="449"/>
      <c r="AQ182" s="451"/>
      <c r="AR182" s="449"/>
      <c r="AS182" s="449"/>
      <c r="AT182" s="451"/>
      <c r="AU182" s="449"/>
      <c r="AV182" s="451"/>
      <c r="AW182" s="449"/>
      <c r="AX182" s="449"/>
      <c r="AY182" s="449"/>
      <c r="AZ182" s="449"/>
      <c r="BA182" s="449"/>
      <c r="BB182" s="449"/>
      <c r="BC182" s="449"/>
      <c r="BD182" s="449"/>
      <c r="BE182" s="449"/>
      <c r="BF182" s="449"/>
      <c r="BG182" s="449"/>
      <c r="BH182" s="449"/>
      <c r="BI182" s="449"/>
      <c r="BJ182" s="449"/>
      <c r="BK182" s="449"/>
      <c r="BL182" s="449"/>
      <c r="BM182" s="449"/>
      <c r="BN182" s="449"/>
    </row>
    <row r="183" spans="1:66" ht="13.15" x14ac:dyDescent="0.4">
      <c r="A183" s="469" t="s">
        <v>240</v>
      </c>
      <c r="B183" s="430" t="s">
        <v>692</v>
      </c>
      <c r="C183" s="463">
        <v>44378</v>
      </c>
      <c r="D183" s="430" t="s">
        <v>54</v>
      </c>
      <c r="E183" s="430">
        <v>30</v>
      </c>
      <c r="F183" s="430">
        <v>40</v>
      </c>
      <c r="G183" s="430" t="s">
        <v>114</v>
      </c>
      <c r="H183" s="461" t="s">
        <v>690</v>
      </c>
      <c r="I183" s="438" t="s">
        <v>215</v>
      </c>
      <c r="J183" s="438">
        <v>37</v>
      </c>
      <c r="K183" s="438" t="s">
        <v>509</v>
      </c>
      <c r="L183" s="430" t="str">
        <f t="shared" si="54"/>
        <v>44378S-17587</v>
      </c>
      <c r="M183" s="430"/>
      <c r="N183" s="461"/>
      <c r="O183" s="461">
        <v>2787.15</v>
      </c>
      <c r="P183" s="430" t="str">
        <f t="shared" si="46"/>
        <v/>
      </c>
      <c r="Q183" s="430" t="str">
        <f t="shared" si="47"/>
        <v/>
      </c>
      <c r="R183" s="430">
        <f t="shared" si="48"/>
        <v>185</v>
      </c>
      <c r="S183" s="430" t="str">
        <f t="shared" si="49"/>
        <v/>
      </c>
      <c r="T183" s="430" t="str">
        <f t="shared" si="50"/>
        <v/>
      </c>
      <c r="U183" s="430" t="str">
        <f t="shared" si="51"/>
        <v/>
      </c>
      <c r="V183" s="430" t="str">
        <f t="shared" si="52"/>
        <v/>
      </c>
      <c r="W183" s="430" t="str">
        <f t="shared" si="53"/>
        <v/>
      </c>
      <c r="X183" s="449"/>
      <c r="Z183" s="450"/>
      <c r="AA183" s="449"/>
      <c r="AB183" s="451"/>
      <c r="AC183" s="450"/>
      <c r="AD183" s="449"/>
      <c r="AE183" s="451"/>
      <c r="AF183" s="450"/>
      <c r="AG183" s="449"/>
      <c r="AH183" s="451"/>
      <c r="AI183" s="450"/>
      <c r="AJ183" s="449"/>
      <c r="AK183" s="451"/>
      <c r="AL183" s="450"/>
      <c r="AM183" s="449"/>
      <c r="AN183" s="451"/>
      <c r="AO183" s="450"/>
      <c r="AP183" s="449"/>
      <c r="AQ183" s="451"/>
      <c r="AR183" s="449"/>
      <c r="AS183" s="449"/>
      <c r="AT183" s="451"/>
      <c r="AU183" s="449"/>
      <c r="AV183" s="451"/>
      <c r="AW183" s="449"/>
      <c r="AX183" s="449"/>
      <c r="AY183" s="449"/>
      <c r="AZ183" s="449"/>
      <c r="BA183" s="449"/>
      <c r="BB183" s="449"/>
      <c r="BC183" s="449"/>
      <c r="BD183" s="449"/>
      <c r="BE183" s="449"/>
      <c r="BF183" s="449"/>
      <c r="BG183" s="449"/>
      <c r="BH183" s="449"/>
      <c r="BI183" s="449"/>
      <c r="BJ183" s="449"/>
      <c r="BK183" s="449"/>
      <c r="BL183" s="449"/>
      <c r="BM183" s="449"/>
      <c r="BN183" s="449"/>
    </row>
    <row r="184" spans="1:66" ht="13.15" x14ac:dyDescent="0.4">
      <c r="A184" s="469" t="s">
        <v>249</v>
      </c>
      <c r="B184" s="430" t="s">
        <v>693</v>
      </c>
      <c r="C184" s="463">
        <v>44378</v>
      </c>
      <c r="D184" s="430" t="s">
        <v>54</v>
      </c>
      <c r="E184" s="430">
        <v>28</v>
      </c>
      <c r="F184" s="430">
        <v>40</v>
      </c>
      <c r="G184" s="430" t="s">
        <v>230</v>
      </c>
      <c r="H184" s="461" t="s">
        <v>690</v>
      </c>
      <c r="I184" s="438" t="s">
        <v>285</v>
      </c>
      <c r="J184" s="438">
        <v>28</v>
      </c>
      <c r="K184" s="438" t="s">
        <v>523</v>
      </c>
      <c r="L184" s="430" t="str">
        <f t="shared" si="54"/>
        <v>44378S-16375</v>
      </c>
      <c r="M184" s="430"/>
      <c r="N184" s="461"/>
      <c r="O184" s="461">
        <v>2210</v>
      </c>
      <c r="P184" s="430" t="str">
        <f t="shared" si="46"/>
        <v/>
      </c>
      <c r="Q184" s="430" t="str">
        <f t="shared" si="47"/>
        <v/>
      </c>
      <c r="R184" s="430">
        <f t="shared" si="48"/>
        <v>180</v>
      </c>
      <c r="S184" s="430" t="str">
        <f t="shared" si="49"/>
        <v/>
      </c>
      <c r="T184" s="430" t="str">
        <f t="shared" si="50"/>
        <v/>
      </c>
      <c r="U184" s="430" t="str">
        <f t="shared" si="51"/>
        <v/>
      </c>
      <c r="V184" s="430" t="str">
        <f t="shared" si="52"/>
        <v/>
      </c>
      <c r="W184" s="430" t="str">
        <f t="shared" si="53"/>
        <v/>
      </c>
      <c r="X184" s="449"/>
      <c r="Z184" s="450"/>
      <c r="AA184" s="449"/>
      <c r="AB184" s="451"/>
      <c r="AC184" s="450"/>
      <c r="AD184" s="449"/>
      <c r="AE184" s="451"/>
      <c r="AF184" s="450"/>
      <c r="AG184" s="449"/>
      <c r="AH184" s="451"/>
      <c r="AI184" s="450"/>
      <c r="AJ184" s="449"/>
      <c r="AK184" s="451"/>
      <c r="AL184" s="450"/>
      <c r="AM184" s="449"/>
      <c r="AN184" s="451"/>
      <c r="AO184" s="450"/>
      <c r="AP184" s="449"/>
      <c r="AQ184" s="451"/>
      <c r="AR184" s="449"/>
      <c r="AS184" s="449"/>
      <c r="AT184" s="451"/>
      <c r="AU184" s="449"/>
      <c r="AV184" s="451"/>
      <c r="AW184" s="449"/>
      <c r="AX184" s="449"/>
      <c r="AY184" s="449"/>
      <c r="AZ184" s="449"/>
      <c r="BA184" s="449"/>
      <c r="BB184" s="449"/>
      <c r="BC184" s="449"/>
      <c r="BD184" s="449"/>
      <c r="BE184" s="449"/>
      <c r="BF184" s="449"/>
      <c r="BG184" s="449"/>
      <c r="BH184" s="449"/>
      <c r="BI184" s="449"/>
      <c r="BJ184" s="449"/>
      <c r="BK184" s="449"/>
      <c r="BL184" s="449"/>
      <c r="BM184" s="449"/>
      <c r="BN184" s="449"/>
    </row>
    <row r="185" spans="1:66" ht="13.15" x14ac:dyDescent="0.4">
      <c r="A185" s="469" t="s">
        <v>695</v>
      </c>
      <c r="B185" s="430" t="s">
        <v>694</v>
      </c>
      <c r="C185" s="463">
        <v>44378</v>
      </c>
      <c r="D185" s="430" t="s">
        <v>42</v>
      </c>
      <c r="E185" s="430">
        <v>26</v>
      </c>
      <c r="F185" s="430">
        <v>36</v>
      </c>
      <c r="G185" s="430" t="s">
        <v>264</v>
      </c>
      <c r="H185" s="461" t="s">
        <v>690</v>
      </c>
      <c r="I185" s="438" t="s">
        <v>219</v>
      </c>
      <c r="J185" s="438">
        <v>25</v>
      </c>
      <c r="K185" s="438" t="s">
        <v>523</v>
      </c>
      <c r="L185" s="430" t="str">
        <f t="shared" si="54"/>
        <v>44378S-16375</v>
      </c>
      <c r="M185" s="430"/>
      <c r="N185" s="461"/>
      <c r="O185" s="461">
        <v>11000</v>
      </c>
      <c r="P185" s="430">
        <f t="shared" si="46"/>
        <v>155</v>
      </c>
      <c r="Q185" s="430">
        <f t="shared" si="47"/>
        <v>165</v>
      </c>
      <c r="R185" s="430" t="str">
        <f t="shared" si="48"/>
        <v/>
      </c>
      <c r="S185" s="430" t="str">
        <f t="shared" si="49"/>
        <v/>
      </c>
      <c r="T185" s="430" t="str">
        <f t="shared" si="50"/>
        <v/>
      </c>
      <c r="U185" s="430" t="str">
        <f t="shared" si="51"/>
        <v/>
      </c>
      <c r="V185" s="430" t="str">
        <f t="shared" si="52"/>
        <v/>
      </c>
      <c r="W185" s="430" t="str">
        <f t="shared" si="53"/>
        <v/>
      </c>
      <c r="X185" s="449"/>
      <c r="Z185" s="450"/>
      <c r="AA185" s="449"/>
      <c r="AB185" s="451"/>
      <c r="AC185" s="450"/>
      <c r="AD185" s="449"/>
      <c r="AE185" s="451"/>
      <c r="AF185" s="450"/>
      <c r="AG185" s="449"/>
      <c r="AH185" s="451"/>
      <c r="AI185" s="450"/>
      <c r="AJ185" s="449"/>
      <c r="AK185" s="451"/>
      <c r="AL185" s="450"/>
      <c r="AM185" s="449"/>
      <c r="AN185" s="451"/>
      <c r="AO185" s="450"/>
      <c r="AP185" s="449"/>
      <c r="AQ185" s="451"/>
      <c r="AR185" s="449"/>
      <c r="AS185" s="449"/>
      <c r="AT185" s="451"/>
      <c r="AU185" s="449"/>
      <c r="AV185" s="451"/>
      <c r="AW185" s="449"/>
      <c r="AX185" s="449"/>
      <c r="AY185" s="449"/>
      <c r="AZ185" s="449"/>
      <c r="BA185" s="449"/>
      <c r="BB185" s="449"/>
      <c r="BC185" s="449"/>
      <c r="BD185" s="449"/>
      <c r="BE185" s="449"/>
      <c r="BF185" s="449"/>
      <c r="BG185" s="449"/>
      <c r="BH185" s="449"/>
      <c r="BI185" s="449"/>
      <c r="BJ185" s="449"/>
      <c r="BK185" s="449"/>
      <c r="BL185" s="449"/>
      <c r="BM185" s="449"/>
      <c r="BN185" s="449"/>
    </row>
    <row r="186" spans="1:66" ht="13.15" x14ac:dyDescent="0.4">
      <c r="A186" s="469" t="s">
        <v>697</v>
      </c>
      <c r="B186" s="430" t="s">
        <v>696</v>
      </c>
      <c r="C186" s="463">
        <v>44378</v>
      </c>
      <c r="D186" s="430" t="s">
        <v>42</v>
      </c>
      <c r="E186" s="430">
        <v>30</v>
      </c>
      <c r="F186" s="430">
        <v>40</v>
      </c>
      <c r="G186" s="430" t="s">
        <v>114</v>
      </c>
      <c r="H186" s="461" t="s">
        <v>698</v>
      </c>
      <c r="I186" s="438" t="s">
        <v>215</v>
      </c>
      <c r="J186" s="438">
        <v>35</v>
      </c>
      <c r="K186" s="438" t="s">
        <v>477</v>
      </c>
      <c r="L186" s="430" t="str">
        <f t="shared" si="54"/>
        <v>44378S-9920</v>
      </c>
      <c r="M186" s="430"/>
      <c r="N186" s="461"/>
      <c r="O186" s="461">
        <v>14000</v>
      </c>
      <c r="P186" s="430">
        <f t="shared" si="46"/>
        <v>175</v>
      </c>
      <c r="Q186" s="430" t="str">
        <f t="shared" si="47"/>
        <v/>
      </c>
      <c r="R186" s="430" t="str">
        <f t="shared" si="48"/>
        <v/>
      </c>
      <c r="S186" s="430" t="str">
        <f t="shared" si="49"/>
        <v/>
      </c>
      <c r="T186" s="430" t="str">
        <f t="shared" si="50"/>
        <v/>
      </c>
      <c r="U186" s="430" t="str">
        <f t="shared" si="51"/>
        <v/>
      </c>
      <c r="V186" s="430" t="str">
        <f t="shared" si="52"/>
        <v/>
      </c>
      <c r="W186" s="430" t="str">
        <f t="shared" si="53"/>
        <v/>
      </c>
      <c r="X186" s="449"/>
      <c r="Z186" s="450"/>
      <c r="AA186" s="449"/>
      <c r="AB186" s="451"/>
      <c r="AC186" s="450"/>
      <c r="AD186" s="449"/>
      <c r="AE186" s="451"/>
      <c r="AF186" s="450"/>
      <c r="AG186" s="449"/>
      <c r="AH186" s="451"/>
      <c r="AI186" s="450"/>
      <c r="AJ186" s="449"/>
      <c r="AK186" s="451"/>
      <c r="AL186" s="450"/>
      <c r="AM186" s="449"/>
      <c r="AN186" s="451"/>
      <c r="AO186" s="450"/>
      <c r="AP186" s="449"/>
      <c r="AQ186" s="451"/>
      <c r="AR186" s="449"/>
      <c r="AS186" s="449"/>
      <c r="AT186" s="451"/>
      <c r="AU186" s="449"/>
      <c r="AV186" s="451"/>
      <c r="AW186" s="449"/>
      <c r="AX186" s="449"/>
      <c r="AY186" s="449"/>
      <c r="AZ186" s="449"/>
      <c r="BA186" s="449"/>
      <c r="BB186" s="449"/>
      <c r="BC186" s="449"/>
      <c r="BD186" s="449"/>
      <c r="BE186" s="449"/>
      <c r="BF186" s="449"/>
      <c r="BG186" s="449"/>
      <c r="BH186" s="449"/>
      <c r="BI186" s="449"/>
      <c r="BJ186" s="449"/>
      <c r="BK186" s="449"/>
      <c r="BL186" s="449"/>
      <c r="BM186" s="449"/>
      <c r="BN186" s="449"/>
    </row>
    <row r="187" spans="1:66" ht="13.15" x14ac:dyDescent="0.4">
      <c r="A187" s="469" t="s">
        <v>700</v>
      </c>
      <c r="B187" s="430" t="s">
        <v>699</v>
      </c>
      <c r="C187" s="463">
        <v>44378</v>
      </c>
      <c r="D187" s="430" t="s">
        <v>42</v>
      </c>
      <c r="E187" s="430">
        <v>30</v>
      </c>
      <c r="F187" s="430">
        <v>40</v>
      </c>
      <c r="G187" s="430" t="s">
        <v>114</v>
      </c>
      <c r="H187" s="461" t="s">
        <v>690</v>
      </c>
      <c r="I187" s="438" t="s">
        <v>215</v>
      </c>
      <c r="J187" s="438">
        <v>37</v>
      </c>
      <c r="K187" s="438" t="s">
        <v>477</v>
      </c>
      <c r="L187" s="430" t="str">
        <f t="shared" si="54"/>
        <v>44378S-9920</v>
      </c>
      <c r="M187" s="430"/>
      <c r="N187" s="461"/>
      <c r="O187" s="461">
        <v>18000</v>
      </c>
      <c r="P187" s="430">
        <f t="shared" si="46"/>
        <v>175</v>
      </c>
      <c r="Q187" s="430">
        <f t="shared" si="47"/>
        <v>185</v>
      </c>
      <c r="R187" s="430" t="str">
        <f t="shared" si="48"/>
        <v/>
      </c>
      <c r="S187" s="430" t="str">
        <f t="shared" si="49"/>
        <v/>
      </c>
      <c r="T187" s="430" t="str">
        <f t="shared" si="50"/>
        <v/>
      </c>
      <c r="U187" s="430" t="str">
        <f t="shared" si="51"/>
        <v/>
      </c>
      <c r="V187" s="430" t="str">
        <f t="shared" si="52"/>
        <v/>
      </c>
      <c r="W187" s="430" t="str">
        <f t="shared" si="53"/>
        <v/>
      </c>
      <c r="X187" s="449"/>
      <c r="Z187" s="450"/>
      <c r="AA187" s="449"/>
      <c r="AB187" s="451"/>
      <c r="AC187" s="450"/>
      <c r="AD187" s="449"/>
      <c r="AE187" s="451"/>
      <c r="AF187" s="450"/>
      <c r="AG187" s="449"/>
      <c r="AH187" s="451"/>
      <c r="AI187" s="450"/>
      <c r="AJ187" s="449"/>
      <c r="AK187" s="451"/>
      <c r="AL187" s="450"/>
      <c r="AM187" s="449"/>
      <c r="AN187" s="451"/>
      <c r="AO187" s="450"/>
      <c r="AP187" s="449"/>
      <c r="AQ187" s="451"/>
      <c r="AR187" s="449"/>
      <c r="AS187" s="449"/>
      <c r="AT187" s="451"/>
      <c r="AU187" s="449"/>
      <c r="AV187" s="451"/>
      <c r="AW187" s="449"/>
      <c r="AX187" s="449"/>
      <c r="AY187" s="449"/>
      <c r="AZ187" s="449"/>
      <c r="BA187" s="449"/>
      <c r="BB187" s="449"/>
      <c r="BC187" s="449"/>
      <c r="BD187" s="449"/>
      <c r="BE187" s="449"/>
      <c r="BF187" s="449"/>
      <c r="BG187" s="449"/>
      <c r="BH187" s="449"/>
      <c r="BI187" s="449"/>
      <c r="BJ187" s="449"/>
      <c r="BK187" s="449"/>
      <c r="BL187" s="449"/>
      <c r="BM187" s="449"/>
      <c r="BN187" s="449"/>
    </row>
    <row r="188" spans="1:66" ht="13.15" x14ac:dyDescent="0.4">
      <c r="A188" s="469" t="s">
        <v>585</v>
      </c>
      <c r="B188" s="430" t="s">
        <v>701</v>
      </c>
      <c r="C188" s="463">
        <v>44378</v>
      </c>
      <c r="D188" s="430" t="s">
        <v>54</v>
      </c>
      <c r="E188" s="430">
        <v>29</v>
      </c>
      <c r="F188" s="430">
        <v>48</v>
      </c>
      <c r="G188" s="430" t="s">
        <v>159</v>
      </c>
      <c r="H188" s="461" t="s">
        <v>690</v>
      </c>
      <c r="I188" s="438" t="s">
        <v>309</v>
      </c>
      <c r="J188" s="438">
        <v>42</v>
      </c>
      <c r="K188" s="438" t="s">
        <v>492</v>
      </c>
      <c r="L188" s="430" t="str">
        <f t="shared" si="54"/>
        <v>44378S-11306</v>
      </c>
      <c r="M188" s="430"/>
      <c r="N188" s="461"/>
      <c r="O188" s="461">
        <v>3000</v>
      </c>
      <c r="P188" s="430" t="str">
        <f t="shared" si="46"/>
        <v/>
      </c>
      <c r="Q188" s="430" t="str">
        <f t="shared" si="47"/>
        <v/>
      </c>
      <c r="R188" s="430">
        <f t="shared" si="48"/>
        <v>202.5</v>
      </c>
      <c r="S188" s="430" t="str">
        <f t="shared" si="49"/>
        <v/>
      </c>
      <c r="T188" s="430" t="str">
        <f t="shared" si="50"/>
        <v/>
      </c>
      <c r="U188" s="430" t="str">
        <f t="shared" si="51"/>
        <v/>
      </c>
      <c r="V188" s="430" t="str">
        <f t="shared" si="52"/>
        <v/>
      </c>
      <c r="W188" s="430" t="str">
        <f t="shared" si="53"/>
        <v/>
      </c>
      <c r="X188" s="449"/>
      <c r="Z188" s="450"/>
      <c r="AA188" s="449"/>
      <c r="AB188" s="451"/>
      <c r="AC188" s="450"/>
      <c r="AD188" s="449"/>
      <c r="AE188" s="451"/>
      <c r="AF188" s="450"/>
      <c r="AG188" s="449"/>
      <c r="AH188" s="451"/>
      <c r="AI188" s="450"/>
      <c r="AJ188" s="449"/>
      <c r="AK188" s="451"/>
      <c r="AL188" s="450"/>
      <c r="AM188" s="449"/>
      <c r="AN188" s="451"/>
      <c r="AO188" s="450"/>
      <c r="AP188" s="449"/>
      <c r="AQ188" s="451"/>
      <c r="AR188" s="449"/>
      <c r="AS188" s="449"/>
      <c r="AT188" s="451"/>
      <c r="AU188" s="449"/>
      <c r="AV188" s="451"/>
      <c r="AW188" s="449"/>
      <c r="AX188" s="449"/>
      <c r="AY188" s="449"/>
      <c r="AZ188" s="449"/>
      <c r="BA188" s="449"/>
      <c r="BB188" s="449"/>
      <c r="BC188" s="449"/>
      <c r="BD188" s="449"/>
      <c r="BE188" s="449"/>
      <c r="BF188" s="449"/>
      <c r="BG188" s="449"/>
      <c r="BH188" s="449"/>
      <c r="BI188" s="449"/>
      <c r="BJ188" s="449"/>
      <c r="BK188" s="449"/>
      <c r="BL188" s="449"/>
      <c r="BM188" s="449"/>
      <c r="BN188" s="449"/>
    </row>
    <row r="189" spans="1:66" ht="13.15" x14ac:dyDescent="0.4">
      <c r="A189" s="430" t="s">
        <v>703</v>
      </c>
      <c r="B189" s="430" t="s">
        <v>702</v>
      </c>
      <c r="C189" s="463">
        <v>44378</v>
      </c>
      <c r="D189" s="430" t="s">
        <v>54</v>
      </c>
      <c r="E189" s="430">
        <v>36</v>
      </c>
      <c r="F189" s="430">
        <v>48</v>
      </c>
      <c r="G189" s="430" t="s">
        <v>124</v>
      </c>
      <c r="H189" s="461" t="s">
        <v>690</v>
      </c>
      <c r="I189" s="438" t="s">
        <v>369</v>
      </c>
      <c r="J189" s="438" t="s">
        <v>45</v>
      </c>
      <c r="K189" s="438" t="s">
        <v>45</v>
      </c>
      <c r="L189" s="430" t="str">
        <f t="shared" si="54"/>
        <v>44378N/A</v>
      </c>
      <c r="M189" s="430"/>
      <c r="N189" s="461"/>
      <c r="O189" s="461">
        <v>4000</v>
      </c>
      <c r="P189" s="430" t="str">
        <f t="shared" si="46"/>
        <v/>
      </c>
      <c r="Q189" s="430" t="str">
        <f t="shared" si="47"/>
        <v/>
      </c>
      <c r="R189" s="430">
        <f t="shared" si="48"/>
        <v>220</v>
      </c>
      <c r="S189" s="430" t="str">
        <f t="shared" si="49"/>
        <v/>
      </c>
      <c r="T189" s="430" t="str">
        <f t="shared" si="50"/>
        <v/>
      </c>
      <c r="U189" s="430" t="str">
        <f t="shared" si="51"/>
        <v/>
      </c>
      <c r="V189" s="430" t="str">
        <f t="shared" si="52"/>
        <v/>
      </c>
      <c r="W189" s="430" t="str">
        <f t="shared" si="53"/>
        <v/>
      </c>
      <c r="X189" s="449"/>
      <c r="Z189" s="450"/>
      <c r="AA189" s="449"/>
      <c r="AB189" s="451"/>
      <c r="AC189" s="450"/>
      <c r="AD189" s="449"/>
      <c r="AE189" s="451"/>
      <c r="AF189" s="450"/>
      <c r="AG189" s="449"/>
      <c r="AH189" s="451"/>
      <c r="AI189" s="450"/>
      <c r="AJ189" s="449"/>
      <c r="AK189" s="451"/>
      <c r="AL189" s="450"/>
      <c r="AM189" s="449"/>
      <c r="AN189" s="451"/>
      <c r="AO189" s="450"/>
      <c r="AP189" s="449"/>
      <c r="AQ189" s="451"/>
      <c r="AR189" s="449"/>
      <c r="AS189" s="449"/>
      <c r="AT189" s="451"/>
      <c r="AU189" s="449"/>
      <c r="AV189" s="451"/>
      <c r="AW189" s="449"/>
      <c r="AX189" s="449"/>
      <c r="AY189" s="449"/>
      <c r="AZ189" s="449"/>
      <c r="BA189" s="449"/>
      <c r="BB189" s="449"/>
      <c r="BC189" s="449"/>
      <c r="BD189" s="449"/>
      <c r="BE189" s="449"/>
      <c r="BF189" s="449"/>
      <c r="BG189" s="449"/>
      <c r="BH189" s="449"/>
      <c r="BI189" s="449"/>
      <c r="BJ189" s="449"/>
      <c r="BK189" s="449"/>
      <c r="BL189" s="449"/>
      <c r="BM189" s="449"/>
      <c r="BN189" s="449"/>
    </row>
    <row r="190" spans="1:66" ht="13.15" x14ac:dyDescent="0.4">
      <c r="A190" s="469" t="s">
        <v>518</v>
      </c>
      <c r="B190" s="430" t="s">
        <v>704</v>
      </c>
      <c r="C190" s="463">
        <v>44378</v>
      </c>
      <c r="D190" s="430" t="s">
        <v>54</v>
      </c>
      <c r="E190" s="430">
        <v>24</v>
      </c>
      <c r="F190" s="430">
        <v>32</v>
      </c>
      <c r="G190" s="430" t="s">
        <v>116</v>
      </c>
      <c r="H190" s="461" t="s">
        <v>690</v>
      </c>
      <c r="I190" s="438" t="s">
        <v>116</v>
      </c>
      <c r="J190" s="438">
        <v>25</v>
      </c>
      <c r="K190" s="438" t="s">
        <v>480</v>
      </c>
      <c r="L190" s="430" t="str">
        <f t="shared" si="54"/>
        <v>44378S-17584</v>
      </c>
      <c r="M190" s="430"/>
      <c r="N190" s="461"/>
      <c r="O190" s="461">
        <v>1600</v>
      </c>
      <c r="P190" s="430" t="str">
        <f t="shared" si="46"/>
        <v/>
      </c>
      <c r="Q190" s="430" t="str">
        <f t="shared" si="47"/>
        <v/>
      </c>
      <c r="R190" s="430">
        <f t="shared" si="48"/>
        <v>150</v>
      </c>
      <c r="S190" s="430" t="str">
        <f t="shared" si="49"/>
        <v/>
      </c>
      <c r="T190" s="430" t="str">
        <f t="shared" si="50"/>
        <v/>
      </c>
      <c r="U190" s="430" t="str">
        <f t="shared" si="51"/>
        <v/>
      </c>
      <c r="V190" s="430" t="str">
        <f t="shared" si="52"/>
        <v/>
      </c>
      <c r="W190" s="430" t="str">
        <f t="shared" si="53"/>
        <v/>
      </c>
      <c r="X190" s="449"/>
      <c r="Z190" s="450"/>
      <c r="AA190" s="449"/>
      <c r="AB190" s="451"/>
      <c r="AC190" s="450"/>
      <c r="AD190" s="449"/>
      <c r="AE190" s="451"/>
      <c r="AF190" s="450"/>
      <c r="AG190" s="449"/>
      <c r="AH190" s="451"/>
      <c r="AI190" s="450"/>
      <c r="AJ190" s="449"/>
      <c r="AK190" s="451"/>
      <c r="AL190" s="450"/>
      <c r="AM190" s="449"/>
      <c r="AN190" s="451"/>
      <c r="AO190" s="450"/>
      <c r="AP190" s="449"/>
      <c r="AQ190" s="451"/>
      <c r="AR190" s="449"/>
      <c r="AS190" s="449"/>
      <c r="AT190" s="451"/>
      <c r="AU190" s="449"/>
      <c r="AV190" s="451"/>
      <c r="AW190" s="449"/>
      <c r="AX190" s="449"/>
      <c r="AY190" s="449"/>
      <c r="AZ190" s="449"/>
      <c r="BA190" s="449"/>
      <c r="BB190" s="449"/>
      <c r="BC190" s="449"/>
      <c r="BD190" s="449"/>
      <c r="BE190" s="449"/>
      <c r="BF190" s="449"/>
      <c r="BG190" s="449"/>
      <c r="BH190" s="449"/>
      <c r="BI190" s="449"/>
      <c r="BJ190" s="449"/>
      <c r="BK190" s="449"/>
      <c r="BL190" s="449"/>
      <c r="BM190" s="449"/>
      <c r="BN190" s="449"/>
    </row>
    <row r="191" spans="1:66" ht="13.15" x14ac:dyDescent="0.4">
      <c r="A191" s="469" t="s">
        <v>441</v>
      </c>
      <c r="B191" s="430" t="s">
        <v>410</v>
      </c>
      <c r="C191" s="463">
        <v>44378</v>
      </c>
      <c r="D191" s="430" t="s">
        <v>54</v>
      </c>
      <c r="E191" s="430">
        <v>32</v>
      </c>
      <c r="F191" s="430">
        <v>48</v>
      </c>
      <c r="G191" s="430" t="s">
        <v>225</v>
      </c>
      <c r="H191" s="461" t="s">
        <v>1</v>
      </c>
      <c r="I191" s="438" t="s">
        <v>347</v>
      </c>
      <c r="J191" s="438">
        <v>43</v>
      </c>
      <c r="K191" s="438" t="s">
        <v>492</v>
      </c>
      <c r="L191" s="430" t="str">
        <f t="shared" si="54"/>
        <v>44378S-11306</v>
      </c>
      <c r="M191" s="430"/>
      <c r="N191" s="461"/>
      <c r="O191" s="461">
        <v>3600</v>
      </c>
      <c r="P191" s="430" t="str">
        <f t="shared" si="46"/>
        <v/>
      </c>
      <c r="Q191" s="430" t="str">
        <f t="shared" si="47"/>
        <v/>
      </c>
      <c r="R191" s="430" t="str">
        <f t="shared" si="48"/>
        <v/>
      </c>
      <c r="S191" s="430">
        <f t="shared" si="49"/>
        <v>210</v>
      </c>
      <c r="T191" s="430" t="str">
        <f t="shared" si="50"/>
        <v/>
      </c>
      <c r="U191" s="430" t="str">
        <f t="shared" si="51"/>
        <v/>
      </c>
      <c r="V191" s="430" t="str">
        <f t="shared" si="52"/>
        <v/>
      </c>
      <c r="W191" s="430" t="str">
        <f t="shared" si="53"/>
        <v/>
      </c>
      <c r="X191" s="449"/>
      <c r="Z191" s="450"/>
      <c r="AA191" s="449"/>
      <c r="AB191" s="451"/>
      <c r="AC191" s="450"/>
      <c r="AD191" s="449"/>
      <c r="AE191" s="451"/>
      <c r="AF191" s="450"/>
      <c r="AG191" s="449"/>
      <c r="AH191" s="451"/>
      <c r="AI191" s="450"/>
      <c r="AJ191" s="449"/>
      <c r="AK191" s="451"/>
      <c r="AL191" s="450"/>
      <c r="AM191" s="449"/>
      <c r="AN191" s="451"/>
      <c r="AO191" s="450"/>
      <c r="AP191" s="449"/>
      <c r="AQ191" s="451"/>
      <c r="AR191" s="449"/>
      <c r="AS191" s="449"/>
      <c r="AT191" s="451"/>
      <c r="AU191" s="449"/>
      <c r="AV191" s="451"/>
      <c r="AW191" s="449"/>
      <c r="AX191" s="449"/>
      <c r="AY191" s="449"/>
      <c r="AZ191" s="449"/>
      <c r="BA191" s="449"/>
      <c r="BB191" s="449"/>
      <c r="BC191" s="449"/>
      <c r="BD191" s="449"/>
      <c r="BE191" s="449"/>
      <c r="BF191" s="449"/>
      <c r="BG191" s="449"/>
      <c r="BH191" s="449"/>
      <c r="BI191" s="449"/>
      <c r="BJ191" s="449"/>
      <c r="BK191" s="449"/>
      <c r="BL191" s="449"/>
      <c r="BM191" s="449"/>
      <c r="BN191" s="449"/>
    </row>
    <row r="192" spans="1:66" ht="13.15" x14ac:dyDescent="0.4">
      <c r="A192" s="468" t="s">
        <v>290</v>
      </c>
      <c r="B192" s="464" t="s">
        <v>705</v>
      </c>
      <c r="C192" s="465">
        <v>44385</v>
      </c>
      <c r="D192" s="464" t="s">
        <v>54</v>
      </c>
      <c r="E192" s="464">
        <v>36</v>
      </c>
      <c r="F192" s="464">
        <v>56</v>
      </c>
      <c r="G192" s="464" t="s">
        <v>232</v>
      </c>
      <c r="H192" s="466" t="s">
        <v>1</v>
      </c>
      <c r="I192" s="446" t="s">
        <v>372</v>
      </c>
      <c r="J192" s="446">
        <v>49</v>
      </c>
      <c r="K192" s="446" t="s">
        <v>484</v>
      </c>
      <c r="L192" s="466" t="str">
        <f t="shared" si="54"/>
        <v>44385S-16377</v>
      </c>
      <c r="M192" s="466" t="s">
        <v>706</v>
      </c>
      <c r="N192" s="466">
        <v>1000.73</v>
      </c>
      <c r="O192" s="466">
        <v>4165</v>
      </c>
      <c r="P192" s="430" t="str">
        <f t="shared" si="46"/>
        <v/>
      </c>
      <c r="Q192" s="430" t="str">
        <f t="shared" si="47"/>
        <v/>
      </c>
      <c r="R192" s="430" t="str">
        <f t="shared" si="48"/>
        <v/>
      </c>
      <c r="S192" s="430">
        <f t="shared" si="49"/>
        <v>240</v>
      </c>
      <c r="T192" s="430" t="str">
        <f t="shared" si="50"/>
        <v/>
      </c>
      <c r="U192" s="430" t="str">
        <f t="shared" si="51"/>
        <v/>
      </c>
      <c r="V192" s="430" t="str">
        <f t="shared" si="52"/>
        <v/>
      </c>
      <c r="W192" s="430" t="str">
        <f t="shared" si="53"/>
        <v/>
      </c>
      <c r="X192" s="449"/>
      <c r="Z192" s="450"/>
      <c r="AA192" s="449"/>
      <c r="AB192" s="451"/>
      <c r="AC192" s="450"/>
      <c r="AD192" s="449"/>
      <c r="AE192" s="451"/>
      <c r="AF192" s="450"/>
      <c r="AG192" s="449"/>
      <c r="AH192" s="451"/>
      <c r="AI192" s="450"/>
      <c r="AJ192" s="449"/>
      <c r="AK192" s="451"/>
      <c r="AL192" s="450"/>
      <c r="AM192" s="449"/>
      <c r="AN192" s="451"/>
      <c r="AO192" s="450"/>
      <c r="AP192" s="449"/>
      <c r="AQ192" s="451"/>
      <c r="AR192" s="449"/>
      <c r="AS192" s="449"/>
      <c r="AT192" s="451"/>
      <c r="AU192" s="449"/>
      <c r="AV192" s="451"/>
      <c r="AW192" s="449"/>
      <c r="AX192" s="449"/>
      <c r="AY192" s="449"/>
      <c r="AZ192" s="449"/>
      <c r="BA192" s="449"/>
      <c r="BB192" s="449"/>
      <c r="BC192" s="449"/>
      <c r="BD192" s="449"/>
      <c r="BE192" s="449"/>
      <c r="BF192" s="449"/>
      <c r="BG192" s="449"/>
      <c r="BH192" s="449"/>
      <c r="BI192" s="449"/>
      <c r="BJ192" s="449"/>
      <c r="BK192" s="449"/>
      <c r="BL192" s="449"/>
      <c r="BM192" s="449"/>
      <c r="BN192" s="449"/>
    </row>
    <row r="193" spans="1:66" ht="13.15" x14ac:dyDescent="0.4">
      <c r="A193" s="430" t="s">
        <v>708</v>
      </c>
      <c r="B193" s="430" t="s">
        <v>707</v>
      </c>
      <c r="C193" s="463">
        <v>44385</v>
      </c>
      <c r="D193" s="430" t="s">
        <v>54</v>
      </c>
      <c r="E193" s="430">
        <v>48</v>
      </c>
      <c r="F193" s="430">
        <v>60</v>
      </c>
      <c r="G193" s="430" t="s">
        <v>131</v>
      </c>
      <c r="H193" s="461" t="s">
        <v>690</v>
      </c>
      <c r="I193" s="438" t="s">
        <v>386</v>
      </c>
      <c r="J193" s="438">
        <v>202</v>
      </c>
      <c r="K193" s="438" t="s">
        <v>384</v>
      </c>
      <c r="L193" s="430" t="str">
        <f t="shared" si="54"/>
        <v>44385CRATE</v>
      </c>
      <c r="M193" s="430" t="s">
        <v>709</v>
      </c>
      <c r="N193" s="461">
        <v>719.5</v>
      </c>
      <c r="O193" s="461">
        <v>5865</v>
      </c>
      <c r="P193" s="430" t="str">
        <f t="shared" si="46"/>
        <v/>
      </c>
      <c r="Q193" s="430" t="str">
        <f t="shared" si="47"/>
        <v/>
      </c>
      <c r="R193" s="430">
        <f t="shared" si="48"/>
        <v>280</v>
      </c>
      <c r="S193" s="430" t="str">
        <f t="shared" si="49"/>
        <v/>
      </c>
      <c r="T193" s="430" t="str">
        <f t="shared" si="50"/>
        <v/>
      </c>
      <c r="U193" s="430" t="str">
        <f t="shared" si="51"/>
        <v/>
      </c>
      <c r="V193" s="430" t="str">
        <f t="shared" si="52"/>
        <v/>
      </c>
      <c r="W193" s="430" t="str">
        <f t="shared" si="53"/>
        <v/>
      </c>
      <c r="X193" s="449"/>
      <c r="Z193" s="450"/>
      <c r="AA193" s="449"/>
      <c r="AB193" s="451"/>
      <c r="AC193" s="450"/>
      <c r="AD193" s="449"/>
      <c r="AE193" s="451"/>
      <c r="AF193" s="450"/>
      <c r="AG193" s="449"/>
      <c r="AH193" s="451"/>
      <c r="AI193" s="450"/>
      <c r="AJ193" s="449"/>
      <c r="AK193" s="451"/>
      <c r="AL193" s="450"/>
      <c r="AM193" s="449"/>
      <c r="AN193" s="451"/>
      <c r="AO193" s="450"/>
      <c r="AP193" s="449"/>
      <c r="AQ193" s="451"/>
      <c r="AR193" s="449"/>
      <c r="AS193" s="449"/>
      <c r="AT193" s="451"/>
      <c r="AU193" s="449"/>
      <c r="AV193" s="451"/>
      <c r="AW193" s="449"/>
      <c r="AX193" s="449"/>
      <c r="AY193" s="449"/>
      <c r="AZ193" s="449"/>
      <c r="BA193" s="449"/>
      <c r="BB193" s="449"/>
      <c r="BC193" s="449"/>
      <c r="BD193" s="449"/>
      <c r="BE193" s="449"/>
      <c r="BF193" s="449"/>
      <c r="BG193" s="449"/>
      <c r="BH193" s="449"/>
      <c r="BI193" s="449"/>
      <c r="BJ193" s="449"/>
      <c r="BK193" s="449"/>
      <c r="BL193" s="449"/>
      <c r="BM193" s="449"/>
      <c r="BN193" s="449"/>
    </row>
    <row r="194" spans="1:66" ht="13.15" x14ac:dyDescent="0.4">
      <c r="A194" s="430" t="s">
        <v>441</v>
      </c>
      <c r="B194" s="430" t="s">
        <v>527</v>
      </c>
      <c r="C194" s="463">
        <v>44385</v>
      </c>
      <c r="D194" s="430" t="s">
        <v>54</v>
      </c>
      <c r="E194" s="430">
        <v>40</v>
      </c>
      <c r="F194" s="430">
        <v>60</v>
      </c>
      <c r="G194" s="430" t="s">
        <v>127</v>
      </c>
      <c r="H194" s="461" t="s">
        <v>690</v>
      </c>
      <c r="I194" s="438" t="s">
        <v>380</v>
      </c>
      <c r="J194" s="438" t="s">
        <v>45</v>
      </c>
      <c r="K194" s="438" t="s">
        <v>45</v>
      </c>
      <c r="L194" s="430" t="str">
        <f t="shared" si="54"/>
        <v>44385N/A</v>
      </c>
      <c r="M194" s="430" t="s">
        <v>527</v>
      </c>
      <c r="N194" s="461">
        <v>0</v>
      </c>
      <c r="O194" s="461">
        <v>0</v>
      </c>
      <c r="P194" s="430" t="str">
        <f t="shared" si="46"/>
        <v/>
      </c>
      <c r="Q194" s="430" t="str">
        <f t="shared" si="47"/>
        <v/>
      </c>
      <c r="R194" s="430">
        <f t="shared" si="48"/>
        <v>260</v>
      </c>
      <c r="S194" s="430" t="str">
        <f t="shared" si="49"/>
        <v/>
      </c>
      <c r="T194" s="430" t="str">
        <f t="shared" si="50"/>
        <v/>
      </c>
      <c r="U194" s="430" t="str">
        <f t="shared" si="51"/>
        <v/>
      </c>
      <c r="V194" s="430" t="str">
        <f t="shared" si="52"/>
        <v/>
      </c>
      <c r="W194" s="430" t="str">
        <f t="shared" si="53"/>
        <v/>
      </c>
      <c r="X194" s="449"/>
      <c r="Z194" s="450"/>
      <c r="AA194" s="449"/>
      <c r="AB194" s="451"/>
      <c r="AC194" s="450"/>
      <c r="AD194" s="449"/>
      <c r="AE194" s="451"/>
      <c r="AF194" s="450"/>
      <c r="AG194" s="449"/>
      <c r="AH194" s="451"/>
      <c r="AI194" s="450"/>
      <c r="AJ194" s="449"/>
      <c r="AK194" s="451"/>
      <c r="AL194" s="450"/>
      <c r="AM194" s="449"/>
      <c r="AN194" s="451"/>
      <c r="AO194" s="450"/>
      <c r="AP194" s="449"/>
      <c r="AQ194" s="451"/>
      <c r="AR194" s="449"/>
      <c r="AS194" s="449"/>
      <c r="AT194" s="451"/>
      <c r="AU194" s="449"/>
      <c r="AV194" s="451"/>
      <c r="AW194" s="449"/>
      <c r="AX194" s="449"/>
      <c r="AY194" s="449"/>
      <c r="AZ194" s="449"/>
      <c r="BA194" s="449"/>
      <c r="BB194" s="449"/>
      <c r="BC194" s="449"/>
      <c r="BD194" s="449"/>
      <c r="BE194" s="449"/>
      <c r="BF194" s="449"/>
      <c r="BG194" s="449"/>
      <c r="BH194" s="449"/>
      <c r="BI194" s="449"/>
      <c r="BJ194" s="449"/>
      <c r="BK194" s="449"/>
      <c r="BL194" s="449"/>
      <c r="BM194" s="449"/>
      <c r="BN194" s="449"/>
    </row>
    <row r="195" spans="1:66" ht="13.15" x14ac:dyDescent="0.4">
      <c r="A195" s="469" t="s">
        <v>711</v>
      </c>
      <c r="B195" s="430" t="s">
        <v>710</v>
      </c>
      <c r="C195" s="463">
        <v>44385</v>
      </c>
      <c r="D195" s="430" t="s">
        <v>604</v>
      </c>
      <c r="E195" s="430">
        <v>17</v>
      </c>
      <c r="F195" s="430">
        <v>24</v>
      </c>
      <c r="G195" s="430" t="s">
        <v>196</v>
      </c>
      <c r="H195" s="461" t="s">
        <v>51</v>
      </c>
      <c r="I195" s="438" t="s">
        <v>145</v>
      </c>
      <c r="J195" s="438">
        <v>10.5</v>
      </c>
      <c r="K195" s="438" t="s">
        <v>586</v>
      </c>
      <c r="L195" s="430" t="str">
        <f t="shared" si="54"/>
        <v>44385S-4929</v>
      </c>
      <c r="M195" s="430" t="s">
        <v>712</v>
      </c>
      <c r="N195" s="461">
        <f t="shared" ref="N195:N196" si="59">187.09/2</f>
        <v>93.545000000000002</v>
      </c>
      <c r="O195" s="461">
        <v>0</v>
      </c>
      <c r="P195" s="430" t="str">
        <f t="shared" si="46"/>
        <v/>
      </c>
      <c r="Q195" s="430" t="str">
        <f t="shared" si="47"/>
        <v/>
      </c>
      <c r="R195" s="430" t="str">
        <f t="shared" si="48"/>
        <v/>
      </c>
      <c r="S195" s="430" t="str">
        <f t="shared" si="49"/>
        <v/>
      </c>
      <c r="T195" s="430">
        <f t="shared" si="50"/>
        <v>112.5</v>
      </c>
      <c r="U195" s="430" t="str">
        <f t="shared" si="51"/>
        <v/>
      </c>
      <c r="V195" s="430" t="str">
        <f t="shared" si="52"/>
        <v/>
      </c>
      <c r="W195" s="430" t="str">
        <f t="shared" si="53"/>
        <v/>
      </c>
      <c r="X195" s="449"/>
      <c r="Z195" s="450"/>
      <c r="AA195" s="449"/>
      <c r="AB195" s="451"/>
      <c r="AC195" s="450"/>
      <c r="AD195" s="449"/>
      <c r="AE195" s="451"/>
      <c r="AF195" s="450"/>
      <c r="AG195" s="449"/>
      <c r="AH195" s="451"/>
      <c r="AI195" s="450"/>
      <c r="AJ195" s="449"/>
      <c r="AK195" s="451"/>
      <c r="AL195" s="450"/>
      <c r="AM195" s="449"/>
      <c r="AN195" s="451"/>
      <c r="AO195" s="450"/>
      <c r="AP195" s="449"/>
      <c r="AQ195" s="451"/>
      <c r="AR195" s="449"/>
      <c r="AS195" s="449"/>
      <c r="AT195" s="451"/>
      <c r="AU195" s="449"/>
      <c r="AV195" s="451"/>
      <c r="AW195" s="449"/>
      <c r="AX195" s="449"/>
      <c r="AY195" s="449"/>
      <c r="AZ195" s="449"/>
      <c r="BA195" s="449"/>
      <c r="BB195" s="449"/>
      <c r="BC195" s="449"/>
      <c r="BD195" s="449"/>
      <c r="BE195" s="449"/>
      <c r="BF195" s="449"/>
      <c r="BG195" s="449"/>
      <c r="BH195" s="449"/>
      <c r="BI195" s="449"/>
      <c r="BJ195" s="449"/>
      <c r="BK195" s="449"/>
      <c r="BL195" s="449"/>
      <c r="BM195" s="449"/>
      <c r="BN195" s="449"/>
    </row>
    <row r="196" spans="1:66" ht="13.15" x14ac:dyDescent="0.4">
      <c r="A196" s="469" t="s">
        <v>614</v>
      </c>
      <c r="B196" s="430" t="s">
        <v>710</v>
      </c>
      <c r="C196" s="463">
        <v>44385</v>
      </c>
      <c r="D196" s="430" t="s">
        <v>604</v>
      </c>
      <c r="E196" s="430">
        <v>19</v>
      </c>
      <c r="F196" s="430">
        <v>25</v>
      </c>
      <c r="G196" s="430" t="s">
        <v>231</v>
      </c>
      <c r="H196" s="461" t="s">
        <v>51</v>
      </c>
      <c r="I196" s="438" t="s">
        <v>260</v>
      </c>
      <c r="J196" s="438">
        <v>10.5</v>
      </c>
      <c r="K196" s="438" t="s">
        <v>586</v>
      </c>
      <c r="L196" s="430" t="str">
        <f t="shared" si="54"/>
        <v>44385S-4929</v>
      </c>
      <c r="M196" s="430" t="s">
        <v>712</v>
      </c>
      <c r="N196" s="461">
        <f t="shared" si="59"/>
        <v>93.545000000000002</v>
      </c>
      <c r="O196" s="461">
        <v>0</v>
      </c>
      <c r="P196" s="430" t="str">
        <f t="shared" si="46"/>
        <v/>
      </c>
      <c r="Q196" s="430" t="str">
        <f t="shared" si="47"/>
        <v/>
      </c>
      <c r="R196" s="430" t="str">
        <f t="shared" si="48"/>
        <v/>
      </c>
      <c r="S196" s="430" t="str">
        <f t="shared" si="49"/>
        <v/>
      </c>
      <c r="T196" s="430">
        <f t="shared" si="50"/>
        <v>120</v>
      </c>
      <c r="U196" s="430" t="str">
        <f t="shared" si="51"/>
        <v/>
      </c>
      <c r="V196" s="430" t="str">
        <f t="shared" si="52"/>
        <v/>
      </c>
      <c r="W196" s="430" t="str">
        <f t="shared" si="53"/>
        <v/>
      </c>
      <c r="X196" s="449"/>
      <c r="Z196" s="450"/>
      <c r="AA196" s="449"/>
      <c r="AB196" s="451"/>
      <c r="AC196" s="450"/>
      <c r="AD196" s="449"/>
      <c r="AE196" s="451"/>
      <c r="AF196" s="450"/>
      <c r="AG196" s="449"/>
      <c r="AH196" s="451"/>
      <c r="AI196" s="450"/>
      <c r="AJ196" s="449"/>
      <c r="AK196" s="451"/>
      <c r="AL196" s="450"/>
      <c r="AM196" s="449"/>
      <c r="AN196" s="451"/>
      <c r="AO196" s="450"/>
      <c r="AP196" s="449"/>
      <c r="AQ196" s="451"/>
      <c r="AR196" s="449"/>
      <c r="AS196" s="449"/>
      <c r="AT196" s="451"/>
      <c r="AU196" s="449"/>
      <c r="AV196" s="451"/>
      <c r="AW196" s="449"/>
      <c r="AX196" s="449"/>
      <c r="AY196" s="449"/>
      <c r="AZ196" s="449"/>
      <c r="BA196" s="449"/>
      <c r="BB196" s="449"/>
      <c r="BC196" s="449"/>
      <c r="BD196" s="449"/>
      <c r="BE196" s="449"/>
      <c r="BF196" s="449"/>
      <c r="BG196" s="449"/>
      <c r="BH196" s="449"/>
      <c r="BI196" s="449"/>
      <c r="BJ196" s="449"/>
      <c r="BK196" s="449"/>
      <c r="BL196" s="449"/>
      <c r="BM196" s="449"/>
      <c r="BN196" s="449"/>
    </row>
    <row r="197" spans="1:66" ht="13.15" x14ac:dyDescent="0.4">
      <c r="A197" s="469" t="s">
        <v>714</v>
      </c>
      <c r="B197" s="430" t="s">
        <v>713</v>
      </c>
      <c r="C197" s="463">
        <v>44385</v>
      </c>
      <c r="D197" s="430" t="s">
        <v>54</v>
      </c>
      <c r="E197" s="430">
        <v>22</v>
      </c>
      <c r="F197" s="430">
        <v>36</v>
      </c>
      <c r="G197" s="430" t="s">
        <v>113</v>
      </c>
      <c r="H197" s="461" t="s">
        <v>690</v>
      </c>
      <c r="I197" s="438" t="s">
        <v>304</v>
      </c>
      <c r="J197" s="438">
        <v>26</v>
      </c>
      <c r="K197" s="438" t="s">
        <v>480</v>
      </c>
      <c r="L197" s="430" t="str">
        <f t="shared" si="54"/>
        <v>44385S-17584</v>
      </c>
      <c r="M197" s="430" t="s">
        <v>712</v>
      </c>
      <c r="N197" s="461">
        <f t="shared" ref="N197:N199" si="60">135.11/3</f>
        <v>45.036666666666669</v>
      </c>
      <c r="O197" s="461">
        <v>1500</v>
      </c>
      <c r="P197" s="430" t="str">
        <f t="shared" si="46"/>
        <v/>
      </c>
      <c r="Q197" s="430" t="str">
        <f t="shared" si="47"/>
        <v/>
      </c>
      <c r="R197" s="430">
        <f t="shared" si="48"/>
        <v>155</v>
      </c>
      <c r="S197" s="430" t="str">
        <f t="shared" si="49"/>
        <v/>
      </c>
      <c r="T197" s="430" t="str">
        <f t="shared" si="50"/>
        <v/>
      </c>
      <c r="U197" s="430" t="str">
        <f t="shared" si="51"/>
        <v/>
      </c>
      <c r="V197" s="430" t="str">
        <f t="shared" si="52"/>
        <v/>
      </c>
      <c r="W197" s="430" t="str">
        <f t="shared" si="53"/>
        <v/>
      </c>
      <c r="X197" s="449"/>
      <c r="Z197" s="450"/>
      <c r="AA197" s="449"/>
      <c r="AB197" s="451"/>
      <c r="AC197" s="450"/>
      <c r="AD197" s="449"/>
      <c r="AE197" s="451"/>
      <c r="AF197" s="450"/>
      <c r="AG197" s="449"/>
      <c r="AH197" s="451"/>
      <c r="AI197" s="450"/>
      <c r="AJ197" s="449"/>
      <c r="AK197" s="451"/>
      <c r="AL197" s="450"/>
      <c r="AM197" s="449"/>
      <c r="AN197" s="451"/>
      <c r="AO197" s="450"/>
      <c r="AP197" s="449"/>
      <c r="AQ197" s="451"/>
      <c r="AR197" s="449"/>
      <c r="AS197" s="449"/>
      <c r="AT197" s="451"/>
      <c r="AU197" s="449"/>
      <c r="AV197" s="451"/>
      <c r="AW197" s="449"/>
      <c r="AX197" s="449"/>
      <c r="AY197" s="449"/>
      <c r="AZ197" s="449"/>
      <c r="BA197" s="449"/>
      <c r="BB197" s="449"/>
      <c r="BC197" s="449"/>
      <c r="BD197" s="449"/>
      <c r="BE197" s="449"/>
      <c r="BF197" s="449"/>
      <c r="BG197" s="449"/>
      <c r="BH197" s="449"/>
      <c r="BI197" s="449"/>
      <c r="BJ197" s="449"/>
      <c r="BK197" s="449"/>
      <c r="BL197" s="449"/>
      <c r="BM197" s="449"/>
      <c r="BN197" s="449"/>
    </row>
    <row r="198" spans="1:66" ht="13.15" x14ac:dyDescent="0.4">
      <c r="A198" s="469" t="s">
        <v>249</v>
      </c>
      <c r="B198" s="430" t="s">
        <v>713</v>
      </c>
      <c r="C198" s="463">
        <v>44385</v>
      </c>
      <c r="D198" s="430" t="s">
        <v>54</v>
      </c>
      <c r="E198" s="430">
        <v>22</v>
      </c>
      <c r="F198" s="430">
        <v>32</v>
      </c>
      <c r="G198" s="430" t="s">
        <v>234</v>
      </c>
      <c r="H198" s="461" t="s">
        <v>690</v>
      </c>
      <c r="I198" s="438" t="s">
        <v>302</v>
      </c>
      <c r="J198" s="438">
        <v>21</v>
      </c>
      <c r="K198" s="438" t="s">
        <v>489</v>
      </c>
      <c r="L198" s="430" t="str">
        <f t="shared" si="54"/>
        <v>44385S-11305</v>
      </c>
      <c r="M198" s="430" t="s">
        <v>712</v>
      </c>
      <c r="N198" s="461">
        <f t="shared" si="60"/>
        <v>45.036666666666669</v>
      </c>
      <c r="O198" s="461">
        <v>1500</v>
      </c>
      <c r="P198" s="430" t="str">
        <f t="shared" si="46"/>
        <v/>
      </c>
      <c r="Q198" s="430" t="str">
        <f t="shared" si="47"/>
        <v/>
      </c>
      <c r="R198" s="430">
        <f t="shared" si="48"/>
        <v>145</v>
      </c>
      <c r="S198" s="430" t="str">
        <f t="shared" si="49"/>
        <v/>
      </c>
      <c r="T198" s="430" t="str">
        <f t="shared" si="50"/>
        <v/>
      </c>
      <c r="U198" s="430" t="str">
        <f t="shared" si="51"/>
        <v/>
      </c>
      <c r="V198" s="430" t="str">
        <f t="shared" si="52"/>
        <v/>
      </c>
      <c r="W198" s="430" t="str">
        <f t="shared" si="53"/>
        <v/>
      </c>
      <c r="X198" s="449"/>
      <c r="Z198" s="450"/>
      <c r="AA198" s="449"/>
      <c r="AB198" s="451"/>
      <c r="AC198" s="450"/>
      <c r="AD198" s="449"/>
      <c r="AE198" s="451"/>
      <c r="AF198" s="450"/>
      <c r="AG198" s="449"/>
      <c r="AH198" s="451"/>
      <c r="AI198" s="450"/>
      <c r="AJ198" s="449"/>
      <c r="AK198" s="451"/>
      <c r="AL198" s="450"/>
      <c r="AM198" s="449"/>
      <c r="AN198" s="451"/>
      <c r="AO198" s="450"/>
      <c r="AP198" s="449"/>
      <c r="AQ198" s="451"/>
      <c r="AR198" s="449"/>
      <c r="AS198" s="449"/>
      <c r="AT198" s="451"/>
      <c r="AU198" s="449"/>
      <c r="AV198" s="451"/>
      <c r="AW198" s="449"/>
      <c r="AX198" s="449"/>
      <c r="AY198" s="449"/>
      <c r="AZ198" s="449"/>
      <c r="BA198" s="449"/>
      <c r="BB198" s="449"/>
      <c r="BC198" s="449"/>
      <c r="BD198" s="449"/>
      <c r="BE198" s="449"/>
      <c r="BF198" s="449"/>
      <c r="BG198" s="449"/>
      <c r="BH198" s="449"/>
      <c r="BI198" s="449"/>
      <c r="BJ198" s="449"/>
      <c r="BK198" s="449"/>
      <c r="BL198" s="449"/>
      <c r="BM198" s="449"/>
      <c r="BN198" s="449"/>
    </row>
    <row r="199" spans="1:66" ht="13.15" x14ac:dyDescent="0.4">
      <c r="A199" s="469" t="s">
        <v>525</v>
      </c>
      <c r="B199" s="430" t="s">
        <v>713</v>
      </c>
      <c r="C199" s="463">
        <v>44385</v>
      </c>
      <c r="D199" s="430" t="s">
        <v>54</v>
      </c>
      <c r="E199" s="430">
        <v>20</v>
      </c>
      <c r="F199" s="430">
        <v>36</v>
      </c>
      <c r="G199" s="430" t="s">
        <v>236</v>
      </c>
      <c r="H199" s="461" t="s">
        <v>690</v>
      </c>
      <c r="I199" s="438" t="s">
        <v>281</v>
      </c>
      <c r="J199" s="438">
        <v>25</v>
      </c>
      <c r="K199" s="438" t="s">
        <v>480</v>
      </c>
      <c r="L199" s="430" t="str">
        <f t="shared" si="54"/>
        <v>44385S-17584</v>
      </c>
      <c r="M199" s="430" t="s">
        <v>712</v>
      </c>
      <c r="N199" s="461">
        <f t="shared" si="60"/>
        <v>45.036666666666669</v>
      </c>
      <c r="O199" s="461">
        <v>1500</v>
      </c>
      <c r="P199" s="430" t="str">
        <f t="shared" si="46"/>
        <v/>
      </c>
      <c r="Q199" s="430" t="str">
        <f t="shared" si="47"/>
        <v/>
      </c>
      <c r="R199" s="430">
        <f t="shared" si="48"/>
        <v>150</v>
      </c>
      <c r="S199" s="430" t="str">
        <f t="shared" si="49"/>
        <v/>
      </c>
      <c r="T199" s="430" t="str">
        <f t="shared" si="50"/>
        <v/>
      </c>
      <c r="U199" s="430" t="str">
        <f t="shared" si="51"/>
        <v/>
      </c>
      <c r="V199" s="430" t="str">
        <f t="shared" si="52"/>
        <v/>
      </c>
      <c r="W199" s="430" t="str">
        <f t="shared" si="53"/>
        <v/>
      </c>
      <c r="X199" s="449"/>
      <c r="Z199" s="450"/>
      <c r="AA199" s="449"/>
      <c r="AB199" s="451"/>
      <c r="AC199" s="450"/>
      <c r="AD199" s="449"/>
      <c r="AE199" s="451"/>
      <c r="AF199" s="450"/>
      <c r="AG199" s="449"/>
      <c r="AH199" s="451"/>
      <c r="AI199" s="450"/>
      <c r="AJ199" s="449"/>
      <c r="AK199" s="451"/>
      <c r="AL199" s="450"/>
      <c r="AM199" s="449"/>
      <c r="AN199" s="451"/>
      <c r="AO199" s="450"/>
      <c r="AP199" s="449"/>
      <c r="AQ199" s="451"/>
      <c r="AR199" s="449"/>
      <c r="AS199" s="449"/>
      <c r="AT199" s="451"/>
      <c r="AU199" s="449"/>
      <c r="AV199" s="451"/>
      <c r="AW199" s="449"/>
      <c r="AX199" s="449"/>
      <c r="AY199" s="449"/>
      <c r="AZ199" s="449"/>
      <c r="BA199" s="449"/>
      <c r="BB199" s="449"/>
      <c r="BC199" s="449"/>
      <c r="BD199" s="449"/>
      <c r="BE199" s="449"/>
      <c r="BF199" s="449"/>
      <c r="BG199" s="449"/>
      <c r="BH199" s="449"/>
      <c r="BI199" s="449"/>
      <c r="BJ199" s="449"/>
      <c r="BK199" s="449"/>
      <c r="BL199" s="449"/>
      <c r="BM199" s="449"/>
      <c r="BN199" s="449"/>
    </row>
    <row r="200" spans="1:66" ht="13.15" x14ac:dyDescent="0.4">
      <c r="A200" s="469" t="s">
        <v>588</v>
      </c>
      <c r="B200" s="430" t="s">
        <v>725</v>
      </c>
      <c r="C200" s="463">
        <v>44385</v>
      </c>
      <c r="D200" s="430" t="s">
        <v>54</v>
      </c>
      <c r="E200" s="430">
        <v>26</v>
      </c>
      <c r="F200" s="430">
        <v>30</v>
      </c>
      <c r="G200" s="430" t="s">
        <v>162</v>
      </c>
      <c r="H200" s="461" t="s">
        <v>37</v>
      </c>
      <c r="I200" s="438" t="s">
        <v>162</v>
      </c>
      <c r="J200" s="438">
        <v>10</v>
      </c>
      <c r="K200" s="438" t="s">
        <v>580</v>
      </c>
      <c r="L200" s="430" t="str">
        <f t="shared" si="54"/>
        <v>44385S-4554</v>
      </c>
      <c r="M200" s="430" t="s">
        <v>712</v>
      </c>
      <c r="N200" s="461">
        <v>317.81</v>
      </c>
      <c r="O200" s="461">
        <v>1600</v>
      </c>
      <c r="P200" s="430" t="str">
        <f t="shared" si="46"/>
        <v/>
      </c>
      <c r="Q200" s="430" t="str">
        <f t="shared" si="47"/>
        <v/>
      </c>
      <c r="R200" s="430" t="str">
        <f t="shared" si="48"/>
        <v/>
      </c>
      <c r="S200" s="430" t="str">
        <f t="shared" si="49"/>
        <v/>
      </c>
      <c r="T200" s="430" t="str">
        <f t="shared" si="50"/>
        <v/>
      </c>
      <c r="U200" s="430" t="str">
        <f t="shared" si="51"/>
        <v/>
      </c>
      <c r="V200" s="430" t="str">
        <f t="shared" si="52"/>
        <v/>
      </c>
      <c r="W200" s="430" t="str">
        <f t="shared" si="53"/>
        <v/>
      </c>
      <c r="X200" s="449"/>
      <c r="Z200" s="450"/>
      <c r="AA200" s="449"/>
      <c r="AB200" s="451"/>
      <c r="AC200" s="450"/>
      <c r="AD200" s="449"/>
      <c r="AE200" s="451"/>
      <c r="AF200" s="450"/>
      <c r="AG200" s="449"/>
      <c r="AH200" s="451"/>
      <c r="AI200" s="450"/>
      <c r="AJ200" s="449"/>
      <c r="AK200" s="451"/>
      <c r="AL200" s="450"/>
      <c r="AM200" s="449"/>
      <c r="AN200" s="451"/>
      <c r="AO200" s="450"/>
      <c r="AP200" s="449"/>
      <c r="AQ200" s="451"/>
      <c r="AR200" s="449"/>
      <c r="AS200" s="449"/>
      <c r="AT200" s="451"/>
      <c r="AU200" s="449"/>
      <c r="AV200" s="451"/>
      <c r="AW200" s="449"/>
      <c r="AX200" s="449"/>
      <c r="AY200" s="449"/>
      <c r="AZ200" s="449"/>
      <c r="BA200" s="449"/>
      <c r="BB200" s="449"/>
      <c r="BC200" s="449"/>
      <c r="BD200" s="449"/>
      <c r="BE200" s="449"/>
      <c r="BF200" s="449"/>
      <c r="BG200" s="449"/>
      <c r="BH200" s="449"/>
      <c r="BI200" s="449"/>
      <c r="BJ200" s="449"/>
      <c r="BK200" s="449"/>
      <c r="BL200" s="449"/>
      <c r="BM200" s="449"/>
      <c r="BN200" s="449"/>
    </row>
    <row r="201" spans="1:66" ht="13.15" x14ac:dyDescent="0.4">
      <c r="A201" s="469" t="s">
        <v>606</v>
      </c>
      <c r="B201" s="430" t="s">
        <v>735</v>
      </c>
      <c r="C201" s="463">
        <v>44385</v>
      </c>
      <c r="D201" s="430" t="s">
        <v>66</v>
      </c>
      <c r="E201" s="430">
        <v>15</v>
      </c>
      <c r="F201" s="430">
        <v>15</v>
      </c>
      <c r="G201" s="430" t="s">
        <v>153</v>
      </c>
      <c r="H201" s="461" t="s">
        <v>51</v>
      </c>
      <c r="I201" s="438" t="s">
        <v>190</v>
      </c>
      <c r="J201" s="438">
        <v>8</v>
      </c>
      <c r="K201" s="438" t="s">
        <v>577</v>
      </c>
      <c r="L201" s="430" t="str">
        <f t="shared" si="54"/>
        <v>44385S-4553</v>
      </c>
      <c r="M201" s="430" t="s">
        <v>712</v>
      </c>
      <c r="N201" s="461">
        <v>33.83</v>
      </c>
      <c r="O201" s="461">
        <v>203</v>
      </c>
      <c r="P201" s="430">
        <f t="shared" si="46"/>
        <v>75</v>
      </c>
      <c r="Q201" s="430" t="str">
        <f t="shared" si="47"/>
        <v/>
      </c>
      <c r="R201" s="430" t="str">
        <f t="shared" si="48"/>
        <v/>
      </c>
      <c r="S201" s="430" t="str">
        <f t="shared" si="49"/>
        <v/>
      </c>
      <c r="T201" s="430">
        <f t="shared" si="50"/>
        <v>85</v>
      </c>
      <c r="U201" s="430" t="str">
        <f t="shared" si="51"/>
        <v/>
      </c>
      <c r="V201" s="430" t="str">
        <f t="shared" si="52"/>
        <v/>
      </c>
      <c r="W201" s="430">
        <f t="shared" si="53"/>
        <v>282</v>
      </c>
      <c r="X201" s="449"/>
      <c r="Z201" s="450"/>
      <c r="AA201" s="449"/>
      <c r="AB201" s="451"/>
      <c r="AC201" s="450"/>
      <c r="AD201" s="449"/>
      <c r="AE201" s="451"/>
      <c r="AF201" s="450"/>
      <c r="AG201" s="449"/>
      <c r="AH201" s="451"/>
      <c r="AI201" s="450"/>
      <c r="AJ201" s="449"/>
      <c r="AK201" s="451"/>
      <c r="AL201" s="450"/>
      <c r="AM201" s="449"/>
      <c r="AN201" s="451"/>
      <c r="AO201" s="450"/>
      <c r="AP201" s="449"/>
      <c r="AQ201" s="451"/>
      <c r="AR201" s="449"/>
      <c r="AS201" s="449"/>
      <c r="AT201" s="451"/>
      <c r="AU201" s="449"/>
      <c r="AV201" s="451"/>
      <c r="AW201" s="449"/>
      <c r="AX201" s="449"/>
      <c r="AY201" s="449"/>
      <c r="AZ201" s="449"/>
      <c r="BA201" s="449"/>
      <c r="BB201" s="449"/>
      <c r="BC201" s="449"/>
      <c r="BD201" s="449"/>
      <c r="BE201" s="449"/>
      <c r="BF201" s="449"/>
      <c r="BG201" s="449"/>
      <c r="BH201" s="449"/>
      <c r="BI201" s="449"/>
      <c r="BJ201" s="449"/>
      <c r="BK201" s="449"/>
      <c r="BL201" s="449"/>
      <c r="BM201" s="449"/>
      <c r="BN201" s="449"/>
    </row>
    <row r="202" spans="1:66" ht="13.15" x14ac:dyDescent="0.4">
      <c r="A202" s="469" t="s">
        <v>755</v>
      </c>
      <c r="B202" s="430" t="s">
        <v>661</v>
      </c>
      <c r="C202" s="463">
        <v>44385</v>
      </c>
      <c r="D202" s="430" t="s">
        <v>54</v>
      </c>
      <c r="E202" s="430">
        <v>48</v>
      </c>
      <c r="F202" s="430">
        <v>84</v>
      </c>
      <c r="G202" s="430" t="s">
        <v>238</v>
      </c>
      <c r="H202" s="461" t="s">
        <v>690</v>
      </c>
      <c r="I202" s="438" t="s">
        <v>756</v>
      </c>
      <c r="J202" s="438">
        <v>271</v>
      </c>
      <c r="K202" s="438" t="s">
        <v>384</v>
      </c>
      <c r="L202" s="430" t="str">
        <f t="shared" si="54"/>
        <v>44385CRATE</v>
      </c>
      <c r="M202" s="430" t="s">
        <v>46</v>
      </c>
      <c r="N202" s="461">
        <v>894.94</v>
      </c>
      <c r="O202" s="461">
        <v>9600</v>
      </c>
      <c r="P202" s="430" t="str">
        <f t="shared" si="46"/>
        <v/>
      </c>
      <c r="Q202" s="430" t="str">
        <f t="shared" si="47"/>
        <v/>
      </c>
      <c r="R202" s="430">
        <f t="shared" si="48"/>
        <v>340</v>
      </c>
      <c r="S202" s="430" t="str">
        <f t="shared" si="49"/>
        <v/>
      </c>
      <c r="T202" s="430" t="str">
        <f t="shared" si="50"/>
        <v/>
      </c>
      <c r="U202" s="430" t="str">
        <f t="shared" si="51"/>
        <v/>
      </c>
      <c r="V202" s="430" t="str">
        <f t="shared" si="52"/>
        <v/>
      </c>
      <c r="W202" s="430" t="str">
        <f t="shared" si="53"/>
        <v/>
      </c>
      <c r="X202" s="449"/>
      <c r="Z202" s="450"/>
      <c r="AA202" s="449"/>
      <c r="AB202" s="451"/>
      <c r="AC202" s="450"/>
      <c r="AD202" s="449"/>
      <c r="AE202" s="451"/>
      <c r="AF202" s="450"/>
      <c r="AG202" s="449"/>
      <c r="AH202" s="451"/>
      <c r="AI202" s="450"/>
      <c r="AJ202" s="449"/>
      <c r="AK202" s="451"/>
      <c r="AL202" s="450"/>
      <c r="AM202" s="449"/>
      <c r="AN202" s="451"/>
      <c r="AO202" s="450"/>
      <c r="AP202" s="449"/>
      <c r="AQ202" s="451"/>
      <c r="AR202" s="449"/>
      <c r="AS202" s="449"/>
      <c r="AT202" s="451"/>
      <c r="AU202" s="449"/>
      <c r="AV202" s="451"/>
      <c r="AW202" s="449"/>
      <c r="AX202" s="449"/>
      <c r="AY202" s="449"/>
      <c r="AZ202" s="449"/>
      <c r="BA202" s="449"/>
      <c r="BB202" s="449"/>
      <c r="BC202" s="449"/>
      <c r="BD202" s="449"/>
      <c r="BE202" s="449"/>
      <c r="BF202" s="449"/>
      <c r="BG202" s="449"/>
      <c r="BH202" s="449"/>
      <c r="BI202" s="449"/>
      <c r="BJ202" s="449"/>
      <c r="BK202" s="449"/>
      <c r="BL202" s="449"/>
      <c r="BM202" s="449"/>
      <c r="BN202" s="449"/>
    </row>
    <row r="203" spans="1:66" ht="13.15" x14ac:dyDescent="0.4">
      <c r="A203" s="469" t="s">
        <v>759</v>
      </c>
      <c r="B203" s="430" t="s">
        <v>758</v>
      </c>
      <c r="C203" s="463">
        <v>44385</v>
      </c>
      <c r="D203" s="430" t="s">
        <v>604</v>
      </c>
      <c r="E203" s="430">
        <v>24</v>
      </c>
      <c r="F203" s="430">
        <v>30</v>
      </c>
      <c r="G203" s="430" t="s">
        <v>111</v>
      </c>
      <c r="H203" s="461" t="s">
        <v>558</v>
      </c>
      <c r="I203" s="438" t="s">
        <v>45</v>
      </c>
      <c r="J203" s="438">
        <v>2</v>
      </c>
      <c r="K203" s="438" t="s">
        <v>84</v>
      </c>
      <c r="L203" s="430" t="str">
        <f t="shared" si="54"/>
        <v>44385S-14049</v>
      </c>
      <c r="M203" s="430" t="s">
        <v>46</v>
      </c>
      <c r="N203" s="461">
        <v>17.02</v>
      </c>
      <c r="O203" s="461">
        <v>0</v>
      </c>
      <c r="P203" s="430" t="str">
        <f t="shared" si="46"/>
        <v/>
      </c>
      <c r="Q203" s="430" t="str">
        <f t="shared" si="47"/>
        <v/>
      </c>
      <c r="R203" s="430" t="str">
        <f t="shared" si="48"/>
        <v/>
      </c>
      <c r="S203" s="430" t="str">
        <f t="shared" si="49"/>
        <v/>
      </c>
      <c r="T203" s="430" t="str">
        <f t="shared" si="50"/>
        <v/>
      </c>
      <c r="U203" s="430" t="str">
        <f t="shared" si="51"/>
        <v/>
      </c>
      <c r="V203" s="430" t="str">
        <f t="shared" si="52"/>
        <v/>
      </c>
      <c r="W203" s="430" t="str">
        <f t="shared" si="53"/>
        <v/>
      </c>
      <c r="X203" s="449"/>
      <c r="Z203" s="450"/>
      <c r="AA203" s="449"/>
      <c r="AB203" s="451"/>
      <c r="AC203" s="450"/>
      <c r="AD203" s="449"/>
      <c r="AE203" s="451"/>
      <c r="AF203" s="450"/>
      <c r="AG203" s="449"/>
      <c r="AH203" s="451"/>
      <c r="AI203" s="450"/>
      <c r="AJ203" s="449"/>
      <c r="AK203" s="451"/>
      <c r="AL203" s="450"/>
      <c r="AM203" s="449"/>
      <c r="AN203" s="451"/>
      <c r="AO203" s="450"/>
      <c r="AP203" s="449"/>
      <c r="AQ203" s="451"/>
      <c r="AR203" s="449"/>
      <c r="AS203" s="449"/>
      <c r="AT203" s="451"/>
      <c r="AU203" s="449"/>
      <c r="AV203" s="451"/>
      <c r="AW203" s="449"/>
      <c r="AX203" s="449"/>
      <c r="AY203" s="449"/>
      <c r="AZ203" s="449"/>
      <c r="BA203" s="449"/>
      <c r="BB203" s="449"/>
      <c r="BC203" s="449"/>
      <c r="BD203" s="449"/>
      <c r="BE203" s="449"/>
      <c r="BF203" s="449"/>
      <c r="BG203" s="449"/>
      <c r="BH203" s="449"/>
      <c r="BI203" s="449"/>
      <c r="BJ203" s="449"/>
      <c r="BK203" s="449"/>
      <c r="BL203" s="449"/>
      <c r="BM203" s="449"/>
      <c r="BN203" s="449"/>
    </row>
    <row r="204" spans="1:66" ht="13.15" x14ac:dyDescent="0.4">
      <c r="A204" s="468" t="s">
        <v>761</v>
      </c>
      <c r="B204" s="464" t="s">
        <v>760</v>
      </c>
      <c r="C204" s="465">
        <v>44392</v>
      </c>
      <c r="D204" s="464" t="s">
        <v>54</v>
      </c>
      <c r="E204" s="464">
        <v>31</v>
      </c>
      <c r="F204" s="464">
        <v>46</v>
      </c>
      <c r="G204" s="464" t="s">
        <v>239</v>
      </c>
      <c r="H204" s="466" t="s">
        <v>603</v>
      </c>
      <c r="I204" s="446" t="s">
        <v>307</v>
      </c>
      <c r="J204" s="446">
        <v>45</v>
      </c>
      <c r="K204" s="446" t="s">
        <v>492</v>
      </c>
      <c r="L204" s="464" t="str">
        <f t="shared" si="54"/>
        <v>44392S-11306</v>
      </c>
      <c r="M204" s="464" t="s">
        <v>712</v>
      </c>
      <c r="N204" s="466">
        <v>242.38</v>
      </c>
      <c r="O204" s="466">
        <v>3100</v>
      </c>
      <c r="P204" s="430" t="str">
        <f t="shared" si="46"/>
        <v/>
      </c>
      <c r="Q204" s="430" t="str">
        <f t="shared" si="47"/>
        <v/>
      </c>
      <c r="R204" s="430" t="str">
        <f t="shared" si="48"/>
        <v/>
      </c>
      <c r="S204" s="430" t="str">
        <f t="shared" si="49"/>
        <v/>
      </c>
      <c r="T204" s="430" t="str">
        <f t="shared" si="50"/>
        <v/>
      </c>
      <c r="U204" s="430" t="str">
        <f t="shared" si="51"/>
        <v/>
      </c>
      <c r="V204" s="430" t="str">
        <f t="shared" si="52"/>
        <v/>
      </c>
      <c r="W204" s="430" t="str">
        <f t="shared" si="53"/>
        <v/>
      </c>
      <c r="X204" s="449"/>
      <c r="Z204" s="450"/>
      <c r="AA204" s="449"/>
      <c r="AB204" s="451"/>
      <c r="AC204" s="450"/>
      <c r="AD204" s="449"/>
      <c r="AE204" s="451"/>
      <c r="AF204" s="450"/>
      <c r="AG204" s="449"/>
      <c r="AH204" s="451"/>
      <c r="AI204" s="450"/>
      <c r="AJ204" s="449"/>
      <c r="AK204" s="451"/>
      <c r="AL204" s="450"/>
      <c r="AM204" s="449"/>
      <c r="AN204" s="451"/>
      <c r="AO204" s="450"/>
      <c r="AP204" s="449"/>
      <c r="AQ204" s="451"/>
      <c r="AR204" s="449"/>
      <c r="AS204" s="449"/>
      <c r="AT204" s="451"/>
      <c r="AU204" s="449"/>
      <c r="AV204" s="451"/>
      <c r="AW204" s="449"/>
      <c r="AX204" s="449"/>
      <c r="AY204" s="449"/>
      <c r="AZ204" s="449"/>
      <c r="BA204" s="449"/>
      <c r="BB204" s="449"/>
      <c r="BC204" s="449"/>
      <c r="BD204" s="449"/>
      <c r="BE204" s="449"/>
      <c r="BF204" s="449"/>
      <c r="BG204" s="449"/>
      <c r="BH204" s="449"/>
      <c r="BI204" s="449"/>
      <c r="BJ204" s="449"/>
      <c r="BK204" s="449"/>
      <c r="BL204" s="449"/>
      <c r="BM204" s="449"/>
      <c r="BN204" s="449"/>
    </row>
    <row r="205" spans="1:66" ht="13.15" x14ac:dyDescent="0.4">
      <c r="A205" s="469" t="s">
        <v>472</v>
      </c>
      <c r="B205" s="430" t="s">
        <v>616</v>
      </c>
      <c r="C205" s="463">
        <v>44392</v>
      </c>
      <c r="D205" s="430" t="s">
        <v>54</v>
      </c>
      <c r="E205" s="430">
        <v>36</v>
      </c>
      <c r="F205" s="430">
        <v>60</v>
      </c>
      <c r="G205" s="430" t="s">
        <v>185</v>
      </c>
      <c r="H205" s="461" t="s">
        <v>690</v>
      </c>
      <c r="I205" s="438" t="s">
        <v>544</v>
      </c>
      <c r="J205" s="438">
        <v>51</v>
      </c>
      <c r="K205" s="438" t="s">
        <v>484</v>
      </c>
      <c r="L205" s="430" t="str">
        <f t="shared" si="54"/>
        <v>44392S-16377</v>
      </c>
      <c r="M205" s="430" t="s">
        <v>46</v>
      </c>
      <c r="N205" s="461">
        <v>632.04999999999995</v>
      </c>
      <c r="O205" s="461">
        <v>0</v>
      </c>
      <c r="P205" s="430" t="str">
        <f t="shared" si="46"/>
        <v/>
      </c>
      <c r="Q205" s="430" t="str">
        <f t="shared" si="47"/>
        <v/>
      </c>
      <c r="R205" s="430">
        <f t="shared" si="48"/>
        <v>250</v>
      </c>
      <c r="S205" s="430" t="str">
        <f t="shared" si="49"/>
        <v/>
      </c>
      <c r="T205" s="430" t="str">
        <f t="shared" si="50"/>
        <v/>
      </c>
      <c r="U205" s="430" t="str">
        <f t="shared" si="51"/>
        <v/>
      </c>
      <c r="V205" s="430" t="str">
        <f t="shared" si="52"/>
        <v/>
      </c>
      <c r="W205" s="430" t="str">
        <f t="shared" si="53"/>
        <v/>
      </c>
      <c r="X205" s="449"/>
      <c r="Z205" s="450"/>
      <c r="AA205" s="449"/>
      <c r="AB205" s="451"/>
      <c r="AC205" s="450"/>
      <c r="AD205" s="449"/>
      <c r="AE205" s="451"/>
      <c r="AF205" s="450"/>
      <c r="AG205" s="449"/>
      <c r="AH205" s="451"/>
      <c r="AI205" s="450"/>
      <c r="AJ205" s="449"/>
      <c r="AK205" s="451"/>
      <c r="AL205" s="450"/>
      <c r="AM205" s="449"/>
      <c r="AN205" s="451"/>
      <c r="AO205" s="450"/>
      <c r="AP205" s="449"/>
      <c r="AQ205" s="451"/>
      <c r="AR205" s="449"/>
      <c r="AS205" s="449"/>
      <c r="AT205" s="451"/>
      <c r="AU205" s="449"/>
      <c r="AV205" s="451"/>
      <c r="AW205" s="449"/>
      <c r="AX205" s="449"/>
      <c r="AY205" s="449"/>
      <c r="AZ205" s="449"/>
      <c r="BA205" s="449"/>
      <c r="BB205" s="449"/>
      <c r="BC205" s="449"/>
      <c r="BD205" s="449"/>
      <c r="BE205" s="449"/>
      <c r="BF205" s="449"/>
      <c r="BG205" s="449"/>
      <c r="BH205" s="449"/>
      <c r="BI205" s="449"/>
      <c r="BJ205" s="449"/>
      <c r="BK205" s="449"/>
      <c r="BL205" s="449"/>
      <c r="BM205" s="449"/>
      <c r="BN205" s="449"/>
    </row>
    <row r="206" spans="1:66" ht="13.15" x14ac:dyDescent="0.4">
      <c r="A206" s="469" t="s">
        <v>763</v>
      </c>
      <c r="B206" s="430" t="s">
        <v>762</v>
      </c>
      <c r="C206" s="463">
        <v>44392</v>
      </c>
      <c r="D206" s="430" t="s">
        <v>42</v>
      </c>
      <c r="E206" s="430">
        <v>26</v>
      </c>
      <c r="F206" s="430">
        <v>30</v>
      </c>
      <c r="G206" s="430" t="s">
        <v>162</v>
      </c>
      <c r="H206" s="461" t="s">
        <v>690</v>
      </c>
      <c r="I206" s="438" t="s">
        <v>331</v>
      </c>
      <c r="J206" s="438">
        <v>24</v>
      </c>
      <c r="K206" s="438" t="s">
        <v>480</v>
      </c>
      <c r="L206" s="430" t="str">
        <f t="shared" si="54"/>
        <v>44392S-17584</v>
      </c>
      <c r="M206" s="430" t="s">
        <v>712</v>
      </c>
      <c r="N206" s="461">
        <v>159.59</v>
      </c>
      <c r="O206" s="461">
        <v>10000</v>
      </c>
      <c r="P206" s="430">
        <f t="shared" si="46"/>
        <v>140</v>
      </c>
      <c r="Q206" s="430">
        <f t="shared" si="47"/>
        <v>150</v>
      </c>
      <c r="R206" s="430" t="str">
        <f t="shared" si="48"/>
        <v/>
      </c>
      <c r="S206" s="430" t="str">
        <f t="shared" si="49"/>
        <v/>
      </c>
      <c r="T206" s="430" t="str">
        <f t="shared" si="50"/>
        <v/>
      </c>
      <c r="U206" s="430" t="str">
        <f t="shared" si="51"/>
        <v/>
      </c>
      <c r="V206" s="430" t="str">
        <f t="shared" si="52"/>
        <v/>
      </c>
      <c r="W206" s="430" t="str">
        <f t="shared" si="53"/>
        <v/>
      </c>
      <c r="X206" s="449"/>
      <c r="Z206" s="450"/>
      <c r="AA206" s="449"/>
      <c r="AB206" s="451"/>
      <c r="AC206" s="450"/>
      <c r="AD206" s="449"/>
      <c r="AE206" s="451"/>
      <c r="AF206" s="450"/>
      <c r="AG206" s="449"/>
      <c r="AH206" s="451"/>
      <c r="AI206" s="450"/>
      <c r="AJ206" s="449"/>
      <c r="AK206" s="451"/>
      <c r="AL206" s="450"/>
      <c r="AM206" s="449"/>
      <c r="AN206" s="451"/>
      <c r="AO206" s="450"/>
      <c r="AP206" s="449"/>
      <c r="AQ206" s="451"/>
      <c r="AR206" s="449"/>
      <c r="AS206" s="449"/>
      <c r="AT206" s="451"/>
      <c r="AU206" s="449"/>
      <c r="AV206" s="451"/>
      <c r="AW206" s="449"/>
      <c r="AX206" s="449"/>
      <c r="AY206" s="449"/>
      <c r="AZ206" s="449"/>
      <c r="BA206" s="449"/>
      <c r="BB206" s="449"/>
      <c r="BC206" s="449"/>
      <c r="BD206" s="449"/>
      <c r="BE206" s="449"/>
      <c r="BF206" s="449"/>
      <c r="BG206" s="449"/>
      <c r="BH206" s="449"/>
      <c r="BI206" s="449"/>
      <c r="BJ206" s="449"/>
      <c r="BK206" s="449"/>
      <c r="BL206" s="449"/>
      <c r="BM206" s="449"/>
      <c r="BN206" s="449"/>
    </row>
    <row r="207" spans="1:66" ht="13.15" x14ac:dyDescent="0.4">
      <c r="A207" s="469" t="s">
        <v>765</v>
      </c>
      <c r="B207" s="430" t="s">
        <v>764</v>
      </c>
      <c r="C207" s="463">
        <v>44392</v>
      </c>
      <c r="D207" s="430" t="s">
        <v>42</v>
      </c>
      <c r="E207" s="430">
        <v>11</v>
      </c>
      <c r="F207" s="430">
        <v>14</v>
      </c>
      <c r="G207" s="430" t="s">
        <v>101</v>
      </c>
      <c r="H207" s="461" t="s">
        <v>603</v>
      </c>
      <c r="I207" s="438" t="s">
        <v>191</v>
      </c>
      <c r="J207" s="438">
        <v>10</v>
      </c>
      <c r="K207" s="438" t="s">
        <v>502</v>
      </c>
      <c r="L207" s="430" t="str">
        <f t="shared" si="54"/>
        <v>44392S-13272</v>
      </c>
      <c r="M207" s="430" t="s">
        <v>712</v>
      </c>
      <c r="N207" s="461">
        <v>61.45</v>
      </c>
      <c r="O207" s="461">
        <v>4100</v>
      </c>
      <c r="P207" s="430">
        <f t="shared" si="46"/>
        <v>62.5</v>
      </c>
      <c r="Q207" s="430" t="str">
        <f t="shared" si="47"/>
        <v/>
      </c>
      <c r="R207" s="430" t="str">
        <f t="shared" si="48"/>
        <v/>
      </c>
      <c r="S207" s="430" t="str">
        <f t="shared" si="49"/>
        <v/>
      </c>
      <c r="T207" s="430" t="str">
        <f t="shared" si="50"/>
        <v/>
      </c>
      <c r="U207" s="430" t="str">
        <f t="shared" si="51"/>
        <v/>
      </c>
      <c r="V207" s="430" t="str">
        <f t="shared" si="52"/>
        <v/>
      </c>
      <c r="W207" s="430" t="str">
        <f t="shared" si="53"/>
        <v/>
      </c>
      <c r="X207" s="449"/>
      <c r="Z207" s="450"/>
      <c r="AA207" s="449"/>
      <c r="AB207" s="451"/>
      <c r="AC207" s="450"/>
      <c r="AD207" s="449"/>
      <c r="AE207" s="451"/>
      <c r="AF207" s="450"/>
      <c r="AG207" s="449"/>
      <c r="AH207" s="451"/>
      <c r="AI207" s="450"/>
      <c r="AJ207" s="449"/>
      <c r="AK207" s="451"/>
      <c r="AL207" s="450"/>
      <c r="AM207" s="449"/>
      <c r="AN207" s="451"/>
      <c r="AO207" s="450"/>
      <c r="AP207" s="449"/>
      <c r="AQ207" s="451"/>
      <c r="AR207" s="449"/>
      <c r="AS207" s="449"/>
      <c r="AT207" s="451"/>
      <c r="AU207" s="449"/>
      <c r="AV207" s="451"/>
      <c r="AW207" s="449"/>
      <c r="AX207" s="449"/>
      <c r="AY207" s="449"/>
      <c r="AZ207" s="449"/>
      <c r="BA207" s="449"/>
      <c r="BB207" s="449"/>
      <c r="BC207" s="449"/>
      <c r="BD207" s="449"/>
      <c r="BE207" s="449"/>
      <c r="BF207" s="449"/>
      <c r="BG207" s="449"/>
      <c r="BH207" s="449"/>
      <c r="BI207" s="449"/>
      <c r="BJ207" s="449"/>
      <c r="BK207" s="449"/>
      <c r="BL207" s="449"/>
      <c r="BM207" s="449"/>
      <c r="BN207" s="449"/>
    </row>
    <row r="208" spans="1:66" ht="13.15" x14ac:dyDescent="0.4">
      <c r="A208" s="469" t="s">
        <v>767</v>
      </c>
      <c r="B208" s="430" t="s">
        <v>766</v>
      </c>
      <c r="C208" s="463">
        <v>44392</v>
      </c>
      <c r="D208" s="430" t="s">
        <v>42</v>
      </c>
      <c r="E208" s="430">
        <v>12</v>
      </c>
      <c r="F208" s="430">
        <v>12</v>
      </c>
      <c r="G208" s="430" t="s">
        <v>57</v>
      </c>
      <c r="H208" s="461" t="s">
        <v>603</v>
      </c>
      <c r="I208" s="438" t="s">
        <v>208</v>
      </c>
      <c r="J208" s="438">
        <v>10</v>
      </c>
      <c r="K208" s="438" t="s">
        <v>502</v>
      </c>
      <c r="L208" s="430" t="str">
        <f t="shared" si="54"/>
        <v>44392S-13272</v>
      </c>
      <c r="M208" s="430" t="s">
        <v>712</v>
      </c>
      <c r="N208" s="461">
        <v>61.45</v>
      </c>
      <c r="O208" s="461">
        <v>5600</v>
      </c>
      <c r="P208" s="430">
        <f t="shared" si="46"/>
        <v>60</v>
      </c>
      <c r="Q208" s="430" t="str">
        <f t="shared" si="47"/>
        <v/>
      </c>
      <c r="R208" s="430" t="str">
        <f t="shared" si="48"/>
        <v/>
      </c>
      <c r="S208" s="430" t="str">
        <f t="shared" si="49"/>
        <v/>
      </c>
      <c r="T208" s="430" t="str">
        <f t="shared" si="50"/>
        <v/>
      </c>
      <c r="U208" s="430" t="str">
        <f t="shared" si="51"/>
        <v/>
      </c>
      <c r="V208" s="430" t="str">
        <f t="shared" si="52"/>
        <v/>
      </c>
      <c r="W208" s="430" t="str">
        <f t="shared" si="53"/>
        <v/>
      </c>
      <c r="X208" s="449"/>
      <c r="Z208" s="450"/>
      <c r="AA208" s="449"/>
      <c r="AB208" s="451"/>
      <c r="AC208" s="450"/>
      <c r="AD208" s="449"/>
      <c r="AE208" s="451"/>
      <c r="AF208" s="450"/>
      <c r="AG208" s="449"/>
      <c r="AH208" s="451"/>
      <c r="AI208" s="450"/>
      <c r="AJ208" s="449"/>
      <c r="AK208" s="451"/>
      <c r="AL208" s="450"/>
      <c r="AM208" s="449"/>
      <c r="AN208" s="451"/>
      <c r="AO208" s="450"/>
      <c r="AP208" s="449"/>
      <c r="AQ208" s="451"/>
      <c r="AR208" s="449"/>
      <c r="AS208" s="449"/>
      <c r="AT208" s="451"/>
      <c r="AU208" s="449"/>
      <c r="AV208" s="451"/>
      <c r="AW208" s="449"/>
      <c r="AX208" s="449"/>
      <c r="AY208" s="449"/>
      <c r="AZ208" s="449"/>
      <c r="BA208" s="449"/>
      <c r="BB208" s="449"/>
      <c r="BC208" s="449"/>
      <c r="BD208" s="449"/>
      <c r="BE208" s="449"/>
      <c r="BF208" s="449"/>
      <c r="BG208" s="449"/>
      <c r="BH208" s="449"/>
      <c r="BI208" s="449"/>
      <c r="BJ208" s="449"/>
      <c r="BK208" s="449"/>
      <c r="BL208" s="449"/>
      <c r="BM208" s="449"/>
      <c r="BN208" s="449"/>
    </row>
    <row r="209" spans="1:66" ht="13.15" x14ac:dyDescent="0.4">
      <c r="A209" s="469" t="s">
        <v>73</v>
      </c>
      <c r="B209" s="430" t="s">
        <v>770</v>
      </c>
      <c r="C209" s="463">
        <v>44392</v>
      </c>
      <c r="D209" s="430" t="s">
        <v>42</v>
      </c>
      <c r="E209" s="430">
        <v>30</v>
      </c>
      <c r="F209" s="430">
        <v>40</v>
      </c>
      <c r="G209" s="430" t="s">
        <v>114</v>
      </c>
      <c r="H209" s="461" t="s">
        <v>690</v>
      </c>
      <c r="I209" s="438" t="s">
        <v>215</v>
      </c>
      <c r="J209" s="438">
        <v>37</v>
      </c>
      <c r="K209" s="438" t="s">
        <v>509</v>
      </c>
      <c r="L209" s="430" t="str">
        <f t="shared" si="54"/>
        <v>44392S-17587</v>
      </c>
      <c r="M209" s="430" t="s">
        <v>712</v>
      </c>
      <c r="N209" s="461">
        <v>288.58</v>
      </c>
      <c r="O209" s="461">
        <v>18000</v>
      </c>
      <c r="P209" s="430">
        <f t="shared" si="46"/>
        <v>175</v>
      </c>
      <c r="Q209" s="430">
        <f t="shared" si="47"/>
        <v>185</v>
      </c>
      <c r="R209" s="430" t="str">
        <f t="shared" si="48"/>
        <v/>
      </c>
      <c r="S209" s="430" t="str">
        <f t="shared" si="49"/>
        <v/>
      </c>
      <c r="T209" s="430" t="str">
        <f t="shared" si="50"/>
        <v/>
      </c>
      <c r="U209" s="430" t="str">
        <f t="shared" si="51"/>
        <v/>
      </c>
      <c r="V209" s="430" t="str">
        <f t="shared" si="52"/>
        <v/>
      </c>
      <c r="W209" s="430" t="str">
        <f t="shared" si="53"/>
        <v/>
      </c>
      <c r="X209" s="449"/>
      <c r="Z209" s="450"/>
      <c r="AA209" s="449"/>
      <c r="AB209" s="451"/>
      <c r="AC209" s="450"/>
      <c r="AD209" s="449"/>
      <c r="AE209" s="451"/>
      <c r="AF209" s="450"/>
      <c r="AG209" s="449"/>
      <c r="AH209" s="451"/>
      <c r="AI209" s="450"/>
      <c r="AJ209" s="449"/>
      <c r="AK209" s="451"/>
      <c r="AL209" s="450"/>
      <c r="AM209" s="449"/>
      <c r="AN209" s="451"/>
      <c r="AO209" s="450"/>
      <c r="AP209" s="449"/>
      <c r="AQ209" s="451"/>
      <c r="AR209" s="449"/>
      <c r="AS209" s="449"/>
      <c r="AT209" s="451"/>
      <c r="AU209" s="449"/>
      <c r="AV209" s="451"/>
      <c r="AW209" s="449"/>
      <c r="AX209" s="449"/>
      <c r="AY209" s="449"/>
      <c r="AZ209" s="449"/>
      <c r="BA209" s="449"/>
      <c r="BB209" s="449"/>
      <c r="BC209" s="449"/>
      <c r="BD209" s="449"/>
      <c r="BE209" s="449"/>
      <c r="BF209" s="449"/>
      <c r="BG209" s="449"/>
      <c r="BH209" s="449"/>
      <c r="BI209" s="449"/>
      <c r="BJ209" s="449"/>
      <c r="BK209" s="449"/>
      <c r="BL209" s="449"/>
      <c r="BM209" s="449"/>
      <c r="BN209" s="449"/>
    </row>
    <row r="210" spans="1:66" ht="13.15" x14ac:dyDescent="0.4">
      <c r="A210" s="469" t="s">
        <v>483</v>
      </c>
      <c r="B210" s="430" t="s">
        <v>772</v>
      </c>
      <c r="C210" s="463">
        <v>44392</v>
      </c>
      <c r="D210" s="430" t="s">
        <v>54</v>
      </c>
      <c r="E210" s="430">
        <v>22</v>
      </c>
      <c r="F210" s="430">
        <v>36</v>
      </c>
      <c r="G210" s="430" t="s">
        <v>113</v>
      </c>
      <c r="H210" s="461" t="s">
        <v>690</v>
      </c>
      <c r="I210" s="438" t="s">
        <v>304</v>
      </c>
      <c r="J210" s="438">
        <v>22</v>
      </c>
      <c r="K210" s="438" t="s">
        <v>489</v>
      </c>
      <c r="L210" s="430" t="str">
        <f t="shared" si="54"/>
        <v>44392S-11305</v>
      </c>
      <c r="M210" s="430" t="s">
        <v>712</v>
      </c>
      <c r="N210" s="461">
        <f t="shared" ref="N210:N215" si="61">253.08/6</f>
        <v>42.18</v>
      </c>
      <c r="O210" s="461">
        <f t="shared" ref="O210:O215" si="62">12900/8</f>
        <v>1612.5</v>
      </c>
      <c r="P210" s="430" t="str">
        <f t="shared" si="46"/>
        <v/>
      </c>
      <c r="Q210" s="430" t="str">
        <f t="shared" si="47"/>
        <v/>
      </c>
      <c r="R210" s="430">
        <f t="shared" si="48"/>
        <v>155</v>
      </c>
      <c r="S210" s="430" t="str">
        <f t="shared" si="49"/>
        <v/>
      </c>
      <c r="T210" s="430" t="str">
        <f t="shared" si="50"/>
        <v/>
      </c>
      <c r="U210" s="430" t="str">
        <f t="shared" si="51"/>
        <v/>
      </c>
      <c r="V210" s="430" t="str">
        <f t="shared" si="52"/>
        <v/>
      </c>
      <c r="W210" s="430" t="str">
        <f t="shared" si="53"/>
        <v/>
      </c>
      <c r="X210" s="449"/>
      <c r="Z210" s="450"/>
      <c r="AA210" s="449"/>
      <c r="AB210" s="451"/>
      <c r="AC210" s="450"/>
      <c r="AD210" s="449"/>
      <c r="AE210" s="451"/>
      <c r="AF210" s="450"/>
      <c r="AG210" s="449"/>
      <c r="AH210" s="451"/>
      <c r="AI210" s="450"/>
      <c r="AJ210" s="449"/>
      <c r="AK210" s="451"/>
      <c r="AL210" s="450"/>
      <c r="AM210" s="449"/>
      <c r="AN210" s="451"/>
      <c r="AO210" s="450"/>
      <c r="AP210" s="449"/>
      <c r="AQ210" s="451"/>
      <c r="AR210" s="449"/>
      <c r="AS210" s="449"/>
      <c r="AT210" s="451"/>
      <c r="AU210" s="449"/>
      <c r="AV210" s="451"/>
      <c r="AW210" s="449"/>
      <c r="AX210" s="449"/>
      <c r="AY210" s="449"/>
      <c r="AZ210" s="449"/>
      <c r="BA210" s="449"/>
      <c r="BB210" s="449"/>
      <c r="BC210" s="449"/>
      <c r="BD210" s="449"/>
      <c r="BE210" s="449"/>
      <c r="BF210" s="449"/>
      <c r="BG210" s="449"/>
      <c r="BH210" s="449"/>
      <c r="BI210" s="449"/>
      <c r="BJ210" s="449"/>
      <c r="BK210" s="449"/>
      <c r="BL210" s="449"/>
      <c r="BM210" s="449"/>
      <c r="BN210" s="449"/>
    </row>
    <row r="211" spans="1:66" ht="13.15" x14ac:dyDescent="0.4">
      <c r="A211" s="469" t="s">
        <v>240</v>
      </c>
      <c r="B211" s="430" t="s">
        <v>772</v>
      </c>
      <c r="C211" s="463">
        <v>44392</v>
      </c>
      <c r="D211" s="430" t="s">
        <v>54</v>
      </c>
      <c r="E211" s="430">
        <v>24</v>
      </c>
      <c r="F211" s="430">
        <v>32</v>
      </c>
      <c r="G211" s="430" t="s">
        <v>116</v>
      </c>
      <c r="H211" s="461" t="s">
        <v>690</v>
      </c>
      <c r="I211" s="438" t="s">
        <v>315</v>
      </c>
      <c r="J211" s="438">
        <v>25</v>
      </c>
      <c r="K211" s="438" t="s">
        <v>489</v>
      </c>
      <c r="L211" s="430" t="str">
        <f t="shared" si="54"/>
        <v>44392S-11305</v>
      </c>
      <c r="M211" s="430" t="s">
        <v>712</v>
      </c>
      <c r="N211" s="461">
        <f t="shared" si="61"/>
        <v>42.18</v>
      </c>
      <c r="O211" s="461">
        <f t="shared" si="62"/>
        <v>1612.5</v>
      </c>
      <c r="P211" s="430" t="str">
        <f t="shared" si="46"/>
        <v/>
      </c>
      <c r="Q211" s="430" t="str">
        <f t="shared" si="47"/>
        <v/>
      </c>
      <c r="R211" s="430">
        <f t="shared" si="48"/>
        <v>150</v>
      </c>
      <c r="S211" s="430" t="str">
        <f t="shared" si="49"/>
        <v/>
      </c>
      <c r="T211" s="430" t="str">
        <f t="shared" si="50"/>
        <v/>
      </c>
      <c r="U211" s="430" t="str">
        <f t="shared" si="51"/>
        <v/>
      </c>
      <c r="V211" s="430" t="str">
        <f t="shared" si="52"/>
        <v/>
      </c>
      <c r="W211" s="430" t="str">
        <f t="shared" si="53"/>
        <v/>
      </c>
      <c r="X211" s="449"/>
      <c r="Z211" s="450"/>
      <c r="AA211" s="449"/>
      <c r="AB211" s="451"/>
      <c r="AC211" s="450"/>
      <c r="AD211" s="449"/>
      <c r="AE211" s="451"/>
      <c r="AF211" s="450"/>
      <c r="AG211" s="449"/>
      <c r="AH211" s="451"/>
      <c r="AI211" s="450"/>
      <c r="AJ211" s="449"/>
      <c r="AK211" s="451"/>
      <c r="AL211" s="450"/>
      <c r="AM211" s="449"/>
      <c r="AN211" s="451"/>
      <c r="AO211" s="450"/>
      <c r="AP211" s="449"/>
      <c r="AQ211" s="451"/>
      <c r="AR211" s="449"/>
      <c r="AS211" s="449"/>
      <c r="AT211" s="451"/>
      <c r="AU211" s="449"/>
      <c r="AV211" s="451"/>
      <c r="AW211" s="449"/>
      <c r="AX211" s="449"/>
      <c r="AY211" s="449"/>
      <c r="AZ211" s="449"/>
      <c r="BA211" s="449"/>
      <c r="BB211" s="449"/>
      <c r="BC211" s="449"/>
      <c r="BD211" s="449"/>
      <c r="BE211" s="449"/>
      <c r="BF211" s="449"/>
      <c r="BG211" s="449"/>
      <c r="BH211" s="449"/>
      <c r="BI211" s="449"/>
      <c r="BJ211" s="449"/>
      <c r="BK211" s="449"/>
      <c r="BL211" s="449"/>
      <c r="BM211" s="449"/>
      <c r="BN211" s="449"/>
    </row>
    <row r="212" spans="1:66" ht="13.15" x14ac:dyDescent="0.4">
      <c r="A212" s="469" t="s">
        <v>775</v>
      </c>
      <c r="B212" s="430" t="s">
        <v>772</v>
      </c>
      <c r="C212" s="463">
        <v>44392</v>
      </c>
      <c r="D212" s="430" t="s">
        <v>54</v>
      </c>
      <c r="E212" s="430">
        <v>20</v>
      </c>
      <c r="F212" s="430">
        <v>30</v>
      </c>
      <c r="G212" s="430" t="s">
        <v>44</v>
      </c>
      <c r="H212" s="461" t="s">
        <v>690</v>
      </c>
      <c r="I212" s="438" t="s">
        <v>234</v>
      </c>
      <c r="J212" s="438">
        <v>19</v>
      </c>
      <c r="K212" s="106" t="s">
        <v>474</v>
      </c>
      <c r="L212" s="430" t="str">
        <f t="shared" si="54"/>
        <v>44392S-15176</v>
      </c>
      <c r="M212" s="430" t="s">
        <v>712</v>
      </c>
      <c r="N212" s="461">
        <f t="shared" si="61"/>
        <v>42.18</v>
      </c>
      <c r="O212" s="461">
        <f t="shared" si="62"/>
        <v>1612.5</v>
      </c>
      <c r="P212" s="430" t="str">
        <f t="shared" si="46"/>
        <v/>
      </c>
      <c r="Q212" s="430" t="str">
        <f t="shared" si="47"/>
        <v/>
      </c>
      <c r="R212" s="430">
        <f t="shared" si="48"/>
        <v>135</v>
      </c>
      <c r="S212" s="430" t="str">
        <f t="shared" si="49"/>
        <v/>
      </c>
      <c r="T212" s="430" t="str">
        <f t="shared" si="50"/>
        <v/>
      </c>
      <c r="U212" s="430" t="str">
        <f t="shared" si="51"/>
        <v/>
      </c>
      <c r="V212" s="430" t="str">
        <f t="shared" si="52"/>
        <v/>
      </c>
      <c r="W212" s="430" t="str">
        <f t="shared" si="53"/>
        <v/>
      </c>
      <c r="X212" s="449"/>
      <c r="Z212" s="450"/>
      <c r="AA212" s="449"/>
      <c r="AB212" s="451"/>
      <c r="AC212" s="450"/>
      <c r="AD212" s="449"/>
      <c r="AE212" s="451"/>
      <c r="AF212" s="450"/>
      <c r="AG212" s="449"/>
      <c r="AH212" s="451"/>
      <c r="AI212" s="450"/>
      <c r="AJ212" s="449"/>
      <c r="AK212" s="451"/>
      <c r="AL212" s="450"/>
      <c r="AM212" s="449"/>
      <c r="AN212" s="451"/>
      <c r="AO212" s="450"/>
      <c r="AP212" s="449"/>
      <c r="AQ212" s="451"/>
      <c r="AR212" s="449"/>
      <c r="AS212" s="449"/>
      <c r="AT212" s="451"/>
      <c r="AU212" s="449"/>
      <c r="AV212" s="451"/>
      <c r="AW212" s="449"/>
      <c r="AX212" s="449"/>
      <c r="AY212" s="449"/>
      <c r="AZ212" s="449"/>
      <c r="BA212" s="449"/>
      <c r="BB212" s="449"/>
      <c r="BC212" s="449"/>
      <c r="BD212" s="449"/>
      <c r="BE212" s="449"/>
      <c r="BF212" s="449"/>
      <c r="BG212" s="449"/>
      <c r="BH212" s="449"/>
      <c r="BI212" s="449"/>
      <c r="BJ212" s="449"/>
      <c r="BK212" s="449"/>
      <c r="BL212" s="449"/>
      <c r="BM212" s="449"/>
      <c r="BN212" s="449"/>
    </row>
    <row r="213" spans="1:66" ht="13.15" x14ac:dyDescent="0.4">
      <c r="A213" s="469" t="s">
        <v>499</v>
      </c>
      <c r="B213" s="430" t="s">
        <v>772</v>
      </c>
      <c r="C213" s="463">
        <v>44392</v>
      </c>
      <c r="D213" s="430" t="s">
        <v>54</v>
      </c>
      <c r="E213" s="430">
        <v>27</v>
      </c>
      <c r="F213" s="430">
        <v>36</v>
      </c>
      <c r="G213" s="430" t="s">
        <v>194</v>
      </c>
      <c r="H213" s="461" t="s">
        <v>690</v>
      </c>
      <c r="I213" s="438" t="s">
        <v>340</v>
      </c>
      <c r="J213" s="438">
        <v>23</v>
      </c>
      <c r="K213" s="438" t="s">
        <v>489</v>
      </c>
      <c r="L213" s="430" t="str">
        <f t="shared" si="54"/>
        <v>44392S-11305</v>
      </c>
      <c r="M213" s="430" t="s">
        <v>712</v>
      </c>
      <c r="N213" s="461">
        <f t="shared" si="61"/>
        <v>42.18</v>
      </c>
      <c r="O213" s="461">
        <f t="shared" si="62"/>
        <v>1612.5</v>
      </c>
      <c r="P213" s="430" t="str">
        <f t="shared" si="46"/>
        <v/>
      </c>
      <c r="Q213" s="430" t="str">
        <f t="shared" si="47"/>
        <v/>
      </c>
      <c r="R213" s="430">
        <f t="shared" si="48"/>
        <v>167.5</v>
      </c>
      <c r="S213" s="430" t="str">
        <f t="shared" si="49"/>
        <v/>
      </c>
      <c r="T213" s="430" t="str">
        <f t="shared" si="50"/>
        <v/>
      </c>
      <c r="U213" s="430" t="str">
        <f t="shared" si="51"/>
        <v/>
      </c>
      <c r="V213" s="430" t="str">
        <f t="shared" si="52"/>
        <v/>
      </c>
      <c r="W213" s="430" t="str">
        <f t="shared" si="53"/>
        <v/>
      </c>
      <c r="X213" s="449"/>
      <c r="Z213" s="450"/>
      <c r="AA213" s="449"/>
      <c r="AB213" s="451"/>
      <c r="AC213" s="450"/>
      <c r="AD213" s="449"/>
      <c r="AE213" s="451"/>
      <c r="AF213" s="450"/>
      <c r="AG213" s="449"/>
      <c r="AH213" s="451"/>
      <c r="AI213" s="450"/>
      <c r="AJ213" s="449"/>
      <c r="AK213" s="451"/>
      <c r="AL213" s="450"/>
      <c r="AM213" s="449"/>
      <c r="AN213" s="451"/>
      <c r="AO213" s="450"/>
      <c r="AP213" s="449"/>
      <c r="AQ213" s="451"/>
      <c r="AR213" s="449"/>
      <c r="AS213" s="449"/>
      <c r="AT213" s="451"/>
      <c r="AU213" s="449"/>
      <c r="AV213" s="451"/>
      <c r="AW213" s="449"/>
      <c r="AX213" s="449"/>
      <c r="AY213" s="449"/>
      <c r="AZ213" s="449"/>
      <c r="BA213" s="449"/>
      <c r="BB213" s="449"/>
      <c r="BC213" s="449"/>
      <c r="BD213" s="449"/>
      <c r="BE213" s="449"/>
      <c r="BF213" s="449"/>
      <c r="BG213" s="449"/>
      <c r="BH213" s="449"/>
      <c r="BI213" s="449"/>
      <c r="BJ213" s="449"/>
      <c r="BK213" s="449"/>
      <c r="BL213" s="449"/>
      <c r="BM213" s="449"/>
      <c r="BN213" s="449"/>
    </row>
    <row r="214" spans="1:66" ht="13.15" x14ac:dyDescent="0.4">
      <c r="A214" s="469" t="s">
        <v>242</v>
      </c>
      <c r="B214" s="430" t="s">
        <v>772</v>
      </c>
      <c r="C214" s="463">
        <v>44392</v>
      </c>
      <c r="D214" s="430" t="s">
        <v>54</v>
      </c>
      <c r="E214" s="430">
        <v>22</v>
      </c>
      <c r="F214" s="430">
        <v>36</v>
      </c>
      <c r="G214" s="430" t="s">
        <v>113</v>
      </c>
      <c r="H214" s="461" t="s">
        <v>690</v>
      </c>
      <c r="I214" s="438" t="s">
        <v>304</v>
      </c>
      <c r="J214" s="438">
        <v>22</v>
      </c>
      <c r="K214" s="438" t="s">
        <v>489</v>
      </c>
      <c r="L214" s="430" t="str">
        <f t="shared" si="54"/>
        <v>44392S-11305</v>
      </c>
      <c r="M214" s="430" t="s">
        <v>712</v>
      </c>
      <c r="N214" s="461">
        <f t="shared" si="61"/>
        <v>42.18</v>
      </c>
      <c r="O214" s="461">
        <f t="shared" si="62"/>
        <v>1612.5</v>
      </c>
      <c r="P214" s="430" t="str">
        <f t="shared" si="46"/>
        <v/>
      </c>
      <c r="Q214" s="430" t="str">
        <f t="shared" si="47"/>
        <v/>
      </c>
      <c r="R214" s="430">
        <f t="shared" si="48"/>
        <v>155</v>
      </c>
      <c r="S214" s="430" t="str">
        <f t="shared" si="49"/>
        <v/>
      </c>
      <c r="T214" s="430" t="str">
        <f t="shared" si="50"/>
        <v/>
      </c>
      <c r="U214" s="430" t="str">
        <f t="shared" si="51"/>
        <v/>
      </c>
      <c r="V214" s="430" t="str">
        <f t="shared" si="52"/>
        <v/>
      </c>
      <c r="W214" s="430" t="str">
        <f t="shared" si="53"/>
        <v/>
      </c>
      <c r="X214" s="449"/>
      <c r="Z214" s="450"/>
      <c r="AA214" s="449"/>
      <c r="AB214" s="451"/>
      <c r="AC214" s="450"/>
      <c r="AD214" s="449"/>
      <c r="AE214" s="451"/>
      <c r="AF214" s="450"/>
      <c r="AG214" s="449"/>
      <c r="AH214" s="451"/>
      <c r="AI214" s="450"/>
      <c r="AJ214" s="449"/>
      <c r="AK214" s="451"/>
      <c r="AL214" s="450"/>
      <c r="AM214" s="449"/>
      <c r="AN214" s="451"/>
      <c r="AO214" s="450"/>
      <c r="AP214" s="449"/>
      <c r="AQ214" s="451"/>
      <c r="AR214" s="449"/>
      <c r="AS214" s="449"/>
      <c r="AT214" s="451"/>
      <c r="AU214" s="449"/>
      <c r="AV214" s="451"/>
      <c r="AW214" s="449"/>
      <c r="AX214" s="449"/>
      <c r="AY214" s="449"/>
      <c r="AZ214" s="449"/>
      <c r="BA214" s="449"/>
      <c r="BB214" s="449"/>
      <c r="BC214" s="449"/>
      <c r="BD214" s="449"/>
      <c r="BE214" s="449"/>
      <c r="BF214" s="449"/>
      <c r="BG214" s="449"/>
      <c r="BH214" s="449"/>
      <c r="BI214" s="449"/>
      <c r="BJ214" s="449"/>
      <c r="BK214" s="449"/>
      <c r="BL214" s="449"/>
      <c r="BM214" s="449"/>
      <c r="BN214" s="449"/>
    </row>
    <row r="215" spans="1:66" ht="13.15" x14ac:dyDescent="0.4">
      <c r="A215" s="469" t="s">
        <v>761</v>
      </c>
      <c r="B215" s="430" t="s">
        <v>772</v>
      </c>
      <c r="C215" s="463">
        <v>44392</v>
      </c>
      <c r="D215" s="430" t="s">
        <v>54</v>
      </c>
      <c r="E215" s="430">
        <v>17</v>
      </c>
      <c r="F215" s="430">
        <v>26</v>
      </c>
      <c r="G215" s="430" t="s">
        <v>148</v>
      </c>
      <c r="H215" s="461" t="s">
        <v>690</v>
      </c>
      <c r="I215" s="438" t="s">
        <v>233</v>
      </c>
      <c r="J215" s="438">
        <v>18</v>
      </c>
      <c r="K215" s="438" t="s">
        <v>474</v>
      </c>
      <c r="L215" s="430" t="str">
        <f t="shared" si="54"/>
        <v>44392S-15176</v>
      </c>
      <c r="M215" s="430" t="s">
        <v>712</v>
      </c>
      <c r="N215" s="461">
        <f t="shared" si="61"/>
        <v>42.18</v>
      </c>
      <c r="O215" s="461">
        <f t="shared" si="62"/>
        <v>1612.5</v>
      </c>
      <c r="P215" s="430" t="str">
        <f t="shared" si="46"/>
        <v/>
      </c>
      <c r="Q215" s="430" t="str">
        <f t="shared" si="47"/>
        <v/>
      </c>
      <c r="R215" s="430">
        <f t="shared" si="48"/>
        <v>117.5</v>
      </c>
      <c r="S215" s="430" t="str">
        <f t="shared" si="49"/>
        <v/>
      </c>
      <c r="T215" s="430" t="str">
        <f t="shared" si="50"/>
        <v/>
      </c>
      <c r="U215" s="430" t="str">
        <f t="shared" si="51"/>
        <v/>
      </c>
      <c r="V215" s="430" t="str">
        <f t="shared" si="52"/>
        <v/>
      </c>
      <c r="W215" s="430" t="str">
        <f t="shared" si="53"/>
        <v/>
      </c>
      <c r="X215" s="449"/>
      <c r="Z215" s="450"/>
      <c r="AA215" s="449"/>
      <c r="AB215" s="451"/>
      <c r="AC215" s="450"/>
      <c r="AD215" s="449"/>
      <c r="AE215" s="451"/>
      <c r="AF215" s="450"/>
      <c r="AG215" s="449"/>
      <c r="AH215" s="451"/>
      <c r="AI215" s="450"/>
      <c r="AJ215" s="449"/>
      <c r="AK215" s="451"/>
      <c r="AL215" s="450"/>
      <c r="AM215" s="449"/>
      <c r="AN215" s="451"/>
      <c r="AO215" s="450"/>
      <c r="AP215" s="449"/>
      <c r="AQ215" s="451"/>
      <c r="AR215" s="449"/>
      <c r="AS215" s="449"/>
      <c r="AT215" s="451"/>
      <c r="AU215" s="449"/>
      <c r="AV215" s="451"/>
      <c r="AW215" s="449"/>
      <c r="AX215" s="449"/>
      <c r="AY215" s="449"/>
      <c r="AZ215" s="449"/>
      <c r="BA215" s="449"/>
      <c r="BB215" s="449"/>
      <c r="BC215" s="449"/>
      <c r="BD215" s="449"/>
      <c r="BE215" s="449"/>
      <c r="BF215" s="449"/>
      <c r="BG215" s="449"/>
      <c r="BH215" s="449"/>
      <c r="BI215" s="449"/>
      <c r="BJ215" s="449"/>
      <c r="BK215" s="449"/>
      <c r="BL215" s="449"/>
      <c r="BM215" s="449"/>
      <c r="BN215" s="449"/>
    </row>
    <row r="216" spans="1:66" ht="13.15" x14ac:dyDescent="0.4">
      <c r="A216" s="469" t="s">
        <v>625</v>
      </c>
      <c r="B216" s="430" t="s">
        <v>777</v>
      </c>
      <c r="C216" s="463">
        <v>44392</v>
      </c>
      <c r="D216" s="430" t="s">
        <v>54</v>
      </c>
      <c r="E216" s="430">
        <v>16.5</v>
      </c>
      <c r="F216" s="430">
        <v>22.5</v>
      </c>
      <c r="G216" s="430" t="s">
        <v>189</v>
      </c>
      <c r="H216" s="461" t="s">
        <v>690</v>
      </c>
      <c r="I216" s="438" t="s">
        <v>778</v>
      </c>
      <c r="J216" s="438">
        <v>11</v>
      </c>
      <c r="K216" s="438" t="s">
        <v>502</v>
      </c>
      <c r="L216" s="430" t="str">
        <f t="shared" si="54"/>
        <v>44392S-13272</v>
      </c>
      <c r="M216" s="430" t="s">
        <v>712</v>
      </c>
      <c r="N216" s="461">
        <v>24.42</v>
      </c>
      <c r="O216" s="461">
        <v>1000</v>
      </c>
      <c r="P216" s="430" t="str">
        <f t="shared" si="46"/>
        <v/>
      </c>
      <c r="Q216" s="430" t="str">
        <f t="shared" si="47"/>
        <v/>
      </c>
      <c r="R216" s="430">
        <f t="shared" si="48"/>
        <v>107.5</v>
      </c>
      <c r="S216" s="430" t="str">
        <f t="shared" si="49"/>
        <v/>
      </c>
      <c r="T216" s="430" t="str">
        <f t="shared" si="50"/>
        <v/>
      </c>
      <c r="U216" s="430" t="str">
        <f t="shared" si="51"/>
        <v/>
      </c>
      <c r="V216" s="430" t="str">
        <f t="shared" si="52"/>
        <v/>
      </c>
      <c r="W216" s="430" t="str">
        <f t="shared" si="53"/>
        <v/>
      </c>
      <c r="X216" s="449"/>
      <c r="Z216" s="450"/>
      <c r="AA216" s="449"/>
      <c r="AB216" s="451"/>
      <c r="AC216" s="450"/>
      <c r="AD216" s="449"/>
      <c r="AE216" s="451"/>
      <c r="AF216" s="450"/>
      <c r="AG216" s="449"/>
      <c r="AH216" s="451"/>
      <c r="AI216" s="450"/>
      <c r="AJ216" s="449"/>
      <c r="AK216" s="451"/>
      <c r="AL216" s="450"/>
      <c r="AM216" s="449"/>
      <c r="AN216" s="451"/>
      <c r="AO216" s="450"/>
      <c r="AP216" s="449"/>
      <c r="AQ216" s="451"/>
      <c r="AR216" s="449"/>
      <c r="AS216" s="449"/>
      <c r="AT216" s="451"/>
      <c r="AU216" s="449"/>
      <c r="AV216" s="451"/>
      <c r="AW216" s="449"/>
      <c r="AX216" s="449"/>
      <c r="AY216" s="449"/>
      <c r="AZ216" s="449"/>
      <c r="BA216" s="449"/>
      <c r="BB216" s="449"/>
      <c r="BC216" s="449"/>
      <c r="BD216" s="449"/>
      <c r="BE216" s="449"/>
      <c r="BF216" s="449"/>
      <c r="BG216" s="449"/>
      <c r="BH216" s="449"/>
      <c r="BI216" s="449"/>
      <c r="BJ216" s="449"/>
      <c r="BK216" s="449"/>
      <c r="BL216" s="449"/>
      <c r="BM216" s="449"/>
      <c r="BN216" s="449"/>
    </row>
    <row r="217" spans="1:66" ht="13.15" x14ac:dyDescent="0.4">
      <c r="A217" s="469" t="s">
        <v>404</v>
      </c>
      <c r="B217" s="430" t="s">
        <v>779</v>
      </c>
      <c r="C217" s="463">
        <v>44392</v>
      </c>
      <c r="D217" s="430" t="s">
        <v>66</v>
      </c>
      <c r="E217" s="430">
        <v>16</v>
      </c>
      <c r="F217" s="430">
        <v>21</v>
      </c>
      <c r="G217" s="430" t="s">
        <v>182</v>
      </c>
      <c r="H217" s="461" t="s">
        <v>51</v>
      </c>
      <c r="I217" s="438" t="s">
        <v>213</v>
      </c>
      <c r="J217" s="438">
        <v>8</v>
      </c>
      <c r="K217" s="438" t="s">
        <v>577</v>
      </c>
      <c r="L217" s="430" t="str">
        <f t="shared" si="54"/>
        <v>44392S-4553</v>
      </c>
      <c r="M217" s="430" t="s">
        <v>46</v>
      </c>
      <c r="N217" s="461">
        <v>18.72</v>
      </c>
      <c r="O217" s="461">
        <v>303</v>
      </c>
      <c r="P217" s="430">
        <f t="shared" si="46"/>
        <v>92.5</v>
      </c>
      <c r="Q217" s="430" t="str">
        <f t="shared" si="47"/>
        <v/>
      </c>
      <c r="R217" s="430" t="str">
        <f t="shared" si="48"/>
        <v/>
      </c>
      <c r="S217" s="430" t="str">
        <f t="shared" si="49"/>
        <v/>
      </c>
      <c r="T217" s="430">
        <f t="shared" si="50"/>
        <v>102.5</v>
      </c>
      <c r="U217" s="430" t="str">
        <f t="shared" si="51"/>
        <v/>
      </c>
      <c r="V217" s="430" t="str">
        <f t="shared" si="52"/>
        <v/>
      </c>
      <c r="W217" s="430">
        <f t="shared" si="53"/>
        <v>420</v>
      </c>
      <c r="X217" s="449"/>
      <c r="Z217" s="450"/>
      <c r="AA217" s="449"/>
      <c r="AB217" s="451"/>
      <c r="AC217" s="450"/>
      <c r="AD217" s="449"/>
      <c r="AE217" s="451"/>
      <c r="AF217" s="450"/>
      <c r="AG217" s="449"/>
      <c r="AH217" s="451"/>
      <c r="AI217" s="450"/>
      <c r="AJ217" s="449"/>
      <c r="AK217" s="451"/>
      <c r="AL217" s="450"/>
      <c r="AM217" s="449"/>
      <c r="AN217" s="451"/>
      <c r="AO217" s="450"/>
      <c r="AP217" s="449"/>
      <c r="AQ217" s="451"/>
      <c r="AR217" s="449"/>
      <c r="AS217" s="449"/>
      <c r="AT217" s="451"/>
      <c r="AU217" s="449"/>
      <c r="AV217" s="451"/>
      <c r="AW217" s="449"/>
      <c r="AX217" s="449"/>
      <c r="AY217" s="449"/>
      <c r="AZ217" s="449"/>
      <c r="BA217" s="449"/>
      <c r="BB217" s="449"/>
      <c r="BC217" s="449"/>
      <c r="BD217" s="449"/>
      <c r="BE217" s="449"/>
      <c r="BF217" s="449"/>
      <c r="BG217" s="449"/>
      <c r="BH217" s="449"/>
      <c r="BI217" s="449"/>
      <c r="BJ217" s="449"/>
      <c r="BK217" s="449"/>
      <c r="BL217" s="449"/>
      <c r="BM217" s="449"/>
      <c r="BN217" s="449"/>
    </row>
    <row r="218" spans="1:66" ht="13.15" x14ac:dyDescent="0.4">
      <c r="A218" s="469" t="s">
        <v>519</v>
      </c>
      <c r="B218" s="430" t="s">
        <v>781</v>
      </c>
      <c r="C218" s="463">
        <v>44392</v>
      </c>
      <c r="D218" s="430" t="s">
        <v>66</v>
      </c>
      <c r="E218" s="430">
        <v>23</v>
      </c>
      <c r="F218" s="430">
        <v>30</v>
      </c>
      <c r="G218" s="430" t="s">
        <v>244</v>
      </c>
      <c r="H218" s="461" t="s">
        <v>50</v>
      </c>
      <c r="I218" s="438" t="s">
        <v>244</v>
      </c>
      <c r="J218" s="438">
        <v>9</v>
      </c>
      <c r="K218" s="438" t="s">
        <v>580</v>
      </c>
      <c r="L218" s="430" t="str">
        <f t="shared" si="54"/>
        <v>44392S-4554</v>
      </c>
      <c r="M218" s="430" t="s">
        <v>46</v>
      </c>
      <c r="N218" s="461">
        <v>31.7</v>
      </c>
      <c r="O218" s="461">
        <v>314</v>
      </c>
      <c r="P218" s="430">
        <f t="shared" si="46"/>
        <v>132.5</v>
      </c>
      <c r="Q218" s="430" t="str">
        <f t="shared" si="47"/>
        <v/>
      </c>
      <c r="R218" s="430" t="str">
        <f t="shared" si="48"/>
        <v/>
      </c>
      <c r="S218" s="430" t="str">
        <f t="shared" si="49"/>
        <v/>
      </c>
      <c r="T218" s="430" t="str">
        <f t="shared" si="50"/>
        <v/>
      </c>
      <c r="U218" s="430" t="str">
        <f t="shared" si="51"/>
        <v/>
      </c>
      <c r="V218" s="430" t="str">
        <f t="shared" si="52"/>
        <v/>
      </c>
      <c r="W218" s="430">
        <f t="shared" si="53"/>
        <v>863</v>
      </c>
      <c r="X218" s="449"/>
      <c r="Z218" s="450"/>
      <c r="AA218" s="449"/>
      <c r="AB218" s="451"/>
      <c r="AC218" s="450"/>
      <c r="AD218" s="449"/>
      <c r="AE218" s="451"/>
      <c r="AF218" s="450"/>
      <c r="AG218" s="449"/>
      <c r="AH218" s="451"/>
      <c r="AI218" s="450"/>
      <c r="AJ218" s="449"/>
      <c r="AK218" s="451"/>
      <c r="AL218" s="450"/>
      <c r="AM218" s="449"/>
      <c r="AN218" s="451"/>
      <c r="AO218" s="450"/>
      <c r="AP218" s="449"/>
      <c r="AQ218" s="451"/>
      <c r="AR218" s="449"/>
      <c r="AS218" s="449"/>
      <c r="AT218" s="451"/>
      <c r="AU218" s="449"/>
      <c r="AV218" s="451"/>
      <c r="AW218" s="449"/>
      <c r="AX218" s="449"/>
      <c r="AY218" s="449"/>
      <c r="AZ218" s="449"/>
      <c r="BA218" s="449"/>
      <c r="BB218" s="449"/>
      <c r="BC218" s="449"/>
      <c r="BD218" s="449"/>
      <c r="BE218" s="449"/>
      <c r="BF218" s="449"/>
      <c r="BG218" s="449"/>
      <c r="BH218" s="449"/>
      <c r="BI218" s="449"/>
      <c r="BJ218" s="449"/>
      <c r="BK218" s="449"/>
      <c r="BL218" s="449"/>
      <c r="BM218" s="449"/>
      <c r="BN218" s="449"/>
    </row>
    <row r="219" spans="1:66" ht="13.15" x14ac:dyDescent="0.4">
      <c r="A219" s="469" t="s">
        <v>783</v>
      </c>
      <c r="B219" s="430" t="s">
        <v>782</v>
      </c>
      <c r="C219" s="463">
        <v>44392</v>
      </c>
      <c r="D219" s="430" t="s">
        <v>66</v>
      </c>
      <c r="E219" s="430">
        <v>24</v>
      </c>
      <c r="F219" s="430">
        <v>32</v>
      </c>
      <c r="G219" s="430" t="s">
        <v>116</v>
      </c>
      <c r="H219" s="461" t="s">
        <v>50</v>
      </c>
      <c r="I219" s="438" t="s">
        <v>116</v>
      </c>
      <c r="J219" s="438">
        <v>9</v>
      </c>
      <c r="K219" s="438" t="s">
        <v>580</v>
      </c>
      <c r="L219" s="430" t="str">
        <f t="shared" si="54"/>
        <v>44392S-4554</v>
      </c>
      <c r="M219" s="430" t="s">
        <v>46</v>
      </c>
      <c r="N219" s="461">
        <v>28.92</v>
      </c>
      <c r="O219" s="461">
        <v>331</v>
      </c>
      <c r="P219" s="430">
        <f t="shared" si="46"/>
        <v>140</v>
      </c>
      <c r="Q219" s="430" t="str">
        <f t="shared" si="47"/>
        <v/>
      </c>
      <c r="R219" s="430" t="str">
        <f t="shared" si="48"/>
        <v/>
      </c>
      <c r="S219" s="430" t="str">
        <f t="shared" si="49"/>
        <v/>
      </c>
      <c r="T219" s="430" t="str">
        <f t="shared" si="50"/>
        <v/>
      </c>
      <c r="U219" s="430" t="str">
        <f t="shared" si="51"/>
        <v/>
      </c>
      <c r="V219" s="430" t="str">
        <f t="shared" si="52"/>
        <v/>
      </c>
      <c r="W219" s="430">
        <f t="shared" si="53"/>
        <v>960</v>
      </c>
      <c r="X219" s="449"/>
      <c r="Z219" s="450"/>
      <c r="AA219" s="449"/>
      <c r="AB219" s="451"/>
      <c r="AC219" s="450"/>
      <c r="AD219" s="449"/>
      <c r="AE219" s="451"/>
      <c r="AF219" s="450"/>
      <c r="AG219" s="449"/>
      <c r="AH219" s="451"/>
      <c r="AI219" s="450"/>
      <c r="AJ219" s="449"/>
      <c r="AK219" s="451"/>
      <c r="AL219" s="450"/>
      <c r="AM219" s="449"/>
      <c r="AN219" s="451"/>
      <c r="AO219" s="450"/>
      <c r="AP219" s="449"/>
      <c r="AQ219" s="451"/>
      <c r="AR219" s="449"/>
      <c r="AS219" s="449"/>
      <c r="AT219" s="451"/>
      <c r="AU219" s="449"/>
      <c r="AV219" s="451"/>
      <c r="AW219" s="449"/>
      <c r="AX219" s="449"/>
      <c r="AY219" s="449"/>
      <c r="AZ219" s="449"/>
      <c r="BA219" s="449"/>
      <c r="BB219" s="449"/>
      <c r="BC219" s="449"/>
      <c r="BD219" s="449"/>
      <c r="BE219" s="449"/>
      <c r="BF219" s="449"/>
      <c r="BG219" s="449"/>
      <c r="BH219" s="449"/>
      <c r="BI219" s="449"/>
      <c r="BJ219" s="449"/>
      <c r="BK219" s="449"/>
      <c r="BL219" s="449"/>
      <c r="BM219" s="449"/>
      <c r="BN219" s="449"/>
    </row>
    <row r="220" spans="1:66" ht="13.15" x14ac:dyDescent="0.4">
      <c r="A220" s="469" t="s">
        <v>249</v>
      </c>
      <c r="B220" s="430" t="s">
        <v>784</v>
      </c>
      <c r="C220" s="463">
        <v>44392</v>
      </c>
      <c r="D220" s="430" t="s">
        <v>66</v>
      </c>
      <c r="E220" s="430">
        <v>25</v>
      </c>
      <c r="F220" s="430">
        <v>36</v>
      </c>
      <c r="G220" s="430" t="s">
        <v>246</v>
      </c>
      <c r="H220" s="461" t="s">
        <v>50</v>
      </c>
      <c r="I220" s="438" t="s">
        <v>246</v>
      </c>
      <c r="J220" s="438">
        <v>14</v>
      </c>
      <c r="K220" s="438" t="s">
        <v>583</v>
      </c>
      <c r="L220" s="430" t="str">
        <f t="shared" si="54"/>
        <v>44392S-4679</v>
      </c>
      <c r="M220" s="430" t="s">
        <v>46</v>
      </c>
      <c r="N220" s="461">
        <v>35.99</v>
      </c>
      <c r="O220" s="461">
        <v>360</v>
      </c>
      <c r="P220" s="430">
        <f t="shared" si="46"/>
        <v>152.5</v>
      </c>
      <c r="Q220" s="430" t="str">
        <f t="shared" si="47"/>
        <v/>
      </c>
      <c r="R220" s="430" t="str">
        <f t="shared" si="48"/>
        <v/>
      </c>
      <c r="S220" s="430" t="str">
        <f t="shared" si="49"/>
        <v/>
      </c>
      <c r="T220" s="430" t="str">
        <f t="shared" si="50"/>
        <v/>
      </c>
      <c r="U220" s="430" t="str">
        <f t="shared" si="51"/>
        <v/>
      </c>
      <c r="V220" s="430" t="str">
        <f t="shared" si="52"/>
        <v/>
      </c>
      <c r="W220" s="430">
        <f t="shared" si="53"/>
        <v>1125</v>
      </c>
      <c r="X220" s="449"/>
      <c r="Z220" s="450"/>
      <c r="AA220" s="449"/>
      <c r="AB220" s="451"/>
      <c r="AC220" s="450"/>
      <c r="AD220" s="449"/>
      <c r="AE220" s="451"/>
      <c r="AF220" s="450"/>
      <c r="AG220" s="449"/>
      <c r="AH220" s="451"/>
      <c r="AI220" s="450"/>
      <c r="AJ220" s="449"/>
      <c r="AK220" s="451"/>
      <c r="AL220" s="450"/>
      <c r="AM220" s="449"/>
      <c r="AN220" s="451"/>
      <c r="AO220" s="450"/>
      <c r="AP220" s="449"/>
      <c r="AQ220" s="451"/>
      <c r="AR220" s="449"/>
      <c r="AS220" s="449"/>
      <c r="AT220" s="451"/>
      <c r="AU220" s="449"/>
      <c r="AV220" s="451"/>
      <c r="AW220" s="449"/>
      <c r="AX220" s="449"/>
      <c r="AY220" s="449"/>
      <c r="AZ220" s="449"/>
      <c r="BA220" s="449"/>
      <c r="BB220" s="449"/>
      <c r="BC220" s="449"/>
      <c r="BD220" s="449"/>
      <c r="BE220" s="449"/>
      <c r="BF220" s="449"/>
      <c r="BG220" s="449"/>
      <c r="BH220" s="449"/>
      <c r="BI220" s="449"/>
      <c r="BJ220" s="449"/>
      <c r="BK220" s="449"/>
      <c r="BL220" s="449"/>
      <c r="BM220" s="449"/>
      <c r="BN220" s="449"/>
    </row>
    <row r="221" spans="1:66" ht="13.15" x14ac:dyDescent="0.4">
      <c r="A221" s="469" t="s">
        <v>563</v>
      </c>
      <c r="B221" s="430" t="s">
        <v>787</v>
      </c>
      <c r="C221" s="463">
        <v>44392</v>
      </c>
      <c r="D221" s="430" t="s">
        <v>66</v>
      </c>
      <c r="E221" s="430">
        <v>32</v>
      </c>
      <c r="F221" s="430">
        <v>40</v>
      </c>
      <c r="G221" s="430" t="s">
        <v>71</v>
      </c>
      <c r="H221" s="461" t="s">
        <v>50</v>
      </c>
      <c r="I221" s="438" t="s">
        <v>71</v>
      </c>
      <c r="J221" s="438">
        <v>15</v>
      </c>
      <c r="K221" s="438" t="s">
        <v>586</v>
      </c>
      <c r="L221" s="430" t="str">
        <f t="shared" si="54"/>
        <v>44392S-4929</v>
      </c>
      <c r="M221" s="430" t="s">
        <v>46</v>
      </c>
      <c r="N221" s="461">
        <f t="shared" ref="N221:N222" si="63">312.82/2</f>
        <v>156.41</v>
      </c>
      <c r="O221" s="461">
        <f t="shared" ref="O221:O222" si="64">1089/2</f>
        <v>544.5</v>
      </c>
      <c r="P221" s="430">
        <f t="shared" si="46"/>
        <v>180</v>
      </c>
      <c r="Q221" s="430" t="str">
        <f t="shared" si="47"/>
        <v/>
      </c>
      <c r="R221" s="430" t="str">
        <f t="shared" si="48"/>
        <v/>
      </c>
      <c r="S221" s="430" t="str">
        <f t="shared" si="49"/>
        <v/>
      </c>
      <c r="T221" s="430" t="str">
        <f t="shared" si="50"/>
        <v/>
      </c>
      <c r="U221" s="430" t="str">
        <f t="shared" si="51"/>
        <v/>
      </c>
      <c r="V221" s="430" t="str">
        <f t="shared" si="52"/>
        <v/>
      </c>
      <c r="W221" s="430">
        <f t="shared" si="53"/>
        <v>1600</v>
      </c>
      <c r="X221" s="449"/>
      <c r="Z221" s="450"/>
      <c r="AA221" s="449"/>
      <c r="AB221" s="451"/>
      <c r="AC221" s="450"/>
      <c r="AD221" s="449"/>
      <c r="AE221" s="451"/>
      <c r="AF221" s="450"/>
      <c r="AG221" s="449"/>
      <c r="AH221" s="451"/>
      <c r="AI221" s="450"/>
      <c r="AJ221" s="449"/>
      <c r="AK221" s="451"/>
      <c r="AL221" s="450"/>
      <c r="AM221" s="449"/>
      <c r="AN221" s="451"/>
      <c r="AO221" s="450"/>
      <c r="AP221" s="449"/>
      <c r="AQ221" s="451"/>
      <c r="AR221" s="449"/>
      <c r="AS221" s="449"/>
      <c r="AT221" s="451"/>
      <c r="AU221" s="449"/>
      <c r="AV221" s="451"/>
      <c r="AW221" s="449"/>
      <c r="AX221" s="449"/>
      <c r="AY221" s="449"/>
      <c r="AZ221" s="449"/>
      <c r="BA221" s="449"/>
      <c r="BB221" s="449"/>
      <c r="BC221" s="449"/>
      <c r="BD221" s="449"/>
      <c r="BE221" s="449"/>
      <c r="BF221" s="449"/>
      <c r="BG221" s="449"/>
      <c r="BH221" s="449"/>
      <c r="BI221" s="449"/>
      <c r="BJ221" s="449"/>
      <c r="BK221" s="449"/>
      <c r="BL221" s="449"/>
      <c r="BM221" s="449"/>
      <c r="BN221" s="449"/>
    </row>
    <row r="222" spans="1:66" ht="13.15" x14ac:dyDescent="0.4">
      <c r="A222" s="469" t="s">
        <v>227</v>
      </c>
      <c r="B222" s="430" t="s">
        <v>787</v>
      </c>
      <c r="C222" s="463">
        <v>44392</v>
      </c>
      <c r="D222" s="430" t="s">
        <v>66</v>
      </c>
      <c r="E222" s="430">
        <v>24</v>
      </c>
      <c r="F222" s="430">
        <v>45</v>
      </c>
      <c r="G222" s="430" t="s">
        <v>247</v>
      </c>
      <c r="H222" s="461" t="s">
        <v>58</v>
      </c>
      <c r="I222" s="438" t="s">
        <v>788</v>
      </c>
      <c r="J222" s="438">
        <v>28</v>
      </c>
      <c r="K222" s="438" t="s">
        <v>553</v>
      </c>
      <c r="L222" s="430" t="str">
        <f t="shared" si="54"/>
        <v>44392S-11251</v>
      </c>
      <c r="M222" s="430" t="s">
        <v>46</v>
      </c>
      <c r="N222" s="461">
        <f t="shared" si="63"/>
        <v>156.41</v>
      </c>
      <c r="O222" s="461">
        <f t="shared" si="64"/>
        <v>544.5</v>
      </c>
      <c r="P222" s="430">
        <f t="shared" si="46"/>
        <v>172.5</v>
      </c>
      <c r="Q222" s="430" t="str">
        <f t="shared" si="47"/>
        <v/>
      </c>
      <c r="R222" s="430" t="str">
        <f t="shared" si="48"/>
        <v/>
      </c>
      <c r="S222" s="430" t="str">
        <f t="shared" si="49"/>
        <v/>
      </c>
      <c r="T222" s="430" t="str">
        <f t="shared" si="50"/>
        <v/>
      </c>
      <c r="U222" s="430" t="str">
        <f t="shared" si="51"/>
        <v/>
      </c>
      <c r="V222" s="430">
        <f t="shared" si="52"/>
        <v>182.5</v>
      </c>
      <c r="W222" s="430">
        <f t="shared" si="53"/>
        <v>1350</v>
      </c>
      <c r="X222" s="449"/>
      <c r="Z222" s="450"/>
      <c r="AA222" s="449"/>
      <c r="AB222" s="451"/>
      <c r="AC222" s="450"/>
      <c r="AD222" s="449"/>
      <c r="AE222" s="451"/>
      <c r="AF222" s="450"/>
      <c r="AG222" s="449"/>
      <c r="AH222" s="451"/>
      <c r="AI222" s="450"/>
      <c r="AJ222" s="449"/>
      <c r="AK222" s="451"/>
      <c r="AL222" s="450"/>
      <c r="AM222" s="449"/>
      <c r="AN222" s="451"/>
      <c r="AO222" s="450"/>
      <c r="AP222" s="449"/>
      <c r="AQ222" s="451"/>
      <c r="AR222" s="449"/>
      <c r="AS222" s="449"/>
      <c r="AT222" s="451"/>
      <c r="AU222" s="449"/>
      <c r="AV222" s="451"/>
      <c r="AW222" s="449"/>
      <c r="AX222" s="449"/>
      <c r="AY222" s="449"/>
      <c r="AZ222" s="449"/>
      <c r="BA222" s="449"/>
      <c r="BB222" s="449"/>
      <c r="BC222" s="449"/>
      <c r="BD222" s="449"/>
      <c r="BE222" s="449"/>
      <c r="BF222" s="449"/>
      <c r="BG222" s="449"/>
      <c r="BH222" s="449"/>
      <c r="BI222" s="449"/>
      <c r="BJ222" s="449"/>
      <c r="BK222" s="449"/>
      <c r="BL222" s="449"/>
      <c r="BM222" s="449"/>
      <c r="BN222" s="449"/>
    </row>
    <row r="223" spans="1:66" ht="13.15" x14ac:dyDescent="0.4">
      <c r="A223" s="430" t="s">
        <v>612</v>
      </c>
      <c r="B223" s="430" t="s">
        <v>791</v>
      </c>
      <c r="C223" s="463">
        <v>44392</v>
      </c>
      <c r="D223" s="430" t="s">
        <v>66</v>
      </c>
      <c r="E223" s="430">
        <v>24</v>
      </c>
      <c r="F223" s="430">
        <v>36</v>
      </c>
      <c r="G223" s="430" t="s">
        <v>119</v>
      </c>
      <c r="H223" s="461" t="s">
        <v>1</v>
      </c>
      <c r="I223" s="438" t="s">
        <v>318</v>
      </c>
      <c r="J223" s="438" t="s">
        <v>45</v>
      </c>
      <c r="K223" s="438" t="s">
        <v>45</v>
      </c>
      <c r="L223" s="430" t="str">
        <f t="shared" si="54"/>
        <v>44392N/A</v>
      </c>
      <c r="M223" s="430" t="s">
        <v>45</v>
      </c>
      <c r="N223" s="461">
        <v>0</v>
      </c>
      <c r="O223" s="461">
        <v>572</v>
      </c>
      <c r="P223" s="430">
        <f t="shared" si="46"/>
        <v>150</v>
      </c>
      <c r="Q223" s="430" t="str">
        <f t="shared" si="47"/>
        <v/>
      </c>
      <c r="R223" s="430" t="str">
        <f t="shared" si="48"/>
        <v/>
      </c>
      <c r="S223" s="430">
        <f t="shared" si="49"/>
        <v>160</v>
      </c>
      <c r="T223" s="430" t="str">
        <f t="shared" si="50"/>
        <v/>
      </c>
      <c r="U223" s="430" t="str">
        <f t="shared" si="51"/>
        <v/>
      </c>
      <c r="V223" s="430" t="str">
        <f t="shared" si="52"/>
        <v/>
      </c>
      <c r="W223" s="430">
        <f t="shared" si="53"/>
        <v>1080</v>
      </c>
      <c r="X223" s="449"/>
      <c r="Z223" s="450"/>
      <c r="AA223" s="449"/>
      <c r="AB223" s="451"/>
      <c r="AC223" s="450"/>
      <c r="AD223" s="449"/>
      <c r="AE223" s="451"/>
      <c r="AF223" s="450"/>
      <c r="AG223" s="449"/>
      <c r="AH223" s="451"/>
      <c r="AI223" s="450"/>
      <c r="AJ223" s="449"/>
      <c r="AK223" s="451"/>
      <c r="AL223" s="450"/>
      <c r="AM223" s="449"/>
      <c r="AN223" s="451"/>
      <c r="AO223" s="450"/>
      <c r="AP223" s="449"/>
      <c r="AQ223" s="451"/>
      <c r="AR223" s="449"/>
      <c r="AS223" s="449"/>
      <c r="AT223" s="451"/>
      <c r="AU223" s="449"/>
      <c r="AV223" s="451"/>
      <c r="AW223" s="449"/>
      <c r="AX223" s="449"/>
      <c r="AY223" s="449"/>
      <c r="AZ223" s="449"/>
      <c r="BA223" s="449"/>
      <c r="BB223" s="449"/>
      <c r="BC223" s="449"/>
      <c r="BD223" s="449"/>
      <c r="BE223" s="449"/>
      <c r="BF223" s="449"/>
      <c r="BG223" s="449"/>
      <c r="BH223" s="449"/>
      <c r="BI223" s="449"/>
      <c r="BJ223" s="449"/>
      <c r="BK223" s="449"/>
      <c r="BL223" s="449"/>
      <c r="BM223" s="449"/>
      <c r="BN223" s="449"/>
    </row>
    <row r="224" spans="1:66" ht="13.15" x14ac:dyDescent="0.4">
      <c r="A224" s="430" t="s">
        <v>761</v>
      </c>
      <c r="B224" s="430" t="s">
        <v>793</v>
      </c>
      <c r="C224" s="463">
        <v>44392</v>
      </c>
      <c r="D224" s="430" t="s">
        <v>66</v>
      </c>
      <c r="E224" s="430">
        <v>31</v>
      </c>
      <c r="F224" s="430">
        <v>47</v>
      </c>
      <c r="G224" s="430" t="s">
        <v>223</v>
      </c>
      <c r="H224" s="461" t="s">
        <v>50</v>
      </c>
      <c r="I224" s="438" t="s">
        <v>223</v>
      </c>
      <c r="J224" s="438" t="s">
        <v>45</v>
      </c>
      <c r="K224" s="438" t="s">
        <v>45</v>
      </c>
      <c r="L224" s="430" t="str">
        <f t="shared" si="54"/>
        <v>44392N/A</v>
      </c>
      <c r="M224" s="430" t="s">
        <v>45</v>
      </c>
      <c r="N224" s="461">
        <v>0</v>
      </c>
      <c r="O224" s="461">
        <v>430</v>
      </c>
      <c r="P224" s="430">
        <f t="shared" si="46"/>
        <v>195</v>
      </c>
      <c r="Q224" s="430" t="str">
        <f t="shared" si="47"/>
        <v/>
      </c>
      <c r="R224" s="430" t="str">
        <f t="shared" si="48"/>
        <v/>
      </c>
      <c r="S224" s="430" t="str">
        <f t="shared" si="49"/>
        <v/>
      </c>
      <c r="T224" s="430" t="str">
        <f t="shared" si="50"/>
        <v/>
      </c>
      <c r="U224" s="430" t="str">
        <f t="shared" si="51"/>
        <v/>
      </c>
      <c r="V224" s="430" t="str">
        <f t="shared" si="52"/>
        <v/>
      </c>
      <c r="W224" s="430">
        <f t="shared" si="53"/>
        <v>1822</v>
      </c>
      <c r="X224" s="449"/>
      <c r="Z224" s="450"/>
      <c r="AA224" s="449"/>
      <c r="AB224" s="451"/>
      <c r="AC224" s="450"/>
      <c r="AD224" s="449"/>
      <c r="AE224" s="451"/>
      <c r="AF224" s="450"/>
      <c r="AG224" s="449"/>
      <c r="AH224" s="451"/>
      <c r="AI224" s="450"/>
      <c r="AJ224" s="449"/>
      <c r="AK224" s="451"/>
      <c r="AL224" s="450"/>
      <c r="AM224" s="449"/>
      <c r="AN224" s="451"/>
      <c r="AO224" s="450"/>
      <c r="AP224" s="449"/>
      <c r="AQ224" s="451"/>
      <c r="AR224" s="449"/>
      <c r="AS224" s="449"/>
      <c r="AT224" s="451"/>
      <c r="AU224" s="449"/>
      <c r="AV224" s="451"/>
      <c r="AW224" s="449"/>
      <c r="AX224" s="449"/>
      <c r="AY224" s="449"/>
      <c r="AZ224" s="449"/>
      <c r="BA224" s="449"/>
      <c r="BB224" s="449"/>
      <c r="BC224" s="449"/>
      <c r="BD224" s="449"/>
      <c r="BE224" s="449"/>
      <c r="BF224" s="449"/>
      <c r="BG224" s="449"/>
      <c r="BH224" s="449"/>
      <c r="BI224" s="449"/>
      <c r="BJ224" s="449"/>
      <c r="BK224" s="449"/>
      <c r="BL224" s="449"/>
      <c r="BM224" s="449"/>
      <c r="BN224" s="449"/>
    </row>
    <row r="225" spans="1:66" ht="13.15" x14ac:dyDescent="0.4">
      <c r="A225" s="469" t="s">
        <v>453</v>
      </c>
      <c r="B225" s="430" t="s">
        <v>795</v>
      </c>
      <c r="C225" s="463">
        <v>44392</v>
      </c>
      <c r="D225" s="430" t="s">
        <v>66</v>
      </c>
      <c r="E225" s="430">
        <v>15</v>
      </c>
      <c r="F225" s="430">
        <v>19</v>
      </c>
      <c r="G225" s="430" t="s">
        <v>79</v>
      </c>
      <c r="H225" s="461" t="s">
        <v>558</v>
      </c>
      <c r="I225" s="438" t="s">
        <v>45</v>
      </c>
      <c r="J225" s="438">
        <v>2</v>
      </c>
      <c r="K225" s="438" t="s">
        <v>77</v>
      </c>
      <c r="L225" s="430" t="str">
        <f t="shared" si="54"/>
        <v>44392S-14048</v>
      </c>
      <c r="M225" s="430" t="s">
        <v>46</v>
      </c>
      <c r="N225" s="461">
        <v>14.67</v>
      </c>
      <c r="O225" s="461">
        <f t="shared" ref="O225:O226" si="65">217.6/2</f>
        <v>108.8</v>
      </c>
      <c r="P225" s="430">
        <f t="shared" si="46"/>
        <v>85</v>
      </c>
      <c r="Q225" s="430" t="str">
        <f t="shared" si="47"/>
        <v/>
      </c>
      <c r="R225" s="430" t="str">
        <f t="shared" si="48"/>
        <v/>
      </c>
      <c r="S225" s="430" t="str">
        <f t="shared" si="49"/>
        <v/>
      </c>
      <c r="T225" s="430" t="str">
        <f t="shared" si="50"/>
        <v/>
      </c>
      <c r="U225" s="430" t="str">
        <f t="shared" si="51"/>
        <v/>
      </c>
      <c r="V225" s="430" t="str">
        <f t="shared" si="52"/>
        <v/>
      </c>
      <c r="W225" s="430">
        <f t="shared" si="53"/>
        <v>357</v>
      </c>
      <c r="X225" s="449"/>
      <c r="Z225" s="450"/>
      <c r="AA225" s="449"/>
      <c r="AB225" s="451"/>
      <c r="AC225" s="450"/>
      <c r="AD225" s="449"/>
      <c r="AE225" s="451"/>
      <c r="AF225" s="450"/>
      <c r="AG225" s="449"/>
      <c r="AH225" s="451"/>
      <c r="AI225" s="450"/>
      <c r="AJ225" s="449"/>
      <c r="AK225" s="451"/>
      <c r="AL225" s="450"/>
      <c r="AM225" s="449"/>
      <c r="AN225" s="451"/>
      <c r="AO225" s="450"/>
      <c r="AP225" s="449"/>
      <c r="AQ225" s="451"/>
      <c r="AR225" s="449"/>
      <c r="AS225" s="449"/>
      <c r="AT225" s="451"/>
      <c r="AU225" s="449"/>
      <c r="AV225" s="451"/>
      <c r="AW225" s="449"/>
      <c r="AX225" s="449"/>
      <c r="AY225" s="449"/>
      <c r="AZ225" s="449"/>
      <c r="BA225" s="449"/>
      <c r="BB225" s="449"/>
      <c r="BC225" s="449"/>
      <c r="BD225" s="449"/>
      <c r="BE225" s="449"/>
      <c r="BF225" s="449"/>
      <c r="BG225" s="449"/>
      <c r="BH225" s="449"/>
      <c r="BI225" s="449"/>
      <c r="BJ225" s="449"/>
      <c r="BK225" s="449"/>
      <c r="BL225" s="449"/>
      <c r="BM225" s="449"/>
      <c r="BN225" s="449"/>
    </row>
    <row r="226" spans="1:66" ht="13.15" x14ac:dyDescent="0.4">
      <c r="A226" s="469" t="s">
        <v>796</v>
      </c>
      <c r="B226" s="430" t="s">
        <v>795</v>
      </c>
      <c r="C226" s="463">
        <v>44392</v>
      </c>
      <c r="D226" s="430" t="s">
        <v>66</v>
      </c>
      <c r="E226" s="430">
        <v>15</v>
      </c>
      <c r="F226" s="430">
        <v>15</v>
      </c>
      <c r="G226" s="430" t="s">
        <v>153</v>
      </c>
      <c r="H226" s="461" t="s">
        <v>558</v>
      </c>
      <c r="I226" s="438" t="s">
        <v>45</v>
      </c>
      <c r="J226" s="438" t="s">
        <v>602</v>
      </c>
      <c r="K226" s="438" t="s">
        <v>602</v>
      </c>
      <c r="L226" s="430" t="str">
        <f t="shared" si="54"/>
        <v>44392""</v>
      </c>
      <c r="M226" s="430" t="s">
        <v>46</v>
      </c>
      <c r="N226" s="449" t="s">
        <v>602</v>
      </c>
      <c r="O226" s="461">
        <f t="shared" si="65"/>
        <v>108.8</v>
      </c>
      <c r="P226" s="430">
        <f t="shared" si="46"/>
        <v>75</v>
      </c>
      <c r="Q226" s="430" t="str">
        <f t="shared" si="47"/>
        <v/>
      </c>
      <c r="R226" s="430" t="str">
        <f t="shared" si="48"/>
        <v/>
      </c>
      <c r="S226" s="430" t="str">
        <f t="shared" si="49"/>
        <v/>
      </c>
      <c r="T226" s="430" t="str">
        <f t="shared" si="50"/>
        <v/>
      </c>
      <c r="U226" s="430" t="str">
        <f t="shared" si="51"/>
        <v/>
      </c>
      <c r="V226" s="430" t="str">
        <f t="shared" si="52"/>
        <v/>
      </c>
      <c r="W226" s="430">
        <f t="shared" si="53"/>
        <v>282</v>
      </c>
      <c r="X226" s="449"/>
      <c r="Z226" s="450"/>
      <c r="AA226" s="449"/>
      <c r="AB226" s="451"/>
      <c r="AC226" s="450"/>
      <c r="AD226" s="449"/>
      <c r="AE226" s="451"/>
      <c r="AF226" s="450"/>
      <c r="AG226" s="449"/>
      <c r="AH226" s="451"/>
      <c r="AI226" s="450"/>
      <c r="AJ226" s="449"/>
      <c r="AK226" s="451"/>
      <c r="AL226" s="450"/>
      <c r="AM226" s="449"/>
      <c r="AN226" s="451"/>
      <c r="AO226" s="450"/>
      <c r="AP226" s="449"/>
      <c r="AQ226" s="451"/>
      <c r="AR226" s="449"/>
      <c r="AS226" s="449"/>
      <c r="AT226" s="451"/>
      <c r="AU226" s="449"/>
      <c r="AV226" s="451"/>
      <c r="AW226" s="449"/>
      <c r="AX226" s="449"/>
      <c r="AY226" s="449"/>
      <c r="AZ226" s="449"/>
      <c r="BA226" s="449"/>
      <c r="BB226" s="449"/>
      <c r="BC226" s="449"/>
      <c r="BD226" s="449"/>
      <c r="BE226" s="449"/>
      <c r="BF226" s="449"/>
      <c r="BG226" s="449"/>
      <c r="BH226" s="449"/>
      <c r="BI226" s="449"/>
      <c r="BJ226" s="449"/>
      <c r="BK226" s="449"/>
      <c r="BL226" s="449"/>
      <c r="BM226" s="449"/>
      <c r="BN226" s="449"/>
    </row>
    <row r="227" spans="1:66" ht="13.15" x14ac:dyDescent="0.4">
      <c r="A227" s="469" t="s">
        <v>406</v>
      </c>
      <c r="B227" s="430" t="s">
        <v>764</v>
      </c>
      <c r="C227" s="463">
        <v>44392</v>
      </c>
      <c r="D227" s="430" t="s">
        <v>66</v>
      </c>
      <c r="E227" s="430">
        <v>15</v>
      </c>
      <c r="F227" s="430">
        <v>27</v>
      </c>
      <c r="G227" s="430" t="s">
        <v>170</v>
      </c>
      <c r="H227" s="461" t="s">
        <v>558</v>
      </c>
      <c r="I227" s="438" t="s">
        <v>45</v>
      </c>
      <c r="J227" s="438">
        <v>3</v>
      </c>
      <c r="K227" s="438" t="s">
        <v>77</v>
      </c>
      <c r="L227" s="430" t="str">
        <f t="shared" si="54"/>
        <v>44392S-14048</v>
      </c>
      <c r="M227" s="430" t="s">
        <v>46</v>
      </c>
      <c r="N227" s="461">
        <v>11.39</v>
      </c>
      <c r="O227" s="461">
        <f t="shared" ref="O227:O230" si="66">687/4</f>
        <v>171.75</v>
      </c>
      <c r="P227" s="430">
        <f t="shared" si="46"/>
        <v>105</v>
      </c>
      <c r="Q227" s="430" t="str">
        <f t="shared" si="47"/>
        <v/>
      </c>
      <c r="R227" s="430" t="str">
        <f t="shared" si="48"/>
        <v/>
      </c>
      <c r="S227" s="430" t="str">
        <f t="shared" si="49"/>
        <v/>
      </c>
      <c r="T227" s="430" t="str">
        <f t="shared" si="50"/>
        <v/>
      </c>
      <c r="U227" s="430" t="str">
        <f t="shared" si="51"/>
        <v/>
      </c>
      <c r="V227" s="430" t="str">
        <f t="shared" si="52"/>
        <v/>
      </c>
      <c r="W227" s="430">
        <f t="shared" si="53"/>
        <v>507</v>
      </c>
      <c r="X227" s="449"/>
      <c r="Z227" s="450"/>
      <c r="AA227" s="449"/>
      <c r="AB227" s="451"/>
      <c r="AC227" s="450"/>
      <c r="AD227" s="449"/>
      <c r="AE227" s="451"/>
      <c r="AF227" s="450"/>
      <c r="AG227" s="449"/>
      <c r="AH227" s="451"/>
      <c r="AI227" s="450"/>
      <c r="AJ227" s="449"/>
      <c r="AK227" s="451"/>
      <c r="AL227" s="450"/>
      <c r="AM227" s="449"/>
      <c r="AN227" s="451"/>
      <c r="AO227" s="450"/>
      <c r="AP227" s="449"/>
      <c r="AQ227" s="451"/>
      <c r="AR227" s="449"/>
      <c r="AS227" s="449"/>
      <c r="AT227" s="451"/>
      <c r="AU227" s="449"/>
      <c r="AV227" s="451"/>
      <c r="AW227" s="449"/>
      <c r="AX227" s="449"/>
      <c r="AY227" s="449"/>
      <c r="AZ227" s="449"/>
      <c r="BA227" s="449"/>
      <c r="BB227" s="449"/>
      <c r="BC227" s="449"/>
      <c r="BD227" s="449"/>
      <c r="BE227" s="449"/>
      <c r="BF227" s="449"/>
      <c r="BG227" s="449"/>
      <c r="BH227" s="449"/>
      <c r="BI227" s="449"/>
      <c r="BJ227" s="449"/>
      <c r="BK227" s="449"/>
      <c r="BL227" s="449"/>
      <c r="BM227" s="449"/>
      <c r="BN227" s="449"/>
    </row>
    <row r="228" spans="1:66" ht="13.15" x14ac:dyDescent="0.4">
      <c r="A228" s="469" t="s">
        <v>783</v>
      </c>
      <c r="B228" s="430" t="s">
        <v>764</v>
      </c>
      <c r="C228" s="463">
        <v>44392</v>
      </c>
      <c r="D228" s="430" t="s">
        <v>66</v>
      </c>
      <c r="E228" s="430">
        <v>15</v>
      </c>
      <c r="F228" s="430">
        <v>20</v>
      </c>
      <c r="G228" s="430" t="s">
        <v>154</v>
      </c>
      <c r="H228" s="461" t="s">
        <v>558</v>
      </c>
      <c r="I228" s="438" t="s">
        <v>45</v>
      </c>
      <c r="J228" s="438" t="s">
        <v>602</v>
      </c>
      <c r="K228" s="438" t="s">
        <v>602</v>
      </c>
      <c r="L228" s="430" t="str">
        <f t="shared" si="54"/>
        <v>44392""</v>
      </c>
      <c r="M228" s="430" t="s">
        <v>46</v>
      </c>
      <c r="N228" s="449" t="s">
        <v>602</v>
      </c>
      <c r="O228" s="461">
        <f t="shared" si="66"/>
        <v>171.75</v>
      </c>
      <c r="P228" s="430">
        <f t="shared" si="46"/>
        <v>87.5</v>
      </c>
      <c r="Q228" s="430" t="str">
        <f t="shared" si="47"/>
        <v/>
      </c>
      <c r="R228" s="430" t="str">
        <f t="shared" si="48"/>
        <v/>
      </c>
      <c r="S228" s="430" t="str">
        <f t="shared" si="49"/>
        <v/>
      </c>
      <c r="T228" s="430" t="str">
        <f t="shared" si="50"/>
        <v/>
      </c>
      <c r="U228" s="430" t="str">
        <f t="shared" si="51"/>
        <v/>
      </c>
      <c r="V228" s="430" t="str">
        <f t="shared" si="52"/>
        <v/>
      </c>
      <c r="W228" s="430">
        <f t="shared" si="53"/>
        <v>375</v>
      </c>
      <c r="X228" s="449"/>
      <c r="Z228" s="450"/>
      <c r="AA228" s="449"/>
      <c r="AB228" s="451"/>
      <c r="AC228" s="450"/>
      <c r="AD228" s="449"/>
      <c r="AE228" s="451"/>
      <c r="AF228" s="450"/>
      <c r="AG228" s="449"/>
      <c r="AH228" s="451"/>
      <c r="AI228" s="450"/>
      <c r="AJ228" s="449"/>
      <c r="AK228" s="451"/>
      <c r="AL228" s="450"/>
      <c r="AM228" s="449"/>
      <c r="AN228" s="451"/>
      <c r="AO228" s="450"/>
      <c r="AP228" s="449"/>
      <c r="AQ228" s="451"/>
      <c r="AR228" s="449"/>
      <c r="AS228" s="449"/>
      <c r="AT228" s="451"/>
      <c r="AU228" s="449"/>
      <c r="AV228" s="451"/>
      <c r="AW228" s="449"/>
      <c r="AX228" s="449"/>
      <c r="AY228" s="449"/>
      <c r="AZ228" s="449"/>
      <c r="BA228" s="449"/>
      <c r="BB228" s="449"/>
      <c r="BC228" s="449"/>
      <c r="BD228" s="449"/>
      <c r="BE228" s="449"/>
      <c r="BF228" s="449"/>
      <c r="BG228" s="449"/>
      <c r="BH228" s="449"/>
      <c r="BI228" s="449"/>
      <c r="BJ228" s="449"/>
      <c r="BK228" s="449"/>
      <c r="BL228" s="449"/>
      <c r="BM228" s="449"/>
      <c r="BN228" s="449"/>
    </row>
    <row r="229" spans="1:66" ht="13.15" x14ac:dyDescent="0.4">
      <c r="A229" s="469" t="s">
        <v>563</v>
      </c>
      <c r="B229" s="430" t="s">
        <v>764</v>
      </c>
      <c r="C229" s="463">
        <v>44392</v>
      </c>
      <c r="D229" s="430" t="s">
        <v>66</v>
      </c>
      <c r="E229" s="430">
        <v>16</v>
      </c>
      <c r="F229" s="430">
        <v>20</v>
      </c>
      <c r="G229" s="430" t="s">
        <v>112</v>
      </c>
      <c r="H229" s="461" t="s">
        <v>558</v>
      </c>
      <c r="I229" s="438" t="s">
        <v>45</v>
      </c>
      <c r="J229" s="438" t="s">
        <v>602</v>
      </c>
      <c r="K229" s="438" t="s">
        <v>602</v>
      </c>
      <c r="L229" s="430" t="str">
        <f t="shared" si="54"/>
        <v>44392""</v>
      </c>
      <c r="M229" s="430" t="s">
        <v>46</v>
      </c>
      <c r="N229" s="449" t="s">
        <v>602</v>
      </c>
      <c r="O229" s="461">
        <f t="shared" si="66"/>
        <v>171.75</v>
      </c>
      <c r="P229" s="430">
        <f t="shared" si="46"/>
        <v>90</v>
      </c>
      <c r="Q229" s="430" t="str">
        <f t="shared" si="47"/>
        <v/>
      </c>
      <c r="R229" s="430" t="str">
        <f t="shared" si="48"/>
        <v/>
      </c>
      <c r="S229" s="430" t="str">
        <f t="shared" si="49"/>
        <v/>
      </c>
      <c r="T229" s="430" t="str">
        <f t="shared" si="50"/>
        <v/>
      </c>
      <c r="U229" s="430" t="str">
        <f t="shared" si="51"/>
        <v/>
      </c>
      <c r="V229" s="430" t="str">
        <f t="shared" si="52"/>
        <v/>
      </c>
      <c r="W229" s="430">
        <f t="shared" si="53"/>
        <v>400</v>
      </c>
      <c r="X229" s="449"/>
      <c r="Z229" s="450"/>
      <c r="AA229" s="449"/>
      <c r="AB229" s="451"/>
      <c r="AC229" s="450"/>
      <c r="AD229" s="449"/>
      <c r="AE229" s="451"/>
      <c r="AF229" s="450"/>
      <c r="AG229" s="449"/>
      <c r="AH229" s="451"/>
      <c r="AI229" s="450"/>
      <c r="AJ229" s="449"/>
      <c r="AK229" s="451"/>
      <c r="AL229" s="450"/>
      <c r="AM229" s="449"/>
      <c r="AN229" s="451"/>
      <c r="AO229" s="450"/>
      <c r="AP229" s="449"/>
      <c r="AQ229" s="451"/>
      <c r="AR229" s="449"/>
      <c r="AS229" s="449"/>
      <c r="AT229" s="451"/>
      <c r="AU229" s="449"/>
      <c r="AV229" s="451"/>
      <c r="AW229" s="449"/>
      <c r="AX229" s="449"/>
      <c r="AY229" s="449"/>
      <c r="AZ229" s="449"/>
      <c r="BA229" s="449"/>
      <c r="BB229" s="449"/>
      <c r="BC229" s="449"/>
      <c r="BD229" s="449"/>
      <c r="BE229" s="449"/>
      <c r="BF229" s="449"/>
      <c r="BG229" s="449"/>
      <c r="BH229" s="449"/>
      <c r="BI229" s="449"/>
      <c r="BJ229" s="449"/>
      <c r="BK229" s="449"/>
      <c r="BL229" s="449"/>
      <c r="BM229" s="449"/>
      <c r="BN229" s="449"/>
    </row>
    <row r="230" spans="1:66" ht="13.15" x14ac:dyDescent="0.4">
      <c r="A230" s="469" t="s">
        <v>797</v>
      </c>
      <c r="B230" s="430" t="s">
        <v>764</v>
      </c>
      <c r="C230" s="463">
        <v>44392</v>
      </c>
      <c r="D230" s="430" t="s">
        <v>66</v>
      </c>
      <c r="E230" s="430">
        <v>16</v>
      </c>
      <c r="F230" s="430">
        <v>22</v>
      </c>
      <c r="G230" s="430" t="s">
        <v>183</v>
      </c>
      <c r="H230" s="461" t="s">
        <v>558</v>
      </c>
      <c r="I230" s="438" t="s">
        <v>45</v>
      </c>
      <c r="J230" s="438" t="s">
        <v>602</v>
      </c>
      <c r="K230" s="438" t="s">
        <v>602</v>
      </c>
      <c r="L230" s="430" t="str">
        <f t="shared" si="54"/>
        <v>44392""</v>
      </c>
      <c r="M230" s="430" t="s">
        <v>46</v>
      </c>
      <c r="N230" s="449" t="s">
        <v>602</v>
      </c>
      <c r="O230" s="461">
        <f t="shared" si="66"/>
        <v>171.75</v>
      </c>
      <c r="P230" s="430">
        <f t="shared" si="46"/>
        <v>95</v>
      </c>
      <c r="Q230" s="430" t="str">
        <f t="shared" si="47"/>
        <v/>
      </c>
      <c r="R230" s="430" t="str">
        <f t="shared" si="48"/>
        <v/>
      </c>
      <c r="S230" s="430" t="str">
        <f t="shared" si="49"/>
        <v/>
      </c>
      <c r="T230" s="430" t="str">
        <f t="shared" si="50"/>
        <v/>
      </c>
      <c r="U230" s="430" t="str">
        <f t="shared" si="51"/>
        <v/>
      </c>
      <c r="V230" s="430" t="str">
        <f t="shared" si="52"/>
        <v/>
      </c>
      <c r="W230" s="430">
        <f t="shared" si="53"/>
        <v>440</v>
      </c>
      <c r="X230" s="449"/>
      <c r="Z230" s="450"/>
      <c r="AA230" s="449"/>
      <c r="AB230" s="451"/>
      <c r="AC230" s="450"/>
      <c r="AD230" s="449"/>
      <c r="AE230" s="451"/>
      <c r="AF230" s="450"/>
      <c r="AG230" s="449"/>
      <c r="AH230" s="451"/>
      <c r="AI230" s="450"/>
      <c r="AJ230" s="449"/>
      <c r="AK230" s="451"/>
      <c r="AL230" s="450"/>
      <c r="AM230" s="449"/>
      <c r="AN230" s="451"/>
      <c r="AO230" s="450"/>
      <c r="AP230" s="449"/>
      <c r="AQ230" s="451"/>
      <c r="AR230" s="449"/>
      <c r="AS230" s="449"/>
      <c r="AT230" s="451"/>
      <c r="AU230" s="449"/>
      <c r="AV230" s="451"/>
      <c r="AW230" s="449"/>
      <c r="AX230" s="449"/>
      <c r="AY230" s="449"/>
      <c r="AZ230" s="449"/>
      <c r="BA230" s="449"/>
      <c r="BB230" s="449"/>
      <c r="BC230" s="449"/>
      <c r="BD230" s="449"/>
      <c r="BE230" s="449"/>
      <c r="BF230" s="449"/>
      <c r="BG230" s="449"/>
      <c r="BH230" s="449"/>
      <c r="BI230" s="449"/>
      <c r="BJ230" s="449"/>
      <c r="BK230" s="449"/>
      <c r="BL230" s="449"/>
      <c r="BM230" s="449"/>
      <c r="BN230" s="449"/>
    </row>
    <row r="231" spans="1:66" ht="13.15" x14ac:dyDescent="0.4">
      <c r="A231" s="469" t="s">
        <v>432</v>
      </c>
      <c r="B231" s="430" t="s">
        <v>798</v>
      </c>
      <c r="C231" s="463">
        <v>44392</v>
      </c>
      <c r="D231" s="430" t="s">
        <v>66</v>
      </c>
      <c r="E231" s="430">
        <v>47</v>
      </c>
      <c r="F231" s="430">
        <v>72</v>
      </c>
      <c r="G231" s="430" t="s">
        <v>251</v>
      </c>
      <c r="H231" s="461" t="s">
        <v>558</v>
      </c>
      <c r="I231" s="438" t="s">
        <v>45</v>
      </c>
      <c r="J231" s="438">
        <v>5</v>
      </c>
      <c r="K231" s="438" t="s">
        <v>595</v>
      </c>
      <c r="L231" s="430" t="str">
        <f t="shared" si="54"/>
        <v>44392S-6241</v>
      </c>
      <c r="M231" s="430" t="s">
        <v>46</v>
      </c>
      <c r="N231" s="461">
        <v>26.57</v>
      </c>
      <c r="O231" s="461">
        <v>862.75</v>
      </c>
      <c r="P231" s="430">
        <f t="shared" si="46"/>
        <v>297.5</v>
      </c>
      <c r="Q231" s="430" t="str">
        <f t="shared" si="47"/>
        <v/>
      </c>
      <c r="R231" s="430" t="str">
        <f t="shared" si="48"/>
        <v/>
      </c>
      <c r="S231" s="430" t="str">
        <f t="shared" si="49"/>
        <v/>
      </c>
      <c r="T231" s="430" t="str">
        <f t="shared" si="50"/>
        <v/>
      </c>
      <c r="U231" s="430" t="str">
        <f t="shared" si="51"/>
        <v/>
      </c>
      <c r="V231" s="430" t="str">
        <f t="shared" si="52"/>
        <v/>
      </c>
      <c r="W231" s="430">
        <f t="shared" si="53"/>
        <v>4230</v>
      </c>
      <c r="X231" s="449"/>
      <c r="Z231" s="450"/>
      <c r="AA231" s="449"/>
      <c r="AB231" s="451"/>
      <c r="AC231" s="450"/>
      <c r="AD231" s="449"/>
      <c r="AE231" s="451"/>
      <c r="AF231" s="450"/>
      <c r="AG231" s="449"/>
      <c r="AH231" s="451"/>
      <c r="AI231" s="450"/>
      <c r="AJ231" s="449"/>
      <c r="AK231" s="451"/>
      <c r="AL231" s="450"/>
      <c r="AM231" s="449"/>
      <c r="AN231" s="451"/>
      <c r="AO231" s="450"/>
      <c r="AP231" s="449"/>
      <c r="AQ231" s="451"/>
      <c r="AR231" s="449"/>
      <c r="AS231" s="449"/>
      <c r="AT231" s="451"/>
      <c r="AU231" s="449"/>
      <c r="AV231" s="451"/>
      <c r="AW231" s="449"/>
      <c r="AX231" s="449"/>
      <c r="AY231" s="449"/>
      <c r="AZ231" s="449"/>
      <c r="BA231" s="449"/>
      <c r="BB231" s="449"/>
      <c r="BC231" s="449"/>
      <c r="BD231" s="449"/>
      <c r="BE231" s="449"/>
      <c r="BF231" s="449"/>
      <c r="BG231" s="449"/>
      <c r="BH231" s="449"/>
      <c r="BI231" s="449"/>
      <c r="BJ231" s="449"/>
      <c r="BK231" s="449"/>
      <c r="BL231" s="449"/>
      <c r="BM231" s="449"/>
      <c r="BN231" s="449"/>
    </row>
    <row r="232" spans="1:66" ht="13.15" x14ac:dyDescent="0.4">
      <c r="A232" s="469" t="s">
        <v>799</v>
      </c>
      <c r="B232" s="430" t="s">
        <v>412</v>
      </c>
      <c r="C232" s="463">
        <v>44392</v>
      </c>
      <c r="D232" s="430" t="s">
        <v>66</v>
      </c>
      <c r="E232" s="430">
        <v>30</v>
      </c>
      <c r="F232" s="430">
        <v>40</v>
      </c>
      <c r="G232" s="430" t="s">
        <v>114</v>
      </c>
      <c r="H232" s="461" t="s">
        <v>558</v>
      </c>
      <c r="I232" s="438" t="s">
        <v>45</v>
      </c>
      <c r="J232" s="438">
        <v>3</v>
      </c>
      <c r="K232" s="438" t="s">
        <v>595</v>
      </c>
      <c r="L232" s="430" t="str">
        <f t="shared" si="54"/>
        <v>44392S-6241</v>
      </c>
      <c r="M232" s="430" t="s">
        <v>712</v>
      </c>
      <c r="N232" s="461">
        <v>114.45</v>
      </c>
      <c r="O232" s="461">
        <v>299.2</v>
      </c>
      <c r="P232" s="430">
        <f t="shared" si="46"/>
        <v>175</v>
      </c>
      <c r="Q232" s="430" t="str">
        <f t="shared" si="47"/>
        <v/>
      </c>
      <c r="R232" s="430" t="str">
        <f t="shared" si="48"/>
        <v/>
      </c>
      <c r="S232" s="430" t="str">
        <f t="shared" si="49"/>
        <v/>
      </c>
      <c r="T232" s="430" t="str">
        <f t="shared" si="50"/>
        <v/>
      </c>
      <c r="U232" s="430" t="str">
        <f t="shared" si="51"/>
        <v/>
      </c>
      <c r="V232" s="430" t="str">
        <f t="shared" si="52"/>
        <v/>
      </c>
      <c r="W232" s="430">
        <f t="shared" si="53"/>
        <v>1500</v>
      </c>
      <c r="X232" s="449"/>
      <c r="Z232" s="450"/>
      <c r="AA232" s="449"/>
      <c r="AB232" s="451"/>
      <c r="AC232" s="450"/>
      <c r="AD232" s="449"/>
      <c r="AE232" s="451"/>
      <c r="AF232" s="450"/>
      <c r="AG232" s="449"/>
      <c r="AH232" s="451"/>
      <c r="AI232" s="450"/>
      <c r="AJ232" s="449"/>
      <c r="AK232" s="451"/>
      <c r="AL232" s="450"/>
      <c r="AM232" s="449"/>
      <c r="AN232" s="451"/>
      <c r="AO232" s="450"/>
      <c r="AP232" s="449"/>
      <c r="AQ232" s="451"/>
      <c r="AR232" s="449"/>
      <c r="AS232" s="449"/>
      <c r="AT232" s="451"/>
      <c r="AU232" s="449"/>
      <c r="AV232" s="451"/>
      <c r="AW232" s="449"/>
      <c r="AX232" s="449"/>
      <c r="AY232" s="449"/>
      <c r="AZ232" s="449"/>
      <c r="BA232" s="449"/>
      <c r="BB232" s="449"/>
      <c r="BC232" s="449"/>
      <c r="BD232" s="449"/>
      <c r="BE232" s="449"/>
      <c r="BF232" s="449"/>
      <c r="BG232" s="449"/>
      <c r="BH232" s="449"/>
      <c r="BI232" s="449"/>
      <c r="BJ232" s="449"/>
      <c r="BK232" s="449"/>
      <c r="BL232" s="449"/>
      <c r="BM232" s="449"/>
      <c r="BN232" s="449"/>
    </row>
    <row r="233" spans="1:66" ht="13.15" x14ac:dyDescent="0.4">
      <c r="A233" s="469" t="s">
        <v>801</v>
      </c>
      <c r="B233" s="430" t="s">
        <v>800</v>
      </c>
      <c r="C233" s="463">
        <v>44392</v>
      </c>
      <c r="D233" s="430" t="s">
        <v>66</v>
      </c>
      <c r="E233" s="430">
        <v>21</v>
      </c>
      <c r="F233" s="430">
        <v>29</v>
      </c>
      <c r="G233" s="430" t="s">
        <v>253</v>
      </c>
      <c r="H233" s="461" t="s">
        <v>558</v>
      </c>
      <c r="I233" s="438" t="s">
        <v>45</v>
      </c>
      <c r="J233" s="438">
        <v>2</v>
      </c>
      <c r="K233" s="438" t="s">
        <v>84</v>
      </c>
      <c r="L233" s="430" t="str">
        <f t="shared" si="54"/>
        <v>44392S-14049</v>
      </c>
      <c r="M233" s="430" t="s">
        <v>46</v>
      </c>
      <c r="N233" s="461">
        <v>11.39</v>
      </c>
      <c r="O233" s="461">
        <v>193.8</v>
      </c>
      <c r="P233" s="430">
        <f t="shared" si="46"/>
        <v>125</v>
      </c>
      <c r="Q233" s="430" t="str">
        <f t="shared" si="47"/>
        <v/>
      </c>
      <c r="R233" s="430" t="str">
        <f t="shared" si="48"/>
        <v/>
      </c>
      <c r="S233" s="430" t="str">
        <f t="shared" si="49"/>
        <v/>
      </c>
      <c r="T233" s="430" t="str">
        <f t="shared" si="50"/>
        <v/>
      </c>
      <c r="U233" s="430" t="str">
        <f t="shared" si="51"/>
        <v/>
      </c>
      <c r="V233" s="430" t="str">
        <f t="shared" si="52"/>
        <v/>
      </c>
      <c r="W233" s="430">
        <f t="shared" si="53"/>
        <v>762</v>
      </c>
      <c r="X233" s="449"/>
      <c r="Z233" s="450"/>
      <c r="AA233" s="449"/>
      <c r="AB233" s="451"/>
      <c r="AC233" s="450"/>
      <c r="AD233" s="449"/>
      <c r="AE233" s="451"/>
      <c r="AF233" s="450"/>
      <c r="AG233" s="449"/>
      <c r="AH233" s="451"/>
      <c r="AI233" s="450"/>
      <c r="AJ233" s="449"/>
      <c r="AK233" s="451"/>
      <c r="AL233" s="450"/>
      <c r="AM233" s="449"/>
      <c r="AN233" s="451"/>
      <c r="AO233" s="450"/>
      <c r="AP233" s="449"/>
      <c r="AQ233" s="451"/>
      <c r="AR233" s="449"/>
      <c r="AS233" s="449"/>
      <c r="AT233" s="451"/>
      <c r="AU233" s="449"/>
      <c r="AV233" s="451"/>
      <c r="AW233" s="449"/>
      <c r="AX233" s="449"/>
      <c r="AY233" s="449"/>
      <c r="AZ233" s="449"/>
      <c r="BA233" s="449"/>
      <c r="BB233" s="449"/>
      <c r="BC233" s="449"/>
      <c r="BD233" s="449"/>
      <c r="BE233" s="449"/>
      <c r="BF233" s="449"/>
      <c r="BG233" s="449"/>
      <c r="BH233" s="449"/>
      <c r="BI233" s="449"/>
      <c r="BJ233" s="449"/>
      <c r="BK233" s="449"/>
      <c r="BL233" s="449"/>
      <c r="BM233" s="449"/>
      <c r="BN233" s="449"/>
    </row>
    <row r="234" spans="1:66" ht="13.15" x14ac:dyDescent="0.4">
      <c r="A234" s="469" t="s">
        <v>242</v>
      </c>
      <c r="B234" s="430" t="s">
        <v>802</v>
      </c>
      <c r="C234" s="463">
        <v>44392</v>
      </c>
      <c r="D234" s="430" t="s">
        <v>66</v>
      </c>
      <c r="E234" s="430">
        <v>18</v>
      </c>
      <c r="F234" s="430">
        <v>29</v>
      </c>
      <c r="G234" s="430" t="s">
        <v>161</v>
      </c>
      <c r="H234" s="461" t="s">
        <v>558</v>
      </c>
      <c r="I234" s="438" t="s">
        <v>45</v>
      </c>
      <c r="J234" s="438">
        <v>2</v>
      </c>
      <c r="K234" s="438" t="s">
        <v>77</v>
      </c>
      <c r="L234" s="430" t="str">
        <f t="shared" si="54"/>
        <v>44392S-14048</v>
      </c>
      <c r="M234" s="430" t="s">
        <v>46</v>
      </c>
      <c r="N234" s="461">
        <v>11.39</v>
      </c>
      <c r="O234" s="461">
        <v>181.05</v>
      </c>
      <c r="P234" s="430">
        <f t="shared" si="46"/>
        <v>117.5</v>
      </c>
      <c r="Q234" s="430" t="str">
        <f t="shared" si="47"/>
        <v/>
      </c>
      <c r="R234" s="430" t="str">
        <f t="shared" si="48"/>
        <v/>
      </c>
      <c r="S234" s="430" t="str">
        <f t="shared" si="49"/>
        <v/>
      </c>
      <c r="T234" s="430" t="str">
        <f t="shared" si="50"/>
        <v/>
      </c>
      <c r="U234" s="430" t="str">
        <f t="shared" si="51"/>
        <v/>
      </c>
      <c r="V234" s="430" t="str">
        <f t="shared" si="52"/>
        <v/>
      </c>
      <c r="W234" s="430">
        <f t="shared" si="53"/>
        <v>653</v>
      </c>
      <c r="X234" s="449"/>
      <c r="Z234" s="450"/>
      <c r="AA234" s="449"/>
      <c r="AB234" s="451"/>
      <c r="AC234" s="450"/>
      <c r="AD234" s="449"/>
      <c r="AE234" s="451"/>
      <c r="AF234" s="450"/>
      <c r="AG234" s="449"/>
      <c r="AH234" s="451"/>
      <c r="AI234" s="450"/>
      <c r="AJ234" s="449"/>
      <c r="AK234" s="451"/>
      <c r="AL234" s="450"/>
      <c r="AM234" s="449"/>
      <c r="AN234" s="451"/>
      <c r="AO234" s="450"/>
      <c r="AP234" s="449"/>
      <c r="AQ234" s="451"/>
      <c r="AR234" s="449"/>
      <c r="AS234" s="449"/>
      <c r="AT234" s="451"/>
      <c r="AU234" s="449"/>
      <c r="AV234" s="451"/>
      <c r="AW234" s="449"/>
      <c r="AX234" s="449"/>
      <c r="AY234" s="449"/>
      <c r="AZ234" s="449"/>
      <c r="BA234" s="449"/>
      <c r="BB234" s="449"/>
      <c r="BC234" s="449"/>
      <c r="BD234" s="449"/>
      <c r="BE234" s="449"/>
      <c r="BF234" s="449"/>
      <c r="BG234" s="449"/>
      <c r="BH234" s="449"/>
      <c r="BI234" s="449"/>
      <c r="BJ234" s="449"/>
      <c r="BK234" s="449"/>
      <c r="BL234" s="449"/>
      <c r="BM234" s="449"/>
      <c r="BN234" s="449"/>
    </row>
    <row r="235" spans="1:66" ht="13.15" x14ac:dyDescent="0.4">
      <c r="A235" s="469" t="s">
        <v>436</v>
      </c>
      <c r="B235" s="430" t="s">
        <v>803</v>
      </c>
      <c r="C235" s="463">
        <v>44392</v>
      </c>
      <c r="D235" s="430" t="s">
        <v>66</v>
      </c>
      <c r="E235" s="430">
        <v>15</v>
      </c>
      <c r="F235" s="430">
        <v>21</v>
      </c>
      <c r="G235" s="430" t="s">
        <v>160</v>
      </c>
      <c r="H235" s="461" t="s">
        <v>558</v>
      </c>
      <c r="I235" s="438" t="s">
        <v>45</v>
      </c>
      <c r="J235" s="438">
        <v>2</v>
      </c>
      <c r="K235" s="438" t="s">
        <v>77</v>
      </c>
      <c r="L235" s="430" t="str">
        <f t="shared" si="54"/>
        <v>44392S-14048</v>
      </c>
      <c r="M235" s="430" t="s">
        <v>46</v>
      </c>
      <c r="N235" s="461">
        <v>11.39</v>
      </c>
      <c r="O235" s="461">
        <v>134.30000000000001</v>
      </c>
      <c r="P235" s="430">
        <f t="shared" si="46"/>
        <v>90</v>
      </c>
      <c r="Q235" s="430" t="str">
        <f t="shared" si="47"/>
        <v/>
      </c>
      <c r="R235" s="430" t="str">
        <f t="shared" si="48"/>
        <v/>
      </c>
      <c r="S235" s="430" t="str">
        <f t="shared" si="49"/>
        <v/>
      </c>
      <c r="T235" s="430" t="str">
        <f t="shared" si="50"/>
        <v/>
      </c>
      <c r="U235" s="430" t="str">
        <f t="shared" si="51"/>
        <v/>
      </c>
      <c r="V235" s="430" t="str">
        <f t="shared" si="52"/>
        <v/>
      </c>
      <c r="W235" s="430">
        <f t="shared" si="53"/>
        <v>394</v>
      </c>
      <c r="X235" s="449"/>
      <c r="Z235" s="450"/>
      <c r="AA235" s="449"/>
      <c r="AB235" s="451"/>
      <c r="AC235" s="450"/>
      <c r="AD235" s="449"/>
      <c r="AE235" s="451"/>
      <c r="AF235" s="450"/>
      <c r="AG235" s="449"/>
      <c r="AH235" s="451"/>
      <c r="AI235" s="450"/>
      <c r="AJ235" s="449"/>
      <c r="AK235" s="451"/>
      <c r="AL235" s="450"/>
      <c r="AM235" s="449"/>
      <c r="AN235" s="451"/>
      <c r="AO235" s="450"/>
      <c r="AP235" s="449"/>
      <c r="AQ235" s="451"/>
      <c r="AR235" s="449"/>
      <c r="AS235" s="449"/>
      <c r="AT235" s="451"/>
      <c r="AU235" s="449"/>
      <c r="AV235" s="451"/>
      <c r="AW235" s="449"/>
      <c r="AX235" s="449"/>
      <c r="AY235" s="449"/>
      <c r="AZ235" s="449"/>
      <c r="BA235" s="449"/>
      <c r="BB235" s="449"/>
      <c r="BC235" s="449"/>
      <c r="BD235" s="449"/>
      <c r="BE235" s="449"/>
      <c r="BF235" s="449"/>
      <c r="BG235" s="449"/>
      <c r="BH235" s="449"/>
      <c r="BI235" s="449"/>
      <c r="BJ235" s="449"/>
      <c r="BK235" s="449"/>
      <c r="BL235" s="449"/>
      <c r="BM235" s="449"/>
      <c r="BN235" s="449"/>
    </row>
    <row r="236" spans="1:66" ht="13.15" x14ac:dyDescent="0.4">
      <c r="A236" s="469" t="s">
        <v>625</v>
      </c>
      <c r="B236" s="430" t="s">
        <v>804</v>
      </c>
      <c r="C236" s="463">
        <v>44392</v>
      </c>
      <c r="D236" s="430" t="s">
        <v>66</v>
      </c>
      <c r="E236" s="430">
        <v>24</v>
      </c>
      <c r="F236" s="430">
        <v>33</v>
      </c>
      <c r="G236" s="430" t="str">
        <f t="shared" ref="G236:G315" si="67">E236&amp;" x "&amp;F236</f>
        <v>24 x 33</v>
      </c>
      <c r="H236" s="461" t="s">
        <v>1</v>
      </c>
      <c r="I236" s="438" t="s">
        <v>207</v>
      </c>
      <c r="J236" s="438">
        <v>18</v>
      </c>
      <c r="K236" s="438" t="s">
        <v>583</v>
      </c>
      <c r="L236" s="430" t="str">
        <f t="shared" si="54"/>
        <v>44392S-4679</v>
      </c>
      <c r="M236" s="430" t="s">
        <v>46</v>
      </c>
      <c r="N236" s="461">
        <v>38.340000000000003</v>
      </c>
      <c r="O236" s="461">
        <v>544</v>
      </c>
      <c r="P236" s="430">
        <f t="shared" si="46"/>
        <v>142.5</v>
      </c>
      <c r="Q236" s="430" t="str">
        <f t="shared" si="47"/>
        <v/>
      </c>
      <c r="R236" s="430" t="str">
        <f t="shared" si="48"/>
        <v/>
      </c>
      <c r="S236" s="430">
        <f t="shared" si="49"/>
        <v>152.5</v>
      </c>
      <c r="T236" s="430" t="str">
        <f t="shared" si="50"/>
        <v/>
      </c>
      <c r="U236" s="430" t="str">
        <f t="shared" si="51"/>
        <v/>
      </c>
      <c r="V236" s="430" t="str">
        <f t="shared" si="52"/>
        <v/>
      </c>
      <c r="W236" s="430">
        <f t="shared" si="53"/>
        <v>990</v>
      </c>
      <c r="X236" s="449"/>
      <c r="Z236" s="450"/>
      <c r="AA236" s="449"/>
      <c r="AB236" s="451"/>
      <c r="AC236" s="450"/>
      <c r="AD236" s="449"/>
      <c r="AE236" s="451"/>
      <c r="AF236" s="450"/>
      <c r="AG236" s="449"/>
      <c r="AH236" s="451"/>
      <c r="AI236" s="450"/>
      <c r="AJ236" s="449"/>
      <c r="AK236" s="451"/>
      <c r="AL236" s="450"/>
      <c r="AM236" s="449"/>
      <c r="AN236" s="451"/>
      <c r="AO236" s="450"/>
      <c r="AP236" s="449"/>
      <c r="AQ236" s="451"/>
      <c r="AR236" s="449"/>
      <c r="AS236" s="449"/>
      <c r="AT236" s="451"/>
      <c r="AU236" s="449"/>
      <c r="AV236" s="451"/>
      <c r="AW236" s="449"/>
      <c r="AX236" s="449"/>
      <c r="AY236" s="449"/>
      <c r="AZ236" s="449"/>
      <c r="BA236" s="449"/>
      <c r="BB236" s="449"/>
      <c r="BC236" s="449"/>
      <c r="BD236" s="449"/>
      <c r="BE236" s="449"/>
      <c r="BF236" s="449"/>
      <c r="BG236" s="449"/>
      <c r="BH236" s="449"/>
      <c r="BI236" s="449"/>
      <c r="BJ236" s="449"/>
      <c r="BK236" s="449"/>
      <c r="BL236" s="449"/>
      <c r="BM236" s="449"/>
      <c r="BN236" s="449"/>
    </row>
    <row r="237" spans="1:66" ht="13.15" x14ac:dyDescent="0.4">
      <c r="A237" s="469" t="s">
        <v>806</v>
      </c>
      <c r="B237" s="430" t="s">
        <v>805</v>
      </c>
      <c r="C237" s="463">
        <v>44392</v>
      </c>
      <c r="D237" s="430" t="s">
        <v>66</v>
      </c>
      <c r="E237" s="430">
        <v>24</v>
      </c>
      <c r="F237" s="430">
        <v>43</v>
      </c>
      <c r="G237" s="430" t="str">
        <f t="shared" si="67"/>
        <v>24 x 43</v>
      </c>
      <c r="H237" s="461" t="s">
        <v>50</v>
      </c>
      <c r="I237" s="438" t="s">
        <v>256</v>
      </c>
      <c r="J237" s="438">
        <v>22</v>
      </c>
      <c r="K237" s="438" t="s">
        <v>553</v>
      </c>
      <c r="L237" s="430" t="str">
        <f t="shared" si="54"/>
        <v>44392S-11251</v>
      </c>
      <c r="M237" s="430" t="s">
        <v>46</v>
      </c>
      <c r="N237" s="461">
        <v>166.54</v>
      </c>
      <c r="O237" s="461">
        <v>331.5</v>
      </c>
      <c r="P237" s="430">
        <f t="shared" si="46"/>
        <v>167.5</v>
      </c>
      <c r="Q237" s="430" t="str">
        <f t="shared" si="47"/>
        <v/>
      </c>
      <c r="R237" s="430" t="str">
        <f t="shared" si="48"/>
        <v/>
      </c>
      <c r="S237" s="430" t="str">
        <f t="shared" si="49"/>
        <v/>
      </c>
      <c r="T237" s="430" t="str">
        <f t="shared" si="50"/>
        <v/>
      </c>
      <c r="U237" s="430" t="str">
        <f t="shared" si="51"/>
        <v/>
      </c>
      <c r="V237" s="430" t="str">
        <f t="shared" si="52"/>
        <v/>
      </c>
      <c r="W237" s="430">
        <f t="shared" si="53"/>
        <v>1290</v>
      </c>
      <c r="X237" s="449"/>
      <c r="Z237" s="450"/>
      <c r="AA237" s="449"/>
      <c r="AB237" s="451"/>
      <c r="AC237" s="450"/>
      <c r="AD237" s="449"/>
      <c r="AE237" s="451"/>
      <c r="AF237" s="450"/>
      <c r="AG237" s="449"/>
      <c r="AH237" s="451"/>
      <c r="AI237" s="450"/>
      <c r="AJ237" s="449"/>
      <c r="AK237" s="451"/>
      <c r="AL237" s="450"/>
      <c r="AM237" s="449"/>
      <c r="AN237" s="451"/>
      <c r="AO237" s="450"/>
      <c r="AP237" s="449"/>
      <c r="AQ237" s="451"/>
      <c r="AR237" s="449"/>
      <c r="AS237" s="449"/>
      <c r="AT237" s="451"/>
      <c r="AU237" s="449"/>
      <c r="AV237" s="451"/>
      <c r="AW237" s="449"/>
      <c r="AX237" s="449"/>
      <c r="AY237" s="449"/>
      <c r="AZ237" s="449"/>
      <c r="BA237" s="449"/>
      <c r="BB237" s="449"/>
      <c r="BC237" s="449"/>
      <c r="BD237" s="449"/>
      <c r="BE237" s="449"/>
      <c r="BF237" s="449"/>
      <c r="BG237" s="449"/>
      <c r="BH237" s="449"/>
      <c r="BI237" s="449"/>
      <c r="BJ237" s="449"/>
      <c r="BK237" s="449"/>
      <c r="BL237" s="449"/>
      <c r="BM237" s="449"/>
      <c r="BN237" s="449"/>
    </row>
    <row r="238" spans="1:66" ht="13.15" x14ac:dyDescent="0.4">
      <c r="A238" s="469" t="s">
        <v>808</v>
      </c>
      <c r="B238" s="430" t="s">
        <v>807</v>
      </c>
      <c r="C238" s="463">
        <v>44392</v>
      </c>
      <c r="D238" s="430" t="s">
        <v>66</v>
      </c>
      <c r="E238" s="430">
        <v>25</v>
      </c>
      <c r="F238" s="430">
        <v>50</v>
      </c>
      <c r="G238" s="430" t="str">
        <f t="shared" si="67"/>
        <v>25 x 50</v>
      </c>
      <c r="H238" s="461" t="s">
        <v>50</v>
      </c>
      <c r="I238" s="438" t="s">
        <v>257</v>
      </c>
      <c r="J238" s="438">
        <v>25</v>
      </c>
      <c r="K238" s="438" t="s">
        <v>553</v>
      </c>
      <c r="L238" s="430" t="str">
        <f t="shared" si="54"/>
        <v>44392S-11251</v>
      </c>
      <c r="M238" s="430" t="s">
        <v>46</v>
      </c>
      <c r="N238" s="461">
        <v>153.6</v>
      </c>
      <c r="O238" s="461">
        <v>374</v>
      </c>
      <c r="P238" s="430">
        <f t="shared" si="46"/>
        <v>187.5</v>
      </c>
      <c r="Q238" s="430" t="str">
        <f t="shared" si="47"/>
        <v/>
      </c>
      <c r="R238" s="430" t="str">
        <f t="shared" si="48"/>
        <v/>
      </c>
      <c r="S238" s="430" t="str">
        <f t="shared" si="49"/>
        <v/>
      </c>
      <c r="T238" s="430" t="str">
        <f t="shared" si="50"/>
        <v/>
      </c>
      <c r="U238" s="430" t="str">
        <f t="shared" si="51"/>
        <v/>
      </c>
      <c r="V238" s="430" t="str">
        <f t="shared" si="52"/>
        <v/>
      </c>
      <c r="W238" s="430">
        <f t="shared" si="53"/>
        <v>1563</v>
      </c>
      <c r="X238" s="449"/>
      <c r="Z238" s="450"/>
      <c r="AA238" s="449"/>
      <c r="AB238" s="451"/>
      <c r="AC238" s="450"/>
      <c r="AD238" s="449"/>
      <c r="AE238" s="451"/>
      <c r="AF238" s="450"/>
      <c r="AG238" s="449"/>
      <c r="AH238" s="451"/>
      <c r="AI238" s="450"/>
      <c r="AJ238" s="449"/>
      <c r="AK238" s="451"/>
      <c r="AL238" s="450"/>
      <c r="AM238" s="449"/>
      <c r="AN238" s="451"/>
      <c r="AO238" s="450"/>
      <c r="AP238" s="449"/>
      <c r="AQ238" s="451"/>
      <c r="AR238" s="449"/>
      <c r="AS238" s="449"/>
      <c r="AT238" s="451"/>
      <c r="AU238" s="449"/>
      <c r="AV238" s="451"/>
      <c r="AW238" s="449"/>
      <c r="AX238" s="449"/>
      <c r="AY238" s="449"/>
      <c r="AZ238" s="449"/>
      <c r="BA238" s="449"/>
      <c r="BB238" s="449"/>
      <c r="BC238" s="449"/>
      <c r="BD238" s="449"/>
      <c r="BE238" s="449"/>
      <c r="BF238" s="449"/>
      <c r="BG238" s="449"/>
      <c r="BH238" s="449"/>
      <c r="BI238" s="449"/>
      <c r="BJ238" s="449"/>
      <c r="BK238" s="449"/>
      <c r="BL238" s="449"/>
      <c r="BM238" s="449"/>
      <c r="BN238" s="449"/>
    </row>
    <row r="239" spans="1:66" ht="13.15" x14ac:dyDescent="0.4">
      <c r="A239" s="469" t="s">
        <v>810</v>
      </c>
      <c r="B239" s="430" t="s">
        <v>809</v>
      </c>
      <c r="C239" s="463">
        <v>44392</v>
      </c>
      <c r="D239" s="430" t="s">
        <v>66</v>
      </c>
      <c r="E239" s="430">
        <v>27</v>
      </c>
      <c r="F239" s="430">
        <v>38</v>
      </c>
      <c r="G239" s="430" t="str">
        <f t="shared" si="67"/>
        <v>27 x 38</v>
      </c>
      <c r="H239" s="461" t="s">
        <v>50</v>
      </c>
      <c r="I239" s="438" t="s">
        <v>258</v>
      </c>
      <c r="J239" s="438">
        <v>15</v>
      </c>
      <c r="K239" s="438" t="s">
        <v>586</v>
      </c>
      <c r="L239" s="430" t="str">
        <f t="shared" si="54"/>
        <v>44392S-4929</v>
      </c>
      <c r="M239" s="430" t="s">
        <v>46</v>
      </c>
      <c r="N239" s="461">
        <v>153.59</v>
      </c>
      <c r="O239" s="461">
        <v>330.65</v>
      </c>
      <c r="P239" s="430">
        <f t="shared" si="46"/>
        <v>162.5</v>
      </c>
      <c r="Q239" s="430" t="str">
        <f t="shared" si="47"/>
        <v/>
      </c>
      <c r="R239" s="430" t="str">
        <f t="shared" si="48"/>
        <v/>
      </c>
      <c r="S239" s="430" t="str">
        <f t="shared" si="49"/>
        <v/>
      </c>
      <c r="T239" s="430" t="str">
        <f t="shared" si="50"/>
        <v/>
      </c>
      <c r="U239" s="430" t="str">
        <f t="shared" si="51"/>
        <v/>
      </c>
      <c r="V239" s="430" t="str">
        <f t="shared" si="52"/>
        <v/>
      </c>
      <c r="W239" s="430">
        <f t="shared" si="53"/>
        <v>1283</v>
      </c>
      <c r="X239" s="449"/>
      <c r="Z239" s="450"/>
      <c r="AA239" s="449"/>
      <c r="AB239" s="451"/>
      <c r="AC239" s="450"/>
      <c r="AD239" s="449"/>
      <c r="AE239" s="451"/>
      <c r="AF239" s="450"/>
      <c r="AG239" s="449"/>
      <c r="AH239" s="451"/>
      <c r="AI239" s="450"/>
      <c r="AJ239" s="449"/>
      <c r="AK239" s="451"/>
      <c r="AL239" s="450"/>
      <c r="AM239" s="449"/>
      <c r="AN239" s="451"/>
      <c r="AO239" s="450"/>
      <c r="AP239" s="449"/>
      <c r="AQ239" s="451"/>
      <c r="AR239" s="449"/>
      <c r="AS239" s="449"/>
      <c r="AT239" s="451"/>
      <c r="AU239" s="449"/>
      <c r="AV239" s="451"/>
      <c r="AW239" s="449"/>
      <c r="AX239" s="449"/>
      <c r="AY239" s="449"/>
      <c r="AZ239" s="449"/>
      <c r="BA239" s="449"/>
      <c r="BB239" s="449"/>
      <c r="BC239" s="449"/>
      <c r="BD239" s="449"/>
      <c r="BE239" s="449"/>
      <c r="BF239" s="449"/>
      <c r="BG239" s="449"/>
      <c r="BH239" s="449"/>
      <c r="BI239" s="449"/>
      <c r="BJ239" s="449"/>
      <c r="BK239" s="449"/>
      <c r="BL239" s="449"/>
      <c r="BM239" s="449"/>
      <c r="BN239" s="449"/>
    </row>
    <row r="240" spans="1:66" ht="13.15" x14ac:dyDescent="0.4">
      <c r="A240" s="469" t="s">
        <v>765</v>
      </c>
      <c r="B240" s="430" t="s">
        <v>811</v>
      </c>
      <c r="C240" s="463">
        <v>44392</v>
      </c>
      <c r="D240" s="430" t="s">
        <v>66</v>
      </c>
      <c r="E240" s="430">
        <v>15</v>
      </c>
      <c r="F240" s="430">
        <v>19</v>
      </c>
      <c r="G240" s="430" t="str">
        <f t="shared" si="67"/>
        <v>15 x 19</v>
      </c>
      <c r="H240" s="461" t="s">
        <v>51</v>
      </c>
      <c r="I240" s="438" t="s">
        <v>193</v>
      </c>
      <c r="J240" s="438">
        <v>8</v>
      </c>
      <c r="K240" s="438" t="s">
        <v>577</v>
      </c>
      <c r="L240" s="430" t="str">
        <f t="shared" si="54"/>
        <v>44392S-4553</v>
      </c>
      <c r="M240" s="430" t="s">
        <v>46</v>
      </c>
      <c r="N240" s="461">
        <v>18.72</v>
      </c>
      <c r="O240" s="461">
        <v>218.45</v>
      </c>
      <c r="P240" s="430">
        <f t="shared" si="46"/>
        <v>85</v>
      </c>
      <c r="Q240" s="430" t="str">
        <f t="shared" si="47"/>
        <v/>
      </c>
      <c r="R240" s="430" t="str">
        <f t="shared" si="48"/>
        <v/>
      </c>
      <c r="S240" s="430" t="str">
        <f t="shared" si="49"/>
        <v/>
      </c>
      <c r="T240" s="430">
        <f t="shared" si="50"/>
        <v>95</v>
      </c>
      <c r="U240" s="430" t="str">
        <f t="shared" si="51"/>
        <v/>
      </c>
      <c r="V240" s="430" t="str">
        <f t="shared" si="52"/>
        <v/>
      </c>
      <c r="W240" s="430">
        <f t="shared" si="53"/>
        <v>357</v>
      </c>
      <c r="X240" s="449"/>
      <c r="Z240" s="450"/>
      <c r="AA240" s="449"/>
      <c r="AB240" s="451"/>
      <c r="AC240" s="450"/>
      <c r="AD240" s="449"/>
      <c r="AE240" s="451"/>
      <c r="AF240" s="450"/>
      <c r="AG240" s="449"/>
      <c r="AH240" s="451"/>
      <c r="AI240" s="450"/>
      <c r="AJ240" s="449"/>
      <c r="AK240" s="451"/>
      <c r="AL240" s="450"/>
      <c r="AM240" s="449"/>
      <c r="AN240" s="451"/>
      <c r="AO240" s="450"/>
      <c r="AP240" s="449"/>
      <c r="AQ240" s="451"/>
      <c r="AR240" s="449"/>
      <c r="AS240" s="449"/>
      <c r="AT240" s="451"/>
      <c r="AU240" s="449"/>
      <c r="AV240" s="451"/>
      <c r="AW240" s="449"/>
      <c r="AX240" s="449"/>
      <c r="AY240" s="449"/>
      <c r="AZ240" s="449"/>
      <c r="BA240" s="449"/>
      <c r="BB240" s="449"/>
      <c r="BC240" s="449"/>
      <c r="BD240" s="449"/>
      <c r="BE240" s="449"/>
      <c r="BF240" s="449"/>
      <c r="BG240" s="449"/>
      <c r="BH240" s="449"/>
      <c r="BI240" s="449"/>
      <c r="BJ240" s="449"/>
      <c r="BK240" s="449"/>
      <c r="BL240" s="449"/>
      <c r="BM240" s="449"/>
      <c r="BN240" s="449"/>
    </row>
    <row r="241" spans="1:66" ht="13.15" x14ac:dyDescent="0.4">
      <c r="A241" s="469" t="s">
        <v>813</v>
      </c>
      <c r="B241" s="430" t="s">
        <v>812</v>
      </c>
      <c r="C241" s="463">
        <v>44392</v>
      </c>
      <c r="D241" s="430" t="s">
        <v>66</v>
      </c>
      <c r="E241" s="430">
        <v>24</v>
      </c>
      <c r="F241" s="430">
        <v>36</v>
      </c>
      <c r="G241" s="430" t="str">
        <f t="shared" si="67"/>
        <v>24 x 36</v>
      </c>
      <c r="H241" s="461" t="s">
        <v>51</v>
      </c>
      <c r="I241" s="438" t="str">
        <f t="shared" ref="I241:I245" si="68">E241+2&amp;" x "&amp;F241+2</f>
        <v>26 x 38</v>
      </c>
      <c r="J241" s="438">
        <v>18</v>
      </c>
      <c r="K241" s="438" t="s">
        <v>583</v>
      </c>
      <c r="L241" s="430" t="str">
        <f t="shared" si="54"/>
        <v>44392S-4679</v>
      </c>
      <c r="M241" s="430" t="s">
        <v>46</v>
      </c>
      <c r="N241" s="461">
        <v>40.49</v>
      </c>
      <c r="O241" s="461">
        <v>572</v>
      </c>
      <c r="P241" s="430">
        <f t="shared" si="46"/>
        <v>150</v>
      </c>
      <c r="Q241" s="430" t="str">
        <f t="shared" si="47"/>
        <v/>
      </c>
      <c r="R241" s="430" t="str">
        <f t="shared" si="48"/>
        <v/>
      </c>
      <c r="S241" s="430" t="str">
        <f t="shared" si="49"/>
        <v/>
      </c>
      <c r="T241" s="430">
        <f t="shared" si="50"/>
        <v>160</v>
      </c>
      <c r="U241" s="430" t="str">
        <f t="shared" si="51"/>
        <v/>
      </c>
      <c r="V241" s="430" t="str">
        <f t="shared" si="52"/>
        <v/>
      </c>
      <c r="W241" s="430">
        <f t="shared" si="53"/>
        <v>1080</v>
      </c>
      <c r="X241" s="449"/>
      <c r="Z241" s="450"/>
      <c r="AA241" s="449"/>
      <c r="AB241" s="451"/>
      <c r="AC241" s="450"/>
      <c r="AD241" s="449"/>
      <c r="AE241" s="451"/>
      <c r="AF241" s="450"/>
      <c r="AG241" s="449"/>
      <c r="AH241" s="451"/>
      <c r="AI241" s="450"/>
      <c r="AJ241" s="449"/>
      <c r="AK241" s="451"/>
      <c r="AL241" s="450"/>
      <c r="AM241" s="449"/>
      <c r="AN241" s="451"/>
      <c r="AO241" s="450"/>
      <c r="AP241" s="449"/>
      <c r="AQ241" s="451"/>
      <c r="AR241" s="449"/>
      <c r="AS241" s="449"/>
      <c r="AT241" s="451"/>
      <c r="AU241" s="449"/>
      <c r="AV241" s="451"/>
      <c r="AW241" s="449"/>
      <c r="AX241" s="449"/>
      <c r="AY241" s="449"/>
      <c r="AZ241" s="449"/>
      <c r="BA241" s="449"/>
      <c r="BB241" s="449"/>
      <c r="BC241" s="449"/>
      <c r="BD241" s="449"/>
      <c r="BE241" s="449"/>
      <c r="BF241" s="449"/>
      <c r="BG241" s="449"/>
      <c r="BH241" s="449"/>
      <c r="BI241" s="449"/>
      <c r="BJ241" s="449"/>
      <c r="BK241" s="449"/>
      <c r="BL241" s="449"/>
      <c r="BM241" s="449"/>
      <c r="BN241" s="449"/>
    </row>
    <row r="242" spans="1:66" ht="13.15" x14ac:dyDescent="0.4">
      <c r="A242" s="469" t="s">
        <v>612</v>
      </c>
      <c r="B242" s="430" t="s">
        <v>814</v>
      </c>
      <c r="C242" s="463">
        <v>44392</v>
      </c>
      <c r="D242" s="430" t="s">
        <v>54</v>
      </c>
      <c r="E242" s="430">
        <v>32</v>
      </c>
      <c r="F242" s="430">
        <v>48</v>
      </c>
      <c r="G242" s="430" t="str">
        <f t="shared" si="67"/>
        <v>32 x 48</v>
      </c>
      <c r="H242" s="461" t="s">
        <v>1</v>
      </c>
      <c r="I242" s="438" t="str">
        <f t="shared" si="68"/>
        <v>34 x 50</v>
      </c>
      <c r="J242" s="438">
        <v>43</v>
      </c>
      <c r="K242" s="438" t="s">
        <v>492</v>
      </c>
      <c r="L242" s="430" t="str">
        <f t="shared" si="54"/>
        <v>44392S-11306</v>
      </c>
      <c r="M242" s="430" t="s">
        <v>46</v>
      </c>
      <c r="N242" s="461">
        <v>155.59</v>
      </c>
      <c r="O242" s="461">
        <v>3060</v>
      </c>
      <c r="P242" s="430" t="str">
        <f t="shared" si="46"/>
        <v/>
      </c>
      <c r="Q242" s="430" t="str">
        <f t="shared" si="47"/>
        <v/>
      </c>
      <c r="R242" s="430" t="str">
        <f t="shared" si="48"/>
        <v/>
      </c>
      <c r="S242" s="430">
        <f t="shared" si="49"/>
        <v>210</v>
      </c>
      <c r="T242" s="430" t="str">
        <f t="shared" si="50"/>
        <v/>
      </c>
      <c r="U242" s="430" t="str">
        <f t="shared" si="51"/>
        <v/>
      </c>
      <c r="V242" s="430" t="str">
        <f t="shared" si="52"/>
        <v/>
      </c>
      <c r="W242" s="430" t="str">
        <f t="shared" si="53"/>
        <v/>
      </c>
      <c r="X242" s="449"/>
      <c r="Z242" s="450"/>
      <c r="AA242" s="449"/>
      <c r="AB242" s="451"/>
      <c r="AC242" s="450"/>
      <c r="AD242" s="449"/>
      <c r="AE242" s="451"/>
      <c r="AF242" s="450"/>
      <c r="AG242" s="449"/>
      <c r="AH242" s="451"/>
      <c r="AI242" s="450"/>
      <c r="AJ242" s="449"/>
      <c r="AK242" s="451"/>
      <c r="AL242" s="450"/>
      <c r="AM242" s="449"/>
      <c r="AN242" s="451"/>
      <c r="AO242" s="450"/>
      <c r="AP242" s="449"/>
      <c r="AQ242" s="451"/>
      <c r="AR242" s="449"/>
      <c r="AS242" s="449"/>
      <c r="AT242" s="451"/>
      <c r="AU242" s="449"/>
      <c r="AV242" s="451"/>
      <c r="AW242" s="449"/>
      <c r="AX242" s="449"/>
      <c r="AY242" s="449"/>
      <c r="AZ242" s="449"/>
      <c r="BA242" s="449"/>
      <c r="BB242" s="449"/>
      <c r="BC242" s="449"/>
      <c r="BD242" s="449"/>
      <c r="BE242" s="449"/>
      <c r="BF242" s="449"/>
      <c r="BG242" s="449"/>
      <c r="BH242" s="449"/>
      <c r="BI242" s="449"/>
      <c r="BJ242" s="449"/>
      <c r="BK242" s="449"/>
      <c r="BL242" s="449"/>
      <c r="BM242" s="449"/>
      <c r="BN242" s="449"/>
    </row>
    <row r="243" spans="1:66" ht="13.15" x14ac:dyDescent="0.4">
      <c r="A243" s="468" t="s">
        <v>816</v>
      </c>
      <c r="B243" s="464" t="s">
        <v>815</v>
      </c>
      <c r="C243" s="465">
        <v>44399</v>
      </c>
      <c r="D243" s="464" t="s">
        <v>66</v>
      </c>
      <c r="E243" s="464">
        <v>20</v>
      </c>
      <c r="F243" s="464">
        <v>20</v>
      </c>
      <c r="G243" s="464" t="str">
        <f t="shared" si="67"/>
        <v>20 x 20</v>
      </c>
      <c r="H243" s="466" t="s">
        <v>5</v>
      </c>
      <c r="I243" s="446" t="str">
        <f t="shared" si="68"/>
        <v>22 x 22</v>
      </c>
      <c r="J243" s="446">
        <v>11</v>
      </c>
      <c r="K243" s="446" t="s">
        <v>580</v>
      </c>
      <c r="L243" s="464" t="str">
        <f t="shared" si="54"/>
        <v>44399S-4554</v>
      </c>
      <c r="M243" s="464" t="s">
        <v>46</v>
      </c>
      <c r="N243" s="466">
        <v>42.03</v>
      </c>
      <c r="O243" s="466">
        <v>306</v>
      </c>
      <c r="P243" s="430">
        <f t="shared" si="46"/>
        <v>100</v>
      </c>
      <c r="Q243" s="430" t="str">
        <f t="shared" si="47"/>
        <v/>
      </c>
      <c r="R243" s="430" t="str">
        <f t="shared" si="48"/>
        <v/>
      </c>
      <c r="S243" s="430" t="str">
        <f t="shared" si="49"/>
        <v/>
      </c>
      <c r="T243" s="430" t="str">
        <f t="shared" si="50"/>
        <v/>
      </c>
      <c r="U243" s="430">
        <f t="shared" si="51"/>
        <v>110</v>
      </c>
      <c r="V243" s="430" t="str">
        <f t="shared" si="52"/>
        <v/>
      </c>
      <c r="W243" s="430">
        <f t="shared" si="53"/>
        <v>500</v>
      </c>
      <c r="X243" s="449"/>
      <c r="Z243" s="450"/>
      <c r="AA243" s="449"/>
      <c r="AB243" s="451"/>
      <c r="AC243" s="450"/>
      <c r="AD243" s="449"/>
      <c r="AE243" s="451"/>
      <c r="AF243" s="450"/>
      <c r="AG243" s="449"/>
      <c r="AH243" s="451"/>
      <c r="AI243" s="450"/>
      <c r="AJ243" s="449"/>
      <c r="AK243" s="451"/>
      <c r="AL243" s="450"/>
      <c r="AM243" s="449"/>
      <c r="AN243" s="451"/>
      <c r="AO243" s="450"/>
      <c r="AP243" s="449"/>
      <c r="AQ243" s="451"/>
      <c r="AR243" s="449"/>
      <c r="AS243" s="449"/>
      <c r="AT243" s="451"/>
      <c r="AU243" s="449"/>
      <c r="AV243" s="451"/>
      <c r="AW243" s="449"/>
      <c r="AX243" s="449"/>
      <c r="AY243" s="449"/>
      <c r="AZ243" s="449"/>
      <c r="BA243" s="449"/>
      <c r="BB243" s="449"/>
      <c r="BC243" s="449"/>
      <c r="BD243" s="449"/>
      <c r="BE243" s="449"/>
      <c r="BF243" s="449"/>
      <c r="BG243" s="449"/>
      <c r="BH243" s="449"/>
      <c r="BI243" s="449"/>
      <c r="BJ243" s="449"/>
      <c r="BK243" s="449"/>
      <c r="BL243" s="449"/>
      <c r="BM243" s="449"/>
      <c r="BN243" s="449"/>
    </row>
    <row r="244" spans="1:66" ht="13.15" x14ac:dyDescent="0.4">
      <c r="A244" s="469" t="s">
        <v>68</v>
      </c>
      <c r="B244" s="430" t="s">
        <v>817</v>
      </c>
      <c r="C244" s="463">
        <v>44399</v>
      </c>
      <c r="D244" s="430" t="s">
        <v>54</v>
      </c>
      <c r="E244" s="430">
        <v>24</v>
      </c>
      <c r="F244" s="430">
        <v>48</v>
      </c>
      <c r="G244" s="430" t="str">
        <f t="shared" si="67"/>
        <v>24 x 48</v>
      </c>
      <c r="H244" s="461" t="s">
        <v>690</v>
      </c>
      <c r="I244" s="438" t="str">
        <f t="shared" si="68"/>
        <v>26 x 50</v>
      </c>
      <c r="J244" s="438">
        <v>38</v>
      </c>
      <c r="K244" s="438" t="s">
        <v>509</v>
      </c>
      <c r="L244" s="430" t="str">
        <f t="shared" si="54"/>
        <v>44399S-17587</v>
      </c>
      <c r="M244" s="430" t="s">
        <v>46</v>
      </c>
      <c r="N244" s="461">
        <v>168.64</v>
      </c>
      <c r="O244" s="461">
        <v>2500</v>
      </c>
      <c r="P244" s="430" t="str">
        <f t="shared" si="46"/>
        <v/>
      </c>
      <c r="Q244" s="430" t="str">
        <f t="shared" si="47"/>
        <v/>
      </c>
      <c r="R244" s="430">
        <f t="shared" si="48"/>
        <v>190</v>
      </c>
      <c r="S244" s="430" t="str">
        <f t="shared" si="49"/>
        <v/>
      </c>
      <c r="T244" s="430" t="str">
        <f t="shared" si="50"/>
        <v/>
      </c>
      <c r="U244" s="430" t="str">
        <f t="shared" si="51"/>
        <v/>
      </c>
      <c r="V244" s="430" t="str">
        <f t="shared" si="52"/>
        <v/>
      </c>
      <c r="W244" s="430" t="str">
        <f t="shared" si="53"/>
        <v/>
      </c>
      <c r="X244" s="449"/>
      <c r="Z244" s="450"/>
      <c r="AA244" s="449"/>
      <c r="AB244" s="451"/>
      <c r="AC244" s="450"/>
      <c r="AD244" s="449"/>
      <c r="AE244" s="451"/>
      <c r="AF244" s="450"/>
      <c r="AG244" s="449"/>
      <c r="AH244" s="451"/>
      <c r="AI244" s="450"/>
      <c r="AJ244" s="449"/>
      <c r="AK244" s="451"/>
      <c r="AL244" s="450"/>
      <c r="AM244" s="449"/>
      <c r="AN244" s="451"/>
      <c r="AO244" s="450"/>
      <c r="AP244" s="449"/>
      <c r="AQ244" s="451"/>
      <c r="AR244" s="449"/>
      <c r="AS244" s="449"/>
      <c r="AT244" s="451"/>
      <c r="AU244" s="449"/>
      <c r="AV244" s="451"/>
      <c r="AW244" s="449"/>
      <c r="AX244" s="449"/>
      <c r="AY244" s="449"/>
      <c r="AZ244" s="449"/>
      <c r="BA244" s="449"/>
      <c r="BB244" s="449"/>
      <c r="BC244" s="449"/>
      <c r="BD244" s="449"/>
      <c r="BE244" s="449"/>
      <c r="BF244" s="449"/>
      <c r="BG244" s="449"/>
      <c r="BH244" s="449"/>
      <c r="BI244" s="449"/>
      <c r="BJ244" s="449"/>
      <c r="BK244" s="449"/>
      <c r="BL244" s="449"/>
      <c r="BM244" s="449"/>
      <c r="BN244" s="449"/>
    </row>
    <row r="245" spans="1:66" ht="13.15" x14ac:dyDescent="0.4">
      <c r="A245" s="469" t="s">
        <v>395</v>
      </c>
      <c r="B245" s="430" t="s">
        <v>818</v>
      </c>
      <c r="C245" s="463">
        <v>44399</v>
      </c>
      <c r="D245" s="430" t="s">
        <v>54</v>
      </c>
      <c r="E245" s="430">
        <v>36</v>
      </c>
      <c r="F245" s="430">
        <v>50</v>
      </c>
      <c r="G245" s="430" t="str">
        <f t="shared" si="67"/>
        <v>36 x 50</v>
      </c>
      <c r="H245" s="461" t="s">
        <v>819</v>
      </c>
      <c r="I245" s="438" t="str">
        <f t="shared" si="68"/>
        <v>38 x 52</v>
      </c>
      <c r="J245" s="438">
        <v>46</v>
      </c>
      <c r="K245" s="438" t="s">
        <v>492</v>
      </c>
      <c r="L245" s="430" t="str">
        <f t="shared" si="54"/>
        <v>44399S-11306</v>
      </c>
      <c r="M245" s="430" t="s">
        <v>46</v>
      </c>
      <c r="N245" s="461">
        <v>156.41</v>
      </c>
      <c r="O245" s="461">
        <v>4300</v>
      </c>
      <c r="P245" s="430" t="str">
        <f t="shared" si="46"/>
        <v/>
      </c>
      <c r="Q245" s="430" t="str">
        <f t="shared" si="47"/>
        <v/>
      </c>
      <c r="R245" s="430" t="str">
        <f t="shared" si="48"/>
        <v/>
      </c>
      <c r="S245" s="430" t="str">
        <f t="shared" si="49"/>
        <v/>
      </c>
      <c r="T245" s="430" t="str">
        <f t="shared" si="50"/>
        <v/>
      </c>
      <c r="U245" s="430" t="str">
        <f t="shared" si="51"/>
        <v/>
      </c>
      <c r="V245" s="430" t="str">
        <f t="shared" si="52"/>
        <v/>
      </c>
      <c r="W245" s="430" t="str">
        <f t="shared" si="53"/>
        <v/>
      </c>
      <c r="X245" s="449"/>
      <c r="Z245" s="450"/>
      <c r="AA245" s="449"/>
      <c r="AB245" s="451"/>
      <c r="AC245" s="450"/>
      <c r="AD245" s="449"/>
      <c r="AE245" s="451"/>
      <c r="AF245" s="450"/>
      <c r="AG245" s="449"/>
      <c r="AH245" s="451"/>
      <c r="AI245" s="450"/>
      <c r="AJ245" s="449"/>
      <c r="AK245" s="451"/>
      <c r="AL245" s="450"/>
      <c r="AM245" s="449"/>
      <c r="AN245" s="451"/>
      <c r="AO245" s="450"/>
      <c r="AP245" s="449"/>
      <c r="AQ245" s="451"/>
      <c r="AR245" s="449"/>
      <c r="AS245" s="449"/>
      <c r="AT245" s="451"/>
      <c r="AU245" s="449"/>
      <c r="AV245" s="451"/>
      <c r="AW245" s="449"/>
      <c r="AX245" s="449"/>
      <c r="AY245" s="449"/>
      <c r="AZ245" s="449"/>
      <c r="BA245" s="449"/>
      <c r="BB245" s="449"/>
      <c r="BC245" s="449"/>
      <c r="BD245" s="449"/>
      <c r="BE245" s="449"/>
      <c r="BF245" s="449"/>
      <c r="BG245" s="449"/>
      <c r="BH245" s="449"/>
      <c r="BI245" s="449"/>
      <c r="BJ245" s="449"/>
      <c r="BK245" s="449"/>
      <c r="BL245" s="449"/>
      <c r="BM245" s="449"/>
      <c r="BN245" s="449"/>
    </row>
    <row r="246" spans="1:66" ht="13.15" x14ac:dyDescent="0.4">
      <c r="A246" s="469" t="s">
        <v>821</v>
      </c>
      <c r="B246" s="430" t="s">
        <v>820</v>
      </c>
      <c r="C246" s="463">
        <v>44399</v>
      </c>
      <c r="D246" s="430" t="s">
        <v>66</v>
      </c>
      <c r="E246" s="430">
        <v>18</v>
      </c>
      <c r="F246" s="430">
        <v>34</v>
      </c>
      <c r="G246" s="430" t="str">
        <f t="shared" si="67"/>
        <v>18 x 34</v>
      </c>
      <c r="H246" s="461" t="s">
        <v>50</v>
      </c>
      <c r="I246" s="438" t="s">
        <v>221</v>
      </c>
      <c r="J246" s="438">
        <v>13</v>
      </c>
      <c r="K246" s="438" t="s">
        <v>583</v>
      </c>
      <c r="L246" s="430" t="str">
        <f t="shared" si="54"/>
        <v>44399S-4679</v>
      </c>
      <c r="M246" s="430" t="s">
        <v>46</v>
      </c>
      <c r="N246" s="461">
        <f t="shared" ref="N246:N247" si="69">75.51/2</f>
        <v>37.755000000000003</v>
      </c>
      <c r="O246" s="461">
        <f t="shared" ref="O246:O247" si="70">489.6/2</f>
        <v>244.8</v>
      </c>
      <c r="P246" s="430">
        <f t="shared" si="46"/>
        <v>130</v>
      </c>
      <c r="Q246" s="430" t="str">
        <f t="shared" si="47"/>
        <v/>
      </c>
      <c r="R246" s="430" t="str">
        <f t="shared" si="48"/>
        <v/>
      </c>
      <c r="S246" s="430" t="str">
        <f t="shared" si="49"/>
        <v/>
      </c>
      <c r="T246" s="430" t="str">
        <f t="shared" si="50"/>
        <v/>
      </c>
      <c r="U246" s="430" t="str">
        <f t="shared" si="51"/>
        <v/>
      </c>
      <c r="V246" s="430" t="str">
        <f t="shared" si="52"/>
        <v/>
      </c>
      <c r="W246" s="430">
        <f t="shared" si="53"/>
        <v>765</v>
      </c>
      <c r="X246" s="449"/>
      <c r="Z246" s="450"/>
      <c r="AA246" s="449"/>
      <c r="AB246" s="451"/>
      <c r="AC246" s="450"/>
      <c r="AD246" s="449"/>
      <c r="AE246" s="451"/>
      <c r="AF246" s="450"/>
      <c r="AG246" s="449"/>
      <c r="AH246" s="451"/>
      <c r="AI246" s="450"/>
      <c r="AJ246" s="449"/>
      <c r="AK246" s="451"/>
      <c r="AL246" s="450"/>
      <c r="AM246" s="449"/>
      <c r="AN246" s="451"/>
      <c r="AO246" s="450"/>
      <c r="AP246" s="449"/>
      <c r="AQ246" s="451"/>
      <c r="AR246" s="449"/>
      <c r="AS246" s="449"/>
      <c r="AT246" s="451"/>
      <c r="AU246" s="449"/>
      <c r="AV246" s="451"/>
      <c r="AW246" s="449"/>
      <c r="AX246" s="449"/>
      <c r="AY246" s="449"/>
      <c r="AZ246" s="449"/>
      <c r="BA246" s="449"/>
      <c r="BB246" s="449"/>
      <c r="BC246" s="449"/>
      <c r="BD246" s="449"/>
      <c r="BE246" s="449"/>
      <c r="BF246" s="449"/>
      <c r="BG246" s="449"/>
      <c r="BH246" s="449"/>
      <c r="BI246" s="449"/>
      <c r="BJ246" s="449"/>
      <c r="BK246" s="449"/>
      <c r="BL246" s="449"/>
      <c r="BM246" s="449"/>
      <c r="BN246" s="449"/>
    </row>
    <row r="247" spans="1:66" ht="13.15" x14ac:dyDescent="0.4">
      <c r="A247" s="469" t="s">
        <v>606</v>
      </c>
      <c r="B247" s="430" t="s">
        <v>820</v>
      </c>
      <c r="C247" s="463">
        <v>44399</v>
      </c>
      <c r="D247" s="430" t="s">
        <v>66</v>
      </c>
      <c r="E247" s="430">
        <v>20</v>
      </c>
      <c r="F247" s="430">
        <v>20</v>
      </c>
      <c r="G247" s="430" t="str">
        <f t="shared" si="67"/>
        <v>20 x 20</v>
      </c>
      <c r="H247" s="461" t="s">
        <v>50</v>
      </c>
      <c r="I247" s="438" t="s">
        <v>243</v>
      </c>
      <c r="J247" s="438">
        <v>9</v>
      </c>
      <c r="K247" s="438" t="s">
        <v>580</v>
      </c>
      <c r="L247" s="430" t="str">
        <f t="shared" si="54"/>
        <v>44399S-4554</v>
      </c>
      <c r="M247" s="430" t="s">
        <v>46</v>
      </c>
      <c r="N247" s="461">
        <f t="shared" si="69"/>
        <v>37.755000000000003</v>
      </c>
      <c r="O247" s="461">
        <f t="shared" si="70"/>
        <v>244.8</v>
      </c>
      <c r="P247" s="430">
        <f t="shared" si="46"/>
        <v>100</v>
      </c>
      <c r="Q247" s="430" t="str">
        <f t="shared" si="47"/>
        <v/>
      </c>
      <c r="R247" s="430" t="str">
        <f t="shared" si="48"/>
        <v/>
      </c>
      <c r="S247" s="430" t="str">
        <f t="shared" si="49"/>
        <v/>
      </c>
      <c r="T247" s="430" t="str">
        <f t="shared" si="50"/>
        <v/>
      </c>
      <c r="U247" s="430" t="str">
        <f t="shared" si="51"/>
        <v/>
      </c>
      <c r="V247" s="430" t="str">
        <f t="shared" si="52"/>
        <v/>
      </c>
      <c r="W247" s="430">
        <f t="shared" si="53"/>
        <v>500</v>
      </c>
      <c r="X247" s="449"/>
      <c r="Z247" s="450"/>
      <c r="AA247" s="449"/>
      <c r="AB247" s="451"/>
      <c r="AC247" s="450"/>
      <c r="AD247" s="449"/>
      <c r="AE247" s="451"/>
      <c r="AF247" s="450"/>
      <c r="AG247" s="449"/>
      <c r="AH247" s="451"/>
      <c r="AI247" s="450"/>
      <c r="AJ247" s="449"/>
      <c r="AK247" s="451"/>
      <c r="AL247" s="450"/>
      <c r="AM247" s="449"/>
      <c r="AN247" s="451"/>
      <c r="AO247" s="450"/>
      <c r="AP247" s="449"/>
      <c r="AQ247" s="451"/>
      <c r="AR247" s="449"/>
      <c r="AS247" s="449"/>
      <c r="AT247" s="451"/>
      <c r="AU247" s="449"/>
      <c r="AV247" s="451"/>
      <c r="AW247" s="449"/>
      <c r="AX247" s="449"/>
      <c r="AY247" s="449"/>
      <c r="AZ247" s="449"/>
      <c r="BA247" s="449"/>
      <c r="BB247" s="449"/>
      <c r="BC247" s="449"/>
      <c r="BD247" s="449"/>
      <c r="BE247" s="449"/>
      <c r="BF247" s="449"/>
      <c r="BG247" s="449"/>
      <c r="BH247" s="449"/>
      <c r="BI247" s="449"/>
      <c r="BJ247" s="449"/>
      <c r="BK247" s="449"/>
      <c r="BL247" s="449"/>
      <c r="BM247" s="449"/>
      <c r="BN247" s="449"/>
    </row>
    <row r="248" spans="1:66" ht="13.15" x14ac:dyDescent="0.4">
      <c r="A248" s="469" t="s">
        <v>528</v>
      </c>
      <c r="B248" s="430" t="s">
        <v>822</v>
      </c>
      <c r="C248" s="463">
        <v>44399</v>
      </c>
      <c r="D248" s="430" t="s">
        <v>54</v>
      </c>
      <c r="E248" s="430">
        <v>26</v>
      </c>
      <c r="F248" s="430">
        <v>40</v>
      </c>
      <c r="G248" s="430" t="str">
        <f t="shared" si="67"/>
        <v>26 x 40</v>
      </c>
      <c r="H248" s="461" t="s">
        <v>1</v>
      </c>
      <c r="I248" s="438" t="str">
        <f t="shared" ref="I248:I249" si="71">E248+2&amp;" x "&amp;F248+2</f>
        <v>28 x 42</v>
      </c>
      <c r="J248" s="438">
        <v>26</v>
      </c>
      <c r="K248" s="438" t="s">
        <v>523</v>
      </c>
      <c r="L248" s="430" t="str">
        <f t="shared" si="54"/>
        <v>44399S-16375</v>
      </c>
      <c r="M248" s="430" t="s">
        <v>46</v>
      </c>
      <c r="N248" s="461">
        <v>166.54</v>
      </c>
      <c r="O248" s="461">
        <v>2200</v>
      </c>
      <c r="P248" s="430" t="str">
        <f t="shared" si="46"/>
        <v/>
      </c>
      <c r="Q248" s="430" t="str">
        <f t="shared" si="47"/>
        <v/>
      </c>
      <c r="R248" s="430" t="str">
        <f t="shared" si="48"/>
        <v/>
      </c>
      <c r="S248" s="430">
        <f t="shared" si="49"/>
        <v>175</v>
      </c>
      <c r="T248" s="430" t="str">
        <f t="shared" si="50"/>
        <v/>
      </c>
      <c r="U248" s="430" t="str">
        <f t="shared" si="51"/>
        <v/>
      </c>
      <c r="V248" s="430" t="str">
        <f t="shared" si="52"/>
        <v/>
      </c>
      <c r="W248" s="430" t="str">
        <f t="shared" si="53"/>
        <v/>
      </c>
      <c r="X248" s="449"/>
      <c r="Z248" s="450"/>
      <c r="AA248" s="449"/>
      <c r="AB248" s="451"/>
      <c r="AC248" s="450"/>
      <c r="AD248" s="449"/>
      <c r="AE248" s="451"/>
      <c r="AF248" s="450"/>
      <c r="AG248" s="449"/>
      <c r="AH248" s="451"/>
      <c r="AI248" s="450"/>
      <c r="AJ248" s="449"/>
      <c r="AK248" s="451"/>
      <c r="AL248" s="450"/>
      <c r="AM248" s="449"/>
      <c r="AN248" s="451"/>
      <c r="AO248" s="450"/>
      <c r="AP248" s="449"/>
      <c r="AQ248" s="451"/>
      <c r="AR248" s="449"/>
      <c r="AS248" s="449"/>
      <c r="AT248" s="451"/>
      <c r="AU248" s="449"/>
      <c r="AV248" s="451"/>
      <c r="AW248" s="449"/>
      <c r="AX248" s="449"/>
      <c r="AY248" s="449"/>
      <c r="AZ248" s="449"/>
      <c r="BA248" s="449"/>
      <c r="BB248" s="449"/>
      <c r="BC248" s="449"/>
      <c r="BD248" s="449"/>
      <c r="BE248" s="449"/>
      <c r="BF248" s="449"/>
      <c r="BG248" s="449"/>
      <c r="BH248" s="449"/>
      <c r="BI248" s="449"/>
      <c r="BJ248" s="449"/>
      <c r="BK248" s="449"/>
      <c r="BL248" s="449"/>
      <c r="BM248" s="449"/>
      <c r="BN248" s="449"/>
    </row>
    <row r="249" spans="1:66" ht="13.15" x14ac:dyDescent="0.4">
      <c r="A249" s="469" t="s">
        <v>821</v>
      </c>
      <c r="B249" s="430" t="s">
        <v>823</v>
      </c>
      <c r="C249" s="463">
        <v>44399</v>
      </c>
      <c r="D249" s="430" t="s">
        <v>54</v>
      </c>
      <c r="E249" s="430">
        <v>32</v>
      </c>
      <c r="F249" s="430">
        <v>58</v>
      </c>
      <c r="G249" s="430" t="str">
        <f t="shared" si="67"/>
        <v>32 x 58</v>
      </c>
      <c r="H249" s="461" t="s">
        <v>1</v>
      </c>
      <c r="I249" s="438" t="str">
        <f t="shared" si="71"/>
        <v>34 x 60</v>
      </c>
      <c r="J249" s="438">
        <v>47</v>
      </c>
      <c r="K249" s="438" t="s">
        <v>484</v>
      </c>
      <c r="L249" s="430" t="str">
        <f t="shared" si="54"/>
        <v>44399S-16377</v>
      </c>
      <c r="M249" s="430" t="s">
        <v>46</v>
      </c>
      <c r="N249" s="461">
        <v>322.68</v>
      </c>
      <c r="O249" s="461">
        <v>4200</v>
      </c>
      <c r="P249" s="430" t="str">
        <f t="shared" si="46"/>
        <v/>
      </c>
      <c r="Q249" s="430" t="str">
        <f t="shared" si="47"/>
        <v/>
      </c>
      <c r="R249" s="430" t="str">
        <f t="shared" si="48"/>
        <v/>
      </c>
      <c r="S249" s="430">
        <f t="shared" si="49"/>
        <v>235</v>
      </c>
      <c r="T249" s="430" t="str">
        <f t="shared" si="50"/>
        <v/>
      </c>
      <c r="U249" s="430" t="str">
        <f t="shared" si="51"/>
        <v/>
      </c>
      <c r="V249" s="430" t="str">
        <f t="shared" si="52"/>
        <v/>
      </c>
      <c r="W249" s="430" t="str">
        <f t="shared" si="53"/>
        <v/>
      </c>
      <c r="X249" s="449"/>
      <c r="Z249" s="450"/>
      <c r="AA249" s="449"/>
      <c r="AB249" s="451"/>
      <c r="AC249" s="450"/>
      <c r="AD249" s="449"/>
      <c r="AE249" s="451"/>
      <c r="AF249" s="450"/>
      <c r="AG249" s="449"/>
      <c r="AH249" s="451"/>
      <c r="AI249" s="450"/>
      <c r="AJ249" s="449"/>
      <c r="AK249" s="451"/>
      <c r="AL249" s="450"/>
      <c r="AM249" s="449"/>
      <c r="AN249" s="451"/>
      <c r="AO249" s="450"/>
      <c r="AP249" s="449"/>
      <c r="AQ249" s="451"/>
      <c r="AR249" s="449"/>
      <c r="AS249" s="449"/>
      <c r="AT249" s="451"/>
      <c r="AU249" s="449"/>
      <c r="AV249" s="451"/>
      <c r="AW249" s="449"/>
      <c r="AX249" s="449"/>
      <c r="AY249" s="449"/>
      <c r="AZ249" s="449"/>
      <c r="BA249" s="449"/>
      <c r="BB249" s="449"/>
      <c r="BC249" s="449"/>
      <c r="BD249" s="449"/>
      <c r="BE249" s="449"/>
      <c r="BF249" s="449"/>
      <c r="BG249" s="449"/>
      <c r="BH249" s="449"/>
      <c r="BI249" s="449"/>
      <c r="BJ249" s="449"/>
      <c r="BK249" s="449"/>
      <c r="BL249" s="449"/>
      <c r="BM249" s="449"/>
      <c r="BN249" s="449"/>
    </row>
    <row r="250" spans="1:66" ht="13.15" x14ac:dyDescent="0.4">
      <c r="A250" s="469" t="s">
        <v>827</v>
      </c>
      <c r="B250" s="430" t="s">
        <v>826</v>
      </c>
      <c r="C250" s="463">
        <v>44399</v>
      </c>
      <c r="D250" s="430" t="s">
        <v>66</v>
      </c>
      <c r="E250" s="430">
        <v>25</v>
      </c>
      <c r="F250" s="430">
        <v>35</v>
      </c>
      <c r="G250" s="430" t="str">
        <f t="shared" si="67"/>
        <v>25 x 35</v>
      </c>
      <c r="H250" s="461" t="s">
        <v>50</v>
      </c>
      <c r="I250" s="438" t="s">
        <v>267</v>
      </c>
      <c r="J250" s="438">
        <v>14</v>
      </c>
      <c r="K250" s="438" t="s">
        <v>583</v>
      </c>
      <c r="L250" s="430" t="str">
        <f t="shared" si="54"/>
        <v>44399S-4679</v>
      </c>
      <c r="M250" s="430" t="s">
        <v>46</v>
      </c>
      <c r="N250" s="461">
        <v>50.65</v>
      </c>
      <c r="O250" s="461">
        <v>355</v>
      </c>
      <c r="P250" s="430">
        <f t="shared" si="46"/>
        <v>150</v>
      </c>
      <c r="Q250" s="430" t="str">
        <f t="shared" si="47"/>
        <v/>
      </c>
      <c r="R250" s="430" t="str">
        <f t="shared" si="48"/>
        <v/>
      </c>
      <c r="S250" s="430" t="str">
        <f t="shared" si="49"/>
        <v/>
      </c>
      <c r="T250" s="430" t="str">
        <f t="shared" si="50"/>
        <v/>
      </c>
      <c r="U250" s="430" t="str">
        <f t="shared" si="51"/>
        <v/>
      </c>
      <c r="V250" s="430" t="str">
        <f t="shared" si="52"/>
        <v/>
      </c>
      <c r="W250" s="430">
        <f t="shared" si="53"/>
        <v>1094</v>
      </c>
      <c r="X250" s="449"/>
      <c r="Z250" s="450"/>
      <c r="AA250" s="449"/>
      <c r="AB250" s="451"/>
      <c r="AC250" s="450"/>
      <c r="AD250" s="449"/>
      <c r="AE250" s="451"/>
      <c r="AF250" s="450"/>
      <c r="AG250" s="449"/>
      <c r="AH250" s="451"/>
      <c r="AI250" s="450"/>
      <c r="AJ250" s="449"/>
      <c r="AK250" s="451"/>
      <c r="AL250" s="450"/>
      <c r="AM250" s="449"/>
      <c r="AN250" s="451"/>
      <c r="AO250" s="450"/>
      <c r="AP250" s="449"/>
      <c r="AQ250" s="451"/>
      <c r="AR250" s="449"/>
      <c r="AS250" s="449"/>
      <c r="AT250" s="451"/>
      <c r="AU250" s="449"/>
      <c r="AV250" s="451"/>
      <c r="AW250" s="449"/>
      <c r="AX250" s="449"/>
      <c r="AY250" s="449"/>
      <c r="AZ250" s="449"/>
      <c r="BA250" s="449"/>
      <c r="BB250" s="449"/>
      <c r="BC250" s="449"/>
      <c r="BD250" s="449"/>
      <c r="BE250" s="449"/>
      <c r="BF250" s="449"/>
      <c r="BG250" s="449"/>
      <c r="BH250" s="449"/>
      <c r="BI250" s="449"/>
      <c r="BJ250" s="449"/>
      <c r="BK250" s="449"/>
      <c r="BL250" s="449"/>
      <c r="BM250" s="449"/>
      <c r="BN250" s="449"/>
    </row>
    <row r="251" spans="1:66" ht="13.15" x14ac:dyDescent="0.4">
      <c r="A251" s="469" t="s">
        <v>829</v>
      </c>
      <c r="B251" s="430" t="s">
        <v>828</v>
      </c>
      <c r="C251" s="463">
        <v>44399</v>
      </c>
      <c r="D251" s="430" t="s">
        <v>66</v>
      </c>
      <c r="E251" s="430">
        <v>26</v>
      </c>
      <c r="F251" s="430">
        <v>39</v>
      </c>
      <c r="G251" s="430" t="str">
        <f t="shared" si="67"/>
        <v>26 x 39</v>
      </c>
      <c r="H251" s="461" t="s">
        <v>51</v>
      </c>
      <c r="I251" s="438" t="str">
        <f t="shared" ref="I251:I253" si="72">E251+2&amp;" x "&amp;F251+2</f>
        <v>28 x 41</v>
      </c>
      <c r="J251" s="438">
        <v>19</v>
      </c>
      <c r="K251" s="438" t="s">
        <v>586</v>
      </c>
      <c r="L251" s="430" t="str">
        <f t="shared" si="54"/>
        <v>44399S-4929</v>
      </c>
      <c r="M251" s="430" t="s">
        <v>46</v>
      </c>
      <c r="N251" s="461">
        <f t="shared" ref="N251:N253" si="73">499.62/3</f>
        <v>166.54</v>
      </c>
      <c r="O251" s="461">
        <f t="shared" ref="O251:O253" si="74">5328.35/3</f>
        <v>1776.1166666666668</v>
      </c>
      <c r="P251" s="430">
        <f t="shared" si="46"/>
        <v>162.5</v>
      </c>
      <c r="Q251" s="430" t="str">
        <f t="shared" si="47"/>
        <v/>
      </c>
      <c r="R251" s="430" t="str">
        <f t="shared" si="48"/>
        <v/>
      </c>
      <c r="S251" s="430" t="str">
        <f t="shared" si="49"/>
        <v/>
      </c>
      <c r="T251" s="430">
        <f t="shared" si="50"/>
        <v>172.5</v>
      </c>
      <c r="U251" s="430" t="str">
        <f t="shared" si="51"/>
        <v/>
      </c>
      <c r="V251" s="430" t="str">
        <f t="shared" si="52"/>
        <v/>
      </c>
      <c r="W251" s="430">
        <f t="shared" si="53"/>
        <v>1268</v>
      </c>
      <c r="X251" s="449"/>
      <c r="Z251" s="450"/>
      <c r="AA251" s="449"/>
      <c r="AB251" s="451"/>
      <c r="AC251" s="450"/>
      <c r="AD251" s="449"/>
      <c r="AE251" s="451"/>
      <c r="AF251" s="450"/>
      <c r="AG251" s="449"/>
      <c r="AH251" s="451"/>
      <c r="AI251" s="450"/>
      <c r="AJ251" s="449"/>
      <c r="AK251" s="451"/>
      <c r="AL251" s="450"/>
      <c r="AM251" s="449"/>
      <c r="AN251" s="451"/>
      <c r="AO251" s="450"/>
      <c r="AP251" s="449"/>
      <c r="AQ251" s="451"/>
      <c r="AR251" s="449"/>
      <c r="AS251" s="449"/>
      <c r="AT251" s="451"/>
      <c r="AU251" s="449"/>
      <c r="AV251" s="451"/>
      <c r="AW251" s="449"/>
      <c r="AX251" s="449"/>
      <c r="AY251" s="449"/>
      <c r="AZ251" s="449"/>
      <c r="BA251" s="449"/>
      <c r="BB251" s="449"/>
      <c r="BC251" s="449"/>
      <c r="BD251" s="449"/>
      <c r="BE251" s="449"/>
      <c r="BF251" s="449"/>
      <c r="BG251" s="449"/>
      <c r="BH251" s="449"/>
      <c r="BI251" s="449"/>
      <c r="BJ251" s="449"/>
      <c r="BK251" s="449"/>
      <c r="BL251" s="449"/>
      <c r="BM251" s="449"/>
      <c r="BN251" s="449"/>
    </row>
    <row r="252" spans="1:66" ht="13.15" x14ac:dyDescent="0.4">
      <c r="A252" s="469" t="s">
        <v>615</v>
      </c>
      <c r="B252" s="430" t="s">
        <v>828</v>
      </c>
      <c r="C252" s="463">
        <v>44399</v>
      </c>
      <c r="D252" s="430" t="s">
        <v>54</v>
      </c>
      <c r="E252" s="430">
        <v>28</v>
      </c>
      <c r="F252" s="430">
        <v>38</v>
      </c>
      <c r="G252" s="430" t="str">
        <f t="shared" si="67"/>
        <v>28 x 38</v>
      </c>
      <c r="H252" s="461" t="s">
        <v>1</v>
      </c>
      <c r="I252" s="438" t="str">
        <f t="shared" si="72"/>
        <v>30 x 40</v>
      </c>
      <c r="J252" s="438">
        <v>23</v>
      </c>
      <c r="K252" s="438" t="s">
        <v>586</v>
      </c>
      <c r="L252" s="430" t="str">
        <f t="shared" si="54"/>
        <v>44399S-4929</v>
      </c>
      <c r="M252" s="430" t="s">
        <v>46</v>
      </c>
      <c r="N252" s="461">
        <f t="shared" si="73"/>
        <v>166.54</v>
      </c>
      <c r="O252" s="461">
        <f t="shared" si="74"/>
        <v>1776.1166666666668</v>
      </c>
      <c r="P252" s="430" t="str">
        <f t="shared" si="46"/>
        <v/>
      </c>
      <c r="Q252" s="430" t="str">
        <f t="shared" si="47"/>
        <v/>
      </c>
      <c r="R252" s="430" t="str">
        <f t="shared" si="48"/>
        <v/>
      </c>
      <c r="S252" s="430">
        <f t="shared" si="49"/>
        <v>175</v>
      </c>
      <c r="T252" s="430" t="str">
        <f t="shared" si="50"/>
        <v/>
      </c>
      <c r="U252" s="430" t="str">
        <f t="shared" si="51"/>
        <v/>
      </c>
      <c r="V252" s="430" t="str">
        <f t="shared" si="52"/>
        <v/>
      </c>
      <c r="W252" s="430" t="str">
        <f t="shared" si="53"/>
        <v/>
      </c>
      <c r="X252" s="449"/>
      <c r="Z252" s="450"/>
      <c r="AA252" s="449"/>
      <c r="AB252" s="451"/>
      <c r="AC252" s="450"/>
      <c r="AD252" s="449"/>
      <c r="AE252" s="451"/>
      <c r="AF252" s="450"/>
      <c r="AG252" s="449"/>
      <c r="AH252" s="451"/>
      <c r="AI252" s="450"/>
      <c r="AJ252" s="449"/>
      <c r="AK252" s="451"/>
      <c r="AL252" s="450"/>
      <c r="AM252" s="449"/>
      <c r="AN252" s="451"/>
      <c r="AO252" s="450"/>
      <c r="AP252" s="449"/>
      <c r="AQ252" s="451"/>
      <c r="AR252" s="449"/>
      <c r="AS252" s="449"/>
      <c r="AT252" s="451"/>
      <c r="AU252" s="449"/>
      <c r="AV252" s="451"/>
      <c r="AW252" s="449"/>
      <c r="AX252" s="449"/>
      <c r="AY252" s="449"/>
      <c r="AZ252" s="449"/>
      <c r="BA252" s="449"/>
      <c r="BB252" s="449"/>
      <c r="BC252" s="449"/>
      <c r="BD252" s="449"/>
      <c r="BE252" s="449"/>
      <c r="BF252" s="449"/>
      <c r="BG252" s="449"/>
      <c r="BH252" s="449"/>
      <c r="BI252" s="449"/>
      <c r="BJ252" s="449"/>
      <c r="BK252" s="449"/>
      <c r="BL252" s="449"/>
      <c r="BM252" s="449"/>
      <c r="BN252" s="449"/>
    </row>
    <row r="253" spans="1:66" ht="13.15" x14ac:dyDescent="0.4">
      <c r="A253" s="469" t="s">
        <v>68</v>
      </c>
      <c r="B253" s="430" t="s">
        <v>828</v>
      </c>
      <c r="C253" s="463">
        <v>44399</v>
      </c>
      <c r="D253" s="430" t="s">
        <v>54</v>
      </c>
      <c r="E253" s="430">
        <v>24</v>
      </c>
      <c r="F253" s="430">
        <v>48</v>
      </c>
      <c r="G253" s="430" t="str">
        <f t="shared" si="67"/>
        <v>24 x 48</v>
      </c>
      <c r="H253" s="461" t="s">
        <v>1</v>
      </c>
      <c r="I253" s="438" t="str">
        <f t="shared" si="72"/>
        <v>26 x 50</v>
      </c>
      <c r="J253" s="438">
        <v>36</v>
      </c>
      <c r="K253" s="438" t="s">
        <v>509</v>
      </c>
      <c r="L253" s="430" t="str">
        <f t="shared" si="54"/>
        <v>44399S-17587</v>
      </c>
      <c r="M253" s="430" t="s">
        <v>46</v>
      </c>
      <c r="N253" s="461">
        <f t="shared" si="73"/>
        <v>166.54</v>
      </c>
      <c r="O253" s="461">
        <f t="shared" si="74"/>
        <v>1776.1166666666668</v>
      </c>
      <c r="P253" s="430" t="str">
        <f t="shared" si="46"/>
        <v/>
      </c>
      <c r="Q253" s="430" t="str">
        <f t="shared" si="47"/>
        <v/>
      </c>
      <c r="R253" s="430" t="str">
        <f t="shared" si="48"/>
        <v/>
      </c>
      <c r="S253" s="430">
        <f t="shared" si="49"/>
        <v>190</v>
      </c>
      <c r="T253" s="430" t="str">
        <f t="shared" si="50"/>
        <v/>
      </c>
      <c r="U253" s="430" t="str">
        <f t="shared" si="51"/>
        <v/>
      </c>
      <c r="V253" s="430" t="str">
        <f t="shared" si="52"/>
        <v/>
      </c>
      <c r="W253" s="430" t="str">
        <f t="shared" si="53"/>
        <v/>
      </c>
      <c r="X253" s="449"/>
      <c r="Z253" s="450"/>
      <c r="AA253" s="449"/>
      <c r="AB253" s="451"/>
      <c r="AC253" s="450"/>
      <c r="AD253" s="449"/>
      <c r="AE253" s="451"/>
      <c r="AF253" s="450"/>
      <c r="AG253" s="449"/>
      <c r="AH253" s="451"/>
      <c r="AI253" s="450"/>
      <c r="AJ253" s="449"/>
      <c r="AK253" s="451"/>
      <c r="AL253" s="450"/>
      <c r="AM253" s="449"/>
      <c r="AN253" s="451"/>
      <c r="AO253" s="450"/>
      <c r="AP253" s="449"/>
      <c r="AQ253" s="451"/>
      <c r="AR253" s="449"/>
      <c r="AS253" s="449"/>
      <c r="AT253" s="451"/>
      <c r="AU253" s="449"/>
      <c r="AV253" s="451"/>
      <c r="AW253" s="449"/>
      <c r="AX253" s="449"/>
      <c r="AY253" s="449"/>
      <c r="AZ253" s="449"/>
      <c r="BA253" s="449"/>
      <c r="BB253" s="449"/>
      <c r="BC253" s="449"/>
      <c r="BD253" s="449"/>
      <c r="BE253" s="449"/>
      <c r="BF253" s="449"/>
      <c r="BG253" s="449"/>
      <c r="BH253" s="449"/>
      <c r="BI253" s="449"/>
      <c r="BJ253" s="449"/>
      <c r="BK253" s="449"/>
      <c r="BL253" s="449"/>
      <c r="BM253" s="449"/>
      <c r="BN253" s="449"/>
    </row>
    <row r="254" spans="1:66" ht="13.15" x14ac:dyDescent="0.4">
      <c r="A254" s="469" t="s">
        <v>808</v>
      </c>
      <c r="B254" s="430" t="s">
        <v>832</v>
      </c>
      <c r="C254" s="463">
        <v>44399</v>
      </c>
      <c r="D254" s="430" t="s">
        <v>66</v>
      </c>
      <c r="E254" s="430">
        <v>25</v>
      </c>
      <c r="F254" s="430">
        <v>50</v>
      </c>
      <c r="G254" s="430" t="str">
        <f t="shared" si="67"/>
        <v>25 x 50</v>
      </c>
      <c r="H254" s="461" t="s">
        <v>50</v>
      </c>
      <c r="I254" s="438" t="s">
        <v>257</v>
      </c>
      <c r="J254" s="438">
        <v>25</v>
      </c>
      <c r="K254" s="438" t="s">
        <v>553</v>
      </c>
      <c r="L254" s="430" t="str">
        <f t="shared" si="54"/>
        <v>44399S-11251</v>
      </c>
      <c r="M254" s="430" t="s">
        <v>46</v>
      </c>
      <c r="N254" s="461">
        <v>166.54</v>
      </c>
      <c r="O254" s="461">
        <v>440</v>
      </c>
      <c r="P254" s="430">
        <f t="shared" si="46"/>
        <v>187.5</v>
      </c>
      <c r="Q254" s="430" t="str">
        <f t="shared" si="47"/>
        <v/>
      </c>
      <c r="R254" s="430" t="str">
        <f t="shared" si="48"/>
        <v/>
      </c>
      <c r="S254" s="430" t="str">
        <f t="shared" si="49"/>
        <v/>
      </c>
      <c r="T254" s="430" t="str">
        <f t="shared" si="50"/>
        <v/>
      </c>
      <c r="U254" s="430" t="str">
        <f t="shared" si="51"/>
        <v/>
      </c>
      <c r="V254" s="430" t="str">
        <f t="shared" si="52"/>
        <v/>
      </c>
      <c r="W254" s="430">
        <f t="shared" si="53"/>
        <v>1563</v>
      </c>
      <c r="X254" s="449"/>
      <c r="Z254" s="450"/>
      <c r="AA254" s="449"/>
      <c r="AB254" s="451"/>
      <c r="AC254" s="450"/>
      <c r="AD254" s="449"/>
      <c r="AE254" s="451"/>
      <c r="AF254" s="450"/>
      <c r="AG254" s="449"/>
      <c r="AH254" s="451"/>
      <c r="AI254" s="450"/>
      <c r="AJ254" s="449"/>
      <c r="AK254" s="451"/>
      <c r="AL254" s="450"/>
      <c r="AM254" s="449"/>
      <c r="AN254" s="451"/>
      <c r="AO254" s="450"/>
      <c r="AP254" s="449"/>
      <c r="AQ254" s="451"/>
      <c r="AR254" s="449"/>
      <c r="AS254" s="449"/>
      <c r="AT254" s="451"/>
      <c r="AU254" s="449"/>
      <c r="AV254" s="451"/>
      <c r="AW254" s="449"/>
      <c r="AX254" s="449"/>
      <c r="AY254" s="449"/>
      <c r="AZ254" s="449"/>
      <c r="BA254" s="449"/>
      <c r="BB254" s="449"/>
      <c r="BC254" s="449"/>
      <c r="BD254" s="449"/>
      <c r="BE254" s="449"/>
      <c r="BF254" s="449"/>
      <c r="BG254" s="449"/>
      <c r="BH254" s="449"/>
      <c r="BI254" s="449"/>
      <c r="BJ254" s="449"/>
      <c r="BK254" s="449"/>
      <c r="BL254" s="449"/>
      <c r="BM254" s="449"/>
      <c r="BN254" s="449"/>
    </row>
    <row r="255" spans="1:66" ht="13.15" x14ac:dyDescent="0.4">
      <c r="A255" s="469" t="s">
        <v>486</v>
      </c>
      <c r="B255" s="430" t="s">
        <v>833</v>
      </c>
      <c r="C255" s="463">
        <v>44399</v>
      </c>
      <c r="D255" s="430" t="s">
        <v>42</v>
      </c>
      <c r="E255" s="430">
        <v>24</v>
      </c>
      <c r="F255" s="430">
        <v>36</v>
      </c>
      <c r="G255" s="430" t="str">
        <f t="shared" si="67"/>
        <v>24 x 36</v>
      </c>
      <c r="H255" s="461" t="s">
        <v>5</v>
      </c>
      <c r="I255" s="438" t="str">
        <f>E255+2&amp;" x "&amp;F255+2</f>
        <v>26 x 38</v>
      </c>
      <c r="J255" s="438">
        <v>25</v>
      </c>
      <c r="K255" s="438" t="s">
        <v>523</v>
      </c>
      <c r="L255" s="430" t="str">
        <f t="shared" si="54"/>
        <v>44399S-16375</v>
      </c>
      <c r="M255" s="430" t="s">
        <v>712</v>
      </c>
      <c r="N255" s="461">
        <v>188.36</v>
      </c>
      <c r="O255" s="461">
        <v>10000</v>
      </c>
      <c r="P255" s="430">
        <f t="shared" si="46"/>
        <v>150</v>
      </c>
      <c r="Q255" s="430" t="str">
        <f t="shared" si="47"/>
        <v/>
      </c>
      <c r="R255" s="430" t="str">
        <f t="shared" si="48"/>
        <v/>
      </c>
      <c r="S255" s="430" t="str">
        <f t="shared" si="49"/>
        <v/>
      </c>
      <c r="T255" s="430" t="str">
        <f t="shared" si="50"/>
        <v/>
      </c>
      <c r="U255" s="430">
        <f t="shared" si="51"/>
        <v>160</v>
      </c>
      <c r="V255" s="430" t="str">
        <f t="shared" si="52"/>
        <v/>
      </c>
      <c r="W255" s="430" t="str">
        <f t="shared" si="53"/>
        <v/>
      </c>
      <c r="X255" s="449"/>
      <c r="Z255" s="450"/>
      <c r="AA255" s="449"/>
      <c r="AB255" s="451"/>
      <c r="AC255" s="450"/>
      <c r="AD255" s="449"/>
      <c r="AE255" s="451"/>
      <c r="AF255" s="450"/>
      <c r="AG255" s="449"/>
      <c r="AH255" s="451"/>
      <c r="AI255" s="450"/>
      <c r="AJ255" s="449"/>
      <c r="AK255" s="451"/>
      <c r="AL255" s="450"/>
      <c r="AM255" s="449"/>
      <c r="AN255" s="451"/>
      <c r="AO255" s="450"/>
      <c r="AP255" s="449"/>
      <c r="AQ255" s="451"/>
      <c r="AR255" s="449"/>
      <c r="AS255" s="449"/>
      <c r="AT255" s="451"/>
      <c r="AU255" s="449"/>
      <c r="AV255" s="451"/>
      <c r="AW255" s="449"/>
      <c r="AX255" s="449"/>
      <c r="AY255" s="449"/>
      <c r="AZ255" s="449"/>
      <c r="BA255" s="449"/>
      <c r="BB255" s="449"/>
      <c r="BC255" s="449"/>
      <c r="BD255" s="449"/>
      <c r="BE255" s="449"/>
      <c r="BF255" s="449"/>
      <c r="BG255" s="449"/>
      <c r="BH255" s="449"/>
      <c r="BI255" s="449"/>
      <c r="BJ255" s="449"/>
      <c r="BK255" s="449"/>
      <c r="BL255" s="449"/>
      <c r="BM255" s="449"/>
      <c r="BN255" s="449"/>
    </row>
    <row r="256" spans="1:66" ht="13.15" x14ac:dyDescent="0.4">
      <c r="A256" s="469" t="s">
        <v>761</v>
      </c>
      <c r="B256" s="430" t="s">
        <v>834</v>
      </c>
      <c r="C256" s="463">
        <v>44399</v>
      </c>
      <c r="D256" s="430" t="s">
        <v>42</v>
      </c>
      <c r="E256" s="430">
        <v>24</v>
      </c>
      <c r="F256" s="430">
        <v>36</v>
      </c>
      <c r="G256" s="430" t="str">
        <f t="shared" si="67"/>
        <v>24 x 36</v>
      </c>
      <c r="H256" s="461" t="s">
        <v>835</v>
      </c>
      <c r="I256" s="438" t="s">
        <v>346</v>
      </c>
      <c r="J256" s="438">
        <v>41</v>
      </c>
      <c r="K256" s="438" t="s">
        <v>509</v>
      </c>
      <c r="L256" s="430" t="str">
        <f t="shared" si="54"/>
        <v>44399S-17587</v>
      </c>
      <c r="M256" s="430" t="s">
        <v>712</v>
      </c>
      <c r="N256" s="461">
        <v>240.69</v>
      </c>
      <c r="O256" s="461">
        <v>12000</v>
      </c>
      <c r="P256" s="430">
        <f t="shared" si="46"/>
        <v>150</v>
      </c>
      <c r="Q256" s="430" t="str">
        <f t="shared" si="47"/>
        <v/>
      </c>
      <c r="R256" s="430" t="str">
        <f t="shared" si="48"/>
        <v/>
      </c>
      <c r="S256" s="430" t="str">
        <f t="shared" si="49"/>
        <v/>
      </c>
      <c r="T256" s="430" t="str">
        <f t="shared" si="50"/>
        <v/>
      </c>
      <c r="U256" s="430" t="str">
        <f t="shared" si="51"/>
        <v/>
      </c>
      <c r="V256" s="430" t="str">
        <f t="shared" si="52"/>
        <v/>
      </c>
      <c r="W256" s="430" t="str">
        <f t="shared" si="53"/>
        <v/>
      </c>
      <c r="X256" s="449"/>
      <c r="Z256" s="450"/>
      <c r="AA256" s="449"/>
      <c r="AB256" s="451"/>
      <c r="AC256" s="450"/>
      <c r="AD256" s="449"/>
      <c r="AE256" s="451"/>
      <c r="AF256" s="450"/>
      <c r="AG256" s="449"/>
      <c r="AH256" s="451"/>
      <c r="AI256" s="450"/>
      <c r="AJ256" s="449"/>
      <c r="AK256" s="451"/>
      <c r="AL256" s="450"/>
      <c r="AM256" s="449"/>
      <c r="AN256" s="451"/>
      <c r="AO256" s="450"/>
      <c r="AP256" s="449"/>
      <c r="AQ256" s="451"/>
      <c r="AR256" s="449"/>
      <c r="AS256" s="449"/>
      <c r="AT256" s="451"/>
      <c r="AU256" s="449"/>
      <c r="AV256" s="451"/>
      <c r="AW256" s="449"/>
      <c r="AX256" s="449"/>
      <c r="AY256" s="449"/>
      <c r="AZ256" s="449"/>
      <c r="BA256" s="449"/>
      <c r="BB256" s="449"/>
      <c r="BC256" s="449"/>
      <c r="BD256" s="449"/>
      <c r="BE256" s="449"/>
      <c r="BF256" s="449"/>
      <c r="BG256" s="449"/>
      <c r="BH256" s="449"/>
      <c r="BI256" s="449"/>
      <c r="BJ256" s="449"/>
      <c r="BK256" s="449"/>
      <c r="BL256" s="449"/>
      <c r="BM256" s="449"/>
      <c r="BN256" s="449"/>
    </row>
    <row r="257" spans="1:66" ht="13.15" x14ac:dyDescent="0.4">
      <c r="A257" s="469" t="s">
        <v>472</v>
      </c>
      <c r="B257" s="430" t="s">
        <v>836</v>
      </c>
      <c r="C257" s="463">
        <v>44399</v>
      </c>
      <c r="D257" s="430" t="s">
        <v>66</v>
      </c>
      <c r="E257" s="430">
        <v>15</v>
      </c>
      <c r="F257" s="430">
        <v>25</v>
      </c>
      <c r="G257" s="430" t="str">
        <f t="shared" si="67"/>
        <v>15 x 25</v>
      </c>
      <c r="H257" s="461" t="s">
        <v>50</v>
      </c>
      <c r="I257" s="438" t="s">
        <v>166</v>
      </c>
      <c r="J257" s="438">
        <v>7</v>
      </c>
      <c r="K257" s="438" t="s">
        <v>577</v>
      </c>
      <c r="L257" s="430" t="str">
        <f t="shared" si="54"/>
        <v>44399S-4553</v>
      </c>
      <c r="M257" s="430" t="s">
        <v>46</v>
      </c>
      <c r="N257" s="461">
        <v>14.37</v>
      </c>
      <c r="O257" s="461">
        <v>223.55</v>
      </c>
      <c r="P257" s="430">
        <f t="shared" si="46"/>
        <v>100</v>
      </c>
      <c r="Q257" s="430" t="str">
        <f t="shared" si="47"/>
        <v/>
      </c>
      <c r="R257" s="430" t="str">
        <f t="shared" si="48"/>
        <v/>
      </c>
      <c r="S257" s="430" t="str">
        <f t="shared" si="49"/>
        <v/>
      </c>
      <c r="T257" s="430" t="str">
        <f t="shared" si="50"/>
        <v/>
      </c>
      <c r="U257" s="430" t="str">
        <f t="shared" si="51"/>
        <v/>
      </c>
      <c r="V257" s="430" t="str">
        <f t="shared" si="52"/>
        <v/>
      </c>
      <c r="W257" s="430">
        <f t="shared" si="53"/>
        <v>469</v>
      </c>
      <c r="X257" s="449"/>
      <c r="Z257" s="450"/>
      <c r="AA257" s="449"/>
      <c r="AB257" s="451"/>
      <c r="AC257" s="450"/>
      <c r="AD257" s="449"/>
      <c r="AE257" s="451"/>
      <c r="AF257" s="450"/>
      <c r="AG257" s="449"/>
      <c r="AH257" s="451"/>
      <c r="AI257" s="450"/>
      <c r="AJ257" s="449"/>
      <c r="AK257" s="451"/>
      <c r="AL257" s="450"/>
      <c r="AM257" s="449"/>
      <c r="AN257" s="451"/>
      <c r="AO257" s="450"/>
      <c r="AP257" s="449"/>
      <c r="AQ257" s="451"/>
      <c r="AR257" s="449"/>
      <c r="AS257" s="449"/>
      <c r="AT257" s="451"/>
      <c r="AU257" s="449"/>
      <c r="AV257" s="451"/>
      <c r="AW257" s="449"/>
      <c r="AX257" s="449"/>
      <c r="AY257" s="449"/>
      <c r="AZ257" s="449"/>
      <c r="BA257" s="449"/>
      <c r="BB257" s="449"/>
      <c r="BC257" s="449"/>
      <c r="BD257" s="449"/>
      <c r="BE257" s="449"/>
      <c r="BF257" s="449"/>
      <c r="BG257" s="449"/>
      <c r="BH257" s="449"/>
      <c r="BI257" s="449"/>
      <c r="BJ257" s="449"/>
      <c r="BK257" s="449"/>
      <c r="BL257" s="449"/>
      <c r="BM257" s="449"/>
      <c r="BN257" s="449"/>
    </row>
    <row r="258" spans="1:66" ht="13.15" x14ac:dyDescent="0.4">
      <c r="A258" s="469" t="s">
        <v>406</v>
      </c>
      <c r="B258" s="430" t="s">
        <v>837</v>
      </c>
      <c r="C258" s="463">
        <v>44399</v>
      </c>
      <c r="D258" s="430" t="s">
        <v>66</v>
      </c>
      <c r="E258" s="430">
        <v>25</v>
      </c>
      <c r="F258" s="430">
        <v>45</v>
      </c>
      <c r="G258" s="430" t="str">
        <f t="shared" si="67"/>
        <v>25 x 45</v>
      </c>
      <c r="H258" s="461" t="s">
        <v>50</v>
      </c>
      <c r="I258" s="438" t="s">
        <v>268</v>
      </c>
      <c r="J258" s="438">
        <v>24</v>
      </c>
      <c r="K258" s="438" t="s">
        <v>553</v>
      </c>
      <c r="L258" s="430" t="str">
        <f t="shared" si="54"/>
        <v>44399S-11251</v>
      </c>
      <c r="M258" s="430" t="s">
        <v>46</v>
      </c>
      <c r="N258" s="461">
        <v>166.54</v>
      </c>
      <c r="O258" s="461">
        <v>350.2</v>
      </c>
      <c r="P258" s="430">
        <f t="shared" si="46"/>
        <v>175</v>
      </c>
      <c r="Q258" s="430" t="str">
        <f t="shared" si="47"/>
        <v/>
      </c>
      <c r="R258" s="430" t="str">
        <f t="shared" si="48"/>
        <v/>
      </c>
      <c r="S258" s="430" t="str">
        <f t="shared" si="49"/>
        <v/>
      </c>
      <c r="T258" s="430" t="str">
        <f t="shared" si="50"/>
        <v/>
      </c>
      <c r="U258" s="430" t="str">
        <f t="shared" si="51"/>
        <v/>
      </c>
      <c r="V258" s="430" t="str">
        <f t="shared" si="52"/>
        <v/>
      </c>
      <c r="W258" s="430">
        <f t="shared" si="53"/>
        <v>1407</v>
      </c>
      <c r="X258" s="449"/>
      <c r="Z258" s="450"/>
      <c r="AA258" s="449"/>
      <c r="AB258" s="451"/>
      <c r="AC258" s="450"/>
      <c r="AD258" s="449"/>
      <c r="AE258" s="451"/>
      <c r="AF258" s="450"/>
      <c r="AG258" s="449"/>
      <c r="AH258" s="451"/>
      <c r="AI258" s="450"/>
      <c r="AJ258" s="449"/>
      <c r="AK258" s="451"/>
      <c r="AL258" s="450"/>
      <c r="AM258" s="449"/>
      <c r="AN258" s="451"/>
      <c r="AO258" s="450"/>
      <c r="AP258" s="449"/>
      <c r="AQ258" s="451"/>
      <c r="AR258" s="449"/>
      <c r="AS258" s="449"/>
      <c r="AT258" s="451"/>
      <c r="AU258" s="449"/>
      <c r="AV258" s="451"/>
      <c r="AW258" s="449"/>
      <c r="AX258" s="449"/>
      <c r="AY258" s="449"/>
      <c r="AZ258" s="449"/>
      <c r="BA258" s="449"/>
      <c r="BB258" s="449"/>
      <c r="BC258" s="449"/>
      <c r="BD258" s="449"/>
      <c r="BE258" s="449"/>
      <c r="BF258" s="449"/>
      <c r="BG258" s="449"/>
      <c r="BH258" s="449"/>
      <c r="BI258" s="449"/>
      <c r="BJ258" s="449"/>
      <c r="BK258" s="449"/>
      <c r="BL258" s="449"/>
      <c r="BM258" s="449"/>
      <c r="BN258" s="449"/>
    </row>
    <row r="259" spans="1:66" ht="13.15" x14ac:dyDescent="0.4">
      <c r="A259" s="469" t="s">
        <v>839</v>
      </c>
      <c r="B259" s="430" t="s">
        <v>838</v>
      </c>
      <c r="C259" s="463">
        <v>44399</v>
      </c>
      <c r="D259" s="430" t="s">
        <v>66</v>
      </c>
      <c r="E259" s="430">
        <v>32</v>
      </c>
      <c r="F259" s="430">
        <v>32</v>
      </c>
      <c r="G259" s="430" t="str">
        <f t="shared" si="67"/>
        <v>32 x 32</v>
      </c>
      <c r="H259" s="461" t="s">
        <v>1</v>
      </c>
      <c r="I259" s="438" t="s">
        <v>180</v>
      </c>
      <c r="J259" s="438">
        <v>18</v>
      </c>
      <c r="K259" s="438" t="s">
        <v>586</v>
      </c>
      <c r="L259" s="430" t="str">
        <f t="shared" si="54"/>
        <v>44399S-4929</v>
      </c>
      <c r="M259" s="430" t="s">
        <v>46</v>
      </c>
      <c r="N259" s="461">
        <v>166.54</v>
      </c>
      <c r="O259" s="461">
        <v>531.25</v>
      </c>
      <c r="P259" s="430">
        <f t="shared" si="46"/>
        <v>160</v>
      </c>
      <c r="Q259" s="430" t="str">
        <f t="shared" si="47"/>
        <v/>
      </c>
      <c r="R259" s="430" t="str">
        <f t="shared" si="48"/>
        <v/>
      </c>
      <c r="S259" s="430">
        <f t="shared" si="49"/>
        <v>170</v>
      </c>
      <c r="T259" s="430" t="str">
        <f t="shared" si="50"/>
        <v/>
      </c>
      <c r="U259" s="430" t="str">
        <f t="shared" si="51"/>
        <v/>
      </c>
      <c r="V259" s="430" t="str">
        <f t="shared" si="52"/>
        <v/>
      </c>
      <c r="W259" s="430">
        <f t="shared" si="53"/>
        <v>1280</v>
      </c>
      <c r="X259" s="449"/>
      <c r="Z259" s="450"/>
      <c r="AA259" s="449"/>
      <c r="AB259" s="451"/>
      <c r="AC259" s="450"/>
      <c r="AD259" s="449"/>
      <c r="AE259" s="451"/>
      <c r="AF259" s="450"/>
      <c r="AG259" s="449"/>
      <c r="AH259" s="451"/>
      <c r="AI259" s="450"/>
      <c r="AJ259" s="449"/>
      <c r="AK259" s="451"/>
      <c r="AL259" s="450"/>
      <c r="AM259" s="449"/>
      <c r="AN259" s="451"/>
      <c r="AO259" s="450"/>
      <c r="AP259" s="449"/>
      <c r="AQ259" s="451"/>
      <c r="AR259" s="449"/>
      <c r="AS259" s="449"/>
      <c r="AT259" s="451"/>
      <c r="AU259" s="449"/>
      <c r="AV259" s="451"/>
      <c r="AW259" s="449"/>
      <c r="AX259" s="449"/>
      <c r="AY259" s="449"/>
      <c r="AZ259" s="449"/>
      <c r="BA259" s="449"/>
      <c r="BB259" s="449"/>
      <c r="BC259" s="449"/>
      <c r="BD259" s="449"/>
      <c r="BE259" s="449"/>
      <c r="BF259" s="449"/>
      <c r="BG259" s="449"/>
      <c r="BH259" s="449"/>
      <c r="BI259" s="449"/>
      <c r="BJ259" s="449"/>
      <c r="BK259" s="449"/>
      <c r="BL259" s="449"/>
      <c r="BM259" s="449"/>
      <c r="BN259" s="449"/>
    </row>
    <row r="260" spans="1:66" ht="13.15" x14ac:dyDescent="0.4">
      <c r="A260" s="469" t="s">
        <v>841</v>
      </c>
      <c r="B260" s="430" t="s">
        <v>840</v>
      </c>
      <c r="C260" s="463">
        <v>44399</v>
      </c>
      <c r="D260" s="430" t="s">
        <v>66</v>
      </c>
      <c r="E260" s="430">
        <v>16</v>
      </c>
      <c r="F260" s="430">
        <v>24</v>
      </c>
      <c r="G260" s="430" t="str">
        <f t="shared" si="67"/>
        <v>16 x 24</v>
      </c>
      <c r="H260" s="461" t="s">
        <v>50</v>
      </c>
      <c r="I260" s="438" t="s">
        <v>186</v>
      </c>
      <c r="J260" s="438">
        <v>6</v>
      </c>
      <c r="K260" s="438" t="s">
        <v>577</v>
      </c>
      <c r="L260" s="430" t="str">
        <f t="shared" si="54"/>
        <v>44399S-4553</v>
      </c>
      <c r="M260" s="430" t="s">
        <v>46</v>
      </c>
      <c r="N260" s="461">
        <v>18.72</v>
      </c>
      <c r="O260" s="461">
        <v>228.65</v>
      </c>
      <c r="P260" s="430">
        <f t="shared" si="46"/>
        <v>100</v>
      </c>
      <c r="Q260" s="430" t="str">
        <f t="shared" si="47"/>
        <v/>
      </c>
      <c r="R260" s="430" t="str">
        <f t="shared" si="48"/>
        <v/>
      </c>
      <c r="S260" s="430" t="str">
        <f t="shared" si="49"/>
        <v/>
      </c>
      <c r="T260" s="430" t="str">
        <f t="shared" si="50"/>
        <v/>
      </c>
      <c r="U260" s="430" t="str">
        <f t="shared" si="51"/>
        <v/>
      </c>
      <c r="V260" s="430" t="str">
        <f t="shared" si="52"/>
        <v/>
      </c>
      <c r="W260" s="430">
        <f t="shared" si="53"/>
        <v>480</v>
      </c>
      <c r="X260" s="449"/>
      <c r="Z260" s="450"/>
      <c r="AA260" s="449"/>
      <c r="AB260" s="451"/>
      <c r="AC260" s="450"/>
      <c r="AD260" s="449"/>
      <c r="AE260" s="451"/>
      <c r="AF260" s="450"/>
      <c r="AG260" s="449"/>
      <c r="AH260" s="451"/>
      <c r="AI260" s="450"/>
      <c r="AJ260" s="449"/>
      <c r="AK260" s="451"/>
      <c r="AL260" s="450"/>
      <c r="AM260" s="449"/>
      <c r="AN260" s="451"/>
      <c r="AO260" s="450"/>
      <c r="AP260" s="449"/>
      <c r="AQ260" s="451"/>
      <c r="AR260" s="449"/>
      <c r="AS260" s="449"/>
      <c r="AT260" s="451"/>
      <c r="AU260" s="449"/>
      <c r="AV260" s="451"/>
      <c r="AW260" s="449"/>
      <c r="AX260" s="449"/>
      <c r="AY260" s="449"/>
      <c r="AZ260" s="449"/>
      <c r="BA260" s="449"/>
      <c r="BB260" s="449"/>
      <c r="BC260" s="449"/>
      <c r="BD260" s="449"/>
      <c r="BE260" s="449"/>
      <c r="BF260" s="449"/>
      <c r="BG260" s="449"/>
      <c r="BH260" s="449"/>
      <c r="BI260" s="449"/>
      <c r="BJ260" s="449"/>
      <c r="BK260" s="449"/>
      <c r="BL260" s="449"/>
      <c r="BM260" s="449"/>
      <c r="BN260" s="449"/>
    </row>
    <row r="261" spans="1:66" ht="13.15" x14ac:dyDescent="0.4">
      <c r="A261" s="469" t="s">
        <v>761</v>
      </c>
      <c r="B261" s="430" t="s">
        <v>842</v>
      </c>
      <c r="C261" s="463">
        <v>44399</v>
      </c>
      <c r="D261" s="430" t="s">
        <v>66</v>
      </c>
      <c r="E261" s="430">
        <v>18</v>
      </c>
      <c r="F261" s="430">
        <v>27</v>
      </c>
      <c r="G261" s="430" t="str">
        <f t="shared" si="67"/>
        <v>18 x 27</v>
      </c>
      <c r="H261" s="461" t="s">
        <v>50</v>
      </c>
      <c r="I261" s="438" t="s">
        <v>103</v>
      </c>
      <c r="J261" s="438">
        <v>7</v>
      </c>
      <c r="K261" s="438" t="s">
        <v>589</v>
      </c>
      <c r="L261" s="430" t="str">
        <f t="shared" si="54"/>
        <v>44399S-4947</v>
      </c>
      <c r="M261" s="430" t="s">
        <v>46</v>
      </c>
      <c r="N261" s="461">
        <v>20.72</v>
      </c>
      <c r="O261" s="461">
        <v>241.4</v>
      </c>
      <c r="P261" s="430">
        <f t="shared" si="46"/>
        <v>112.5</v>
      </c>
      <c r="Q261" s="430" t="str">
        <f t="shared" si="47"/>
        <v/>
      </c>
      <c r="R261" s="430" t="str">
        <f t="shared" si="48"/>
        <v/>
      </c>
      <c r="S261" s="430" t="str">
        <f t="shared" si="49"/>
        <v/>
      </c>
      <c r="T261" s="430" t="str">
        <f t="shared" si="50"/>
        <v/>
      </c>
      <c r="U261" s="430" t="str">
        <f t="shared" si="51"/>
        <v/>
      </c>
      <c r="V261" s="430" t="str">
        <f t="shared" si="52"/>
        <v/>
      </c>
      <c r="W261" s="430">
        <f t="shared" si="53"/>
        <v>608</v>
      </c>
      <c r="X261" s="449"/>
      <c r="Z261" s="450"/>
      <c r="AA261" s="449"/>
      <c r="AB261" s="451"/>
      <c r="AC261" s="450"/>
      <c r="AD261" s="449"/>
      <c r="AE261" s="451"/>
      <c r="AF261" s="450"/>
      <c r="AG261" s="449"/>
      <c r="AH261" s="451"/>
      <c r="AI261" s="450"/>
      <c r="AJ261" s="449"/>
      <c r="AK261" s="451"/>
      <c r="AL261" s="450"/>
      <c r="AM261" s="449"/>
      <c r="AN261" s="451"/>
      <c r="AO261" s="450"/>
      <c r="AP261" s="449"/>
      <c r="AQ261" s="451"/>
      <c r="AR261" s="449"/>
      <c r="AS261" s="449"/>
      <c r="AT261" s="451"/>
      <c r="AU261" s="449"/>
      <c r="AV261" s="451"/>
      <c r="AW261" s="449"/>
      <c r="AX261" s="449"/>
      <c r="AY261" s="449"/>
      <c r="AZ261" s="449"/>
      <c r="BA261" s="449"/>
      <c r="BB261" s="449"/>
      <c r="BC261" s="449"/>
      <c r="BD261" s="449"/>
      <c r="BE261" s="449"/>
      <c r="BF261" s="449"/>
      <c r="BG261" s="449"/>
      <c r="BH261" s="449"/>
      <c r="BI261" s="449"/>
      <c r="BJ261" s="449"/>
      <c r="BK261" s="449"/>
      <c r="BL261" s="449"/>
      <c r="BM261" s="449"/>
      <c r="BN261" s="449"/>
    </row>
    <row r="262" spans="1:66" ht="13.15" x14ac:dyDescent="0.4">
      <c r="A262" s="469" t="s">
        <v>476</v>
      </c>
      <c r="B262" s="430" t="s">
        <v>843</v>
      </c>
      <c r="C262" s="463">
        <v>44399</v>
      </c>
      <c r="D262" s="430" t="s">
        <v>66</v>
      </c>
      <c r="E262" s="430">
        <v>39</v>
      </c>
      <c r="F262" s="430">
        <v>52</v>
      </c>
      <c r="G262" s="430" t="str">
        <f t="shared" si="67"/>
        <v>39 x 52</v>
      </c>
      <c r="H262" s="461" t="s">
        <v>50</v>
      </c>
      <c r="I262" s="438" t="s">
        <v>270</v>
      </c>
      <c r="J262" s="438">
        <v>26</v>
      </c>
      <c r="K262" s="438" t="s">
        <v>553</v>
      </c>
      <c r="L262" s="430" t="str">
        <f t="shared" si="54"/>
        <v>44399S-11251</v>
      </c>
      <c r="M262" s="430" t="s">
        <v>46</v>
      </c>
      <c r="N262" s="461">
        <v>168.64</v>
      </c>
      <c r="O262" s="461">
        <v>599.25</v>
      </c>
      <c r="P262" s="430">
        <f t="shared" si="46"/>
        <v>227.5</v>
      </c>
      <c r="Q262" s="430" t="str">
        <f t="shared" si="47"/>
        <v/>
      </c>
      <c r="R262" s="430" t="str">
        <f t="shared" si="48"/>
        <v/>
      </c>
      <c r="S262" s="430" t="str">
        <f t="shared" si="49"/>
        <v/>
      </c>
      <c r="T262" s="430" t="str">
        <f t="shared" si="50"/>
        <v/>
      </c>
      <c r="U262" s="430" t="str">
        <f t="shared" si="51"/>
        <v/>
      </c>
      <c r="V262" s="430" t="str">
        <f t="shared" si="52"/>
        <v/>
      </c>
      <c r="W262" s="430">
        <f t="shared" si="53"/>
        <v>2535</v>
      </c>
      <c r="X262" s="449"/>
      <c r="Z262" s="450"/>
      <c r="AA262" s="449"/>
      <c r="AB262" s="451"/>
      <c r="AC262" s="450"/>
      <c r="AD262" s="449"/>
      <c r="AE262" s="451"/>
      <c r="AF262" s="450"/>
      <c r="AG262" s="449"/>
      <c r="AH262" s="451"/>
      <c r="AI262" s="450"/>
      <c r="AJ262" s="449"/>
      <c r="AK262" s="451"/>
      <c r="AL262" s="450"/>
      <c r="AM262" s="449"/>
      <c r="AN262" s="451"/>
      <c r="AO262" s="450"/>
      <c r="AP262" s="449"/>
      <c r="AQ262" s="451"/>
      <c r="AR262" s="449"/>
      <c r="AS262" s="449"/>
      <c r="AT262" s="451"/>
      <c r="AU262" s="449"/>
      <c r="AV262" s="451"/>
      <c r="AW262" s="449"/>
      <c r="AX262" s="449"/>
      <c r="AY262" s="449"/>
      <c r="AZ262" s="449"/>
      <c r="BA262" s="449"/>
      <c r="BB262" s="449"/>
      <c r="BC262" s="449"/>
      <c r="BD262" s="449"/>
      <c r="BE262" s="449"/>
      <c r="BF262" s="449"/>
      <c r="BG262" s="449"/>
      <c r="BH262" s="449"/>
      <c r="BI262" s="449"/>
      <c r="BJ262" s="449"/>
      <c r="BK262" s="449"/>
      <c r="BL262" s="449"/>
      <c r="BM262" s="449"/>
      <c r="BN262" s="449"/>
    </row>
    <row r="263" spans="1:66" ht="13.15" x14ac:dyDescent="0.4">
      <c r="A263" s="468" t="s">
        <v>240</v>
      </c>
      <c r="B263" s="464" t="s">
        <v>844</v>
      </c>
      <c r="C263" s="465">
        <v>44406</v>
      </c>
      <c r="D263" s="464" t="s">
        <v>54</v>
      </c>
      <c r="E263" s="464">
        <v>30</v>
      </c>
      <c r="F263" s="464">
        <v>40</v>
      </c>
      <c r="G263" s="464" t="str">
        <f t="shared" si="67"/>
        <v>30 x 40</v>
      </c>
      <c r="H263" s="466" t="s">
        <v>690</v>
      </c>
      <c r="I263" s="446" t="s">
        <v>215</v>
      </c>
      <c r="J263" s="446">
        <v>38</v>
      </c>
      <c r="K263" s="446" t="s">
        <v>509</v>
      </c>
      <c r="L263" s="464" t="str">
        <f t="shared" si="54"/>
        <v>44406S-17587</v>
      </c>
      <c r="M263" s="464" t="s">
        <v>46</v>
      </c>
      <c r="N263" s="466">
        <v>160.99</v>
      </c>
      <c r="O263" s="466">
        <v>2465</v>
      </c>
      <c r="P263" s="430" t="str">
        <f t="shared" si="46"/>
        <v/>
      </c>
      <c r="Q263" s="430" t="str">
        <f t="shared" si="47"/>
        <v/>
      </c>
      <c r="R263" s="430">
        <f t="shared" si="48"/>
        <v>185</v>
      </c>
      <c r="S263" s="430" t="str">
        <f t="shared" si="49"/>
        <v/>
      </c>
      <c r="T263" s="430" t="str">
        <f t="shared" si="50"/>
        <v/>
      </c>
      <c r="U263" s="430" t="str">
        <f t="shared" si="51"/>
        <v/>
      </c>
      <c r="V263" s="430" t="str">
        <f t="shared" si="52"/>
        <v/>
      </c>
      <c r="W263" s="430" t="str">
        <f t="shared" si="53"/>
        <v/>
      </c>
      <c r="X263" s="449"/>
      <c r="Z263" s="450"/>
      <c r="AA263" s="449"/>
      <c r="AB263" s="451"/>
      <c r="AC263" s="450"/>
      <c r="AD263" s="449"/>
      <c r="AE263" s="451"/>
      <c r="AF263" s="450"/>
      <c r="AG263" s="449"/>
      <c r="AH263" s="451"/>
      <c r="AI263" s="450"/>
      <c r="AJ263" s="449"/>
      <c r="AK263" s="451"/>
      <c r="AL263" s="450"/>
      <c r="AM263" s="449"/>
      <c r="AN263" s="451"/>
      <c r="AO263" s="450"/>
      <c r="AP263" s="449"/>
      <c r="AQ263" s="451"/>
      <c r="AR263" s="449"/>
      <c r="AS263" s="449"/>
      <c r="AT263" s="451"/>
      <c r="AU263" s="449"/>
      <c r="AV263" s="451"/>
      <c r="AW263" s="449"/>
      <c r="AX263" s="449"/>
      <c r="AY263" s="449"/>
      <c r="AZ263" s="449"/>
      <c r="BA263" s="449"/>
      <c r="BB263" s="449"/>
      <c r="BC263" s="449"/>
      <c r="BD263" s="449"/>
      <c r="BE263" s="449"/>
      <c r="BF263" s="449"/>
      <c r="BG263" s="449"/>
      <c r="BH263" s="449"/>
      <c r="BI263" s="449"/>
      <c r="BJ263" s="449"/>
      <c r="BK263" s="449"/>
      <c r="BL263" s="449"/>
      <c r="BM263" s="449"/>
      <c r="BN263" s="449"/>
    </row>
    <row r="264" spans="1:66" ht="13.15" x14ac:dyDescent="0.4">
      <c r="A264" s="469" t="s">
        <v>519</v>
      </c>
      <c r="B264" s="430" t="s">
        <v>845</v>
      </c>
      <c r="C264" s="463">
        <v>44406</v>
      </c>
      <c r="D264" s="430" t="s">
        <v>54</v>
      </c>
      <c r="E264" s="430">
        <v>28</v>
      </c>
      <c r="F264" s="430">
        <v>36</v>
      </c>
      <c r="G264" s="430" t="str">
        <f t="shared" si="67"/>
        <v>28 x 36</v>
      </c>
      <c r="H264" s="461" t="s">
        <v>690</v>
      </c>
      <c r="I264" s="438" t="s">
        <v>291</v>
      </c>
      <c r="J264" s="438">
        <v>23</v>
      </c>
      <c r="K264" s="438" t="s">
        <v>583</v>
      </c>
      <c r="L264" s="430" t="str">
        <f t="shared" si="54"/>
        <v>44406S-4679</v>
      </c>
      <c r="M264" s="430" t="s">
        <v>46</v>
      </c>
      <c r="N264" s="461">
        <v>46.4</v>
      </c>
      <c r="O264" s="461">
        <v>2400</v>
      </c>
      <c r="P264" s="430" t="str">
        <f t="shared" si="46"/>
        <v/>
      </c>
      <c r="Q264" s="430" t="str">
        <f t="shared" si="47"/>
        <v/>
      </c>
      <c r="R264" s="430">
        <f t="shared" si="48"/>
        <v>170</v>
      </c>
      <c r="S264" s="430" t="str">
        <f t="shared" si="49"/>
        <v/>
      </c>
      <c r="T264" s="430" t="str">
        <f t="shared" si="50"/>
        <v/>
      </c>
      <c r="U264" s="430" t="str">
        <f t="shared" si="51"/>
        <v/>
      </c>
      <c r="V264" s="430" t="str">
        <f t="shared" si="52"/>
        <v/>
      </c>
      <c r="W264" s="430" t="str">
        <f t="shared" si="53"/>
        <v/>
      </c>
      <c r="X264" s="449"/>
      <c r="Z264" s="450"/>
      <c r="AA264" s="449"/>
      <c r="AB264" s="451"/>
      <c r="AC264" s="450"/>
      <c r="AD264" s="449"/>
      <c r="AE264" s="451"/>
      <c r="AF264" s="450"/>
      <c r="AG264" s="449"/>
      <c r="AH264" s="451"/>
      <c r="AI264" s="450"/>
      <c r="AJ264" s="449"/>
      <c r="AK264" s="451"/>
      <c r="AL264" s="450"/>
      <c r="AM264" s="449"/>
      <c r="AN264" s="451"/>
      <c r="AO264" s="450"/>
      <c r="AP264" s="449"/>
      <c r="AQ264" s="451"/>
      <c r="AR264" s="449"/>
      <c r="AS264" s="449"/>
      <c r="AT264" s="451"/>
      <c r="AU264" s="449"/>
      <c r="AV264" s="451"/>
      <c r="AW264" s="449"/>
      <c r="AX264" s="449"/>
      <c r="AY264" s="449"/>
      <c r="AZ264" s="449"/>
      <c r="BA264" s="449"/>
      <c r="BB264" s="449"/>
      <c r="BC264" s="449"/>
      <c r="BD264" s="449"/>
      <c r="BE264" s="449"/>
      <c r="BF264" s="449"/>
      <c r="BG264" s="449"/>
      <c r="BH264" s="449"/>
      <c r="BI264" s="449"/>
      <c r="BJ264" s="449"/>
      <c r="BK264" s="449"/>
      <c r="BL264" s="449"/>
      <c r="BM264" s="449"/>
      <c r="BN264" s="449"/>
    </row>
    <row r="265" spans="1:66" ht="13.15" x14ac:dyDescent="0.4">
      <c r="A265" s="469" t="s">
        <v>249</v>
      </c>
      <c r="B265" s="430" t="s">
        <v>846</v>
      </c>
      <c r="C265" s="463">
        <v>44406</v>
      </c>
      <c r="D265" s="430" t="s">
        <v>604</v>
      </c>
      <c r="E265" s="430">
        <v>17</v>
      </c>
      <c r="F265" s="430">
        <v>24</v>
      </c>
      <c r="G265" s="430" t="str">
        <f t="shared" si="67"/>
        <v>17 x 24</v>
      </c>
      <c r="H265" s="461" t="s">
        <v>50</v>
      </c>
      <c r="I265" s="438" t="s">
        <v>196</v>
      </c>
      <c r="J265" s="438">
        <v>6</v>
      </c>
      <c r="K265" s="438" t="s">
        <v>577</v>
      </c>
      <c r="L265" s="430" t="str">
        <f t="shared" si="54"/>
        <v>44406S-4553</v>
      </c>
      <c r="M265" s="430" t="s">
        <v>46</v>
      </c>
      <c r="N265" s="461">
        <v>21.94</v>
      </c>
      <c r="O265" s="461">
        <v>0</v>
      </c>
      <c r="P265" s="430" t="str">
        <f t="shared" si="46"/>
        <v/>
      </c>
      <c r="Q265" s="430" t="str">
        <f t="shared" si="47"/>
        <v/>
      </c>
      <c r="R265" s="430" t="str">
        <f t="shared" si="48"/>
        <v/>
      </c>
      <c r="S265" s="430" t="str">
        <f t="shared" si="49"/>
        <v/>
      </c>
      <c r="T265" s="430" t="str">
        <f t="shared" si="50"/>
        <v/>
      </c>
      <c r="U265" s="430" t="str">
        <f t="shared" si="51"/>
        <v/>
      </c>
      <c r="V265" s="430" t="str">
        <f t="shared" si="52"/>
        <v/>
      </c>
      <c r="W265" s="430" t="str">
        <f t="shared" si="53"/>
        <v/>
      </c>
      <c r="X265" s="449"/>
      <c r="Z265" s="450"/>
      <c r="AA265" s="449"/>
      <c r="AB265" s="451"/>
      <c r="AC265" s="450"/>
      <c r="AD265" s="449"/>
      <c r="AE265" s="451"/>
      <c r="AF265" s="450"/>
      <c r="AG265" s="449"/>
      <c r="AH265" s="451"/>
      <c r="AI265" s="450"/>
      <c r="AJ265" s="449"/>
      <c r="AK265" s="451"/>
      <c r="AL265" s="450"/>
      <c r="AM265" s="449"/>
      <c r="AN265" s="451"/>
      <c r="AO265" s="450"/>
      <c r="AP265" s="449"/>
      <c r="AQ265" s="451"/>
      <c r="AR265" s="449"/>
      <c r="AS265" s="449"/>
      <c r="AT265" s="451"/>
      <c r="AU265" s="449"/>
      <c r="AV265" s="451"/>
      <c r="AW265" s="449"/>
      <c r="AX265" s="449"/>
      <c r="AY265" s="449"/>
      <c r="AZ265" s="449"/>
      <c r="BA265" s="449"/>
      <c r="BB265" s="449"/>
      <c r="BC265" s="449"/>
      <c r="BD265" s="449"/>
      <c r="BE265" s="449"/>
      <c r="BF265" s="449"/>
      <c r="BG265" s="449"/>
      <c r="BH265" s="449"/>
      <c r="BI265" s="449"/>
      <c r="BJ265" s="449"/>
      <c r="BK265" s="449"/>
      <c r="BL265" s="449"/>
      <c r="BM265" s="449"/>
      <c r="BN265" s="449"/>
    </row>
    <row r="266" spans="1:66" ht="13.15" x14ac:dyDescent="0.4">
      <c r="A266" s="469" t="s">
        <v>488</v>
      </c>
      <c r="B266" s="430" t="s">
        <v>847</v>
      </c>
      <c r="C266" s="463">
        <v>44406</v>
      </c>
      <c r="D266" s="430" t="s">
        <v>66</v>
      </c>
      <c r="E266" s="430">
        <v>28</v>
      </c>
      <c r="F266" s="430">
        <v>28</v>
      </c>
      <c r="G266" s="430" t="str">
        <f t="shared" si="67"/>
        <v>28 x 28</v>
      </c>
      <c r="H266" s="461" t="s">
        <v>50</v>
      </c>
      <c r="I266" s="438" t="s">
        <v>274</v>
      </c>
      <c r="J266" s="438">
        <v>14</v>
      </c>
      <c r="K266" s="438" t="s">
        <v>583</v>
      </c>
      <c r="L266" s="430" t="str">
        <f t="shared" si="54"/>
        <v>44406S-4679</v>
      </c>
      <c r="M266" s="430" t="s">
        <v>46</v>
      </c>
      <c r="N266" s="461">
        <f t="shared" ref="N266:N268" si="75">163.92/3</f>
        <v>54.639999999999993</v>
      </c>
      <c r="O266" s="461">
        <f t="shared" ref="O266:O268" si="76">955.4/3</f>
        <v>318.46666666666664</v>
      </c>
      <c r="P266" s="430">
        <f t="shared" si="46"/>
        <v>140</v>
      </c>
      <c r="Q266" s="430" t="str">
        <f t="shared" si="47"/>
        <v/>
      </c>
      <c r="R266" s="430" t="str">
        <f t="shared" si="48"/>
        <v/>
      </c>
      <c r="S266" s="430" t="str">
        <f t="shared" si="49"/>
        <v/>
      </c>
      <c r="T266" s="430" t="str">
        <f t="shared" si="50"/>
        <v/>
      </c>
      <c r="U266" s="430" t="str">
        <f t="shared" si="51"/>
        <v/>
      </c>
      <c r="V266" s="430" t="str">
        <f t="shared" si="52"/>
        <v/>
      </c>
      <c r="W266" s="430">
        <f t="shared" si="53"/>
        <v>980</v>
      </c>
      <c r="X266" s="449"/>
      <c r="Z266" s="450"/>
      <c r="AA266" s="449"/>
      <c r="AB266" s="451"/>
      <c r="AC266" s="450"/>
      <c r="AD266" s="449"/>
      <c r="AE266" s="451"/>
      <c r="AF266" s="450"/>
      <c r="AG266" s="449"/>
      <c r="AH266" s="451"/>
      <c r="AI266" s="450"/>
      <c r="AJ266" s="449"/>
      <c r="AK266" s="451"/>
      <c r="AL266" s="450"/>
      <c r="AM266" s="449"/>
      <c r="AN266" s="451"/>
      <c r="AO266" s="450"/>
      <c r="AP266" s="449"/>
      <c r="AQ266" s="451"/>
      <c r="AR266" s="449"/>
      <c r="AS266" s="449"/>
      <c r="AT266" s="451"/>
      <c r="AU266" s="449"/>
      <c r="AV266" s="451"/>
      <c r="AW266" s="449"/>
      <c r="AX266" s="449"/>
      <c r="AY266" s="449"/>
      <c r="AZ266" s="449"/>
      <c r="BA266" s="449"/>
      <c r="BB266" s="449"/>
      <c r="BC266" s="449"/>
      <c r="BD266" s="449"/>
      <c r="BE266" s="449"/>
      <c r="BF266" s="449"/>
      <c r="BG266" s="449"/>
      <c r="BH266" s="449"/>
      <c r="BI266" s="449"/>
      <c r="BJ266" s="449"/>
      <c r="BK266" s="449"/>
      <c r="BL266" s="449"/>
      <c r="BM266" s="449"/>
      <c r="BN266" s="449"/>
    </row>
    <row r="267" spans="1:66" ht="13.15" x14ac:dyDescent="0.4">
      <c r="A267" s="469" t="s">
        <v>848</v>
      </c>
      <c r="B267" s="430" t="s">
        <v>847</v>
      </c>
      <c r="C267" s="463">
        <v>44406</v>
      </c>
      <c r="D267" s="430" t="s">
        <v>66</v>
      </c>
      <c r="E267" s="430">
        <v>27</v>
      </c>
      <c r="F267" s="430">
        <v>38</v>
      </c>
      <c r="G267" s="430" t="str">
        <f t="shared" si="67"/>
        <v>27 x 38</v>
      </c>
      <c r="H267" s="461" t="s">
        <v>50</v>
      </c>
      <c r="I267" s="438" t="s">
        <v>258</v>
      </c>
      <c r="J267" s="438">
        <v>14</v>
      </c>
      <c r="K267" s="438" t="s">
        <v>583</v>
      </c>
      <c r="L267" s="430" t="str">
        <f t="shared" si="54"/>
        <v>44406S-4679</v>
      </c>
      <c r="M267" s="430" t="s">
        <v>46</v>
      </c>
      <c r="N267" s="461">
        <f t="shared" si="75"/>
        <v>54.639999999999993</v>
      </c>
      <c r="O267" s="461">
        <f t="shared" si="76"/>
        <v>318.46666666666664</v>
      </c>
      <c r="P267" s="430">
        <f t="shared" si="46"/>
        <v>162.5</v>
      </c>
      <c r="Q267" s="430" t="str">
        <f t="shared" si="47"/>
        <v/>
      </c>
      <c r="R267" s="430" t="str">
        <f t="shared" si="48"/>
        <v/>
      </c>
      <c r="S267" s="430" t="str">
        <f t="shared" si="49"/>
        <v/>
      </c>
      <c r="T267" s="430" t="str">
        <f t="shared" si="50"/>
        <v/>
      </c>
      <c r="U267" s="430" t="str">
        <f t="shared" si="51"/>
        <v/>
      </c>
      <c r="V267" s="430" t="str">
        <f t="shared" si="52"/>
        <v/>
      </c>
      <c r="W267" s="430">
        <f t="shared" si="53"/>
        <v>1283</v>
      </c>
      <c r="X267" s="449"/>
      <c r="Z267" s="450"/>
      <c r="AA267" s="449"/>
      <c r="AB267" s="451"/>
      <c r="AC267" s="450"/>
      <c r="AD267" s="449"/>
      <c r="AE267" s="451"/>
      <c r="AF267" s="450"/>
      <c r="AG267" s="449"/>
      <c r="AH267" s="451"/>
      <c r="AI267" s="450"/>
      <c r="AJ267" s="449"/>
      <c r="AK267" s="451"/>
      <c r="AL267" s="450"/>
      <c r="AM267" s="449"/>
      <c r="AN267" s="451"/>
      <c r="AO267" s="450"/>
      <c r="AP267" s="449"/>
      <c r="AQ267" s="451"/>
      <c r="AR267" s="449"/>
      <c r="AS267" s="449"/>
      <c r="AT267" s="451"/>
      <c r="AU267" s="449"/>
      <c r="AV267" s="451"/>
      <c r="AW267" s="449"/>
      <c r="AX267" s="449"/>
      <c r="AY267" s="449"/>
      <c r="AZ267" s="449"/>
      <c r="BA267" s="449"/>
      <c r="BB267" s="449"/>
      <c r="BC267" s="449"/>
      <c r="BD267" s="449"/>
      <c r="BE267" s="449"/>
      <c r="BF267" s="449"/>
      <c r="BG267" s="449"/>
      <c r="BH267" s="449"/>
      <c r="BI267" s="449"/>
      <c r="BJ267" s="449"/>
      <c r="BK267" s="449"/>
      <c r="BL267" s="449"/>
      <c r="BM267" s="449"/>
      <c r="BN267" s="449"/>
    </row>
    <row r="268" spans="1:66" ht="13.15" x14ac:dyDescent="0.4">
      <c r="A268" s="469" t="s">
        <v>614</v>
      </c>
      <c r="B268" s="430" t="s">
        <v>847</v>
      </c>
      <c r="C268" s="463">
        <v>44406</v>
      </c>
      <c r="D268" s="430" t="s">
        <v>66</v>
      </c>
      <c r="E268" s="430">
        <v>29</v>
      </c>
      <c r="F268" s="430">
        <v>37</v>
      </c>
      <c r="G268" s="430" t="str">
        <f t="shared" si="67"/>
        <v>29 x 37</v>
      </c>
      <c r="H268" s="461" t="s">
        <v>50</v>
      </c>
      <c r="I268" s="438" t="s">
        <v>275</v>
      </c>
      <c r="J268" s="438">
        <v>15</v>
      </c>
      <c r="K268" s="438" t="s">
        <v>583</v>
      </c>
      <c r="L268" s="430" t="str">
        <f t="shared" si="54"/>
        <v>44406S-4679</v>
      </c>
      <c r="M268" s="430" t="s">
        <v>46</v>
      </c>
      <c r="N268" s="461">
        <f t="shared" si="75"/>
        <v>54.639999999999993</v>
      </c>
      <c r="O268" s="461">
        <f t="shared" si="76"/>
        <v>318.46666666666664</v>
      </c>
      <c r="P268" s="430">
        <f t="shared" si="46"/>
        <v>165</v>
      </c>
      <c r="Q268" s="430" t="str">
        <f t="shared" si="47"/>
        <v/>
      </c>
      <c r="R268" s="430" t="str">
        <f t="shared" si="48"/>
        <v/>
      </c>
      <c r="S268" s="430" t="str">
        <f t="shared" si="49"/>
        <v/>
      </c>
      <c r="T268" s="430" t="str">
        <f t="shared" si="50"/>
        <v/>
      </c>
      <c r="U268" s="430" t="str">
        <f t="shared" si="51"/>
        <v/>
      </c>
      <c r="V268" s="430" t="str">
        <f t="shared" si="52"/>
        <v/>
      </c>
      <c r="W268" s="430">
        <f t="shared" si="53"/>
        <v>1342</v>
      </c>
      <c r="X268" s="449"/>
      <c r="Z268" s="450"/>
      <c r="AA268" s="449"/>
      <c r="AB268" s="451"/>
      <c r="AC268" s="450"/>
      <c r="AD268" s="449"/>
      <c r="AE268" s="451"/>
      <c r="AF268" s="450"/>
      <c r="AG268" s="449"/>
      <c r="AH268" s="451"/>
      <c r="AI268" s="450"/>
      <c r="AJ268" s="449"/>
      <c r="AK268" s="451"/>
      <c r="AL268" s="450"/>
      <c r="AM268" s="449"/>
      <c r="AN268" s="451"/>
      <c r="AO268" s="450"/>
      <c r="AP268" s="449"/>
      <c r="AQ268" s="451"/>
      <c r="AR268" s="449"/>
      <c r="AS268" s="449"/>
      <c r="AT268" s="451"/>
      <c r="AU268" s="449"/>
      <c r="AV268" s="451"/>
      <c r="AW268" s="449"/>
      <c r="AX268" s="449"/>
      <c r="AY268" s="449"/>
      <c r="AZ268" s="449"/>
      <c r="BA268" s="449"/>
      <c r="BB268" s="449"/>
      <c r="BC268" s="449"/>
      <c r="BD268" s="449"/>
      <c r="BE268" s="449"/>
      <c r="BF268" s="449"/>
      <c r="BG268" s="449"/>
      <c r="BH268" s="449"/>
      <c r="BI268" s="449"/>
      <c r="BJ268" s="449"/>
      <c r="BK268" s="449"/>
      <c r="BL268" s="449"/>
      <c r="BM268" s="449"/>
      <c r="BN268" s="449"/>
    </row>
    <row r="269" spans="1:66" ht="13.15" x14ac:dyDescent="0.4">
      <c r="A269" s="469" t="s">
        <v>810</v>
      </c>
      <c r="B269" s="430" t="s">
        <v>849</v>
      </c>
      <c r="C269" s="463">
        <v>44406</v>
      </c>
      <c r="D269" s="430" t="s">
        <v>42</v>
      </c>
      <c r="E269" s="430">
        <v>30</v>
      </c>
      <c r="F269" s="430">
        <v>42</v>
      </c>
      <c r="G269" s="430" t="str">
        <f t="shared" si="67"/>
        <v>30 x 42</v>
      </c>
      <c r="H269" s="461" t="s">
        <v>690</v>
      </c>
      <c r="I269" s="438" t="s">
        <v>351</v>
      </c>
      <c r="J269" s="438">
        <v>30</v>
      </c>
      <c r="K269" s="438" t="s">
        <v>553</v>
      </c>
      <c r="L269" s="430" t="str">
        <f t="shared" si="54"/>
        <v>44406S-11251</v>
      </c>
      <c r="M269" s="430" t="s">
        <v>712</v>
      </c>
      <c r="N269" s="461">
        <v>512.85</v>
      </c>
      <c r="O269" s="461">
        <v>0</v>
      </c>
      <c r="P269" s="430">
        <f t="shared" si="46"/>
        <v>180</v>
      </c>
      <c r="Q269" s="430">
        <f t="shared" si="47"/>
        <v>190</v>
      </c>
      <c r="R269" s="430" t="str">
        <f t="shared" si="48"/>
        <v/>
      </c>
      <c r="S269" s="430" t="str">
        <f t="shared" si="49"/>
        <v/>
      </c>
      <c r="T269" s="430" t="str">
        <f t="shared" si="50"/>
        <v/>
      </c>
      <c r="U269" s="430" t="str">
        <f t="shared" si="51"/>
        <v/>
      </c>
      <c r="V269" s="430" t="str">
        <f t="shared" si="52"/>
        <v/>
      </c>
      <c r="W269" s="430" t="str">
        <f t="shared" si="53"/>
        <v/>
      </c>
      <c r="X269" s="449"/>
      <c r="Z269" s="450"/>
      <c r="AA269" s="449"/>
      <c r="AB269" s="451"/>
      <c r="AC269" s="450"/>
      <c r="AD269" s="449"/>
      <c r="AE269" s="451"/>
      <c r="AF269" s="450"/>
      <c r="AG269" s="449"/>
      <c r="AH269" s="451"/>
      <c r="AI269" s="450"/>
      <c r="AJ269" s="449"/>
      <c r="AK269" s="451"/>
      <c r="AL269" s="450"/>
      <c r="AM269" s="449"/>
      <c r="AN269" s="451"/>
      <c r="AO269" s="450"/>
      <c r="AP269" s="449"/>
      <c r="AQ269" s="451"/>
      <c r="AR269" s="449"/>
      <c r="AS269" s="449"/>
      <c r="AT269" s="451"/>
      <c r="AU269" s="449"/>
      <c r="AV269" s="451"/>
      <c r="AW269" s="449"/>
      <c r="AX269" s="449"/>
      <c r="AY269" s="449"/>
      <c r="AZ269" s="449"/>
      <c r="BA269" s="449"/>
      <c r="BB269" s="449"/>
      <c r="BC269" s="449"/>
      <c r="BD269" s="449"/>
      <c r="BE269" s="449"/>
      <c r="BF269" s="449"/>
      <c r="BG269" s="449"/>
      <c r="BH269" s="449"/>
      <c r="BI269" s="449"/>
      <c r="BJ269" s="449"/>
      <c r="BK269" s="449"/>
      <c r="BL269" s="449"/>
      <c r="BM269" s="449"/>
      <c r="BN269" s="449"/>
    </row>
    <row r="270" spans="1:66" ht="13.15" x14ac:dyDescent="0.4">
      <c r="A270" s="469" t="s">
        <v>850</v>
      </c>
      <c r="B270" s="430" t="s">
        <v>849</v>
      </c>
      <c r="C270" s="463">
        <v>44406</v>
      </c>
      <c r="D270" s="430" t="s">
        <v>42</v>
      </c>
      <c r="E270" s="430">
        <v>36</v>
      </c>
      <c r="F270" s="430">
        <v>50</v>
      </c>
      <c r="G270" s="430" t="str">
        <f t="shared" si="67"/>
        <v>36 x 50</v>
      </c>
      <c r="H270" s="461" t="s">
        <v>690</v>
      </c>
      <c r="I270" s="438" t="s">
        <v>369</v>
      </c>
      <c r="J270" s="438">
        <v>36</v>
      </c>
      <c r="K270" s="438" t="s">
        <v>553</v>
      </c>
      <c r="L270" s="430" t="str">
        <f t="shared" si="54"/>
        <v>44406S-11251</v>
      </c>
      <c r="M270" s="430" t="s">
        <v>712</v>
      </c>
      <c r="N270" s="461">
        <v>632.34</v>
      </c>
      <c r="O270" s="461">
        <v>0</v>
      </c>
      <c r="P270" s="430">
        <f t="shared" si="46"/>
        <v>215</v>
      </c>
      <c r="Q270" s="430">
        <f t="shared" si="47"/>
        <v>225</v>
      </c>
      <c r="R270" s="430" t="str">
        <f t="shared" si="48"/>
        <v/>
      </c>
      <c r="S270" s="430" t="str">
        <f t="shared" si="49"/>
        <v/>
      </c>
      <c r="T270" s="430" t="str">
        <f t="shared" si="50"/>
        <v/>
      </c>
      <c r="U270" s="430" t="str">
        <f t="shared" si="51"/>
        <v/>
      </c>
      <c r="V270" s="430" t="str">
        <f t="shared" si="52"/>
        <v/>
      </c>
      <c r="W270" s="430" t="str">
        <f t="shared" si="53"/>
        <v/>
      </c>
      <c r="X270" s="449"/>
      <c r="Z270" s="450"/>
      <c r="AA270" s="449"/>
      <c r="AB270" s="451"/>
      <c r="AC270" s="450"/>
      <c r="AD270" s="449"/>
      <c r="AE270" s="451"/>
      <c r="AF270" s="450"/>
      <c r="AG270" s="449"/>
      <c r="AH270" s="451"/>
      <c r="AI270" s="450"/>
      <c r="AJ270" s="449"/>
      <c r="AK270" s="451"/>
      <c r="AL270" s="450"/>
      <c r="AM270" s="449"/>
      <c r="AN270" s="451"/>
      <c r="AO270" s="450"/>
      <c r="AP270" s="449"/>
      <c r="AQ270" s="451"/>
      <c r="AR270" s="449"/>
      <c r="AS270" s="449"/>
      <c r="AT270" s="451"/>
      <c r="AU270" s="449"/>
      <c r="AV270" s="451"/>
      <c r="AW270" s="449"/>
      <c r="AX270" s="449"/>
      <c r="AY270" s="449"/>
      <c r="AZ270" s="449"/>
      <c r="BA270" s="449"/>
      <c r="BB270" s="449"/>
      <c r="BC270" s="449"/>
      <c r="BD270" s="449"/>
      <c r="BE270" s="449"/>
      <c r="BF270" s="449"/>
      <c r="BG270" s="449"/>
      <c r="BH270" s="449"/>
      <c r="BI270" s="449"/>
      <c r="BJ270" s="449"/>
      <c r="BK270" s="449"/>
      <c r="BL270" s="449"/>
      <c r="BM270" s="449"/>
      <c r="BN270" s="449"/>
    </row>
    <row r="271" spans="1:66" ht="13.15" x14ac:dyDescent="0.4">
      <c r="A271" s="469" t="s">
        <v>852</v>
      </c>
      <c r="B271" s="430" t="s">
        <v>851</v>
      </c>
      <c r="C271" s="463">
        <v>44406</v>
      </c>
      <c r="D271" s="430" t="s">
        <v>42</v>
      </c>
      <c r="E271" s="430">
        <v>24</v>
      </c>
      <c r="F271" s="430">
        <v>40</v>
      </c>
      <c r="G271" s="430" t="str">
        <f t="shared" si="67"/>
        <v>24 x 40</v>
      </c>
      <c r="H271" s="461" t="s">
        <v>690</v>
      </c>
      <c r="I271" s="438" t="s">
        <v>319</v>
      </c>
      <c r="J271" s="438">
        <v>27</v>
      </c>
      <c r="K271" s="438" t="s">
        <v>523</v>
      </c>
      <c r="L271" s="430" t="str">
        <f t="shared" si="54"/>
        <v>44406S-16375</v>
      </c>
      <c r="M271" s="430" t="s">
        <v>712</v>
      </c>
      <c r="N271" s="461">
        <v>604.03</v>
      </c>
      <c r="O271" s="461">
        <v>14400</v>
      </c>
      <c r="P271" s="430">
        <f t="shared" si="46"/>
        <v>160</v>
      </c>
      <c r="Q271" s="430">
        <f t="shared" si="47"/>
        <v>170</v>
      </c>
      <c r="R271" s="430" t="str">
        <f t="shared" si="48"/>
        <v/>
      </c>
      <c r="S271" s="430" t="str">
        <f t="shared" si="49"/>
        <v/>
      </c>
      <c r="T271" s="430" t="str">
        <f t="shared" si="50"/>
        <v/>
      </c>
      <c r="U271" s="430" t="str">
        <f t="shared" si="51"/>
        <v/>
      </c>
      <c r="V271" s="430" t="str">
        <f t="shared" si="52"/>
        <v/>
      </c>
      <c r="W271" s="430" t="str">
        <f t="shared" si="53"/>
        <v/>
      </c>
      <c r="X271" s="449"/>
      <c r="Z271" s="450"/>
      <c r="AA271" s="449"/>
      <c r="AB271" s="451"/>
      <c r="AC271" s="450"/>
      <c r="AD271" s="449"/>
      <c r="AE271" s="451"/>
      <c r="AF271" s="450"/>
      <c r="AG271" s="449"/>
      <c r="AH271" s="451"/>
      <c r="AI271" s="450"/>
      <c r="AJ271" s="449"/>
      <c r="AK271" s="451"/>
      <c r="AL271" s="450"/>
      <c r="AM271" s="449"/>
      <c r="AN271" s="451"/>
      <c r="AO271" s="450"/>
      <c r="AP271" s="449"/>
      <c r="AQ271" s="451"/>
      <c r="AR271" s="449"/>
      <c r="AS271" s="449"/>
      <c r="AT271" s="451"/>
      <c r="AU271" s="449"/>
      <c r="AV271" s="451"/>
      <c r="AW271" s="449"/>
      <c r="AX271" s="449"/>
      <c r="AY271" s="449"/>
      <c r="AZ271" s="449"/>
      <c r="BA271" s="449"/>
      <c r="BB271" s="449"/>
      <c r="BC271" s="449"/>
      <c r="BD271" s="449"/>
      <c r="BE271" s="449"/>
      <c r="BF271" s="449"/>
      <c r="BG271" s="449"/>
      <c r="BH271" s="449"/>
      <c r="BI271" s="449"/>
      <c r="BJ271" s="449"/>
      <c r="BK271" s="449"/>
      <c r="BL271" s="449"/>
      <c r="BM271" s="449"/>
      <c r="BN271" s="449"/>
    </row>
    <row r="272" spans="1:66" ht="13.15" x14ac:dyDescent="0.4">
      <c r="A272" s="469" t="s">
        <v>839</v>
      </c>
      <c r="B272" s="430" t="s">
        <v>853</v>
      </c>
      <c r="C272" s="463">
        <v>44406</v>
      </c>
      <c r="D272" s="430" t="s">
        <v>66</v>
      </c>
      <c r="E272" s="430">
        <v>18</v>
      </c>
      <c r="F272" s="430">
        <v>18</v>
      </c>
      <c r="G272" s="430" t="str">
        <f t="shared" si="67"/>
        <v>18 x 18</v>
      </c>
      <c r="H272" s="461" t="s">
        <v>50</v>
      </c>
      <c r="I272" s="438" t="s">
        <v>208</v>
      </c>
      <c r="J272" s="438">
        <v>6</v>
      </c>
      <c r="K272" s="438" t="s">
        <v>577</v>
      </c>
      <c r="L272" s="430" t="str">
        <f t="shared" si="54"/>
        <v>44406S-4553</v>
      </c>
      <c r="M272" s="430" t="s">
        <v>46</v>
      </c>
      <c r="N272" s="461">
        <v>18.73</v>
      </c>
      <c r="O272" s="461">
        <v>192.95</v>
      </c>
      <c r="P272" s="430">
        <f t="shared" si="46"/>
        <v>90</v>
      </c>
      <c r="Q272" s="430" t="str">
        <f t="shared" si="47"/>
        <v/>
      </c>
      <c r="R272" s="430" t="str">
        <f t="shared" si="48"/>
        <v/>
      </c>
      <c r="S272" s="430" t="str">
        <f t="shared" si="49"/>
        <v/>
      </c>
      <c r="T272" s="430" t="str">
        <f t="shared" si="50"/>
        <v/>
      </c>
      <c r="U272" s="430" t="str">
        <f t="shared" si="51"/>
        <v/>
      </c>
      <c r="V272" s="430" t="str">
        <f t="shared" si="52"/>
        <v/>
      </c>
      <c r="W272" s="430">
        <f t="shared" si="53"/>
        <v>405</v>
      </c>
      <c r="X272" s="449"/>
      <c r="Z272" s="450"/>
      <c r="AA272" s="449"/>
      <c r="AB272" s="451"/>
      <c r="AC272" s="450"/>
      <c r="AD272" s="449"/>
      <c r="AE272" s="451"/>
      <c r="AF272" s="450"/>
      <c r="AG272" s="449"/>
      <c r="AH272" s="451"/>
      <c r="AI272" s="450"/>
      <c r="AJ272" s="449"/>
      <c r="AK272" s="451"/>
      <c r="AL272" s="450"/>
      <c r="AM272" s="449"/>
      <c r="AN272" s="451"/>
      <c r="AO272" s="450"/>
      <c r="AP272" s="449"/>
      <c r="AQ272" s="451"/>
      <c r="AR272" s="449"/>
      <c r="AS272" s="449"/>
      <c r="AT272" s="451"/>
      <c r="AU272" s="449"/>
      <c r="AV272" s="451"/>
      <c r="AW272" s="449"/>
      <c r="AX272" s="449"/>
      <c r="AY272" s="449"/>
      <c r="AZ272" s="449"/>
      <c r="BA272" s="449"/>
      <c r="BB272" s="449"/>
      <c r="BC272" s="449"/>
      <c r="BD272" s="449"/>
      <c r="BE272" s="449"/>
      <c r="BF272" s="449"/>
      <c r="BG272" s="449"/>
      <c r="BH272" s="449"/>
      <c r="BI272" s="449"/>
      <c r="BJ272" s="449"/>
      <c r="BK272" s="449"/>
      <c r="BL272" s="449"/>
      <c r="BM272" s="449"/>
      <c r="BN272" s="449"/>
    </row>
    <row r="273" spans="1:66" ht="13.15" x14ac:dyDescent="0.4">
      <c r="A273" s="469" t="s">
        <v>249</v>
      </c>
      <c r="B273" s="430" t="s">
        <v>854</v>
      </c>
      <c r="C273" s="463">
        <v>44406</v>
      </c>
      <c r="D273" s="430" t="s">
        <v>54</v>
      </c>
      <c r="E273" s="430">
        <v>28</v>
      </c>
      <c r="F273" s="430">
        <v>40</v>
      </c>
      <c r="G273" s="430" t="str">
        <f t="shared" si="67"/>
        <v>28 x 40</v>
      </c>
      <c r="H273" s="461" t="s">
        <v>690</v>
      </c>
      <c r="I273" s="438" t="s">
        <v>285</v>
      </c>
      <c r="J273" s="438">
        <v>36</v>
      </c>
      <c r="K273" s="438" t="s">
        <v>509</v>
      </c>
      <c r="L273" s="430" t="str">
        <f t="shared" si="54"/>
        <v>44406S-17587</v>
      </c>
      <c r="M273" s="430" t="s">
        <v>46</v>
      </c>
      <c r="N273" s="461">
        <v>113.2</v>
      </c>
      <c r="O273" s="461">
        <v>2210</v>
      </c>
      <c r="P273" s="430" t="str">
        <f t="shared" si="46"/>
        <v/>
      </c>
      <c r="Q273" s="430" t="str">
        <f t="shared" si="47"/>
        <v/>
      </c>
      <c r="R273" s="430">
        <f t="shared" si="48"/>
        <v>180</v>
      </c>
      <c r="S273" s="430" t="str">
        <f t="shared" si="49"/>
        <v/>
      </c>
      <c r="T273" s="430" t="str">
        <f t="shared" si="50"/>
        <v/>
      </c>
      <c r="U273" s="430" t="str">
        <f t="shared" si="51"/>
        <v/>
      </c>
      <c r="V273" s="430" t="str">
        <f t="shared" si="52"/>
        <v/>
      </c>
      <c r="W273" s="430" t="str">
        <f t="shared" si="53"/>
        <v/>
      </c>
      <c r="X273" s="449"/>
      <c r="Z273" s="450"/>
      <c r="AA273" s="449"/>
      <c r="AB273" s="451"/>
      <c r="AC273" s="450"/>
      <c r="AD273" s="449"/>
      <c r="AE273" s="451"/>
      <c r="AF273" s="450"/>
      <c r="AG273" s="449"/>
      <c r="AH273" s="451"/>
      <c r="AI273" s="450"/>
      <c r="AJ273" s="449"/>
      <c r="AK273" s="451"/>
      <c r="AL273" s="450"/>
      <c r="AM273" s="449"/>
      <c r="AN273" s="451"/>
      <c r="AO273" s="450"/>
      <c r="AP273" s="449"/>
      <c r="AQ273" s="451"/>
      <c r="AR273" s="449"/>
      <c r="AS273" s="449"/>
      <c r="AT273" s="451"/>
      <c r="AU273" s="449"/>
      <c r="AV273" s="451"/>
      <c r="AW273" s="449"/>
      <c r="AX273" s="449"/>
      <c r="AY273" s="449"/>
      <c r="AZ273" s="449"/>
      <c r="BA273" s="449"/>
      <c r="BB273" s="449"/>
      <c r="BC273" s="449"/>
      <c r="BD273" s="449"/>
      <c r="BE273" s="449"/>
      <c r="BF273" s="449"/>
      <c r="BG273" s="449"/>
      <c r="BH273" s="449"/>
      <c r="BI273" s="449"/>
      <c r="BJ273" s="449"/>
      <c r="BK273" s="449"/>
      <c r="BL273" s="449"/>
      <c r="BM273" s="449"/>
      <c r="BN273" s="449"/>
    </row>
    <row r="274" spans="1:66" ht="13.15" x14ac:dyDescent="0.4">
      <c r="A274" s="469" t="s">
        <v>242</v>
      </c>
      <c r="B274" s="430" t="s">
        <v>855</v>
      </c>
      <c r="C274" s="463">
        <v>44406</v>
      </c>
      <c r="D274" s="430" t="s">
        <v>54</v>
      </c>
      <c r="E274" s="430">
        <v>30</v>
      </c>
      <c r="F274" s="430">
        <v>48</v>
      </c>
      <c r="G274" s="430" t="str">
        <f t="shared" si="67"/>
        <v>30 x 48</v>
      </c>
      <c r="H274" s="461" t="s">
        <v>690</v>
      </c>
      <c r="I274" s="438" t="str">
        <f t="shared" ref="I274:I277" si="77">E274+2&amp;" x "&amp;F274+2</f>
        <v>32 x 50</v>
      </c>
      <c r="J274" s="438">
        <v>41</v>
      </c>
      <c r="K274" s="438" t="s">
        <v>509</v>
      </c>
      <c r="L274" s="430" t="str">
        <f t="shared" si="54"/>
        <v>44406S-17587</v>
      </c>
      <c r="M274" s="430" t="s">
        <v>46</v>
      </c>
      <c r="N274" s="461">
        <f t="shared" ref="N274:N275" si="78">337.28/2</f>
        <v>168.64</v>
      </c>
      <c r="O274" s="461">
        <f t="shared" ref="O274:O275" si="79">6800/2</f>
        <v>3400</v>
      </c>
      <c r="P274" s="430" t="str">
        <f t="shared" si="46"/>
        <v/>
      </c>
      <c r="Q274" s="430" t="str">
        <f t="shared" si="47"/>
        <v/>
      </c>
      <c r="R274" s="430">
        <f t="shared" si="48"/>
        <v>205</v>
      </c>
      <c r="S274" s="430" t="str">
        <f t="shared" si="49"/>
        <v/>
      </c>
      <c r="T274" s="430" t="str">
        <f t="shared" si="50"/>
        <v/>
      </c>
      <c r="U274" s="430" t="str">
        <f t="shared" si="51"/>
        <v/>
      </c>
      <c r="V274" s="430" t="str">
        <f t="shared" si="52"/>
        <v/>
      </c>
      <c r="W274" s="430" t="str">
        <f t="shared" si="53"/>
        <v/>
      </c>
      <c r="X274" s="449"/>
      <c r="Z274" s="450"/>
      <c r="AA274" s="449"/>
      <c r="AB274" s="451"/>
      <c r="AC274" s="450"/>
      <c r="AD274" s="449"/>
      <c r="AE274" s="451"/>
      <c r="AF274" s="450"/>
      <c r="AG274" s="449"/>
      <c r="AH274" s="451"/>
      <c r="AI274" s="450"/>
      <c r="AJ274" s="449"/>
      <c r="AK274" s="451"/>
      <c r="AL274" s="450"/>
      <c r="AM274" s="449"/>
      <c r="AN274" s="451"/>
      <c r="AO274" s="450"/>
      <c r="AP274" s="449"/>
      <c r="AQ274" s="451"/>
      <c r="AR274" s="449"/>
      <c r="AS274" s="449"/>
      <c r="AT274" s="451"/>
      <c r="AU274" s="449"/>
      <c r="AV274" s="451"/>
      <c r="AW274" s="449"/>
      <c r="AX274" s="449"/>
      <c r="AY274" s="449"/>
      <c r="AZ274" s="449"/>
      <c r="BA274" s="449"/>
      <c r="BB274" s="449"/>
      <c r="BC274" s="449"/>
      <c r="BD274" s="449"/>
      <c r="BE274" s="449"/>
      <c r="BF274" s="449"/>
      <c r="BG274" s="449"/>
      <c r="BH274" s="449"/>
      <c r="BI274" s="449"/>
      <c r="BJ274" s="449"/>
      <c r="BK274" s="449"/>
      <c r="BL274" s="449"/>
      <c r="BM274" s="449"/>
      <c r="BN274" s="449"/>
    </row>
    <row r="275" spans="1:66" ht="13.15" x14ac:dyDescent="0.4">
      <c r="A275" s="469" t="s">
        <v>857</v>
      </c>
      <c r="B275" s="430" t="s">
        <v>855</v>
      </c>
      <c r="C275" s="463">
        <v>44406</v>
      </c>
      <c r="D275" s="430" t="s">
        <v>54</v>
      </c>
      <c r="E275" s="430">
        <v>34</v>
      </c>
      <c r="F275" s="430">
        <v>42</v>
      </c>
      <c r="G275" s="430" t="str">
        <f t="shared" si="67"/>
        <v>34 x 42</v>
      </c>
      <c r="H275" s="461" t="s">
        <v>690</v>
      </c>
      <c r="I275" s="438" t="str">
        <f t="shared" si="77"/>
        <v>36 x 44</v>
      </c>
      <c r="J275" s="438">
        <v>38</v>
      </c>
      <c r="K275" s="438" t="s">
        <v>477</v>
      </c>
      <c r="L275" s="430" t="str">
        <f t="shared" si="54"/>
        <v>44406S-9920</v>
      </c>
      <c r="M275" s="430" t="s">
        <v>46</v>
      </c>
      <c r="N275" s="461">
        <f t="shared" si="78"/>
        <v>168.64</v>
      </c>
      <c r="O275" s="461">
        <f t="shared" si="79"/>
        <v>3400</v>
      </c>
      <c r="P275" s="430" t="str">
        <f t="shared" si="46"/>
        <v/>
      </c>
      <c r="Q275" s="430" t="str">
        <f t="shared" si="47"/>
        <v/>
      </c>
      <c r="R275" s="430">
        <f t="shared" si="48"/>
        <v>200</v>
      </c>
      <c r="S275" s="430" t="str">
        <f t="shared" si="49"/>
        <v/>
      </c>
      <c r="T275" s="430" t="str">
        <f t="shared" si="50"/>
        <v/>
      </c>
      <c r="U275" s="430" t="str">
        <f t="shared" si="51"/>
        <v/>
      </c>
      <c r="V275" s="430" t="str">
        <f t="shared" si="52"/>
        <v/>
      </c>
      <c r="W275" s="430" t="str">
        <f t="shared" si="53"/>
        <v/>
      </c>
      <c r="X275" s="449"/>
      <c r="Z275" s="450"/>
      <c r="AA275" s="449"/>
      <c r="AB275" s="451"/>
      <c r="AC275" s="450"/>
      <c r="AD275" s="449"/>
      <c r="AE275" s="451"/>
      <c r="AF275" s="450"/>
      <c r="AG275" s="449"/>
      <c r="AH275" s="451"/>
      <c r="AI275" s="450"/>
      <c r="AJ275" s="449"/>
      <c r="AK275" s="451"/>
      <c r="AL275" s="450"/>
      <c r="AM275" s="449"/>
      <c r="AN275" s="451"/>
      <c r="AO275" s="450"/>
      <c r="AP275" s="449"/>
      <c r="AQ275" s="451"/>
      <c r="AR275" s="449"/>
      <c r="AS275" s="449"/>
      <c r="AT275" s="451"/>
      <c r="AU275" s="449"/>
      <c r="AV275" s="451"/>
      <c r="AW275" s="449"/>
      <c r="AX275" s="449"/>
      <c r="AY275" s="449"/>
      <c r="AZ275" s="449"/>
      <c r="BA275" s="449"/>
      <c r="BB275" s="449"/>
      <c r="BC275" s="449"/>
      <c r="BD275" s="449"/>
      <c r="BE275" s="449"/>
      <c r="BF275" s="449"/>
      <c r="BG275" s="449"/>
      <c r="BH275" s="449"/>
      <c r="BI275" s="449"/>
      <c r="BJ275" s="449"/>
      <c r="BK275" s="449"/>
      <c r="BL275" s="449"/>
      <c r="BM275" s="449"/>
      <c r="BN275" s="449"/>
    </row>
    <row r="276" spans="1:66" ht="13.15" x14ac:dyDescent="0.4">
      <c r="A276" s="469" t="s">
        <v>626</v>
      </c>
      <c r="B276" s="430" t="s">
        <v>772</v>
      </c>
      <c r="C276" s="463">
        <v>44406</v>
      </c>
      <c r="D276" s="430" t="s">
        <v>54</v>
      </c>
      <c r="E276" s="430">
        <v>24</v>
      </c>
      <c r="F276" s="430">
        <v>36</v>
      </c>
      <c r="G276" s="430" t="str">
        <f t="shared" si="67"/>
        <v>24 x 36</v>
      </c>
      <c r="H276" s="461" t="s">
        <v>690</v>
      </c>
      <c r="I276" s="438" t="str">
        <f t="shared" si="77"/>
        <v>26 x 38</v>
      </c>
      <c r="J276" s="438">
        <v>22</v>
      </c>
      <c r="K276" s="438" t="s">
        <v>583</v>
      </c>
      <c r="L276" s="430" t="str">
        <f t="shared" si="54"/>
        <v>44406S-4679</v>
      </c>
      <c r="M276" s="430" t="s">
        <v>46</v>
      </c>
      <c r="N276" s="461">
        <f t="shared" ref="N276:N277" si="80">71.98/2</f>
        <v>35.99</v>
      </c>
      <c r="O276" s="461">
        <f t="shared" ref="O276:O277" si="81">12900/8</f>
        <v>1612.5</v>
      </c>
      <c r="P276" s="430" t="str">
        <f t="shared" si="46"/>
        <v/>
      </c>
      <c r="Q276" s="430" t="str">
        <f t="shared" si="47"/>
        <v/>
      </c>
      <c r="R276" s="430">
        <f t="shared" si="48"/>
        <v>160</v>
      </c>
      <c r="S276" s="430" t="str">
        <f t="shared" si="49"/>
        <v/>
      </c>
      <c r="T276" s="430" t="str">
        <f t="shared" si="50"/>
        <v/>
      </c>
      <c r="U276" s="430" t="str">
        <f t="shared" si="51"/>
        <v/>
      </c>
      <c r="V276" s="430" t="str">
        <f t="shared" si="52"/>
        <v/>
      </c>
      <c r="W276" s="430" t="str">
        <f t="shared" si="53"/>
        <v/>
      </c>
      <c r="X276" s="449"/>
      <c r="Z276" s="450"/>
      <c r="AA276" s="449"/>
      <c r="AB276" s="451"/>
      <c r="AC276" s="450"/>
      <c r="AD276" s="449"/>
      <c r="AE276" s="451"/>
      <c r="AF276" s="450"/>
      <c r="AG276" s="449"/>
      <c r="AH276" s="451"/>
      <c r="AI276" s="450"/>
      <c r="AJ276" s="449"/>
      <c r="AK276" s="451"/>
      <c r="AL276" s="450"/>
      <c r="AM276" s="449"/>
      <c r="AN276" s="451"/>
      <c r="AO276" s="450"/>
      <c r="AP276" s="449"/>
      <c r="AQ276" s="451"/>
      <c r="AR276" s="449"/>
      <c r="AS276" s="449"/>
      <c r="AT276" s="451"/>
      <c r="AU276" s="449"/>
      <c r="AV276" s="451"/>
      <c r="AW276" s="449"/>
      <c r="AX276" s="449"/>
      <c r="AY276" s="449"/>
      <c r="AZ276" s="449"/>
      <c r="BA276" s="449"/>
      <c r="BB276" s="449"/>
      <c r="BC276" s="449"/>
      <c r="BD276" s="449"/>
      <c r="BE276" s="449"/>
      <c r="BF276" s="449"/>
      <c r="BG276" s="449"/>
      <c r="BH276" s="449"/>
      <c r="BI276" s="449"/>
      <c r="BJ276" s="449"/>
      <c r="BK276" s="449"/>
      <c r="BL276" s="449"/>
      <c r="BM276" s="449"/>
      <c r="BN276" s="449"/>
    </row>
    <row r="277" spans="1:66" ht="13.15" x14ac:dyDescent="0.4">
      <c r="A277" s="469" t="s">
        <v>488</v>
      </c>
      <c r="B277" s="430" t="s">
        <v>772</v>
      </c>
      <c r="C277" s="463">
        <v>44406</v>
      </c>
      <c r="D277" s="430" t="s">
        <v>54</v>
      </c>
      <c r="E277" s="430">
        <v>30</v>
      </c>
      <c r="F277" s="430">
        <v>30</v>
      </c>
      <c r="G277" s="430" t="str">
        <f t="shared" si="67"/>
        <v>30 x 30</v>
      </c>
      <c r="H277" s="461" t="s">
        <v>690</v>
      </c>
      <c r="I277" s="438" t="str">
        <f t="shared" si="77"/>
        <v>32 x 32</v>
      </c>
      <c r="J277" s="438">
        <v>22</v>
      </c>
      <c r="K277" s="438" t="s">
        <v>583</v>
      </c>
      <c r="L277" s="430" t="str">
        <f t="shared" si="54"/>
        <v>44406S-4679</v>
      </c>
      <c r="M277" s="430" t="s">
        <v>46</v>
      </c>
      <c r="N277" s="461">
        <f t="shared" si="80"/>
        <v>35.99</v>
      </c>
      <c r="O277" s="461">
        <f t="shared" si="81"/>
        <v>1612.5</v>
      </c>
      <c r="P277" s="430" t="str">
        <f t="shared" si="46"/>
        <v/>
      </c>
      <c r="Q277" s="430" t="str">
        <f t="shared" si="47"/>
        <v/>
      </c>
      <c r="R277" s="430">
        <f t="shared" si="48"/>
        <v>160</v>
      </c>
      <c r="S277" s="430" t="str">
        <f t="shared" si="49"/>
        <v/>
      </c>
      <c r="T277" s="430" t="str">
        <f t="shared" si="50"/>
        <v/>
      </c>
      <c r="U277" s="430" t="str">
        <f t="shared" si="51"/>
        <v/>
      </c>
      <c r="V277" s="430" t="str">
        <f t="shared" si="52"/>
        <v/>
      </c>
      <c r="W277" s="430" t="str">
        <f t="shared" si="53"/>
        <v/>
      </c>
      <c r="X277" s="449"/>
      <c r="Z277" s="450"/>
      <c r="AA277" s="449"/>
      <c r="AB277" s="451"/>
      <c r="AC277" s="450"/>
      <c r="AD277" s="449"/>
      <c r="AE277" s="451"/>
      <c r="AF277" s="450"/>
      <c r="AG277" s="449"/>
      <c r="AH277" s="451"/>
      <c r="AI277" s="450"/>
      <c r="AJ277" s="449"/>
      <c r="AK277" s="451"/>
      <c r="AL277" s="450"/>
      <c r="AM277" s="449"/>
      <c r="AN277" s="451"/>
      <c r="AO277" s="450"/>
      <c r="AP277" s="449"/>
      <c r="AQ277" s="451"/>
      <c r="AR277" s="449"/>
      <c r="AS277" s="449"/>
      <c r="AT277" s="451"/>
      <c r="AU277" s="449"/>
      <c r="AV277" s="451"/>
      <c r="AW277" s="449"/>
      <c r="AX277" s="449"/>
      <c r="AY277" s="449"/>
      <c r="AZ277" s="449"/>
      <c r="BA277" s="449"/>
      <c r="BB277" s="449"/>
      <c r="BC277" s="449"/>
      <c r="BD277" s="449"/>
      <c r="BE277" s="449"/>
      <c r="BF277" s="449"/>
      <c r="BG277" s="449"/>
      <c r="BH277" s="449"/>
      <c r="BI277" s="449"/>
      <c r="BJ277" s="449"/>
      <c r="BK277" s="449"/>
      <c r="BL277" s="449"/>
      <c r="BM277" s="449"/>
      <c r="BN277" s="449"/>
    </row>
    <row r="278" spans="1:66" ht="13.15" x14ac:dyDescent="0.4">
      <c r="A278" s="469" t="s">
        <v>488</v>
      </c>
      <c r="B278" s="430" t="s">
        <v>858</v>
      </c>
      <c r="C278" s="463">
        <v>44406</v>
      </c>
      <c r="D278" s="430" t="s">
        <v>66</v>
      </c>
      <c r="E278" s="430">
        <v>36</v>
      </c>
      <c r="F278" s="430">
        <v>36</v>
      </c>
      <c r="G278" s="430" t="str">
        <f t="shared" si="67"/>
        <v>36 x 36</v>
      </c>
      <c r="H278" s="461" t="s">
        <v>50</v>
      </c>
      <c r="I278" s="438" t="s">
        <v>282</v>
      </c>
      <c r="J278" s="438">
        <v>22</v>
      </c>
      <c r="K278" s="438" t="s">
        <v>586</v>
      </c>
      <c r="L278" s="430" t="str">
        <f t="shared" si="54"/>
        <v>44406S-4929</v>
      </c>
      <c r="M278" s="430" t="s">
        <v>46</v>
      </c>
      <c r="N278" s="461">
        <v>156.41</v>
      </c>
      <c r="O278" s="461">
        <v>382.5</v>
      </c>
      <c r="P278" s="430">
        <f t="shared" si="46"/>
        <v>180</v>
      </c>
      <c r="Q278" s="430" t="str">
        <f t="shared" si="47"/>
        <v/>
      </c>
      <c r="R278" s="430" t="str">
        <f t="shared" si="48"/>
        <v/>
      </c>
      <c r="S278" s="430" t="str">
        <f t="shared" si="49"/>
        <v/>
      </c>
      <c r="T278" s="430" t="str">
        <f t="shared" si="50"/>
        <v/>
      </c>
      <c r="U278" s="430" t="str">
        <f t="shared" si="51"/>
        <v/>
      </c>
      <c r="V278" s="430" t="str">
        <f t="shared" si="52"/>
        <v/>
      </c>
      <c r="W278" s="430">
        <f t="shared" si="53"/>
        <v>1620</v>
      </c>
      <c r="X278" s="449"/>
      <c r="Z278" s="450"/>
      <c r="AA278" s="449"/>
      <c r="AB278" s="451"/>
      <c r="AC278" s="450"/>
      <c r="AD278" s="449"/>
      <c r="AE278" s="451"/>
      <c r="AF278" s="450"/>
      <c r="AG278" s="449"/>
      <c r="AH278" s="451"/>
      <c r="AI278" s="450"/>
      <c r="AJ278" s="449"/>
      <c r="AK278" s="451"/>
      <c r="AL278" s="450"/>
      <c r="AM278" s="449"/>
      <c r="AN278" s="451"/>
      <c r="AO278" s="450"/>
      <c r="AP278" s="449"/>
      <c r="AQ278" s="451"/>
      <c r="AR278" s="449"/>
      <c r="AS278" s="449"/>
      <c r="AT278" s="451"/>
      <c r="AU278" s="449"/>
      <c r="AV278" s="451"/>
      <c r="AW278" s="449"/>
      <c r="AX278" s="449"/>
      <c r="AY278" s="449"/>
      <c r="AZ278" s="449"/>
      <c r="BA278" s="449"/>
      <c r="BB278" s="449"/>
      <c r="BC278" s="449"/>
      <c r="BD278" s="449"/>
      <c r="BE278" s="449"/>
      <c r="BF278" s="449"/>
      <c r="BG278" s="449"/>
      <c r="BH278" s="449"/>
      <c r="BI278" s="449"/>
      <c r="BJ278" s="449"/>
      <c r="BK278" s="449"/>
      <c r="BL278" s="449"/>
      <c r="BM278" s="449"/>
      <c r="BN278" s="449"/>
    </row>
    <row r="279" spans="1:66" ht="13.15" x14ac:dyDescent="0.4">
      <c r="A279" s="469" t="s">
        <v>494</v>
      </c>
      <c r="B279" s="430" t="s">
        <v>859</v>
      </c>
      <c r="C279" s="463">
        <v>44406</v>
      </c>
      <c r="D279" s="430" t="s">
        <v>66</v>
      </c>
      <c r="E279" s="430">
        <v>26</v>
      </c>
      <c r="F279" s="430">
        <v>32</v>
      </c>
      <c r="G279" s="430" t="str">
        <f t="shared" si="67"/>
        <v>26 x 32</v>
      </c>
      <c r="H279" s="461" t="s">
        <v>50</v>
      </c>
      <c r="I279" s="438" t="s">
        <v>283</v>
      </c>
      <c r="J279" s="438">
        <v>14</v>
      </c>
      <c r="K279" s="438" t="s">
        <v>583</v>
      </c>
      <c r="L279" s="430" t="str">
        <f t="shared" si="54"/>
        <v>44406S-4679</v>
      </c>
      <c r="M279" s="430" t="s">
        <v>46</v>
      </c>
      <c r="N279" s="461">
        <v>40.49</v>
      </c>
      <c r="O279" s="461">
        <v>293.25</v>
      </c>
      <c r="P279" s="430">
        <f t="shared" si="46"/>
        <v>145</v>
      </c>
      <c r="Q279" s="430" t="str">
        <f t="shared" si="47"/>
        <v/>
      </c>
      <c r="R279" s="430" t="str">
        <f t="shared" si="48"/>
        <v/>
      </c>
      <c r="S279" s="430" t="str">
        <f t="shared" si="49"/>
        <v/>
      </c>
      <c r="T279" s="430" t="str">
        <f t="shared" si="50"/>
        <v/>
      </c>
      <c r="U279" s="430" t="str">
        <f t="shared" si="51"/>
        <v/>
      </c>
      <c r="V279" s="430" t="str">
        <f t="shared" si="52"/>
        <v/>
      </c>
      <c r="W279" s="430">
        <f t="shared" si="53"/>
        <v>1040</v>
      </c>
      <c r="X279" s="449"/>
      <c r="Z279" s="450"/>
      <c r="AA279" s="449"/>
      <c r="AB279" s="451"/>
      <c r="AC279" s="450"/>
      <c r="AD279" s="449"/>
      <c r="AE279" s="451"/>
      <c r="AF279" s="450"/>
      <c r="AG279" s="449"/>
      <c r="AH279" s="451"/>
      <c r="AI279" s="450"/>
      <c r="AJ279" s="449"/>
      <c r="AK279" s="451"/>
      <c r="AL279" s="450"/>
      <c r="AM279" s="449"/>
      <c r="AN279" s="451"/>
      <c r="AO279" s="450"/>
      <c r="AP279" s="449"/>
      <c r="AQ279" s="451"/>
      <c r="AR279" s="449"/>
      <c r="AS279" s="449"/>
      <c r="AT279" s="451"/>
      <c r="AU279" s="449"/>
      <c r="AV279" s="451"/>
      <c r="AW279" s="449"/>
      <c r="AX279" s="449"/>
      <c r="AY279" s="449"/>
      <c r="AZ279" s="449"/>
      <c r="BA279" s="449"/>
      <c r="BB279" s="449"/>
      <c r="BC279" s="449"/>
      <c r="BD279" s="449"/>
      <c r="BE279" s="449"/>
      <c r="BF279" s="449"/>
      <c r="BG279" s="449"/>
      <c r="BH279" s="449"/>
      <c r="BI279" s="449"/>
      <c r="BJ279" s="449"/>
      <c r="BK279" s="449"/>
      <c r="BL279" s="449"/>
      <c r="BM279" s="449"/>
      <c r="BN279" s="449"/>
    </row>
    <row r="280" spans="1:66" ht="13.15" x14ac:dyDescent="0.4">
      <c r="A280" s="469" t="s">
        <v>644</v>
      </c>
      <c r="B280" s="430" t="s">
        <v>860</v>
      </c>
      <c r="C280" s="463">
        <v>44406</v>
      </c>
      <c r="D280" s="430" t="s">
        <v>66</v>
      </c>
      <c r="E280" s="430">
        <v>36</v>
      </c>
      <c r="F280" s="430">
        <v>46</v>
      </c>
      <c r="G280" s="430" t="str">
        <f t="shared" si="67"/>
        <v>36 x 46</v>
      </c>
      <c r="H280" s="461" t="s">
        <v>50</v>
      </c>
      <c r="I280" s="438" t="s">
        <v>284</v>
      </c>
      <c r="J280" s="438">
        <v>24</v>
      </c>
      <c r="K280" s="438" t="s">
        <v>553</v>
      </c>
      <c r="L280" s="430" t="str">
        <f t="shared" si="54"/>
        <v>44406S-11251</v>
      </c>
      <c r="M280" s="430" t="s">
        <v>46</v>
      </c>
      <c r="N280" s="461">
        <v>168.64</v>
      </c>
      <c r="O280" s="461">
        <v>575</v>
      </c>
      <c r="P280" s="430">
        <f t="shared" si="46"/>
        <v>205</v>
      </c>
      <c r="Q280" s="430" t="str">
        <f t="shared" si="47"/>
        <v/>
      </c>
      <c r="R280" s="430" t="str">
        <f t="shared" si="48"/>
        <v/>
      </c>
      <c r="S280" s="430" t="str">
        <f t="shared" si="49"/>
        <v/>
      </c>
      <c r="T280" s="430" t="str">
        <f t="shared" si="50"/>
        <v/>
      </c>
      <c r="U280" s="430" t="str">
        <f t="shared" si="51"/>
        <v/>
      </c>
      <c r="V280" s="430" t="str">
        <f t="shared" si="52"/>
        <v/>
      </c>
      <c r="W280" s="430">
        <f t="shared" si="53"/>
        <v>2070</v>
      </c>
      <c r="X280" s="449"/>
      <c r="Z280" s="450"/>
      <c r="AA280" s="449"/>
      <c r="AB280" s="451"/>
      <c r="AC280" s="450"/>
      <c r="AD280" s="449"/>
      <c r="AE280" s="451"/>
      <c r="AF280" s="450"/>
      <c r="AG280" s="449"/>
      <c r="AH280" s="451"/>
      <c r="AI280" s="450"/>
      <c r="AJ280" s="449"/>
      <c r="AK280" s="451"/>
      <c r="AL280" s="450"/>
      <c r="AM280" s="449"/>
      <c r="AN280" s="451"/>
      <c r="AO280" s="450"/>
      <c r="AP280" s="449"/>
      <c r="AQ280" s="451"/>
      <c r="AR280" s="449"/>
      <c r="AS280" s="449"/>
      <c r="AT280" s="451"/>
      <c r="AU280" s="449"/>
      <c r="AV280" s="451"/>
      <c r="AW280" s="449"/>
      <c r="AX280" s="449"/>
      <c r="AY280" s="449"/>
      <c r="AZ280" s="449"/>
      <c r="BA280" s="449"/>
      <c r="BB280" s="449"/>
      <c r="BC280" s="449"/>
      <c r="BD280" s="449"/>
      <c r="BE280" s="449"/>
      <c r="BF280" s="449"/>
      <c r="BG280" s="449"/>
      <c r="BH280" s="449"/>
      <c r="BI280" s="449"/>
      <c r="BJ280" s="449"/>
      <c r="BK280" s="449"/>
      <c r="BL280" s="449"/>
      <c r="BM280" s="449"/>
      <c r="BN280" s="449"/>
    </row>
    <row r="281" spans="1:66" ht="13.15" x14ac:dyDescent="0.4">
      <c r="A281" s="469" t="s">
        <v>799</v>
      </c>
      <c r="B281" s="430" t="s">
        <v>861</v>
      </c>
      <c r="C281" s="463">
        <v>44406</v>
      </c>
      <c r="D281" s="430" t="s">
        <v>66</v>
      </c>
      <c r="E281" s="430">
        <v>33</v>
      </c>
      <c r="F281" s="430">
        <v>44</v>
      </c>
      <c r="G281" s="430" t="str">
        <f t="shared" si="67"/>
        <v>33 x 44</v>
      </c>
      <c r="H281" s="461" t="s">
        <v>50</v>
      </c>
      <c r="I281" s="438" t="s">
        <v>99</v>
      </c>
      <c r="J281" s="438">
        <v>23</v>
      </c>
      <c r="K281" s="438" t="s">
        <v>553</v>
      </c>
      <c r="L281" s="430" t="str">
        <f t="shared" si="54"/>
        <v>44406S-11251</v>
      </c>
      <c r="M281" s="430" t="s">
        <v>46</v>
      </c>
      <c r="N281" s="461">
        <v>168.64</v>
      </c>
      <c r="O281" s="461">
        <v>505</v>
      </c>
      <c r="P281" s="430">
        <f t="shared" si="46"/>
        <v>192.5</v>
      </c>
      <c r="Q281" s="430" t="str">
        <f t="shared" si="47"/>
        <v/>
      </c>
      <c r="R281" s="430" t="str">
        <f t="shared" si="48"/>
        <v/>
      </c>
      <c r="S281" s="430" t="str">
        <f t="shared" si="49"/>
        <v/>
      </c>
      <c r="T281" s="430" t="str">
        <f t="shared" si="50"/>
        <v/>
      </c>
      <c r="U281" s="430" t="str">
        <f t="shared" si="51"/>
        <v/>
      </c>
      <c r="V281" s="430" t="str">
        <f t="shared" si="52"/>
        <v/>
      </c>
      <c r="W281" s="430">
        <f t="shared" si="53"/>
        <v>1815</v>
      </c>
      <c r="X281" s="449"/>
      <c r="Z281" s="450"/>
      <c r="AA281" s="449"/>
      <c r="AB281" s="451"/>
      <c r="AC281" s="450"/>
      <c r="AD281" s="449"/>
      <c r="AE281" s="451"/>
      <c r="AF281" s="450"/>
      <c r="AG281" s="449"/>
      <c r="AH281" s="451"/>
      <c r="AI281" s="450"/>
      <c r="AJ281" s="449"/>
      <c r="AK281" s="451"/>
      <c r="AL281" s="450"/>
      <c r="AM281" s="449"/>
      <c r="AN281" s="451"/>
      <c r="AO281" s="450"/>
      <c r="AP281" s="449"/>
      <c r="AQ281" s="451"/>
      <c r="AR281" s="449"/>
      <c r="AS281" s="449"/>
      <c r="AT281" s="451"/>
      <c r="AU281" s="449"/>
      <c r="AV281" s="451"/>
      <c r="AW281" s="449"/>
      <c r="AX281" s="449"/>
      <c r="AY281" s="449"/>
      <c r="AZ281" s="449"/>
      <c r="BA281" s="449"/>
      <c r="BB281" s="449"/>
      <c r="BC281" s="449"/>
      <c r="BD281" s="449"/>
      <c r="BE281" s="449"/>
      <c r="BF281" s="449"/>
      <c r="BG281" s="449"/>
      <c r="BH281" s="449"/>
      <c r="BI281" s="449"/>
      <c r="BJ281" s="449"/>
      <c r="BK281" s="449"/>
      <c r="BL281" s="449"/>
      <c r="BM281" s="449"/>
      <c r="BN281" s="449"/>
    </row>
    <row r="282" spans="1:66" ht="13.15" x14ac:dyDescent="0.4">
      <c r="A282" s="469" t="s">
        <v>574</v>
      </c>
      <c r="B282" s="430" t="s">
        <v>862</v>
      </c>
      <c r="C282" s="463">
        <v>44406</v>
      </c>
      <c r="D282" s="430" t="s">
        <v>66</v>
      </c>
      <c r="E282" s="430">
        <v>16</v>
      </c>
      <c r="F282" s="430">
        <v>22</v>
      </c>
      <c r="G282" s="430" t="str">
        <f t="shared" si="67"/>
        <v>16 x 22</v>
      </c>
      <c r="H282" s="461" t="s">
        <v>1</v>
      </c>
      <c r="I282" s="438" t="s">
        <v>157</v>
      </c>
      <c r="J282" s="438">
        <v>9</v>
      </c>
      <c r="K282" s="438" t="s">
        <v>577</v>
      </c>
      <c r="L282" s="430" t="str">
        <f t="shared" si="54"/>
        <v>44406S-4553</v>
      </c>
      <c r="M282" s="430" t="s">
        <v>46</v>
      </c>
      <c r="N282" s="461">
        <v>14.45</v>
      </c>
      <c r="O282" s="461">
        <v>317</v>
      </c>
      <c r="P282" s="430">
        <f t="shared" si="46"/>
        <v>95</v>
      </c>
      <c r="Q282" s="430" t="str">
        <f t="shared" si="47"/>
        <v/>
      </c>
      <c r="R282" s="430" t="str">
        <f t="shared" si="48"/>
        <v/>
      </c>
      <c r="S282" s="430">
        <f t="shared" si="49"/>
        <v>105</v>
      </c>
      <c r="T282" s="430" t="str">
        <f t="shared" si="50"/>
        <v/>
      </c>
      <c r="U282" s="430" t="str">
        <f t="shared" si="51"/>
        <v/>
      </c>
      <c r="V282" s="430" t="str">
        <f t="shared" si="52"/>
        <v/>
      </c>
      <c r="W282" s="430">
        <f t="shared" si="53"/>
        <v>440</v>
      </c>
      <c r="X282" s="449"/>
      <c r="Z282" s="450"/>
      <c r="AA282" s="449"/>
      <c r="AB282" s="451"/>
      <c r="AC282" s="450"/>
      <c r="AD282" s="449"/>
      <c r="AE282" s="451"/>
      <c r="AF282" s="450"/>
      <c r="AG282" s="449"/>
      <c r="AH282" s="451"/>
      <c r="AI282" s="450"/>
      <c r="AJ282" s="449"/>
      <c r="AK282" s="451"/>
      <c r="AL282" s="450"/>
      <c r="AM282" s="449"/>
      <c r="AN282" s="451"/>
      <c r="AO282" s="450"/>
      <c r="AP282" s="449"/>
      <c r="AQ282" s="451"/>
      <c r="AR282" s="449"/>
      <c r="AS282" s="449"/>
      <c r="AT282" s="451"/>
      <c r="AU282" s="449"/>
      <c r="AV282" s="451"/>
      <c r="AW282" s="449"/>
      <c r="AX282" s="449"/>
      <c r="AY282" s="449"/>
      <c r="AZ282" s="449"/>
      <c r="BA282" s="449"/>
      <c r="BB282" s="449"/>
      <c r="BC282" s="449"/>
      <c r="BD282" s="449"/>
      <c r="BE282" s="449"/>
      <c r="BF282" s="449"/>
      <c r="BG282" s="449"/>
      <c r="BH282" s="449"/>
      <c r="BI282" s="449"/>
      <c r="BJ282" s="449"/>
      <c r="BK282" s="449"/>
      <c r="BL282" s="449"/>
      <c r="BM282" s="449"/>
      <c r="BN282" s="449"/>
    </row>
    <row r="283" spans="1:66" ht="13.15" x14ac:dyDescent="0.4">
      <c r="A283" s="469" t="s">
        <v>864</v>
      </c>
      <c r="B283" s="430" t="s">
        <v>863</v>
      </c>
      <c r="C283" s="463">
        <v>44406</v>
      </c>
      <c r="D283" s="430" t="s">
        <v>66</v>
      </c>
      <c r="E283" s="430">
        <v>17</v>
      </c>
      <c r="F283" s="430">
        <v>26</v>
      </c>
      <c r="G283" s="430" t="str">
        <f t="shared" si="67"/>
        <v>17 x 26</v>
      </c>
      <c r="H283" s="461" t="s">
        <v>1</v>
      </c>
      <c r="I283" s="438" t="s">
        <v>233</v>
      </c>
      <c r="J283" s="438">
        <v>10</v>
      </c>
      <c r="K283" s="438" t="s">
        <v>589</v>
      </c>
      <c r="L283" s="430" t="str">
        <f t="shared" si="54"/>
        <v>44406S-4947</v>
      </c>
      <c r="M283" s="430" t="s">
        <v>46</v>
      </c>
      <c r="N283" s="461">
        <v>16.7</v>
      </c>
      <c r="O283" s="461">
        <v>326.39999999999998</v>
      </c>
      <c r="P283" s="430">
        <f t="shared" si="46"/>
        <v>107.5</v>
      </c>
      <c r="Q283" s="430" t="str">
        <f t="shared" si="47"/>
        <v/>
      </c>
      <c r="R283" s="430" t="str">
        <f t="shared" si="48"/>
        <v/>
      </c>
      <c r="S283" s="430">
        <f t="shared" si="49"/>
        <v>117.5</v>
      </c>
      <c r="T283" s="430" t="str">
        <f t="shared" si="50"/>
        <v/>
      </c>
      <c r="U283" s="430" t="str">
        <f t="shared" si="51"/>
        <v/>
      </c>
      <c r="V283" s="430" t="str">
        <f t="shared" si="52"/>
        <v/>
      </c>
      <c r="W283" s="430">
        <f t="shared" si="53"/>
        <v>553</v>
      </c>
      <c r="X283" s="449"/>
      <c r="Z283" s="450"/>
      <c r="AA283" s="449"/>
      <c r="AB283" s="451"/>
      <c r="AC283" s="450"/>
      <c r="AD283" s="449"/>
      <c r="AE283" s="451"/>
      <c r="AF283" s="450"/>
      <c r="AG283" s="449"/>
      <c r="AH283" s="451"/>
      <c r="AI283" s="450"/>
      <c r="AJ283" s="449"/>
      <c r="AK283" s="451"/>
      <c r="AL283" s="450"/>
      <c r="AM283" s="449"/>
      <c r="AN283" s="451"/>
      <c r="AO283" s="450"/>
      <c r="AP283" s="449"/>
      <c r="AQ283" s="451"/>
      <c r="AR283" s="449"/>
      <c r="AS283" s="449"/>
      <c r="AT283" s="451"/>
      <c r="AU283" s="449"/>
      <c r="AV283" s="451"/>
      <c r="AW283" s="449"/>
      <c r="AX283" s="449"/>
      <c r="AY283" s="449"/>
      <c r="AZ283" s="449"/>
      <c r="BA283" s="449"/>
      <c r="BB283" s="449"/>
      <c r="BC283" s="449"/>
      <c r="BD283" s="449"/>
      <c r="BE283" s="449"/>
      <c r="BF283" s="449"/>
      <c r="BG283" s="449"/>
      <c r="BH283" s="449"/>
      <c r="BI283" s="449"/>
      <c r="BJ283" s="449"/>
      <c r="BK283" s="449"/>
      <c r="BL283" s="449"/>
      <c r="BM283" s="449"/>
      <c r="BN283" s="449"/>
    </row>
    <row r="284" spans="1:66" ht="13.15" x14ac:dyDescent="0.4">
      <c r="A284" s="469" t="s">
        <v>866</v>
      </c>
      <c r="B284" s="430" t="s">
        <v>865</v>
      </c>
      <c r="C284" s="463">
        <v>44406</v>
      </c>
      <c r="D284" s="430" t="s">
        <v>66</v>
      </c>
      <c r="E284" s="430">
        <v>30</v>
      </c>
      <c r="F284" s="430">
        <v>40</v>
      </c>
      <c r="G284" s="430" t="str">
        <f t="shared" si="67"/>
        <v>30 x 40</v>
      </c>
      <c r="H284" s="461" t="s">
        <v>1</v>
      </c>
      <c r="I284" s="438" t="s">
        <v>215</v>
      </c>
      <c r="J284" s="438">
        <v>19</v>
      </c>
      <c r="K284" s="438" t="s">
        <v>586</v>
      </c>
      <c r="L284" s="430" t="str">
        <f t="shared" si="54"/>
        <v>44406S-4929</v>
      </c>
      <c r="M284" s="430" t="s">
        <v>46</v>
      </c>
      <c r="N284" s="461">
        <v>153.6</v>
      </c>
      <c r="O284" s="461">
        <v>578</v>
      </c>
      <c r="P284" s="430">
        <f t="shared" si="46"/>
        <v>175</v>
      </c>
      <c r="Q284" s="430" t="str">
        <f t="shared" si="47"/>
        <v/>
      </c>
      <c r="R284" s="430" t="str">
        <f t="shared" si="48"/>
        <v/>
      </c>
      <c r="S284" s="430">
        <f t="shared" si="49"/>
        <v>185</v>
      </c>
      <c r="T284" s="430" t="str">
        <f t="shared" si="50"/>
        <v/>
      </c>
      <c r="U284" s="430" t="str">
        <f t="shared" si="51"/>
        <v/>
      </c>
      <c r="V284" s="430" t="str">
        <f t="shared" si="52"/>
        <v/>
      </c>
      <c r="W284" s="430">
        <f t="shared" si="53"/>
        <v>1500</v>
      </c>
      <c r="X284" s="449"/>
      <c r="Z284" s="450"/>
      <c r="AA284" s="449"/>
      <c r="AB284" s="451"/>
      <c r="AC284" s="450"/>
      <c r="AD284" s="449"/>
      <c r="AE284" s="451"/>
      <c r="AF284" s="450"/>
      <c r="AG284" s="449"/>
      <c r="AH284" s="451"/>
      <c r="AI284" s="450"/>
      <c r="AJ284" s="449"/>
      <c r="AK284" s="451"/>
      <c r="AL284" s="450"/>
      <c r="AM284" s="449"/>
      <c r="AN284" s="451"/>
      <c r="AO284" s="450"/>
      <c r="AP284" s="449"/>
      <c r="AQ284" s="451"/>
      <c r="AR284" s="449"/>
      <c r="AS284" s="449"/>
      <c r="AT284" s="451"/>
      <c r="AU284" s="449"/>
      <c r="AV284" s="451"/>
      <c r="AW284" s="449"/>
      <c r="AX284" s="449"/>
      <c r="AY284" s="449"/>
      <c r="AZ284" s="449"/>
      <c r="BA284" s="449"/>
      <c r="BB284" s="449"/>
      <c r="BC284" s="449"/>
      <c r="BD284" s="449"/>
      <c r="BE284" s="449"/>
      <c r="BF284" s="449"/>
      <c r="BG284" s="449"/>
      <c r="BH284" s="449"/>
      <c r="BI284" s="449"/>
      <c r="BJ284" s="449"/>
      <c r="BK284" s="449"/>
      <c r="BL284" s="449"/>
      <c r="BM284" s="449"/>
      <c r="BN284" s="449"/>
    </row>
    <row r="285" spans="1:66" ht="13.15" x14ac:dyDescent="0.4">
      <c r="A285" s="469" t="s">
        <v>870</v>
      </c>
      <c r="B285" s="430" t="s">
        <v>869</v>
      </c>
      <c r="C285" s="463">
        <v>44406</v>
      </c>
      <c r="D285" s="430" t="s">
        <v>604</v>
      </c>
      <c r="E285" s="430">
        <v>24</v>
      </c>
      <c r="F285" s="430">
        <v>42</v>
      </c>
      <c r="G285" s="430" t="str">
        <f t="shared" si="67"/>
        <v>24 x 42</v>
      </c>
      <c r="H285" s="461" t="s">
        <v>1</v>
      </c>
      <c r="I285" s="438" t="s">
        <v>169</v>
      </c>
      <c r="J285" s="438">
        <v>24</v>
      </c>
      <c r="K285" s="438" t="s">
        <v>553</v>
      </c>
      <c r="L285" s="430" t="str">
        <f t="shared" si="54"/>
        <v>44406S-11251</v>
      </c>
      <c r="M285" s="430" t="s">
        <v>46</v>
      </c>
      <c r="N285" s="461">
        <v>158.76</v>
      </c>
      <c r="O285" s="461">
        <v>0</v>
      </c>
      <c r="P285" s="430" t="str">
        <f t="shared" si="46"/>
        <v/>
      </c>
      <c r="Q285" s="430" t="str">
        <f t="shared" si="47"/>
        <v/>
      </c>
      <c r="R285" s="430" t="str">
        <f t="shared" si="48"/>
        <v/>
      </c>
      <c r="S285" s="430">
        <f t="shared" si="49"/>
        <v>175</v>
      </c>
      <c r="T285" s="430" t="str">
        <f t="shared" si="50"/>
        <v/>
      </c>
      <c r="U285" s="430" t="str">
        <f t="shared" si="51"/>
        <v/>
      </c>
      <c r="V285" s="430" t="str">
        <f t="shared" si="52"/>
        <v/>
      </c>
      <c r="W285" s="430" t="str">
        <f t="shared" si="53"/>
        <v/>
      </c>
      <c r="X285" s="449"/>
      <c r="Z285" s="450"/>
      <c r="AA285" s="449"/>
      <c r="AB285" s="451"/>
      <c r="AC285" s="450"/>
      <c r="AD285" s="449"/>
      <c r="AE285" s="451"/>
      <c r="AF285" s="450"/>
      <c r="AG285" s="449"/>
      <c r="AH285" s="451"/>
      <c r="AI285" s="450"/>
      <c r="AJ285" s="449"/>
      <c r="AK285" s="451"/>
      <c r="AL285" s="450"/>
      <c r="AM285" s="449"/>
      <c r="AN285" s="451"/>
      <c r="AO285" s="450"/>
      <c r="AP285" s="449"/>
      <c r="AQ285" s="451"/>
      <c r="AR285" s="449"/>
      <c r="AS285" s="449"/>
      <c r="AT285" s="451"/>
      <c r="AU285" s="449"/>
      <c r="AV285" s="451"/>
      <c r="AW285" s="449"/>
      <c r="AX285" s="449"/>
      <c r="AY285" s="449"/>
      <c r="AZ285" s="449"/>
      <c r="BA285" s="449"/>
      <c r="BB285" s="449"/>
      <c r="BC285" s="449"/>
      <c r="BD285" s="449"/>
      <c r="BE285" s="449"/>
      <c r="BF285" s="449"/>
      <c r="BG285" s="449"/>
      <c r="BH285" s="449"/>
      <c r="BI285" s="449"/>
      <c r="BJ285" s="449"/>
      <c r="BK285" s="449"/>
      <c r="BL285" s="449"/>
      <c r="BM285" s="449"/>
      <c r="BN285" s="449"/>
    </row>
    <row r="286" spans="1:66" ht="13.15" x14ac:dyDescent="0.4">
      <c r="A286" s="430" t="s">
        <v>36</v>
      </c>
      <c r="B286" s="430" t="s">
        <v>35</v>
      </c>
      <c r="C286" s="463">
        <v>44406</v>
      </c>
      <c r="D286" s="430" t="s">
        <v>871</v>
      </c>
      <c r="E286" s="430">
        <v>28</v>
      </c>
      <c r="F286" s="430">
        <v>48</v>
      </c>
      <c r="G286" s="430" t="str">
        <f t="shared" si="67"/>
        <v>28 x 48</v>
      </c>
      <c r="H286" s="461" t="s">
        <v>45</v>
      </c>
      <c r="I286" s="438" t="s">
        <v>45</v>
      </c>
      <c r="J286" s="438" t="s">
        <v>45</v>
      </c>
      <c r="K286" s="438" t="s">
        <v>45</v>
      </c>
      <c r="L286" s="430" t="str">
        <f t="shared" si="54"/>
        <v>44406N/A</v>
      </c>
      <c r="M286" s="430" t="s">
        <v>45</v>
      </c>
      <c r="N286" s="461">
        <v>0</v>
      </c>
      <c r="O286" s="461">
        <v>0</v>
      </c>
      <c r="P286" s="430">
        <f t="shared" si="46"/>
        <v>190</v>
      </c>
      <c r="Q286" s="430" t="str">
        <f t="shared" si="47"/>
        <v/>
      </c>
      <c r="R286" s="430" t="str">
        <f t="shared" si="48"/>
        <v/>
      </c>
      <c r="S286" s="430" t="str">
        <f t="shared" si="49"/>
        <v/>
      </c>
      <c r="T286" s="430" t="str">
        <f t="shared" si="50"/>
        <v/>
      </c>
      <c r="U286" s="430" t="str">
        <f t="shared" si="51"/>
        <v/>
      </c>
      <c r="V286" s="430" t="str">
        <f t="shared" si="52"/>
        <v/>
      </c>
      <c r="W286" s="430" t="str">
        <f t="shared" si="53"/>
        <v/>
      </c>
      <c r="X286" s="449"/>
      <c r="Z286" s="450"/>
      <c r="AA286" s="449"/>
      <c r="AB286" s="451"/>
      <c r="AC286" s="450"/>
      <c r="AD286" s="449"/>
      <c r="AE286" s="451"/>
      <c r="AF286" s="450"/>
      <c r="AG286" s="449"/>
      <c r="AH286" s="451"/>
      <c r="AI286" s="450"/>
      <c r="AJ286" s="449"/>
      <c r="AK286" s="451"/>
      <c r="AL286" s="450"/>
      <c r="AM286" s="449"/>
      <c r="AN286" s="451"/>
      <c r="AO286" s="450"/>
      <c r="AP286" s="449"/>
      <c r="AQ286" s="451"/>
      <c r="AR286" s="449"/>
      <c r="AS286" s="449"/>
      <c r="AT286" s="451"/>
      <c r="AU286" s="449"/>
      <c r="AV286" s="451"/>
      <c r="AW286" s="449"/>
      <c r="AX286" s="449"/>
      <c r="AY286" s="449"/>
      <c r="AZ286" s="449"/>
      <c r="BA286" s="449"/>
      <c r="BB286" s="449"/>
      <c r="BC286" s="449"/>
      <c r="BD286" s="449"/>
      <c r="BE286" s="449"/>
      <c r="BF286" s="449"/>
      <c r="BG286" s="449"/>
      <c r="BH286" s="449"/>
      <c r="BI286" s="449"/>
      <c r="BJ286" s="449"/>
      <c r="BK286" s="449"/>
      <c r="BL286" s="449"/>
      <c r="BM286" s="449"/>
      <c r="BN286" s="449"/>
    </row>
    <row r="287" spans="1:66" ht="13.15" x14ac:dyDescent="0.4">
      <c r="A287" s="430" t="s">
        <v>36</v>
      </c>
      <c r="B287" s="430" t="s">
        <v>35</v>
      </c>
      <c r="C287" s="463">
        <v>44406</v>
      </c>
      <c r="D287" s="430" t="s">
        <v>871</v>
      </c>
      <c r="E287" s="430">
        <v>28</v>
      </c>
      <c r="F287" s="430">
        <v>48</v>
      </c>
      <c r="G287" s="430" t="str">
        <f t="shared" si="67"/>
        <v>28 x 48</v>
      </c>
      <c r="H287" s="461" t="s">
        <v>45</v>
      </c>
      <c r="I287" s="438" t="s">
        <v>45</v>
      </c>
      <c r="J287" s="438" t="s">
        <v>45</v>
      </c>
      <c r="K287" s="438" t="s">
        <v>45</v>
      </c>
      <c r="L287" s="430" t="str">
        <f t="shared" si="54"/>
        <v>44406N/A</v>
      </c>
      <c r="M287" s="430" t="s">
        <v>45</v>
      </c>
      <c r="N287" s="461">
        <v>0</v>
      </c>
      <c r="O287" s="461">
        <v>0</v>
      </c>
      <c r="P287" s="430">
        <f t="shared" si="46"/>
        <v>190</v>
      </c>
      <c r="Q287" s="430" t="str">
        <f t="shared" si="47"/>
        <v/>
      </c>
      <c r="R287" s="430" t="str">
        <f t="shared" si="48"/>
        <v/>
      </c>
      <c r="S287" s="430" t="str">
        <f t="shared" si="49"/>
        <v/>
      </c>
      <c r="T287" s="430" t="str">
        <f t="shared" si="50"/>
        <v/>
      </c>
      <c r="U287" s="430" t="str">
        <f t="shared" si="51"/>
        <v/>
      </c>
      <c r="V287" s="430" t="str">
        <f t="shared" si="52"/>
        <v/>
      </c>
      <c r="W287" s="430" t="str">
        <f t="shared" si="53"/>
        <v/>
      </c>
      <c r="X287" s="449"/>
      <c r="Z287" s="450"/>
      <c r="AA287" s="449"/>
      <c r="AB287" s="451"/>
      <c r="AC287" s="450"/>
      <c r="AD287" s="449"/>
      <c r="AE287" s="451"/>
      <c r="AF287" s="450"/>
      <c r="AG287" s="449"/>
      <c r="AH287" s="451"/>
      <c r="AI287" s="450"/>
      <c r="AJ287" s="449"/>
      <c r="AK287" s="451"/>
      <c r="AL287" s="450"/>
      <c r="AM287" s="449"/>
      <c r="AN287" s="451"/>
      <c r="AO287" s="450"/>
      <c r="AP287" s="449"/>
      <c r="AQ287" s="451"/>
      <c r="AR287" s="449"/>
      <c r="AS287" s="449"/>
      <c r="AT287" s="451"/>
      <c r="AU287" s="449"/>
      <c r="AV287" s="451"/>
      <c r="AW287" s="449"/>
      <c r="AX287" s="449"/>
      <c r="AY287" s="449"/>
      <c r="AZ287" s="449"/>
      <c r="BA287" s="449"/>
      <c r="BB287" s="449"/>
      <c r="BC287" s="449"/>
      <c r="BD287" s="449"/>
      <c r="BE287" s="449"/>
      <c r="BF287" s="449"/>
      <c r="BG287" s="449"/>
      <c r="BH287" s="449"/>
      <c r="BI287" s="449"/>
      <c r="BJ287" s="449"/>
      <c r="BK287" s="449"/>
      <c r="BL287" s="449"/>
      <c r="BM287" s="449"/>
      <c r="BN287" s="449"/>
    </row>
    <row r="288" spans="1:66" ht="13.15" x14ac:dyDescent="0.4">
      <c r="A288" s="430" t="s">
        <v>36</v>
      </c>
      <c r="B288" s="430" t="s">
        <v>35</v>
      </c>
      <c r="C288" s="463">
        <v>44406</v>
      </c>
      <c r="D288" s="430" t="s">
        <v>871</v>
      </c>
      <c r="E288" s="430">
        <v>46</v>
      </c>
      <c r="F288" s="430">
        <v>58</v>
      </c>
      <c r="G288" s="430" t="str">
        <f t="shared" si="67"/>
        <v>46 x 58</v>
      </c>
      <c r="H288" s="461" t="s">
        <v>45</v>
      </c>
      <c r="I288" s="438" t="s">
        <v>45</v>
      </c>
      <c r="J288" s="438" t="s">
        <v>45</v>
      </c>
      <c r="K288" s="438" t="s">
        <v>45</v>
      </c>
      <c r="L288" s="430" t="str">
        <f t="shared" si="54"/>
        <v>44406N/A</v>
      </c>
      <c r="M288" s="430" t="s">
        <v>45</v>
      </c>
      <c r="N288" s="461">
        <v>0</v>
      </c>
      <c r="O288" s="461">
        <v>0</v>
      </c>
      <c r="P288" s="430">
        <f t="shared" si="46"/>
        <v>260</v>
      </c>
      <c r="Q288" s="430" t="str">
        <f t="shared" si="47"/>
        <v/>
      </c>
      <c r="R288" s="430" t="str">
        <f t="shared" si="48"/>
        <v/>
      </c>
      <c r="S288" s="430" t="str">
        <f t="shared" si="49"/>
        <v/>
      </c>
      <c r="T288" s="430" t="str">
        <f t="shared" si="50"/>
        <v/>
      </c>
      <c r="U288" s="430" t="str">
        <f t="shared" si="51"/>
        <v/>
      </c>
      <c r="V288" s="430" t="str">
        <f t="shared" si="52"/>
        <v/>
      </c>
      <c r="W288" s="430" t="str">
        <f t="shared" si="53"/>
        <v/>
      </c>
      <c r="X288" s="449"/>
      <c r="Z288" s="450"/>
      <c r="AA288" s="449"/>
      <c r="AB288" s="451"/>
      <c r="AC288" s="450"/>
      <c r="AD288" s="449"/>
      <c r="AE288" s="451"/>
      <c r="AF288" s="450"/>
      <c r="AG288" s="449"/>
      <c r="AH288" s="451"/>
      <c r="AI288" s="450"/>
      <c r="AJ288" s="449"/>
      <c r="AK288" s="451"/>
      <c r="AL288" s="450"/>
      <c r="AM288" s="449"/>
      <c r="AN288" s="451"/>
      <c r="AO288" s="450"/>
      <c r="AP288" s="449"/>
      <c r="AQ288" s="451"/>
      <c r="AR288" s="449"/>
      <c r="AS288" s="449"/>
      <c r="AT288" s="451"/>
      <c r="AU288" s="449"/>
      <c r="AV288" s="451"/>
      <c r="AW288" s="449"/>
      <c r="AX288" s="449"/>
      <c r="AY288" s="449"/>
      <c r="AZ288" s="449"/>
      <c r="BA288" s="449"/>
      <c r="BB288" s="449"/>
      <c r="BC288" s="449"/>
      <c r="BD288" s="449"/>
      <c r="BE288" s="449"/>
      <c r="BF288" s="449"/>
      <c r="BG288" s="449"/>
      <c r="BH288" s="449"/>
      <c r="BI288" s="449"/>
      <c r="BJ288" s="449"/>
      <c r="BK288" s="449"/>
      <c r="BL288" s="449"/>
      <c r="BM288" s="449"/>
      <c r="BN288" s="449"/>
    </row>
    <row r="289" spans="1:66" ht="13.15" x14ac:dyDescent="0.4">
      <c r="A289" s="469" t="s">
        <v>873</v>
      </c>
      <c r="B289" s="430" t="s">
        <v>872</v>
      </c>
      <c r="C289" s="463">
        <v>44406</v>
      </c>
      <c r="D289" s="430" t="s">
        <v>42</v>
      </c>
      <c r="E289" s="430">
        <v>12</v>
      </c>
      <c r="F289" s="430">
        <v>16</v>
      </c>
      <c r="G289" s="430" t="str">
        <f t="shared" si="67"/>
        <v>12 x 16</v>
      </c>
      <c r="H289" s="461" t="s">
        <v>690</v>
      </c>
      <c r="I289" s="438" t="str">
        <f>E289+2&amp;" x "&amp;F289+2</f>
        <v>14 x 18</v>
      </c>
      <c r="J289" s="438">
        <v>15</v>
      </c>
      <c r="K289" s="438" t="s">
        <v>474</v>
      </c>
      <c r="L289" s="430" t="str">
        <f t="shared" si="54"/>
        <v>44406S-15176</v>
      </c>
      <c r="M289" s="430" t="s">
        <v>712</v>
      </c>
      <c r="N289" s="461">
        <v>19.86</v>
      </c>
      <c r="O289" s="461">
        <v>4800</v>
      </c>
      <c r="P289" s="430">
        <f t="shared" si="46"/>
        <v>70</v>
      </c>
      <c r="Q289" s="430">
        <f t="shared" si="47"/>
        <v>80</v>
      </c>
      <c r="R289" s="430" t="str">
        <f t="shared" si="48"/>
        <v/>
      </c>
      <c r="S289" s="430" t="str">
        <f t="shared" si="49"/>
        <v/>
      </c>
      <c r="T289" s="430" t="str">
        <f t="shared" si="50"/>
        <v/>
      </c>
      <c r="U289" s="430" t="str">
        <f t="shared" si="51"/>
        <v/>
      </c>
      <c r="V289" s="430" t="str">
        <f t="shared" si="52"/>
        <v/>
      </c>
      <c r="W289" s="430" t="str">
        <f t="shared" si="53"/>
        <v/>
      </c>
      <c r="X289" s="449"/>
      <c r="Z289" s="450"/>
      <c r="AA289" s="449"/>
      <c r="AB289" s="451"/>
      <c r="AC289" s="450"/>
      <c r="AD289" s="449"/>
      <c r="AE289" s="451"/>
      <c r="AF289" s="450"/>
      <c r="AG289" s="449"/>
      <c r="AH289" s="451"/>
      <c r="AI289" s="450"/>
      <c r="AJ289" s="449"/>
      <c r="AK289" s="451"/>
      <c r="AL289" s="450"/>
      <c r="AM289" s="449"/>
      <c r="AN289" s="451"/>
      <c r="AO289" s="450"/>
      <c r="AP289" s="449"/>
      <c r="AQ289" s="451"/>
      <c r="AR289" s="449"/>
      <c r="AS289" s="449"/>
      <c r="AT289" s="451"/>
      <c r="AU289" s="449"/>
      <c r="AV289" s="451"/>
      <c r="AW289" s="449"/>
      <c r="AX289" s="449"/>
      <c r="AY289" s="449"/>
      <c r="AZ289" s="449"/>
      <c r="BA289" s="449"/>
      <c r="BB289" s="449"/>
      <c r="BC289" s="449"/>
      <c r="BD289" s="449"/>
      <c r="BE289" s="449"/>
      <c r="BF289" s="449"/>
      <c r="BG289" s="449"/>
      <c r="BH289" s="449"/>
      <c r="BI289" s="449"/>
      <c r="BJ289" s="449"/>
      <c r="BK289" s="449"/>
      <c r="BL289" s="449"/>
      <c r="BM289" s="449"/>
      <c r="BN289" s="449"/>
    </row>
    <row r="290" spans="1:66" ht="13.15" x14ac:dyDescent="0.4">
      <c r="A290" s="468" t="s">
        <v>536</v>
      </c>
      <c r="B290" s="464" t="s">
        <v>874</v>
      </c>
      <c r="C290" s="465">
        <v>44413</v>
      </c>
      <c r="D290" s="464" t="s">
        <v>42</v>
      </c>
      <c r="E290" s="464">
        <v>23</v>
      </c>
      <c r="F290" s="464">
        <v>26</v>
      </c>
      <c r="G290" s="464" t="str">
        <f t="shared" si="67"/>
        <v>23 x 26</v>
      </c>
      <c r="H290" s="466" t="s">
        <v>592</v>
      </c>
      <c r="I290" s="446" t="s">
        <v>322</v>
      </c>
      <c r="J290" s="446">
        <v>25</v>
      </c>
      <c r="K290" s="446" t="s">
        <v>480</v>
      </c>
      <c r="L290" s="464" t="str">
        <f t="shared" si="54"/>
        <v>44413S-17584</v>
      </c>
      <c r="M290" s="464" t="s">
        <v>712</v>
      </c>
      <c r="N290" s="466">
        <v>49.69</v>
      </c>
      <c r="O290" s="466">
        <v>9000</v>
      </c>
      <c r="P290" s="430">
        <f t="shared" ref="P290:P315" si="82">IF(D290="2 3D","",IF(D290="4 FREE","",(SUM(E290:F290)*2)*1.25))</f>
        <v>122.5</v>
      </c>
      <c r="Q290" s="430" t="str">
        <f t="shared" ref="Q290:Q315" si="83">IF(D290="1 Orig",IF(H290="EH",(((E290+2)+(F290+2))*2)*1.25,""),"")</f>
        <v/>
      </c>
      <c r="R290" s="430" t="str">
        <f t="shared" ref="R290:R315" si="84">IF(D290="2 3D",IF(H290="EH",(((E290+2)+(F290+2))*2)*1.25,""),"")</f>
        <v/>
      </c>
      <c r="S290" s="430" t="str">
        <f t="shared" ref="S290:S315" si="85">IF(H290="Black",(((E290+2)+(F290+2))*2)*1.25,"")</f>
        <v/>
      </c>
      <c r="T290" s="430" t="str">
        <f t="shared" ref="T290:T315" si="86">IF(H290="Gold",(((E290+2)+(F290+2))*2)*1.25,"")</f>
        <v/>
      </c>
      <c r="U290" s="430" t="str">
        <f t="shared" ref="U290:U315" si="87">IF(H290="White",(((E290+2)+(F290+2))*2)*1.25,"")</f>
        <v/>
      </c>
      <c r="V290" s="430" t="str">
        <f t="shared" ref="V290:V315" si="88">IF(H290="Silver",(((E290+2)+(F290+2))*2)*1.25,"")</f>
        <v/>
      </c>
      <c r="W290" s="430" t="str">
        <f t="shared" ref="W290:W315" si="89">IF(D290="3 Canv",ROUNDUP((E290*F290)*1.25,0),"")</f>
        <v/>
      </c>
      <c r="X290" s="449"/>
      <c r="Z290" s="450"/>
      <c r="AA290" s="449"/>
      <c r="AB290" s="451"/>
      <c r="AC290" s="450"/>
      <c r="AD290" s="449"/>
      <c r="AE290" s="451"/>
      <c r="AF290" s="450"/>
      <c r="AG290" s="449"/>
      <c r="AH290" s="451"/>
      <c r="AI290" s="450"/>
      <c r="AJ290" s="449"/>
      <c r="AK290" s="451"/>
      <c r="AL290" s="450"/>
      <c r="AM290" s="449"/>
      <c r="AN290" s="451"/>
      <c r="AO290" s="450"/>
      <c r="AP290" s="449"/>
      <c r="AQ290" s="451"/>
      <c r="AR290" s="449"/>
      <c r="AS290" s="449"/>
      <c r="AT290" s="451"/>
      <c r="AU290" s="449"/>
      <c r="AV290" s="451"/>
      <c r="AW290" s="449"/>
      <c r="AX290" s="449"/>
      <c r="AY290" s="449"/>
      <c r="AZ290" s="449"/>
      <c r="BA290" s="449"/>
      <c r="BB290" s="449"/>
      <c r="BC290" s="449"/>
      <c r="BD290" s="449"/>
      <c r="BE290" s="449"/>
      <c r="BF290" s="449"/>
      <c r="BG290" s="449"/>
      <c r="BH290" s="449"/>
      <c r="BI290" s="449"/>
      <c r="BJ290" s="449"/>
      <c r="BK290" s="449"/>
      <c r="BL290" s="449"/>
      <c r="BM290" s="449"/>
      <c r="BN290" s="449"/>
    </row>
    <row r="291" spans="1:66" ht="13.15" x14ac:dyDescent="0.4">
      <c r="A291" s="469" t="s">
        <v>546</v>
      </c>
      <c r="B291" s="430" t="s">
        <v>875</v>
      </c>
      <c r="C291" s="463">
        <v>44413</v>
      </c>
      <c r="D291" s="430" t="s">
        <v>42</v>
      </c>
      <c r="E291" s="430">
        <v>24</v>
      </c>
      <c r="F291" s="430">
        <v>24</v>
      </c>
      <c r="G291" s="430" t="str">
        <f t="shared" si="67"/>
        <v>24 x 24</v>
      </c>
      <c r="H291" s="461" t="s">
        <v>690</v>
      </c>
      <c r="I291" s="438" t="s">
        <v>305</v>
      </c>
      <c r="J291" s="438">
        <v>24</v>
      </c>
      <c r="K291" s="438" t="s">
        <v>480</v>
      </c>
      <c r="L291" s="430" t="str">
        <f t="shared" si="54"/>
        <v>44413S-17584</v>
      </c>
      <c r="M291" s="430" t="s">
        <v>712</v>
      </c>
      <c r="N291" s="461">
        <v>115.02</v>
      </c>
      <c r="O291" s="461">
        <v>5500</v>
      </c>
      <c r="P291" s="430">
        <f t="shared" si="82"/>
        <v>120</v>
      </c>
      <c r="Q291" s="430">
        <f t="shared" si="83"/>
        <v>130</v>
      </c>
      <c r="R291" s="430" t="str">
        <f t="shared" si="84"/>
        <v/>
      </c>
      <c r="S291" s="430" t="str">
        <f t="shared" si="85"/>
        <v/>
      </c>
      <c r="T291" s="430" t="str">
        <f t="shared" si="86"/>
        <v/>
      </c>
      <c r="U291" s="430" t="str">
        <f t="shared" si="87"/>
        <v/>
      </c>
      <c r="V291" s="430" t="str">
        <f t="shared" si="88"/>
        <v/>
      </c>
      <c r="W291" s="430" t="str">
        <f t="shared" si="89"/>
        <v/>
      </c>
      <c r="X291" s="449"/>
      <c r="Z291" s="450"/>
      <c r="AA291" s="449"/>
      <c r="AB291" s="451"/>
      <c r="AC291" s="450"/>
      <c r="AD291" s="449"/>
      <c r="AE291" s="451"/>
      <c r="AF291" s="450"/>
      <c r="AG291" s="449"/>
      <c r="AH291" s="451"/>
      <c r="AI291" s="450"/>
      <c r="AJ291" s="449"/>
      <c r="AK291" s="451"/>
      <c r="AL291" s="450"/>
      <c r="AM291" s="449"/>
      <c r="AN291" s="451"/>
      <c r="AO291" s="450"/>
      <c r="AP291" s="449"/>
      <c r="AQ291" s="451"/>
      <c r="AR291" s="449"/>
      <c r="AS291" s="449"/>
      <c r="AT291" s="451"/>
      <c r="AU291" s="449"/>
      <c r="AV291" s="451"/>
      <c r="AW291" s="449"/>
      <c r="AX291" s="449"/>
      <c r="AY291" s="449"/>
      <c r="AZ291" s="449"/>
      <c r="BA291" s="449"/>
      <c r="BB291" s="449"/>
      <c r="BC291" s="449"/>
      <c r="BD291" s="449"/>
      <c r="BE291" s="449"/>
      <c r="BF291" s="449"/>
      <c r="BG291" s="449"/>
      <c r="BH291" s="449"/>
      <c r="BI291" s="449"/>
      <c r="BJ291" s="449"/>
      <c r="BK291" s="449"/>
      <c r="BL291" s="449"/>
      <c r="BM291" s="449"/>
      <c r="BN291" s="449"/>
    </row>
    <row r="292" spans="1:66" ht="13.15" x14ac:dyDescent="0.4">
      <c r="A292" s="469" t="s">
        <v>810</v>
      </c>
      <c r="B292" s="430" t="s">
        <v>876</v>
      </c>
      <c r="C292" s="463">
        <v>44413</v>
      </c>
      <c r="D292" s="430" t="s">
        <v>54</v>
      </c>
      <c r="E292" s="430">
        <v>30</v>
      </c>
      <c r="F292" s="430">
        <v>42</v>
      </c>
      <c r="G292" s="430" t="str">
        <f t="shared" si="67"/>
        <v>30 x 42</v>
      </c>
      <c r="H292" s="461" t="s">
        <v>690</v>
      </c>
      <c r="I292" s="438" t="str">
        <f t="shared" ref="I292:I299" si="90">E292+2&amp;" x "&amp;F292+2</f>
        <v>32 x 44</v>
      </c>
      <c r="J292" s="438">
        <v>39</v>
      </c>
      <c r="K292" s="438" t="s">
        <v>509</v>
      </c>
      <c r="L292" s="430" t="str">
        <f t="shared" si="54"/>
        <v>44413S-17587</v>
      </c>
      <c r="M292" s="430" t="s">
        <v>46</v>
      </c>
      <c r="N292" s="461">
        <v>158.76</v>
      </c>
      <c r="O292" s="461">
        <v>2550</v>
      </c>
      <c r="P292" s="430" t="str">
        <f t="shared" si="82"/>
        <v/>
      </c>
      <c r="Q292" s="430" t="str">
        <f t="shared" si="83"/>
        <v/>
      </c>
      <c r="R292" s="430">
        <f t="shared" si="84"/>
        <v>190</v>
      </c>
      <c r="S292" s="430" t="str">
        <f t="shared" si="85"/>
        <v/>
      </c>
      <c r="T292" s="430" t="str">
        <f t="shared" si="86"/>
        <v/>
      </c>
      <c r="U292" s="430" t="str">
        <f t="shared" si="87"/>
        <v/>
      </c>
      <c r="V292" s="430" t="str">
        <f t="shared" si="88"/>
        <v/>
      </c>
      <c r="W292" s="430" t="str">
        <f t="shared" si="89"/>
        <v/>
      </c>
      <c r="X292" s="449"/>
      <c r="Z292" s="450"/>
      <c r="AA292" s="449"/>
      <c r="AB292" s="451"/>
      <c r="AC292" s="450"/>
      <c r="AD292" s="449"/>
      <c r="AE292" s="451"/>
      <c r="AF292" s="450"/>
      <c r="AG292" s="449"/>
      <c r="AH292" s="451"/>
      <c r="AI292" s="450"/>
      <c r="AJ292" s="449"/>
      <c r="AK292" s="451"/>
      <c r="AL292" s="450"/>
      <c r="AM292" s="449"/>
      <c r="AN292" s="451"/>
      <c r="AO292" s="450"/>
      <c r="AP292" s="449"/>
      <c r="AQ292" s="451"/>
      <c r="AR292" s="449"/>
      <c r="AS292" s="449"/>
      <c r="AT292" s="451"/>
      <c r="AU292" s="449"/>
      <c r="AV292" s="451"/>
      <c r="AW292" s="449"/>
      <c r="AX292" s="449"/>
      <c r="AY292" s="449"/>
      <c r="AZ292" s="449"/>
      <c r="BA292" s="449"/>
      <c r="BB292" s="449"/>
      <c r="BC292" s="449"/>
      <c r="BD292" s="449"/>
      <c r="BE292" s="449"/>
      <c r="BF292" s="449"/>
      <c r="BG292" s="449"/>
      <c r="BH292" s="449"/>
      <c r="BI292" s="449"/>
      <c r="BJ292" s="449"/>
      <c r="BK292" s="449"/>
      <c r="BL292" s="449"/>
      <c r="BM292" s="449"/>
      <c r="BN292" s="449"/>
    </row>
    <row r="293" spans="1:66" ht="13.15" x14ac:dyDescent="0.4">
      <c r="A293" s="469" t="s">
        <v>571</v>
      </c>
      <c r="B293" s="430" t="s">
        <v>877</v>
      </c>
      <c r="C293" s="463">
        <v>44413</v>
      </c>
      <c r="D293" s="430" t="s">
        <v>54</v>
      </c>
      <c r="E293" s="430">
        <v>22</v>
      </c>
      <c r="F293" s="430">
        <v>30</v>
      </c>
      <c r="G293" s="430" t="str">
        <f t="shared" si="67"/>
        <v>22 x 30</v>
      </c>
      <c r="H293" s="461" t="s">
        <v>690</v>
      </c>
      <c r="I293" s="438" t="str">
        <f t="shared" si="90"/>
        <v>24 x 32</v>
      </c>
      <c r="J293" s="438">
        <v>16</v>
      </c>
      <c r="K293" s="438" t="s">
        <v>580</v>
      </c>
      <c r="L293" s="430" t="str">
        <f t="shared" si="54"/>
        <v>44413S-4554</v>
      </c>
      <c r="M293" s="430" t="s">
        <v>46</v>
      </c>
      <c r="N293" s="461">
        <v>31.7</v>
      </c>
      <c r="O293" s="461">
        <v>1600</v>
      </c>
      <c r="P293" s="430" t="str">
        <f t="shared" si="82"/>
        <v/>
      </c>
      <c r="Q293" s="430" t="str">
        <f t="shared" si="83"/>
        <v/>
      </c>
      <c r="R293" s="430">
        <f t="shared" si="84"/>
        <v>140</v>
      </c>
      <c r="S293" s="430" t="str">
        <f t="shared" si="85"/>
        <v/>
      </c>
      <c r="T293" s="430" t="str">
        <f t="shared" si="86"/>
        <v/>
      </c>
      <c r="U293" s="430" t="str">
        <f t="shared" si="87"/>
        <v/>
      </c>
      <c r="V293" s="430" t="str">
        <f t="shared" si="88"/>
        <v/>
      </c>
      <c r="W293" s="430" t="str">
        <f t="shared" si="89"/>
        <v/>
      </c>
      <c r="X293" s="449"/>
      <c r="Z293" s="450"/>
      <c r="AA293" s="449"/>
      <c r="AB293" s="451"/>
      <c r="AC293" s="450"/>
      <c r="AD293" s="449"/>
      <c r="AE293" s="451"/>
      <c r="AF293" s="450"/>
      <c r="AG293" s="449"/>
      <c r="AH293" s="451"/>
      <c r="AI293" s="450"/>
      <c r="AJ293" s="449"/>
      <c r="AK293" s="451"/>
      <c r="AL293" s="450"/>
      <c r="AM293" s="449"/>
      <c r="AN293" s="451"/>
      <c r="AO293" s="450"/>
      <c r="AP293" s="449"/>
      <c r="AQ293" s="451"/>
      <c r="AR293" s="449"/>
      <c r="AS293" s="449"/>
      <c r="AT293" s="451"/>
      <c r="AU293" s="449"/>
      <c r="AV293" s="451"/>
      <c r="AW293" s="449"/>
      <c r="AX293" s="449"/>
      <c r="AY293" s="449"/>
      <c r="AZ293" s="449"/>
      <c r="BA293" s="449"/>
      <c r="BB293" s="449"/>
      <c r="BC293" s="449"/>
      <c r="BD293" s="449"/>
      <c r="BE293" s="449"/>
      <c r="BF293" s="449"/>
      <c r="BG293" s="449"/>
      <c r="BH293" s="449"/>
      <c r="BI293" s="449"/>
      <c r="BJ293" s="449"/>
      <c r="BK293" s="449"/>
      <c r="BL293" s="449"/>
      <c r="BM293" s="449"/>
      <c r="BN293" s="449"/>
    </row>
    <row r="294" spans="1:66" ht="13.15" x14ac:dyDescent="0.4">
      <c r="A294" s="469" t="s">
        <v>486</v>
      </c>
      <c r="B294" s="430" t="s">
        <v>878</v>
      </c>
      <c r="C294" s="463">
        <v>44413</v>
      </c>
      <c r="D294" s="430" t="s">
        <v>54</v>
      </c>
      <c r="E294" s="430">
        <v>24</v>
      </c>
      <c r="F294" s="430">
        <v>36</v>
      </c>
      <c r="G294" s="430" t="str">
        <f t="shared" si="67"/>
        <v>24 x 36</v>
      </c>
      <c r="H294" s="461" t="s">
        <v>690</v>
      </c>
      <c r="I294" s="438" t="str">
        <f t="shared" si="90"/>
        <v>26 x 38</v>
      </c>
      <c r="J294" s="438">
        <v>22</v>
      </c>
      <c r="K294" s="438" t="s">
        <v>600</v>
      </c>
      <c r="L294" s="430" t="str">
        <f t="shared" si="54"/>
        <v>44413S-11214</v>
      </c>
      <c r="M294" s="430" t="s">
        <v>46</v>
      </c>
      <c r="N294" s="461">
        <v>36.479999999999997</v>
      </c>
      <c r="O294" s="461">
        <v>1700</v>
      </c>
      <c r="P294" s="430" t="str">
        <f t="shared" si="82"/>
        <v/>
      </c>
      <c r="Q294" s="430" t="str">
        <f t="shared" si="83"/>
        <v/>
      </c>
      <c r="R294" s="430">
        <f t="shared" si="84"/>
        <v>160</v>
      </c>
      <c r="S294" s="430" t="str">
        <f t="shared" si="85"/>
        <v/>
      </c>
      <c r="T294" s="430" t="str">
        <f t="shared" si="86"/>
        <v/>
      </c>
      <c r="U294" s="430" t="str">
        <f t="shared" si="87"/>
        <v/>
      </c>
      <c r="V294" s="430" t="str">
        <f t="shared" si="88"/>
        <v/>
      </c>
      <c r="W294" s="430" t="str">
        <f t="shared" si="89"/>
        <v/>
      </c>
      <c r="X294" s="449"/>
      <c r="Z294" s="450"/>
      <c r="AA294" s="449"/>
      <c r="AB294" s="451"/>
      <c r="AC294" s="450"/>
      <c r="AD294" s="449"/>
      <c r="AE294" s="451"/>
      <c r="AF294" s="450"/>
      <c r="AG294" s="449"/>
      <c r="AH294" s="451"/>
      <c r="AI294" s="450"/>
      <c r="AJ294" s="449"/>
      <c r="AK294" s="451"/>
      <c r="AL294" s="450"/>
      <c r="AM294" s="449"/>
      <c r="AN294" s="451"/>
      <c r="AO294" s="450"/>
      <c r="AP294" s="449"/>
      <c r="AQ294" s="451"/>
      <c r="AR294" s="449"/>
      <c r="AS294" s="449"/>
      <c r="AT294" s="451"/>
      <c r="AU294" s="449"/>
      <c r="AV294" s="451"/>
      <c r="AW294" s="449"/>
      <c r="AX294" s="449"/>
      <c r="AY294" s="449"/>
      <c r="AZ294" s="449"/>
      <c r="BA294" s="449"/>
      <c r="BB294" s="449"/>
      <c r="BC294" s="449"/>
      <c r="BD294" s="449"/>
      <c r="BE294" s="449"/>
      <c r="BF294" s="449"/>
      <c r="BG294" s="449"/>
      <c r="BH294" s="449"/>
      <c r="BI294" s="449"/>
      <c r="BJ294" s="449"/>
      <c r="BK294" s="449"/>
      <c r="BL294" s="449"/>
      <c r="BM294" s="449"/>
      <c r="BN294" s="449"/>
    </row>
    <row r="295" spans="1:66" ht="13.15" x14ac:dyDescent="0.4">
      <c r="A295" s="469" t="s">
        <v>543</v>
      </c>
      <c r="B295" s="430" t="s">
        <v>879</v>
      </c>
      <c r="C295" s="463">
        <v>44413</v>
      </c>
      <c r="D295" s="430" t="s">
        <v>54</v>
      </c>
      <c r="E295" s="430">
        <v>29</v>
      </c>
      <c r="F295" s="430">
        <v>48</v>
      </c>
      <c r="G295" s="430" t="str">
        <f t="shared" si="67"/>
        <v>29 x 48</v>
      </c>
      <c r="H295" s="461" t="s">
        <v>690</v>
      </c>
      <c r="I295" s="438" t="str">
        <f t="shared" si="90"/>
        <v>31 x 50</v>
      </c>
      <c r="J295" s="438">
        <v>40</v>
      </c>
      <c r="K295" s="438" t="s">
        <v>509</v>
      </c>
      <c r="L295" s="430" t="str">
        <f t="shared" si="54"/>
        <v>44413S-17587</v>
      </c>
      <c r="M295" s="430" t="s">
        <v>46</v>
      </c>
      <c r="N295" s="461">
        <v>359.56</v>
      </c>
      <c r="O295" s="461">
        <v>2805</v>
      </c>
      <c r="P295" s="430" t="str">
        <f t="shared" si="82"/>
        <v/>
      </c>
      <c r="Q295" s="430" t="str">
        <f t="shared" si="83"/>
        <v/>
      </c>
      <c r="R295" s="430">
        <f t="shared" si="84"/>
        <v>202.5</v>
      </c>
      <c r="S295" s="430" t="str">
        <f t="shared" si="85"/>
        <v/>
      </c>
      <c r="T295" s="430" t="str">
        <f t="shared" si="86"/>
        <v/>
      </c>
      <c r="U295" s="430" t="str">
        <f t="shared" si="87"/>
        <v/>
      </c>
      <c r="V295" s="430" t="str">
        <f t="shared" si="88"/>
        <v/>
      </c>
      <c r="W295" s="430" t="str">
        <f t="shared" si="89"/>
        <v/>
      </c>
      <c r="X295" s="449"/>
      <c r="Z295" s="450"/>
      <c r="AA295" s="449"/>
      <c r="AB295" s="451"/>
      <c r="AC295" s="450"/>
      <c r="AD295" s="449"/>
      <c r="AE295" s="451"/>
      <c r="AF295" s="450"/>
      <c r="AG295" s="449"/>
      <c r="AH295" s="451"/>
      <c r="AI295" s="450"/>
      <c r="AJ295" s="449"/>
      <c r="AK295" s="451"/>
      <c r="AL295" s="450"/>
      <c r="AM295" s="449"/>
      <c r="AN295" s="451"/>
      <c r="AO295" s="450"/>
      <c r="AP295" s="449"/>
      <c r="AQ295" s="451"/>
      <c r="AR295" s="449"/>
      <c r="AS295" s="449"/>
      <c r="AT295" s="451"/>
      <c r="AU295" s="449"/>
      <c r="AV295" s="451"/>
      <c r="AW295" s="449"/>
      <c r="AX295" s="449"/>
      <c r="AY295" s="449"/>
      <c r="AZ295" s="449"/>
      <c r="BA295" s="449"/>
      <c r="BB295" s="449"/>
      <c r="BC295" s="449"/>
      <c r="BD295" s="449"/>
      <c r="BE295" s="449"/>
      <c r="BF295" s="449"/>
      <c r="BG295" s="449"/>
      <c r="BH295" s="449"/>
      <c r="BI295" s="449"/>
      <c r="BJ295" s="449"/>
      <c r="BK295" s="449"/>
      <c r="BL295" s="449"/>
      <c r="BM295" s="449"/>
      <c r="BN295" s="449"/>
    </row>
    <row r="296" spans="1:66" ht="13.15" x14ac:dyDescent="0.4">
      <c r="A296" s="469" t="s">
        <v>810</v>
      </c>
      <c r="B296" s="430" t="s">
        <v>880</v>
      </c>
      <c r="C296" s="463">
        <v>44413</v>
      </c>
      <c r="D296" s="430" t="s">
        <v>54</v>
      </c>
      <c r="E296" s="430">
        <v>30</v>
      </c>
      <c r="F296" s="430">
        <v>42</v>
      </c>
      <c r="G296" s="430" t="str">
        <f t="shared" si="67"/>
        <v>30 x 42</v>
      </c>
      <c r="H296" s="461" t="s">
        <v>690</v>
      </c>
      <c r="I296" s="438" t="str">
        <f t="shared" si="90"/>
        <v>32 x 44</v>
      </c>
      <c r="J296" s="438">
        <v>39</v>
      </c>
      <c r="K296" s="438" t="s">
        <v>509</v>
      </c>
      <c r="L296" s="430" t="str">
        <f t="shared" si="54"/>
        <v>44413S-17587</v>
      </c>
      <c r="M296" s="430" t="s">
        <v>46</v>
      </c>
      <c r="N296" s="461">
        <v>153.6</v>
      </c>
      <c r="O296" s="461">
        <v>2700</v>
      </c>
      <c r="P296" s="430" t="str">
        <f t="shared" si="82"/>
        <v/>
      </c>
      <c r="Q296" s="430" t="str">
        <f t="shared" si="83"/>
        <v/>
      </c>
      <c r="R296" s="430">
        <f t="shared" si="84"/>
        <v>190</v>
      </c>
      <c r="S296" s="430" t="str">
        <f t="shared" si="85"/>
        <v/>
      </c>
      <c r="T296" s="430" t="str">
        <f t="shared" si="86"/>
        <v/>
      </c>
      <c r="U296" s="430" t="str">
        <f t="shared" si="87"/>
        <v/>
      </c>
      <c r="V296" s="430" t="str">
        <f t="shared" si="88"/>
        <v/>
      </c>
      <c r="W296" s="430" t="str">
        <f t="shared" si="89"/>
        <v/>
      </c>
      <c r="X296" s="449"/>
      <c r="Z296" s="450"/>
      <c r="AA296" s="449"/>
      <c r="AB296" s="451"/>
      <c r="AC296" s="450"/>
      <c r="AD296" s="449"/>
      <c r="AE296" s="451"/>
      <c r="AF296" s="450"/>
      <c r="AG296" s="449"/>
      <c r="AH296" s="451"/>
      <c r="AI296" s="450"/>
      <c r="AJ296" s="449"/>
      <c r="AK296" s="451"/>
      <c r="AL296" s="450"/>
      <c r="AM296" s="449"/>
      <c r="AN296" s="451"/>
      <c r="AO296" s="450"/>
      <c r="AP296" s="449"/>
      <c r="AQ296" s="451"/>
      <c r="AR296" s="449"/>
      <c r="AS296" s="449"/>
      <c r="AT296" s="451"/>
      <c r="AU296" s="449"/>
      <c r="AV296" s="451"/>
      <c r="AW296" s="449"/>
      <c r="AX296" s="449"/>
      <c r="AY296" s="449"/>
      <c r="AZ296" s="449"/>
      <c r="BA296" s="449"/>
      <c r="BB296" s="449"/>
      <c r="BC296" s="449"/>
      <c r="BD296" s="449"/>
      <c r="BE296" s="449"/>
      <c r="BF296" s="449"/>
      <c r="BG296" s="449"/>
      <c r="BH296" s="449"/>
      <c r="BI296" s="449"/>
      <c r="BJ296" s="449"/>
      <c r="BK296" s="449"/>
      <c r="BL296" s="449"/>
      <c r="BM296" s="449"/>
      <c r="BN296" s="449"/>
    </row>
    <row r="297" spans="1:66" ht="13.15" x14ac:dyDescent="0.4">
      <c r="A297" s="469" t="s">
        <v>68</v>
      </c>
      <c r="B297" s="430" t="s">
        <v>881</v>
      </c>
      <c r="C297" s="463">
        <v>44413</v>
      </c>
      <c r="D297" s="430" t="s">
        <v>54</v>
      </c>
      <c r="E297" s="430">
        <v>30</v>
      </c>
      <c r="F297" s="430">
        <v>60</v>
      </c>
      <c r="G297" s="430" t="str">
        <f t="shared" si="67"/>
        <v>30 x 60</v>
      </c>
      <c r="H297" s="461" t="s">
        <v>690</v>
      </c>
      <c r="I297" s="438" t="str">
        <f t="shared" si="90"/>
        <v>32 x 62</v>
      </c>
      <c r="J297" s="438">
        <v>51</v>
      </c>
      <c r="K297" s="438" t="s">
        <v>484</v>
      </c>
      <c r="L297" s="430" t="str">
        <f t="shared" si="54"/>
        <v>44413S-16377</v>
      </c>
      <c r="M297" s="430" t="s">
        <v>46</v>
      </c>
      <c r="N297" s="461">
        <v>322.68</v>
      </c>
      <c r="O297" s="461">
        <v>3665</v>
      </c>
      <c r="P297" s="430" t="str">
        <f t="shared" si="82"/>
        <v/>
      </c>
      <c r="Q297" s="430" t="str">
        <f t="shared" si="83"/>
        <v/>
      </c>
      <c r="R297" s="430">
        <f t="shared" si="84"/>
        <v>235</v>
      </c>
      <c r="S297" s="430" t="str">
        <f t="shared" si="85"/>
        <v/>
      </c>
      <c r="T297" s="430" t="str">
        <f t="shared" si="86"/>
        <v/>
      </c>
      <c r="U297" s="430" t="str">
        <f t="shared" si="87"/>
        <v/>
      </c>
      <c r="V297" s="430" t="str">
        <f t="shared" si="88"/>
        <v/>
      </c>
      <c r="W297" s="430" t="str">
        <f t="shared" si="89"/>
        <v/>
      </c>
      <c r="X297" s="449"/>
      <c r="Z297" s="450"/>
      <c r="AA297" s="449"/>
      <c r="AB297" s="451"/>
      <c r="AC297" s="450"/>
      <c r="AD297" s="449"/>
      <c r="AE297" s="451"/>
      <c r="AF297" s="450"/>
      <c r="AG297" s="449"/>
      <c r="AH297" s="451"/>
      <c r="AI297" s="450"/>
      <c r="AJ297" s="449"/>
      <c r="AK297" s="451"/>
      <c r="AL297" s="450"/>
      <c r="AM297" s="449"/>
      <c r="AN297" s="451"/>
      <c r="AO297" s="450"/>
      <c r="AP297" s="449"/>
      <c r="AQ297" s="451"/>
      <c r="AR297" s="449"/>
      <c r="AS297" s="449"/>
      <c r="AT297" s="451"/>
      <c r="AU297" s="449"/>
      <c r="AV297" s="451"/>
      <c r="AW297" s="449"/>
      <c r="AX297" s="449"/>
      <c r="AY297" s="449"/>
      <c r="AZ297" s="449"/>
      <c r="BA297" s="449"/>
      <c r="BB297" s="449"/>
      <c r="BC297" s="449"/>
      <c r="BD297" s="449"/>
      <c r="BE297" s="449"/>
      <c r="BF297" s="449"/>
      <c r="BG297" s="449"/>
      <c r="BH297" s="449"/>
      <c r="BI297" s="449"/>
      <c r="BJ297" s="449"/>
      <c r="BK297" s="449"/>
      <c r="BL297" s="449"/>
      <c r="BM297" s="449"/>
      <c r="BN297" s="449"/>
    </row>
    <row r="298" spans="1:66" ht="13.15" x14ac:dyDescent="0.4">
      <c r="A298" s="469" t="s">
        <v>430</v>
      </c>
      <c r="B298" s="430" t="s">
        <v>882</v>
      </c>
      <c r="C298" s="463">
        <v>44413</v>
      </c>
      <c r="D298" s="430" t="s">
        <v>42</v>
      </c>
      <c r="E298" s="430">
        <v>24</v>
      </c>
      <c r="F298" s="430">
        <v>24</v>
      </c>
      <c r="G298" s="430" t="str">
        <f t="shared" si="67"/>
        <v>24 x 24</v>
      </c>
      <c r="H298" s="461" t="s">
        <v>690</v>
      </c>
      <c r="I298" s="438" t="str">
        <f t="shared" si="90"/>
        <v>26 x 26</v>
      </c>
      <c r="J298" s="438">
        <v>21</v>
      </c>
      <c r="K298" s="438" t="s">
        <v>489</v>
      </c>
      <c r="L298" s="430" t="str">
        <f t="shared" si="54"/>
        <v>44413S-11305</v>
      </c>
      <c r="M298" s="430" t="s">
        <v>712</v>
      </c>
      <c r="N298" s="461">
        <v>144.29</v>
      </c>
      <c r="O298" s="461">
        <v>7740</v>
      </c>
      <c r="P298" s="430">
        <f t="shared" si="82"/>
        <v>120</v>
      </c>
      <c r="Q298" s="430">
        <f t="shared" si="83"/>
        <v>130</v>
      </c>
      <c r="R298" s="430" t="str">
        <f t="shared" si="84"/>
        <v/>
      </c>
      <c r="S298" s="430" t="str">
        <f t="shared" si="85"/>
        <v/>
      </c>
      <c r="T298" s="430" t="str">
        <f t="shared" si="86"/>
        <v/>
      </c>
      <c r="U298" s="430" t="str">
        <f t="shared" si="87"/>
        <v/>
      </c>
      <c r="V298" s="430" t="str">
        <f t="shared" si="88"/>
        <v/>
      </c>
      <c r="W298" s="430" t="str">
        <f t="shared" si="89"/>
        <v/>
      </c>
      <c r="X298" s="449"/>
      <c r="Z298" s="450"/>
      <c r="AA298" s="449"/>
      <c r="AB298" s="451"/>
      <c r="AC298" s="450"/>
      <c r="AD298" s="449"/>
      <c r="AE298" s="451"/>
      <c r="AF298" s="450"/>
      <c r="AG298" s="449"/>
      <c r="AH298" s="451"/>
      <c r="AI298" s="450"/>
      <c r="AJ298" s="449"/>
      <c r="AK298" s="451"/>
      <c r="AL298" s="450"/>
      <c r="AM298" s="449"/>
      <c r="AN298" s="451"/>
      <c r="AO298" s="450"/>
      <c r="AP298" s="449"/>
      <c r="AQ298" s="451"/>
      <c r="AR298" s="449"/>
      <c r="AS298" s="449"/>
      <c r="AT298" s="451"/>
      <c r="AU298" s="449"/>
      <c r="AV298" s="451"/>
      <c r="AW298" s="449"/>
      <c r="AX298" s="449"/>
      <c r="AY298" s="449"/>
      <c r="AZ298" s="449"/>
      <c r="BA298" s="449"/>
      <c r="BB298" s="449"/>
      <c r="BC298" s="449"/>
      <c r="BD298" s="449"/>
      <c r="BE298" s="449"/>
      <c r="BF298" s="449"/>
      <c r="BG298" s="449"/>
      <c r="BH298" s="449"/>
      <c r="BI298" s="449"/>
      <c r="BJ298" s="449"/>
      <c r="BK298" s="449"/>
      <c r="BL298" s="449"/>
      <c r="BM298" s="449"/>
      <c r="BN298" s="449"/>
    </row>
    <row r="299" spans="1:66" ht="13.15" x14ac:dyDescent="0.4">
      <c r="A299" s="469" t="s">
        <v>511</v>
      </c>
      <c r="B299" s="430" t="s">
        <v>883</v>
      </c>
      <c r="C299" s="463">
        <v>44413</v>
      </c>
      <c r="D299" s="430" t="s">
        <v>54</v>
      </c>
      <c r="E299" s="430">
        <v>24</v>
      </c>
      <c r="F299" s="430">
        <v>30</v>
      </c>
      <c r="G299" s="430" t="str">
        <f t="shared" si="67"/>
        <v>24 x 30</v>
      </c>
      <c r="H299" s="461" t="s">
        <v>690</v>
      </c>
      <c r="I299" s="438" t="str">
        <f t="shared" si="90"/>
        <v>26 x 32</v>
      </c>
      <c r="J299" s="438">
        <v>16</v>
      </c>
      <c r="K299" s="438" t="s">
        <v>580</v>
      </c>
      <c r="L299" s="430" t="str">
        <f t="shared" si="54"/>
        <v>44413S-4554</v>
      </c>
      <c r="M299" s="430" t="s">
        <v>46</v>
      </c>
      <c r="N299" s="461">
        <v>126.45</v>
      </c>
      <c r="O299" s="461">
        <v>1530</v>
      </c>
      <c r="P299" s="430" t="str">
        <f t="shared" si="82"/>
        <v/>
      </c>
      <c r="Q299" s="430" t="str">
        <f t="shared" si="83"/>
        <v/>
      </c>
      <c r="R299" s="430">
        <f t="shared" si="84"/>
        <v>145</v>
      </c>
      <c r="S299" s="430" t="str">
        <f t="shared" si="85"/>
        <v/>
      </c>
      <c r="T299" s="430" t="str">
        <f t="shared" si="86"/>
        <v/>
      </c>
      <c r="U299" s="430" t="str">
        <f t="shared" si="87"/>
        <v/>
      </c>
      <c r="V299" s="430" t="str">
        <f t="shared" si="88"/>
        <v/>
      </c>
      <c r="W299" s="430" t="str">
        <f t="shared" si="89"/>
        <v/>
      </c>
      <c r="X299" s="449"/>
      <c r="Z299" s="450"/>
      <c r="AA299" s="449"/>
      <c r="AB299" s="451"/>
      <c r="AC299" s="450"/>
      <c r="AD299" s="449"/>
      <c r="AE299" s="451"/>
      <c r="AF299" s="450"/>
      <c r="AG299" s="449"/>
      <c r="AH299" s="451"/>
      <c r="AI299" s="450"/>
      <c r="AJ299" s="449"/>
      <c r="AK299" s="451"/>
      <c r="AL299" s="450"/>
      <c r="AM299" s="449"/>
      <c r="AN299" s="451"/>
      <c r="AO299" s="450"/>
      <c r="AP299" s="449"/>
      <c r="AQ299" s="451"/>
      <c r="AR299" s="449"/>
      <c r="AS299" s="449"/>
      <c r="AT299" s="451"/>
      <c r="AU299" s="449"/>
      <c r="AV299" s="451"/>
      <c r="AW299" s="449"/>
      <c r="AX299" s="449"/>
      <c r="AY299" s="449"/>
      <c r="AZ299" s="449"/>
      <c r="BA299" s="449"/>
      <c r="BB299" s="449"/>
      <c r="BC299" s="449"/>
      <c r="BD299" s="449"/>
      <c r="BE299" s="449"/>
      <c r="BF299" s="449"/>
      <c r="BG299" s="449"/>
      <c r="BH299" s="449"/>
      <c r="BI299" s="449"/>
      <c r="BJ299" s="449"/>
      <c r="BK299" s="449"/>
      <c r="BL299" s="449"/>
      <c r="BM299" s="449"/>
      <c r="BN299" s="449"/>
    </row>
    <row r="300" spans="1:66" ht="13.15" x14ac:dyDescent="0.4">
      <c r="A300" s="469" t="s">
        <v>885</v>
      </c>
      <c r="B300" s="430" t="s">
        <v>884</v>
      </c>
      <c r="C300" s="463">
        <v>44413</v>
      </c>
      <c r="D300" s="430" t="s">
        <v>66</v>
      </c>
      <c r="E300" s="430">
        <v>19</v>
      </c>
      <c r="F300" s="430">
        <v>27</v>
      </c>
      <c r="G300" s="430" t="str">
        <f t="shared" si="67"/>
        <v>19 x 27</v>
      </c>
      <c r="H300" s="461" t="s">
        <v>558</v>
      </c>
      <c r="I300" s="438" t="s">
        <v>45</v>
      </c>
      <c r="J300" s="438">
        <v>2</v>
      </c>
      <c r="K300" s="438" t="s">
        <v>84</v>
      </c>
      <c r="L300" s="430" t="str">
        <f t="shared" si="54"/>
        <v>44413S-14049</v>
      </c>
      <c r="M300" s="430" t="s">
        <v>46</v>
      </c>
      <c r="N300" s="461">
        <v>176.49</v>
      </c>
      <c r="O300" s="461">
        <v>212</v>
      </c>
      <c r="P300" s="430">
        <f t="shared" si="82"/>
        <v>115</v>
      </c>
      <c r="Q300" s="430" t="str">
        <f t="shared" si="83"/>
        <v/>
      </c>
      <c r="R300" s="430" t="str">
        <f t="shared" si="84"/>
        <v/>
      </c>
      <c r="S300" s="430" t="str">
        <f t="shared" si="85"/>
        <v/>
      </c>
      <c r="T300" s="430" t="str">
        <f t="shared" si="86"/>
        <v/>
      </c>
      <c r="U300" s="430" t="str">
        <f t="shared" si="87"/>
        <v/>
      </c>
      <c r="V300" s="430" t="str">
        <f t="shared" si="88"/>
        <v/>
      </c>
      <c r="W300" s="430">
        <f t="shared" si="89"/>
        <v>642</v>
      </c>
      <c r="X300" s="449"/>
      <c r="Z300" s="450"/>
      <c r="AA300" s="449"/>
      <c r="AB300" s="451"/>
      <c r="AC300" s="450"/>
      <c r="AD300" s="449"/>
      <c r="AE300" s="451"/>
      <c r="AF300" s="450"/>
      <c r="AG300" s="449"/>
      <c r="AH300" s="451"/>
      <c r="AI300" s="450"/>
      <c r="AJ300" s="449"/>
      <c r="AK300" s="451"/>
      <c r="AL300" s="450"/>
      <c r="AM300" s="449"/>
      <c r="AN300" s="451"/>
      <c r="AO300" s="450"/>
      <c r="AP300" s="449"/>
      <c r="AQ300" s="451"/>
      <c r="AR300" s="449"/>
      <c r="AS300" s="449"/>
      <c r="AT300" s="451"/>
      <c r="AU300" s="449"/>
      <c r="AV300" s="451"/>
      <c r="AW300" s="449"/>
      <c r="AX300" s="449"/>
      <c r="AY300" s="449"/>
      <c r="AZ300" s="449"/>
      <c r="BA300" s="449"/>
      <c r="BB300" s="449"/>
      <c r="BC300" s="449"/>
      <c r="BD300" s="449"/>
      <c r="BE300" s="449"/>
      <c r="BF300" s="449"/>
      <c r="BG300" s="449"/>
      <c r="BH300" s="449"/>
      <c r="BI300" s="449"/>
      <c r="BJ300" s="449"/>
      <c r="BK300" s="449"/>
      <c r="BL300" s="449"/>
      <c r="BM300" s="449"/>
      <c r="BN300" s="449"/>
    </row>
    <row r="301" spans="1:66" ht="13.15" x14ac:dyDescent="0.4">
      <c r="A301" s="469" t="s">
        <v>471</v>
      </c>
      <c r="B301" s="430" t="s">
        <v>886</v>
      </c>
      <c r="C301" s="463">
        <v>44413</v>
      </c>
      <c r="D301" s="430" t="s">
        <v>66</v>
      </c>
      <c r="E301" s="430">
        <v>22</v>
      </c>
      <c r="F301" s="430">
        <v>34</v>
      </c>
      <c r="G301" s="430" t="str">
        <f t="shared" si="67"/>
        <v>22 x 34</v>
      </c>
      <c r="H301" s="461" t="s">
        <v>558</v>
      </c>
      <c r="I301" s="438" t="s">
        <v>45</v>
      </c>
      <c r="J301" s="438">
        <v>2</v>
      </c>
      <c r="K301" s="438" t="s">
        <v>84</v>
      </c>
      <c r="L301" s="430" t="str">
        <f t="shared" si="54"/>
        <v>44413S-14049</v>
      </c>
      <c r="M301" s="430" t="s">
        <v>46</v>
      </c>
      <c r="N301" s="461">
        <v>19.41</v>
      </c>
      <c r="O301" s="461">
        <v>297</v>
      </c>
      <c r="P301" s="430">
        <f t="shared" si="82"/>
        <v>140</v>
      </c>
      <c r="Q301" s="430" t="str">
        <f t="shared" si="83"/>
        <v/>
      </c>
      <c r="R301" s="430" t="str">
        <f t="shared" si="84"/>
        <v/>
      </c>
      <c r="S301" s="430" t="str">
        <f t="shared" si="85"/>
        <v/>
      </c>
      <c r="T301" s="430" t="str">
        <f t="shared" si="86"/>
        <v/>
      </c>
      <c r="U301" s="430" t="str">
        <f t="shared" si="87"/>
        <v/>
      </c>
      <c r="V301" s="430" t="str">
        <f t="shared" si="88"/>
        <v/>
      </c>
      <c r="W301" s="430">
        <f t="shared" si="89"/>
        <v>935</v>
      </c>
      <c r="X301" s="449"/>
      <c r="Z301" s="450"/>
      <c r="AA301" s="449"/>
      <c r="AB301" s="451"/>
      <c r="AC301" s="450"/>
      <c r="AD301" s="449"/>
      <c r="AE301" s="451"/>
      <c r="AF301" s="450"/>
      <c r="AG301" s="449"/>
      <c r="AH301" s="451"/>
      <c r="AI301" s="450"/>
      <c r="AJ301" s="449"/>
      <c r="AK301" s="451"/>
      <c r="AL301" s="450"/>
      <c r="AM301" s="449"/>
      <c r="AN301" s="451"/>
      <c r="AO301" s="450"/>
      <c r="AP301" s="449"/>
      <c r="AQ301" s="451"/>
      <c r="AR301" s="449"/>
      <c r="AS301" s="449"/>
      <c r="AT301" s="451"/>
      <c r="AU301" s="449"/>
      <c r="AV301" s="451"/>
      <c r="AW301" s="449"/>
      <c r="AX301" s="449"/>
      <c r="AY301" s="449"/>
      <c r="AZ301" s="449"/>
      <c r="BA301" s="449"/>
      <c r="BB301" s="449"/>
      <c r="BC301" s="449"/>
      <c r="BD301" s="449"/>
      <c r="BE301" s="449"/>
      <c r="BF301" s="449"/>
      <c r="BG301" s="449"/>
      <c r="BH301" s="449"/>
      <c r="BI301" s="449"/>
      <c r="BJ301" s="449"/>
      <c r="BK301" s="449"/>
      <c r="BL301" s="449"/>
      <c r="BM301" s="449"/>
      <c r="BN301" s="449"/>
    </row>
    <row r="302" spans="1:66" ht="13.15" x14ac:dyDescent="0.4">
      <c r="A302" s="469" t="s">
        <v>623</v>
      </c>
      <c r="B302" s="430" t="s">
        <v>887</v>
      </c>
      <c r="C302" s="463">
        <v>44413</v>
      </c>
      <c r="D302" s="430" t="s">
        <v>66</v>
      </c>
      <c r="E302" s="430">
        <v>19</v>
      </c>
      <c r="F302" s="430">
        <v>29</v>
      </c>
      <c r="G302" s="430" t="str">
        <f t="shared" si="67"/>
        <v>19 x 29</v>
      </c>
      <c r="H302" s="461" t="s">
        <v>558</v>
      </c>
      <c r="I302" s="438" t="s">
        <v>45</v>
      </c>
      <c r="J302" s="438">
        <v>2</v>
      </c>
      <c r="K302" s="438" t="s">
        <v>84</v>
      </c>
      <c r="L302" s="430" t="str">
        <f t="shared" si="54"/>
        <v>44413S-14049</v>
      </c>
      <c r="M302" s="430" t="s">
        <v>46</v>
      </c>
      <c r="N302" s="461">
        <v>16.86</v>
      </c>
      <c r="O302" s="461">
        <v>216</v>
      </c>
      <c r="P302" s="430">
        <f t="shared" si="82"/>
        <v>120</v>
      </c>
      <c r="Q302" s="430" t="str">
        <f t="shared" si="83"/>
        <v/>
      </c>
      <c r="R302" s="430" t="str">
        <f t="shared" si="84"/>
        <v/>
      </c>
      <c r="S302" s="430" t="str">
        <f t="shared" si="85"/>
        <v/>
      </c>
      <c r="T302" s="430" t="str">
        <f t="shared" si="86"/>
        <v/>
      </c>
      <c r="U302" s="430" t="str">
        <f t="shared" si="87"/>
        <v/>
      </c>
      <c r="V302" s="430" t="str">
        <f t="shared" si="88"/>
        <v/>
      </c>
      <c r="W302" s="430">
        <f t="shared" si="89"/>
        <v>689</v>
      </c>
      <c r="X302" s="449"/>
      <c r="Z302" s="450"/>
      <c r="AA302" s="449"/>
      <c r="AB302" s="451"/>
      <c r="AC302" s="450"/>
      <c r="AD302" s="449"/>
      <c r="AE302" s="451"/>
      <c r="AF302" s="450"/>
      <c r="AG302" s="449"/>
      <c r="AH302" s="451"/>
      <c r="AI302" s="450"/>
      <c r="AJ302" s="449"/>
      <c r="AK302" s="451"/>
      <c r="AL302" s="450"/>
      <c r="AM302" s="449"/>
      <c r="AN302" s="451"/>
      <c r="AO302" s="450"/>
      <c r="AP302" s="449"/>
      <c r="AQ302" s="451"/>
      <c r="AR302" s="449"/>
      <c r="AS302" s="449"/>
      <c r="AT302" s="451"/>
      <c r="AU302" s="449"/>
      <c r="AV302" s="451"/>
      <c r="AW302" s="449"/>
      <c r="AX302" s="449"/>
      <c r="AY302" s="449"/>
      <c r="AZ302" s="449"/>
      <c r="BA302" s="449"/>
      <c r="BB302" s="449"/>
      <c r="BC302" s="449"/>
      <c r="BD302" s="449"/>
      <c r="BE302" s="449"/>
      <c r="BF302" s="449"/>
      <c r="BG302" s="449"/>
      <c r="BH302" s="449"/>
      <c r="BI302" s="449"/>
      <c r="BJ302" s="449"/>
      <c r="BK302" s="449"/>
      <c r="BL302" s="449"/>
      <c r="BM302" s="449"/>
      <c r="BN302" s="449"/>
    </row>
    <row r="303" spans="1:66" ht="13.15" x14ac:dyDescent="0.4">
      <c r="A303" s="469" t="s">
        <v>655</v>
      </c>
      <c r="B303" s="430" t="s">
        <v>888</v>
      </c>
      <c r="C303" s="463">
        <v>44413</v>
      </c>
      <c r="D303" s="430" t="s">
        <v>42</v>
      </c>
      <c r="E303" s="430">
        <v>12</v>
      </c>
      <c r="F303" s="430">
        <v>16</v>
      </c>
      <c r="G303" s="430" t="str">
        <f t="shared" si="67"/>
        <v>12 x 16</v>
      </c>
      <c r="H303" s="461" t="s">
        <v>889</v>
      </c>
      <c r="I303" s="438" t="str">
        <f t="shared" ref="I303:I312" si="91">E303+2&amp;" x "&amp;F303+2</f>
        <v>14 x 18</v>
      </c>
      <c r="J303" s="438">
        <v>16</v>
      </c>
      <c r="K303" s="438" t="s">
        <v>474</v>
      </c>
      <c r="L303" s="430" t="str">
        <f t="shared" si="54"/>
        <v>44413S-15176</v>
      </c>
      <c r="M303" s="430" t="s">
        <v>712</v>
      </c>
      <c r="N303" s="461">
        <v>52.83</v>
      </c>
      <c r="O303" s="461">
        <v>5400</v>
      </c>
      <c r="P303" s="430">
        <f t="shared" si="82"/>
        <v>70</v>
      </c>
      <c r="Q303" s="430" t="str">
        <f t="shared" si="83"/>
        <v/>
      </c>
      <c r="R303" s="430" t="str">
        <f t="shared" si="84"/>
        <v/>
      </c>
      <c r="S303" s="430" t="str">
        <f t="shared" si="85"/>
        <v/>
      </c>
      <c r="T303" s="430" t="str">
        <f t="shared" si="86"/>
        <v/>
      </c>
      <c r="U303" s="430" t="str">
        <f t="shared" si="87"/>
        <v/>
      </c>
      <c r="V303" s="430" t="str">
        <f t="shared" si="88"/>
        <v/>
      </c>
      <c r="W303" s="430" t="str">
        <f t="shared" si="89"/>
        <v/>
      </c>
      <c r="X303" s="449"/>
      <c r="Z303" s="450"/>
      <c r="AA303" s="449"/>
      <c r="AB303" s="451"/>
      <c r="AC303" s="450"/>
      <c r="AD303" s="449"/>
      <c r="AE303" s="451"/>
      <c r="AF303" s="450"/>
      <c r="AG303" s="449"/>
      <c r="AH303" s="451"/>
      <c r="AI303" s="450"/>
      <c r="AJ303" s="449"/>
      <c r="AK303" s="451"/>
      <c r="AL303" s="450"/>
      <c r="AM303" s="449"/>
      <c r="AN303" s="451"/>
      <c r="AO303" s="450"/>
      <c r="AP303" s="449"/>
      <c r="AQ303" s="451"/>
      <c r="AR303" s="449"/>
      <c r="AS303" s="449"/>
      <c r="AT303" s="451"/>
      <c r="AU303" s="449"/>
      <c r="AV303" s="451"/>
      <c r="AW303" s="449"/>
      <c r="AX303" s="449"/>
      <c r="AY303" s="449"/>
      <c r="AZ303" s="449"/>
      <c r="BA303" s="449"/>
      <c r="BB303" s="449"/>
      <c r="BC303" s="449"/>
      <c r="BD303" s="449"/>
      <c r="BE303" s="449"/>
      <c r="BF303" s="449"/>
      <c r="BG303" s="449"/>
      <c r="BH303" s="449"/>
      <c r="BI303" s="449"/>
      <c r="BJ303" s="449"/>
      <c r="BK303" s="449"/>
      <c r="BL303" s="449"/>
      <c r="BM303" s="449"/>
      <c r="BN303" s="449"/>
    </row>
    <row r="304" spans="1:66" ht="13.15" x14ac:dyDescent="0.4">
      <c r="A304" s="469" t="s">
        <v>495</v>
      </c>
      <c r="B304" s="430" t="s">
        <v>890</v>
      </c>
      <c r="C304" s="463">
        <v>44413</v>
      </c>
      <c r="D304" s="430" t="s">
        <v>66</v>
      </c>
      <c r="E304" s="430">
        <v>30</v>
      </c>
      <c r="F304" s="430">
        <v>38</v>
      </c>
      <c r="G304" s="430" t="str">
        <f t="shared" si="67"/>
        <v>30 x 38</v>
      </c>
      <c r="H304" s="461" t="s">
        <v>1</v>
      </c>
      <c r="I304" s="438" t="str">
        <f t="shared" si="91"/>
        <v>32 x 40</v>
      </c>
      <c r="J304" s="438">
        <v>18</v>
      </c>
      <c r="K304" s="438" t="s">
        <v>586</v>
      </c>
      <c r="L304" s="430" t="str">
        <f t="shared" si="54"/>
        <v>44413S-4929</v>
      </c>
      <c r="M304" s="430" t="s">
        <v>46</v>
      </c>
      <c r="N304" s="461">
        <v>168.64</v>
      </c>
      <c r="O304" s="461">
        <v>661</v>
      </c>
      <c r="P304" s="430">
        <f t="shared" si="82"/>
        <v>170</v>
      </c>
      <c r="Q304" s="430" t="str">
        <f t="shared" si="83"/>
        <v/>
      </c>
      <c r="R304" s="430" t="str">
        <f t="shared" si="84"/>
        <v/>
      </c>
      <c r="S304" s="430">
        <f t="shared" si="85"/>
        <v>180</v>
      </c>
      <c r="T304" s="430" t="str">
        <f t="shared" si="86"/>
        <v/>
      </c>
      <c r="U304" s="430" t="str">
        <f t="shared" si="87"/>
        <v/>
      </c>
      <c r="V304" s="430" t="str">
        <f t="shared" si="88"/>
        <v/>
      </c>
      <c r="W304" s="430">
        <f t="shared" si="89"/>
        <v>1425</v>
      </c>
      <c r="X304" s="449"/>
      <c r="Z304" s="450"/>
      <c r="AA304" s="449"/>
      <c r="AB304" s="451"/>
      <c r="AC304" s="450"/>
      <c r="AD304" s="449"/>
      <c r="AE304" s="451"/>
      <c r="AF304" s="450"/>
      <c r="AG304" s="449"/>
      <c r="AH304" s="451"/>
      <c r="AI304" s="450"/>
      <c r="AJ304" s="449"/>
      <c r="AK304" s="451"/>
      <c r="AL304" s="450"/>
      <c r="AM304" s="449"/>
      <c r="AN304" s="451"/>
      <c r="AO304" s="450"/>
      <c r="AP304" s="449"/>
      <c r="AQ304" s="451"/>
      <c r="AR304" s="449"/>
      <c r="AS304" s="449"/>
      <c r="AT304" s="451"/>
      <c r="AU304" s="449"/>
      <c r="AV304" s="451"/>
      <c r="AW304" s="449"/>
      <c r="AX304" s="449"/>
      <c r="AY304" s="449"/>
      <c r="AZ304" s="449"/>
      <c r="BA304" s="449"/>
      <c r="BB304" s="449"/>
      <c r="BC304" s="449"/>
      <c r="BD304" s="449"/>
      <c r="BE304" s="449"/>
      <c r="BF304" s="449"/>
      <c r="BG304" s="449"/>
      <c r="BH304" s="449"/>
      <c r="BI304" s="449"/>
      <c r="BJ304" s="449"/>
      <c r="BK304" s="449"/>
      <c r="BL304" s="449"/>
      <c r="BM304" s="449"/>
      <c r="BN304" s="449"/>
    </row>
    <row r="305" spans="1:66" ht="13.15" x14ac:dyDescent="0.4">
      <c r="A305" s="469" t="s">
        <v>459</v>
      </c>
      <c r="B305" s="430" t="s">
        <v>891</v>
      </c>
      <c r="C305" s="463">
        <v>44413</v>
      </c>
      <c r="D305" s="430" t="s">
        <v>54</v>
      </c>
      <c r="E305" s="430">
        <v>38</v>
      </c>
      <c r="F305" s="430">
        <v>60</v>
      </c>
      <c r="G305" s="430" t="str">
        <f t="shared" si="67"/>
        <v>38 x 60</v>
      </c>
      <c r="H305" s="461" t="s">
        <v>690</v>
      </c>
      <c r="I305" s="438" t="str">
        <f t="shared" si="91"/>
        <v>40 x 62</v>
      </c>
      <c r="J305" s="438">
        <v>51</v>
      </c>
      <c r="K305" s="438" t="s">
        <v>484</v>
      </c>
      <c r="L305" s="430" t="str">
        <f t="shared" si="54"/>
        <v>44413S-16377</v>
      </c>
      <c r="M305" s="430" t="s">
        <v>46</v>
      </c>
      <c r="N305" s="461">
        <v>333.57</v>
      </c>
      <c r="O305" s="461">
        <v>4400</v>
      </c>
      <c r="P305" s="430" t="str">
        <f t="shared" si="82"/>
        <v/>
      </c>
      <c r="Q305" s="430" t="str">
        <f t="shared" si="83"/>
        <v/>
      </c>
      <c r="R305" s="430">
        <f t="shared" si="84"/>
        <v>255</v>
      </c>
      <c r="S305" s="430" t="str">
        <f t="shared" si="85"/>
        <v/>
      </c>
      <c r="T305" s="430" t="str">
        <f t="shared" si="86"/>
        <v/>
      </c>
      <c r="U305" s="430" t="str">
        <f t="shared" si="87"/>
        <v/>
      </c>
      <c r="V305" s="430" t="str">
        <f t="shared" si="88"/>
        <v/>
      </c>
      <c r="W305" s="430" t="str">
        <f t="shared" si="89"/>
        <v/>
      </c>
      <c r="X305" s="449"/>
      <c r="Z305" s="450"/>
      <c r="AA305" s="449"/>
      <c r="AB305" s="451"/>
      <c r="AC305" s="450"/>
      <c r="AD305" s="449"/>
      <c r="AE305" s="451"/>
      <c r="AF305" s="450"/>
      <c r="AG305" s="449"/>
      <c r="AH305" s="451"/>
      <c r="AI305" s="450"/>
      <c r="AJ305" s="449"/>
      <c r="AK305" s="451"/>
      <c r="AL305" s="450"/>
      <c r="AM305" s="449"/>
      <c r="AN305" s="451"/>
      <c r="AO305" s="450"/>
      <c r="AP305" s="449"/>
      <c r="AQ305" s="451"/>
      <c r="AR305" s="449"/>
      <c r="AS305" s="449"/>
      <c r="AT305" s="451"/>
      <c r="AU305" s="449"/>
      <c r="AV305" s="451"/>
      <c r="AW305" s="449"/>
      <c r="AX305" s="449"/>
      <c r="AY305" s="449"/>
      <c r="AZ305" s="449"/>
      <c r="BA305" s="449"/>
      <c r="BB305" s="449"/>
      <c r="BC305" s="449"/>
      <c r="BD305" s="449"/>
      <c r="BE305" s="449"/>
      <c r="BF305" s="449"/>
      <c r="BG305" s="449"/>
      <c r="BH305" s="449"/>
      <c r="BI305" s="449"/>
      <c r="BJ305" s="449"/>
      <c r="BK305" s="449"/>
      <c r="BL305" s="449"/>
      <c r="BM305" s="449"/>
      <c r="BN305" s="449"/>
    </row>
    <row r="306" spans="1:66" ht="13.15" x14ac:dyDescent="0.4">
      <c r="A306" s="469" t="s">
        <v>893</v>
      </c>
      <c r="B306" s="430" t="s">
        <v>892</v>
      </c>
      <c r="C306" s="463">
        <v>44413</v>
      </c>
      <c r="D306" s="430" t="s">
        <v>54</v>
      </c>
      <c r="E306" s="430">
        <v>38</v>
      </c>
      <c r="F306" s="430">
        <v>60</v>
      </c>
      <c r="G306" s="430" t="str">
        <f t="shared" si="67"/>
        <v>38 x 60</v>
      </c>
      <c r="H306" s="461" t="s">
        <v>690</v>
      </c>
      <c r="I306" s="438" t="str">
        <f t="shared" si="91"/>
        <v>40 x 62</v>
      </c>
      <c r="J306" s="438">
        <v>50</v>
      </c>
      <c r="K306" s="438" t="s">
        <v>484</v>
      </c>
      <c r="L306" s="430" t="str">
        <f t="shared" si="54"/>
        <v>44413S-16377</v>
      </c>
      <c r="M306" s="430" t="s">
        <v>46</v>
      </c>
      <c r="N306" s="461">
        <v>594.30999999999995</v>
      </c>
      <c r="O306" s="461">
        <v>4675</v>
      </c>
      <c r="P306" s="430" t="str">
        <f t="shared" si="82"/>
        <v/>
      </c>
      <c r="Q306" s="430" t="str">
        <f t="shared" si="83"/>
        <v/>
      </c>
      <c r="R306" s="430">
        <f t="shared" si="84"/>
        <v>255</v>
      </c>
      <c r="S306" s="430" t="str">
        <f t="shared" si="85"/>
        <v/>
      </c>
      <c r="T306" s="430" t="str">
        <f t="shared" si="86"/>
        <v/>
      </c>
      <c r="U306" s="430" t="str">
        <f t="shared" si="87"/>
        <v/>
      </c>
      <c r="V306" s="430" t="str">
        <f t="shared" si="88"/>
        <v/>
      </c>
      <c r="W306" s="430" t="str">
        <f t="shared" si="89"/>
        <v/>
      </c>
      <c r="X306" s="449"/>
      <c r="Z306" s="450"/>
      <c r="AA306" s="449"/>
      <c r="AB306" s="451"/>
      <c r="AC306" s="450"/>
      <c r="AD306" s="449"/>
      <c r="AE306" s="451"/>
      <c r="AF306" s="450"/>
      <c r="AG306" s="449"/>
      <c r="AH306" s="451"/>
      <c r="AI306" s="450"/>
      <c r="AJ306" s="449"/>
      <c r="AK306" s="451"/>
      <c r="AL306" s="450"/>
      <c r="AM306" s="449"/>
      <c r="AN306" s="451"/>
      <c r="AO306" s="450"/>
      <c r="AP306" s="449"/>
      <c r="AQ306" s="451"/>
      <c r="AR306" s="449"/>
      <c r="AS306" s="449"/>
      <c r="AT306" s="451"/>
      <c r="AU306" s="449"/>
      <c r="AV306" s="451"/>
      <c r="AW306" s="449"/>
      <c r="AX306" s="449"/>
      <c r="AY306" s="449"/>
      <c r="AZ306" s="449"/>
      <c r="BA306" s="449"/>
      <c r="BB306" s="449"/>
      <c r="BC306" s="449"/>
      <c r="BD306" s="449"/>
      <c r="BE306" s="449"/>
      <c r="BF306" s="449"/>
      <c r="BG306" s="449"/>
      <c r="BH306" s="449"/>
      <c r="BI306" s="449"/>
      <c r="BJ306" s="449"/>
      <c r="BK306" s="449"/>
      <c r="BL306" s="449"/>
      <c r="BM306" s="449"/>
      <c r="BN306" s="449"/>
    </row>
    <row r="307" spans="1:66" ht="13.15" x14ac:dyDescent="0.4">
      <c r="A307" s="469" t="s">
        <v>227</v>
      </c>
      <c r="B307" s="430" t="s">
        <v>894</v>
      </c>
      <c r="C307" s="463">
        <v>44413</v>
      </c>
      <c r="D307" s="430" t="s">
        <v>42</v>
      </c>
      <c r="E307" s="430">
        <v>26</v>
      </c>
      <c r="F307" s="430">
        <v>48</v>
      </c>
      <c r="G307" s="430" t="str">
        <f t="shared" si="67"/>
        <v>26 x 48</v>
      </c>
      <c r="H307" s="461" t="s">
        <v>690</v>
      </c>
      <c r="I307" s="438" t="str">
        <f t="shared" si="91"/>
        <v>28 x 50</v>
      </c>
      <c r="J307" s="438">
        <v>39</v>
      </c>
      <c r="K307" s="438" t="s">
        <v>509</v>
      </c>
      <c r="L307" s="430" t="str">
        <f t="shared" si="54"/>
        <v>44413S-17587</v>
      </c>
      <c r="M307" s="430" t="s">
        <v>712</v>
      </c>
      <c r="N307" s="461">
        <v>237.2</v>
      </c>
      <c r="O307" s="461">
        <v>15000</v>
      </c>
      <c r="P307" s="430">
        <f t="shared" si="82"/>
        <v>185</v>
      </c>
      <c r="Q307" s="430">
        <f t="shared" si="83"/>
        <v>195</v>
      </c>
      <c r="R307" s="430" t="str">
        <f t="shared" si="84"/>
        <v/>
      </c>
      <c r="S307" s="430" t="str">
        <f t="shared" si="85"/>
        <v/>
      </c>
      <c r="T307" s="430" t="str">
        <f t="shared" si="86"/>
        <v/>
      </c>
      <c r="U307" s="430" t="str">
        <f t="shared" si="87"/>
        <v/>
      </c>
      <c r="V307" s="430" t="str">
        <f t="shared" si="88"/>
        <v/>
      </c>
      <c r="W307" s="430" t="str">
        <f t="shared" si="89"/>
        <v/>
      </c>
      <c r="X307" s="449"/>
      <c r="Z307" s="450"/>
      <c r="AA307" s="449"/>
      <c r="AB307" s="451"/>
      <c r="AC307" s="450"/>
      <c r="AD307" s="449"/>
      <c r="AE307" s="451"/>
      <c r="AF307" s="450"/>
      <c r="AG307" s="449"/>
      <c r="AH307" s="451"/>
      <c r="AI307" s="450"/>
      <c r="AJ307" s="449"/>
      <c r="AK307" s="451"/>
      <c r="AL307" s="450"/>
      <c r="AM307" s="449"/>
      <c r="AN307" s="451"/>
      <c r="AO307" s="450"/>
      <c r="AP307" s="449"/>
      <c r="AQ307" s="451"/>
      <c r="AR307" s="449"/>
      <c r="AS307" s="449"/>
      <c r="AT307" s="451"/>
      <c r="AU307" s="449"/>
      <c r="AV307" s="451"/>
      <c r="AW307" s="449"/>
      <c r="AX307" s="449"/>
      <c r="AY307" s="449"/>
      <c r="AZ307" s="449"/>
      <c r="BA307" s="449"/>
      <c r="BB307" s="449"/>
      <c r="BC307" s="449"/>
      <c r="BD307" s="449"/>
      <c r="BE307" s="449"/>
      <c r="BF307" s="449"/>
      <c r="BG307" s="449"/>
      <c r="BH307" s="449"/>
      <c r="BI307" s="449"/>
      <c r="BJ307" s="449"/>
      <c r="BK307" s="449"/>
      <c r="BL307" s="449"/>
      <c r="BM307" s="449"/>
      <c r="BN307" s="449"/>
    </row>
    <row r="308" spans="1:66" ht="13.15" x14ac:dyDescent="0.4">
      <c r="A308" s="469" t="s">
        <v>896</v>
      </c>
      <c r="B308" s="430" t="s">
        <v>895</v>
      </c>
      <c r="C308" s="463">
        <v>44413</v>
      </c>
      <c r="D308" s="430" t="s">
        <v>66</v>
      </c>
      <c r="E308" s="430">
        <v>40</v>
      </c>
      <c r="F308" s="430">
        <v>50</v>
      </c>
      <c r="G308" s="430" t="str">
        <f t="shared" si="67"/>
        <v>40 x 50</v>
      </c>
      <c r="H308" s="461" t="s">
        <v>1</v>
      </c>
      <c r="I308" s="438" t="str">
        <f t="shared" si="91"/>
        <v>42 x 52</v>
      </c>
      <c r="J308" s="438">
        <v>32</v>
      </c>
      <c r="K308" s="438" t="s">
        <v>553</v>
      </c>
      <c r="L308" s="430" t="str">
        <f t="shared" si="54"/>
        <v>44413S-11251</v>
      </c>
      <c r="M308" s="430" t="s">
        <v>46</v>
      </c>
      <c r="N308" s="461">
        <f t="shared" ref="N308:N310" si="92">469.23/3</f>
        <v>156.41</v>
      </c>
      <c r="O308" s="461">
        <f t="shared" ref="O308:O310" si="93">2438.65/3</f>
        <v>812.88333333333333</v>
      </c>
      <c r="P308" s="430">
        <f t="shared" si="82"/>
        <v>225</v>
      </c>
      <c r="Q308" s="430" t="str">
        <f t="shared" si="83"/>
        <v/>
      </c>
      <c r="R308" s="430" t="str">
        <f t="shared" si="84"/>
        <v/>
      </c>
      <c r="S308" s="430">
        <f t="shared" si="85"/>
        <v>235</v>
      </c>
      <c r="T308" s="430" t="str">
        <f t="shared" si="86"/>
        <v/>
      </c>
      <c r="U308" s="430" t="str">
        <f t="shared" si="87"/>
        <v/>
      </c>
      <c r="V308" s="430" t="str">
        <f t="shared" si="88"/>
        <v/>
      </c>
      <c r="W308" s="430">
        <f t="shared" si="89"/>
        <v>2500</v>
      </c>
      <c r="X308" s="449"/>
      <c r="Z308" s="450"/>
      <c r="AA308" s="449"/>
      <c r="AB308" s="451"/>
      <c r="AC308" s="450"/>
      <c r="AD308" s="449"/>
      <c r="AE308" s="451"/>
      <c r="AF308" s="450"/>
      <c r="AG308" s="449"/>
      <c r="AH308" s="451"/>
      <c r="AI308" s="450"/>
      <c r="AJ308" s="449"/>
      <c r="AK308" s="451"/>
      <c r="AL308" s="450"/>
      <c r="AM308" s="449"/>
      <c r="AN308" s="451"/>
      <c r="AO308" s="450"/>
      <c r="AP308" s="449"/>
      <c r="AQ308" s="451"/>
      <c r="AR308" s="449"/>
      <c r="AS308" s="449"/>
      <c r="AT308" s="451"/>
      <c r="AU308" s="449"/>
      <c r="AV308" s="451"/>
      <c r="AW308" s="449"/>
      <c r="AX308" s="449"/>
      <c r="AY308" s="449"/>
      <c r="AZ308" s="449"/>
      <c r="BA308" s="449"/>
      <c r="BB308" s="449"/>
      <c r="BC308" s="449"/>
      <c r="BD308" s="449"/>
      <c r="BE308" s="449"/>
      <c r="BF308" s="449"/>
      <c r="BG308" s="449"/>
      <c r="BH308" s="449"/>
      <c r="BI308" s="449"/>
      <c r="BJ308" s="449"/>
      <c r="BK308" s="449"/>
      <c r="BL308" s="449"/>
      <c r="BM308" s="449"/>
      <c r="BN308" s="449"/>
    </row>
    <row r="309" spans="1:66" ht="13.15" x14ac:dyDescent="0.4">
      <c r="A309" s="469" t="s">
        <v>529</v>
      </c>
      <c r="B309" s="430" t="s">
        <v>895</v>
      </c>
      <c r="C309" s="463">
        <v>44413</v>
      </c>
      <c r="D309" s="430" t="s">
        <v>66</v>
      </c>
      <c r="E309" s="430">
        <v>36</v>
      </c>
      <c r="F309" s="430">
        <v>50</v>
      </c>
      <c r="G309" s="430" t="str">
        <f t="shared" si="67"/>
        <v>36 x 50</v>
      </c>
      <c r="H309" s="461" t="s">
        <v>5</v>
      </c>
      <c r="I309" s="438" t="str">
        <f t="shared" si="91"/>
        <v>38 x 52</v>
      </c>
      <c r="J309" s="438">
        <v>31</v>
      </c>
      <c r="K309" s="438" t="s">
        <v>553</v>
      </c>
      <c r="L309" s="430" t="str">
        <f t="shared" si="54"/>
        <v>44413S-11251</v>
      </c>
      <c r="M309" s="430" t="s">
        <v>46</v>
      </c>
      <c r="N309" s="461">
        <f t="shared" si="92"/>
        <v>156.41</v>
      </c>
      <c r="O309" s="461">
        <f t="shared" si="93"/>
        <v>812.88333333333333</v>
      </c>
      <c r="P309" s="430">
        <f t="shared" si="82"/>
        <v>215</v>
      </c>
      <c r="Q309" s="430" t="str">
        <f t="shared" si="83"/>
        <v/>
      </c>
      <c r="R309" s="430" t="str">
        <f t="shared" si="84"/>
        <v/>
      </c>
      <c r="S309" s="430" t="str">
        <f t="shared" si="85"/>
        <v/>
      </c>
      <c r="T309" s="430" t="str">
        <f t="shared" si="86"/>
        <v/>
      </c>
      <c r="U309" s="430">
        <f t="shared" si="87"/>
        <v>225</v>
      </c>
      <c r="V309" s="430" t="str">
        <f t="shared" si="88"/>
        <v/>
      </c>
      <c r="W309" s="430">
        <f t="shared" si="89"/>
        <v>2250</v>
      </c>
      <c r="X309" s="449"/>
      <c r="Z309" s="450"/>
      <c r="AA309" s="449"/>
      <c r="AB309" s="451"/>
      <c r="AC309" s="450"/>
      <c r="AD309" s="449"/>
      <c r="AE309" s="451"/>
      <c r="AF309" s="450"/>
      <c r="AG309" s="449"/>
      <c r="AH309" s="451"/>
      <c r="AI309" s="450"/>
      <c r="AJ309" s="449"/>
      <c r="AK309" s="451"/>
      <c r="AL309" s="450"/>
      <c r="AM309" s="449"/>
      <c r="AN309" s="451"/>
      <c r="AO309" s="450"/>
      <c r="AP309" s="449"/>
      <c r="AQ309" s="451"/>
      <c r="AR309" s="449"/>
      <c r="AS309" s="449"/>
      <c r="AT309" s="451"/>
      <c r="AU309" s="449"/>
      <c r="AV309" s="451"/>
      <c r="AW309" s="449"/>
      <c r="AX309" s="449"/>
      <c r="AY309" s="449"/>
      <c r="AZ309" s="449"/>
      <c r="BA309" s="449"/>
      <c r="BB309" s="449"/>
      <c r="BC309" s="449"/>
      <c r="BD309" s="449"/>
      <c r="BE309" s="449"/>
      <c r="BF309" s="449"/>
      <c r="BG309" s="449"/>
      <c r="BH309" s="449"/>
      <c r="BI309" s="449"/>
      <c r="BJ309" s="449"/>
      <c r="BK309" s="449"/>
      <c r="BL309" s="449"/>
      <c r="BM309" s="449"/>
      <c r="BN309" s="449"/>
    </row>
    <row r="310" spans="1:66" ht="13.15" x14ac:dyDescent="0.4">
      <c r="A310" s="469" t="s">
        <v>893</v>
      </c>
      <c r="B310" s="430" t="s">
        <v>895</v>
      </c>
      <c r="C310" s="463">
        <v>44413</v>
      </c>
      <c r="D310" s="430" t="s">
        <v>66</v>
      </c>
      <c r="E310" s="430">
        <v>30</v>
      </c>
      <c r="F310" s="430">
        <v>48</v>
      </c>
      <c r="G310" s="430" t="str">
        <f t="shared" si="67"/>
        <v>30 x 48</v>
      </c>
      <c r="H310" s="461" t="s">
        <v>5</v>
      </c>
      <c r="I310" s="438" t="str">
        <f t="shared" si="91"/>
        <v>32 x 50</v>
      </c>
      <c r="J310" s="438">
        <v>29</v>
      </c>
      <c r="K310" s="438" t="s">
        <v>553</v>
      </c>
      <c r="L310" s="430" t="str">
        <f t="shared" si="54"/>
        <v>44413S-11251</v>
      </c>
      <c r="M310" s="430" t="s">
        <v>46</v>
      </c>
      <c r="N310" s="461">
        <f t="shared" si="92"/>
        <v>156.41</v>
      </c>
      <c r="O310" s="461">
        <f t="shared" si="93"/>
        <v>812.88333333333333</v>
      </c>
      <c r="P310" s="430">
        <f t="shared" si="82"/>
        <v>195</v>
      </c>
      <c r="Q310" s="430" t="str">
        <f t="shared" si="83"/>
        <v/>
      </c>
      <c r="R310" s="430" t="str">
        <f t="shared" si="84"/>
        <v/>
      </c>
      <c r="S310" s="430" t="str">
        <f t="shared" si="85"/>
        <v/>
      </c>
      <c r="T310" s="430" t="str">
        <f t="shared" si="86"/>
        <v/>
      </c>
      <c r="U310" s="430">
        <f t="shared" si="87"/>
        <v>205</v>
      </c>
      <c r="V310" s="430" t="str">
        <f t="shared" si="88"/>
        <v/>
      </c>
      <c r="W310" s="430">
        <f t="shared" si="89"/>
        <v>1800</v>
      </c>
      <c r="X310" s="449"/>
      <c r="Z310" s="450"/>
      <c r="AA310" s="449"/>
      <c r="AB310" s="451"/>
      <c r="AC310" s="450"/>
      <c r="AD310" s="449"/>
      <c r="AE310" s="451"/>
      <c r="AF310" s="450"/>
      <c r="AG310" s="449"/>
      <c r="AH310" s="451"/>
      <c r="AI310" s="450"/>
      <c r="AJ310" s="449"/>
      <c r="AK310" s="451"/>
      <c r="AL310" s="450"/>
      <c r="AM310" s="449"/>
      <c r="AN310" s="451"/>
      <c r="AO310" s="450"/>
      <c r="AP310" s="449"/>
      <c r="AQ310" s="451"/>
      <c r="AR310" s="449"/>
      <c r="AS310" s="449"/>
      <c r="AT310" s="451"/>
      <c r="AU310" s="449"/>
      <c r="AV310" s="451"/>
      <c r="AW310" s="449"/>
      <c r="AX310" s="449"/>
      <c r="AY310" s="449"/>
      <c r="AZ310" s="449"/>
      <c r="BA310" s="449"/>
      <c r="BB310" s="449"/>
      <c r="BC310" s="449"/>
      <c r="BD310" s="449"/>
      <c r="BE310" s="449"/>
      <c r="BF310" s="449"/>
      <c r="BG310" s="449"/>
      <c r="BH310" s="449"/>
      <c r="BI310" s="449"/>
      <c r="BJ310" s="449"/>
      <c r="BK310" s="449"/>
      <c r="BL310" s="449"/>
      <c r="BM310" s="449"/>
      <c r="BN310" s="449"/>
    </row>
    <row r="311" spans="1:66" ht="13.15" x14ac:dyDescent="0.4">
      <c r="A311" s="469" t="s">
        <v>898</v>
      </c>
      <c r="B311" s="430" t="s">
        <v>897</v>
      </c>
      <c r="C311" s="463">
        <v>44413</v>
      </c>
      <c r="D311" s="430" t="s">
        <v>66</v>
      </c>
      <c r="E311" s="430">
        <v>31</v>
      </c>
      <c r="F311" s="430">
        <v>39</v>
      </c>
      <c r="G311" s="430" t="str">
        <f t="shared" si="67"/>
        <v>31 x 39</v>
      </c>
      <c r="H311" s="461" t="s">
        <v>51</v>
      </c>
      <c r="I311" s="438" t="str">
        <f t="shared" si="91"/>
        <v>33 x 41</v>
      </c>
      <c r="J311" s="438">
        <v>26</v>
      </c>
      <c r="K311" s="438" t="s">
        <v>553</v>
      </c>
      <c r="L311" s="430" t="str">
        <f t="shared" si="54"/>
        <v>44413S-11251</v>
      </c>
      <c r="M311" s="430" t="s">
        <v>46</v>
      </c>
      <c r="N311" s="461">
        <v>166.54</v>
      </c>
      <c r="O311" s="461">
        <v>683</v>
      </c>
      <c r="P311" s="430">
        <f t="shared" si="82"/>
        <v>175</v>
      </c>
      <c r="Q311" s="430" t="str">
        <f t="shared" si="83"/>
        <v/>
      </c>
      <c r="R311" s="430" t="str">
        <f t="shared" si="84"/>
        <v/>
      </c>
      <c r="S311" s="430" t="str">
        <f t="shared" si="85"/>
        <v/>
      </c>
      <c r="T311" s="430">
        <f t="shared" si="86"/>
        <v>185</v>
      </c>
      <c r="U311" s="430" t="str">
        <f t="shared" si="87"/>
        <v/>
      </c>
      <c r="V311" s="430" t="str">
        <f t="shared" si="88"/>
        <v/>
      </c>
      <c r="W311" s="430">
        <f t="shared" si="89"/>
        <v>1512</v>
      </c>
      <c r="X311" s="449"/>
      <c r="Z311" s="450"/>
      <c r="AA311" s="449"/>
      <c r="AB311" s="451"/>
      <c r="AC311" s="450"/>
      <c r="AD311" s="449"/>
      <c r="AE311" s="451"/>
      <c r="AF311" s="450"/>
      <c r="AG311" s="449"/>
      <c r="AH311" s="451"/>
      <c r="AI311" s="450"/>
      <c r="AJ311" s="449"/>
      <c r="AK311" s="451"/>
      <c r="AL311" s="450"/>
      <c r="AM311" s="449"/>
      <c r="AN311" s="451"/>
      <c r="AO311" s="450"/>
      <c r="AP311" s="449"/>
      <c r="AQ311" s="451"/>
      <c r="AR311" s="449"/>
      <c r="AS311" s="449"/>
      <c r="AT311" s="451"/>
      <c r="AU311" s="449"/>
      <c r="AV311" s="451"/>
      <c r="AW311" s="449"/>
      <c r="AX311" s="449"/>
      <c r="AY311" s="449"/>
      <c r="AZ311" s="449"/>
      <c r="BA311" s="449"/>
      <c r="BB311" s="449"/>
      <c r="BC311" s="449"/>
      <c r="BD311" s="449"/>
      <c r="BE311" s="449"/>
      <c r="BF311" s="449"/>
      <c r="BG311" s="449"/>
      <c r="BH311" s="449"/>
      <c r="BI311" s="449"/>
      <c r="BJ311" s="449"/>
      <c r="BK311" s="449"/>
      <c r="BL311" s="449"/>
      <c r="BM311" s="449"/>
      <c r="BN311" s="449"/>
    </row>
    <row r="312" spans="1:66" ht="13.15" x14ac:dyDescent="0.4">
      <c r="A312" s="469" t="s">
        <v>900</v>
      </c>
      <c r="B312" s="430" t="s">
        <v>899</v>
      </c>
      <c r="C312" s="463">
        <v>44413</v>
      </c>
      <c r="D312" s="430" t="s">
        <v>66</v>
      </c>
      <c r="E312" s="430">
        <v>23</v>
      </c>
      <c r="F312" s="430">
        <v>23</v>
      </c>
      <c r="G312" s="430" t="str">
        <f t="shared" si="67"/>
        <v>23 x 23</v>
      </c>
      <c r="H312" s="461" t="s">
        <v>51</v>
      </c>
      <c r="I312" s="438" t="str">
        <f t="shared" si="91"/>
        <v>25 x 25</v>
      </c>
      <c r="J312" s="438">
        <v>11</v>
      </c>
      <c r="K312" s="438" t="s">
        <v>580</v>
      </c>
      <c r="L312" s="430" t="str">
        <f t="shared" si="54"/>
        <v>44413S-4554</v>
      </c>
      <c r="M312" s="430" t="s">
        <v>46</v>
      </c>
      <c r="N312" s="461">
        <v>31.7</v>
      </c>
      <c r="O312" s="461">
        <v>368.9</v>
      </c>
      <c r="P312" s="430">
        <f t="shared" si="82"/>
        <v>115</v>
      </c>
      <c r="Q312" s="430" t="str">
        <f t="shared" si="83"/>
        <v/>
      </c>
      <c r="R312" s="430" t="str">
        <f t="shared" si="84"/>
        <v/>
      </c>
      <c r="S312" s="430" t="str">
        <f t="shared" si="85"/>
        <v/>
      </c>
      <c r="T312" s="430">
        <f t="shared" si="86"/>
        <v>125</v>
      </c>
      <c r="U312" s="430" t="str">
        <f t="shared" si="87"/>
        <v/>
      </c>
      <c r="V312" s="430" t="str">
        <f t="shared" si="88"/>
        <v/>
      </c>
      <c r="W312" s="430">
        <f t="shared" si="89"/>
        <v>662</v>
      </c>
      <c r="X312" s="449"/>
      <c r="Z312" s="450"/>
      <c r="AA312" s="449"/>
      <c r="AB312" s="451"/>
      <c r="AC312" s="450"/>
      <c r="AD312" s="449"/>
      <c r="AE312" s="451"/>
      <c r="AF312" s="450"/>
      <c r="AG312" s="449"/>
      <c r="AH312" s="451"/>
      <c r="AI312" s="450"/>
      <c r="AJ312" s="449"/>
      <c r="AK312" s="451"/>
      <c r="AL312" s="450"/>
      <c r="AM312" s="449"/>
      <c r="AN312" s="451"/>
      <c r="AO312" s="450"/>
      <c r="AP312" s="449"/>
      <c r="AQ312" s="451"/>
      <c r="AR312" s="449"/>
      <c r="AS312" s="449"/>
      <c r="AT312" s="451"/>
      <c r="AU312" s="449"/>
      <c r="AV312" s="451"/>
      <c r="AW312" s="449"/>
      <c r="AX312" s="449"/>
      <c r="AY312" s="449"/>
      <c r="AZ312" s="449"/>
      <c r="BA312" s="449"/>
      <c r="BB312" s="449"/>
      <c r="BC312" s="449"/>
      <c r="BD312" s="449"/>
      <c r="BE312" s="449"/>
      <c r="BF312" s="449"/>
      <c r="BG312" s="449"/>
      <c r="BH312" s="449"/>
      <c r="BI312" s="449"/>
      <c r="BJ312" s="449"/>
      <c r="BK312" s="449"/>
      <c r="BL312" s="449"/>
      <c r="BM312" s="449"/>
      <c r="BN312" s="449"/>
    </row>
    <row r="313" spans="1:66" ht="13.15" x14ac:dyDescent="0.4">
      <c r="A313" s="469" t="s">
        <v>902</v>
      </c>
      <c r="B313" s="430" t="s">
        <v>901</v>
      </c>
      <c r="C313" s="463">
        <v>44413</v>
      </c>
      <c r="D313" s="430" t="s">
        <v>66</v>
      </c>
      <c r="E313" s="430">
        <v>16</v>
      </c>
      <c r="F313" s="430">
        <v>21</v>
      </c>
      <c r="G313" s="430" t="str">
        <f t="shared" si="67"/>
        <v>16 x 21</v>
      </c>
      <c r="H313" s="461" t="s">
        <v>50</v>
      </c>
      <c r="I313" s="438" t="str">
        <f t="shared" ref="I313:I315" si="94">G313</f>
        <v>16 x 21</v>
      </c>
      <c r="J313" s="438">
        <v>6</v>
      </c>
      <c r="K313" s="438" t="s">
        <v>577</v>
      </c>
      <c r="L313" s="430" t="str">
        <f t="shared" si="54"/>
        <v>44413S-4553</v>
      </c>
      <c r="M313" s="430" t="s">
        <v>46</v>
      </c>
      <c r="N313" s="461">
        <v>12.69</v>
      </c>
      <c r="O313" s="461">
        <v>236</v>
      </c>
      <c r="P313" s="430">
        <f t="shared" si="82"/>
        <v>92.5</v>
      </c>
      <c r="Q313" s="430" t="str">
        <f t="shared" si="83"/>
        <v/>
      </c>
      <c r="R313" s="430" t="str">
        <f t="shared" si="84"/>
        <v/>
      </c>
      <c r="S313" s="430" t="str">
        <f t="shared" si="85"/>
        <v/>
      </c>
      <c r="T313" s="430" t="str">
        <f t="shared" si="86"/>
        <v/>
      </c>
      <c r="U313" s="430" t="str">
        <f t="shared" si="87"/>
        <v/>
      </c>
      <c r="V313" s="430" t="str">
        <f t="shared" si="88"/>
        <v/>
      </c>
      <c r="W313" s="430">
        <f t="shared" si="89"/>
        <v>420</v>
      </c>
      <c r="X313" s="449"/>
      <c r="Z313" s="450"/>
      <c r="AA313" s="449"/>
      <c r="AB313" s="451"/>
      <c r="AC313" s="450"/>
      <c r="AD313" s="449"/>
      <c r="AE313" s="451"/>
      <c r="AF313" s="450"/>
      <c r="AG313" s="449"/>
      <c r="AH313" s="451"/>
      <c r="AI313" s="450"/>
      <c r="AJ313" s="449"/>
      <c r="AK313" s="451"/>
      <c r="AL313" s="450"/>
      <c r="AM313" s="449"/>
      <c r="AN313" s="451"/>
      <c r="AO313" s="450"/>
      <c r="AP313" s="449"/>
      <c r="AQ313" s="451"/>
      <c r="AR313" s="449"/>
      <c r="AS313" s="449"/>
      <c r="AT313" s="451"/>
      <c r="AU313" s="449"/>
      <c r="AV313" s="451"/>
      <c r="AW313" s="449"/>
      <c r="AX313" s="449"/>
      <c r="AY313" s="449"/>
      <c r="AZ313" s="449"/>
      <c r="BA313" s="449"/>
      <c r="BB313" s="449"/>
      <c r="BC313" s="449"/>
      <c r="BD313" s="449"/>
      <c r="BE313" s="449"/>
      <c r="BF313" s="449"/>
      <c r="BG313" s="449"/>
      <c r="BH313" s="449"/>
      <c r="BI313" s="449"/>
      <c r="BJ313" s="449"/>
      <c r="BK313" s="449"/>
      <c r="BL313" s="449"/>
      <c r="BM313" s="449"/>
      <c r="BN313" s="449"/>
    </row>
    <row r="314" spans="1:66" ht="13.15" x14ac:dyDescent="0.4">
      <c r="A314" s="469" t="s">
        <v>904</v>
      </c>
      <c r="B314" s="430" t="s">
        <v>903</v>
      </c>
      <c r="C314" s="463">
        <v>44413</v>
      </c>
      <c r="D314" s="430" t="s">
        <v>66</v>
      </c>
      <c r="E314" s="430">
        <v>15</v>
      </c>
      <c r="F314" s="430">
        <v>19</v>
      </c>
      <c r="G314" s="430" t="str">
        <f t="shared" si="67"/>
        <v>15 x 19</v>
      </c>
      <c r="H314" s="461" t="s">
        <v>50</v>
      </c>
      <c r="I314" s="438" t="str">
        <f t="shared" si="94"/>
        <v>15 x 19</v>
      </c>
      <c r="J314" s="438">
        <v>7</v>
      </c>
      <c r="K314" s="438" t="s">
        <v>577</v>
      </c>
      <c r="L314" s="430" t="str">
        <f t="shared" si="54"/>
        <v>44413S-4553</v>
      </c>
      <c r="M314" s="430" t="s">
        <v>46</v>
      </c>
      <c r="N314" s="461">
        <v>47.7</v>
      </c>
      <c r="O314" s="461">
        <v>170</v>
      </c>
      <c r="P314" s="430">
        <f t="shared" si="82"/>
        <v>85</v>
      </c>
      <c r="Q314" s="430" t="str">
        <f t="shared" si="83"/>
        <v/>
      </c>
      <c r="R314" s="430" t="str">
        <f t="shared" si="84"/>
        <v/>
      </c>
      <c r="S314" s="430" t="str">
        <f t="shared" si="85"/>
        <v/>
      </c>
      <c r="T314" s="430" t="str">
        <f t="shared" si="86"/>
        <v/>
      </c>
      <c r="U314" s="430" t="str">
        <f t="shared" si="87"/>
        <v/>
      </c>
      <c r="V314" s="430" t="str">
        <f t="shared" si="88"/>
        <v/>
      </c>
      <c r="W314" s="430">
        <f t="shared" si="89"/>
        <v>357</v>
      </c>
      <c r="X314" s="449"/>
      <c r="Z314" s="450"/>
      <c r="AA314" s="449"/>
      <c r="AB314" s="451"/>
      <c r="AC314" s="450"/>
      <c r="AD314" s="449"/>
      <c r="AE314" s="451"/>
      <c r="AF314" s="450"/>
      <c r="AG314" s="449"/>
      <c r="AH314" s="451"/>
      <c r="AI314" s="450"/>
      <c r="AJ314" s="449"/>
      <c r="AK314" s="451"/>
      <c r="AL314" s="450"/>
      <c r="AM314" s="449"/>
      <c r="AN314" s="451"/>
      <c r="AO314" s="450"/>
      <c r="AP314" s="449"/>
      <c r="AQ314" s="451"/>
      <c r="AR314" s="449"/>
      <c r="AS314" s="449"/>
      <c r="AT314" s="451"/>
      <c r="AU314" s="449"/>
      <c r="AV314" s="451"/>
      <c r="AW314" s="449"/>
      <c r="AX314" s="449"/>
      <c r="AY314" s="449"/>
      <c r="AZ314" s="449"/>
      <c r="BA314" s="449"/>
      <c r="BB314" s="449"/>
      <c r="BC314" s="449"/>
      <c r="BD314" s="449"/>
      <c r="BE314" s="449"/>
      <c r="BF314" s="449"/>
      <c r="BG314" s="449"/>
      <c r="BH314" s="449"/>
      <c r="BI314" s="449"/>
      <c r="BJ314" s="449"/>
      <c r="BK314" s="449"/>
      <c r="BL314" s="449"/>
      <c r="BM314" s="449"/>
      <c r="BN314" s="449"/>
    </row>
    <row r="315" spans="1:66" ht="13.15" x14ac:dyDescent="0.4">
      <c r="A315" s="470" t="s">
        <v>606</v>
      </c>
      <c r="B315" s="471" t="s">
        <v>905</v>
      </c>
      <c r="C315" s="472">
        <v>44413</v>
      </c>
      <c r="D315" s="471" t="s">
        <v>66</v>
      </c>
      <c r="E315" s="471">
        <v>34</v>
      </c>
      <c r="F315" s="471">
        <v>35</v>
      </c>
      <c r="G315" s="471" t="str">
        <f t="shared" si="67"/>
        <v>34 x 35</v>
      </c>
      <c r="H315" s="473" t="s">
        <v>50</v>
      </c>
      <c r="I315" s="458" t="str">
        <f t="shared" si="94"/>
        <v>34 x 35</v>
      </c>
      <c r="J315" s="458">
        <v>15</v>
      </c>
      <c r="K315" s="458" t="s">
        <v>586</v>
      </c>
      <c r="L315" s="471" t="str">
        <f t="shared" si="54"/>
        <v>44413S-4929</v>
      </c>
      <c r="M315" s="471" t="s">
        <v>46</v>
      </c>
      <c r="N315" s="473">
        <v>153.6</v>
      </c>
      <c r="O315" s="473">
        <v>426</v>
      </c>
      <c r="P315" s="430">
        <f t="shared" si="82"/>
        <v>172.5</v>
      </c>
      <c r="Q315" s="430" t="str">
        <f t="shared" si="83"/>
        <v/>
      </c>
      <c r="R315" s="430" t="str">
        <f t="shared" si="84"/>
        <v/>
      </c>
      <c r="S315" s="430" t="str">
        <f t="shared" si="85"/>
        <v/>
      </c>
      <c r="T315" s="430" t="str">
        <f t="shared" si="86"/>
        <v/>
      </c>
      <c r="U315" s="430" t="str">
        <f t="shared" si="87"/>
        <v/>
      </c>
      <c r="V315" s="430" t="str">
        <f t="shared" si="88"/>
        <v/>
      </c>
      <c r="W315" s="430">
        <f t="shared" si="89"/>
        <v>1488</v>
      </c>
      <c r="X315" s="449"/>
      <c r="Z315" s="450"/>
      <c r="AA315" s="449"/>
      <c r="AB315" s="451"/>
      <c r="AC315" s="450"/>
      <c r="AD315" s="449"/>
      <c r="AE315" s="451"/>
      <c r="AF315" s="450"/>
      <c r="AG315" s="449"/>
      <c r="AH315" s="451"/>
      <c r="AI315" s="450"/>
      <c r="AJ315" s="449"/>
      <c r="AK315" s="451"/>
      <c r="AL315" s="450"/>
      <c r="AM315" s="449"/>
      <c r="AN315" s="451"/>
      <c r="AO315" s="450"/>
      <c r="AP315" s="449"/>
      <c r="AQ315" s="451"/>
      <c r="AR315" s="449"/>
      <c r="AS315" s="449"/>
      <c r="AT315" s="451"/>
      <c r="AU315" s="449"/>
      <c r="AV315" s="451"/>
      <c r="AW315" s="449"/>
      <c r="AX315" s="449"/>
      <c r="AY315" s="449"/>
      <c r="AZ315" s="449"/>
      <c r="BA315" s="449"/>
      <c r="BB315" s="449"/>
      <c r="BC315" s="449"/>
      <c r="BD315" s="449"/>
      <c r="BE315" s="449"/>
      <c r="BF315" s="449"/>
      <c r="BG315" s="449"/>
      <c r="BH315" s="449"/>
      <c r="BI315" s="449"/>
      <c r="BJ315" s="449"/>
      <c r="BK315" s="449"/>
      <c r="BL315" s="449"/>
      <c r="BM315" s="449"/>
      <c r="BN315" s="449"/>
    </row>
    <row r="316" spans="1:66" ht="13.15" x14ac:dyDescent="0.4">
      <c r="A316" s="430"/>
      <c r="B316" s="430"/>
      <c r="C316" s="430"/>
      <c r="D316" s="430"/>
      <c r="E316" s="430"/>
      <c r="F316" s="430"/>
      <c r="G316" s="430"/>
      <c r="H316" s="461"/>
      <c r="I316" s="438"/>
      <c r="J316" s="438"/>
      <c r="K316" s="438"/>
      <c r="L316" s="430"/>
      <c r="M316" s="430"/>
      <c r="N316" s="461"/>
      <c r="O316" s="461"/>
      <c r="P316" s="430"/>
      <c r="Q316" s="430"/>
      <c r="R316" s="430"/>
      <c r="S316" s="430"/>
      <c r="T316" s="430"/>
      <c r="U316" s="430"/>
      <c r="V316" s="430"/>
      <c r="W316" s="430"/>
      <c r="X316" s="449"/>
      <c r="Y316" s="449"/>
      <c r="Z316" s="450"/>
      <c r="AA316" s="449"/>
      <c r="AB316" s="451"/>
      <c r="AC316" s="450"/>
      <c r="AD316" s="449"/>
      <c r="AE316" s="451"/>
      <c r="AF316" s="450"/>
      <c r="AG316" s="449"/>
      <c r="AH316" s="451"/>
      <c r="AI316" s="450"/>
      <c r="AJ316" s="449"/>
      <c r="AK316" s="451"/>
      <c r="AL316" s="450"/>
      <c r="AM316" s="449"/>
      <c r="AN316" s="451"/>
      <c r="AO316" s="450"/>
      <c r="AP316" s="449"/>
      <c r="AQ316" s="451"/>
      <c r="AR316" s="449"/>
      <c r="AS316" s="449"/>
      <c r="AT316" s="451"/>
      <c r="AU316" s="449"/>
      <c r="AV316" s="451"/>
      <c r="AW316" s="449"/>
      <c r="AX316" s="449"/>
      <c r="AY316" s="449"/>
      <c r="AZ316" s="449"/>
      <c r="BA316" s="449"/>
      <c r="BB316" s="449"/>
      <c r="BC316" s="449"/>
      <c r="BD316" s="449"/>
      <c r="BE316" s="449"/>
      <c r="BF316" s="449"/>
      <c r="BG316" s="449"/>
      <c r="BH316" s="449"/>
      <c r="BI316" s="449"/>
      <c r="BJ316" s="449"/>
      <c r="BK316" s="449"/>
      <c r="BL316" s="449"/>
      <c r="BM316" s="449"/>
      <c r="BN316" s="449"/>
    </row>
    <row r="317" spans="1:66" ht="13.15" x14ac:dyDescent="0.4">
      <c r="A317" s="430"/>
      <c r="B317" s="430"/>
      <c r="C317" s="430"/>
      <c r="D317" s="430"/>
      <c r="E317" s="430"/>
      <c r="F317" s="430"/>
      <c r="G317" s="430"/>
      <c r="H317" s="461"/>
      <c r="I317" s="438"/>
      <c r="J317" s="438"/>
      <c r="K317" s="438"/>
      <c r="L317" s="430"/>
      <c r="M317" s="430"/>
      <c r="N317" s="461"/>
      <c r="O317" s="461"/>
      <c r="P317" s="430"/>
      <c r="Q317" s="430"/>
      <c r="R317" s="430"/>
      <c r="S317" s="430"/>
      <c r="T317" s="430"/>
      <c r="U317" s="430"/>
      <c r="V317" s="430"/>
      <c r="W317" s="430"/>
      <c r="X317" s="449"/>
      <c r="Y317" s="449"/>
      <c r="Z317" s="450"/>
      <c r="AA317" s="449"/>
      <c r="AB317" s="451"/>
      <c r="AC317" s="450"/>
      <c r="AD317" s="449"/>
      <c r="AE317" s="451"/>
      <c r="AF317" s="450"/>
      <c r="AG317" s="449"/>
      <c r="AH317" s="451"/>
      <c r="AI317" s="450"/>
      <c r="AJ317" s="449"/>
      <c r="AK317" s="451"/>
      <c r="AL317" s="450"/>
      <c r="AM317" s="449"/>
      <c r="AN317" s="451"/>
      <c r="AO317" s="450"/>
      <c r="AP317" s="449"/>
      <c r="AQ317" s="451"/>
      <c r="AR317" s="449"/>
      <c r="AS317" s="449"/>
      <c r="AT317" s="451"/>
      <c r="AU317" s="449"/>
      <c r="AV317" s="451"/>
      <c r="AW317" s="449"/>
      <c r="AX317" s="449"/>
      <c r="AY317" s="449"/>
      <c r="AZ317" s="449"/>
      <c r="BA317" s="449"/>
      <c r="BB317" s="449"/>
      <c r="BC317" s="449"/>
      <c r="BD317" s="449"/>
      <c r="BE317" s="449"/>
      <c r="BF317" s="449"/>
      <c r="BG317" s="449"/>
      <c r="BH317" s="449"/>
      <c r="BI317" s="449"/>
      <c r="BJ317" s="449"/>
      <c r="BK317" s="449"/>
      <c r="BL317" s="449"/>
      <c r="BM317" s="449"/>
      <c r="BN317" s="449"/>
    </row>
    <row r="318" spans="1:66" ht="13.15" x14ac:dyDescent="0.4">
      <c r="A318" s="430"/>
      <c r="B318" s="430"/>
      <c r="C318" s="430"/>
      <c r="D318" s="430"/>
      <c r="E318" s="430"/>
      <c r="F318" s="430"/>
      <c r="G318" s="430"/>
      <c r="H318" s="461"/>
      <c r="I318" s="438"/>
      <c r="J318" s="438"/>
      <c r="K318" s="438"/>
      <c r="L318" s="430"/>
      <c r="M318" s="430"/>
      <c r="N318" s="461"/>
      <c r="O318" s="461"/>
      <c r="P318" s="430"/>
      <c r="Q318" s="430"/>
      <c r="R318" s="430"/>
      <c r="S318" s="430"/>
      <c r="T318" s="430"/>
      <c r="U318" s="430"/>
      <c r="V318" s="430"/>
      <c r="W318" s="430"/>
      <c r="X318" s="449"/>
      <c r="Y318" s="449"/>
      <c r="Z318" s="450"/>
      <c r="AA318" s="449"/>
      <c r="AB318" s="451"/>
      <c r="AC318" s="450"/>
      <c r="AD318" s="449"/>
      <c r="AE318" s="451"/>
      <c r="AF318" s="450"/>
      <c r="AG318" s="449"/>
      <c r="AH318" s="451"/>
      <c r="AI318" s="450"/>
      <c r="AJ318" s="449"/>
      <c r="AK318" s="451"/>
      <c r="AL318" s="450"/>
      <c r="AM318" s="449"/>
      <c r="AN318" s="451"/>
      <c r="AO318" s="450"/>
      <c r="AP318" s="449"/>
      <c r="AQ318" s="451"/>
      <c r="AR318" s="449"/>
      <c r="AS318" s="449"/>
      <c r="AT318" s="451"/>
      <c r="AU318" s="449"/>
      <c r="AV318" s="451"/>
      <c r="AW318" s="449"/>
      <c r="AX318" s="449"/>
      <c r="AY318" s="449"/>
      <c r="AZ318" s="449"/>
      <c r="BA318" s="449"/>
      <c r="BB318" s="449"/>
      <c r="BC318" s="449"/>
      <c r="BD318" s="449"/>
      <c r="BE318" s="449"/>
      <c r="BF318" s="449"/>
      <c r="BG318" s="449"/>
      <c r="BH318" s="449"/>
      <c r="BI318" s="449"/>
      <c r="BJ318" s="449"/>
      <c r="BK318" s="449"/>
      <c r="BL318" s="449"/>
      <c r="BM318" s="449"/>
      <c r="BN318" s="449"/>
    </row>
    <row r="319" spans="1:66" ht="13.15" x14ac:dyDescent="0.4">
      <c r="A319" s="430"/>
      <c r="B319" s="430"/>
      <c r="C319" s="430"/>
      <c r="D319" s="430"/>
      <c r="E319" s="430"/>
      <c r="F319" s="430"/>
      <c r="G319" s="430"/>
      <c r="H319" s="461"/>
      <c r="I319" s="438"/>
      <c r="J319" s="438"/>
      <c r="K319" s="438"/>
      <c r="L319" s="430"/>
      <c r="M319" s="430"/>
      <c r="N319" s="461"/>
      <c r="O319" s="461"/>
      <c r="P319" s="430"/>
      <c r="Q319" s="430"/>
      <c r="R319" s="430"/>
      <c r="S319" s="430"/>
      <c r="T319" s="430"/>
      <c r="U319" s="430"/>
      <c r="V319" s="430"/>
      <c r="W319" s="430"/>
      <c r="X319" s="449"/>
      <c r="Y319" s="449"/>
      <c r="Z319" s="450"/>
      <c r="AA319" s="449"/>
      <c r="AB319" s="451"/>
      <c r="AC319" s="450"/>
      <c r="AD319" s="449"/>
      <c r="AE319" s="451"/>
      <c r="AF319" s="450"/>
      <c r="AG319" s="449"/>
      <c r="AH319" s="451"/>
      <c r="AI319" s="450"/>
      <c r="AJ319" s="449"/>
      <c r="AK319" s="451"/>
      <c r="AL319" s="450"/>
      <c r="AM319" s="449"/>
      <c r="AN319" s="451"/>
      <c r="AO319" s="450"/>
      <c r="AP319" s="449"/>
      <c r="AQ319" s="451"/>
      <c r="AR319" s="449"/>
      <c r="AS319" s="449"/>
      <c r="AT319" s="451"/>
      <c r="AU319" s="449"/>
      <c r="AV319" s="451"/>
      <c r="AW319" s="449"/>
      <c r="AX319" s="449"/>
      <c r="AY319" s="449"/>
      <c r="AZ319" s="449"/>
      <c r="BA319" s="449"/>
      <c r="BB319" s="449"/>
      <c r="BC319" s="449"/>
      <c r="BD319" s="449"/>
      <c r="BE319" s="449"/>
      <c r="BF319" s="449"/>
      <c r="BG319" s="449"/>
      <c r="BH319" s="449"/>
      <c r="BI319" s="449"/>
      <c r="BJ319" s="449"/>
      <c r="BK319" s="449"/>
      <c r="BL319" s="449"/>
      <c r="BM319" s="449"/>
      <c r="BN319" s="449"/>
    </row>
    <row r="320" spans="1:66" ht="13.15" x14ac:dyDescent="0.4">
      <c r="A320" s="430"/>
      <c r="B320" s="430"/>
      <c r="C320" s="430"/>
      <c r="D320" s="430"/>
      <c r="E320" s="430"/>
      <c r="F320" s="430"/>
      <c r="G320" s="430"/>
      <c r="H320" s="461"/>
      <c r="I320" s="438"/>
      <c r="J320" s="438"/>
      <c r="K320" s="438"/>
      <c r="L320" s="430"/>
      <c r="M320" s="430"/>
      <c r="N320" s="461"/>
      <c r="O320" s="461"/>
      <c r="P320" s="430"/>
      <c r="Q320" s="430"/>
      <c r="R320" s="430"/>
      <c r="S320" s="430"/>
      <c r="T320" s="430"/>
      <c r="U320" s="430"/>
      <c r="V320" s="430"/>
      <c r="W320" s="430"/>
      <c r="X320" s="449"/>
      <c r="Y320" s="449"/>
      <c r="Z320" s="450"/>
      <c r="AA320" s="449"/>
      <c r="AB320" s="451"/>
      <c r="AC320" s="450"/>
      <c r="AD320" s="449"/>
      <c r="AE320" s="451"/>
      <c r="AF320" s="450"/>
      <c r="AG320" s="449"/>
      <c r="AH320" s="451"/>
      <c r="AI320" s="450"/>
      <c r="AJ320" s="449"/>
      <c r="AK320" s="451"/>
      <c r="AL320" s="450"/>
      <c r="AM320" s="449"/>
      <c r="AN320" s="451"/>
      <c r="AO320" s="450"/>
      <c r="AP320" s="449"/>
      <c r="AQ320" s="451"/>
      <c r="AR320" s="449"/>
      <c r="AS320" s="449"/>
      <c r="AT320" s="451"/>
      <c r="AU320" s="449"/>
      <c r="AV320" s="451"/>
      <c r="AW320" s="449"/>
      <c r="AX320" s="449"/>
      <c r="AY320" s="449"/>
      <c r="AZ320" s="449"/>
      <c r="BA320" s="449"/>
      <c r="BB320" s="449"/>
      <c r="BC320" s="449"/>
      <c r="BD320" s="449"/>
      <c r="BE320" s="449"/>
      <c r="BF320" s="449"/>
      <c r="BG320" s="449"/>
      <c r="BH320" s="449"/>
      <c r="BI320" s="449"/>
      <c r="BJ320" s="449"/>
      <c r="BK320" s="449"/>
      <c r="BL320" s="449"/>
      <c r="BM320" s="449"/>
      <c r="BN320" s="449"/>
    </row>
    <row r="321" spans="1:66" ht="13.15" x14ac:dyDescent="0.4">
      <c r="A321" s="430"/>
      <c r="B321" s="430"/>
      <c r="C321" s="430"/>
      <c r="D321" s="430"/>
      <c r="E321" s="430"/>
      <c r="F321" s="430"/>
      <c r="G321" s="430"/>
      <c r="H321" s="461"/>
      <c r="I321" s="438"/>
      <c r="J321" s="438"/>
      <c r="K321" s="438"/>
      <c r="L321" s="430"/>
      <c r="M321" s="430"/>
      <c r="N321" s="461"/>
      <c r="O321" s="461"/>
      <c r="P321" s="430"/>
      <c r="Q321" s="430"/>
      <c r="R321" s="430"/>
      <c r="S321" s="430"/>
      <c r="T321" s="430"/>
      <c r="U321" s="430"/>
      <c r="V321" s="430"/>
      <c r="W321" s="430"/>
      <c r="X321" s="449"/>
      <c r="Y321" s="449"/>
      <c r="Z321" s="450"/>
      <c r="AA321" s="449"/>
      <c r="AB321" s="451"/>
      <c r="AC321" s="450"/>
      <c r="AD321" s="449"/>
      <c r="AE321" s="451"/>
      <c r="AF321" s="450"/>
      <c r="AG321" s="449"/>
      <c r="AH321" s="451"/>
      <c r="AI321" s="450"/>
      <c r="AJ321" s="449"/>
      <c r="AK321" s="451"/>
      <c r="AL321" s="450"/>
      <c r="AM321" s="449"/>
      <c r="AN321" s="451"/>
      <c r="AO321" s="450"/>
      <c r="AP321" s="449"/>
      <c r="AQ321" s="451"/>
      <c r="AR321" s="449"/>
      <c r="AS321" s="449"/>
      <c r="AT321" s="451"/>
      <c r="AU321" s="449"/>
      <c r="AV321" s="451"/>
      <c r="AW321" s="449"/>
      <c r="AX321" s="449"/>
      <c r="AY321" s="449"/>
      <c r="AZ321" s="449"/>
      <c r="BA321" s="449"/>
      <c r="BB321" s="449"/>
      <c r="BC321" s="449"/>
      <c r="BD321" s="449"/>
      <c r="BE321" s="449"/>
      <c r="BF321" s="449"/>
      <c r="BG321" s="449"/>
      <c r="BH321" s="449"/>
      <c r="BI321" s="449"/>
      <c r="BJ321" s="449"/>
      <c r="BK321" s="449"/>
      <c r="BL321" s="449"/>
      <c r="BM321" s="449"/>
      <c r="BN321" s="449"/>
    </row>
    <row r="322" spans="1:66" ht="13.15" x14ac:dyDescent="0.4">
      <c r="A322" s="430"/>
      <c r="B322" s="430"/>
      <c r="C322" s="430"/>
      <c r="D322" s="430"/>
      <c r="E322" s="430"/>
      <c r="F322" s="430"/>
      <c r="G322" s="430"/>
      <c r="H322" s="461"/>
      <c r="I322" s="438"/>
      <c r="J322" s="438"/>
      <c r="K322" s="438"/>
      <c r="L322" s="430"/>
      <c r="M322" s="430"/>
      <c r="N322" s="461"/>
      <c r="O322" s="461"/>
      <c r="P322" s="430"/>
      <c r="Q322" s="430"/>
      <c r="R322" s="430"/>
      <c r="S322" s="430"/>
      <c r="T322" s="430"/>
      <c r="U322" s="430"/>
      <c r="V322" s="430"/>
      <c r="W322" s="430"/>
      <c r="X322" s="449"/>
      <c r="Y322" s="449"/>
      <c r="Z322" s="450"/>
      <c r="AA322" s="449"/>
      <c r="AB322" s="451"/>
      <c r="AC322" s="450"/>
      <c r="AD322" s="449"/>
      <c r="AE322" s="451"/>
      <c r="AF322" s="450"/>
      <c r="AG322" s="449"/>
      <c r="AH322" s="451"/>
      <c r="AI322" s="450"/>
      <c r="AJ322" s="449"/>
      <c r="AK322" s="451"/>
      <c r="AL322" s="450"/>
      <c r="AM322" s="449"/>
      <c r="AN322" s="451"/>
      <c r="AO322" s="450"/>
      <c r="AP322" s="449"/>
      <c r="AQ322" s="451"/>
      <c r="AR322" s="449"/>
      <c r="AS322" s="449"/>
      <c r="AT322" s="451"/>
      <c r="AU322" s="449"/>
      <c r="AV322" s="451"/>
      <c r="AW322" s="449"/>
      <c r="AX322" s="449"/>
      <c r="AY322" s="449"/>
      <c r="AZ322" s="449"/>
      <c r="BA322" s="449"/>
      <c r="BB322" s="449"/>
      <c r="BC322" s="449"/>
      <c r="BD322" s="449"/>
      <c r="BE322" s="449"/>
      <c r="BF322" s="449"/>
      <c r="BG322" s="449"/>
      <c r="BH322" s="449"/>
      <c r="BI322" s="449"/>
      <c r="BJ322" s="449"/>
      <c r="BK322" s="449"/>
      <c r="BL322" s="449"/>
      <c r="BM322" s="449"/>
      <c r="BN322" s="449"/>
    </row>
    <row r="323" spans="1:66" ht="13.15" x14ac:dyDescent="0.4">
      <c r="A323" s="430"/>
      <c r="B323" s="430"/>
      <c r="C323" s="430"/>
      <c r="D323" s="430"/>
      <c r="E323" s="430"/>
      <c r="F323" s="430"/>
      <c r="G323" s="430"/>
      <c r="H323" s="461"/>
      <c r="I323" s="438"/>
      <c r="J323" s="438"/>
      <c r="K323" s="438"/>
      <c r="L323" s="430"/>
      <c r="M323" s="430"/>
      <c r="N323" s="461"/>
      <c r="O323" s="461"/>
      <c r="P323" s="430"/>
      <c r="Q323" s="430"/>
      <c r="R323" s="430"/>
      <c r="S323" s="430"/>
      <c r="T323" s="430"/>
      <c r="U323" s="430"/>
      <c r="V323" s="430"/>
      <c r="W323" s="430"/>
      <c r="X323" s="449"/>
      <c r="Y323" s="449"/>
      <c r="Z323" s="450"/>
      <c r="AA323" s="449"/>
      <c r="AB323" s="451"/>
      <c r="AC323" s="450"/>
      <c r="AD323" s="449"/>
      <c r="AE323" s="451"/>
      <c r="AF323" s="450"/>
      <c r="AG323" s="449"/>
      <c r="AH323" s="451"/>
      <c r="AI323" s="450"/>
      <c r="AJ323" s="449"/>
      <c r="AK323" s="451"/>
      <c r="AL323" s="450"/>
      <c r="AM323" s="449"/>
      <c r="AN323" s="451"/>
      <c r="AO323" s="450"/>
      <c r="AP323" s="449"/>
      <c r="AQ323" s="451"/>
      <c r="AR323" s="449"/>
      <c r="AS323" s="449"/>
      <c r="AT323" s="451"/>
      <c r="AU323" s="449"/>
      <c r="AV323" s="451"/>
      <c r="AW323" s="449"/>
      <c r="AX323" s="449"/>
      <c r="AY323" s="449"/>
      <c r="AZ323" s="449"/>
      <c r="BA323" s="449"/>
      <c r="BB323" s="449"/>
      <c r="BC323" s="449"/>
      <c r="BD323" s="449"/>
      <c r="BE323" s="449"/>
      <c r="BF323" s="449"/>
      <c r="BG323" s="449"/>
      <c r="BH323" s="449"/>
      <c r="BI323" s="449"/>
      <c r="BJ323" s="449"/>
      <c r="BK323" s="449"/>
      <c r="BL323" s="449"/>
      <c r="BM323" s="449"/>
      <c r="BN323" s="449"/>
    </row>
    <row r="324" spans="1:66" ht="13.15" x14ac:dyDescent="0.4">
      <c r="A324" s="430"/>
      <c r="B324" s="430"/>
      <c r="C324" s="430"/>
      <c r="D324" s="430"/>
      <c r="E324" s="430"/>
      <c r="F324" s="430"/>
      <c r="G324" s="430"/>
      <c r="H324" s="461"/>
      <c r="I324" s="438"/>
      <c r="J324" s="438"/>
      <c r="K324" s="438"/>
      <c r="L324" s="430"/>
      <c r="M324" s="430"/>
      <c r="N324" s="461"/>
      <c r="O324" s="461"/>
      <c r="P324" s="430"/>
      <c r="Q324" s="430"/>
      <c r="R324" s="430"/>
      <c r="S324" s="430"/>
      <c r="T324" s="430"/>
      <c r="U324" s="430"/>
      <c r="V324" s="430"/>
      <c r="W324" s="430"/>
      <c r="X324" s="449"/>
      <c r="Y324" s="449"/>
      <c r="Z324" s="450"/>
      <c r="AA324" s="449"/>
      <c r="AB324" s="451"/>
      <c r="AC324" s="450"/>
      <c r="AD324" s="449"/>
      <c r="AE324" s="451"/>
      <c r="AF324" s="450"/>
      <c r="AG324" s="449"/>
      <c r="AH324" s="451"/>
      <c r="AI324" s="450"/>
      <c r="AJ324" s="449"/>
      <c r="AK324" s="451"/>
      <c r="AL324" s="450"/>
      <c r="AM324" s="449"/>
      <c r="AN324" s="451"/>
      <c r="AO324" s="450"/>
      <c r="AP324" s="449"/>
      <c r="AQ324" s="451"/>
      <c r="AR324" s="449"/>
      <c r="AS324" s="449"/>
      <c r="AT324" s="451"/>
      <c r="AU324" s="449"/>
      <c r="AV324" s="451"/>
      <c r="AW324" s="449"/>
      <c r="AX324" s="449"/>
      <c r="AY324" s="449"/>
      <c r="AZ324" s="449"/>
      <c r="BA324" s="449"/>
      <c r="BB324" s="449"/>
      <c r="BC324" s="449"/>
      <c r="BD324" s="449"/>
      <c r="BE324" s="449"/>
      <c r="BF324" s="449"/>
      <c r="BG324" s="449"/>
      <c r="BH324" s="449"/>
      <c r="BI324" s="449"/>
      <c r="BJ324" s="449"/>
      <c r="BK324" s="449"/>
      <c r="BL324" s="449"/>
      <c r="BM324" s="449"/>
      <c r="BN324" s="449"/>
    </row>
    <row r="325" spans="1:66" ht="13.15" x14ac:dyDescent="0.4">
      <c r="A325" s="430"/>
      <c r="B325" s="430"/>
      <c r="C325" s="430"/>
      <c r="D325" s="430"/>
      <c r="E325" s="430"/>
      <c r="F325" s="430"/>
      <c r="G325" s="430"/>
      <c r="H325" s="461"/>
      <c r="I325" s="438"/>
      <c r="J325" s="438"/>
      <c r="K325" s="438"/>
      <c r="L325" s="430"/>
      <c r="M325" s="430"/>
      <c r="N325" s="461"/>
      <c r="O325" s="461"/>
      <c r="P325" s="430"/>
      <c r="Q325" s="430"/>
      <c r="R325" s="430"/>
      <c r="S325" s="430"/>
      <c r="T325" s="430"/>
      <c r="U325" s="430"/>
      <c r="V325" s="430"/>
      <c r="W325" s="430"/>
      <c r="X325" s="449"/>
      <c r="Y325" s="449"/>
      <c r="Z325" s="450"/>
      <c r="AA325" s="449"/>
      <c r="AB325" s="451"/>
      <c r="AC325" s="450"/>
      <c r="AD325" s="449"/>
      <c r="AE325" s="451"/>
      <c r="AF325" s="450"/>
      <c r="AG325" s="449"/>
      <c r="AH325" s="451"/>
      <c r="AI325" s="450"/>
      <c r="AJ325" s="449"/>
      <c r="AK325" s="451"/>
      <c r="AL325" s="450"/>
      <c r="AM325" s="449"/>
      <c r="AN325" s="451"/>
      <c r="AO325" s="450"/>
      <c r="AP325" s="449"/>
      <c r="AQ325" s="451"/>
      <c r="AR325" s="449"/>
      <c r="AS325" s="449"/>
      <c r="AT325" s="451"/>
      <c r="AU325" s="449"/>
      <c r="AV325" s="451"/>
      <c r="AW325" s="449"/>
      <c r="AX325" s="449"/>
      <c r="AY325" s="449"/>
      <c r="AZ325" s="449"/>
      <c r="BA325" s="449"/>
      <c r="BB325" s="449"/>
      <c r="BC325" s="449"/>
      <c r="BD325" s="449"/>
      <c r="BE325" s="449"/>
      <c r="BF325" s="449"/>
      <c r="BG325" s="449"/>
      <c r="BH325" s="449"/>
      <c r="BI325" s="449"/>
      <c r="BJ325" s="449"/>
      <c r="BK325" s="449"/>
      <c r="BL325" s="449"/>
      <c r="BM325" s="449"/>
      <c r="BN325" s="449"/>
    </row>
    <row r="326" spans="1:66" ht="13.15" x14ac:dyDescent="0.4">
      <c r="A326" s="430"/>
      <c r="B326" s="430"/>
      <c r="C326" s="430"/>
      <c r="D326" s="430"/>
      <c r="E326" s="430"/>
      <c r="F326" s="430"/>
      <c r="G326" s="430"/>
      <c r="H326" s="461"/>
      <c r="I326" s="438"/>
      <c r="J326" s="438"/>
      <c r="K326" s="438"/>
      <c r="L326" s="430"/>
      <c r="M326" s="430"/>
      <c r="N326" s="461"/>
      <c r="O326" s="461"/>
      <c r="P326" s="430"/>
      <c r="Q326" s="430"/>
      <c r="R326" s="430"/>
      <c r="S326" s="430"/>
      <c r="T326" s="430"/>
      <c r="U326" s="430"/>
      <c r="V326" s="430"/>
      <c r="W326" s="430"/>
      <c r="X326" s="449"/>
      <c r="Y326" s="449"/>
      <c r="Z326" s="450"/>
      <c r="AA326" s="449"/>
      <c r="AB326" s="451"/>
      <c r="AC326" s="450"/>
      <c r="AD326" s="449"/>
      <c r="AE326" s="451"/>
      <c r="AF326" s="450"/>
      <c r="AG326" s="449"/>
      <c r="AH326" s="451"/>
      <c r="AI326" s="450"/>
      <c r="AJ326" s="449"/>
      <c r="AK326" s="451"/>
      <c r="AL326" s="450"/>
      <c r="AM326" s="449"/>
      <c r="AN326" s="451"/>
      <c r="AO326" s="450"/>
      <c r="AP326" s="449"/>
      <c r="AQ326" s="451"/>
      <c r="AR326" s="449"/>
      <c r="AS326" s="449"/>
      <c r="AT326" s="451"/>
      <c r="AU326" s="449"/>
      <c r="AV326" s="451"/>
      <c r="AW326" s="449"/>
      <c r="AX326" s="449"/>
      <c r="AY326" s="449"/>
      <c r="AZ326" s="449"/>
      <c r="BA326" s="449"/>
      <c r="BB326" s="449"/>
      <c r="BC326" s="449"/>
      <c r="BD326" s="449"/>
      <c r="BE326" s="449"/>
      <c r="BF326" s="449"/>
      <c r="BG326" s="449"/>
      <c r="BH326" s="449"/>
      <c r="BI326" s="449"/>
      <c r="BJ326" s="449"/>
      <c r="BK326" s="449"/>
      <c r="BL326" s="449"/>
      <c r="BM326" s="449"/>
      <c r="BN326" s="449"/>
    </row>
    <row r="327" spans="1:66" ht="13.15" x14ac:dyDescent="0.4">
      <c r="A327" s="430"/>
      <c r="B327" s="430"/>
      <c r="C327" s="430"/>
      <c r="D327" s="430"/>
      <c r="E327" s="430"/>
      <c r="F327" s="430"/>
      <c r="G327" s="430"/>
      <c r="H327" s="461"/>
      <c r="I327" s="438"/>
      <c r="J327" s="438"/>
      <c r="K327" s="438"/>
      <c r="L327" s="430"/>
      <c r="M327" s="430"/>
      <c r="N327" s="461"/>
      <c r="O327" s="461"/>
      <c r="P327" s="430"/>
      <c r="Q327" s="430"/>
      <c r="R327" s="430"/>
      <c r="S327" s="430"/>
      <c r="T327" s="430"/>
      <c r="U327" s="430"/>
      <c r="V327" s="430"/>
      <c r="W327" s="430"/>
      <c r="X327" s="449"/>
      <c r="Y327" s="449"/>
      <c r="Z327" s="450"/>
      <c r="AA327" s="449"/>
      <c r="AB327" s="451"/>
      <c r="AC327" s="450"/>
      <c r="AD327" s="449"/>
      <c r="AE327" s="451"/>
      <c r="AF327" s="450"/>
      <c r="AG327" s="449"/>
      <c r="AH327" s="451"/>
      <c r="AI327" s="450"/>
      <c r="AJ327" s="449"/>
      <c r="AK327" s="451"/>
      <c r="AL327" s="450"/>
      <c r="AM327" s="449"/>
      <c r="AN327" s="451"/>
      <c r="AO327" s="450"/>
      <c r="AP327" s="449"/>
      <c r="AQ327" s="451"/>
      <c r="AR327" s="449"/>
      <c r="AS327" s="449"/>
      <c r="AT327" s="451"/>
      <c r="AU327" s="449"/>
      <c r="AV327" s="451"/>
      <c r="AW327" s="449"/>
      <c r="AX327" s="449"/>
      <c r="AY327" s="449"/>
      <c r="AZ327" s="449"/>
      <c r="BA327" s="449"/>
      <c r="BB327" s="449"/>
      <c r="BC327" s="449"/>
      <c r="BD327" s="449"/>
      <c r="BE327" s="449"/>
      <c r="BF327" s="449"/>
      <c r="BG327" s="449"/>
      <c r="BH327" s="449"/>
      <c r="BI327" s="449"/>
      <c r="BJ327" s="449"/>
      <c r="BK327" s="449"/>
      <c r="BL327" s="449"/>
      <c r="BM327" s="449"/>
      <c r="BN327" s="449"/>
    </row>
    <row r="328" spans="1:66" ht="13.15" x14ac:dyDescent="0.4">
      <c r="A328" s="430"/>
      <c r="B328" s="430"/>
      <c r="C328" s="430"/>
      <c r="D328" s="430"/>
      <c r="E328" s="430"/>
      <c r="F328" s="430"/>
      <c r="G328" s="430"/>
      <c r="H328" s="461"/>
      <c r="I328" s="438"/>
      <c r="J328" s="438"/>
      <c r="K328" s="438"/>
      <c r="L328" s="430"/>
      <c r="M328" s="430"/>
      <c r="N328" s="461"/>
      <c r="O328" s="461"/>
      <c r="P328" s="430"/>
      <c r="Q328" s="430"/>
      <c r="R328" s="430"/>
      <c r="S328" s="430"/>
      <c r="T328" s="430"/>
      <c r="U328" s="430"/>
      <c r="V328" s="430"/>
      <c r="W328" s="430"/>
      <c r="X328" s="449"/>
      <c r="Y328" s="449"/>
      <c r="Z328" s="450"/>
      <c r="AA328" s="449"/>
      <c r="AB328" s="451"/>
      <c r="AC328" s="450"/>
      <c r="AD328" s="449"/>
      <c r="AE328" s="451"/>
      <c r="AF328" s="450"/>
      <c r="AG328" s="449"/>
      <c r="AH328" s="451"/>
      <c r="AI328" s="450"/>
      <c r="AJ328" s="449"/>
      <c r="AK328" s="451"/>
      <c r="AL328" s="450"/>
      <c r="AM328" s="449"/>
      <c r="AN328" s="451"/>
      <c r="AO328" s="450"/>
      <c r="AP328" s="449"/>
      <c r="AQ328" s="451"/>
      <c r="AR328" s="449"/>
      <c r="AS328" s="449"/>
      <c r="AT328" s="451"/>
      <c r="AU328" s="449"/>
      <c r="AV328" s="451"/>
      <c r="AW328" s="449"/>
      <c r="AX328" s="449"/>
      <c r="AY328" s="449"/>
      <c r="AZ328" s="449"/>
      <c r="BA328" s="449"/>
      <c r="BB328" s="449"/>
      <c r="BC328" s="449"/>
      <c r="BD328" s="449"/>
      <c r="BE328" s="449"/>
      <c r="BF328" s="449"/>
      <c r="BG328" s="449"/>
      <c r="BH328" s="449"/>
      <c r="BI328" s="449"/>
      <c r="BJ328" s="449"/>
      <c r="BK328" s="449"/>
      <c r="BL328" s="449"/>
      <c r="BM328" s="449"/>
      <c r="BN328" s="449"/>
    </row>
    <row r="329" spans="1:66" ht="13.15" x14ac:dyDescent="0.4">
      <c r="A329" s="430"/>
      <c r="B329" s="430"/>
      <c r="C329" s="430"/>
      <c r="D329" s="430"/>
      <c r="E329" s="430"/>
      <c r="F329" s="430"/>
      <c r="G329" s="430"/>
      <c r="H329" s="461"/>
      <c r="I329" s="438"/>
      <c r="J329" s="438"/>
      <c r="K329" s="438"/>
      <c r="L329" s="430"/>
      <c r="M329" s="430"/>
      <c r="N329" s="461"/>
      <c r="O329" s="461"/>
      <c r="P329" s="430"/>
      <c r="Q329" s="430"/>
      <c r="R329" s="430"/>
      <c r="S329" s="430"/>
      <c r="T329" s="430"/>
      <c r="U329" s="430"/>
      <c r="V329" s="430"/>
      <c r="W329" s="430"/>
      <c r="X329" s="449"/>
      <c r="Y329" s="449"/>
      <c r="Z329" s="450"/>
      <c r="AA329" s="449"/>
      <c r="AB329" s="451"/>
      <c r="AC329" s="450"/>
      <c r="AD329" s="449"/>
      <c r="AE329" s="451"/>
      <c r="AF329" s="450"/>
      <c r="AG329" s="449"/>
      <c r="AH329" s="451"/>
      <c r="AI329" s="450"/>
      <c r="AJ329" s="449"/>
      <c r="AK329" s="451"/>
      <c r="AL329" s="450"/>
      <c r="AM329" s="449"/>
      <c r="AN329" s="451"/>
      <c r="AO329" s="450"/>
      <c r="AP329" s="449"/>
      <c r="AQ329" s="451"/>
      <c r="AR329" s="449"/>
      <c r="AS329" s="449"/>
      <c r="AT329" s="451"/>
      <c r="AU329" s="449"/>
      <c r="AV329" s="451"/>
      <c r="AW329" s="449"/>
      <c r="AX329" s="449"/>
      <c r="AY329" s="449"/>
      <c r="AZ329" s="449"/>
      <c r="BA329" s="449"/>
      <c r="BB329" s="449"/>
      <c r="BC329" s="449"/>
      <c r="BD329" s="449"/>
      <c r="BE329" s="449"/>
      <c r="BF329" s="449"/>
      <c r="BG329" s="449"/>
      <c r="BH329" s="449"/>
      <c r="BI329" s="449"/>
      <c r="BJ329" s="449"/>
      <c r="BK329" s="449"/>
      <c r="BL329" s="449"/>
      <c r="BM329" s="449"/>
      <c r="BN329" s="449"/>
    </row>
    <row r="330" spans="1:66" ht="13.15" x14ac:dyDescent="0.4">
      <c r="A330" s="430"/>
      <c r="B330" s="430"/>
      <c r="C330" s="430"/>
      <c r="D330" s="430"/>
      <c r="E330" s="430"/>
      <c r="F330" s="430"/>
      <c r="G330" s="430"/>
      <c r="H330" s="461"/>
      <c r="I330" s="438"/>
      <c r="J330" s="438"/>
      <c r="K330" s="438"/>
      <c r="L330" s="430"/>
      <c r="M330" s="430"/>
      <c r="N330" s="461"/>
      <c r="O330" s="461"/>
      <c r="P330" s="430"/>
      <c r="Q330" s="430"/>
      <c r="R330" s="430"/>
      <c r="S330" s="430"/>
      <c r="T330" s="430"/>
      <c r="U330" s="430"/>
      <c r="V330" s="430"/>
      <c r="W330" s="430"/>
      <c r="X330" s="449"/>
      <c r="Y330" s="449"/>
      <c r="Z330" s="450"/>
      <c r="AA330" s="449"/>
      <c r="AB330" s="451"/>
      <c r="AC330" s="450"/>
      <c r="AD330" s="449"/>
      <c r="AE330" s="451"/>
      <c r="AF330" s="450"/>
      <c r="AG330" s="449"/>
      <c r="AH330" s="451"/>
      <c r="AI330" s="450"/>
      <c r="AJ330" s="449"/>
      <c r="AK330" s="451"/>
      <c r="AL330" s="450"/>
      <c r="AM330" s="449"/>
      <c r="AN330" s="451"/>
      <c r="AO330" s="450"/>
      <c r="AP330" s="449"/>
      <c r="AQ330" s="451"/>
      <c r="AR330" s="449"/>
      <c r="AS330" s="449"/>
      <c r="AT330" s="451"/>
      <c r="AU330" s="449"/>
      <c r="AV330" s="451"/>
      <c r="AW330" s="449"/>
      <c r="AX330" s="449"/>
      <c r="AY330" s="449"/>
      <c r="AZ330" s="449"/>
      <c r="BA330" s="449"/>
      <c r="BB330" s="449"/>
      <c r="BC330" s="449"/>
      <c r="BD330" s="449"/>
      <c r="BE330" s="449"/>
      <c r="BF330" s="449"/>
      <c r="BG330" s="449"/>
      <c r="BH330" s="449"/>
      <c r="BI330" s="449"/>
      <c r="BJ330" s="449"/>
      <c r="BK330" s="449"/>
      <c r="BL330" s="449"/>
      <c r="BM330" s="449"/>
      <c r="BN330" s="449"/>
    </row>
    <row r="331" spans="1:66" ht="13.15" x14ac:dyDescent="0.4">
      <c r="A331" s="430"/>
      <c r="B331" s="430"/>
      <c r="C331" s="430"/>
      <c r="D331" s="430"/>
      <c r="E331" s="430"/>
      <c r="F331" s="430"/>
      <c r="G331" s="430"/>
      <c r="H331" s="461"/>
      <c r="I331" s="438"/>
      <c r="J331" s="438"/>
      <c r="K331" s="438"/>
      <c r="L331" s="430"/>
      <c r="M331" s="430"/>
      <c r="N331" s="461"/>
      <c r="O331" s="461"/>
      <c r="P331" s="430"/>
      <c r="Q331" s="430"/>
      <c r="R331" s="430"/>
      <c r="S331" s="430"/>
      <c r="T331" s="430"/>
      <c r="U331" s="430"/>
      <c r="V331" s="430"/>
      <c r="W331" s="430"/>
      <c r="X331" s="449"/>
      <c r="Y331" s="449"/>
      <c r="Z331" s="450"/>
      <c r="AA331" s="449"/>
      <c r="AB331" s="451"/>
      <c r="AC331" s="450"/>
      <c r="AD331" s="449"/>
      <c r="AE331" s="451"/>
      <c r="AF331" s="450"/>
      <c r="AG331" s="449"/>
      <c r="AH331" s="451"/>
      <c r="AI331" s="450"/>
      <c r="AJ331" s="449"/>
      <c r="AK331" s="451"/>
      <c r="AL331" s="450"/>
      <c r="AM331" s="449"/>
      <c r="AN331" s="451"/>
      <c r="AO331" s="450"/>
      <c r="AP331" s="449"/>
      <c r="AQ331" s="451"/>
      <c r="AR331" s="449"/>
      <c r="AS331" s="449"/>
      <c r="AT331" s="451"/>
      <c r="AU331" s="449"/>
      <c r="AV331" s="451"/>
      <c r="AW331" s="449"/>
      <c r="AX331" s="449"/>
      <c r="AY331" s="449"/>
      <c r="AZ331" s="449"/>
      <c r="BA331" s="449"/>
      <c r="BB331" s="449"/>
      <c r="BC331" s="449"/>
      <c r="BD331" s="449"/>
      <c r="BE331" s="449"/>
      <c r="BF331" s="449"/>
      <c r="BG331" s="449"/>
      <c r="BH331" s="449"/>
      <c r="BI331" s="449"/>
      <c r="BJ331" s="449"/>
      <c r="BK331" s="449"/>
      <c r="BL331" s="449"/>
      <c r="BM331" s="449"/>
      <c r="BN331" s="449"/>
    </row>
    <row r="332" spans="1:66" ht="13.15" x14ac:dyDescent="0.4">
      <c r="A332" s="430"/>
      <c r="B332" s="430"/>
      <c r="C332" s="430"/>
      <c r="D332" s="430"/>
      <c r="E332" s="430"/>
      <c r="F332" s="430"/>
      <c r="G332" s="430"/>
      <c r="H332" s="461"/>
      <c r="I332" s="438"/>
      <c r="J332" s="438"/>
      <c r="K332" s="438"/>
      <c r="L332" s="430"/>
      <c r="M332" s="430"/>
      <c r="N332" s="461"/>
      <c r="O332" s="461"/>
      <c r="P332" s="430"/>
      <c r="Q332" s="430"/>
      <c r="R332" s="430"/>
      <c r="S332" s="430"/>
      <c r="T332" s="430"/>
      <c r="U332" s="430"/>
      <c r="V332" s="430"/>
      <c r="W332" s="430"/>
      <c r="X332" s="449"/>
      <c r="Y332" s="449"/>
      <c r="Z332" s="450"/>
      <c r="AA332" s="449"/>
      <c r="AB332" s="451"/>
      <c r="AC332" s="450"/>
      <c r="AD332" s="449"/>
      <c r="AE332" s="451"/>
      <c r="AF332" s="450"/>
      <c r="AG332" s="449"/>
      <c r="AH332" s="451"/>
      <c r="AI332" s="450"/>
      <c r="AJ332" s="449"/>
      <c r="AK332" s="451"/>
      <c r="AL332" s="450"/>
      <c r="AM332" s="449"/>
      <c r="AN332" s="451"/>
      <c r="AO332" s="450"/>
      <c r="AP332" s="449"/>
      <c r="AQ332" s="451"/>
      <c r="AR332" s="449"/>
      <c r="AS332" s="449"/>
      <c r="AT332" s="451"/>
      <c r="AU332" s="449"/>
      <c r="AV332" s="451"/>
      <c r="AW332" s="449"/>
      <c r="AX332" s="449"/>
      <c r="AY332" s="449"/>
      <c r="AZ332" s="449"/>
      <c r="BA332" s="449"/>
      <c r="BB332" s="449"/>
      <c r="BC332" s="449"/>
      <c r="BD332" s="449"/>
      <c r="BE332" s="449"/>
      <c r="BF332" s="449"/>
      <c r="BG332" s="449"/>
      <c r="BH332" s="449"/>
      <c r="BI332" s="449"/>
      <c r="BJ332" s="449"/>
      <c r="BK332" s="449"/>
      <c r="BL332" s="449"/>
      <c r="BM332" s="449"/>
      <c r="BN332" s="449"/>
    </row>
    <row r="333" spans="1:66" ht="13.15" x14ac:dyDescent="0.4">
      <c r="A333" s="430"/>
      <c r="B333" s="430"/>
      <c r="C333" s="430"/>
      <c r="D333" s="430"/>
      <c r="E333" s="430"/>
      <c r="F333" s="430"/>
      <c r="G333" s="430"/>
      <c r="H333" s="461"/>
      <c r="I333" s="438"/>
      <c r="J333" s="438"/>
      <c r="K333" s="438"/>
      <c r="L333" s="430"/>
      <c r="M333" s="430"/>
      <c r="N333" s="461"/>
      <c r="O333" s="461"/>
      <c r="P333" s="430"/>
      <c r="Q333" s="430"/>
      <c r="R333" s="430"/>
      <c r="S333" s="430"/>
      <c r="T333" s="430"/>
      <c r="U333" s="430"/>
      <c r="V333" s="430"/>
      <c r="W333" s="430"/>
      <c r="X333" s="449"/>
      <c r="Y333" s="449"/>
      <c r="Z333" s="450"/>
      <c r="AA333" s="449"/>
      <c r="AB333" s="451"/>
      <c r="AC333" s="450"/>
      <c r="AD333" s="449"/>
      <c r="AE333" s="451"/>
      <c r="AF333" s="450"/>
      <c r="AG333" s="449"/>
      <c r="AH333" s="451"/>
      <c r="AI333" s="450"/>
      <c r="AJ333" s="449"/>
      <c r="AK333" s="451"/>
      <c r="AL333" s="450"/>
      <c r="AM333" s="449"/>
      <c r="AN333" s="451"/>
      <c r="AO333" s="450"/>
      <c r="AP333" s="449"/>
      <c r="AQ333" s="451"/>
      <c r="AR333" s="449"/>
      <c r="AS333" s="449"/>
      <c r="AT333" s="451"/>
      <c r="AU333" s="449"/>
      <c r="AV333" s="451"/>
      <c r="AW333" s="449"/>
      <c r="AX333" s="449"/>
      <c r="AY333" s="449"/>
      <c r="AZ333" s="449"/>
      <c r="BA333" s="449"/>
      <c r="BB333" s="449"/>
      <c r="BC333" s="449"/>
      <c r="BD333" s="449"/>
      <c r="BE333" s="449"/>
      <c r="BF333" s="449"/>
      <c r="BG333" s="449"/>
      <c r="BH333" s="449"/>
      <c r="BI333" s="449"/>
      <c r="BJ333" s="449"/>
      <c r="BK333" s="449"/>
      <c r="BL333" s="449"/>
      <c r="BM333" s="449"/>
      <c r="BN333" s="449"/>
    </row>
    <row r="334" spans="1:66" ht="13.15" x14ac:dyDescent="0.4">
      <c r="A334" s="430"/>
      <c r="B334" s="430"/>
      <c r="C334" s="430"/>
      <c r="D334" s="430"/>
      <c r="E334" s="430"/>
      <c r="F334" s="430"/>
      <c r="G334" s="430"/>
      <c r="H334" s="461"/>
      <c r="I334" s="438"/>
      <c r="J334" s="438"/>
      <c r="K334" s="438"/>
      <c r="L334" s="430"/>
      <c r="M334" s="430"/>
      <c r="N334" s="461"/>
      <c r="O334" s="461"/>
      <c r="P334" s="430"/>
      <c r="Q334" s="430"/>
      <c r="R334" s="430"/>
      <c r="S334" s="430"/>
      <c r="T334" s="430"/>
      <c r="U334" s="430"/>
      <c r="V334" s="430"/>
      <c r="W334" s="430"/>
      <c r="X334" s="449"/>
      <c r="Y334" s="449"/>
      <c r="Z334" s="450"/>
      <c r="AA334" s="449"/>
      <c r="AB334" s="451"/>
      <c r="AC334" s="450"/>
      <c r="AD334" s="449"/>
      <c r="AE334" s="451"/>
      <c r="AF334" s="450"/>
      <c r="AG334" s="449"/>
      <c r="AH334" s="451"/>
      <c r="AI334" s="450"/>
      <c r="AJ334" s="449"/>
      <c r="AK334" s="451"/>
      <c r="AL334" s="450"/>
      <c r="AM334" s="449"/>
      <c r="AN334" s="451"/>
      <c r="AO334" s="450"/>
      <c r="AP334" s="449"/>
      <c r="AQ334" s="451"/>
      <c r="AR334" s="449"/>
      <c r="AS334" s="449"/>
      <c r="AT334" s="451"/>
      <c r="AU334" s="449"/>
      <c r="AV334" s="451"/>
      <c r="AW334" s="449"/>
      <c r="AX334" s="449"/>
      <c r="AY334" s="449"/>
      <c r="AZ334" s="449"/>
      <c r="BA334" s="449"/>
      <c r="BB334" s="449"/>
      <c r="BC334" s="449"/>
      <c r="BD334" s="449"/>
      <c r="BE334" s="449"/>
      <c r="BF334" s="449"/>
      <c r="BG334" s="449"/>
      <c r="BH334" s="449"/>
      <c r="BI334" s="449"/>
      <c r="BJ334" s="449"/>
      <c r="BK334" s="449"/>
      <c r="BL334" s="449"/>
      <c r="BM334" s="449"/>
      <c r="BN334" s="449"/>
    </row>
    <row r="335" spans="1:66" ht="13.15" x14ac:dyDescent="0.4">
      <c r="A335" s="430"/>
      <c r="B335" s="430"/>
      <c r="C335" s="430"/>
      <c r="D335" s="430"/>
      <c r="E335" s="430"/>
      <c r="F335" s="430"/>
      <c r="G335" s="430"/>
      <c r="H335" s="461"/>
      <c r="I335" s="438"/>
      <c r="J335" s="438"/>
      <c r="K335" s="438"/>
      <c r="L335" s="430"/>
      <c r="M335" s="430"/>
      <c r="N335" s="461"/>
      <c r="O335" s="461"/>
      <c r="P335" s="430"/>
      <c r="Q335" s="430"/>
      <c r="R335" s="430"/>
      <c r="S335" s="430"/>
      <c r="T335" s="430"/>
      <c r="U335" s="430"/>
      <c r="V335" s="430"/>
      <c r="W335" s="430"/>
      <c r="X335" s="449"/>
      <c r="Y335" s="449"/>
      <c r="Z335" s="450"/>
      <c r="AA335" s="449"/>
      <c r="AB335" s="451"/>
      <c r="AC335" s="450"/>
      <c r="AD335" s="449"/>
      <c r="AE335" s="451"/>
      <c r="AF335" s="450"/>
      <c r="AG335" s="449"/>
      <c r="AH335" s="451"/>
      <c r="AI335" s="450"/>
      <c r="AJ335" s="449"/>
      <c r="AK335" s="451"/>
      <c r="AL335" s="450"/>
      <c r="AM335" s="449"/>
      <c r="AN335" s="451"/>
      <c r="AO335" s="450"/>
      <c r="AP335" s="449"/>
      <c r="AQ335" s="451"/>
      <c r="AR335" s="449"/>
      <c r="AS335" s="449"/>
      <c r="AT335" s="451"/>
      <c r="AU335" s="449"/>
      <c r="AV335" s="451"/>
      <c r="AW335" s="449"/>
      <c r="AX335" s="449"/>
      <c r="AY335" s="449"/>
      <c r="AZ335" s="449"/>
      <c r="BA335" s="449"/>
      <c r="BB335" s="449"/>
      <c r="BC335" s="449"/>
      <c r="BD335" s="449"/>
      <c r="BE335" s="449"/>
      <c r="BF335" s="449"/>
      <c r="BG335" s="449"/>
      <c r="BH335" s="449"/>
      <c r="BI335" s="449"/>
      <c r="BJ335" s="449"/>
      <c r="BK335" s="449"/>
      <c r="BL335" s="449"/>
      <c r="BM335" s="449"/>
      <c r="BN335" s="449"/>
    </row>
    <row r="336" spans="1:66" ht="13.15" x14ac:dyDescent="0.4">
      <c r="A336" s="430"/>
      <c r="B336" s="430"/>
      <c r="C336" s="430"/>
      <c r="D336" s="430"/>
      <c r="E336" s="430"/>
      <c r="F336" s="430"/>
      <c r="G336" s="430"/>
      <c r="H336" s="461"/>
      <c r="I336" s="438"/>
      <c r="J336" s="438"/>
      <c r="K336" s="438"/>
      <c r="L336" s="430"/>
      <c r="M336" s="430"/>
      <c r="N336" s="461"/>
      <c r="O336" s="461"/>
      <c r="P336" s="430"/>
      <c r="Q336" s="430"/>
      <c r="R336" s="430"/>
      <c r="S336" s="430"/>
      <c r="T336" s="430"/>
      <c r="U336" s="430"/>
      <c r="V336" s="430"/>
      <c r="W336" s="430"/>
      <c r="X336" s="449"/>
      <c r="Y336" s="449"/>
      <c r="Z336" s="450"/>
      <c r="AA336" s="449"/>
      <c r="AB336" s="451"/>
      <c r="AC336" s="450"/>
      <c r="AD336" s="449"/>
      <c r="AE336" s="451"/>
      <c r="AF336" s="450"/>
      <c r="AG336" s="449"/>
      <c r="AH336" s="451"/>
      <c r="AI336" s="450"/>
      <c r="AJ336" s="449"/>
      <c r="AK336" s="451"/>
      <c r="AL336" s="450"/>
      <c r="AM336" s="449"/>
      <c r="AN336" s="451"/>
      <c r="AO336" s="450"/>
      <c r="AP336" s="449"/>
      <c r="AQ336" s="451"/>
      <c r="AR336" s="449"/>
      <c r="AS336" s="449"/>
      <c r="AT336" s="451"/>
      <c r="AU336" s="449"/>
      <c r="AV336" s="451"/>
      <c r="AW336" s="449"/>
      <c r="AX336" s="449"/>
      <c r="AY336" s="449"/>
      <c r="AZ336" s="449"/>
      <c r="BA336" s="449"/>
      <c r="BB336" s="449"/>
      <c r="BC336" s="449"/>
      <c r="BD336" s="449"/>
      <c r="BE336" s="449"/>
      <c r="BF336" s="449"/>
      <c r="BG336" s="449"/>
      <c r="BH336" s="449"/>
      <c r="BI336" s="449"/>
      <c r="BJ336" s="449"/>
      <c r="BK336" s="449"/>
      <c r="BL336" s="449"/>
      <c r="BM336" s="449"/>
      <c r="BN336" s="449"/>
    </row>
    <row r="337" spans="1:66" ht="13.15" x14ac:dyDescent="0.4">
      <c r="A337" s="430"/>
      <c r="B337" s="430"/>
      <c r="C337" s="430"/>
      <c r="D337" s="430"/>
      <c r="E337" s="430"/>
      <c r="F337" s="430"/>
      <c r="G337" s="430"/>
      <c r="H337" s="461"/>
      <c r="I337" s="438"/>
      <c r="J337" s="438"/>
      <c r="K337" s="438"/>
      <c r="L337" s="430"/>
      <c r="M337" s="430"/>
      <c r="N337" s="461"/>
      <c r="O337" s="461"/>
      <c r="P337" s="430"/>
      <c r="Q337" s="430"/>
      <c r="R337" s="430"/>
      <c r="S337" s="430"/>
      <c r="T337" s="430"/>
      <c r="U337" s="430"/>
      <c r="V337" s="430"/>
      <c r="W337" s="430"/>
      <c r="X337" s="449"/>
      <c r="Y337" s="449"/>
      <c r="Z337" s="450"/>
      <c r="AA337" s="449"/>
      <c r="AB337" s="451"/>
      <c r="AC337" s="450"/>
      <c r="AD337" s="449"/>
      <c r="AE337" s="451"/>
      <c r="AF337" s="450"/>
      <c r="AG337" s="449"/>
      <c r="AH337" s="451"/>
      <c r="AI337" s="450"/>
      <c r="AJ337" s="449"/>
      <c r="AK337" s="451"/>
      <c r="AL337" s="450"/>
      <c r="AM337" s="449"/>
      <c r="AN337" s="451"/>
      <c r="AO337" s="450"/>
      <c r="AP337" s="449"/>
      <c r="AQ337" s="451"/>
      <c r="AR337" s="449"/>
      <c r="AS337" s="449"/>
      <c r="AT337" s="451"/>
      <c r="AU337" s="449"/>
      <c r="AV337" s="451"/>
      <c r="AW337" s="449"/>
      <c r="AX337" s="449"/>
      <c r="AY337" s="449"/>
      <c r="AZ337" s="449"/>
      <c r="BA337" s="449"/>
      <c r="BB337" s="449"/>
      <c r="BC337" s="449"/>
      <c r="BD337" s="449"/>
      <c r="BE337" s="449"/>
      <c r="BF337" s="449"/>
      <c r="BG337" s="449"/>
      <c r="BH337" s="449"/>
      <c r="BI337" s="449"/>
      <c r="BJ337" s="449"/>
      <c r="BK337" s="449"/>
      <c r="BL337" s="449"/>
      <c r="BM337" s="449"/>
      <c r="BN337" s="449"/>
    </row>
    <row r="338" spans="1:66" ht="13.15" x14ac:dyDescent="0.4">
      <c r="A338" s="430"/>
      <c r="B338" s="430"/>
      <c r="C338" s="430"/>
      <c r="D338" s="430"/>
      <c r="E338" s="430"/>
      <c r="F338" s="430"/>
      <c r="G338" s="430"/>
      <c r="H338" s="461"/>
      <c r="I338" s="438"/>
      <c r="J338" s="438"/>
      <c r="K338" s="438"/>
      <c r="L338" s="430"/>
      <c r="M338" s="430"/>
      <c r="N338" s="461"/>
      <c r="O338" s="461"/>
      <c r="P338" s="430"/>
      <c r="Q338" s="430"/>
      <c r="R338" s="430"/>
      <c r="S338" s="430"/>
      <c r="T338" s="430"/>
      <c r="U338" s="430"/>
      <c r="V338" s="430"/>
      <c r="W338" s="430"/>
      <c r="X338" s="449"/>
      <c r="Y338" s="449"/>
      <c r="Z338" s="450"/>
      <c r="AA338" s="449"/>
      <c r="AB338" s="451"/>
      <c r="AC338" s="450"/>
      <c r="AD338" s="449"/>
      <c r="AE338" s="451"/>
      <c r="AF338" s="450"/>
      <c r="AG338" s="449"/>
      <c r="AH338" s="451"/>
      <c r="AI338" s="450"/>
      <c r="AJ338" s="449"/>
      <c r="AK338" s="451"/>
      <c r="AL338" s="450"/>
      <c r="AM338" s="449"/>
      <c r="AN338" s="451"/>
      <c r="AO338" s="450"/>
      <c r="AP338" s="449"/>
      <c r="AQ338" s="451"/>
      <c r="AR338" s="449"/>
      <c r="AS338" s="449"/>
      <c r="AT338" s="451"/>
      <c r="AU338" s="449"/>
      <c r="AV338" s="451"/>
      <c r="AW338" s="449"/>
      <c r="AX338" s="449"/>
      <c r="AY338" s="449"/>
      <c r="AZ338" s="449"/>
      <c r="BA338" s="449"/>
      <c r="BB338" s="449"/>
      <c r="BC338" s="449"/>
      <c r="BD338" s="449"/>
      <c r="BE338" s="449"/>
      <c r="BF338" s="449"/>
      <c r="BG338" s="449"/>
      <c r="BH338" s="449"/>
      <c r="BI338" s="449"/>
      <c r="BJ338" s="449"/>
      <c r="BK338" s="449"/>
      <c r="BL338" s="449"/>
      <c r="BM338" s="449"/>
      <c r="BN338" s="449"/>
    </row>
    <row r="339" spans="1:66" ht="13.15" x14ac:dyDescent="0.4">
      <c r="A339" s="430"/>
      <c r="B339" s="430"/>
      <c r="C339" s="430"/>
      <c r="D339" s="430"/>
      <c r="E339" s="430"/>
      <c r="F339" s="430"/>
      <c r="G339" s="430"/>
      <c r="H339" s="461"/>
      <c r="I339" s="438"/>
      <c r="J339" s="438"/>
      <c r="K339" s="438"/>
      <c r="L339" s="430"/>
      <c r="M339" s="430"/>
      <c r="N339" s="461"/>
      <c r="O339" s="461"/>
      <c r="P339" s="430"/>
      <c r="Q339" s="430"/>
      <c r="R339" s="430"/>
      <c r="S339" s="430"/>
      <c r="T339" s="430"/>
      <c r="U339" s="430"/>
      <c r="V339" s="430"/>
      <c r="W339" s="430"/>
      <c r="X339" s="449"/>
      <c r="Y339" s="449"/>
      <c r="Z339" s="450"/>
      <c r="AA339" s="449"/>
      <c r="AB339" s="451"/>
      <c r="AC339" s="450"/>
      <c r="AD339" s="449"/>
      <c r="AE339" s="451"/>
      <c r="AF339" s="450"/>
      <c r="AG339" s="449"/>
      <c r="AH339" s="451"/>
      <c r="AI339" s="450"/>
      <c r="AJ339" s="449"/>
      <c r="AK339" s="451"/>
      <c r="AL339" s="450"/>
      <c r="AM339" s="449"/>
      <c r="AN339" s="451"/>
      <c r="AO339" s="450"/>
      <c r="AP339" s="449"/>
      <c r="AQ339" s="451"/>
      <c r="AR339" s="449"/>
      <c r="AS339" s="449"/>
      <c r="AT339" s="451"/>
      <c r="AU339" s="449"/>
      <c r="AV339" s="451"/>
      <c r="AW339" s="449"/>
      <c r="AX339" s="449"/>
      <c r="AY339" s="449"/>
      <c r="AZ339" s="449"/>
      <c r="BA339" s="449"/>
      <c r="BB339" s="449"/>
      <c r="BC339" s="449"/>
      <c r="BD339" s="449"/>
      <c r="BE339" s="449"/>
      <c r="BF339" s="449"/>
      <c r="BG339" s="449"/>
      <c r="BH339" s="449"/>
      <c r="BI339" s="449"/>
      <c r="BJ339" s="449"/>
      <c r="BK339" s="449"/>
      <c r="BL339" s="449"/>
      <c r="BM339" s="449"/>
      <c r="BN339" s="449"/>
    </row>
    <row r="340" spans="1:66" ht="13.15" x14ac:dyDescent="0.4">
      <c r="A340" s="430"/>
      <c r="B340" s="430"/>
      <c r="C340" s="430"/>
      <c r="D340" s="430"/>
      <c r="E340" s="430"/>
      <c r="F340" s="430"/>
      <c r="G340" s="430"/>
      <c r="H340" s="461"/>
      <c r="I340" s="438"/>
      <c r="J340" s="438"/>
      <c r="K340" s="438"/>
      <c r="L340" s="430"/>
      <c r="M340" s="430"/>
      <c r="N340" s="461"/>
      <c r="O340" s="461"/>
      <c r="P340" s="430"/>
      <c r="Q340" s="430"/>
      <c r="R340" s="430"/>
      <c r="S340" s="430"/>
      <c r="T340" s="430"/>
      <c r="U340" s="430"/>
      <c r="V340" s="430"/>
      <c r="W340" s="430"/>
      <c r="X340" s="449"/>
      <c r="Y340" s="449"/>
      <c r="Z340" s="450"/>
      <c r="AA340" s="449"/>
      <c r="AB340" s="451"/>
      <c r="AC340" s="450"/>
      <c r="AD340" s="449"/>
      <c r="AE340" s="451"/>
      <c r="AF340" s="450"/>
      <c r="AG340" s="449"/>
      <c r="AH340" s="451"/>
      <c r="AI340" s="450"/>
      <c r="AJ340" s="449"/>
      <c r="AK340" s="451"/>
      <c r="AL340" s="450"/>
      <c r="AM340" s="449"/>
      <c r="AN340" s="451"/>
      <c r="AO340" s="450"/>
      <c r="AP340" s="449"/>
      <c r="AQ340" s="451"/>
      <c r="AR340" s="449"/>
      <c r="AS340" s="449"/>
      <c r="AT340" s="451"/>
      <c r="AU340" s="449"/>
      <c r="AV340" s="451"/>
      <c r="AW340" s="449"/>
      <c r="AX340" s="449"/>
      <c r="AY340" s="449"/>
      <c r="AZ340" s="449"/>
      <c r="BA340" s="449"/>
      <c r="BB340" s="449"/>
      <c r="BC340" s="449"/>
      <c r="BD340" s="449"/>
      <c r="BE340" s="449"/>
      <c r="BF340" s="449"/>
      <c r="BG340" s="449"/>
      <c r="BH340" s="449"/>
      <c r="BI340" s="449"/>
      <c r="BJ340" s="449"/>
      <c r="BK340" s="449"/>
      <c r="BL340" s="449"/>
      <c r="BM340" s="449"/>
      <c r="BN340" s="449"/>
    </row>
    <row r="341" spans="1:66" ht="13.15" x14ac:dyDescent="0.4">
      <c r="A341" s="430"/>
      <c r="B341" s="430"/>
      <c r="C341" s="430"/>
      <c r="D341" s="430"/>
      <c r="E341" s="430"/>
      <c r="F341" s="430"/>
      <c r="G341" s="430"/>
      <c r="H341" s="461"/>
      <c r="I341" s="438"/>
      <c r="J341" s="438"/>
      <c r="K341" s="438"/>
      <c r="L341" s="430"/>
      <c r="M341" s="430"/>
      <c r="N341" s="461"/>
      <c r="O341" s="461"/>
      <c r="P341" s="430"/>
      <c r="Q341" s="430"/>
      <c r="R341" s="430"/>
      <c r="S341" s="430"/>
      <c r="T341" s="430"/>
      <c r="U341" s="430"/>
      <c r="V341" s="430"/>
      <c r="W341" s="430"/>
      <c r="X341" s="449"/>
      <c r="Y341" s="449"/>
      <c r="Z341" s="450"/>
      <c r="AA341" s="449"/>
      <c r="AB341" s="451"/>
      <c r="AC341" s="450"/>
      <c r="AD341" s="449"/>
      <c r="AE341" s="451"/>
      <c r="AF341" s="450"/>
      <c r="AG341" s="449"/>
      <c r="AH341" s="451"/>
      <c r="AI341" s="450"/>
      <c r="AJ341" s="449"/>
      <c r="AK341" s="451"/>
      <c r="AL341" s="450"/>
      <c r="AM341" s="449"/>
      <c r="AN341" s="451"/>
      <c r="AO341" s="450"/>
      <c r="AP341" s="449"/>
      <c r="AQ341" s="451"/>
      <c r="AR341" s="449"/>
      <c r="AS341" s="449"/>
      <c r="AT341" s="451"/>
      <c r="AU341" s="449"/>
      <c r="AV341" s="451"/>
      <c r="AW341" s="449"/>
      <c r="AX341" s="449"/>
      <c r="AY341" s="449"/>
      <c r="AZ341" s="449"/>
      <c r="BA341" s="449"/>
      <c r="BB341" s="449"/>
      <c r="BC341" s="449"/>
      <c r="BD341" s="449"/>
      <c r="BE341" s="449"/>
      <c r="BF341" s="449"/>
      <c r="BG341" s="449"/>
      <c r="BH341" s="449"/>
      <c r="BI341" s="449"/>
      <c r="BJ341" s="449"/>
      <c r="BK341" s="449"/>
      <c r="BL341" s="449"/>
      <c r="BM341" s="449"/>
      <c r="BN341" s="449"/>
    </row>
    <row r="342" spans="1:66" ht="13.15" x14ac:dyDescent="0.4">
      <c r="A342" s="430"/>
      <c r="B342" s="430"/>
      <c r="C342" s="430"/>
      <c r="D342" s="430"/>
      <c r="E342" s="430"/>
      <c r="F342" s="430"/>
      <c r="G342" s="430"/>
      <c r="H342" s="461"/>
      <c r="I342" s="438"/>
      <c r="J342" s="438"/>
      <c r="K342" s="438"/>
      <c r="L342" s="430"/>
      <c r="M342" s="430"/>
      <c r="N342" s="461"/>
      <c r="O342" s="461"/>
      <c r="P342" s="430"/>
      <c r="Q342" s="430"/>
      <c r="R342" s="430"/>
      <c r="S342" s="430"/>
      <c r="T342" s="430"/>
      <c r="U342" s="430"/>
      <c r="V342" s="430"/>
      <c r="W342" s="430"/>
      <c r="X342" s="449"/>
      <c r="Y342" s="449"/>
      <c r="Z342" s="450"/>
      <c r="AA342" s="449"/>
      <c r="AB342" s="451"/>
      <c r="AC342" s="450"/>
      <c r="AD342" s="449"/>
      <c r="AE342" s="451"/>
      <c r="AF342" s="450"/>
      <c r="AG342" s="449"/>
      <c r="AH342" s="451"/>
      <c r="AI342" s="450"/>
      <c r="AJ342" s="449"/>
      <c r="AK342" s="451"/>
      <c r="AL342" s="450"/>
      <c r="AM342" s="449"/>
      <c r="AN342" s="451"/>
      <c r="AO342" s="450"/>
      <c r="AP342" s="449"/>
      <c r="AQ342" s="451"/>
      <c r="AR342" s="449"/>
      <c r="AS342" s="449"/>
      <c r="AT342" s="451"/>
      <c r="AU342" s="449"/>
      <c r="AV342" s="451"/>
      <c r="AW342" s="449"/>
      <c r="AX342" s="449"/>
      <c r="AY342" s="449"/>
      <c r="AZ342" s="449"/>
      <c r="BA342" s="449"/>
      <c r="BB342" s="449"/>
      <c r="BC342" s="449"/>
      <c r="BD342" s="449"/>
      <c r="BE342" s="449"/>
      <c r="BF342" s="449"/>
      <c r="BG342" s="449"/>
      <c r="BH342" s="449"/>
      <c r="BI342" s="449"/>
      <c r="BJ342" s="449"/>
      <c r="BK342" s="449"/>
      <c r="BL342" s="449"/>
      <c r="BM342" s="449"/>
      <c r="BN342" s="449"/>
    </row>
    <row r="343" spans="1:66" ht="13.15" x14ac:dyDescent="0.4">
      <c r="A343" s="430"/>
      <c r="B343" s="430"/>
      <c r="C343" s="430"/>
      <c r="D343" s="430"/>
      <c r="E343" s="430"/>
      <c r="F343" s="430"/>
      <c r="G343" s="430"/>
      <c r="H343" s="461"/>
      <c r="I343" s="438"/>
      <c r="J343" s="438"/>
      <c r="K343" s="438"/>
      <c r="L343" s="430"/>
      <c r="M343" s="430"/>
      <c r="N343" s="461"/>
      <c r="O343" s="461"/>
      <c r="P343" s="430"/>
      <c r="Q343" s="430"/>
      <c r="R343" s="430"/>
      <c r="S343" s="430"/>
      <c r="T343" s="430"/>
      <c r="U343" s="430"/>
      <c r="V343" s="430"/>
      <c r="W343" s="430"/>
      <c r="X343" s="449"/>
      <c r="Y343" s="449"/>
      <c r="Z343" s="450"/>
      <c r="AA343" s="449"/>
      <c r="AB343" s="451"/>
      <c r="AC343" s="450"/>
      <c r="AD343" s="449"/>
      <c r="AE343" s="451"/>
      <c r="AF343" s="450"/>
      <c r="AG343" s="449"/>
      <c r="AH343" s="451"/>
      <c r="AI343" s="450"/>
      <c r="AJ343" s="449"/>
      <c r="AK343" s="451"/>
      <c r="AL343" s="450"/>
      <c r="AM343" s="449"/>
      <c r="AN343" s="451"/>
      <c r="AO343" s="450"/>
      <c r="AP343" s="449"/>
      <c r="AQ343" s="451"/>
      <c r="AR343" s="449"/>
      <c r="AS343" s="449"/>
      <c r="AT343" s="451"/>
      <c r="AU343" s="449"/>
      <c r="AV343" s="451"/>
      <c r="AW343" s="449"/>
      <c r="AX343" s="449"/>
      <c r="AY343" s="449"/>
      <c r="AZ343" s="449"/>
      <c r="BA343" s="449"/>
      <c r="BB343" s="449"/>
      <c r="BC343" s="449"/>
      <c r="BD343" s="449"/>
      <c r="BE343" s="449"/>
      <c r="BF343" s="449"/>
      <c r="BG343" s="449"/>
      <c r="BH343" s="449"/>
      <c r="BI343" s="449"/>
      <c r="BJ343" s="449"/>
      <c r="BK343" s="449"/>
      <c r="BL343" s="449"/>
      <c r="BM343" s="449"/>
      <c r="BN343" s="449"/>
    </row>
    <row r="344" spans="1:66" ht="13.15" x14ac:dyDescent="0.4">
      <c r="A344" s="430"/>
      <c r="B344" s="430"/>
      <c r="C344" s="430"/>
      <c r="D344" s="430"/>
      <c r="E344" s="430"/>
      <c r="F344" s="430"/>
      <c r="G344" s="430"/>
      <c r="H344" s="461"/>
      <c r="I344" s="438"/>
      <c r="J344" s="438"/>
      <c r="K344" s="438"/>
      <c r="L344" s="430"/>
      <c r="M344" s="430"/>
      <c r="N344" s="461"/>
      <c r="O344" s="461"/>
      <c r="P344" s="430"/>
      <c r="Q344" s="430"/>
      <c r="R344" s="430"/>
      <c r="S344" s="430"/>
      <c r="T344" s="430"/>
      <c r="U344" s="430"/>
      <c r="V344" s="430"/>
      <c r="W344" s="430"/>
      <c r="X344" s="449"/>
      <c r="Y344" s="449"/>
      <c r="Z344" s="450"/>
      <c r="AA344" s="449"/>
      <c r="AB344" s="451"/>
      <c r="AC344" s="450"/>
      <c r="AD344" s="449"/>
      <c r="AE344" s="451"/>
      <c r="AF344" s="450"/>
      <c r="AG344" s="449"/>
      <c r="AH344" s="451"/>
      <c r="AI344" s="450"/>
      <c r="AJ344" s="449"/>
      <c r="AK344" s="451"/>
      <c r="AL344" s="450"/>
      <c r="AM344" s="449"/>
      <c r="AN344" s="451"/>
      <c r="AO344" s="450"/>
      <c r="AP344" s="449"/>
      <c r="AQ344" s="451"/>
      <c r="AR344" s="449"/>
      <c r="AS344" s="449"/>
      <c r="AT344" s="451"/>
      <c r="AU344" s="449"/>
      <c r="AV344" s="451"/>
      <c r="AW344" s="449"/>
      <c r="AX344" s="449"/>
      <c r="AY344" s="449"/>
      <c r="AZ344" s="449"/>
      <c r="BA344" s="449"/>
      <c r="BB344" s="449"/>
      <c r="BC344" s="449"/>
      <c r="BD344" s="449"/>
      <c r="BE344" s="449"/>
      <c r="BF344" s="449"/>
      <c r="BG344" s="449"/>
      <c r="BH344" s="449"/>
      <c r="BI344" s="449"/>
      <c r="BJ344" s="449"/>
      <c r="BK344" s="449"/>
      <c r="BL344" s="449"/>
      <c r="BM344" s="449"/>
      <c r="BN344" s="449"/>
    </row>
    <row r="345" spans="1:66" ht="13.15" x14ac:dyDescent="0.4">
      <c r="A345" s="430"/>
      <c r="B345" s="430"/>
      <c r="C345" s="430"/>
      <c r="D345" s="430"/>
      <c r="E345" s="430"/>
      <c r="F345" s="430"/>
      <c r="G345" s="430"/>
      <c r="H345" s="461"/>
      <c r="I345" s="438"/>
      <c r="J345" s="438"/>
      <c r="K345" s="438"/>
      <c r="L345" s="430"/>
      <c r="M345" s="430"/>
      <c r="N345" s="461"/>
      <c r="O345" s="461"/>
      <c r="P345" s="430"/>
      <c r="Q345" s="430"/>
      <c r="R345" s="430"/>
      <c r="S345" s="430"/>
      <c r="T345" s="430"/>
      <c r="U345" s="430"/>
      <c r="V345" s="430"/>
      <c r="W345" s="430"/>
      <c r="X345" s="449"/>
      <c r="Y345" s="449"/>
      <c r="Z345" s="450"/>
      <c r="AA345" s="449"/>
      <c r="AB345" s="451"/>
      <c r="AC345" s="450"/>
      <c r="AD345" s="449"/>
      <c r="AE345" s="451"/>
      <c r="AF345" s="450"/>
      <c r="AG345" s="449"/>
      <c r="AH345" s="451"/>
      <c r="AI345" s="450"/>
      <c r="AJ345" s="449"/>
      <c r="AK345" s="451"/>
      <c r="AL345" s="450"/>
      <c r="AM345" s="449"/>
      <c r="AN345" s="451"/>
      <c r="AO345" s="450"/>
      <c r="AP345" s="449"/>
      <c r="AQ345" s="451"/>
      <c r="AR345" s="449"/>
      <c r="AS345" s="449"/>
      <c r="AT345" s="451"/>
      <c r="AU345" s="449"/>
      <c r="AV345" s="451"/>
      <c r="AW345" s="449"/>
      <c r="AX345" s="449"/>
      <c r="AY345" s="449"/>
      <c r="AZ345" s="449"/>
      <c r="BA345" s="449"/>
      <c r="BB345" s="449"/>
      <c r="BC345" s="449"/>
      <c r="BD345" s="449"/>
      <c r="BE345" s="449"/>
      <c r="BF345" s="449"/>
      <c r="BG345" s="449"/>
      <c r="BH345" s="449"/>
      <c r="BI345" s="449"/>
      <c r="BJ345" s="449"/>
      <c r="BK345" s="449"/>
      <c r="BL345" s="449"/>
      <c r="BM345" s="449"/>
      <c r="BN345" s="449"/>
    </row>
    <row r="346" spans="1:66" ht="13.15" x14ac:dyDescent="0.4">
      <c r="A346" s="430"/>
      <c r="B346" s="430"/>
      <c r="C346" s="430"/>
      <c r="D346" s="430"/>
      <c r="E346" s="430"/>
      <c r="F346" s="430"/>
      <c r="G346" s="430"/>
      <c r="H346" s="461"/>
      <c r="I346" s="438"/>
      <c r="J346" s="438"/>
      <c r="K346" s="438"/>
      <c r="L346" s="430"/>
      <c r="M346" s="430"/>
      <c r="N346" s="461"/>
      <c r="O346" s="461"/>
      <c r="P346" s="430"/>
      <c r="Q346" s="430"/>
      <c r="R346" s="430"/>
      <c r="S346" s="430"/>
      <c r="T346" s="430"/>
      <c r="U346" s="430"/>
      <c r="V346" s="430"/>
      <c r="W346" s="430"/>
      <c r="X346" s="449"/>
      <c r="Y346" s="449"/>
      <c r="Z346" s="450"/>
      <c r="AA346" s="449"/>
      <c r="AB346" s="451"/>
      <c r="AC346" s="450"/>
      <c r="AD346" s="449"/>
      <c r="AE346" s="451"/>
      <c r="AF346" s="450"/>
      <c r="AG346" s="449"/>
      <c r="AH346" s="451"/>
      <c r="AI346" s="450"/>
      <c r="AJ346" s="449"/>
      <c r="AK346" s="451"/>
      <c r="AL346" s="450"/>
      <c r="AM346" s="449"/>
      <c r="AN346" s="451"/>
      <c r="AO346" s="450"/>
      <c r="AP346" s="449"/>
      <c r="AQ346" s="451"/>
      <c r="AR346" s="449"/>
      <c r="AS346" s="449"/>
      <c r="AT346" s="451"/>
      <c r="AU346" s="449"/>
      <c r="AV346" s="451"/>
      <c r="AW346" s="449"/>
      <c r="AX346" s="449"/>
      <c r="AY346" s="449"/>
      <c r="AZ346" s="449"/>
      <c r="BA346" s="449"/>
      <c r="BB346" s="449"/>
      <c r="BC346" s="449"/>
      <c r="BD346" s="449"/>
      <c r="BE346" s="449"/>
      <c r="BF346" s="449"/>
      <c r="BG346" s="449"/>
      <c r="BH346" s="449"/>
      <c r="BI346" s="449"/>
      <c r="BJ346" s="449"/>
      <c r="BK346" s="449"/>
      <c r="BL346" s="449"/>
      <c r="BM346" s="449"/>
      <c r="BN346" s="449"/>
    </row>
    <row r="347" spans="1:66" ht="13.15" x14ac:dyDescent="0.4">
      <c r="A347" s="430"/>
      <c r="B347" s="430"/>
      <c r="C347" s="430"/>
      <c r="D347" s="430"/>
      <c r="E347" s="430"/>
      <c r="F347" s="430"/>
      <c r="G347" s="430"/>
      <c r="H347" s="461"/>
      <c r="I347" s="438"/>
      <c r="J347" s="438"/>
      <c r="K347" s="438"/>
      <c r="L347" s="430"/>
      <c r="M347" s="430"/>
      <c r="N347" s="461"/>
      <c r="O347" s="461"/>
      <c r="P347" s="430"/>
      <c r="Q347" s="430"/>
      <c r="R347" s="430"/>
      <c r="S347" s="430"/>
      <c r="T347" s="430"/>
      <c r="U347" s="430"/>
      <c r="V347" s="430"/>
      <c r="W347" s="430"/>
      <c r="X347" s="449"/>
      <c r="Y347" s="449"/>
      <c r="Z347" s="450"/>
      <c r="AA347" s="449"/>
      <c r="AB347" s="451"/>
      <c r="AC347" s="450"/>
      <c r="AD347" s="449"/>
      <c r="AE347" s="451"/>
      <c r="AF347" s="450"/>
      <c r="AG347" s="449"/>
      <c r="AH347" s="451"/>
      <c r="AI347" s="450"/>
      <c r="AJ347" s="449"/>
      <c r="AK347" s="451"/>
      <c r="AL347" s="450"/>
      <c r="AM347" s="449"/>
      <c r="AN347" s="451"/>
      <c r="AO347" s="450"/>
      <c r="AP347" s="449"/>
      <c r="AQ347" s="451"/>
      <c r="AR347" s="449"/>
      <c r="AS347" s="449"/>
      <c r="AT347" s="451"/>
      <c r="AU347" s="449"/>
      <c r="AV347" s="451"/>
      <c r="AW347" s="449"/>
      <c r="AX347" s="449"/>
      <c r="AY347" s="449"/>
      <c r="AZ347" s="449"/>
      <c r="BA347" s="449"/>
      <c r="BB347" s="449"/>
      <c r="BC347" s="449"/>
      <c r="BD347" s="449"/>
      <c r="BE347" s="449"/>
      <c r="BF347" s="449"/>
      <c r="BG347" s="449"/>
      <c r="BH347" s="449"/>
      <c r="BI347" s="449"/>
      <c r="BJ347" s="449"/>
      <c r="BK347" s="449"/>
      <c r="BL347" s="449"/>
      <c r="BM347" s="449"/>
      <c r="BN347" s="449"/>
    </row>
    <row r="348" spans="1:66" ht="13.15" x14ac:dyDescent="0.4">
      <c r="A348" s="430"/>
      <c r="B348" s="430"/>
      <c r="C348" s="430"/>
      <c r="D348" s="430"/>
      <c r="E348" s="430"/>
      <c r="F348" s="430"/>
      <c r="G348" s="430"/>
      <c r="H348" s="461"/>
      <c r="I348" s="438"/>
      <c r="J348" s="438"/>
      <c r="K348" s="438"/>
      <c r="L348" s="430"/>
      <c r="M348" s="430"/>
      <c r="N348" s="461"/>
      <c r="O348" s="461"/>
      <c r="P348" s="430"/>
      <c r="Q348" s="430"/>
      <c r="R348" s="430"/>
      <c r="S348" s="430"/>
      <c r="T348" s="430"/>
      <c r="U348" s="430"/>
      <c r="V348" s="430"/>
      <c r="W348" s="430"/>
      <c r="X348" s="449"/>
      <c r="Y348" s="449"/>
      <c r="Z348" s="450"/>
      <c r="AA348" s="449"/>
      <c r="AB348" s="451"/>
      <c r="AC348" s="450"/>
      <c r="AD348" s="449"/>
      <c r="AE348" s="451"/>
      <c r="AF348" s="450"/>
      <c r="AG348" s="449"/>
      <c r="AH348" s="451"/>
      <c r="AI348" s="450"/>
      <c r="AJ348" s="449"/>
      <c r="AK348" s="451"/>
      <c r="AL348" s="450"/>
      <c r="AM348" s="449"/>
      <c r="AN348" s="451"/>
      <c r="AO348" s="450"/>
      <c r="AP348" s="449"/>
      <c r="AQ348" s="451"/>
      <c r="AR348" s="449"/>
      <c r="AS348" s="449"/>
      <c r="AT348" s="451"/>
      <c r="AU348" s="449"/>
      <c r="AV348" s="451"/>
      <c r="AW348" s="449"/>
      <c r="AX348" s="449"/>
      <c r="AY348" s="449"/>
      <c r="AZ348" s="449"/>
      <c r="BA348" s="449"/>
      <c r="BB348" s="449"/>
      <c r="BC348" s="449"/>
      <c r="BD348" s="449"/>
      <c r="BE348" s="449"/>
      <c r="BF348" s="449"/>
      <c r="BG348" s="449"/>
      <c r="BH348" s="449"/>
      <c r="BI348" s="449"/>
      <c r="BJ348" s="449"/>
      <c r="BK348" s="449"/>
      <c r="BL348" s="449"/>
      <c r="BM348" s="449"/>
      <c r="BN348" s="449"/>
    </row>
    <row r="349" spans="1:66" ht="13.15" x14ac:dyDescent="0.4">
      <c r="A349" s="430"/>
      <c r="B349" s="430"/>
      <c r="C349" s="430"/>
      <c r="D349" s="430"/>
      <c r="E349" s="430"/>
      <c r="F349" s="430"/>
      <c r="G349" s="430"/>
      <c r="H349" s="461"/>
      <c r="I349" s="438"/>
      <c r="J349" s="438"/>
      <c r="K349" s="438"/>
      <c r="L349" s="430"/>
      <c r="M349" s="430"/>
      <c r="N349" s="461"/>
      <c r="O349" s="461"/>
      <c r="P349" s="430"/>
      <c r="Q349" s="430"/>
      <c r="R349" s="430"/>
      <c r="S349" s="430"/>
      <c r="T349" s="430"/>
      <c r="U349" s="430"/>
      <c r="V349" s="430"/>
      <c r="W349" s="430"/>
      <c r="X349" s="449"/>
      <c r="Y349" s="449"/>
      <c r="Z349" s="450"/>
      <c r="AA349" s="449"/>
      <c r="AB349" s="451"/>
      <c r="AC349" s="450"/>
      <c r="AD349" s="449"/>
      <c r="AE349" s="451"/>
      <c r="AF349" s="450"/>
      <c r="AG349" s="449"/>
      <c r="AH349" s="451"/>
      <c r="AI349" s="450"/>
      <c r="AJ349" s="449"/>
      <c r="AK349" s="451"/>
      <c r="AL349" s="450"/>
      <c r="AM349" s="449"/>
      <c r="AN349" s="451"/>
      <c r="AO349" s="450"/>
      <c r="AP349" s="449"/>
      <c r="AQ349" s="451"/>
      <c r="AR349" s="449"/>
      <c r="AS349" s="449"/>
      <c r="AT349" s="451"/>
      <c r="AU349" s="449"/>
      <c r="AV349" s="451"/>
      <c r="AW349" s="449"/>
      <c r="AX349" s="449"/>
      <c r="AY349" s="449"/>
      <c r="AZ349" s="449"/>
      <c r="BA349" s="449"/>
      <c r="BB349" s="449"/>
      <c r="BC349" s="449"/>
      <c r="BD349" s="449"/>
      <c r="BE349" s="449"/>
      <c r="BF349" s="449"/>
      <c r="BG349" s="449"/>
      <c r="BH349" s="449"/>
      <c r="BI349" s="449"/>
      <c r="BJ349" s="449"/>
      <c r="BK349" s="449"/>
      <c r="BL349" s="449"/>
      <c r="BM349" s="449"/>
      <c r="BN349" s="449"/>
    </row>
    <row r="350" spans="1:66" ht="13.15" x14ac:dyDescent="0.4">
      <c r="A350" s="430"/>
      <c r="B350" s="430"/>
      <c r="C350" s="430"/>
      <c r="D350" s="430"/>
      <c r="E350" s="430"/>
      <c r="F350" s="430"/>
      <c r="G350" s="430"/>
      <c r="H350" s="461"/>
      <c r="I350" s="438"/>
      <c r="J350" s="438"/>
      <c r="K350" s="438"/>
      <c r="L350" s="430"/>
      <c r="M350" s="430"/>
      <c r="N350" s="461"/>
      <c r="O350" s="461"/>
      <c r="P350" s="430"/>
      <c r="Q350" s="430"/>
      <c r="R350" s="430"/>
      <c r="S350" s="430"/>
      <c r="T350" s="430"/>
      <c r="U350" s="430"/>
      <c r="V350" s="430"/>
      <c r="W350" s="430"/>
      <c r="X350" s="449"/>
      <c r="Y350" s="449"/>
      <c r="Z350" s="450"/>
      <c r="AA350" s="449"/>
      <c r="AB350" s="451"/>
      <c r="AC350" s="450"/>
      <c r="AD350" s="449"/>
      <c r="AE350" s="451"/>
      <c r="AF350" s="450"/>
      <c r="AG350" s="449"/>
      <c r="AH350" s="451"/>
      <c r="AI350" s="450"/>
      <c r="AJ350" s="449"/>
      <c r="AK350" s="451"/>
      <c r="AL350" s="450"/>
      <c r="AM350" s="449"/>
      <c r="AN350" s="451"/>
      <c r="AO350" s="450"/>
      <c r="AP350" s="449"/>
      <c r="AQ350" s="451"/>
      <c r="AR350" s="449"/>
      <c r="AS350" s="449"/>
      <c r="AT350" s="451"/>
      <c r="AU350" s="449"/>
      <c r="AV350" s="451"/>
      <c r="AW350" s="449"/>
      <c r="AX350" s="449"/>
      <c r="AY350" s="449"/>
      <c r="AZ350" s="449"/>
      <c r="BA350" s="449"/>
      <c r="BB350" s="449"/>
      <c r="BC350" s="449"/>
      <c r="BD350" s="449"/>
      <c r="BE350" s="449"/>
      <c r="BF350" s="449"/>
      <c r="BG350" s="449"/>
      <c r="BH350" s="449"/>
      <c r="BI350" s="449"/>
      <c r="BJ350" s="449"/>
      <c r="BK350" s="449"/>
      <c r="BL350" s="449"/>
      <c r="BM350" s="449"/>
      <c r="BN350" s="449"/>
    </row>
    <row r="351" spans="1:66" ht="13.15" x14ac:dyDescent="0.4">
      <c r="A351" s="430"/>
      <c r="B351" s="430"/>
      <c r="C351" s="430"/>
      <c r="D351" s="430"/>
      <c r="E351" s="430"/>
      <c r="F351" s="430"/>
      <c r="G351" s="430"/>
      <c r="H351" s="461"/>
      <c r="I351" s="438"/>
      <c r="J351" s="438"/>
      <c r="K351" s="438"/>
      <c r="L351" s="430"/>
      <c r="M351" s="430"/>
      <c r="N351" s="461"/>
      <c r="O351" s="461"/>
      <c r="P351" s="430"/>
      <c r="Q351" s="430"/>
      <c r="R351" s="430"/>
      <c r="S351" s="430"/>
      <c r="T351" s="430"/>
      <c r="U351" s="430"/>
      <c r="V351" s="430"/>
      <c r="W351" s="430"/>
      <c r="X351" s="449"/>
      <c r="Y351" s="449"/>
      <c r="Z351" s="450"/>
      <c r="AA351" s="449"/>
      <c r="AB351" s="451"/>
      <c r="AC351" s="450"/>
      <c r="AD351" s="449"/>
      <c r="AE351" s="451"/>
      <c r="AF351" s="450"/>
      <c r="AG351" s="449"/>
      <c r="AH351" s="451"/>
      <c r="AI351" s="450"/>
      <c r="AJ351" s="449"/>
      <c r="AK351" s="451"/>
      <c r="AL351" s="450"/>
      <c r="AM351" s="449"/>
      <c r="AN351" s="451"/>
      <c r="AO351" s="450"/>
      <c r="AP351" s="449"/>
      <c r="AQ351" s="451"/>
      <c r="AR351" s="449"/>
      <c r="AS351" s="449"/>
      <c r="AT351" s="451"/>
      <c r="AU351" s="449"/>
      <c r="AV351" s="451"/>
      <c r="AW351" s="449"/>
      <c r="AX351" s="449"/>
      <c r="AY351" s="449"/>
      <c r="AZ351" s="449"/>
      <c r="BA351" s="449"/>
      <c r="BB351" s="449"/>
      <c r="BC351" s="449"/>
      <c r="BD351" s="449"/>
      <c r="BE351" s="449"/>
      <c r="BF351" s="449"/>
      <c r="BG351" s="449"/>
      <c r="BH351" s="449"/>
      <c r="BI351" s="449"/>
      <c r="BJ351" s="449"/>
      <c r="BK351" s="449"/>
      <c r="BL351" s="449"/>
      <c r="BM351" s="449"/>
      <c r="BN351" s="449"/>
    </row>
    <row r="352" spans="1:66" ht="13.15" x14ac:dyDescent="0.4">
      <c r="A352" s="430"/>
      <c r="B352" s="430"/>
      <c r="C352" s="430"/>
      <c r="D352" s="430"/>
      <c r="E352" s="430"/>
      <c r="F352" s="430"/>
      <c r="G352" s="430"/>
      <c r="H352" s="461"/>
      <c r="I352" s="438"/>
      <c r="J352" s="438"/>
      <c r="K352" s="438"/>
      <c r="L352" s="430"/>
      <c r="M352" s="430"/>
      <c r="N352" s="461"/>
      <c r="O352" s="461"/>
      <c r="P352" s="430"/>
      <c r="Q352" s="430"/>
      <c r="R352" s="430"/>
      <c r="S352" s="430"/>
      <c r="T352" s="430"/>
      <c r="U352" s="430"/>
      <c r="V352" s="430"/>
      <c r="W352" s="430"/>
      <c r="X352" s="449"/>
      <c r="Y352" s="449"/>
      <c r="Z352" s="450"/>
      <c r="AA352" s="449"/>
      <c r="AB352" s="451"/>
      <c r="AC352" s="450"/>
      <c r="AD352" s="449"/>
      <c r="AE352" s="451"/>
      <c r="AF352" s="450"/>
      <c r="AG352" s="449"/>
      <c r="AH352" s="451"/>
      <c r="AI352" s="450"/>
      <c r="AJ352" s="449"/>
      <c r="AK352" s="451"/>
      <c r="AL352" s="450"/>
      <c r="AM352" s="449"/>
      <c r="AN352" s="451"/>
      <c r="AO352" s="450"/>
      <c r="AP352" s="449"/>
      <c r="AQ352" s="451"/>
      <c r="AR352" s="449"/>
      <c r="AS352" s="449"/>
      <c r="AT352" s="451"/>
      <c r="AU352" s="449"/>
      <c r="AV352" s="451"/>
      <c r="AW352" s="449"/>
      <c r="AX352" s="449"/>
      <c r="AY352" s="449"/>
      <c r="AZ352" s="449"/>
      <c r="BA352" s="449"/>
      <c r="BB352" s="449"/>
      <c r="BC352" s="449"/>
      <c r="BD352" s="449"/>
      <c r="BE352" s="449"/>
      <c r="BF352" s="449"/>
      <c r="BG352" s="449"/>
      <c r="BH352" s="449"/>
      <c r="BI352" s="449"/>
      <c r="BJ352" s="449"/>
      <c r="BK352" s="449"/>
      <c r="BL352" s="449"/>
      <c r="BM352" s="449"/>
      <c r="BN352" s="449"/>
    </row>
    <row r="353" spans="1:66" ht="13.15" x14ac:dyDescent="0.4">
      <c r="A353" s="430"/>
      <c r="B353" s="430"/>
      <c r="C353" s="430"/>
      <c r="D353" s="430"/>
      <c r="E353" s="430"/>
      <c r="F353" s="430"/>
      <c r="G353" s="430"/>
      <c r="H353" s="461"/>
      <c r="I353" s="438"/>
      <c r="J353" s="438"/>
      <c r="K353" s="438"/>
      <c r="L353" s="430"/>
      <c r="M353" s="430"/>
      <c r="N353" s="461"/>
      <c r="O353" s="461"/>
      <c r="P353" s="430"/>
      <c r="Q353" s="430"/>
      <c r="R353" s="430"/>
      <c r="S353" s="430"/>
      <c r="T353" s="430"/>
      <c r="U353" s="430"/>
      <c r="V353" s="430"/>
      <c r="W353" s="430"/>
      <c r="X353" s="449"/>
      <c r="Y353" s="449"/>
      <c r="Z353" s="450"/>
      <c r="AA353" s="449"/>
      <c r="AB353" s="451"/>
      <c r="AC353" s="450"/>
      <c r="AD353" s="449"/>
      <c r="AE353" s="451"/>
      <c r="AF353" s="450"/>
      <c r="AG353" s="449"/>
      <c r="AH353" s="451"/>
      <c r="AI353" s="450"/>
      <c r="AJ353" s="449"/>
      <c r="AK353" s="451"/>
      <c r="AL353" s="450"/>
      <c r="AM353" s="449"/>
      <c r="AN353" s="451"/>
      <c r="AO353" s="450"/>
      <c r="AP353" s="449"/>
      <c r="AQ353" s="451"/>
      <c r="AR353" s="449"/>
      <c r="AS353" s="449"/>
      <c r="AT353" s="451"/>
      <c r="AU353" s="449"/>
      <c r="AV353" s="451"/>
      <c r="AW353" s="449"/>
      <c r="AX353" s="449"/>
      <c r="AY353" s="449"/>
      <c r="AZ353" s="449"/>
      <c r="BA353" s="449"/>
      <c r="BB353" s="449"/>
      <c r="BC353" s="449"/>
      <c r="BD353" s="449"/>
      <c r="BE353" s="449"/>
      <c r="BF353" s="449"/>
      <c r="BG353" s="449"/>
      <c r="BH353" s="449"/>
      <c r="BI353" s="449"/>
      <c r="BJ353" s="449"/>
      <c r="BK353" s="449"/>
      <c r="BL353" s="449"/>
      <c r="BM353" s="449"/>
      <c r="BN353" s="449"/>
    </row>
    <row r="354" spans="1:66" ht="13.15" x14ac:dyDescent="0.4">
      <c r="A354" s="430"/>
      <c r="B354" s="430"/>
      <c r="C354" s="430"/>
      <c r="D354" s="430"/>
      <c r="E354" s="430"/>
      <c r="F354" s="430"/>
      <c r="G354" s="430"/>
      <c r="H354" s="461"/>
      <c r="I354" s="438"/>
      <c r="J354" s="438"/>
      <c r="K354" s="438"/>
      <c r="L354" s="430"/>
      <c r="M354" s="430"/>
      <c r="N354" s="461"/>
      <c r="O354" s="461"/>
      <c r="P354" s="430"/>
      <c r="Q354" s="430"/>
      <c r="R354" s="430"/>
      <c r="S354" s="430"/>
      <c r="T354" s="430"/>
      <c r="U354" s="430"/>
      <c r="V354" s="430"/>
      <c r="W354" s="430"/>
      <c r="X354" s="449"/>
      <c r="Y354" s="449"/>
      <c r="Z354" s="450"/>
      <c r="AA354" s="449"/>
      <c r="AB354" s="451"/>
      <c r="AC354" s="450"/>
      <c r="AD354" s="449"/>
      <c r="AE354" s="451"/>
      <c r="AF354" s="450"/>
      <c r="AG354" s="449"/>
      <c r="AH354" s="451"/>
      <c r="AI354" s="450"/>
      <c r="AJ354" s="449"/>
      <c r="AK354" s="451"/>
      <c r="AL354" s="450"/>
      <c r="AM354" s="449"/>
      <c r="AN354" s="451"/>
      <c r="AO354" s="450"/>
      <c r="AP354" s="449"/>
      <c r="AQ354" s="451"/>
      <c r="AR354" s="449"/>
      <c r="AS354" s="449"/>
      <c r="AT354" s="451"/>
      <c r="AU354" s="449"/>
      <c r="AV354" s="451"/>
      <c r="AW354" s="449"/>
      <c r="AX354" s="449"/>
      <c r="AY354" s="449"/>
      <c r="AZ354" s="449"/>
      <c r="BA354" s="449"/>
      <c r="BB354" s="449"/>
      <c r="BC354" s="449"/>
      <c r="BD354" s="449"/>
      <c r="BE354" s="449"/>
      <c r="BF354" s="449"/>
      <c r="BG354" s="449"/>
      <c r="BH354" s="449"/>
      <c r="BI354" s="449"/>
      <c r="BJ354" s="449"/>
      <c r="BK354" s="449"/>
      <c r="BL354" s="449"/>
      <c r="BM354" s="449"/>
      <c r="BN354" s="449"/>
    </row>
    <row r="355" spans="1:66" ht="13.15" x14ac:dyDescent="0.4">
      <c r="A355" s="430"/>
      <c r="B355" s="430"/>
      <c r="C355" s="430"/>
      <c r="D355" s="430"/>
      <c r="E355" s="430"/>
      <c r="F355" s="430"/>
      <c r="G355" s="430"/>
      <c r="H355" s="461"/>
      <c r="I355" s="438"/>
      <c r="J355" s="438"/>
      <c r="K355" s="438"/>
      <c r="L355" s="430"/>
      <c r="M355" s="430"/>
      <c r="N355" s="461"/>
      <c r="O355" s="461"/>
      <c r="P355" s="430"/>
      <c r="Q355" s="430"/>
      <c r="R355" s="430"/>
      <c r="S355" s="430"/>
      <c r="T355" s="430"/>
      <c r="U355" s="430"/>
      <c r="V355" s="430"/>
      <c r="W355" s="430"/>
      <c r="X355" s="449"/>
      <c r="Y355" s="449"/>
      <c r="Z355" s="450"/>
      <c r="AA355" s="449"/>
      <c r="AB355" s="451"/>
      <c r="AC355" s="450"/>
      <c r="AD355" s="449"/>
      <c r="AE355" s="451"/>
      <c r="AF355" s="450"/>
      <c r="AG355" s="449"/>
      <c r="AH355" s="451"/>
      <c r="AI355" s="450"/>
      <c r="AJ355" s="449"/>
      <c r="AK355" s="451"/>
      <c r="AL355" s="450"/>
      <c r="AM355" s="449"/>
      <c r="AN355" s="451"/>
      <c r="AO355" s="450"/>
      <c r="AP355" s="449"/>
      <c r="AQ355" s="451"/>
      <c r="AR355" s="449"/>
      <c r="AS355" s="449"/>
      <c r="AT355" s="451"/>
      <c r="AU355" s="449"/>
      <c r="AV355" s="451"/>
      <c r="AW355" s="449"/>
      <c r="AX355" s="449"/>
      <c r="AY355" s="449"/>
      <c r="AZ355" s="449"/>
      <c r="BA355" s="449"/>
      <c r="BB355" s="449"/>
      <c r="BC355" s="449"/>
      <c r="BD355" s="449"/>
      <c r="BE355" s="449"/>
      <c r="BF355" s="449"/>
      <c r="BG355" s="449"/>
      <c r="BH355" s="449"/>
      <c r="BI355" s="449"/>
      <c r="BJ355" s="449"/>
      <c r="BK355" s="449"/>
      <c r="BL355" s="449"/>
      <c r="BM355" s="449"/>
      <c r="BN355" s="449"/>
    </row>
    <row r="356" spans="1:66" ht="13.15" x14ac:dyDescent="0.4">
      <c r="A356" s="430"/>
      <c r="B356" s="430"/>
      <c r="C356" s="430"/>
      <c r="D356" s="430"/>
      <c r="E356" s="430"/>
      <c r="F356" s="430"/>
      <c r="G356" s="430"/>
      <c r="H356" s="461"/>
      <c r="I356" s="438"/>
      <c r="J356" s="438"/>
      <c r="K356" s="438"/>
      <c r="L356" s="430"/>
      <c r="M356" s="430"/>
      <c r="N356" s="461"/>
      <c r="O356" s="461"/>
      <c r="P356" s="430"/>
      <c r="Q356" s="430"/>
      <c r="R356" s="430"/>
      <c r="S356" s="430"/>
      <c r="T356" s="430"/>
      <c r="U356" s="430"/>
      <c r="V356" s="430"/>
      <c r="W356" s="430"/>
      <c r="X356" s="449"/>
      <c r="Y356" s="449"/>
      <c r="Z356" s="450"/>
      <c r="AA356" s="449"/>
      <c r="AB356" s="451"/>
      <c r="AC356" s="450"/>
      <c r="AD356" s="449"/>
      <c r="AE356" s="451"/>
      <c r="AF356" s="450"/>
      <c r="AG356" s="449"/>
      <c r="AH356" s="451"/>
      <c r="AI356" s="450"/>
      <c r="AJ356" s="449"/>
      <c r="AK356" s="451"/>
      <c r="AL356" s="450"/>
      <c r="AM356" s="449"/>
      <c r="AN356" s="451"/>
      <c r="AO356" s="450"/>
      <c r="AP356" s="449"/>
      <c r="AQ356" s="451"/>
      <c r="AR356" s="449"/>
      <c r="AS356" s="449"/>
      <c r="AT356" s="451"/>
      <c r="AU356" s="449"/>
      <c r="AV356" s="451"/>
      <c r="AW356" s="449"/>
      <c r="AX356" s="449"/>
      <c r="AY356" s="449"/>
      <c r="AZ356" s="449"/>
      <c r="BA356" s="449"/>
      <c r="BB356" s="449"/>
      <c r="BC356" s="449"/>
      <c r="BD356" s="449"/>
      <c r="BE356" s="449"/>
      <c r="BF356" s="449"/>
      <c r="BG356" s="449"/>
      <c r="BH356" s="449"/>
      <c r="BI356" s="449"/>
      <c r="BJ356" s="449"/>
      <c r="BK356" s="449"/>
      <c r="BL356" s="449"/>
      <c r="BM356" s="449"/>
      <c r="BN356" s="449"/>
    </row>
    <row r="357" spans="1:66" ht="13.15" x14ac:dyDescent="0.4">
      <c r="A357" s="430"/>
      <c r="B357" s="430"/>
      <c r="C357" s="430"/>
      <c r="D357" s="430"/>
      <c r="E357" s="430"/>
      <c r="F357" s="430"/>
      <c r="G357" s="430"/>
      <c r="H357" s="461"/>
      <c r="I357" s="438"/>
      <c r="J357" s="438"/>
      <c r="K357" s="438"/>
      <c r="L357" s="430"/>
      <c r="M357" s="430"/>
      <c r="N357" s="461"/>
      <c r="O357" s="461"/>
      <c r="P357" s="430"/>
      <c r="Q357" s="430"/>
      <c r="R357" s="430"/>
      <c r="S357" s="430"/>
      <c r="T357" s="430"/>
      <c r="U357" s="430"/>
      <c r="V357" s="430"/>
      <c r="W357" s="430"/>
      <c r="X357" s="449"/>
      <c r="Y357" s="449"/>
      <c r="Z357" s="450"/>
      <c r="AA357" s="449"/>
      <c r="AB357" s="451"/>
      <c r="AC357" s="450"/>
      <c r="AD357" s="449"/>
      <c r="AE357" s="451"/>
      <c r="AF357" s="450"/>
      <c r="AG357" s="449"/>
      <c r="AH357" s="451"/>
      <c r="AI357" s="450"/>
      <c r="AJ357" s="449"/>
      <c r="AK357" s="451"/>
      <c r="AL357" s="450"/>
      <c r="AM357" s="449"/>
      <c r="AN357" s="451"/>
      <c r="AO357" s="450"/>
      <c r="AP357" s="449"/>
      <c r="AQ357" s="451"/>
      <c r="AR357" s="449"/>
      <c r="AS357" s="449"/>
      <c r="AT357" s="451"/>
      <c r="AU357" s="449"/>
      <c r="AV357" s="451"/>
      <c r="AW357" s="449"/>
      <c r="AX357" s="449"/>
      <c r="AY357" s="449"/>
      <c r="AZ357" s="449"/>
      <c r="BA357" s="449"/>
      <c r="BB357" s="449"/>
      <c r="BC357" s="449"/>
      <c r="BD357" s="449"/>
      <c r="BE357" s="449"/>
      <c r="BF357" s="449"/>
      <c r="BG357" s="449"/>
      <c r="BH357" s="449"/>
      <c r="BI357" s="449"/>
      <c r="BJ357" s="449"/>
      <c r="BK357" s="449"/>
      <c r="BL357" s="449"/>
      <c r="BM357" s="449"/>
      <c r="BN357" s="449"/>
    </row>
    <row r="358" spans="1:66" ht="13.15" x14ac:dyDescent="0.4">
      <c r="A358" s="430"/>
      <c r="B358" s="430"/>
      <c r="C358" s="430"/>
      <c r="D358" s="430"/>
      <c r="E358" s="430"/>
      <c r="F358" s="430"/>
      <c r="G358" s="430"/>
      <c r="H358" s="461"/>
      <c r="I358" s="438"/>
      <c r="J358" s="438"/>
      <c r="K358" s="438"/>
      <c r="L358" s="430"/>
      <c r="M358" s="430"/>
      <c r="N358" s="461"/>
      <c r="O358" s="461"/>
      <c r="P358" s="430"/>
      <c r="Q358" s="430"/>
      <c r="R358" s="430"/>
      <c r="S358" s="430"/>
      <c r="T358" s="430"/>
      <c r="U358" s="430"/>
      <c r="V358" s="430"/>
      <c r="W358" s="430"/>
      <c r="X358" s="449"/>
      <c r="Y358" s="449"/>
      <c r="Z358" s="450"/>
      <c r="AA358" s="449"/>
      <c r="AB358" s="451"/>
      <c r="AC358" s="450"/>
      <c r="AD358" s="449"/>
      <c r="AE358" s="451"/>
      <c r="AF358" s="450"/>
      <c r="AG358" s="449"/>
      <c r="AH358" s="451"/>
      <c r="AI358" s="450"/>
      <c r="AJ358" s="449"/>
      <c r="AK358" s="451"/>
      <c r="AL358" s="450"/>
      <c r="AM358" s="449"/>
      <c r="AN358" s="451"/>
      <c r="AO358" s="450"/>
      <c r="AP358" s="449"/>
      <c r="AQ358" s="451"/>
      <c r="AR358" s="449"/>
      <c r="AS358" s="449"/>
      <c r="AT358" s="451"/>
      <c r="AU358" s="449"/>
      <c r="AV358" s="451"/>
      <c r="AW358" s="449"/>
      <c r="AX358" s="449"/>
      <c r="AY358" s="449"/>
      <c r="AZ358" s="449"/>
      <c r="BA358" s="449"/>
      <c r="BB358" s="449"/>
      <c r="BC358" s="449"/>
      <c r="BD358" s="449"/>
      <c r="BE358" s="449"/>
      <c r="BF358" s="449"/>
      <c r="BG358" s="449"/>
      <c r="BH358" s="449"/>
      <c r="BI358" s="449"/>
      <c r="BJ358" s="449"/>
      <c r="BK358" s="449"/>
      <c r="BL358" s="449"/>
      <c r="BM358" s="449"/>
      <c r="BN358" s="449"/>
    </row>
    <row r="359" spans="1:66" ht="13.15" x14ac:dyDescent="0.4">
      <c r="A359" s="430"/>
      <c r="B359" s="430"/>
      <c r="C359" s="430"/>
      <c r="D359" s="430"/>
      <c r="E359" s="430"/>
      <c r="F359" s="430"/>
      <c r="G359" s="430"/>
      <c r="H359" s="461"/>
      <c r="I359" s="438"/>
      <c r="J359" s="438"/>
      <c r="K359" s="438"/>
      <c r="L359" s="430"/>
      <c r="M359" s="430"/>
      <c r="N359" s="461"/>
      <c r="O359" s="461"/>
      <c r="P359" s="430"/>
      <c r="Q359" s="430"/>
      <c r="R359" s="430"/>
      <c r="S359" s="430"/>
      <c r="T359" s="430"/>
      <c r="U359" s="430"/>
      <c r="V359" s="430"/>
      <c r="W359" s="430"/>
      <c r="X359" s="449"/>
      <c r="Y359" s="449"/>
      <c r="Z359" s="450"/>
      <c r="AA359" s="449"/>
      <c r="AB359" s="451"/>
      <c r="AC359" s="450"/>
      <c r="AD359" s="449"/>
      <c r="AE359" s="451"/>
      <c r="AF359" s="450"/>
      <c r="AG359" s="449"/>
      <c r="AH359" s="451"/>
      <c r="AI359" s="450"/>
      <c r="AJ359" s="449"/>
      <c r="AK359" s="451"/>
      <c r="AL359" s="450"/>
      <c r="AM359" s="449"/>
      <c r="AN359" s="451"/>
      <c r="AO359" s="450"/>
      <c r="AP359" s="449"/>
      <c r="AQ359" s="451"/>
      <c r="AR359" s="449"/>
      <c r="AS359" s="449"/>
      <c r="AT359" s="451"/>
      <c r="AU359" s="449"/>
      <c r="AV359" s="451"/>
      <c r="AW359" s="449"/>
      <c r="AX359" s="449"/>
      <c r="AY359" s="449"/>
      <c r="AZ359" s="449"/>
      <c r="BA359" s="449"/>
      <c r="BB359" s="449"/>
      <c r="BC359" s="449"/>
      <c r="BD359" s="449"/>
      <c r="BE359" s="449"/>
      <c r="BF359" s="449"/>
      <c r="BG359" s="449"/>
      <c r="BH359" s="449"/>
      <c r="BI359" s="449"/>
      <c r="BJ359" s="449"/>
      <c r="BK359" s="449"/>
      <c r="BL359" s="449"/>
      <c r="BM359" s="449"/>
      <c r="BN359" s="449"/>
    </row>
    <row r="360" spans="1:66" ht="13.15" x14ac:dyDescent="0.4">
      <c r="A360" s="430"/>
      <c r="B360" s="430"/>
      <c r="C360" s="430"/>
      <c r="D360" s="430"/>
      <c r="E360" s="430"/>
      <c r="F360" s="430"/>
      <c r="G360" s="430"/>
      <c r="H360" s="461"/>
      <c r="I360" s="438"/>
      <c r="J360" s="438"/>
      <c r="K360" s="438"/>
      <c r="L360" s="430"/>
      <c r="M360" s="430"/>
      <c r="N360" s="461"/>
      <c r="O360" s="461"/>
      <c r="P360" s="430"/>
      <c r="Q360" s="430"/>
      <c r="R360" s="430"/>
      <c r="S360" s="430"/>
      <c r="T360" s="430"/>
      <c r="U360" s="430"/>
      <c r="V360" s="430"/>
      <c r="W360" s="430"/>
      <c r="X360" s="449"/>
      <c r="Y360" s="449"/>
      <c r="Z360" s="450"/>
      <c r="AA360" s="449"/>
      <c r="AB360" s="451"/>
      <c r="AC360" s="450"/>
      <c r="AD360" s="449"/>
      <c r="AE360" s="451"/>
      <c r="AF360" s="450"/>
      <c r="AG360" s="449"/>
      <c r="AH360" s="451"/>
      <c r="AI360" s="450"/>
      <c r="AJ360" s="449"/>
      <c r="AK360" s="451"/>
      <c r="AL360" s="450"/>
      <c r="AM360" s="449"/>
      <c r="AN360" s="451"/>
      <c r="AO360" s="450"/>
      <c r="AP360" s="449"/>
      <c r="AQ360" s="451"/>
      <c r="AR360" s="449"/>
      <c r="AS360" s="449"/>
      <c r="AT360" s="451"/>
      <c r="AU360" s="449"/>
      <c r="AV360" s="451"/>
      <c r="AW360" s="449"/>
      <c r="AX360" s="449"/>
      <c r="AY360" s="449"/>
      <c r="AZ360" s="449"/>
      <c r="BA360" s="449"/>
      <c r="BB360" s="449"/>
      <c r="BC360" s="449"/>
      <c r="BD360" s="449"/>
      <c r="BE360" s="449"/>
      <c r="BF360" s="449"/>
      <c r="BG360" s="449"/>
      <c r="BH360" s="449"/>
      <c r="BI360" s="449"/>
      <c r="BJ360" s="449"/>
      <c r="BK360" s="449"/>
      <c r="BL360" s="449"/>
      <c r="BM360" s="449"/>
      <c r="BN360" s="449"/>
    </row>
    <row r="361" spans="1:66" ht="13.15" x14ac:dyDescent="0.4">
      <c r="A361" s="430"/>
      <c r="B361" s="430"/>
      <c r="C361" s="430"/>
      <c r="D361" s="430"/>
      <c r="E361" s="430"/>
      <c r="F361" s="430"/>
      <c r="G361" s="430"/>
      <c r="H361" s="461"/>
      <c r="I361" s="438"/>
      <c r="J361" s="438"/>
      <c r="K361" s="438"/>
      <c r="L361" s="430"/>
      <c r="M361" s="430"/>
      <c r="N361" s="461"/>
      <c r="O361" s="461"/>
      <c r="P361" s="430"/>
      <c r="Q361" s="430"/>
      <c r="R361" s="430"/>
      <c r="S361" s="430"/>
      <c r="T361" s="430"/>
      <c r="U361" s="430"/>
      <c r="V361" s="430"/>
      <c r="W361" s="430"/>
      <c r="X361" s="449"/>
      <c r="Y361" s="449"/>
      <c r="Z361" s="450"/>
      <c r="AA361" s="449"/>
      <c r="AB361" s="451"/>
      <c r="AC361" s="450"/>
      <c r="AD361" s="449"/>
      <c r="AE361" s="451"/>
      <c r="AF361" s="450"/>
      <c r="AG361" s="449"/>
      <c r="AH361" s="451"/>
      <c r="AI361" s="450"/>
      <c r="AJ361" s="449"/>
      <c r="AK361" s="451"/>
      <c r="AL361" s="450"/>
      <c r="AM361" s="449"/>
      <c r="AN361" s="451"/>
      <c r="AO361" s="450"/>
      <c r="AP361" s="449"/>
      <c r="AQ361" s="451"/>
      <c r="AR361" s="449"/>
      <c r="AS361" s="449"/>
      <c r="AT361" s="451"/>
      <c r="AU361" s="449"/>
      <c r="AV361" s="451"/>
      <c r="AW361" s="449"/>
      <c r="AX361" s="449"/>
      <c r="AY361" s="449"/>
      <c r="AZ361" s="449"/>
      <c r="BA361" s="449"/>
      <c r="BB361" s="449"/>
      <c r="BC361" s="449"/>
      <c r="BD361" s="449"/>
      <c r="BE361" s="449"/>
      <c r="BF361" s="449"/>
      <c r="BG361" s="449"/>
      <c r="BH361" s="449"/>
      <c r="BI361" s="449"/>
      <c r="BJ361" s="449"/>
      <c r="BK361" s="449"/>
      <c r="BL361" s="449"/>
      <c r="BM361" s="449"/>
      <c r="BN361" s="449"/>
    </row>
    <row r="362" spans="1:66" ht="13.15" x14ac:dyDescent="0.4">
      <c r="A362" s="430"/>
      <c r="B362" s="430"/>
      <c r="C362" s="430"/>
      <c r="D362" s="430"/>
      <c r="E362" s="430"/>
      <c r="F362" s="430"/>
      <c r="G362" s="430"/>
      <c r="H362" s="461"/>
      <c r="I362" s="438"/>
      <c r="J362" s="438"/>
      <c r="K362" s="438"/>
      <c r="L362" s="430"/>
      <c r="M362" s="430"/>
      <c r="N362" s="461"/>
      <c r="O362" s="461"/>
      <c r="P362" s="430"/>
      <c r="Q362" s="430"/>
      <c r="R362" s="430"/>
      <c r="S362" s="430"/>
      <c r="T362" s="430"/>
      <c r="U362" s="430"/>
      <c r="V362" s="430"/>
      <c r="W362" s="430"/>
      <c r="X362" s="449"/>
      <c r="Y362" s="449"/>
      <c r="Z362" s="450"/>
      <c r="AA362" s="449"/>
      <c r="AB362" s="451"/>
      <c r="AC362" s="450"/>
      <c r="AD362" s="449"/>
      <c r="AE362" s="451"/>
      <c r="AF362" s="450"/>
      <c r="AG362" s="449"/>
      <c r="AH362" s="451"/>
      <c r="AI362" s="450"/>
      <c r="AJ362" s="449"/>
      <c r="AK362" s="451"/>
      <c r="AL362" s="450"/>
      <c r="AM362" s="449"/>
      <c r="AN362" s="451"/>
      <c r="AO362" s="450"/>
      <c r="AP362" s="449"/>
      <c r="AQ362" s="451"/>
      <c r="AR362" s="449"/>
      <c r="AS362" s="449"/>
      <c r="AT362" s="451"/>
      <c r="AU362" s="449"/>
      <c r="AV362" s="451"/>
      <c r="AW362" s="449"/>
      <c r="AX362" s="449"/>
      <c r="AY362" s="449"/>
      <c r="AZ362" s="449"/>
      <c r="BA362" s="449"/>
      <c r="BB362" s="449"/>
      <c r="BC362" s="449"/>
      <c r="BD362" s="449"/>
      <c r="BE362" s="449"/>
      <c r="BF362" s="449"/>
      <c r="BG362" s="449"/>
      <c r="BH362" s="449"/>
      <c r="BI362" s="449"/>
      <c r="BJ362" s="449"/>
      <c r="BK362" s="449"/>
      <c r="BL362" s="449"/>
      <c r="BM362" s="449"/>
      <c r="BN362" s="449"/>
    </row>
    <row r="363" spans="1:66" ht="13.15" x14ac:dyDescent="0.4">
      <c r="A363" s="430"/>
      <c r="B363" s="430"/>
      <c r="C363" s="430"/>
      <c r="D363" s="430"/>
      <c r="E363" s="430"/>
      <c r="F363" s="430"/>
      <c r="G363" s="430"/>
      <c r="H363" s="461"/>
      <c r="I363" s="438"/>
      <c r="J363" s="438"/>
      <c r="K363" s="438"/>
      <c r="L363" s="430"/>
      <c r="M363" s="430"/>
      <c r="N363" s="461"/>
      <c r="O363" s="461"/>
      <c r="P363" s="430"/>
      <c r="Q363" s="430"/>
      <c r="R363" s="430"/>
      <c r="S363" s="430"/>
      <c r="T363" s="430"/>
      <c r="U363" s="430"/>
      <c r="V363" s="430"/>
      <c r="W363" s="430"/>
      <c r="X363" s="449"/>
      <c r="Y363" s="449"/>
      <c r="Z363" s="450"/>
      <c r="AA363" s="449"/>
      <c r="AB363" s="451"/>
      <c r="AC363" s="450"/>
      <c r="AD363" s="449"/>
      <c r="AE363" s="451"/>
      <c r="AF363" s="450"/>
      <c r="AG363" s="449"/>
      <c r="AH363" s="451"/>
      <c r="AI363" s="450"/>
      <c r="AJ363" s="449"/>
      <c r="AK363" s="451"/>
      <c r="AL363" s="450"/>
      <c r="AM363" s="449"/>
      <c r="AN363" s="451"/>
      <c r="AO363" s="450"/>
      <c r="AP363" s="449"/>
      <c r="AQ363" s="451"/>
      <c r="AR363" s="449"/>
      <c r="AS363" s="449"/>
      <c r="AT363" s="451"/>
      <c r="AU363" s="449"/>
      <c r="AV363" s="451"/>
      <c r="AW363" s="449"/>
      <c r="AX363" s="449"/>
      <c r="AY363" s="449"/>
      <c r="AZ363" s="449"/>
      <c r="BA363" s="449"/>
      <c r="BB363" s="449"/>
      <c r="BC363" s="449"/>
      <c r="BD363" s="449"/>
      <c r="BE363" s="449"/>
      <c r="BF363" s="449"/>
      <c r="BG363" s="449"/>
      <c r="BH363" s="449"/>
      <c r="BI363" s="449"/>
      <c r="BJ363" s="449"/>
      <c r="BK363" s="449"/>
      <c r="BL363" s="449"/>
      <c r="BM363" s="449"/>
      <c r="BN363" s="449"/>
    </row>
    <row r="364" spans="1:66" ht="13.15" x14ac:dyDescent="0.4">
      <c r="A364" s="430"/>
      <c r="B364" s="430"/>
      <c r="C364" s="430"/>
      <c r="D364" s="430"/>
      <c r="E364" s="430"/>
      <c r="F364" s="430"/>
      <c r="G364" s="430"/>
      <c r="H364" s="461"/>
      <c r="I364" s="438"/>
      <c r="J364" s="438"/>
      <c r="K364" s="438"/>
      <c r="L364" s="430"/>
      <c r="M364" s="430"/>
      <c r="N364" s="461"/>
      <c r="O364" s="461"/>
      <c r="P364" s="430"/>
      <c r="Q364" s="430"/>
      <c r="R364" s="430"/>
      <c r="S364" s="430"/>
      <c r="T364" s="430"/>
      <c r="U364" s="430"/>
      <c r="V364" s="430"/>
      <c r="W364" s="430"/>
      <c r="X364" s="449"/>
      <c r="Y364" s="449"/>
      <c r="Z364" s="450"/>
      <c r="AA364" s="449"/>
      <c r="AB364" s="451"/>
      <c r="AC364" s="450"/>
      <c r="AD364" s="449"/>
      <c r="AE364" s="451"/>
      <c r="AF364" s="450"/>
      <c r="AG364" s="449"/>
      <c r="AH364" s="451"/>
      <c r="AI364" s="450"/>
      <c r="AJ364" s="449"/>
      <c r="AK364" s="451"/>
      <c r="AL364" s="450"/>
      <c r="AM364" s="449"/>
      <c r="AN364" s="451"/>
      <c r="AO364" s="450"/>
      <c r="AP364" s="449"/>
      <c r="AQ364" s="451"/>
      <c r="AR364" s="449"/>
      <c r="AS364" s="449"/>
      <c r="AT364" s="451"/>
      <c r="AU364" s="449"/>
      <c r="AV364" s="451"/>
      <c r="AW364" s="449"/>
      <c r="AX364" s="449"/>
      <c r="AY364" s="449"/>
      <c r="AZ364" s="449"/>
      <c r="BA364" s="449"/>
      <c r="BB364" s="449"/>
      <c r="BC364" s="449"/>
      <c r="BD364" s="449"/>
      <c r="BE364" s="449"/>
      <c r="BF364" s="449"/>
      <c r="BG364" s="449"/>
      <c r="BH364" s="449"/>
      <c r="BI364" s="449"/>
      <c r="BJ364" s="449"/>
      <c r="BK364" s="449"/>
      <c r="BL364" s="449"/>
      <c r="BM364" s="449"/>
      <c r="BN364" s="449"/>
    </row>
    <row r="365" spans="1:66" ht="13.15" x14ac:dyDescent="0.4">
      <c r="A365" s="430"/>
      <c r="B365" s="430"/>
      <c r="C365" s="430"/>
      <c r="D365" s="430"/>
      <c r="E365" s="430"/>
      <c r="F365" s="430"/>
      <c r="G365" s="430"/>
      <c r="H365" s="461"/>
      <c r="I365" s="438"/>
      <c r="J365" s="438"/>
      <c r="K365" s="438"/>
      <c r="L365" s="430"/>
      <c r="M365" s="430"/>
      <c r="N365" s="461"/>
      <c r="O365" s="461"/>
      <c r="P365" s="430"/>
      <c r="Q365" s="430"/>
      <c r="R365" s="430"/>
      <c r="S365" s="430"/>
      <c r="T365" s="430"/>
      <c r="U365" s="430"/>
      <c r="V365" s="430"/>
      <c r="W365" s="430"/>
      <c r="X365" s="449"/>
      <c r="Y365" s="449"/>
      <c r="Z365" s="450"/>
      <c r="AA365" s="449"/>
      <c r="AB365" s="451"/>
      <c r="AC365" s="450"/>
      <c r="AD365" s="449"/>
      <c r="AE365" s="451"/>
      <c r="AF365" s="450"/>
      <c r="AG365" s="449"/>
      <c r="AH365" s="451"/>
      <c r="AI365" s="450"/>
      <c r="AJ365" s="449"/>
      <c r="AK365" s="451"/>
      <c r="AL365" s="450"/>
      <c r="AM365" s="449"/>
      <c r="AN365" s="451"/>
      <c r="AO365" s="450"/>
      <c r="AP365" s="449"/>
      <c r="AQ365" s="451"/>
      <c r="AR365" s="449"/>
      <c r="AS365" s="449"/>
      <c r="AT365" s="451"/>
      <c r="AU365" s="449"/>
      <c r="AV365" s="451"/>
      <c r="AW365" s="449"/>
      <c r="AX365" s="449"/>
      <c r="AY365" s="449"/>
      <c r="AZ365" s="449"/>
      <c r="BA365" s="449"/>
      <c r="BB365" s="449"/>
      <c r="BC365" s="449"/>
      <c r="BD365" s="449"/>
      <c r="BE365" s="449"/>
      <c r="BF365" s="449"/>
      <c r="BG365" s="449"/>
      <c r="BH365" s="449"/>
      <c r="BI365" s="449"/>
      <c r="BJ365" s="449"/>
      <c r="BK365" s="449"/>
      <c r="BL365" s="449"/>
      <c r="BM365" s="449"/>
      <c r="BN365" s="449"/>
    </row>
    <row r="366" spans="1:66" ht="13.15" x14ac:dyDescent="0.4">
      <c r="A366" s="430"/>
      <c r="B366" s="430"/>
      <c r="C366" s="430"/>
      <c r="D366" s="430"/>
      <c r="E366" s="430"/>
      <c r="F366" s="430"/>
      <c r="G366" s="430"/>
      <c r="H366" s="461"/>
      <c r="I366" s="438"/>
      <c r="J366" s="438"/>
      <c r="K366" s="438"/>
      <c r="L366" s="430"/>
      <c r="M366" s="430"/>
      <c r="N366" s="461"/>
      <c r="O366" s="461"/>
      <c r="P366" s="430"/>
      <c r="Q366" s="430"/>
      <c r="R366" s="430"/>
      <c r="S366" s="430"/>
      <c r="T366" s="430"/>
      <c r="U366" s="430"/>
      <c r="V366" s="430"/>
      <c r="W366" s="430"/>
      <c r="X366" s="449"/>
      <c r="Y366" s="449"/>
      <c r="Z366" s="450"/>
      <c r="AA366" s="449"/>
      <c r="AB366" s="451"/>
      <c r="AC366" s="450"/>
      <c r="AD366" s="449"/>
      <c r="AE366" s="451"/>
      <c r="AF366" s="450"/>
      <c r="AG366" s="449"/>
      <c r="AH366" s="451"/>
      <c r="AI366" s="450"/>
      <c r="AJ366" s="449"/>
      <c r="AK366" s="451"/>
      <c r="AL366" s="450"/>
      <c r="AM366" s="449"/>
      <c r="AN366" s="451"/>
      <c r="AO366" s="450"/>
      <c r="AP366" s="449"/>
      <c r="AQ366" s="451"/>
      <c r="AR366" s="449"/>
      <c r="AS366" s="449"/>
      <c r="AT366" s="451"/>
      <c r="AU366" s="449"/>
      <c r="AV366" s="451"/>
      <c r="AW366" s="449"/>
      <c r="AX366" s="449"/>
      <c r="AY366" s="449"/>
      <c r="AZ366" s="449"/>
      <c r="BA366" s="449"/>
      <c r="BB366" s="449"/>
      <c r="BC366" s="449"/>
      <c r="BD366" s="449"/>
      <c r="BE366" s="449"/>
      <c r="BF366" s="449"/>
      <c r="BG366" s="449"/>
      <c r="BH366" s="449"/>
      <c r="BI366" s="449"/>
      <c r="BJ366" s="449"/>
      <c r="BK366" s="449"/>
      <c r="BL366" s="449"/>
      <c r="BM366" s="449"/>
      <c r="BN366" s="449"/>
    </row>
    <row r="367" spans="1:66" ht="13.15" x14ac:dyDescent="0.4">
      <c r="A367" s="430"/>
      <c r="B367" s="430"/>
      <c r="C367" s="430"/>
      <c r="D367" s="430"/>
      <c r="E367" s="430"/>
      <c r="F367" s="430"/>
      <c r="G367" s="430"/>
      <c r="H367" s="461"/>
      <c r="I367" s="438"/>
      <c r="J367" s="438"/>
      <c r="K367" s="438"/>
      <c r="L367" s="430"/>
      <c r="M367" s="430"/>
      <c r="N367" s="461"/>
      <c r="O367" s="461"/>
      <c r="P367" s="430"/>
      <c r="Q367" s="430"/>
      <c r="R367" s="430"/>
      <c r="S367" s="430"/>
      <c r="T367" s="430"/>
      <c r="U367" s="430"/>
      <c r="V367" s="430"/>
      <c r="W367" s="430"/>
      <c r="X367" s="449"/>
      <c r="Y367" s="449"/>
      <c r="Z367" s="450"/>
      <c r="AA367" s="449"/>
      <c r="AB367" s="451"/>
      <c r="AC367" s="450"/>
      <c r="AD367" s="449"/>
      <c r="AE367" s="451"/>
      <c r="AF367" s="450"/>
      <c r="AG367" s="449"/>
      <c r="AH367" s="451"/>
      <c r="AI367" s="450"/>
      <c r="AJ367" s="449"/>
      <c r="AK367" s="451"/>
      <c r="AL367" s="450"/>
      <c r="AM367" s="449"/>
      <c r="AN367" s="451"/>
      <c r="AO367" s="450"/>
      <c r="AP367" s="449"/>
      <c r="AQ367" s="451"/>
      <c r="AR367" s="449"/>
      <c r="AS367" s="449"/>
      <c r="AT367" s="451"/>
      <c r="AU367" s="449"/>
      <c r="AV367" s="451"/>
      <c r="AW367" s="449"/>
      <c r="AX367" s="449"/>
      <c r="AY367" s="449"/>
      <c r="AZ367" s="449"/>
      <c r="BA367" s="449"/>
      <c r="BB367" s="449"/>
      <c r="BC367" s="449"/>
      <c r="BD367" s="449"/>
      <c r="BE367" s="449"/>
      <c r="BF367" s="449"/>
      <c r="BG367" s="449"/>
      <c r="BH367" s="449"/>
      <c r="BI367" s="449"/>
      <c r="BJ367" s="449"/>
      <c r="BK367" s="449"/>
      <c r="BL367" s="449"/>
      <c r="BM367" s="449"/>
      <c r="BN367" s="449"/>
    </row>
    <row r="368" spans="1:66" ht="13.15" x14ac:dyDescent="0.4">
      <c r="A368" s="430"/>
      <c r="B368" s="430"/>
      <c r="C368" s="430"/>
      <c r="D368" s="430"/>
      <c r="E368" s="430"/>
      <c r="F368" s="430"/>
      <c r="G368" s="430"/>
      <c r="H368" s="461"/>
      <c r="I368" s="438"/>
      <c r="J368" s="438"/>
      <c r="K368" s="438"/>
      <c r="L368" s="430"/>
      <c r="M368" s="430"/>
      <c r="N368" s="461"/>
      <c r="O368" s="461"/>
      <c r="P368" s="430"/>
      <c r="Q368" s="430"/>
      <c r="R368" s="430"/>
      <c r="S368" s="430"/>
      <c r="T368" s="430"/>
      <c r="U368" s="430"/>
      <c r="V368" s="430"/>
      <c r="W368" s="430"/>
      <c r="X368" s="449"/>
      <c r="Y368" s="449"/>
      <c r="Z368" s="450"/>
      <c r="AA368" s="449"/>
      <c r="AB368" s="451"/>
      <c r="AC368" s="450"/>
      <c r="AD368" s="449"/>
      <c r="AE368" s="451"/>
      <c r="AF368" s="450"/>
      <c r="AG368" s="449"/>
      <c r="AH368" s="451"/>
      <c r="AI368" s="450"/>
      <c r="AJ368" s="449"/>
      <c r="AK368" s="451"/>
      <c r="AL368" s="450"/>
      <c r="AM368" s="449"/>
      <c r="AN368" s="451"/>
      <c r="AO368" s="450"/>
      <c r="AP368" s="449"/>
      <c r="AQ368" s="451"/>
      <c r="AR368" s="449"/>
      <c r="AS368" s="449"/>
      <c r="AT368" s="451"/>
      <c r="AU368" s="449"/>
      <c r="AV368" s="451"/>
      <c r="AW368" s="449"/>
      <c r="AX368" s="449"/>
      <c r="AY368" s="449"/>
      <c r="AZ368" s="449"/>
      <c r="BA368" s="449"/>
      <c r="BB368" s="449"/>
      <c r="BC368" s="449"/>
      <c r="BD368" s="449"/>
      <c r="BE368" s="449"/>
      <c r="BF368" s="449"/>
      <c r="BG368" s="449"/>
      <c r="BH368" s="449"/>
      <c r="BI368" s="449"/>
      <c r="BJ368" s="449"/>
      <c r="BK368" s="449"/>
      <c r="BL368" s="449"/>
      <c r="BM368" s="449"/>
      <c r="BN368" s="449"/>
    </row>
    <row r="369" spans="1:66" ht="13.15" x14ac:dyDescent="0.4">
      <c r="A369" s="430"/>
      <c r="B369" s="430"/>
      <c r="C369" s="430"/>
      <c r="D369" s="430"/>
      <c r="E369" s="430"/>
      <c r="F369" s="430"/>
      <c r="G369" s="430"/>
      <c r="H369" s="461"/>
      <c r="I369" s="438"/>
      <c r="J369" s="438"/>
      <c r="K369" s="438"/>
      <c r="L369" s="430"/>
      <c r="M369" s="430"/>
      <c r="N369" s="461"/>
      <c r="O369" s="461"/>
      <c r="P369" s="430"/>
      <c r="Q369" s="430"/>
      <c r="R369" s="430"/>
      <c r="S369" s="430"/>
      <c r="T369" s="430"/>
      <c r="U369" s="430"/>
      <c r="V369" s="430"/>
      <c r="W369" s="430"/>
      <c r="X369" s="449"/>
      <c r="Y369" s="449"/>
      <c r="Z369" s="450"/>
      <c r="AA369" s="449"/>
      <c r="AB369" s="451"/>
      <c r="AC369" s="450"/>
      <c r="AD369" s="449"/>
      <c r="AE369" s="451"/>
      <c r="AF369" s="450"/>
      <c r="AG369" s="449"/>
      <c r="AH369" s="451"/>
      <c r="AI369" s="450"/>
      <c r="AJ369" s="449"/>
      <c r="AK369" s="451"/>
      <c r="AL369" s="450"/>
      <c r="AM369" s="449"/>
      <c r="AN369" s="451"/>
      <c r="AO369" s="450"/>
      <c r="AP369" s="449"/>
      <c r="AQ369" s="451"/>
      <c r="AR369" s="449"/>
      <c r="AS369" s="449"/>
      <c r="AT369" s="451"/>
      <c r="AU369" s="449"/>
      <c r="AV369" s="451"/>
      <c r="AW369" s="449"/>
      <c r="AX369" s="449"/>
      <c r="AY369" s="449"/>
      <c r="AZ369" s="449"/>
      <c r="BA369" s="449"/>
      <c r="BB369" s="449"/>
      <c r="BC369" s="449"/>
      <c r="BD369" s="449"/>
      <c r="BE369" s="449"/>
      <c r="BF369" s="449"/>
      <c r="BG369" s="449"/>
      <c r="BH369" s="449"/>
      <c r="BI369" s="449"/>
      <c r="BJ369" s="449"/>
      <c r="BK369" s="449"/>
      <c r="BL369" s="449"/>
      <c r="BM369" s="449"/>
      <c r="BN369" s="449"/>
    </row>
    <row r="370" spans="1:66" ht="13.15" x14ac:dyDescent="0.4">
      <c r="A370" s="430"/>
      <c r="B370" s="430"/>
      <c r="C370" s="430"/>
      <c r="D370" s="430"/>
      <c r="E370" s="430"/>
      <c r="F370" s="430"/>
      <c r="G370" s="430"/>
      <c r="H370" s="461"/>
      <c r="I370" s="438"/>
      <c r="J370" s="438"/>
      <c r="K370" s="438"/>
      <c r="L370" s="430"/>
      <c r="M370" s="430"/>
      <c r="N370" s="461"/>
      <c r="O370" s="461"/>
      <c r="P370" s="430"/>
      <c r="Q370" s="430"/>
      <c r="R370" s="430"/>
      <c r="S370" s="430"/>
      <c r="T370" s="430"/>
      <c r="U370" s="430"/>
      <c r="V370" s="430"/>
      <c r="W370" s="430"/>
      <c r="X370" s="449"/>
      <c r="Y370" s="449"/>
      <c r="Z370" s="450"/>
      <c r="AA370" s="449"/>
      <c r="AB370" s="451"/>
      <c r="AC370" s="450"/>
      <c r="AD370" s="449"/>
      <c r="AE370" s="451"/>
      <c r="AF370" s="450"/>
      <c r="AG370" s="449"/>
      <c r="AH370" s="451"/>
      <c r="AI370" s="450"/>
      <c r="AJ370" s="449"/>
      <c r="AK370" s="451"/>
      <c r="AL370" s="450"/>
      <c r="AM370" s="449"/>
      <c r="AN370" s="451"/>
      <c r="AO370" s="450"/>
      <c r="AP370" s="449"/>
      <c r="AQ370" s="451"/>
      <c r="AR370" s="449"/>
      <c r="AS370" s="449"/>
      <c r="AT370" s="451"/>
      <c r="AU370" s="449"/>
      <c r="AV370" s="451"/>
      <c r="AW370" s="449"/>
      <c r="AX370" s="449"/>
      <c r="AY370" s="449"/>
      <c r="AZ370" s="449"/>
      <c r="BA370" s="449"/>
      <c r="BB370" s="449"/>
      <c r="BC370" s="449"/>
      <c r="BD370" s="449"/>
      <c r="BE370" s="449"/>
      <c r="BF370" s="449"/>
      <c r="BG370" s="449"/>
      <c r="BH370" s="449"/>
      <c r="BI370" s="449"/>
      <c r="BJ370" s="449"/>
      <c r="BK370" s="449"/>
      <c r="BL370" s="449"/>
      <c r="BM370" s="449"/>
      <c r="BN370" s="449"/>
    </row>
    <row r="371" spans="1:66" ht="13.15" x14ac:dyDescent="0.4">
      <c r="A371" s="430"/>
      <c r="B371" s="430"/>
      <c r="C371" s="430"/>
      <c r="D371" s="430"/>
      <c r="E371" s="430"/>
      <c r="F371" s="430"/>
      <c r="G371" s="430"/>
      <c r="H371" s="461"/>
      <c r="I371" s="438"/>
      <c r="J371" s="438"/>
      <c r="K371" s="438"/>
      <c r="L371" s="430"/>
      <c r="M371" s="430"/>
      <c r="N371" s="461"/>
      <c r="O371" s="461"/>
      <c r="P371" s="430"/>
      <c r="Q371" s="430"/>
      <c r="R371" s="430"/>
      <c r="S371" s="430"/>
      <c r="T371" s="430"/>
      <c r="U371" s="430"/>
      <c r="V371" s="430"/>
      <c r="W371" s="430"/>
      <c r="X371" s="449"/>
      <c r="Y371" s="449"/>
      <c r="Z371" s="450"/>
      <c r="AA371" s="449"/>
      <c r="AB371" s="451"/>
      <c r="AC371" s="450"/>
      <c r="AD371" s="449"/>
      <c r="AE371" s="451"/>
      <c r="AF371" s="450"/>
      <c r="AG371" s="449"/>
      <c r="AH371" s="451"/>
      <c r="AI371" s="450"/>
      <c r="AJ371" s="449"/>
      <c r="AK371" s="451"/>
      <c r="AL371" s="450"/>
      <c r="AM371" s="449"/>
      <c r="AN371" s="451"/>
      <c r="AO371" s="450"/>
      <c r="AP371" s="449"/>
      <c r="AQ371" s="451"/>
      <c r="AR371" s="449"/>
      <c r="AS371" s="449"/>
      <c r="AT371" s="451"/>
      <c r="AU371" s="449"/>
      <c r="AV371" s="451"/>
      <c r="AW371" s="449"/>
      <c r="AX371" s="449"/>
      <c r="AY371" s="449"/>
      <c r="AZ371" s="449"/>
      <c r="BA371" s="449"/>
      <c r="BB371" s="449"/>
      <c r="BC371" s="449"/>
      <c r="BD371" s="449"/>
      <c r="BE371" s="449"/>
      <c r="BF371" s="449"/>
      <c r="BG371" s="449"/>
      <c r="BH371" s="449"/>
      <c r="BI371" s="449"/>
      <c r="BJ371" s="449"/>
      <c r="BK371" s="449"/>
      <c r="BL371" s="449"/>
      <c r="BM371" s="449"/>
      <c r="BN371" s="449"/>
    </row>
    <row r="372" spans="1:66" ht="13.15" x14ac:dyDescent="0.4">
      <c r="A372" s="430"/>
      <c r="B372" s="430"/>
      <c r="C372" s="430"/>
      <c r="D372" s="430"/>
      <c r="E372" s="430"/>
      <c r="F372" s="430"/>
      <c r="G372" s="430"/>
      <c r="H372" s="461"/>
      <c r="I372" s="438"/>
      <c r="J372" s="438"/>
      <c r="K372" s="438"/>
      <c r="L372" s="430"/>
      <c r="M372" s="430"/>
      <c r="N372" s="461"/>
      <c r="O372" s="461"/>
      <c r="P372" s="430"/>
      <c r="Q372" s="430"/>
      <c r="R372" s="430"/>
      <c r="S372" s="430"/>
      <c r="T372" s="430"/>
      <c r="U372" s="430"/>
      <c r="V372" s="430"/>
      <c r="W372" s="430"/>
      <c r="X372" s="449"/>
      <c r="Y372" s="449"/>
      <c r="Z372" s="450"/>
      <c r="AA372" s="449"/>
      <c r="AB372" s="451"/>
      <c r="AC372" s="450"/>
      <c r="AD372" s="449"/>
      <c r="AE372" s="451"/>
      <c r="AF372" s="450"/>
      <c r="AG372" s="449"/>
      <c r="AH372" s="451"/>
      <c r="AI372" s="450"/>
      <c r="AJ372" s="449"/>
      <c r="AK372" s="451"/>
      <c r="AL372" s="450"/>
      <c r="AM372" s="449"/>
      <c r="AN372" s="451"/>
      <c r="AO372" s="450"/>
      <c r="AP372" s="449"/>
      <c r="AQ372" s="451"/>
      <c r="AR372" s="449"/>
      <c r="AS372" s="449"/>
      <c r="AT372" s="451"/>
      <c r="AU372" s="449"/>
      <c r="AV372" s="451"/>
      <c r="AW372" s="449"/>
      <c r="AX372" s="449"/>
      <c r="AY372" s="449"/>
      <c r="AZ372" s="449"/>
      <c r="BA372" s="449"/>
      <c r="BB372" s="449"/>
      <c r="BC372" s="449"/>
      <c r="BD372" s="449"/>
      <c r="BE372" s="449"/>
      <c r="BF372" s="449"/>
      <c r="BG372" s="449"/>
      <c r="BH372" s="449"/>
      <c r="BI372" s="449"/>
      <c r="BJ372" s="449"/>
      <c r="BK372" s="449"/>
      <c r="BL372" s="449"/>
      <c r="BM372" s="449"/>
      <c r="BN372" s="449"/>
    </row>
    <row r="373" spans="1:66" ht="13.15" x14ac:dyDescent="0.4">
      <c r="A373" s="430"/>
      <c r="B373" s="430"/>
      <c r="C373" s="430"/>
      <c r="D373" s="430"/>
      <c r="E373" s="430"/>
      <c r="F373" s="430"/>
      <c r="G373" s="430"/>
      <c r="H373" s="461"/>
      <c r="I373" s="438"/>
      <c r="J373" s="438"/>
      <c r="K373" s="438"/>
      <c r="L373" s="430"/>
      <c r="M373" s="430"/>
      <c r="N373" s="461"/>
      <c r="O373" s="461"/>
      <c r="P373" s="430"/>
      <c r="Q373" s="430"/>
      <c r="R373" s="430"/>
      <c r="S373" s="430"/>
      <c r="T373" s="430"/>
      <c r="U373" s="430"/>
      <c r="V373" s="430"/>
      <c r="W373" s="430"/>
      <c r="X373" s="449"/>
      <c r="Y373" s="449"/>
      <c r="Z373" s="450"/>
      <c r="AA373" s="449"/>
      <c r="AB373" s="451"/>
      <c r="AC373" s="450"/>
      <c r="AD373" s="449"/>
      <c r="AE373" s="451"/>
      <c r="AF373" s="450"/>
      <c r="AG373" s="449"/>
      <c r="AH373" s="451"/>
      <c r="AI373" s="450"/>
      <c r="AJ373" s="449"/>
      <c r="AK373" s="451"/>
      <c r="AL373" s="450"/>
      <c r="AM373" s="449"/>
      <c r="AN373" s="451"/>
      <c r="AO373" s="450"/>
      <c r="AP373" s="449"/>
      <c r="AQ373" s="451"/>
      <c r="AR373" s="449"/>
      <c r="AS373" s="449"/>
      <c r="AT373" s="451"/>
      <c r="AU373" s="449"/>
      <c r="AV373" s="451"/>
      <c r="AW373" s="449"/>
      <c r="AX373" s="449"/>
      <c r="AY373" s="449"/>
      <c r="AZ373" s="449"/>
      <c r="BA373" s="449"/>
      <c r="BB373" s="449"/>
      <c r="BC373" s="449"/>
      <c r="BD373" s="449"/>
      <c r="BE373" s="449"/>
      <c r="BF373" s="449"/>
      <c r="BG373" s="449"/>
      <c r="BH373" s="449"/>
      <c r="BI373" s="449"/>
      <c r="BJ373" s="449"/>
      <c r="BK373" s="449"/>
      <c r="BL373" s="449"/>
      <c r="BM373" s="449"/>
      <c r="BN373" s="449"/>
    </row>
    <row r="374" spans="1:66" ht="13.15" x14ac:dyDescent="0.4">
      <c r="A374" s="430"/>
      <c r="B374" s="430"/>
      <c r="C374" s="430"/>
      <c r="D374" s="430"/>
      <c r="E374" s="430"/>
      <c r="F374" s="430"/>
      <c r="G374" s="430"/>
      <c r="H374" s="461"/>
      <c r="I374" s="438"/>
      <c r="J374" s="438"/>
      <c r="K374" s="438"/>
      <c r="L374" s="430"/>
      <c r="M374" s="430"/>
      <c r="N374" s="461"/>
      <c r="O374" s="461"/>
      <c r="P374" s="430"/>
      <c r="Q374" s="430"/>
      <c r="R374" s="430"/>
      <c r="S374" s="430"/>
      <c r="T374" s="430"/>
      <c r="U374" s="430"/>
      <c r="V374" s="430"/>
      <c r="W374" s="430"/>
      <c r="X374" s="449"/>
      <c r="Y374" s="449"/>
      <c r="Z374" s="450"/>
      <c r="AA374" s="449"/>
      <c r="AB374" s="451"/>
      <c r="AC374" s="450"/>
      <c r="AD374" s="449"/>
      <c r="AE374" s="451"/>
      <c r="AF374" s="450"/>
      <c r="AG374" s="449"/>
      <c r="AH374" s="451"/>
      <c r="AI374" s="450"/>
      <c r="AJ374" s="449"/>
      <c r="AK374" s="451"/>
      <c r="AL374" s="450"/>
      <c r="AM374" s="449"/>
      <c r="AN374" s="451"/>
      <c r="AO374" s="450"/>
      <c r="AP374" s="449"/>
      <c r="AQ374" s="451"/>
      <c r="AR374" s="449"/>
      <c r="AS374" s="449"/>
      <c r="AT374" s="451"/>
      <c r="AU374" s="449"/>
      <c r="AV374" s="451"/>
      <c r="AW374" s="449"/>
      <c r="AX374" s="449"/>
      <c r="AY374" s="449"/>
      <c r="AZ374" s="449"/>
      <c r="BA374" s="449"/>
      <c r="BB374" s="449"/>
      <c r="BC374" s="449"/>
      <c r="BD374" s="449"/>
      <c r="BE374" s="449"/>
      <c r="BF374" s="449"/>
      <c r="BG374" s="449"/>
      <c r="BH374" s="449"/>
      <c r="BI374" s="449"/>
      <c r="BJ374" s="449"/>
      <c r="BK374" s="449"/>
      <c r="BL374" s="449"/>
      <c r="BM374" s="449"/>
      <c r="BN374" s="449"/>
    </row>
    <row r="375" spans="1:66" ht="13.15" x14ac:dyDescent="0.4">
      <c r="A375" s="430"/>
      <c r="B375" s="430"/>
      <c r="C375" s="430"/>
      <c r="D375" s="430"/>
      <c r="E375" s="430"/>
      <c r="F375" s="430"/>
      <c r="G375" s="430"/>
      <c r="H375" s="461"/>
      <c r="I375" s="438"/>
      <c r="J375" s="438"/>
      <c r="K375" s="438"/>
      <c r="L375" s="430"/>
      <c r="M375" s="430"/>
      <c r="N375" s="461"/>
      <c r="O375" s="461"/>
      <c r="P375" s="430"/>
      <c r="Q375" s="430"/>
      <c r="R375" s="430"/>
      <c r="S375" s="430"/>
      <c r="T375" s="430"/>
      <c r="U375" s="430"/>
      <c r="V375" s="430"/>
      <c r="W375" s="430"/>
      <c r="X375" s="449"/>
      <c r="Y375" s="449"/>
      <c r="Z375" s="450"/>
      <c r="AA375" s="449"/>
      <c r="AB375" s="451"/>
      <c r="AC375" s="450"/>
      <c r="AD375" s="449"/>
      <c r="AE375" s="451"/>
      <c r="AF375" s="450"/>
      <c r="AG375" s="449"/>
      <c r="AH375" s="451"/>
      <c r="AI375" s="450"/>
      <c r="AJ375" s="449"/>
      <c r="AK375" s="451"/>
      <c r="AL375" s="450"/>
      <c r="AM375" s="449"/>
      <c r="AN375" s="451"/>
      <c r="AO375" s="450"/>
      <c r="AP375" s="449"/>
      <c r="AQ375" s="451"/>
      <c r="AR375" s="449"/>
      <c r="AS375" s="449"/>
      <c r="AT375" s="451"/>
      <c r="AU375" s="449"/>
      <c r="AV375" s="451"/>
      <c r="AW375" s="449"/>
      <c r="AX375" s="449"/>
      <c r="AY375" s="449"/>
      <c r="AZ375" s="449"/>
      <c r="BA375" s="449"/>
      <c r="BB375" s="449"/>
      <c r="BC375" s="449"/>
      <c r="BD375" s="449"/>
      <c r="BE375" s="449"/>
      <c r="BF375" s="449"/>
      <c r="BG375" s="449"/>
      <c r="BH375" s="449"/>
      <c r="BI375" s="449"/>
      <c r="BJ375" s="449"/>
      <c r="BK375" s="449"/>
      <c r="BL375" s="449"/>
      <c r="BM375" s="449"/>
      <c r="BN375" s="449"/>
    </row>
    <row r="376" spans="1:66" ht="13.15" x14ac:dyDescent="0.4">
      <c r="A376" s="430"/>
      <c r="B376" s="430"/>
      <c r="C376" s="430"/>
      <c r="D376" s="430"/>
      <c r="E376" s="430"/>
      <c r="F376" s="430"/>
      <c r="G376" s="430"/>
      <c r="H376" s="461"/>
      <c r="I376" s="438"/>
      <c r="J376" s="438"/>
      <c r="K376" s="438"/>
      <c r="L376" s="430"/>
      <c r="M376" s="430"/>
      <c r="N376" s="461"/>
      <c r="O376" s="461"/>
      <c r="P376" s="430"/>
      <c r="Q376" s="430"/>
      <c r="R376" s="430"/>
      <c r="S376" s="430"/>
      <c r="T376" s="430"/>
      <c r="U376" s="430"/>
      <c r="V376" s="430"/>
      <c r="W376" s="430"/>
      <c r="X376" s="449"/>
      <c r="Y376" s="449"/>
      <c r="Z376" s="450"/>
      <c r="AA376" s="449"/>
      <c r="AB376" s="451"/>
      <c r="AC376" s="450"/>
      <c r="AD376" s="449"/>
      <c r="AE376" s="451"/>
      <c r="AF376" s="450"/>
      <c r="AG376" s="449"/>
      <c r="AH376" s="451"/>
      <c r="AI376" s="450"/>
      <c r="AJ376" s="449"/>
      <c r="AK376" s="451"/>
      <c r="AL376" s="450"/>
      <c r="AM376" s="449"/>
      <c r="AN376" s="451"/>
      <c r="AO376" s="450"/>
      <c r="AP376" s="449"/>
      <c r="AQ376" s="451"/>
      <c r="AR376" s="449"/>
      <c r="AS376" s="449"/>
      <c r="AT376" s="451"/>
      <c r="AU376" s="449"/>
      <c r="AV376" s="451"/>
      <c r="AW376" s="449"/>
      <c r="AX376" s="449"/>
      <c r="AY376" s="449"/>
      <c r="AZ376" s="449"/>
      <c r="BA376" s="449"/>
      <c r="BB376" s="449"/>
      <c r="BC376" s="449"/>
      <c r="BD376" s="449"/>
      <c r="BE376" s="449"/>
      <c r="BF376" s="449"/>
      <c r="BG376" s="449"/>
      <c r="BH376" s="449"/>
      <c r="BI376" s="449"/>
      <c r="BJ376" s="449"/>
      <c r="BK376" s="449"/>
      <c r="BL376" s="449"/>
      <c r="BM376" s="449"/>
      <c r="BN376" s="449"/>
    </row>
    <row r="377" spans="1:66" ht="13.15" x14ac:dyDescent="0.4">
      <c r="A377" s="430"/>
      <c r="B377" s="430"/>
      <c r="C377" s="430"/>
      <c r="D377" s="430"/>
      <c r="E377" s="430"/>
      <c r="F377" s="430"/>
      <c r="G377" s="430"/>
      <c r="H377" s="461"/>
      <c r="I377" s="438"/>
      <c r="J377" s="438"/>
      <c r="K377" s="438"/>
      <c r="L377" s="430"/>
      <c r="M377" s="430"/>
      <c r="N377" s="461"/>
      <c r="O377" s="461"/>
      <c r="P377" s="430"/>
      <c r="Q377" s="430"/>
      <c r="R377" s="430"/>
      <c r="S377" s="430"/>
      <c r="T377" s="430"/>
      <c r="U377" s="430"/>
      <c r="V377" s="430"/>
      <c r="W377" s="430"/>
      <c r="X377" s="449"/>
      <c r="Y377" s="449"/>
      <c r="Z377" s="450"/>
      <c r="AA377" s="449"/>
      <c r="AB377" s="451"/>
      <c r="AC377" s="450"/>
      <c r="AD377" s="449"/>
      <c r="AE377" s="451"/>
      <c r="AF377" s="450"/>
      <c r="AG377" s="449"/>
      <c r="AH377" s="451"/>
      <c r="AI377" s="450"/>
      <c r="AJ377" s="449"/>
      <c r="AK377" s="451"/>
      <c r="AL377" s="450"/>
      <c r="AM377" s="449"/>
      <c r="AN377" s="451"/>
      <c r="AO377" s="450"/>
      <c r="AP377" s="449"/>
      <c r="AQ377" s="451"/>
      <c r="AR377" s="449"/>
      <c r="AS377" s="449"/>
      <c r="AT377" s="451"/>
      <c r="AU377" s="449"/>
      <c r="AV377" s="451"/>
      <c r="AW377" s="449"/>
      <c r="AX377" s="449"/>
      <c r="AY377" s="449"/>
      <c r="AZ377" s="449"/>
      <c r="BA377" s="449"/>
      <c r="BB377" s="449"/>
      <c r="BC377" s="449"/>
      <c r="BD377" s="449"/>
      <c r="BE377" s="449"/>
      <c r="BF377" s="449"/>
      <c r="BG377" s="449"/>
      <c r="BH377" s="449"/>
      <c r="BI377" s="449"/>
      <c r="BJ377" s="449"/>
      <c r="BK377" s="449"/>
      <c r="BL377" s="449"/>
      <c r="BM377" s="449"/>
      <c r="BN377" s="449"/>
    </row>
    <row r="378" spans="1:66" ht="13.15" x14ac:dyDescent="0.4">
      <c r="A378" s="430"/>
      <c r="B378" s="430"/>
      <c r="C378" s="430"/>
      <c r="D378" s="430"/>
      <c r="E378" s="430"/>
      <c r="F378" s="430"/>
      <c r="G378" s="430"/>
      <c r="H378" s="461"/>
      <c r="I378" s="438"/>
      <c r="J378" s="438"/>
      <c r="K378" s="438"/>
      <c r="L378" s="430"/>
      <c r="M378" s="430"/>
      <c r="N378" s="461"/>
      <c r="O378" s="461"/>
      <c r="P378" s="430"/>
      <c r="Q378" s="430"/>
      <c r="R378" s="430"/>
      <c r="S378" s="430"/>
      <c r="T378" s="430"/>
      <c r="U378" s="430"/>
      <c r="V378" s="430"/>
      <c r="W378" s="430"/>
      <c r="X378" s="449"/>
      <c r="Y378" s="449"/>
      <c r="Z378" s="450"/>
      <c r="AA378" s="449"/>
      <c r="AB378" s="451"/>
      <c r="AC378" s="450"/>
      <c r="AD378" s="449"/>
      <c r="AE378" s="451"/>
      <c r="AF378" s="450"/>
      <c r="AG378" s="449"/>
      <c r="AH378" s="451"/>
      <c r="AI378" s="450"/>
      <c r="AJ378" s="449"/>
      <c r="AK378" s="451"/>
      <c r="AL378" s="450"/>
      <c r="AM378" s="449"/>
      <c r="AN378" s="451"/>
      <c r="AO378" s="450"/>
      <c r="AP378" s="449"/>
      <c r="AQ378" s="451"/>
      <c r="AR378" s="449"/>
      <c r="AS378" s="449"/>
      <c r="AT378" s="451"/>
      <c r="AU378" s="449"/>
      <c r="AV378" s="451"/>
      <c r="AW378" s="449"/>
      <c r="AX378" s="449"/>
      <c r="AY378" s="449"/>
      <c r="AZ378" s="449"/>
      <c r="BA378" s="449"/>
      <c r="BB378" s="449"/>
      <c r="BC378" s="449"/>
      <c r="BD378" s="449"/>
      <c r="BE378" s="449"/>
      <c r="BF378" s="449"/>
      <c r="BG378" s="449"/>
      <c r="BH378" s="449"/>
      <c r="BI378" s="449"/>
      <c r="BJ378" s="449"/>
      <c r="BK378" s="449"/>
      <c r="BL378" s="449"/>
      <c r="BM378" s="449"/>
      <c r="BN378" s="449"/>
    </row>
    <row r="379" spans="1:66" ht="13.15" x14ac:dyDescent="0.4">
      <c r="A379" s="430"/>
      <c r="B379" s="430"/>
      <c r="C379" s="430"/>
      <c r="D379" s="430"/>
      <c r="E379" s="430"/>
      <c r="F379" s="430"/>
      <c r="G379" s="430"/>
      <c r="H379" s="461"/>
      <c r="I379" s="438"/>
      <c r="J379" s="438"/>
      <c r="K379" s="438"/>
      <c r="L379" s="430"/>
      <c r="M379" s="430"/>
      <c r="N379" s="461"/>
      <c r="O379" s="461"/>
      <c r="P379" s="430"/>
      <c r="Q379" s="430"/>
      <c r="R379" s="430"/>
      <c r="S379" s="430"/>
      <c r="T379" s="430"/>
      <c r="U379" s="430"/>
      <c r="V379" s="430"/>
      <c r="W379" s="430"/>
      <c r="X379" s="449"/>
      <c r="Y379" s="449"/>
      <c r="Z379" s="450"/>
      <c r="AA379" s="449"/>
      <c r="AB379" s="451"/>
      <c r="AC379" s="450"/>
      <c r="AD379" s="449"/>
      <c r="AE379" s="451"/>
      <c r="AF379" s="450"/>
      <c r="AG379" s="449"/>
      <c r="AH379" s="451"/>
      <c r="AI379" s="450"/>
      <c r="AJ379" s="449"/>
      <c r="AK379" s="451"/>
      <c r="AL379" s="450"/>
      <c r="AM379" s="449"/>
      <c r="AN379" s="451"/>
      <c r="AO379" s="450"/>
      <c r="AP379" s="449"/>
      <c r="AQ379" s="451"/>
      <c r="AR379" s="449"/>
      <c r="AS379" s="449"/>
      <c r="AT379" s="451"/>
      <c r="AU379" s="449"/>
      <c r="AV379" s="451"/>
      <c r="AW379" s="449"/>
      <c r="AX379" s="449"/>
      <c r="AY379" s="449"/>
      <c r="AZ379" s="449"/>
      <c r="BA379" s="449"/>
      <c r="BB379" s="449"/>
      <c r="BC379" s="449"/>
      <c r="BD379" s="449"/>
      <c r="BE379" s="449"/>
      <c r="BF379" s="449"/>
      <c r="BG379" s="449"/>
      <c r="BH379" s="449"/>
      <c r="BI379" s="449"/>
      <c r="BJ379" s="449"/>
      <c r="BK379" s="449"/>
      <c r="BL379" s="449"/>
      <c r="BM379" s="449"/>
      <c r="BN379" s="449"/>
    </row>
    <row r="380" spans="1:66" ht="13.15" x14ac:dyDescent="0.4">
      <c r="A380" s="430"/>
      <c r="B380" s="430"/>
      <c r="C380" s="430"/>
      <c r="D380" s="430"/>
      <c r="E380" s="430"/>
      <c r="F380" s="430"/>
      <c r="G380" s="430"/>
      <c r="H380" s="461"/>
      <c r="I380" s="438"/>
      <c r="J380" s="438"/>
      <c r="K380" s="438"/>
      <c r="L380" s="430"/>
      <c r="M380" s="430"/>
      <c r="N380" s="461"/>
      <c r="O380" s="461"/>
      <c r="P380" s="430"/>
      <c r="Q380" s="430"/>
      <c r="R380" s="430"/>
      <c r="S380" s="430"/>
      <c r="T380" s="430"/>
      <c r="U380" s="430"/>
      <c r="V380" s="430"/>
      <c r="W380" s="430"/>
      <c r="X380" s="449"/>
      <c r="Y380" s="449"/>
      <c r="Z380" s="450"/>
      <c r="AA380" s="449"/>
      <c r="AB380" s="451"/>
      <c r="AC380" s="450"/>
      <c r="AD380" s="449"/>
      <c r="AE380" s="451"/>
      <c r="AF380" s="450"/>
      <c r="AG380" s="449"/>
      <c r="AH380" s="451"/>
      <c r="AI380" s="450"/>
      <c r="AJ380" s="449"/>
      <c r="AK380" s="451"/>
      <c r="AL380" s="450"/>
      <c r="AM380" s="449"/>
      <c r="AN380" s="451"/>
      <c r="AO380" s="450"/>
      <c r="AP380" s="449"/>
      <c r="AQ380" s="451"/>
      <c r="AR380" s="449"/>
      <c r="AS380" s="449"/>
      <c r="AT380" s="451"/>
      <c r="AU380" s="449"/>
      <c r="AV380" s="451"/>
      <c r="AW380" s="449"/>
      <c r="AX380" s="449"/>
      <c r="AY380" s="449"/>
      <c r="AZ380" s="449"/>
      <c r="BA380" s="449"/>
      <c r="BB380" s="449"/>
      <c r="BC380" s="449"/>
      <c r="BD380" s="449"/>
      <c r="BE380" s="449"/>
      <c r="BF380" s="449"/>
      <c r="BG380" s="449"/>
      <c r="BH380" s="449"/>
      <c r="BI380" s="449"/>
      <c r="BJ380" s="449"/>
      <c r="BK380" s="449"/>
      <c r="BL380" s="449"/>
      <c r="BM380" s="449"/>
      <c r="BN380" s="449"/>
    </row>
    <row r="381" spans="1:66" ht="13.15" x14ac:dyDescent="0.4">
      <c r="A381" s="430"/>
      <c r="B381" s="430"/>
      <c r="C381" s="430"/>
      <c r="D381" s="430"/>
      <c r="E381" s="430"/>
      <c r="F381" s="430"/>
      <c r="G381" s="430"/>
      <c r="H381" s="461"/>
      <c r="I381" s="438"/>
      <c r="J381" s="438"/>
      <c r="K381" s="438"/>
      <c r="L381" s="430"/>
      <c r="M381" s="430"/>
      <c r="N381" s="461"/>
      <c r="O381" s="461"/>
      <c r="P381" s="430"/>
      <c r="Q381" s="430"/>
      <c r="R381" s="430"/>
      <c r="S381" s="430"/>
      <c r="T381" s="430"/>
      <c r="U381" s="430"/>
      <c r="V381" s="430"/>
      <c r="W381" s="430"/>
      <c r="X381" s="449"/>
      <c r="Y381" s="449"/>
      <c r="Z381" s="450"/>
      <c r="AA381" s="449"/>
      <c r="AB381" s="451"/>
      <c r="AC381" s="450"/>
      <c r="AD381" s="449"/>
      <c r="AE381" s="451"/>
      <c r="AF381" s="450"/>
      <c r="AG381" s="449"/>
      <c r="AH381" s="451"/>
      <c r="AI381" s="450"/>
      <c r="AJ381" s="449"/>
      <c r="AK381" s="451"/>
      <c r="AL381" s="450"/>
      <c r="AM381" s="449"/>
      <c r="AN381" s="451"/>
      <c r="AO381" s="450"/>
      <c r="AP381" s="449"/>
      <c r="AQ381" s="451"/>
      <c r="AR381" s="449"/>
      <c r="AS381" s="449"/>
      <c r="AT381" s="451"/>
      <c r="AU381" s="449"/>
      <c r="AV381" s="451"/>
      <c r="AW381" s="449"/>
      <c r="AX381" s="449"/>
      <c r="AY381" s="449"/>
      <c r="AZ381" s="449"/>
      <c r="BA381" s="449"/>
      <c r="BB381" s="449"/>
      <c r="BC381" s="449"/>
      <c r="BD381" s="449"/>
      <c r="BE381" s="449"/>
      <c r="BF381" s="449"/>
      <c r="BG381" s="449"/>
      <c r="BH381" s="449"/>
      <c r="BI381" s="449"/>
      <c r="BJ381" s="449"/>
      <c r="BK381" s="449"/>
      <c r="BL381" s="449"/>
      <c r="BM381" s="449"/>
      <c r="BN381" s="449"/>
    </row>
    <row r="382" spans="1:66" ht="13.15" x14ac:dyDescent="0.4">
      <c r="A382" s="430"/>
      <c r="B382" s="430"/>
      <c r="C382" s="430"/>
      <c r="D382" s="430"/>
      <c r="E382" s="430"/>
      <c r="F382" s="430"/>
      <c r="G382" s="430"/>
      <c r="H382" s="461"/>
      <c r="I382" s="438"/>
      <c r="J382" s="438"/>
      <c r="K382" s="438"/>
      <c r="L382" s="430"/>
      <c r="M382" s="430"/>
      <c r="N382" s="461"/>
      <c r="O382" s="461"/>
      <c r="P382" s="430"/>
      <c r="Q382" s="430"/>
      <c r="R382" s="430"/>
      <c r="S382" s="430"/>
      <c r="T382" s="430"/>
      <c r="U382" s="430"/>
      <c r="V382" s="430"/>
      <c r="W382" s="430"/>
      <c r="X382" s="449"/>
      <c r="Y382" s="449"/>
      <c r="Z382" s="450"/>
      <c r="AA382" s="449"/>
      <c r="AB382" s="451"/>
      <c r="AC382" s="450"/>
      <c r="AD382" s="449"/>
      <c r="AE382" s="451"/>
      <c r="AF382" s="450"/>
      <c r="AG382" s="449"/>
      <c r="AH382" s="451"/>
      <c r="AI382" s="450"/>
      <c r="AJ382" s="449"/>
      <c r="AK382" s="451"/>
      <c r="AL382" s="450"/>
      <c r="AM382" s="449"/>
      <c r="AN382" s="451"/>
      <c r="AO382" s="450"/>
      <c r="AP382" s="449"/>
      <c r="AQ382" s="451"/>
      <c r="AR382" s="449"/>
      <c r="AS382" s="449"/>
      <c r="AT382" s="451"/>
      <c r="AU382" s="449"/>
      <c r="AV382" s="451"/>
      <c r="AW382" s="449"/>
      <c r="AX382" s="449"/>
      <c r="AY382" s="449"/>
      <c r="AZ382" s="449"/>
      <c r="BA382" s="449"/>
      <c r="BB382" s="449"/>
      <c r="BC382" s="449"/>
      <c r="BD382" s="449"/>
      <c r="BE382" s="449"/>
      <c r="BF382" s="449"/>
      <c r="BG382" s="449"/>
      <c r="BH382" s="449"/>
      <c r="BI382" s="449"/>
      <c r="BJ382" s="449"/>
      <c r="BK382" s="449"/>
      <c r="BL382" s="449"/>
      <c r="BM382" s="449"/>
      <c r="BN382" s="449"/>
    </row>
    <row r="383" spans="1:66" ht="13.15" x14ac:dyDescent="0.4">
      <c r="A383" s="430"/>
      <c r="B383" s="430"/>
      <c r="C383" s="430"/>
      <c r="D383" s="430"/>
      <c r="E383" s="430"/>
      <c r="F383" s="430"/>
      <c r="G383" s="430"/>
      <c r="H383" s="461"/>
      <c r="I383" s="438"/>
      <c r="J383" s="438"/>
      <c r="K383" s="438"/>
      <c r="L383" s="430"/>
      <c r="M383" s="430"/>
      <c r="N383" s="461"/>
      <c r="O383" s="461"/>
      <c r="P383" s="430"/>
      <c r="Q383" s="430"/>
      <c r="R383" s="430"/>
      <c r="S383" s="430"/>
      <c r="T383" s="430"/>
      <c r="U383" s="430"/>
      <c r="V383" s="430"/>
      <c r="W383" s="430"/>
      <c r="X383" s="449"/>
      <c r="Y383" s="449"/>
      <c r="Z383" s="450"/>
      <c r="AA383" s="449"/>
      <c r="AB383" s="451"/>
      <c r="AC383" s="450"/>
      <c r="AD383" s="449"/>
      <c r="AE383" s="451"/>
      <c r="AF383" s="450"/>
      <c r="AG383" s="449"/>
      <c r="AH383" s="451"/>
      <c r="AI383" s="450"/>
      <c r="AJ383" s="449"/>
      <c r="AK383" s="451"/>
      <c r="AL383" s="450"/>
      <c r="AM383" s="449"/>
      <c r="AN383" s="451"/>
      <c r="AO383" s="450"/>
      <c r="AP383" s="449"/>
      <c r="AQ383" s="451"/>
      <c r="AR383" s="449"/>
      <c r="AS383" s="449"/>
      <c r="AT383" s="451"/>
      <c r="AU383" s="449"/>
      <c r="AV383" s="451"/>
      <c r="AW383" s="449"/>
      <c r="AX383" s="449"/>
      <c r="AY383" s="449"/>
      <c r="AZ383" s="449"/>
      <c r="BA383" s="449"/>
      <c r="BB383" s="449"/>
      <c r="BC383" s="449"/>
      <c r="BD383" s="449"/>
      <c r="BE383" s="449"/>
      <c r="BF383" s="449"/>
      <c r="BG383" s="449"/>
      <c r="BH383" s="449"/>
      <c r="BI383" s="449"/>
      <c r="BJ383" s="449"/>
      <c r="BK383" s="449"/>
      <c r="BL383" s="449"/>
      <c r="BM383" s="449"/>
      <c r="BN383" s="449"/>
    </row>
    <row r="384" spans="1:66" ht="13.15" x14ac:dyDescent="0.4">
      <c r="A384" s="430"/>
      <c r="B384" s="430"/>
      <c r="C384" s="430"/>
      <c r="D384" s="430"/>
      <c r="E384" s="430"/>
      <c r="F384" s="430"/>
      <c r="G384" s="430"/>
      <c r="H384" s="461"/>
      <c r="I384" s="438"/>
      <c r="J384" s="438"/>
      <c r="K384" s="438"/>
      <c r="L384" s="430"/>
      <c r="M384" s="430"/>
      <c r="N384" s="461"/>
      <c r="O384" s="461"/>
      <c r="P384" s="430"/>
      <c r="Q384" s="430"/>
      <c r="R384" s="430"/>
      <c r="S384" s="430"/>
      <c r="T384" s="430"/>
      <c r="U384" s="430"/>
      <c r="V384" s="430"/>
      <c r="W384" s="430"/>
      <c r="X384" s="449"/>
      <c r="Y384" s="449"/>
      <c r="Z384" s="450"/>
      <c r="AA384" s="449"/>
      <c r="AB384" s="451"/>
      <c r="AC384" s="450"/>
      <c r="AD384" s="449"/>
      <c r="AE384" s="451"/>
      <c r="AF384" s="450"/>
      <c r="AG384" s="449"/>
      <c r="AH384" s="451"/>
      <c r="AI384" s="450"/>
      <c r="AJ384" s="449"/>
      <c r="AK384" s="451"/>
      <c r="AL384" s="450"/>
      <c r="AM384" s="449"/>
      <c r="AN384" s="451"/>
      <c r="AO384" s="450"/>
      <c r="AP384" s="449"/>
      <c r="AQ384" s="451"/>
      <c r="AR384" s="449"/>
      <c r="AS384" s="449"/>
      <c r="AT384" s="451"/>
      <c r="AU384" s="449"/>
      <c r="AV384" s="451"/>
      <c r="AW384" s="449"/>
      <c r="AX384" s="449"/>
      <c r="AY384" s="449"/>
      <c r="AZ384" s="449"/>
      <c r="BA384" s="449"/>
      <c r="BB384" s="449"/>
      <c r="BC384" s="449"/>
      <c r="BD384" s="449"/>
      <c r="BE384" s="449"/>
      <c r="BF384" s="449"/>
      <c r="BG384" s="449"/>
      <c r="BH384" s="449"/>
      <c r="BI384" s="449"/>
      <c r="BJ384" s="449"/>
      <c r="BK384" s="449"/>
      <c r="BL384" s="449"/>
      <c r="BM384" s="449"/>
      <c r="BN384" s="449"/>
    </row>
    <row r="385" spans="1:66" ht="13.15" x14ac:dyDescent="0.4">
      <c r="A385" s="430"/>
      <c r="B385" s="430"/>
      <c r="C385" s="430"/>
      <c r="D385" s="430"/>
      <c r="E385" s="430"/>
      <c r="F385" s="430"/>
      <c r="G385" s="430"/>
      <c r="H385" s="461"/>
      <c r="I385" s="438"/>
      <c r="J385" s="438"/>
      <c r="K385" s="438"/>
      <c r="L385" s="430"/>
      <c r="M385" s="430"/>
      <c r="N385" s="461"/>
      <c r="O385" s="461"/>
      <c r="P385" s="430"/>
      <c r="Q385" s="430"/>
      <c r="R385" s="430"/>
      <c r="S385" s="430"/>
      <c r="T385" s="430"/>
      <c r="U385" s="430"/>
      <c r="V385" s="430"/>
      <c r="W385" s="430"/>
      <c r="X385" s="449"/>
      <c r="Y385" s="449"/>
      <c r="Z385" s="450"/>
      <c r="AA385" s="449"/>
      <c r="AB385" s="451"/>
      <c r="AC385" s="450"/>
      <c r="AD385" s="449"/>
      <c r="AE385" s="451"/>
      <c r="AF385" s="450"/>
      <c r="AG385" s="449"/>
      <c r="AH385" s="451"/>
      <c r="AI385" s="450"/>
      <c r="AJ385" s="449"/>
      <c r="AK385" s="451"/>
      <c r="AL385" s="450"/>
      <c r="AM385" s="449"/>
      <c r="AN385" s="451"/>
      <c r="AO385" s="450"/>
      <c r="AP385" s="449"/>
      <c r="AQ385" s="451"/>
      <c r="AR385" s="449"/>
      <c r="AS385" s="449"/>
      <c r="AT385" s="451"/>
      <c r="AU385" s="449"/>
      <c r="AV385" s="451"/>
      <c r="AW385" s="449"/>
      <c r="AX385" s="449"/>
      <c r="AY385" s="449"/>
      <c r="AZ385" s="449"/>
      <c r="BA385" s="449"/>
      <c r="BB385" s="449"/>
      <c r="BC385" s="449"/>
      <c r="BD385" s="449"/>
      <c r="BE385" s="449"/>
      <c r="BF385" s="449"/>
      <c r="BG385" s="449"/>
      <c r="BH385" s="449"/>
      <c r="BI385" s="449"/>
      <c r="BJ385" s="449"/>
      <c r="BK385" s="449"/>
      <c r="BL385" s="449"/>
      <c r="BM385" s="449"/>
      <c r="BN385" s="449"/>
    </row>
    <row r="386" spans="1:66" ht="13.15" x14ac:dyDescent="0.4">
      <c r="A386" s="430"/>
      <c r="B386" s="430"/>
      <c r="C386" s="430"/>
      <c r="D386" s="430"/>
      <c r="E386" s="430"/>
      <c r="F386" s="430"/>
      <c r="G386" s="430"/>
      <c r="H386" s="461"/>
      <c r="I386" s="438"/>
      <c r="J386" s="438"/>
      <c r="K386" s="438"/>
      <c r="L386" s="430"/>
      <c r="M386" s="430"/>
      <c r="N386" s="461"/>
      <c r="O386" s="461"/>
      <c r="P386" s="430"/>
      <c r="Q386" s="430"/>
      <c r="R386" s="430"/>
      <c r="S386" s="430"/>
      <c r="T386" s="430"/>
      <c r="U386" s="430"/>
      <c r="V386" s="430"/>
      <c r="W386" s="430"/>
      <c r="X386" s="449"/>
      <c r="Y386" s="449"/>
      <c r="Z386" s="450"/>
      <c r="AA386" s="449"/>
      <c r="AB386" s="451"/>
      <c r="AC386" s="450"/>
      <c r="AD386" s="449"/>
      <c r="AE386" s="451"/>
      <c r="AF386" s="450"/>
      <c r="AG386" s="449"/>
      <c r="AH386" s="451"/>
      <c r="AI386" s="450"/>
      <c r="AJ386" s="449"/>
      <c r="AK386" s="451"/>
      <c r="AL386" s="450"/>
      <c r="AM386" s="449"/>
      <c r="AN386" s="451"/>
      <c r="AO386" s="450"/>
      <c r="AP386" s="449"/>
      <c r="AQ386" s="451"/>
      <c r="AR386" s="449"/>
      <c r="AS386" s="449"/>
      <c r="AT386" s="451"/>
      <c r="AU386" s="449"/>
      <c r="AV386" s="451"/>
      <c r="AW386" s="449"/>
      <c r="AX386" s="449"/>
      <c r="AY386" s="449"/>
      <c r="AZ386" s="449"/>
      <c r="BA386" s="449"/>
      <c r="BB386" s="449"/>
      <c r="BC386" s="449"/>
      <c r="BD386" s="449"/>
      <c r="BE386" s="449"/>
      <c r="BF386" s="449"/>
      <c r="BG386" s="449"/>
      <c r="BH386" s="449"/>
      <c r="BI386" s="449"/>
      <c r="BJ386" s="449"/>
      <c r="BK386" s="449"/>
      <c r="BL386" s="449"/>
      <c r="BM386" s="449"/>
      <c r="BN386" s="449"/>
    </row>
    <row r="387" spans="1:66" ht="13.15" x14ac:dyDescent="0.4">
      <c r="A387" s="430"/>
      <c r="B387" s="430"/>
      <c r="C387" s="430"/>
      <c r="D387" s="430"/>
      <c r="E387" s="430"/>
      <c r="F387" s="430"/>
      <c r="G387" s="430"/>
      <c r="H387" s="461"/>
      <c r="I387" s="438"/>
      <c r="J387" s="438"/>
      <c r="K387" s="438"/>
      <c r="L387" s="430"/>
      <c r="M387" s="430"/>
      <c r="N387" s="461"/>
      <c r="O387" s="461"/>
      <c r="P387" s="430"/>
      <c r="Q387" s="430"/>
      <c r="R387" s="430"/>
      <c r="S387" s="430"/>
      <c r="T387" s="430"/>
      <c r="U387" s="430"/>
      <c r="V387" s="430"/>
      <c r="W387" s="430"/>
      <c r="X387" s="449"/>
      <c r="Y387" s="449"/>
      <c r="Z387" s="450"/>
      <c r="AA387" s="449"/>
      <c r="AB387" s="451"/>
      <c r="AC387" s="450"/>
      <c r="AD387" s="449"/>
      <c r="AE387" s="451"/>
      <c r="AF387" s="450"/>
      <c r="AG387" s="449"/>
      <c r="AH387" s="451"/>
      <c r="AI387" s="450"/>
      <c r="AJ387" s="449"/>
      <c r="AK387" s="451"/>
      <c r="AL387" s="450"/>
      <c r="AM387" s="449"/>
      <c r="AN387" s="451"/>
      <c r="AO387" s="450"/>
      <c r="AP387" s="449"/>
      <c r="AQ387" s="451"/>
      <c r="AR387" s="449"/>
      <c r="AS387" s="449"/>
      <c r="AT387" s="451"/>
      <c r="AU387" s="449"/>
      <c r="AV387" s="451"/>
      <c r="AW387" s="449"/>
      <c r="AX387" s="449"/>
      <c r="AY387" s="449"/>
      <c r="AZ387" s="449"/>
      <c r="BA387" s="449"/>
      <c r="BB387" s="449"/>
      <c r="BC387" s="449"/>
      <c r="BD387" s="449"/>
      <c r="BE387" s="449"/>
      <c r="BF387" s="449"/>
      <c r="BG387" s="449"/>
      <c r="BH387" s="449"/>
      <c r="BI387" s="449"/>
      <c r="BJ387" s="449"/>
      <c r="BK387" s="449"/>
      <c r="BL387" s="449"/>
      <c r="BM387" s="449"/>
      <c r="BN387" s="449"/>
    </row>
    <row r="388" spans="1:66" ht="13.15" x14ac:dyDescent="0.4">
      <c r="A388" s="430"/>
      <c r="B388" s="430"/>
      <c r="C388" s="430"/>
      <c r="D388" s="430"/>
      <c r="E388" s="430"/>
      <c r="F388" s="430"/>
      <c r="G388" s="430"/>
      <c r="H388" s="461"/>
      <c r="I388" s="438"/>
      <c r="J388" s="438"/>
      <c r="K388" s="438"/>
      <c r="L388" s="430"/>
      <c r="M388" s="430"/>
      <c r="N388" s="461"/>
      <c r="O388" s="461"/>
      <c r="P388" s="430"/>
      <c r="Q388" s="430"/>
      <c r="R388" s="430"/>
      <c r="S388" s="430"/>
      <c r="T388" s="430"/>
      <c r="U388" s="430"/>
      <c r="V388" s="430"/>
      <c r="W388" s="430"/>
      <c r="X388" s="449"/>
      <c r="Y388" s="449"/>
      <c r="Z388" s="450"/>
      <c r="AA388" s="449"/>
      <c r="AB388" s="451"/>
      <c r="AC388" s="450"/>
      <c r="AD388" s="449"/>
      <c r="AE388" s="451"/>
      <c r="AF388" s="450"/>
      <c r="AG388" s="449"/>
      <c r="AH388" s="451"/>
      <c r="AI388" s="450"/>
      <c r="AJ388" s="449"/>
      <c r="AK388" s="451"/>
      <c r="AL388" s="450"/>
      <c r="AM388" s="449"/>
      <c r="AN388" s="451"/>
      <c r="AO388" s="450"/>
      <c r="AP388" s="449"/>
      <c r="AQ388" s="451"/>
      <c r="AR388" s="449"/>
      <c r="AS388" s="449"/>
      <c r="AT388" s="451"/>
      <c r="AU388" s="449"/>
      <c r="AV388" s="451"/>
      <c r="AW388" s="449"/>
      <c r="AX388" s="449"/>
      <c r="AY388" s="449"/>
      <c r="AZ388" s="449"/>
      <c r="BA388" s="449"/>
      <c r="BB388" s="449"/>
      <c r="BC388" s="449"/>
      <c r="BD388" s="449"/>
      <c r="BE388" s="449"/>
      <c r="BF388" s="449"/>
      <c r="BG388" s="449"/>
      <c r="BH388" s="449"/>
      <c r="BI388" s="449"/>
      <c r="BJ388" s="449"/>
      <c r="BK388" s="449"/>
      <c r="BL388" s="449"/>
      <c r="BM388" s="449"/>
      <c r="BN388" s="449"/>
    </row>
    <row r="389" spans="1:66" ht="13.15" x14ac:dyDescent="0.4">
      <c r="A389" s="430"/>
      <c r="B389" s="430"/>
      <c r="C389" s="430"/>
      <c r="D389" s="430"/>
      <c r="E389" s="430"/>
      <c r="F389" s="430"/>
      <c r="G389" s="430"/>
      <c r="H389" s="461"/>
      <c r="I389" s="438"/>
      <c r="J389" s="438"/>
      <c r="K389" s="438"/>
      <c r="L389" s="430"/>
      <c r="M389" s="430"/>
      <c r="N389" s="461"/>
      <c r="O389" s="461"/>
      <c r="P389" s="430"/>
      <c r="Q389" s="430"/>
      <c r="R389" s="430"/>
      <c r="S389" s="430"/>
      <c r="T389" s="430"/>
      <c r="U389" s="430"/>
      <c r="V389" s="430"/>
      <c r="W389" s="430"/>
      <c r="X389" s="449"/>
      <c r="Y389" s="449"/>
      <c r="Z389" s="450"/>
      <c r="AA389" s="449"/>
      <c r="AB389" s="451"/>
      <c r="AC389" s="450"/>
      <c r="AD389" s="449"/>
      <c r="AE389" s="451"/>
      <c r="AF389" s="450"/>
      <c r="AG389" s="449"/>
      <c r="AH389" s="451"/>
      <c r="AI389" s="450"/>
      <c r="AJ389" s="449"/>
      <c r="AK389" s="451"/>
      <c r="AL389" s="450"/>
      <c r="AM389" s="449"/>
      <c r="AN389" s="451"/>
      <c r="AO389" s="450"/>
      <c r="AP389" s="449"/>
      <c r="AQ389" s="451"/>
      <c r="AR389" s="449"/>
      <c r="AS389" s="449"/>
      <c r="AT389" s="451"/>
      <c r="AU389" s="449"/>
      <c r="AV389" s="451"/>
      <c r="AW389" s="449"/>
      <c r="AX389" s="449"/>
      <c r="AY389" s="449"/>
      <c r="AZ389" s="449"/>
      <c r="BA389" s="449"/>
      <c r="BB389" s="449"/>
      <c r="BC389" s="449"/>
      <c r="BD389" s="449"/>
      <c r="BE389" s="449"/>
      <c r="BF389" s="449"/>
      <c r="BG389" s="449"/>
      <c r="BH389" s="449"/>
      <c r="BI389" s="449"/>
      <c r="BJ389" s="449"/>
      <c r="BK389" s="449"/>
      <c r="BL389" s="449"/>
      <c r="BM389" s="449"/>
      <c r="BN389" s="449"/>
    </row>
    <row r="390" spans="1:66" ht="13.15" x14ac:dyDescent="0.4">
      <c r="A390" s="430"/>
      <c r="B390" s="430"/>
      <c r="C390" s="430"/>
      <c r="D390" s="430"/>
      <c r="E390" s="430"/>
      <c r="F390" s="430"/>
      <c r="G390" s="430"/>
      <c r="H390" s="461"/>
      <c r="I390" s="438"/>
      <c r="J390" s="438"/>
      <c r="K390" s="438"/>
      <c r="L390" s="430"/>
      <c r="M390" s="430"/>
      <c r="N390" s="461"/>
      <c r="O390" s="461"/>
      <c r="P390" s="430"/>
      <c r="Q390" s="430"/>
      <c r="R390" s="430"/>
      <c r="S390" s="430"/>
      <c r="T390" s="430"/>
      <c r="U390" s="430"/>
      <c r="V390" s="430"/>
      <c r="W390" s="430"/>
      <c r="X390" s="449"/>
      <c r="Y390" s="449"/>
      <c r="Z390" s="450"/>
      <c r="AA390" s="449"/>
      <c r="AB390" s="451"/>
      <c r="AC390" s="450"/>
      <c r="AD390" s="449"/>
      <c r="AE390" s="451"/>
      <c r="AF390" s="450"/>
      <c r="AG390" s="449"/>
      <c r="AH390" s="451"/>
      <c r="AI390" s="450"/>
      <c r="AJ390" s="449"/>
      <c r="AK390" s="451"/>
      <c r="AL390" s="450"/>
      <c r="AM390" s="449"/>
      <c r="AN390" s="451"/>
      <c r="AO390" s="450"/>
      <c r="AP390" s="449"/>
      <c r="AQ390" s="451"/>
      <c r="AR390" s="449"/>
      <c r="AS390" s="449"/>
      <c r="AT390" s="451"/>
      <c r="AU390" s="449"/>
      <c r="AV390" s="451"/>
      <c r="AW390" s="449"/>
      <c r="AX390" s="449"/>
      <c r="AY390" s="449"/>
      <c r="AZ390" s="449"/>
      <c r="BA390" s="449"/>
      <c r="BB390" s="449"/>
      <c r="BC390" s="449"/>
      <c r="BD390" s="449"/>
      <c r="BE390" s="449"/>
      <c r="BF390" s="449"/>
      <c r="BG390" s="449"/>
      <c r="BH390" s="449"/>
      <c r="BI390" s="449"/>
      <c r="BJ390" s="449"/>
      <c r="BK390" s="449"/>
      <c r="BL390" s="449"/>
      <c r="BM390" s="449"/>
      <c r="BN390" s="449"/>
    </row>
    <row r="391" spans="1:66" ht="13.15" x14ac:dyDescent="0.4">
      <c r="A391" s="430"/>
      <c r="B391" s="430"/>
      <c r="C391" s="430"/>
      <c r="D391" s="430"/>
      <c r="E391" s="430"/>
      <c r="F391" s="430"/>
      <c r="G391" s="430"/>
      <c r="H391" s="461"/>
      <c r="I391" s="438"/>
      <c r="J391" s="438"/>
      <c r="K391" s="438"/>
      <c r="L391" s="430"/>
      <c r="M391" s="430"/>
      <c r="N391" s="461"/>
      <c r="O391" s="461"/>
      <c r="P391" s="430"/>
      <c r="Q391" s="430"/>
      <c r="R391" s="430"/>
      <c r="S391" s="430"/>
      <c r="T391" s="430"/>
      <c r="U391" s="430"/>
      <c r="V391" s="430"/>
      <c r="W391" s="430"/>
      <c r="X391" s="449"/>
      <c r="Y391" s="449"/>
      <c r="Z391" s="450"/>
      <c r="AA391" s="449"/>
      <c r="AB391" s="451"/>
      <c r="AC391" s="450"/>
      <c r="AD391" s="449"/>
      <c r="AE391" s="451"/>
      <c r="AF391" s="450"/>
      <c r="AG391" s="449"/>
      <c r="AH391" s="451"/>
      <c r="AI391" s="450"/>
      <c r="AJ391" s="449"/>
      <c r="AK391" s="451"/>
      <c r="AL391" s="450"/>
      <c r="AM391" s="449"/>
      <c r="AN391" s="451"/>
      <c r="AO391" s="450"/>
      <c r="AP391" s="449"/>
      <c r="AQ391" s="451"/>
      <c r="AR391" s="449"/>
      <c r="AS391" s="449"/>
      <c r="AT391" s="451"/>
      <c r="AU391" s="449"/>
      <c r="AV391" s="451"/>
      <c r="AW391" s="449"/>
      <c r="AX391" s="449"/>
      <c r="AY391" s="449"/>
      <c r="AZ391" s="449"/>
      <c r="BA391" s="449"/>
      <c r="BB391" s="449"/>
      <c r="BC391" s="449"/>
      <c r="BD391" s="449"/>
      <c r="BE391" s="449"/>
      <c r="BF391" s="449"/>
      <c r="BG391" s="449"/>
      <c r="BH391" s="449"/>
      <c r="BI391" s="449"/>
      <c r="BJ391" s="449"/>
      <c r="BK391" s="449"/>
      <c r="BL391" s="449"/>
      <c r="BM391" s="449"/>
      <c r="BN391" s="449"/>
    </row>
    <row r="392" spans="1:66" ht="13.15" x14ac:dyDescent="0.4">
      <c r="A392" s="430"/>
      <c r="B392" s="430"/>
      <c r="C392" s="430"/>
      <c r="D392" s="430"/>
      <c r="E392" s="430"/>
      <c r="F392" s="430"/>
      <c r="G392" s="430"/>
      <c r="H392" s="461"/>
      <c r="I392" s="438"/>
      <c r="J392" s="438"/>
      <c r="K392" s="438"/>
      <c r="L392" s="430"/>
      <c r="M392" s="430"/>
      <c r="N392" s="461"/>
      <c r="O392" s="461"/>
      <c r="P392" s="430"/>
      <c r="Q392" s="430"/>
      <c r="R392" s="430"/>
      <c r="S392" s="430"/>
      <c r="T392" s="430"/>
      <c r="U392" s="430"/>
      <c r="V392" s="430"/>
      <c r="W392" s="430"/>
      <c r="X392" s="449"/>
      <c r="Y392" s="449"/>
      <c r="Z392" s="450"/>
      <c r="AA392" s="449"/>
      <c r="AB392" s="451"/>
      <c r="AC392" s="450"/>
      <c r="AD392" s="449"/>
      <c r="AE392" s="451"/>
      <c r="AF392" s="450"/>
      <c r="AG392" s="449"/>
      <c r="AH392" s="451"/>
      <c r="AI392" s="450"/>
      <c r="AJ392" s="449"/>
      <c r="AK392" s="451"/>
      <c r="AL392" s="450"/>
      <c r="AM392" s="449"/>
      <c r="AN392" s="451"/>
      <c r="AO392" s="450"/>
      <c r="AP392" s="449"/>
      <c r="AQ392" s="451"/>
      <c r="AR392" s="449"/>
      <c r="AS392" s="449"/>
      <c r="AT392" s="451"/>
      <c r="AU392" s="449"/>
      <c r="AV392" s="451"/>
      <c r="AW392" s="449"/>
      <c r="AX392" s="449"/>
      <c r="AY392" s="449"/>
      <c r="AZ392" s="449"/>
      <c r="BA392" s="449"/>
      <c r="BB392" s="449"/>
      <c r="BC392" s="449"/>
      <c r="BD392" s="449"/>
      <c r="BE392" s="449"/>
      <c r="BF392" s="449"/>
      <c r="BG392" s="449"/>
      <c r="BH392" s="449"/>
      <c r="BI392" s="449"/>
      <c r="BJ392" s="449"/>
      <c r="BK392" s="449"/>
      <c r="BL392" s="449"/>
      <c r="BM392" s="449"/>
      <c r="BN392" s="449"/>
    </row>
    <row r="393" spans="1:66" ht="13.15" x14ac:dyDescent="0.4">
      <c r="A393" s="430"/>
      <c r="B393" s="430"/>
      <c r="C393" s="430"/>
      <c r="D393" s="430"/>
      <c r="E393" s="430"/>
      <c r="F393" s="430"/>
      <c r="G393" s="430"/>
      <c r="H393" s="461"/>
      <c r="I393" s="438"/>
      <c r="J393" s="438"/>
      <c r="K393" s="438"/>
      <c r="L393" s="430"/>
      <c r="M393" s="430"/>
      <c r="N393" s="461"/>
      <c r="O393" s="461"/>
      <c r="P393" s="430"/>
      <c r="Q393" s="430"/>
      <c r="R393" s="430"/>
      <c r="S393" s="430"/>
      <c r="T393" s="430"/>
      <c r="U393" s="430"/>
      <c r="V393" s="430"/>
      <c r="W393" s="430"/>
      <c r="X393" s="449"/>
      <c r="Y393" s="449"/>
      <c r="Z393" s="450"/>
      <c r="AA393" s="449"/>
      <c r="AB393" s="451"/>
      <c r="AC393" s="450"/>
      <c r="AD393" s="449"/>
      <c r="AE393" s="451"/>
      <c r="AF393" s="450"/>
      <c r="AG393" s="449"/>
      <c r="AH393" s="451"/>
      <c r="AI393" s="450"/>
      <c r="AJ393" s="449"/>
      <c r="AK393" s="451"/>
      <c r="AL393" s="450"/>
      <c r="AM393" s="449"/>
      <c r="AN393" s="451"/>
      <c r="AO393" s="450"/>
      <c r="AP393" s="449"/>
      <c r="AQ393" s="451"/>
      <c r="AR393" s="449"/>
      <c r="AS393" s="449"/>
      <c r="AT393" s="451"/>
      <c r="AU393" s="449"/>
      <c r="AV393" s="451"/>
      <c r="AW393" s="449"/>
      <c r="AX393" s="449"/>
      <c r="AY393" s="449"/>
      <c r="AZ393" s="449"/>
      <c r="BA393" s="449"/>
      <c r="BB393" s="449"/>
      <c r="BC393" s="449"/>
      <c r="BD393" s="449"/>
      <c r="BE393" s="449"/>
      <c r="BF393" s="449"/>
      <c r="BG393" s="449"/>
      <c r="BH393" s="449"/>
      <c r="BI393" s="449"/>
      <c r="BJ393" s="449"/>
      <c r="BK393" s="449"/>
      <c r="BL393" s="449"/>
      <c r="BM393" s="449"/>
      <c r="BN393" s="449"/>
    </row>
    <row r="394" spans="1:66" ht="13.15" x14ac:dyDescent="0.4">
      <c r="A394" s="430"/>
      <c r="B394" s="430"/>
      <c r="C394" s="430"/>
      <c r="D394" s="430"/>
      <c r="E394" s="430"/>
      <c r="F394" s="430"/>
      <c r="G394" s="430"/>
      <c r="H394" s="461"/>
      <c r="I394" s="438"/>
      <c r="J394" s="438"/>
      <c r="K394" s="438"/>
      <c r="L394" s="430"/>
      <c r="M394" s="430"/>
      <c r="N394" s="461"/>
      <c r="O394" s="461"/>
      <c r="P394" s="430"/>
      <c r="Q394" s="430"/>
      <c r="R394" s="430"/>
      <c r="S394" s="430"/>
      <c r="T394" s="430"/>
      <c r="U394" s="430"/>
      <c r="V394" s="430"/>
      <c r="W394" s="430"/>
      <c r="X394" s="449"/>
      <c r="Y394" s="449"/>
      <c r="Z394" s="450"/>
      <c r="AA394" s="449"/>
      <c r="AB394" s="451"/>
      <c r="AC394" s="450"/>
      <c r="AD394" s="449"/>
      <c r="AE394" s="451"/>
      <c r="AF394" s="450"/>
      <c r="AG394" s="449"/>
      <c r="AH394" s="451"/>
      <c r="AI394" s="450"/>
      <c r="AJ394" s="449"/>
      <c r="AK394" s="451"/>
      <c r="AL394" s="450"/>
      <c r="AM394" s="449"/>
      <c r="AN394" s="451"/>
      <c r="AO394" s="450"/>
      <c r="AP394" s="449"/>
      <c r="AQ394" s="451"/>
      <c r="AR394" s="449"/>
      <c r="AS394" s="449"/>
      <c r="AT394" s="451"/>
      <c r="AU394" s="449"/>
      <c r="AV394" s="451"/>
      <c r="AW394" s="449"/>
      <c r="AX394" s="449"/>
      <c r="AY394" s="449"/>
      <c r="AZ394" s="449"/>
      <c r="BA394" s="449"/>
      <c r="BB394" s="449"/>
      <c r="BC394" s="449"/>
      <c r="BD394" s="449"/>
      <c r="BE394" s="449"/>
      <c r="BF394" s="449"/>
      <c r="BG394" s="449"/>
      <c r="BH394" s="449"/>
      <c r="BI394" s="449"/>
      <c r="BJ394" s="449"/>
      <c r="BK394" s="449"/>
      <c r="BL394" s="449"/>
      <c r="BM394" s="449"/>
      <c r="BN394" s="449"/>
    </row>
    <row r="395" spans="1:66" ht="13.15" x14ac:dyDescent="0.4">
      <c r="A395" s="430"/>
      <c r="B395" s="430"/>
      <c r="C395" s="430"/>
      <c r="D395" s="430"/>
      <c r="E395" s="430"/>
      <c r="F395" s="430"/>
      <c r="G395" s="430"/>
      <c r="H395" s="461"/>
      <c r="I395" s="438"/>
      <c r="J395" s="438"/>
      <c r="K395" s="438"/>
      <c r="L395" s="430"/>
      <c r="M395" s="430"/>
      <c r="N395" s="461"/>
      <c r="O395" s="461"/>
      <c r="P395" s="430"/>
      <c r="Q395" s="430"/>
      <c r="R395" s="430"/>
      <c r="S395" s="430"/>
      <c r="T395" s="430"/>
      <c r="U395" s="430"/>
      <c r="V395" s="430"/>
      <c r="W395" s="430"/>
      <c r="X395" s="449"/>
      <c r="Y395" s="449"/>
      <c r="Z395" s="450"/>
      <c r="AA395" s="449"/>
      <c r="AB395" s="451"/>
      <c r="AC395" s="450"/>
      <c r="AD395" s="449"/>
      <c r="AE395" s="451"/>
      <c r="AF395" s="450"/>
      <c r="AG395" s="449"/>
      <c r="AH395" s="451"/>
      <c r="AI395" s="450"/>
      <c r="AJ395" s="449"/>
      <c r="AK395" s="451"/>
      <c r="AL395" s="450"/>
      <c r="AM395" s="449"/>
      <c r="AN395" s="451"/>
      <c r="AO395" s="450"/>
      <c r="AP395" s="449"/>
      <c r="AQ395" s="451"/>
      <c r="AR395" s="449"/>
      <c r="AS395" s="449"/>
      <c r="AT395" s="451"/>
      <c r="AU395" s="449"/>
      <c r="AV395" s="451"/>
      <c r="AW395" s="449"/>
      <c r="AX395" s="449"/>
      <c r="AY395" s="449"/>
      <c r="AZ395" s="449"/>
      <c r="BA395" s="449"/>
      <c r="BB395" s="449"/>
      <c r="BC395" s="449"/>
      <c r="BD395" s="449"/>
      <c r="BE395" s="449"/>
      <c r="BF395" s="449"/>
      <c r="BG395" s="449"/>
      <c r="BH395" s="449"/>
      <c r="BI395" s="449"/>
      <c r="BJ395" s="449"/>
      <c r="BK395" s="449"/>
      <c r="BL395" s="449"/>
      <c r="BM395" s="449"/>
      <c r="BN395" s="449"/>
    </row>
    <row r="396" spans="1:66" ht="13.15" x14ac:dyDescent="0.4">
      <c r="A396" s="430"/>
      <c r="B396" s="430"/>
      <c r="C396" s="430"/>
      <c r="D396" s="430"/>
      <c r="E396" s="430"/>
      <c r="F396" s="430"/>
      <c r="G396" s="430"/>
      <c r="H396" s="461"/>
      <c r="I396" s="438"/>
      <c r="J396" s="438"/>
      <c r="K396" s="438"/>
      <c r="L396" s="430"/>
      <c r="M396" s="430"/>
      <c r="N396" s="461"/>
      <c r="O396" s="461"/>
      <c r="P396" s="430"/>
      <c r="Q396" s="430"/>
      <c r="R396" s="430"/>
      <c r="S396" s="430"/>
      <c r="T396" s="430"/>
      <c r="U396" s="430"/>
      <c r="V396" s="430"/>
      <c r="W396" s="430"/>
      <c r="X396" s="449"/>
      <c r="Y396" s="449"/>
      <c r="Z396" s="450"/>
      <c r="AA396" s="449"/>
      <c r="AB396" s="451"/>
      <c r="AC396" s="450"/>
      <c r="AD396" s="449"/>
      <c r="AE396" s="451"/>
      <c r="AF396" s="450"/>
      <c r="AG396" s="449"/>
      <c r="AH396" s="451"/>
      <c r="AI396" s="450"/>
      <c r="AJ396" s="449"/>
      <c r="AK396" s="451"/>
      <c r="AL396" s="450"/>
      <c r="AM396" s="449"/>
      <c r="AN396" s="451"/>
      <c r="AO396" s="450"/>
      <c r="AP396" s="449"/>
      <c r="AQ396" s="451"/>
      <c r="AR396" s="449"/>
      <c r="AS396" s="449"/>
      <c r="AT396" s="451"/>
      <c r="AU396" s="449"/>
      <c r="AV396" s="451"/>
      <c r="AW396" s="449"/>
      <c r="AX396" s="449"/>
      <c r="AY396" s="449"/>
      <c r="AZ396" s="449"/>
      <c r="BA396" s="449"/>
      <c r="BB396" s="449"/>
      <c r="BC396" s="449"/>
      <c r="BD396" s="449"/>
      <c r="BE396" s="449"/>
      <c r="BF396" s="449"/>
      <c r="BG396" s="449"/>
      <c r="BH396" s="449"/>
      <c r="BI396" s="449"/>
      <c r="BJ396" s="449"/>
      <c r="BK396" s="449"/>
      <c r="BL396" s="449"/>
      <c r="BM396" s="449"/>
      <c r="BN396" s="449"/>
    </row>
    <row r="397" spans="1:66" ht="13.15" x14ac:dyDescent="0.4">
      <c r="A397" s="430"/>
      <c r="B397" s="430"/>
      <c r="C397" s="430"/>
      <c r="D397" s="430"/>
      <c r="E397" s="430"/>
      <c r="F397" s="430"/>
      <c r="G397" s="430"/>
      <c r="H397" s="461"/>
      <c r="I397" s="438"/>
      <c r="J397" s="438"/>
      <c r="K397" s="438"/>
      <c r="L397" s="430"/>
      <c r="M397" s="430"/>
      <c r="N397" s="461"/>
      <c r="O397" s="461"/>
      <c r="P397" s="430"/>
      <c r="Q397" s="430"/>
      <c r="R397" s="430"/>
      <c r="S397" s="430"/>
      <c r="T397" s="430"/>
      <c r="U397" s="430"/>
      <c r="V397" s="430"/>
      <c r="W397" s="430"/>
      <c r="X397" s="449"/>
      <c r="Y397" s="449"/>
      <c r="Z397" s="450"/>
      <c r="AA397" s="449"/>
      <c r="AB397" s="451"/>
      <c r="AC397" s="450"/>
      <c r="AD397" s="449"/>
      <c r="AE397" s="451"/>
      <c r="AF397" s="450"/>
      <c r="AG397" s="449"/>
      <c r="AH397" s="451"/>
      <c r="AI397" s="450"/>
      <c r="AJ397" s="449"/>
      <c r="AK397" s="451"/>
      <c r="AL397" s="450"/>
      <c r="AM397" s="449"/>
      <c r="AN397" s="451"/>
      <c r="AO397" s="450"/>
      <c r="AP397" s="449"/>
      <c r="AQ397" s="451"/>
      <c r="AR397" s="449"/>
      <c r="AS397" s="449"/>
      <c r="AT397" s="451"/>
      <c r="AU397" s="449"/>
      <c r="AV397" s="451"/>
      <c r="AW397" s="449"/>
      <c r="AX397" s="449"/>
      <c r="AY397" s="449"/>
      <c r="AZ397" s="449"/>
      <c r="BA397" s="449"/>
      <c r="BB397" s="449"/>
      <c r="BC397" s="449"/>
      <c r="BD397" s="449"/>
      <c r="BE397" s="449"/>
      <c r="BF397" s="449"/>
      <c r="BG397" s="449"/>
      <c r="BH397" s="449"/>
      <c r="BI397" s="449"/>
      <c r="BJ397" s="449"/>
      <c r="BK397" s="449"/>
      <c r="BL397" s="449"/>
      <c r="BM397" s="449"/>
      <c r="BN397" s="449"/>
    </row>
    <row r="398" spans="1:66" ht="13.15" x14ac:dyDescent="0.4">
      <c r="A398" s="430"/>
      <c r="B398" s="430"/>
      <c r="C398" s="430"/>
      <c r="D398" s="430"/>
      <c r="E398" s="430"/>
      <c r="F398" s="430"/>
      <c r="G398" s="430"/>
      <c r="H398" s="461"/>
      <c r="I398" s="438"/>
      <c r="J398" s="438"/>
      <c r="K398" s="438"/>
      <c r="L398" s="430"/>
      <c r="M398" s="430"/>
      <c r="N398" s="461"/>
      <c r="O398" s="461"/>
      <c r="P398" s="430"/>
      <c r="Q398" s="430"/>
      <c r="R398" s="430"/>
      <c r="S398" s="430"/>
      <c r="T398" s="430"/>
      <c r="U398" s="430"/>
      <c r="V398" s="430"/>
      <c r="W398" s="430"/>
      <c r="X398" s="449"/>
      <c r="Y398" s="449"/>
      <c r="Z398" s="450"/>
      <c r="AA398" s="449"/>
      <c r="AB398" s="451"/>
      <c r="AC398" s="450"/>
      <c r="AD398" s="449"/>
      <c r="AE398" s="451"/>
      <c r="AF398" s="450"/>
      <c r="AG398" s="449"/>
      <c r="AH398" s="451"/>
      <c r="AI398" s="450"/>
      <c r="AJ398" s="449"/>
      <c r="AK398" s="451"/>
      <c r="AL398" s="450"/>
      <c r="AM398" s="449"/>
      <c r="AN398" s="451"/>
      <c r="AO398" s="450"/>
      <c r="AP398" s="449"/>
      <c r="AQ398" s="451"/>
      <c r="AR398" s="449"/>
      <c r="AS398" s="449"/>
      <c r="AT398" s="451"/>
      <c r="AU398" s="449"/>
      <c r="AV398" s="451"/>
      <c r="AW398" s="449"/>
      <c r="AX398" s="449"/>
      <c r="AY398" s="449"/>
      <c r="AZ398" s="449"/>
      <c r="BA398" s="449"/>
      <c r="BB398" s="449"/>
      <c r="BC398" s="449"/>
      <c r="BD398" s="449"/>
      <c r="BE398" s="449"/>
      <c r="BF398" s="449"/>
      <c r="BG398" s="449"/>
      <c r="BH398" s="449"/>
      <c r="BI398" s="449"/>
      <c r="BJ398" s="449"/>
      <c r="BK398" s="449"/>
      <c r="BL398" s="449"/>
      <c r="BM398" s="449"/>
      <c r="BN398" s="449"/>
    </row>
    <row r="399" spans="1:66" ht="13.15" x14ac:dyDescent="0.4">
      <c r="A399" s="430"/>
      <c r="B399" s="430"/>
      <c r="C399" s="430"/>
      <c r="D399" s="430"/>
      <c r="E399" s="430"/>
      <c r="F399" s="430"/>
      <c r="G399" s="430"/>
      <c r="H399" s="461"/>
      <c r="I399" s="438"/>
      <c r="J399" s="438"/>
      <c r="K399" s="438"/>
      <c r="L399" s="430"/>
      <c r="M399" s="430"/>
      <c r="N399" s="461"/>
      <c r="O399" s="461"/>
      <c r="P399" s="430"/>
      <c r="Q399" s="430"/>
      <c r="R399" s="430"/>
      <c r="S399" s="430"/>
      <c r="T399" s="430"/>
      <c r="U399" s="430"/>
      <c r="V399" s="430"/>
      <c r="W399" s="430"/>
      <c r="X399" s="449"/>
      <c r="Y399" s="449"/>
      <c r="Z399" s="450"/>
      <c r="AA399" s="449"/>
      <c r="AB399" s="451"/>
      <c r="AC399" s="450"/>
      <c r="AD399" s="449"/>
      <c r="AE399" s="451"/>
      <c r="AF399" s="450"/>
      <c r="AG399" s="449"/>
      <c r="AH399" s="451"/>
      <c r="AI399" s="450"/>
      <c r="AJ399" s="449"/>
      <c r="AK399" s="451"/>
      <c r="AL399" s="450"/>
      <c r="AM399" s="449"/>
      <c r="AN399" s="451"/>
      <c r="AO399" s="450"/>
      <c r="AP399" s="449"/>
      <c r="AQ399" s="451"/>
      <c r="AR399" s="449"/>
      <c r="AS399" s="449"/>
      <c r="AT399" s="451"/>
      <c r="AU399" s="449"/>
      <c r="AV399" s="451"/>
      <c r="AW399" s="449"/>
      <c r="AX399" s="449"/>
      <c r="AY399" s="449"/>
      <c r="AZ399" s="449"/>
      <c r="BA399" s="449"/>
      <c r="BB399" s="449"/>
      <c r="BC399" s="449"/>
      <c r="BD399" s="449"/>
      <c r="BE399" s="449"/>
      <c r="BF399" s="449"/>
      <c r="BG399" s="449"/>
      <c r="BH399" s="449"/>
      <c r="BI399" s="449"/>
      <c r="BJ399" s="449"/>
      <c r="BK399" s="449"/>
      <c r="BL399" s="449"/>
      <c r="BM399" s="449"/>
      <c r="BN399" s="449"/>
    </row>
    <row r="400" spans="1:66" ht="13.15" x14ac:dyDescent="0.4">
      <c r="A400" s="430"/>
      <c r="B400" s="430"/>
      <c r="C400" s="430"/>
      <c r="D400" s="430"/>
      <c r="E400" s="430"/>
      <c r="F400" s="430"/>
      <c r="G400" s="430"/>
      <c r="H400" s="461"/>
      <c r="I400" s="438"/>
      <c r="J400" s="438"/>
      <c r="K400" s="438"/>
      <c r="L400" s="430"/>
      <c r="M400" s="430"/>
      <c r="N400" s="461"/>
      <c r="O400" s="461"/>
      <c r="P400" s="430"/>
      <c r="Q400" s="430"/>
      <c r="R400" s="430"/>
      <c r="S400" s="430"/>
      <c r="T400" s="430"/>
      <c r="U400" s="430"/>
      <c r="V400" s="430"/>
      <c r="W400" s="430"/>
      <c r="X400" s="449"/>
      <c r="Y400" s="449"/>
      <c r="Z400" s="450"/>
      <c r="AA400" s="449"/>
      <c r="AB400" s="451"/>
      <c r="AC400" s="450"/>
      <c r="AD400" s="449"/>
      <c r="AE400" s="451"/>
      <c r="AF400" s="450"/>
      <c r="AG400" s="449"/>
      <c r="AH400" s="451"/>
      <c r="AI400" s="450"/>
      <c r="AJ400" s="449"/>
      <c r="AK400" s="451"/>
      <c r="AL400" s="450"/>
      <c r="AM400" s="449"/>
      <c r="AN400" s="451"/>
      <c r="AO400" s="450"/>
      <c r="AP400" s="449"/>
      <c r="AQ400" s="451"/>
      <c r="AR400" s="449"/>
      <c r="AS400" s="449"/>
      <c r="AT400" s="451"/>
      <c r="AU400" s="449"/>
      <c r="AV400" s="451"/>
      <c r="AW400" s="449"/>
      <c r="AX400" s="449"/>
      <c r="AY400" s="449"/>
      <c r="AZ400" s="449"/>
      <c r="BA400" s="449"/>
      <c r="BB400" s="449"/>
      <c r="BC400" s="449"/>
      <c r="BD400" s="449"/>
      <c r="BE400" s="449"/>
      <c r="BF400" s="449"/>
      <c r="BG400" s="449"/>
      <c r="BH400" s="449"/>
      <c r="BI400" s="449"/>
      <c r="BJ400" s="449"/>
      <c r="BK400" s="449"/>
      <c r="BL400" s="449"/>
      <c r="BM400" s="449"/>
      <c r="BN400" s="449"/>
    </row>
    <row r="401" spans="1:66" ht="13.15" x14ac:dyDescent="0.4">
      <c r="A401" s="430"/>
      <c r="B401" s="430"/>
      <c r="C401" s="430"/>
      <c r="D401" s="430"/>
      <c r="E401" s="430"/>
      <c r="F401" s="430"/>
      <c r="G401" s="430"/>
      <c r="H401" s="461"/>
      <c r="I401" s="438"/>
      <c r="J401" s="438"/>
      <c r="K401" s="438"/>
      <c r="L401" s="430"/>
      <c r="M401" s="430"/>
      <c r="N401" s="461"/>
      <c r="O401" s="461"/>
      <c r="P401" s="430"/>
      <c r="Q401" s="430"/>
      <c r="R401" s="430"/>
      <c r="S401" s="430"/>
      <c r="T401" s="430"/>
      <c r="U401" s="430"/>
      <c r="V401" s="430"/>
      <c r="W401" s="430"/>
      <c r="X401" s="449"/>
      <c r="Y401" s="449"/>
      <c r="Z401" s="450"/>
      <c r="AA401" s="449"/>
      <c r="AB401" s="451"/>
      <c r="AC401" s="450"/>
      <c r="AD401" s="449"/>
      <c r="AE401" s="451"/>
      <c r="AF401" s="450"/>
      <c r="AG401" s="449"/>
      <c r="AH401" s="451"/>
      <c r="AI401" s="450"/>
      <c r="AJ401" s="449"/>
      <c r="AK401" s="451"/>
      <c r="AL401" s="450"/>
      <c r="AM401" s="449"/>
      <c r="AN401" s="451"/>
      <c r="AO401" s="450"/>
      <c r="AP401" s="449"/>
      <c r="AQ401" s="451"/>
      <c r="AR401" s="449"/>
      <c r="AS401" s="449"/>
      <c r="AT401" s="451"/>
      <c r="AU401" s="449"/>
      <c r="AV401" s="451"/>
      <c r="AW401" s="449"/>
      <c r="AX401" s="449"/>
      <c r="AY401" s="449"/>
      <c r="AZ401" s="449"/>
      <c r="BA401" s="449"/>
      <c r="BB401" s="449"/>
      <c r="BC401" s="449"/>
      <c r="BD401" s="449"/>
      <c r="BE401" s="449"/>
      <c r="BF401" s="449"/>
      <c r="BG401" s="449"/>
      <c r="BH401" s="449"/>
      <c r="BI401" s="449"/>
      <c r="BJ401" s="449"/>
      <c r="BK401" s="449"/>
      <c r="BL401" s="449"/>
      <c r="BM401" s="449"/>
      <c r="BN401" s="449"/>
    </row>
    <row r="402" spans="1:66" ht="13.15" x14ac:dyDescent="0.4">
      <c r="A402" s="430"/>
      <c r="B402" s="430"/>
      <c r="C402" s="430"/>
      <c r="D402" s="430"/>
      <c r="E402" s="430"/>
      <c r="F402" s="430"/>
      <c r="G402" s="430"/>
      <c r="H402" s="461"/>
      <c r="I402" s="438"/>
      <c r="J402" s="438"/>
      <c r="K402" s="438"/>
      <c r="L402" s="430"/>
      <c r="M402" s="430"/>
      <c r="N402" s="461"/>
      <c r="O402" s="461"/>
      <c r="P402" s="430"/>
      <c r="Q402" s="430"/>
      <c r="R402" s="430"/>
      <c r="S402" s="430"/>
      <c r="T402" s="430"/>
      <c r="U402" s="430"/>
      <c r="V402" s="430"/>
      <c r="W402" s="430"/>
      <c r="X402" s="449"/>
      <c r="Y402" s="449"/>
      <c r="Z402" s="450"/>
      <c r="AA402" s="449"/>
      <c r="AB402" s="451"/>
      <c r="AC402" s="450"/>
      <c r="AD402" s="449"/>
      <c r="AE402" s="451"/>
      <c r="AF402" s="450"/>
      <c r="AG402" s="449"/>
      <c r="AH402" s="451"/>
      <c r="AI402" s="450"/>
      <c r="AJ402" s="449"/>
      <c r="AK402" s="451"/>
      <c r="AL402" s="450"/>
      <c r="AM402" s="449"/>
      <c r="AN402" s="451"/>
      <c r="AO402" s="450"/>
      <c r="AP402" s="449"/>
      <c r="AQ402" s="451"/>
      <c r="AR402" s="449"/>
      <c r="AS402" s="449"/>
      <c r="AT402" s="451"/>
      <c r="AU402" s="449"/>
      <c r="AV402" s="451"/>
      <c r="AW402" s="449"/>
      <c r="AX402" s="449"/>
      <c r="AY402" s="449"/>
      <c r="AZ402" s="449"/>
      <c r="BA402" s="449"/>
      <c r="BB402" s="449"/>
      <c r="BC402" s="449"/>
      <c r="BD402" s="449"/>
      <c r="BE402" s="449"/>
      <c r="BF402" s="449"/>
      <c r="BG402" s="449"/>
      <c r="BH402" s="449"/>
      <c r="BI402" s="449"/>
      <c r="BJ402" s="449"/>
      <c r="BK402" s="449"/>
      <c r="BL402" s="449"/>
      <c r="BM402" s="449"/>
      <c r="BN402" s="449"/>
    </row>
    <row r="403" spans="1:66" ht="13.15" x14ac:dyDescent="0.4">
      <c r="A403" s="430"/>
      <c r="B403" s="430"/>
      <c r="C403" s="430"/>
      <c r="D403" s="430"/>
      <c r="E403" s="430"/>
      <c r="F403" s="430"/>
      <c r="G403" s="430"/>
      <c r="H403" s="461"/>
      <c r="I403" s="438"/>
      <c r="J403" s="438"/>
      <c r="K403" s="438"/>
      <c r="L403" s="430"/>
      <c r="M403" s="430"/>
      <c r="N403" s="461"/>
      <c r="O403" s="461"/>
      <c r="P403" s="430"/>
      <c r="Q403" s="430"/>
      <c r="R403" s="430"/>
      <c r="S403" s="430"/>
      <c r="T403" s="430"/>
      <c r="U403" s="430"/>
      <c r="V403" s="430"/>
      <c r="W403" s="430"/>
      <c r="X403" s="449"/>
      <c r="Y403" s="449"/>
      <c r="Z403" s="450"/>
      <c r="AA403" s="449"/>
      <c r="AB403" s="451"/>
      <c r="AC403" s="450"/>
      <c r="AD403" s="449"/>
      <c r="AE403" s="451"/>
      <c r="AF403" s="450"/>
      <c r="AG403" s="449"/>
      <c r="AH403" s="451"/>
      <c r="AI403" s="450"/>
      <c r="AJ403" s="449"/>
      <c r="AK403" s="451"/>
      <c r="AL403" s="450"/>
      <c r="AM403" s="449"/>
      <c r="AN403" s="451"/>
      <c r="AO403" s="450"/>
      <c r="AP403" s="449"/>
      <c r="AQ403" s="451"/>
      <c r="AR403" s="449"/>
      <c r="AS403" s="449"/>
      <c r="AT403" s="451"/>
      <c r="AU403" s="449"/>
      <c r="AV403" s="451"/>
      <c r="AW403" s="449"/>
      <c r="AX403" s="449"/>
      <c r="AY403" s="449"/>
      <c r="AZ403" s="449"/>
      <c r="BA403" s="449"/>
      <c r="BB403" s="449"/>
      <c r="BC403" s="449"/>
      <c r="BD403" s="449"/>
      <c r="BE403" s="449"/>
      <c r="BF403" s="449"/>
      <c r="BG403" s="449"/>
      <c r="BH403" s="449"/>
      <c r="BI403" s="449"/>
      <c r="BJ403" s="449"/>
      <c r="BK403" s="449"/>
      <c r="BL403" s="449"/>
      <c r="BM403" s="449"/>
      <c r="BN403" s="449"/>
    </row>
    <row r="404" spans="1:66" ht="13.15" x14ac:dyDescent="0.4">
      <c r="A404" s="430"/>
      <c r="B404" s="430"/>
      <c r="C404" s="430"/>
      <c r="D404" s="430"/>
      <c r="E404" s="430"/>
      <c r="F404" s="430"/>
      <c r="G404" s="430"/>
      <c r="H404" s="461"/>
      <c r="I404" s="438"/>
      <c r="J404" s="438"/>
      <c r="K404" s="438"/>
      <c r="L404" s="430"/>
      <c r="M404" s="430"/>
      <c r="N404" s="461"/>
      <c r="O404" s="461"/>
      <c r="P404" s="430"/>
      <c r="Q404" s="430"/>
      <c r="R404" s="430"/>
      <c r="S404" s="430"/>
      <c r="T404" s="430"/>
      <c r="U404" s="430"/>
      <c r="V404" s="430"/>
      <c r="W404" s="430"/>
      <c r="X404" s="449"/>
      <c r="Y404" s="449"/>
      <c r="Z404" s="450"/>
      <c r="AA404" s="449"/>
      <c r="AB404" s="451"/>
      <c r="AC404" s="450"/>
      <c r="AD404" s="449"/>
      <c r="AE404" s="451"/>
      <c r="AF404" s="450"/>
      <c r="AG404" s="449"/>
      <c r="AH404" s="451"/>
      <c r="AI404" s="450"/>
      <c r="AJ404" s="449"/>
      <c r="AK404" s="451"/>
      <c r="AL404" s="450"/>
      <c r="AM404" s="449"/>
      <c r="AN404" s="451"/>
      <c r="AO404" s="450"/>
      <c r="AP404" s="449"/>
      <c r="AQ404" s="451"/>
      <c r="AR404" s="449"/>
      <c r="AS404" s="449"/>
      <c r="AT404" s="451"/>
      <c r="AU404" s="449"/>
      <c r="AV404" s="451"/>
      <c r="AW404" s="449"/>
      <c r="AX404" s="449"/>
      <c r="AY404" s="449"/>
      <c r="AZ404" s="449"/>
      <c r="BA404" s="449"/>
      <c r="BB404" s="449"/>
      <c r="BC404" s="449"/>
      <c r="BD404" s="449"/>
      <c r="BE404" s="449"/>
      <c r="BF404" s="449"/>
      <c r="BG404" s="449"/>
      <c r="BH404" s="449"/>
      <c r="BI404" s="449"/>
      <c r="BJ404" s="449"/>
      <c r="BK404" s="449"/>
      <c r="BL404" s="449"/>
      <c r="BM404" s="449"/>
      <c r="BN404" s="449"/>
    </row>
    <row r="405" spans="1:66" ht="13.15" x14ac:dyDescent="0.4">
      <c r="A405" s="430"/>
      <c r="B405" s="430"/>
      <c r="C405" s="430"/>
      <c r="D405" s="430"/>
      <c r="E405" s="430"/>
      <c r="F405" s="430"/>
      <c r="G405" s="430"/>
      <c r="H405" s="461"/>
      <c r="I405" s="438"/>
      <c r="J405" s="438"/>
      <c r="K405" s="438"/>
      <c r="L405" s="430"/>
      <c r="M405" s="430"/>
      <c r="N405" s="461"/>
      <c r="O405" s="461"/>
      <c r="P405" s="430"/>
      <c r="Q405" s="430"/>
      <c r="R405" s="430"/>
      <c r="S405" s="430"/>
      <c r="T405" s="430"/>
      <c r="U405" s="430"/>
      <c r="V405" s="430"/>
      <c r="W405" s="430"/>
      <c r="X405" s="449"/>
      <c r="Y405" s="449"/>
      <c r="Z405" s="450"/>
      <c r="AA405" s="449"/>
      <c r="AB405" s="451"/>
      <c r="AC405" s="450"/>
      <c r="AD405" s="449"/>
      <c r="AE405" s="451"/>
      <c r="AF405" s="450"/>
      <c r="AG405" s="449"/>
      <c r="AH405" s="451"/>
      <c r="AI405" s="450"/>
      <c r="AJ405" s="449"/>
      <c r="AK405" s="451"/>
      <c r="AL405" s="450"/>
      <c r="AM405" s="449"/>
      <c r="AN405" s="451"/>
      <c r="AO405" s="450"/>
      <c r="AP405" s="449"/>
      <c r="AQ405" s="451"/>
      <c r="AR405" s="449"/>
      <c r="AS405" s="449"/>
      <c r="AT405" s="451"/>
      <c r="AU405" s="449"/>
      <c r="AV405" s="451"/>
      <c r="AW405" s="449"/>
      <c r="AX405" s="449"/>
      <c r="AY405" s="449"/>
      <c r="AZ405" s="449"/>
      <c r="BA405" s="449"/>
      <c r="BB405" s="449"/>
      <c r="BC405" s="449"/>
      <c r="BD405" s="449"/>
      <c r="BE405" s="449"/>
      <c r="BF405" s="449"/>
      <c r="BG405" s="449"/>
      <c r="BH405" s="449"/>
      <c r="BI405" s="449"/>
      <c r="BJ405" s="449"/>
      <c r="BK405" s="449"/>
      <c r="BL405" s="449"/>
      <c r="BM405" s="449"/>
      <c r="BN405" s="449"/>
    </row>
    <row r="406" spans="1:66" ht="13.15" x14ac:dyDescent="0.4">
      <c r="A406" s="430"/>
      <c r="B406" s="430"/>
      <c r="C406" s="430"/>
      <c r="D406" s="430"/>
      <c r="E406" s="430"/>
      <c r="F406" s="430"/>
      <c r="G406" s="430"/>
      <c r="H406" s="461"/>
      <c r="I406" s="438"/>
      <c r="J406" s="438"/>
      <c r="K406" s="438"/>
      <c r="L406" s="430"/>
      <c r="M406" s="430"/>
      <c r="N406" s="461"/>
      <c r="O406" s="461"/>
      <c r="P406" s="430"/>
      <c r="Q406" s="430"/>
      <c r="R406" s="430"/>
      <c r="S406" s="430"/>
      <c r="T406" s="430"/>
      <c r="U406" s="430"/>
      <c r="V406" s="430"/>
      <c r="W406" s="430"/>
      <c r="X406" s="449"/>
      <c r="Y406" s="449"/>
      <c r="Z406" s="450"/>
      <c r="AA406" s="449"/>
      <c r="AB406" s="451"/>
      <c r="AC406" s="450"/>
      <c r="AD406" s="449"/>
      <c r="AE406" s="451"/>
      <c r="AF406" s="450"/>
      <c r="AG406" s="449"/>
      <c r="AH406" s="451"/>
      <c r="AI406" s="450"/>
      <c r="AJ406" s="449"/>
      <c r="AK406" s="451"/>
      <c r="AL406" s="450"/>
      <c r="AM406" s="449"/>
      <c r="AN406" s="451"/>
      <c r="AO406" s="450"/>
      <c r="AP406" s="449"/>
      <c r="AQ406" s="451"/>
      <c r="AR406" s="449"/>
      <c r="AS406" s="449"/>
      <c r="AT406" s="451"/>
      <c r="AU406" s="449"/>
      <c r="AV406" s="451"/>
      <c r="AW406" s="449"/>
      <c r="AX406" s="449"/>
      <c r="AY406" s="449"/>
      <c r="AZ406" s="449"/>
      <c r="BA406" s="449"/>
      <c r="BB406" s="449"/>
      <c r="BC406" s="449"/>
      <c r="BD406" s="449"/>
      <c r="BE406" s="449"/>
      <c r="BF406" s="449"/>
      <c r="BG406" s="449"/>
      <c r="BH406" s="449"/>
      <c r="BI406" s="449"/>
      <c r="BJ406" s="449"/>
      <c r="BK406" s="449"/>
      <c r="BL406" s="449"/>
      <c r="BM406" s="449"/>
      <c r="BN406" s="449"/>
    </row>
    <row r="407" spans="1:66" ht="13.15" x14ac:dyDescent="0.4">
      <c r="A407" s="430"/>
      <c r="B407" s="430"/>
      <c r="C407" s="430"/>
      <c r="D407" s="430"/>
      <c r="E407" s="430"/>
      <c r="F407" s="430"/>
      <c r="G407" s="430"/>
      <c r="H407" s="461"/>
      <c r="I407" s="438"/>
      <c r="J407" s="438"/>
      <c r="K407" s="438"/>
      <c r="L407" s="430"/>
      <c r="M407" s="430"/>
      <c r="N407" s="461"/>
      <c r="O407" s="461"/>
      <c r="P407" s="430"/>
      <c r="Q407" s="430"/>
      <c r="R407" s="430"/>
      <c r="S407" s="430"/>
      <c r="T407" s="430"/>
      <c r="U407" s="430"/>
      <c r="V407" s="430"/>
      <c r="W407" s="430"/>
      <c r="X407" s="449"/>
      <c r="Y407" s="449"/>
      <c r="Z407" s="450"/>
      <c r="AA407" s="449"/>
      <c r="AB407" s="451"/>
      <c r="AC407" s="450"/>
      <c r="AD407" s="449"/>
      <c r="AE407" s="451"/>
      <c r="AF407" s="450"/>
      <c r="AG407" s="449"/>
      <c r="AH407" s="451"/>
      <c r="AI407" s="450"/>
      <c r="AJ407" s="449"/>
      <c r="AK407" s="451"/>
      <c r="AL407" s="450"/>
      <c r="AM407" s="449"/>
      <c r="AN407" s="451"/>
      <c r="AO407" s="450"/>
      <c r="AP407" s="449"/>
      <c r="AQ407" s="451"/>
      <c r="AR407" s="449"/>
      <c r="AS407" s="449"/>
      <c r="AT407" s="451"/>
      <c r="AU407" s="449"/>
      <c r="AV407" s="451"/>
      <c r="AW407" s="449"/>
      <c r="AX407" s="449"/>
      <c r="AY407" s="449"/>
      <c r="AZ407" s="449"/>
      <c r="BA407" s="449"/>
      <c r="BB407" s="449"/>
      <c r="BC407" s="449"/>
      <c r="BD407" s="449"/>
      <c r="BE407" s="449"/>
      <c r="BF407" s="449"/>
      <c r="BG407" s="449"/>
      <c r="BH407" s="449"/>
      <c r="BI407" s="449"/>
      <c r="BJ407" s="449"/>
      <c r="BK407" s="449"/>
      <c r="BL407" s="449"/>
      <c r="BM407" s="449"/>
      <c r="BN407" s="449"/>
    </row>
    <row r="408" spans="1:66" ht="13.15" x14ac:dyDescent="0.4">
      <c r="A408" s="430"/>
      <c r="B408" s="430"/>
      <c r="C408" s="430"/>
      <c r="D408" s="430"/>
      <c r="E408" s="430"/>
      <c r="F408" s="430"/>
      <c r="G408" s="430"/>
      <c r="H408" s="461"/>
      <c r="I408" s="438"/>
      <c r="J408" s="438"/>
      <c r="K408" s="438"/>
      <c r="L408" s="430"/>
      <c r="M408" s="430"/>
      <c r="N408" s="461"/>
      <c r="O408" s="461"/>
      <c r="P408" s="430"/>
      <c r="Q408" s="430"/>
      <c r="R408" s="430"/>
      <c r="S408" s="430"/>
      <c r="T408" s="430"/>
      <c r="U408" s="430"/>
      <c r="V408" s="430"/>
      <c r="W408" s="430"/>
      <c r="X408" s="449"/>
      <c r="Y408" s="449"/>
      <c r="Z408" s="450"/>
      <c r="AA408" s="449"/>
      <c r="AB408" s="451"/>
      <c r="AC408" s="450"/>
      <c r="AD408" s="449"/>
      <c r="AE408" s="451"/>
      <c r="AF408" s="450"/>
      <c r="AG408" s="449"/>
      <c r="AH408" s="451"/>
      <c r="AI408" s="450"/>
      <c r="AJ408" s="449"/>
      <c r="AK408" s="451"/>
      <c r="AL408" s="450"/>
      <c r="AM408" s="449"/>
      <c r="AN408" s="451"/>
      <c r="AO408" s="450"/>
      <c r="AP408" s="449"/>
      <c r="AQ408" s="451"/>
      <c r="AR408" s="449"/>
      <c r="AS408" s="449"/>
      <c r="AT408" s="451"/>
      <c r="AU408" s="449"/>
      <c r="AV408" s="451"/>
      <c r="AW408" s="449"/>
      <c r="AX408" s="449"/>
      <c r="AY408" s="449"/>
      <c r="AZ408" s="449"/>
      <c r="BA408" s="449"/>
      <c r="BB408" s="449"/>
      <c r="BC408" s="449"/>
      <c r="BD408" s="449"/>
      <c r="BE408" s="449"/>
      <c r="BF408" s="449"/>
      <c r="BG408" s="449"/>
      <c r="BH408" s="449"/>
      <c r="BI408" s="449"/>
      <c r="BJ408" s="449"/>
      <c r="BK408" s="449"/>
      <c r="BL408" s="449"/>
      <c r="BM408" s="449"/>
      <c r="BN408" s="449"/>
    </row>
    <row r="409" spans="1:66" ht="13.15" x14ac:dyDescent="0.4">
      <c r="A409" s="430"/>
      <c r="B409" s="430"/>
      <c r="C409" s="430"/>
      <c r="D409" s="430"/>
      <c r="E409" s="430"/>
      <c r="F409" s="430"/>
      <c r="G409" s="430"/>
      <c r="H409" s="461"/>
      <c r="I409" s="438"/>
      <c r="J409" s="438"/>
      <c r="K409" s="438"/>
      <c r="L409" s="430"/>
      <c r="M409" s="430"/>
      <c r="N409" s="461"/>
      <c r="O409" s="461"/>
      <c r="P409" s="430"/>
      <c r="Q409" s="430"/>
      <c r="R409" s="430"/>
      <c r="S409" s="430"/>
      <c r="T409" s="430"/>
      <c r="U409" s="430"/>
      <c r="V409" s="430"/>
      <c r="W409" s="430"/>
      <c r="X409" s="449"/>
      <c r="Y409" s="449"/>
      <c r="Z409" s="450"/>
      <c r="AA409" s="449"/>
      <c r="AB409" s="451"/>
      <c r="AC409" s="450"/>
      <c r="AD409" s="449"/>
      <c r="AE409" s="451"/>
      <c r="AF409" s="450"/>
      <c r="AG409" s="449"/>
      <c r="AH409" s="451"/>
      <c r="AI409" s="450"/>
      <c r="AJ409" s="449"/>
      <c r="AK409" s="451"/>
      <c r="AL409" s="450"/>
      <c r="AM409" s="449"/>
      <c r="AN409" s="451"/>
      <c r="AO409" s="450"/>
      <c r="AP409" s="449"/>
      <c r="AQ409" s="451"/>
      <c r="AR409" s="449"/>
      <c r="AS409" s="449"/>
      <c r="AT409" s="451"/>
      <c r="AU409" s="449"/>
      <c r="AV409" s="451"/>
      <c r="AW409" s="449"/>
      <c r="AX409" s="449"/>
      <c r="AY409" s="449"/>
      <c r="AZ409" s="449"/>
      <c r="BA409" s="449"/>
      <c r="BB409" s="449"/>
      <c r="BC409" s="449"/>
      <c r="BD409" s="449"/>
      <c r="BE409" s="449"/>
      <c r="BF409" s="449"/>
      <c r="BG409" s="449"/>
      <c r="BH409" s="449"/>
      <c r="BI409" s="449"/>
      <c r="BJ409" s="449"/>
      <c r="BK409" s="449"/>
      <c r="BL409" s="449"/>
      <c r="BM409" s="449"/>
      <c r="BN409" s="449"/>
    </row>
    <row r="410" spans="1:66" ht="13.15" x14ac:dyDescent="0.4">
      <c r="A410" s="430"/>
      <c r="B410" s="430"/>
      <c r="C410" s="430"/>
      <c r="D410" s="430"/>
      <c r="E410" s="430"/>
      <c r="F410" s="430"/>
      <c r="G410" s="430"/>
      <c r="H410" s="461"/>
      <c r="I410" s="438"/>
      <c r="J410" s="438"/>
      <c r="K410" s="438"/>
      <c r="L410" s="430"/>
      <c r="M410" s="430"/>
      <c r="N410" s="461"/>
      <c r="O410" s="461"/>
      <c r="P410" s="430"/>
      <c r="Q410" s="430"/>
      <c r="R410" s="430"/>
      <c r="S410" s="430"/>
      <c r="T410" s="430"/>
      <c r="U410" s="430"/>
      <c r="V410" s="430"/>
      <c r="W410" s="430"/>
      <c r="X410" s="449"/>
      <c r="Y410" s="449"/>
      <c r="Z410" s="450"/>
      <c r="AA410" s="449"/>
      <c r="AB410" s="451"/>
      <c r="AC410" s="450"/>
      <c r="AD410" s="449"/>
      <c r="AE410" s="451"/>
      <c r="AF410" s="450"/>
      <c r="AG410" s="449"/>
      <c r="AH410" s="451"/>
      <c r="AI410" s="450"/>
      <c r="AJ410" s="449"/>
      <c r="AK410" s="451"/>
      <c r="AL410" s="450"/>
      <c r="AM410" s="449"/>
      <c r="AN410" s="451"/>
      <c r="AO410" s="450"/>
      <c r="AP410" s="449"/>
      <c r="AQ410" s="451"/>
      <c r="AR410" s="449"/>
      <c r="AS410" s="449"/>
      <c r="AT410" s="451"/>
      <c r="AU410" s="449"/>
      <c r="AV410" s="451"/>
      <c r="AW410" s="449"/>
      <c r="AX410" s="449"/>
      <c r="AY410" s="449"/>
      <c r="AZ410" s="449"/>
      <c r="BA410" s="449"/>
      <c r="BB410" s="449"/>
      <c r="BC410" s="449"/>
      <c r="BD410" s="449"/>
      <c r="BE410" s="449"/>
      <c r="BF410" s="449"/>
      <c r="BG410" s="449"/>
      <c r="BH410" s="449"/>
      <c r="BI410" s="449"/>
      <c r="BJ410" s="449"/>
      <c r="BK410" s="449"/>
      <c r="BL410" s="449"/>
      <c r="BM410" s="449"/>
      <c r="BN410" s="449"/>
    </row>
    <row r="411" spans="1:66" ht="13.15" x14ac:dyDescent="0.4">
      <c r="A411" s="430"/>
      <c r="B411" s="430"/>
      <c r="C411" s="430"/>
      <c r="D411" s="430"/>
      <c r="E411" s="430"/>
      <c r="F411" s="430"/>
      <c r="G411" s="430"/>
      <c r="H411" s="461"/>
      <c r="I411" s="438"/>
      <c r="J411" s="438"/>
      <c r="K411" s="438"/>
      <c r="L411" s="430"/>
      <c r="M411" s="430"/>
      <c r="N411" s="461"/>
      <c r="O411" s="461"/>
      <c r="P411" s="430"/>
      <c r="Q411" s="430"/>
      <c r="R411" s="430"/>
      <c r="S411" s="430"/>
      <c r="T411" s="430"/>
      <c r="U411" s="430"/>
      <c r="V411" s="430"/>
      <c r="W411" s="430"/>
      <c r="X411" s="449"/>
      <c r="Y411" s="449"/>
      <c r="Z411" s="450"/>
      <c r="AA411" s="449"/>
      <c r="AB411" s="451"/>
      <c r="AC411" s="450"/>
      <c r="AD411" s="449"/>
      <c r="AE411" s="451"/>
      <c r="AF411" s="450"/>
      <c r="AG411" s="449"/>
      <c r="AH411" s="451"/>
      <c r="AI411" s="450"/>
      <c r="AJ411" s="449"/>
      <c r="AK411" s="451"/>
      <c r="AL411" s="450"/>
      <c r="AM411" s="449"/>
      <c r="AN411" s="451"/>
      <c r="AO411" s="450"/>
      <c r="AP411" s="449"/>
      <c r="AQ411" s="451"/>
      <c r="AR411" s="449"/>
      <c r="AS411" s="449"/>
      <c r="AT411" s="451"/>
      <c r="AU411" s="449"/>
      <c r="AV411" s="451"/>
      <c r="AW411" s="449"/>
      <c r="AX411" s="449"/>
      <c r="AY411" s="449"/>
      <c r="AZ411" s="449"/>
      <c r="BA411" s="449"/>
      <c r="BB411" s="449"/>
      <c r="BC411" s="449"/>
      <c r="BD411" s="449"/>
      <c r="BE411" s="449"/>
      <c r="BF411" s="449"/>
      <c r="BG411" s="449"/>
      <c r="BH411" s="449"/>
      <c r="BI411" s="449"/>
      <c r="BJ411" s="449"/>
      <c r="BK411" s="449"/>
      <c r="BL411" s="449"/>
      <c r="BM411" s="449"/>
      <c r="BN411" s="449"/>
    </row>
    <row r="412" spans="1:66" ht="13.15" x14ac:dyDescent="0.4">
      <c r="A412" s="430"/>
      <c r="B412" s="430"/>
      <c r="C412" s="430"/>
      <c r="D412" s="430"/>
      <c r="E412" s="430"/>
      <c r="F412" s="430"/>
      <c r="G412" s="430"/>
      <c r="H412" s="461"/>
      <c r="I412" s="438"/>
      <c r="J412" s="438"/>
      <c r="K412" s="438"/>
      <c r="L412" s="430"/>
      <c r="M412" s="430"/>
      <c r="N412" s="461"/>
      <c r="O412" s="461"/>
      <c r="P412" s="430"/>
      <c r="Q412" s="430"/>
      <c r="R412" s="430"/>
      <c r="S412" s="430"/>
      <c r="T412" s="430"/>
      <c r="U412" s="430"/>
      <c r="V412" s="430"/>
      <c r="W412" s="430"/>
      <c r="X412" s="449"/>
      <c r="Y412" s="449"/>
      <c r="Z412" s="450"/>
      <c r="AA412" s="449"/>
      <c r="AB412" s="451"/>
      <c r="AC412" s="450"/>
      <c r="AD412" s="449"/>
      <c r="AE412" s="451"/>
      <c r="AF412" s="450"/>
      <c r="AG412" s="449"/>
      <c r="AH412" s="451"/>
      <c r="AI412" s="450"/>
      <c r="AJ412" s="449"/>
      <c r="AK412" s="451"/>
      <c r="AL412" s="450"/>
      <c r="AM412" s="449"/>
      <c r="AN412" s="451"/>
      <c r="AO412" s="450"/>
      <c r="AP412" s="449"/>
      <c r="AQ412" s="451"/>
      <c r="AR412" s="449"/>
      <c r="AS412" s="449"/>
      <c r="AT412" s="451"/>
      <c r="AU412" s="449"/>
      <c r="AV412" s="451"/>
      <c r="AW412" s="449"/>
      <c r="AX412" s="449"/>
      <c r="AY412" s="449"/>
      <c r="AZ412" s="449"/>
      <c r="BA412" s="449"/>
      <c r="BB412" s="449"/>
      <c r="BC412" s="449"/>
      <c r="BD412" s="449"/>
      <c r="BE412" s="449"/>
      <c r="BF412" s="449"/>
      <c r="BG412" s="449"/>
      <c r="BH412" s="449"/>
      <c r="BI412" s="449"/>
      <c r="BJ412" s="449"/>
      <c r="BK412" s="449"/>
      <c r="BL412" s="449"/>
      <c r="BM412" s="449"/>
      <c r="BN412" s="449"/>
    </row>
    <row r="413" spans="1:66" ht="13.15" x14ac:dyDescent="0.4">
      <c r="A413" s="430"/>
      <c r="B413" s="430"/>
      <c r="C413" s="430"/>
      <c r="D413" s="430"/>
      <c r="E413" s="430"/>
      <c r="F413" s="430"/>
      <c r="G413" s="430"/>
      <c r="H413" s="461"/>
      <c r="I413" s="438"/>
      <c r="J413" s="438"/>
      <c r="K413" s="438"/>
      <c r="L413" s="430"/>
      <c r="M413" s="430"/>
      <c r="N413" s="461"/>
      <c r="O413" s="461"/>
      <c r="P413" s="430"/>
      <c r="Q413" s="430"/>
      <c r="R413" s="430"/>
      <c r="S413" s="430"/>
      <c r="T413" s="430"/>
      <c r="U413" s="430"/>
      <c r="V413" s="430"/>
      <c r="W413" s="430"/>
      <c r="X413" s="449"/>
      <c r="Y413" s="449"/>
      <c r="Z413" s="450"/>
      <c r="AA413" s="449"/>
      <c r="AB413" s="451"/>
      <c r="AC413" s="450"/>
      <c r="AD413" s="449"/>
      <c r="AE413" s="451"/>
      <c r="AF413" s="450"/>
      <c r="AG413" s="449"/>
      <c r="AH413" s="451"/>
      <c r="AI413" s="450"/>
      <c r="AJ413" s="449"/>
      <c r="AK413" s="451"/>
      <c r="AL413" s="450"/>
      <c r="AM413" s="449"/>
      <c r="AN413" s="451"/>
      <c r="AO413" s="450"/>
      <c r="AP413" s="449"/>
      <c r="AQ413" s="451"/>
      <c r="AR413" s="449"/>
      <c r="AS413" s="449"/>
      <c r="AT413" s="451"/>
      <c r="AU413" s="449"/>
      <c r="AV413" s="451"/>
      <c r="AW413" s="449"/>
      <c r="AX413" s="449"/>
      <c r="AY413" s="449"/>
      <c r="AZ413" s="449"/>
      <c r="BA413" s="449"/>
      <c r="BB413" s="449"/>
      <c r="BC413" s="449"/>
      <c r="BD413" s="449"/>
      <c r="BE413" s="449"/>
      <c r="BF413" s="449"/>
      <c r="BG413" s="449"/>
      <c r="BH413" s="449"/>
      <c r="BI413" s="449"/>
      <c r="BJ413" s="449"/>
      <c r="BK413" s="449"/>
      <c r="BL413" s="449"/>
      <c r="BM413" s="449"/>
      <c r="BN413" s="449"/>
    </row>
    <row r="414" spans="1:66" ht="13.15" x14ac:dyDescent="0.4">
      <c r="A414" s="430"/>
      <c r="B414" s="430"/>
      <c r="C414" s="430"/>
      <c r="D414" s="430"/>
      <c r="E414" s="430"/>
      <c r="F414" s="430"/>
      <c r="G414" s="430"/>
      <c r="H414" s="461"/>
      <c r="I414" s="438"/>
      <c r="J414" s="438"/>
      <c r="K414" s="438"/>
      <c r="L414" s="430"/>
      <c r="M414" s="430"/>
      <c r="N414" s="461"/>
      <c r="O414" s="461"/>
      <c r="P414" s="430"/>
      <c r="Q414" s="430"/>
      <c r="R414" s="430"/>
      <c r="S414" s="430"/>
      <c r="T414" s="430"/>
      <c r="U414" s="430"/>
      <c r="V414" s="430"/>
      <c r="W414" s="430"/>
      <c r="X414" s="449"/>
      <c r="Y414" s="449"/>
      <c r="Z414" s="450"/>
      <c r="AA414" s="449"/>
      <c r="AB414" s="451"/>
      <c r="AC414" s="450"/>
      <c r="AD414" s="449"/>
      <c r="AE414" s="451"/>
      <c r="AF414" s="450"/>
      <c r="AG414" s="449"/>
      <c r="AH414" s="451"/>
      <c r="AI414" s="450"/>
      <c r="AJ414" s="449"/>
      <c r="AK414" s="451"/>
      <c r="AL414" s="450"/>
      <c r="AM414" s="449"/>
      <c r="AN414" s="451"/>
      <c r="AO414" s="450"/>
      <c r="AP414" s="449"/>
      <c r="AQ414" s="451"/>
      <c r="AR414" s="449"/>
      <c r="AS414" s="449"/>
      <c r="AT414" s="451"/>
      <c r="AU414" s="449"/>
      <c r="AV414" s="451"/>
      <c r="AW414" s="449"/>
      <c r="AX414" s="449"/>
      <c r="AY414" s="449"/>
      <c r="AZ414" s="449"/>
      <c r="BA414" s="449"/>
      <c r="BB414" s="449"/>
      <c r="BC414" s="449"/>
      <c r="BD414" s="449"/>
      <c r="BE414" s="449"/>
      <c r="BF414" s="449"/>
      <c r="BG414" s="449"/>
      <c r="BH414" s="449"/>
      <c r="BI414" s="449"/>
      <c r="BJ414" s="449"/>
      <c r="BK414" s="449"/>
      <c r="BL414" s="449"/>
      <c r="BM414" s="449"/>
      <c r="BN414" s="449"/>
    </row>
    <row r="415" spans="1:66" ht="13.15" x14ac:dyDescent="0.4">
      <c r="A415" s="430"/>
      <c r="B415" s="430"/>
      <c r="C415" s="430"/>
      <c r="D415" s="430"/>
      <c r="E415" s="430"/>
      <c r="F415" s="430"/>
      <c r="G415" s="430"/>
      <c r="H415" s="461"/>
      <c r="I415" s="438"/>
      <c r="J415" s="438"/>
      <c r="K415" s="438"/>
      <c r="L415" s="430"/>
      <c r="M415" s="430"/>
      <c r="N415" s="461"/>
      <c r="O415" s="461"/>
      <c r="P415" s="430"/>
      <c r="Q415" s="430"/>
      <c r="R415" s="430"/>
      <c r="S415" s="430"/>
      <c r="T415" s="430"/>
      <c r="U415" s="430"/>
      <c r="V415" s="430"/>
      <c r="W415" s="430"/>
      <c r="X415" s="449"/>
      <c r="Y415" s="449"/>
      <c r="Z415" s="450"/>
      <c r="AA415" s="449"/>
      <c r="AB415" s="451"/>
      <c r="AC415" s="450"/>
      <c r="AD415" s="449"/>
      <c r="AE415" s="451"/>
      <c r="AF415" s="450"/>
      <c r="AG415" s="449"/>
      <c r="AH415" s="451"/>
      <c r="AI415" s="450"/>
      <c r="AJ415" s="449"/>
      <c r="AK415" s="451"/>
      <c r="AL415" s="450"/>
      <c r="AM415" s="449"/>
      <c r="AN415" s="451"/>
      <c r="AO415" s="450"/>
      <c r="AP415" s="449"/>
      <c r="AQ415" s="451"/>
      <c r="AR415" s="449"/>
      <c r="AS415" s="449"/>
      <c r="AT415" s="451"/>
      <c r="AU415" s="449"/>
      <c r="AV415" s="451"/>
      <c r="AW415" s="449"/>
      <c r="AX415" s="449"/>
      <c r="AY415" s="449"/>
      <c r="AZ415" s="449"/>
      <c r="BA415" s="449"/>
      <c r="BB415" s="449"/>
      <c r="BC415" s="449"/>
      <c r="BD415" s="449"/>
      <c r="BE415" s="449"/>
      <c r="BF415" s="449"/>
      <c r="BG415" s="449"/>
      <c r="BH415" s="449"/>
      <c r="BI415" s="449"/>
      <c r="BJ415" s="449"/>
      <c r="BK415" s="449"/>
      <c r="BL415" s="449"/>
      <c r="BM415" s="449"/>
      <c r="BN415" s="449"/>
    </row>
    <row r="416" spans="1:66" ht="13.15" x14ac:dyDescent="0.4">
      <c r="A416" s="430"/>
      <c r="B416" s="430"/>
      <c r="C416" s="430"/>
      <c r="D416" s="430"/>
      <c r="E416" s="430"/>
      <c r="F416" s="430"/>
      <c r="G416" s="430"/>
      <c r="H416" s="461"/>
      <c r="I416" s="438"/>
      <c r="J416" s="438"/>
      <c r="K416" s="438"/>
      <c r="L416" s="430"/>
      <c r="M416" s="430"/>
      <c r="N416" s="461"/>
      <c r="O416" s="461"/>
      <c r="P416" s="430"/>
      <c r="Q416" s="430"/>
      <c r="R416" s="430"/>
      <c r="S416" s="430"/>
      <c r="T416" s="430"/>
      <c r="U416" s="430"/>
      <c r="V416" s="430"/>
      <c r="W416" s="430"/>
      <c r="X416" s="449"/>
      <c r="Y416" s="449"/>
      <c r="Z416" s="450"/>
      <c r="AA416" s="449"/>
      <c r="AB416" s="451"/>
      <c r="AC416" s="450"/>
      <c r="AD416" s="449"/>
      <c r="AE416" s="451"/>
      <c r="AF416" s="450"/>
      <c r="AG416" s="449"/>
      <c r="AH416" s="451"/>
      <c r="AI416" s="450"/>
      <c r="AJ416" s="449"/>
      <c r="AK416" s="451"/>
      <c r="AL416" s="450"/>
      <c r="AM416" s="449"/>
      <c r="AN416" s="451"/>
      <c r="AO416" s="450"/>
      <c r="AP416" s="449"/>
      <c r="AQ416" s="451"/>
      <c r="AR416" s="449"/>
      <c r="AS416" s="449"/>
      <c r="AT416" s="451"/>
      <c r="AU416" s="449"/>
      <c r="AV416" s="451"/>
      <c r="AW416" s="449"/>
      <c r="AX416" s="449"/>
      <c r="AY416" s="449"/>
      <c r="AZ416" s="449"/>
      <c r="BA416" s="449"/>
      <c r="BB416" s="449"/>
      <c r="BC416" s="449"/>
      <c r="BD416" s="449"/>
      <c r="BE416" s="449"/>
      <c r="BF416" s="449"/>
      <c r="BG416" s="449"/>
      <c r="BH416" s="449"/>
      <c r="BI416" s="449"/>
      <c r="BJ416" s="449"/>
      <c r="BK416" s="449"/>
      <c r="BL416" s="449"/>
      <c r="BM416" s="449"/>
      <c r="BN416" s="449"/>
    </row>
    <row r="417" spans="1:66" ht="13.15" x14ac:dyDescent="0.4">
      <c r="A417" s="430"/>
      <c r="B417" s="430"/>
      <c r="C417" s="430"/>
      <c r="D417" s="430"/>
      <c r="E417" s="430"/>
      <c r="F417" s="430"/>
      <c r="G417" s="430"/>
      <c r="H417" s="461"/>
      <c r="I417" s="438"/>
      <c r="J417" s="438"/>
      <c r="K417" s="438"/>
      <c r="L417" s="430"/>
      <c r="M417" s="430"/>
      <c r="N417" s="461"/>
      <c r="O417" s="461"/>
      <c r="P417" s="430"/>
      <c r="Q417" s="430"/>
      <c r="R417" s="430"/>
      <c r="S417" s="430"/>
      <c r="T417" s="430"/>
      <c r="U417" s="430"/>
      <c r="V417" s="430"/>
      <c r="W417" s="430"/>
      <c r="X417" s="449"/>
      <c r="Y417" s="449"/>
      <c r="Z417" s="450"/>
      <c r="AA417" s="449"/>
      <c r="AB417" s="451"/>
      <c r="AC417" s="450"/>
      <c r="AD417" s="449"/>
      <c r="AE417" s="451"/>
      <c r="AF417" s="450"/>
      <c r="AG417" s="449"/>
      <c r="AH417" s="451"/>
      <c r="AI417" s="450"/>
      <c r="AJ417" s="449"/>
      <c r="AK417" s="451"/>
      <c r="AL417" s="450"/>
      <c r="AM417" s="449"/>
      <c r="AN417" s="451"/>
      <c r="AO417" s="450"/>
      <c r="AP417" s="449"/>
      <c r="AQ417" s="451"/>
      <c r="AR417" s="449"/>
      <c r="AS417" s="449"/>
      <c r="AT417" s="451"/>
      <c r="AU417" s="449"/>
      <c r="AV417" s="451"/>
      <c r="AW417" s="449"/>
      <c r="AX417" s="449"/>
      <c r="AY417" s="449"/>
      <c r="AZ417" s="449"/>
      <c r="BA417" s="449"/>
      <c r="BB417" s="449"/>
      <c r="BC417" s="449"/>
      <c r="BD417" s="449"/>
      <c r="BE417" s="449"/>
      <c r="BF417" s="449"/>
      <c r="BG417" s="449"/>
      <c r="BH417" s="449"/>
      <c r="BI417" s="449"/>
      <c r="BJ417" s="449"/>
      <c r="BK417" s="449"/>
      <c r="BL417" s="449"/>
      <c r="BM417" s="449"/>
      <c r="BN417" s="449"/>
    </row>
    <row r="418" spans="1:66" ht="13.15" x14ac:dyDescent="0.4">
      <c r="A418" s="430"/>
      <c r="B418" s="430"/>
      <c r="C418" s="430"/>
      <c r="D418" s="430"/>
      <c r="E418" s="430"/>
      <c r="F418" s="430"/>
      <c r="G418" s="430"/>
      <c r="H418" s="461"/>
      <c r="I418" s="438"/>
      <c r="J418" s="438"/>
      <c r="K418" s="438"/>
      <c r="L418" s="430"/>
      <c r="M418" s="430"/>
      <c r="N418" s="461"/>
      <c r="O418" s="461"/>
      <c r="P418" s="430"/>
      <c r="Q418" s="430"/>
      <c r="R418" s="430"/>
      <c r="S418" s="430"/>
      <c r="T418" s="430"/>
      <c r="U418" s="430"/>
      <c r="V418" s="430"/>
      <c r="W418" s="430"/>
      <c r="X418" s="449"/>
      <c r="Y418" s="449"/>
      <c r="Z418" s="450"/>
      <c r="AA418" s="449"/>
      <c r="AB418" s="451"/>
      <c r="AC418" s="450"/>
      <c r="AD418" s="449"/>
      <c r="AE418" s="451"/>
      <c r="AF418" s="450"/>
      <c r="AG418" s="449"/>
      <c r="AH418" s="451"/>
      <c r="AI418" s="450"/>
      <c r="AJ418" s="449"/>
      <c r="AK418" s="451"/>
      <c r="AL418" s="450"/>
      <c r="AM418" s="449"/>
      <c r="AN418" s="451"/>
      <c r="AO418" s="450"/>
      <c r="AP418" s="449"/>
      <c r="AQ418" s="451"/>
      <c r="AR418" s="449"/>
      <c r="AS418" s="449"/>
      <c r="AT418" s="451"/>
      <c r="AU418" s="449"/>
      <c r="AV418" s="451"/>
      <c r="AW418" s="449"/>
      <c r="AX418" s="449"/>
      <c r="AY418" s="449"/>
      <c r="AZ418" s="449"/>
      <c r="BA418" s="449"/>
      <c r="BB418" s="449"/>
      <c r="BC418" s="449"/>
      <c r="BD418" s="449"/>
      <c r="BE418" s="449"/>
      <c r="BF418" s="449"/>
      <c r="BG418" s="449"/>
      <c r="BH418" s="449"/>
      <c r="BI418" s="449"/>
      <c r="BJ418" s="449"/>
      <c r="BK418" s="449"/>
      <c r="BL418" s="449"/>
      <c r="BM418" s="449"/>
      <c r="BN418" s="449"/>
    </row>
    <row r="419" spans="1:66" ht="13.15" x14ac:dyDescent="0.4">
      <c r="A419" s="430"/>
      <c r="B419" s="430"/>
      <c r="C419" s="430"/>
      <c r="D419" s="430"/>
      <c r="E419" s="430"/>
      <c r="F419" s="430"/>
      <c r="G419" s="430"/>
      <c r="H419" s="461"/>
      <c r="I419" s="438"/>
      <c r="J419" s="438"/>
      <c r="K419" s="438"/>
      <c r="L419" s="430"/>
      <c r="M419" s="430"/>
      <c r="N419" s="461"/>
      <c r="O419" s="461"/>
      <c r="P419" s="430"/>
      <c r="Q419" s="430"/>
      <c r="R419" s="430"/>
      <c r="S419" s="430"/>
      <c r="T419" s="430"/>
      <c r="U419" s="430"/>
      <c r="V419" s="430"/>
      <c r="W419" s="430"/>
      <c r="X419" s="449"/>
      <c r="Y419" s="449"/>
      <c r="Z419" s="450"/>
      <c r="AA419" s="449"/>
      <c r="AB419" s="451"/>
      <c r="AC419" s="450"/>
      <c r="AD419" s="449"/>
      <c r="AE419" s="451"/>
      <c r="AF419" s="450"/>
      <c r="AG419" s="449"/>
      <c r="AH419" s="451"/>
      <c r="AI419" s="450"/>
      <c r="AJ419" s="449"/>
      <c r="AK419" s="451"/>
      <c r="AL419" s="450"/>
      <c r="AM419" s="449"/>
      <c r="AN419" s="451"/>
      <c r="AO419" s="450"/>
      <c r="AP419" s="449"/>
      <c r="AQ419" s="451"/>
      <c r="AR419" s="449"/>
      <c r="AS419" s="449"/>
      <c r="AT419" s="451"/>
      <c r="AU419" s="449"/>
      <c r="AV419" s="451"/>
      <c r="AW419" s="449"/>
      <c r="AX419" s="449"/>
      <c r="AY419" s="449"/>
      <c r="AZ419" s="449"/>
      <c r="BA419" s="449"/>
      <c r="BB419" s="449"/>
      <c r="BC419" s="449"/>
      <c r="BD419" s="449"/>
      <c r="BE419" s="449"/>
      <c r="BF419" s="449"/>
      <c r="BG419" s="449"/>
      <c r="BH419" s="449"/>
      <c r="BI419" s="449"/>
      <c r="BJ419" s="449"/>
      <c r="BK419" s="449"/>
      <c r="BL419" s="449"/>
      <c r="BM419" s="449"/>
      <c r="BN419" s="449"/>
    </row>
    <row r="420" spans="1:66" ht="13.15" x14ac:dyDescent="0.4">
      <c r="A420" s="430"/>
      <c r="B420" s="430"/>
      <c r="C420" s="430"/>
      <c r="D420" s="430"/>
      <c r="E420" s="430"/>
      <c r="F420" s="430"/>
      <c r="G420" s="430"/>
      <c r="H420" s="461"/>
      <c r="I420" s="438"/>
      <c r="J420" s="438"/>
      <c r="K420" s="438"/>
      <c r="L420" s="430"/>
      <c r="M420" s="430"/>
      <c r="N420" s="461"/>
      <c r="O420" s="461"/>
      <c r="P420" s="430"/>
      <c r="Q420" s="430"/>
      <c r="R420" s="430"/>
      <c r="S420" s="430"/>
      <c r="T420" s="430"/>
      <c r="U420" s="430"/>
      <c r="V420" s="430"/>
      <c r="W420" s="430"/>
      <c r="X420" s="449"/>
      <c r="Y420" s="449"/>
      <c r="Z420" s="450"/>
      <c r="AA420" s="449"/>
      <c r="AB420" s="451"/>
      <c r="AC420" s="450"/>
      <c r="AD420" s="449"/>
      <c r="AE420" s="451"/>
      <c r="AF420" s="450"/>
      <c r="AG420" s="449"/>
      <c r="AH420" s="451"/>
      <c r="AI420" s="450"/>
      <c r="AJ420" s="449"/>
      <c r="AK420" s="451"/>
      <c r="AL420" s="450"/>
      <c r="AM420" s="449"/>
      <c r="AN420" s="451"/>
      <c r="AO420" s="450"/>
      <c r="AP420" s="449"/>
      <c r="AQ420" s="451"/>
      <c r="AR420" s="449"/>
      <c r="AS420" s="449"/>
      <c r="AT420" s="451"/>
      <c r="AU420" s="449"/>
      <c r="AV420" s="451"/>
      <c r="AW420" s="449"/>
      <c r="AX420" s="449"/>
      <c r="AY420" s="449"/>
      <c r="AZ420" s="449"/>
      <c r="BA420" s="449"/>
      <c r="BB420" s="449"/>
      <c r="BC420" s="449"/>
      <c r="BD420" s="449"/>
      <c r="BE420" s="449"/>
      <c r="BF420" s="449"/>
      <c r="BG420" s="449"/>
      <c r="BH420" s="449"/>
      <c r="BI420" s="449"/>
      <c r="BJ420" s="449"/>
      <c r="BK420" s="449"/>
      <c r="BL420" s="449"/>
      <c r="BM420" s="449"/>
      <c r="BN420" s="449"/>
    </row>
    <row r="421" spans="1:66" ht="13.15" x14ac:dyDescent="0.4">
      <c r="A421" s="430"/>
      <c r="B421" s="430"/>
      <c r="C421" s="430"/>
      <c r="D421" s="430"/>
      <c r="E421" s="430"/>
      <c r="F421" s="430"/>
      <c r="G421" s="430"/>
      <c r="H421" s="461"/>
      <c r="I421" s="438"/>
      <c r="J421" s="438"/>
      <c r="K421" s="438"/>
      <c r="L421" s="430"/>
      <c r="M421" s="430"/>
      <c r="N421" s="461"/>
      <c r="O421" s="461"/>
      <c r="P421" s="430"/>
      <c r="Q421" s="430"/>
      <c r="R421" s="430"/>
      <c r="S421" s="430"/>
      <c r="T421" s="430"/>
      <c r="U421" s="430"/>
      <c r="V421" s="430"/>
      <c r="W421" s="430"/>
      <c r="X421" s="449"/>
      <c r="Y421" s="449"/>
      <c r="Z421" s="450"/>
      <c r="AA421" s="449"/>
      <c r="AB421" s="451"/>
      <c r="AC421" s="450"/>
      <c r="AD421" s="449"/>
      <c r="AE421" s="451"/>
      <c r="AF421" s="450"/>
      <c r="AG421" s="449"/>
      <c r="AH421" s="451"/>
      <c r="AI421" s="450"/>
      <c r="AJ421" s="449"/>
      <c r="AK421" s="451"/>
      <c r="AL421" s="450"/>
      <c r="AM421" s="449"/>
      <c r="AN421" s="451"/>
      <c r="AO421" s="450"/>
      <c r="AP421" s="449"/>
      <c r="AQ421" s="451"/>
      <c r="AR421" s="449"/>
      <c r="AS421" s="449"/>
      <c r="AT421" s="451"/>
      <c r="AU421" s="449"/>
      <c r="AV421" s="451"/>
      <c r="AW421" s="449"/>
      <c r="AX421" s="449"/>
      <c r="AY421" s="449"/>
      <c r="AZ421" s="449"/>
      <c r="BA421" s="449"/>
      <c r="BB421" s="449"/>
      <c r="BC421" s="449"/>
      <c r="BD421" s="449"/>
      <c r="BE421" s="449"/>
      <c r="BF421" s="449"/>
      <c r="BG421" s="449"/>
      <c r="BH421" s="449"/>
      <c r="BI421" s="449"/>
      <c r="BJ421" s="449"/>
      <c r="BK421" s="449"/>
      <c r="BL421" s="449"/>
      <c r="BM421" s="449"/>
      <c r="BN421" s="449"/>
    </row>
    <row r="422" spans="1:66" ht="13.15" x14ac:dyDescent="0.4">
      <c r="A422" s="430"/>
      <c r="B422" s="430"/>
      <c r="C422" s="430"/>
      <c r="D422" s="430"/>
      <c r="E422" s="430"/>
      <c r="F422" s="430"/>
      <c r="G422" s="430"/>
      <c r="H422" s="461"/>
      <c r="I422" s="438"/>
      <c r="J422" s="438"/>
      <c r="K422" s="438"/>
      <c r="L422" s="430"/>
      <c r="M422" s="430"/>
      <c r="N422" s="461"/>
      <c r="O422" s="461"/>
      <c r="P422" s="430"/>
      <c r="Q422" s="430"/>
      <c r="R422" s="430"/>
      <c r="S422" s="430"/>
      <c r="T422" s="430"/>
      <c r="U422" s="430"/>
      <c r="V422" s="430"/>
      <c r="W422" s="430"/>
      <c r="X422" s="449"/>
      <c r="Y422" s="449"/>
      <c r="Z422" s="450"/>
      <c r="AA422" s="449"/>
      <c r="AB422" s="451"/>
      <c r="AC422" s="450"/>
      <c r="AD422" s="449"/>
      <c r="AE422" s="451"/>
      <c r="AF422" s="450"/>
      <c r="AG422" s="449"/>
      <c r="AH422" s="451"/>
      <c r="AI422" s="450"/>
      <c r="AJ422" s="449"/>
      <c r="AK422" s="451"/>
      <c r="AL422" s="450"/>
      <c r="AM422" s="449"/>
      <c r="AN422" s="451"/>
      <c r="AO422" s="450"/>
      <c r="AP422" s="449"/>
      <c r="AQ422" s="451"/>
      <c r="AR422" s="449"/>
      <c r="AS422" s="449"/>
      <c r="AT422" s="451"/>
      <c r="AU422" s="449"/>
      <c r="AV422" s="451"/>
      <c r="AW422" s="449"/>
      <c r="AX422" s="449"/>
      <c r="AY422" s="449"/>
      <c r="AZ422" s="449"/>
      <c r="BA422" s="449"/>
      <c r="BB422" s="449"/>
      <c r="BC422" s="449"/>
      <c r="BD422" s="449"/>
      <c r="BE422" s="449"/>
      <c r="BF422" s="449"/>
      <c r="BG422" s="449"/>
      <c r="BH422" s="449"/>
      <c r="BI422" s="449"/>
      <c r="BJ422" s="449"/>
      <c r="BK422" s="449"/>
      <c r="BL422" s="449"/>
      <c r="BM422" s="449"/>
      <c r="BN422" s="449"/>
    </row>
    <row r="423" spans="1:66" ht="13.15" x14ac:dyDescent="0.4">
      <c r="A423" s="430"/>
      <c r="B423" s="430"/>
      <c r="C423" s="430"/>
      <c r="D423" s="430"/>
      <c r="E423" s="430"/>
      <c r="F423" s="430"/>
      <c r="G423" s="430"/>
      <c r="H423" s="461"/>
      <c r="I423" s="438"/>
      <c r="J423" s="438"/>
      <c r="K423" s="438"/>
      <c r="L423" s="430"/>
      <c r="M423" s="430"/>
      <c r="N423" s="461"/>
      <c r="O423" s="461"/>
      <c r="P423" s="430"/>
      <c r="Q423" s="430"/>
      <c r="R423" s="430"/>
      <c r="S423" s="430"/>
      <c r="T423" s="430"/>
      <c r="U423" s="430"/>
      <c r="V423" s="430"/>
      <c r="W423" s="430"/>
      <c r="X423" s="449"/>
      <c r="Y423" s="449"/>
      <c r="Z423" s="450"/>
      <c r="AA423" s="449"/>
      <c r="AB423" s="451"/>
      <c r="AC423" s="450"/>
      <c r="AD423" s="449"/>
      <c r="AE423" s="451"/>
      <c r="AF423" s="450"/>
      <c r="AG423" s="449"/>
      <c r="AH423" s="451"/>
      <c r="AI423" s="450"/>
      <c r="AJ423" s="449"/>
      <c r="AK423" s="451"/>
      <c r="AL423" s="450"/>
      <c r="AM423" s="449"/>
      <c r="AN423" s="451"/>
      <c r="AO423" s="450"/>
      <c r="AP423" s="449"/>
      <c r="AQ423" s="451"/>
      <c r="AR423" s="449"/>
      <c r="AS423" s="449"/>
      <c r="AT423" s="451"/>
      <c r="AU423" s="449"/>
      <c r="AV423" s="451"/>
      <c r="AW423" s="449"/>
      <c r="AX423" s="449"/>
      <c r="AY423" s="449"/>
      <c r="AZ423" s="449"/>
      <c r="BA423" s="449"/>
      <c r="BB423" s="449"/>
      <c r="BC423" s="449"/>
      <c r="BD423" s="449"/>
      <c r="BE423" s="449"/>
      <c r="BF423" s="449"/>
      <c r="BG423" s="449"/>
      <c r="BH423" s="449"/>
      <c r="BI423" s="449"/>
      <c r="BJ423" s="449"/>
      <c r="BK423" s="449"/>
      <c r="BL423" s="449"/>
      <c r="BM423" s="449"/>
      <c r="BN423" s="449"/>
    </row>
    <row r="424" spans="1:66" ht="13.15" x14ac:dyDescent="0.4">
      <c r="A424" s="430"/>
      <c r="B424" s="430"/>
      <c r="C424" s="430"/>
      <c r="D424" s="430"/>
      <c r="E424" s="430"/>
      <c r="F424" s="430"/>
      <c r="G424" s="430"/>
      <c r="H424" s="461"/>
      <c r="I424" s="438"/>
      <c r="J424" s="438"/>
      <c r="K424" s="438"/>
      <c r="L424" s="430"/>
      <c r="M424" s="430"/>
      <c r="N424" s="461"/>
      <c r="O424" s="461"/>
      <c r="P424" s="430"/>
      <c r="Q424" s="430"/>
      <c r="R424" s="430"/>
      <c r="S424" s="430"/>
      <c r="T424" s="430"/>
      <c r="U424" s="430"/>
      <c r="V424" s="430"/>
      <c r="W424" s="430"/>
      <c r="X424" s="449"/>
      <c r="Y424" s="449"/>
      <c r="Z424" s="450"/>
      <c r="AA424" s="449"/>
      <c r="AB424" s="451"/>
      <c r="AC424" s="450"/>
      <c r="AD424" s="449"/>
      <c r="AE424" s="451"/>
      <c r="AF424" s="450"/>
      <c r="AG424" s="449"/>
      <c r="AH424" s="451"/>
      <c r="AI424" s="450"/>
      <c r="AJ424" s="449"/>
      <c r="AK424" s="451"/>
      <c r="AL424" s="450"/>
      <c r="AM424" s="449"/>
      <c r="AN424" s="451"/>
      <c r="AO424" s="450"/>
      <c r="AP424" s="449"/>
      <c r="AQ424" s="451"/>
      <c r="AR424" s="449"/>
      <c r="AS424" s="449"/>
      <c r="AT424" s="451"/>
      <c r="AU424" s="449"/>
      <c r="AV424" s="451"/>
      <c r="AW424" s="449"/>
      <c r="AX424" s="449"/>
      <c r="AY424" s="449"/>
      <c r="AZ424" s="449"/>
      <c r="BA424" s="449"/>
      <c r="BB424" s="449"/>
      <c r="BC424" s="449"/>
      <c r="BD424" s="449"/>
      <c r="BE424" s="449"/>
      <c r="BF424" s="449"/>
      <c r="BG424" s="449"/>
      <c r="BH424" s="449"/>
      <c r="BI424" s="449"/>
      <c r="BJ424" s="449"/>
      <c r="BK424" s="449"/>
      <c r="BL424" s="449"/>
      <c r="BM424" s="449"/>
      <c r="BN424" s="449"/>
    </row>
    <row r="425" spans="1:66" ht="13.15" x14ac:dyDescent="0.4">
      <c r="A425" s="430"/>
      <c r="B425" s="430"/>
      <c r="C425" s="430"/>
      <c r="D425" s="430"/>
      <c r="E425" s="430"/>
      <c r="F425" s="430"/>
      <c r="G425" s="430"/>
      <c r="H425" s="461"/>
      <c r="I425" s="438"/>
      <c r="J425" s="438"/>
      <c r="K425" s="438"/>
      <c r="L425" s="430"/>
      <c r="M425" s="430"/>
      <c r="N425" s="461"/>
      <c r="O425" s="461"/>
      <c r="P425" s="430"/>
      <c r="Q425" s="430"/>
      <c r="R425" s="430"/>
      <c r="S425" s="430"/>
      <c r="T425" s="430"/>
      <c r="U425" s="430"/>
      <c r="V425" s="430"/>
      <c r="W425" s="430"/>
      <c r="X425" s="449"/>
      <c r="Y425" s="449"/>
      <c r="Z425" s="450"/>
      <c r="AA425" s="449"/>
      <c r="AB425" s="451"/>
      <c r="AC425" s="450"/>
      <c r="AD425" s="449"/>
      <c r="AE425" s="451"/>
      <c r="AF425" s="450"/>
      <c r="AG425" s="449"/>
      <c r="AH425" s="451"/>
      <c r="AI425" s="450"/>
      <c r="AJ425" s="449"/>
      <c r="AK425" s="451"/>
      <c r="AL425" s="450"/>
      <c r="AM425" s="449"/>
      <c r="AN425" s="451"/>
      <c r="AO425" s="450"/>
      <c r="AP425" s="449"/>
      <c r="AQ425" s="451"/>
      <c r="AR425" s="449"/>
      <c r="AS425" s="449"/>
      <c r="AT425" s="451"/>
      <c r="AU425" s="449"/>
      <c r="AV425" s="451"/>
      <c r="AW425" s="449"/>
      <c r="AX425" s="449"/>
      <c r="AY425" s="449"/>
      <c r="AZ425" s="449"/>
      <c r="BA425" s="449"/>
      <c r="BB425" s="449"/>
      <c r="BC425" s="449"/>
      <c r="BD425" s="449"/>
      <c r="BE425" s="449"/>
      <c r="BF425" s="449"/>
      <c r="BG425" s="449"/>
      <c r="BH425" s="449"/>
      <c r="BI425" s="449"/>
      <c r="BJ425" s="449"/>
      <c r="BK425" s="449"/>
      <c r="BL425" s="449"/>
      <c r="BM425" s="449"/>
      <c r="BN425" s="449"/>
    </row>
    <row r="426" spans="1:66" ht="13.15" x14ac:dyDescent="0.4">
      <c r="A426" s="430"/>
      <c r="B426" s="430"/>
      <c r="C426" s="430"/>
      <c r="D426" s="430"/>
      <c r="E426" s="430"/>
      <c r="F426" s="430"/>
      <c r="G426" s="430"/>
      <c r="H426" s="461"/>
      <c r="I426" s="438"/>
      <c r="J426" s="438"/>
      <c r="K426" s="438"/>
      <c r="L426" s="430"/>
      <c r="M426" s="430"/>
      <c r="N426" s="461"/>
      <c r="O426" s="461"/>
      <c r="P426" s="430"/>
      <c r="Q426" s="430"/>
      <c r="R426" s="430"/>
      <c r="S426" s="430"/>
      <c r="T426" s="430"/>
      <c r="U426" s="430"/>
      <c r="V426" s="430"/>
      <c r="W426" s="430"/>
      <c r="X426" s="449"/>
      <c r="Y426" s="449"/>
      <c r="Z426" s="450"/>
      <c r="AA426" s="449"/>
      <c r="AB426" s="451"/>
      <c r="AC426" s="450"/>
      <c r="AD426" s="449"/>
      <c r="AE426" s="451"/>
      <c r="AF426" s="450"/>
      <c r="AG426" s="449"/>
      <c r="AH426" s="451"/>
      <c r="AI426" s="450"/>
      <c r="AJ426" s="449"/>
      <c r="AK426" s="451"/>
      <c r="AL426" s="450"/>
      <c r="AM426" s="449"/>
      <c r="AN426" s="451"/>
      <c r="AO426" s="450"/>
      <c r="AP426" s="449"/>
      <c r="AQ426" s="451"/>
      <c r="AR426" s="449"/>
      <c r="AS426" s="449"/>
      <c r="AT426" s="451"/>
      <c r="AU426" s="449"/>
      <c r="AV426" s="451"/>
      <c r="AW426" s="449"/>
      <c r="AX426" s="449"/>
      <c r="AY426" s="449"/>
      <c r="AZ426" s="449"/>
      <c r="BA426" s="449"/>
      <c r="BB426" s="449"/>
      <c r="BC426" s="449"/>
      <c r="BD426" s="449"/>
      <c r="BE426" s="449"/>
      <c r="BF426" s="449"/>
      <c r="BG426" s="449"/>
      <c r="BH426" s="449"/>
      <c r="BI426" s="449"/>
      <c r="BJ426" s="449"/>
      <c r="BK426" s="449"/>
      <c r="BL426" s="449"/>
      <c r="BM426" s="449"/>
      <c r="BN426" s="449"/>
    </row>
    <row r="427" spans="1:66" ht="13.15" x14ac:dyDescent="0.4">
      <c r="A427" s="430"/>
      <c r="B427" s="430"/>
      <c r="C427" s="430"/>
      <c r="D427" s="430"/>
      <c r="E427" s="430"/>
      <c r="F427" s="430"/>
      <c r="G427" s="430"/>
      <c r="H427" s="461"/>
      <c r="I427" s="438"/>
      <c r="J427" s="438"/>
      <c r="K427" s="438"/>
      <c r="L427" s="430"/>
      <c r="M427" s="430"/>
      <c r="N427" s="461"/>
      <c r="O427" s="461"/>
      <c r="P427" s="430"/>
      <c r="Q427" s="430"/>
      <c r="R427" s="430"/>
      <c r="S427" s="430"/>
      <c r="T427" s="430"/>
      <c r="U427" s="430"/>
      <c r="V427" s="430"/>
      <c r="W427" s="430"/>
      <c r="X427" s="449"/>
      <c r="Y427" s="449"/>
      <c r="Z427" s="450"/>
      <c r="AA427" s="449"/>
      <c r="AB427" s="451"/>
      <c r="AC427" s="450"/>
      <c r="AD427" s="449"/>
      <c r="AE427" s="451"/>
      <c r="AF427" s="450"/>
      <c r="AG427" s="449"/>
      <c r="AH427" s="451"/>
      <c r="AI427" s="450"/>
      <c r="AJ427" s="449"/>
      <c r="AK427" s="451"/>
      <c r="AL427" s="450"/>
      <c r="AM427" s="449"/>
      <c r="AN427" s="451"/>
      <c r="AO427" s="450"/>
      <c r="AP427" s="449"/>
      <c r="AQ427" s="451"/>
      <c r="AR427" s="449"/>
      <c r="AS427" s="449"/>
      <c r="AT427" s="451"/>
      <c r="AU427" s="449"/>
      <c r="AV427" s="451"/>
      <c r="AW427" s="449"/>
      <c r="AX427" s="449"/>
      <c r="AY427" s="449"/>
      <c r="AZ427" s="449"/>
      <c r="BA427" s="449"/>
      <c r="BB427" s="449"/>
      <c r="BC427" s="449"/>
      <c r="BD427" s="449"/>
      <c r="BE427" s="449"/>
      <c r="BF427" s="449"/>
      <c r="BG427" s="449"/>
      <c r="BH427" s="449"/>
      <c r="BI427" s="449"/>
      <c r="BJ427" s="449"/>
      <c r="BK427" s="449"/>
      <c r="BL427" s="449"/>
      <c r="BM427" s="449"/>
      <c r="BN427" s="449"/>
    </row>
    <row r="428" spans="1:66" ht="13.15" x14ac:dyDescent="0.4">
      <c r="A428" s="430"/>
      <c r="B428" s="430"/>
      <c r="C428" s="430"/>
      <c r="D428" s="430"/>
      <c r="E428" s="430"/>
      <c r="F428" s="430"/>
      <c r="G428" s="430"/>
      <c r="H428" s="461"/>
      <c r="I428" s="438"/>
      <c r="J428" s="438"/>
      <c r="K428" s="438"/>
      <c r="L428" s="430"/>
      <c r="M428" s="430"/>
      <c r="N428" s="461"/>
      <c r="O428" s="461"/>
      <c r="P428" s="430"/>
      <c r="Q428" s="430"/>
      <c r="R428" s="430"/>
      <c r="S428" s="430"/>
      <c r="T428" s="430"/>
      <c r="U428" s="430"/>
      <c r="V428" s="430"/>
      <c r="W428" s="430"/>
      <c r="X428" s="449"/>
      <c r="Y428" s="449"/>
      <c r="Z428" s="450"/>
      <c r="AA428" s="449"/>
      <c r="AB428" s="451"/>
      <c r="AC428" s="450"/>
      <c r="AD428" s="449"/>
      <c r="AE428" s="451"/>
      <c r="AF428" s="450"/>
      <c r="AG428" s="449"/>
      <c r="AH428" s="451"/>
      <c r="AI428" s="450"/>
      <c r="AJ428" s="449"/>
      <c r="AK428" s="451"/>
      <c r="AL428" s="450"/>
      <c r="AM428" s="449"/>
      <c r="AN428" s="451"/>
      <c r="AO428" s="450"/>
      <c r="AP428" s="449"/>
      <c r="AQ428" s="451"/>
      <c r="AR428" s="449"/>
      <c r="AS428" s="449"/>
      <c r="AT428" s="451"/>
      <c r="AU428" s="449"/>
      <c r="AV428" s="451"/>
      <c r="AW428" s="449"/>
      <c r="AX428" s="449"/>
      <c r="AY428" s="449"/>
      <c r="AZ428" s="449"/>
      <c r="BA428" s="449"/>
      <c r="BB428" s="449"/>
      <c r="BC428" s="449"/>
      <c r="BD428" s="449"/>
      <c r="BE428" s="449"/>
      <c r="BF428" s="449"/>
      <c r="BG428" s="449"/>
      <c r="BH428" s="449"/>
      <c r="BI428" s="449"/>
      <c r="BJ428" s="449"/>
      <c r="BK428" s="449"/>
      <c r="BL428" s="449"/>
      <c r="BM428" s="449"/>
      <c r="BN428" s="449"/>
    </row>
    <row r="429" spans="1:66" ht="13.15" x14ac:dyDescent="0.4">
      <c r="A429" s="430"/>
      <c r="B429" s="430"/>
      <c r="C429" s="430"/>
      <c r="D429" s="430"/>
      <c r="E429" s="430"/>
      <c r="F429" s="430"/>
      <c r="G429" s="430"/>
      <c r="H429" s="461"/>
      <c r="I429" s="438"/>
      <c r="J429" s="438"/>
      <c r="K429" s="438"/>
      <c r="L429" s="430"/>
      <c r="M429" s="430"/>
      <c r="N429" s="461"/>
      <c r="O429" s="461"/>
      <c r="P429" s="430"/>
      <c r="Q429" s="430"/>
      <c r="R429" s="430"/>
      <c r="S429" s="430"/>
      <c r="T429" s="430"/>
      <c r="U429" s="430"/>
      <c r="V429" s="430"/>
      <c r="W429" s="430"/>
      <c r="X429" s="449"/>
      <c r="Y429" s="449"/>
      <c r="Z429" s="450"/>
      <c r="AA429" s="449"/>
      <c r="AB429" s="451"/>
      <c r="AC429" s="450"/>
      <c r="AD429" s="449"/>
      <c r="AE429" s="451"/>
      <c r="AF429" s="450"/>
      <c r="AG429" s="449"/>
      <c r="AH429" s="451"/>
      <c r="AI429" s="450"/>
      <c r="AJ429" s="449"/>
      <c r="AK429" s="451"/>
      <c r="AL429" s="450"/>
      <c r="AM429" s="449"/>
      <c r="AN429" s="451"/>
      <c r="AO429" s="450"/>
      <c r="AP429" s="449"/>
      <c r="AQ429" s="451"/>
      <c r="AR429" s="449"/>
      <c r="AS429" s="449"/>
      <c r="AT429" s="451"/>
      <c r="AU429" s="449"/>
      <c r="AV429" s="451"/>
      <c r="AW429" s="449"/>
      <c r="AX429" s="449"/>
      <c r="AY429" s="449"/>
      <c r="AZ429" s="449"/>
      <c r="BA429" s="449"/>
      <c r="BB429" s="449"/>
      <c r="BC429" s="449"/>
      <c r="BD429" s="449"/>
      <c r="BE429" s="449"/>
      <c r="BF429" s="449"/>
      <c r="BG429" s="449"/>
      <c r="BH429" s="449"/>
      <c r="BI429" s="449"/>
      <c r="BJ429" s="449"/>
      <c r="BK429" s="449"/>
      <c r="BL429" s="449"/>
      <c r="BM429" s="449"/>
      <c r="BN429" s="449"/>
    </row>
    <row r="430" spans="1:66" ht="13.15" x14ac:dyDescent="0.4">
      <c r="A430" s="430"/>
      <c r="B430" s="430"/>
      <c r="C430" s="430"/>
      <c r="D430" s="430"/>
      <c r="E430" s="430"/>
      <c r="F430" s="430"/>
      <c r="G430" s="430"/>
      <c r="H430" s="461"/>
      <c r="I430" s="438"/>
      <c r="J430" s="438"/>
      <c r="K430" s="438"/>
      <c r="L430" s="430"/>
      <c r="M430" s="430"/>
      <c r="N430" s="461"/>
      <c r="O430" s="461"/>
      <c r="P430" s="430"/>
      <c r="Q430" s="430"/>
      <c r="R430" s="430"/>
      <c r="S430" s="430"/>
      <c r="T430" s="430"/>
      <c r="U430" s="430"/>
      <c r="V430" s="430"/>
      <c r="W430" s="430"/>
      <c r="X430" s="449"/>
      <c r="Y430" s="449"/>
      <c r="Z430" s="450"/>
      <c r="AA430" s="449"/>
      <c r="AB430" s="451"/>
      <c r="AC430" s="450"/>
      <c r="AD430" s="449"/>
      <c r="AE430" s="451"/>
      <c r="AF430" s="450"/>
      <c r="AG430" s="449"/>
      <c r="AH430" s="451"/>
      <c r="AI430" s="450"/>
      <c r="AJ430" s="449"/>
      <c r="AK430" s="451"/>
      <c r="AL430" s="450"/>
      <c r="AM430" s="449"/>
      <c r="AN430" s="451"/>
      <c r="AO430" s="450"/>
      <c r="AP430" s="449"/>
      <c r="AQ430" s="451"/>
      <c r="AR430" s="449"/>
      <c r="AS430" s="449"/>
      <c r="AT430" s="451"/>
      <c r="AU430" s="449"/>
      <c r="AV430" s="451"/>
      <c r="AW430" s="449"/>
      <c r="AX430" s="449"/>
      <c r="AY430" s="449"/>
      <c r="AZ430" s="449"/>
      <c r="BA430" s="449"/>
      <c r="BB430" s="449"/>
      <c r="BC430" s="449"/>
      <c r="BD430" s="449"/>
      <c r="BE430" s="449"/>
      <c r="BF430" s="449"/>
      <c r="BG430" s="449"/>
      <c r="BH430" s="449"/>
      <c r="BI430" s="449"/>
      <c r="BJ430" s="449"/>
      <c r="BK430" s="449"/>
      <c r="BL430" s="449"/>
      <c r="BM430" s="449"/>
      <c r="BN430" s="449"/>
    </row>
    <row r="431" spans="1:66" ht="13.15" x14ac:dyDescent="0.4">
      <c r="A431" s="430"/>
      <c r="B431" s="430"/>
      <c r="C431" s="430"/>
      <c r="D431" s="430"/>
      <c r="E431" s="430"/>
      <c r="F431" s="430"/>
      <c r="G431" s="430"/>
      <c r="H431" s="461"/>
      <c r="I431" s="438"/>
      <c r="J431" s="438"/>
      <c r="K431" s="438"/>
      <c r="L431" s="430"/>
      <c r="M431" s="430"/>
      <c r="N431" s="461"/>
      <c r="O431" s="461"/>
      <c r="P431" s="430"/>
      <c r="Q431" s="430"/>
      <c r="R431" s="430"/>
      <c r="S431" s="430"/>
      <c r="T431" s="430"/>
      <c r="U431" s="430"/>
      <c r="V431" s="430"/>
      <c r="W431" s="430"/>
      <c r="X431" s="449"/>
      <c r="Y431" s="449"/>
      <c r="Z431" s="450"/>
      <c r="AA431" s="449"/>
      <c r="AB431" s="451"/>
      <c r="AC431" s="450"/>
      <c r="AD431" s="449"/>
      <c r="AE431" s="451"/>
      <c r="AF431" s="450"/>
      <c r="AG431" s="449"/>
      <c r="AH431" s="451"/>
      <c r="AI431" s="450"/>
      <c r="AJ431" s="449"/>
      <c r="AK431" s="451"/>
      <c r="AL431" s="450"/>
      <c r="AM431" s="449"/>
      <c r="AN431" s="451"/>
      <c r="AO431" s="450"/>
      <c r="AP431" s="449"/>
      <c r="AQ431" s="451"/>
      <c r="AR431" s="449"/>
      <c r="AS431" s="449"/>
      <c r="AT431" s="451"/>
      <c r="AU431" s="449"/>
      <c r="AV431" s="451"/>
      <c r="AW431" s="449"/>
      <c r="AX431" s="449"/>
      <c r="AY431" s="449"/>
      <c r="AZ431" s="449"/>
      <c r="BA431" s="449"/>
      <c r="BB431" s="449"/>
      <c r="BC431" s="449"/>
      <c r="BD431" s="449"/>
      <c r="BE431" s="449"/>
      <c r="BF431" s="449"/>
      <c r="BG431" s="449"/>
      <c r="BH431" s="449"/>
      <c r="BI431" s="449"/>
      <c r="BJ431" s="449"/>
      <c r="BK431" s="449"/>
      <c r="BL431" s="449"/>
      <c r="BM431" s="449"/>
      <c r="BN431" s="449"/>
    </row>
    <row r="432" spans="1:66" ht="13.15" x14ac:dyDescent="0.4">
      <c r="A432" s="430"/>
      <c r="B432" s="430"/>
      <c r="C432" s="430"/>
      <c r="D432" s="430"/>
      <c r="E432" s="430"/>
      <c r="F432" s="430"/>
      <c r="G432" s="430"/>
      <c r="H432" s="461"/>
      <c r="I432" s="438"/>
      <c r="J432" s="438"/>
      <c r="K432" s="438"/>
      <c r="L432" s="430"/>
      <c r="M432" s="430"/>
      <c r="N432" s="461"/>
      <c r="O432" s="461"/>
      <c r="P432" s="430"/>
      <c r="Q432" s="430"/>
      <c r="R432" s="430"/>
      <c r="S432" s="430"/>
      <c r="T432" s="430"/>
      <c r="U432" s="430"/>
      <c r="V432" s="430"/>
      <c r="W432" s="430"/>
      <c r="X432" s="449"/>
      <c r="Y432" s="449"/>
      <c r="Z432" s="450"/>
      <c r="AA432" s="449"/>
      <c r="AB432" s="451"/>
      <c r="AC432" s="450"/>
      <c r="AD432" s="449"/>
      <c r="AE432" s="451"/>
      <c r="AF432" s="450"/>
      <c r="AG432" s="449"/>
      <c r="AH432" s="451"/>
      <c r="AI432" s="450"/>
      <c r="AJ432" s="449"/>
      <c r="AK432" s="451"/>
      <c r="AL432" s="450"/>
      <c r="AM432" s="449"/>
      <c r="AN432" s="451"/>
      <c r="AO432" s="450"/>
      <c r="AP432" s="449"/>
      <c r="AQ432" s="451"/>
      <c r="AR432" s="449"/>
      <c r="AS432" s="449"/>
      <c r="AT432" s="451"/>
      <c r="AU432" s="449"/>
      <c r="AV432" s="451"/>
      <c r="AW432" s="449"/>
      <c r="AX432" s="449"/>
      <c r="AY432" s="449"/>
      <c r="AZ432" s="449"/>
      <c r="BA432" s="449"/>
      <c r="BB432" s="449"/>
      <c r="BC432" s="449"/>
      <c r="BD432" s="449"/>
      <c r="BE432" s="449"/>
      <c r="BF432" s="449"/>
      <c r="BG432" s="449"/>
      <c r="BH432" s="449"/>
      <c r="BI432" s="449"/>
      <c r="BJ432" s="449"/>
      <c r="BK432" s="449"/>
      <c r="BL432" s="449"/>
      <c r="BM432" s="449"/>
      <c r="BN432" s="449"/>
    </row>
    <row r="433" spans="1:66" ht="13.15" x14ac:dyDescent="0.4">
      <c r="A433" s="430"/>
      <c r="B433" s="430"/>
      <c r="C433" s="430"/>
      <c r="D433" s="430"/>
      <c r="E433" s="430"/>
      <c r="F433" s="430"/>
      <c r="G433" s="430"/>
      <c r="H433" s="461"/>
      <c r="I433" s="438"/>
      <c r="J433" s="438"/>
      <c r="K433" s="438"/>
      <c r="L433" s="430"/>
      <c r="M433" s="430"/>
      <c r="N433" s="461"/>
      <c r="O433" s="461"/>
      <c r="P433" s="430"/>
      <c r="Q433" s="430"/>
      <c r="R433" s="430"/>
      <c r="S433" s="430"/>
      <c r="T433" s="430"/>
      <c r="U433" s="430"/>
      <c r="V433" s="430"/>
      <c r="W433" s="430"/>
      <c r="X433" s="449"/>
      <c r="Y433" s="449"/>
      <c r="Z433" s="450"/>
      <c r="AA433" s="449"/>
      <c r="AB433" s="451"/>
      <c r="AC433" s="450"/>
      <c r="AD433" s="449"/>
      <c r="AE433" s="451"/>
      <c r="AF433" s="450"/>
      <c r="AG433" s="449"/>
      <c r="AH433" s="451"/>
      <c r="AI433" s="450"/>
      <c r="AJ433" s="449"/>
      <c r="AK433" s="451"/>
      <c r="AL433" s="450"/>
      <c r="AM433" s="449"/>
      <c r="AN433" s="451"/>
      <c r="AO433" s="450"/>
      <c r="AP433" s="449"/>
      <c r="AQ433" s="451"/>
      <c r="AR433" s="449"/>
      <c r="AS433" s="449"/>
      <c r="AT433" s="451"/>
      <c r="AU433" s="449"/>
      <c r="AV433" s="451"/>
      <c r="AW433" s="449"/>
      <c r="AX433" s="449"/>
      <c r="AY433" s="449"/>
      <c r="AZ433" s="449"/>
      <c r="BA433" s="449"/>
      <c r="BB433" s="449"/>
      <c r="BC433" s="449"/>
      <c r="BD433" s="449"/>
      <c r="BE433" s="449"/>
      <c r="BF433" s="449"/>
      <c r="BG433" s="449"/>
      <c r="BH433" s="449"/>
      <c r="BI433" s="449"/>
      <c r="BJ433" s="449"/>
      <c r="BK433" s="449"/>
      <c r="BL433" s="449"/>
      <c r="BM433" s="449"/>
      <c r="BN433" s="449"/>
    </row>
    <row r="434" spans="1:66" ht="13.15" x14ac:dyDescent="0.4">
      <c r="A434" s="430"/>
      <c r="B434" s="430"/>
      <c r="C434" s="430"/>
      <c r="D434" s="430"/>
      <c r="E434" s="430"/>
      <c r="F434" s="430"/>
      <c r="G434" s="430"/>
      <c r="H434" s="461"/>
      <c r="I434" s="438"/>
      <c r="J434" s="438"/>
      <c r="K434" s="438"/>
      <c r="L434" s="430"/>
      <c r="M434" s="430"/>
      <c r="N434" s="461"/>
      <c r="O434" s="461"/>
      <c r="P434" s="430"/>
      <c r="Q434" s="430"/>
      <c r="R434" s="430"/>
      <c r="S434" s="430"/>
      <c r="T434" s="430"/>
      <c r="U434" s="430"/>
      <c r="V434" s="430"/>
      <c r="W434" s="430"/>
      <c r="X434" s="449"/>
      <c r="Y434" s="449"/>
      <c r="Z434" s="450"/>
      <c r="AA434" s="449"/>
      <c r="AB434" s="451"/>
      <c r="AC434" s="450"/>
      <c r="AD434" s="449"/>
      <c r="AE434" s="451"/>
      <c r="AF434" s="450"/>
      <c r="AG434" s="449"/>
      <c r="AH434" s="451"/>
      <c r="AI434" s="450"/>
      <c r="AJ434" s="449"/>
      <c r="AK434" s="451"/>
      <c r="AL434" s="450"/>
      <c r="AM434" s="449"/>
      <c r="AN434" s="451"/>
      <c r="AO434" s="450"/>
      <c r="AP434" s="449"/>
      <c r="AQ434" s="451"/>
      <c r="AR434" s="449"/>
      <c r="AS434" s="449"/>
      <c r="AT434" s="451"/>
      <c r="AU434" s="449"/>
      <c r="AV434" s="451"/>
      <c r="AW434" s="449"/>
      <c r="AX434" s="449"/>
      <c r="AY434" s="449"/>
      <c r="AZ434" s="449"/>
      <c r="BA434" s="449"/>
      <c r="BB434" s="449"/>
      <c r="BC434" s="449"/>
      <c r="BD434" s="449"/>
      <c r="BE434" s="449"/>
      <c r="BF434" s="449"/>
      <c r="BG434" s="449"/>
      <c r="BH434" s="449"/>
      <c r="BI434" s="449"/>
      <c r="BJ434" s="449"/>
      <c r="BK434" s="449"/>
      <c r="BL434" s="449"/>
      <c r="BM434" s="449"/>
      <c r="BN434" s="449"/>
    </row>
    <row r="435" spans="1:66" ht="13.15" x14ac:dyDescent="0.4">
      <c r="A435" s="430"/>
      <c r="B435" s="430"/>
      <c r="C435" s="430"/>
      <c r="D435" s="430"/>
      <c r="E435" s="430"/>
      <c r="F435" s="430"/>
      <c r="G435" s="430"/>
      <c r="H435" s="461"/>
      <c r="I435" s="438"/>
      <c r="J435" s="438"/>
      <c r="K435" s="438"/>
      <c r="L435" s="430"/>
      <c r="M435" s="430"/>
      <c r="N435" s="461"/>
      <c r="O435" s="461"/>
      <c r="P435" s="430"/>
      <c r="Q435" s="430"/>
      <c r="R435" s="430"/>
      <c r="S435" s="430"/>
      <c r="T435" s="430"/>
      <c r="U435" s="430"/>
      <c r="V435" s="430"/>
      <c r="W435" s="430"/>
      <c r="X435" s="449"/>
      <c r="Y435" s="449"/>
      <c r="Z435" s="450"/>
      <c r="AA435" s="449"/>
      <c r="AB435" s="451"/>
      <c r="AC435" s="450"/>
      <c r="AD435" s="449"/>
      <c r="AE435" s="451"/>
      <c r="AF435" s="450"/>
      <c r="AG435" s="449"/>
      <c r="AH435" s="451"/>
      <c r="AI435" s="450"/>
      <c r="AJ435" s="449"/>
      <c r="AK435" s="451"/>
      <c r="AL435" s="450"/>
      <c r="AM435" s="449"/>
      <c r="AN435" s="451"/>
      <c r="AO435" s="450"/>
      <c r="AP435" s="449"/>
      <c r="AQ435" s="451"/>
      <c r="AR435" s="449"/>
      <c r="AS435" s="449"/>
      <c r="AT435" s="451"/>
      <c r="AU435" s="449"/>
      <c r="AV435" s="451"/>
      <c r="AW435" s="449"/>
      <c r="AX435" s="449"/>
      <c r="AY435" s="449"/>
      <c r="AZ435" s="449"/>
      <c r="BA435" s="449"/>
      <c r="BB435" s="449"/>
      <c r="BC435" s="449"/>
      <c r="BD435" s="449"/>
      <c r="BE435" s="449"/>
      <c r="BF435" s="449"/>
      <c r="BG435" s="449"/>
      <c r="BH435" s="449"/>
      <c r="BI435" s="449"/>
      <c r="BJ435" s="449"/>
      <c r="BK435" s="449"/>
      <c r="BL435" s="449"/>
      <c r="BM435" s="449"/>
      <c r="BN435" s="449"/>
    </row>
    <row r="436" spans="1:66" ht="13.15" x14ac:dyDescent="0.4">
      <c r="A436" s="430"/>
      <c r="B436" s="430"/>
      <c r="C436" s="430"/>
      <c r="D436" s="430"/>
      <c r="E436" s="430"/>
      <c r="F436" s="430"/>
      <c r="G436" s="430"/>
      <c r="H436" s="461"/>
      <c r="I436" s="438"/>
      <c r="J436" s="438"/>
      <c r="K436" s="438"/>
      <c r="L436" s="430"/>
      <c r="M436" s="430"/>
      <c r="N436" s="461"/>
      <c r="O436" s="461"/>
      <c r="P436" s="430"/>
      <c r="Q436" s="430"/>
      <c r="R436" s="430"/>
      <c r="S436" s="430"/>
      <c r="T436" s="430"/>
      <c r="U436" s="430"/>
      <c r="V436" s="430"/>
      <c r="W436" s="430"/>
      <c r="X436" s="449"/>
      <c r="Y436" s="449"/>
      <c r="Z436" s="450"/>
      <c r="AA436" s="449"/>
      <c r="AB436" s="451"/>
      <c r="AC436" s="450"/>
      <c r="AD436" s="449"/>
      <c r="AE436" s="451"/>
      <c r="AF436" s="450"/>
      <c r="AG436" s="449"/>
      <c r="AH436" s="451"/>
      <c r="AI436" s="450"/>
      <c r="AJ436" s="449"/>
      <c r="AK436" s="451"/>
      <c r="AL436" s="450"/>
      <c r="AM436" s="449"/>
      <c r="AN436" s="451"/>
      <c r="AO436" s="450"/>
      <c r="AP436" s="449"/>
      <c r="AQ436" s="451"/>
      <c r="AR436" s="449"/>
      <c r="AS436" s="449"/>
      <c r="AT436" s="451"/>
      <c r="AU436" s="449"/>
      <c r="AV436" s="451"/>
      <c r="AW436" s="449"/>
      <c r="AX436" s="449"/>
      <c r="AY436" s="449"/>
      <c r="AZ436" s="449"/>
      <c r="BA436" s="449"/>
      <c r="BB436" s="449"/>
      <c r="BC436" s="449"/>
      <c r="BD436" s="449"/>
      <c r="BE436" s="449"/>
      <c r="BF436" s="449"/>
      <c r="BG436" s="449"/>
      <c r="BH436" s="449"/>
      <c r="BI436" s="449"/>
      <c r="BJ436" s="449"/>
      <c r="BK436" s="449"/>
      <c r="BL436" s="449"/>
      <c r="BM436" s="449"/>
      <c r="BN436" s="449"/>
    </row>
    <row r="437" spans="1:66" ht="13.15" x14ac:dyDescent="0.4">
      <c r="A437" s="430"/>
      <c r="B437" s="430"/>
      <c r="C437" s="430"/>
      <c r="D437" s="430"/>
      <c r="E437" s="430"/>
      <c r="F437" s="430"/>
      <c r="G437" s="430"/>
      <c r="H437" s="461"/>
      <c r="I437" s="438"/>
      <c r="J437" s="438"/>
      <c r="K437" s="438"/>
      <c r="L437" s="430"/>
      <c r="M437" s="430"/>
      <c r="N437" s="461"/>
      <c r="O437" s="461"/>
      <c r="P437" s="430"/>
      <c r="Q437" s="430"/>
      <c r="R437" s="430"/>
      <c r="S437" s="430"/>
      <c r="T437" s="430"/>
      <c r="U437" s="430"/>
      <c r="V437" s="430"/>
      <c r="W437" s="430"/>
      <c r="X437" s="449"/>
      <c r="Y437" s="449"/>
      <c r="Z437" s="450"/>
      <c r="AA437" s="449"/>
      <c r="AB437" s="451"/>
      <c r="AC437" s="450"/>
      <c r="AD437" s="449"/>
      <c r="AE437" s="451"/>
      <c r="AF437" s="450"/>
      <c r="AG437" s="449"/>
      <c r="AH437" s="451"/>
      <c r="AI437" s="450"/>
      <c r="AJ437" s="449"/>
      <c r="AK437" s="451"/>
      <c r="AL437" s="450"/>
      <c r="AM437" s="449"/>
      <c r="AN437" s="451"/>
      <c r="AO437" s="450"/>
      <c r="AP437" s="449"/>
      <c r="AQ437" s="451"/>
      <c r="AR437" s="449"/>
      <c r="AS437" s="449"/>
      <c r="AT437" s="451"/>
      <c r="AU437" s="449"/>
      <c r="AV437" s="451"/>
      <c r="AW437" s="449"/>
      <c r="AX437" s="449"/>
      <c r="AY437" s="449"/>
      <c r="AZ437" s="449"/>
      <c r="BA437" s="449"/>
      <c r="BB437" s="449"/>
      <c r="BC437" s="449"/>
      <c r="BD437" s="449"/>
      <c r="BE437" s="449"/>
      <c r="BF437" s="449"/>
      <c r="BG437" s="449"/>
      <c r="BH437" s="449"/>
      <c r="BI437" s="449"/>
      <c r="BJ437" s="449"/>
      <c r="BK437" s="449"/>
      <c r="BL437" s="449"/>
      <c r="BM437" s="449"/>
      <c r="BN437" s="449"/>
    </row>
    <row r="438" spans="1:66" ht="13.15" x14ac:dyDescent="0.4">
      <c r="A438" s="430"/>
      <c r="B438" s="430"/>
      <c r="C438" s="430"/>
      <c r="D438" s="430"/>
      <c r="E438" s="430"/>
      <c r="F438" s="430"/>
      <c r="G438" s="430"/>
      <c r="H438" s="461"/>
      <c r="I438" s="438"/>
      <c r="J438" s="438"/>
      <c r="K438" s="438"/>
      <c r="L438" s="430"/>
      <c r="M438" s="430"/>
      <c r="N438" s="461"/>
      <c r="O438" s="461"/>
      <c r="P438" s="430"/>
      <c r="Q438" s="430"/>
      <c r="R438" s="430"/>
      <c r="S438" s="430"/>
      <c r="T438" s="430"/>
      <c r="U438" s="430"/>
      <c r="V438" s="430"/>
      <c r="W438" s="430"/>
      <c r="X438" s="449"/>
      <c r="Y438" s="449"/>
      <c r="Z438" s="450"/>
      <c r="AA438" s="449"/>
      <c r="AB438" s="451"/>
      <c r="AC438" s="450"/>
      <c r="AD438" s="449"/>
      <c r="AE438" s="451"/>
      <c r="AF438" s="450"/>
      <c r="AG438" s="449"/>
      <c r="AH438" s="451"/>
      <c r="AI438" s="450"/>
      <c r="AJ438" s="449"/>
      <c r="AK438" s="451"/>
      <c r="AL438" s="450"/>
      <c r="AM438" s="449"/>
      <c r="AN438" s="451"/>
      <c r="AO438" s="450"/>
      <c r="AP438" s="449"/>
      <c r="AQ438" s="451"/>
      <c r="AR438" s="449"/>
      <c r="AS438" s="449"/>
      <c r="AT438" s="451"/>
      <c r="AU438" s="449"/>
      <c r="AV438" s="451"/>
      <c r="AW438" s="449"/>
      <c r="AX438" s="449"/>
      <c r="AY438" s="449"/>
      <c r="AZ438" s="449"/>
      <c r="BA438" s="449"/>
      <c r="BB438" s="449"/>
      <c r="BC438" s="449"/>
      <c r="BD438" s="449"/>
      <c r="BE438" s="449"/>
      <c r="BF438" s="449"/>
      <c r="BG438" s="449"/>
      <c r="BH438" s="449"/>
      <c r="BI438" s="449"/>
      <c r="BJ438" s="449"/>
      <c r="BK438" s="449"/>
      <c r="BL438" s="449"/>
      <c r="BM438" s="449"/>
      <c r="BN438" s="449"/>
    </row>
    <row r="439" spans="1:66" ht="13.15" x14ac:dyDescent="0.4">
      <c r="A439" s="430"/>
      <c r="B439" s="430"/>
      <c r="C439" s="430"/>
      <c r="D439" s="430"/>
      <c r="E439" s="430"/>
      <c r="F439" s="430"/>
      <c r="G439" s="430"/>
      <c r="H439" s="461"/>
      <c r="I439" s="438"/>
      <c r="J439" s="438"/>
      <c r="K439" s="438"/>
      <c r="L439" s="430"/>
      <c r="M439" s="430"/>
      <c r="N439" s="461"/>
      <c r="O439" s="461"/>
      <c r="P439" s="430"/>
      <c r="Q439" s="430"/>
      <c r="R439" s="430"/>
      <c r="S439" s="430"/>
      <c r="T439" s="430"/>
      <c r="U439" s="430"/>
      <c r="V439" s="430"/>
      <c r="W439" s="430"/>
      <c r="X439" s="449"/>
      <c r="Y439" s="449"/>
      <c r="Z439" s="450"/>
      <c r="AA439" s="449"/>
      <c r="AB439" s="451"/>
      <c r="AC439" s="450"/>
      <c r="AD439" s="449"/>
      <c r="AE439" s="451"/>
      <c r="AF439" s="450"/>
      <c r="AG439" s="449"/>
      <c r="AH439" s="451"/>
      <c r="AI439" s="450"/>
      <c r="AJ439" s="449"/>
      <c r="AK439" s="451"/>
      <c r="AL439" s="450"/>
      <c r="AM439" s="449"/>
      <c r="AN439" s="451"/>
      <c r="AO439" s="450"/>
      <c r="AP439" s="449"/>
      <c r="AQ439" s="451"/>
      <c r="AR439" s="449"/>
      <c r="AS439" s="449"/>
      <c r="AT439" s="451"/>
      <c r="AU439" s="449"/>
      <c r="AV439" s="451"/>
      <c r="AW439" s="449"/>
      <c r="AX439" s="449"/>
      <c r="AY439" s="449"/>
      <c r="AZ439" s="449"/>
      <c r="BA439" s="449"/>
      <c r="BB439" s="449"/>
      <c r="BC439" s="449"/>
      <c r="BD439" s="449"/>
      <c r="BE439" s="449"/>
      <c r="BF439" s="449"/>
      <c r="BG439" s="449"/>
      <c r="BH439" s="449"/>
      <c r="BI439" s="449"/>
      <c r="BJ439" s="449"/>
      <c r="BK439" s="449"/>
      <c r="BL439" s="449"/>
      <c r="BM439" s="449"/>
      <c r="BN439" s="449"/>
    </row>
    <row r="440" spans="1:66" ht="13.15" x14ac:dyDescent="0.4">
      <c r="A440" s="430"/>
      <c r="B440" s="430"/>
      <c r="C440" s="430"/>
      <c r="D440" s="430"/>
      <c r="E440" s="430"/>
      <c r="F440" s="430"/>
      <c r="G440" s="430"/>
      <c r="H440" s="461"/>
      <c r="I440" s="438"/>
      <c r="J440" s="438"/>
      <c r="K440" s="438"/>
      <c r="L440" s="430"/>
      <c r="M440" s="430"/>
      <c r="N440" s="461"/>
      <c r="O440" s="461"/>
      <c r="P440" s="430"/>
      <c r="Q440" s="430"/>
      <c r="R440" s="430"/>
      <c r="S440" s="430"/>
      <c r="T440" s="430"/>
      <c r="U440" s="430"/>
      <c r="V440" s="430"/>
      <c r="W440" s="430"/>
      <c r="X440" s="449"/>
      <c r="Y440" s="449"/>
      <c r="Z440" s="450"/>
      <c r="AA440" s="449"/>
      <c r="AB440" s="451"/>
      <c r="AC440" s="450"/>
      <c r="AD440" s="449"/>
      <c r="AE440" s="451"/>
      <c r="AF440" s="450"/>
      <c r="AG440" s="449"/>
      <c r="AH440" s="451"/>
      <c r="AI440" s="450"/>
      <c r="AJ440" s="449"/>
      <c r="AK440" s="451"/>
      <c r="AL440" s="450"/>
      <c r="AM440" s="449"/>
      <c r="AN440" s="451"/>
      <c r="AO440" s="450"/>
      <c r="AP440" s="449"/>
      <c r="AQ440" s="451"/>
      <c r="AR440" s="449"/>
      <c r="AS440" s="449"/>
      <c r="AT440" s="451"/>
      <c r="AU440" s="449"/>
      <c r="AV440" s="451"/>
      <c r="AW440" s="449"/>
      <c r="AX440" s="449"/>
      <c r="AY440" s="449"/>
      <c r="AZ440" s="449"/>
      <c r="BA440" s="449"/>
      <c r="BB440" s="449"/>
      <c r="BC440" s="449"/>
      <c r="BD440" s="449"/>
      <c r="BE440" s="449"/>
      <c r="BF440" s="449"/>
      <c r="BG440" s="449"/>
      <c r="BH440" s="449"/>
      <c r="BI440" s="449"/>
      <c r="BJ440" s="449"/>
      <c r="BK440" s="449"/>
      <c r="BL440" s="449"/>
      <c r="BM440" s="449"/>
      <c r="BN440" s="449"/>
    </row>
    <row r="441" spans="1:66" ht="13.15" x14ac:dyDescent="0.4">
      <c r="A441" s="430"/>
      <c r="B441" s="430"/>
      <c r="C441" s="430"/>
      <c r="D441" s="430"/>
      <c r="E441" s="430"/>
      <c r="F441" s="430"/>
      <c r="G441" s="430"/>
      <c r="H441" s="461"/>
      <c r="I441" s="438"/>
      <c r="J441" s="438"/>
      <c r="K441" s="438"/>
      <c r="L441" s="430"/>
      <c r="M441" s="430"/>
      <c r="N441" s="461"/>
      <c r="O441" s="461"/>
      <c r="P441" s="430"/>
      <c r="Q441" s="430"/>
      <c r="R441" s="430"/>
      <c r="S441" s="430"/>
      <c r="T441" s="430"/>
      <c r="U441" s="430"/>
      <c r="V441" s="430"/>
      <c r="W441" s="430"/>
      <c r="X441" s="449"/>
      <c r="Y441" s="449"/>
      <c r="Z441" s="450"/>
      <c r="AA441" s="449"/>
      <c r="AB441" s="451"/>
      <c r="AC441" s="450"/>
      <c r="AD441" s="449"/>
      <c r="AE441" s="451"/>
      <c r="AF441" s="450"/>
      <c r="AG441" s="449"/>
      <c r="AH441" s="451"/>
      <c r="AI441" s="450"/>
      <c r="AJ441" s="449"/>
      <c r="AK441" s="451"/>
      <c r="AL441" s="450"/>
      <c r="AM441" s="449"/>
      <c r="AN441" s="451"/>
      <c r="AO441" s="450"/>
      <c r="AP441" s="449"/>
      <c r="AQ441" s="451"/>
      <c r="AR441" s="449"/>
      <c r="AS441" s="449"/>
      <c r="AT441" s="451"/>
      <c r="AU441" s="449"/>
      <c r="AV441" s="451"/>
      <c r="AW441" s="449"/>
      <c r="AX441" s="449"/>
      <c r="AY441" s="449"/>
      <c r="AZ441" s="449"/>
      <c r="BA441" s="449"/>
      <c r="BB441" s="449"/>
      <c r="BC441" s="449"/>
      <c r="BD441" s="449"/>
      <c r="BE441" s="449"/>
      <c r="BF441" s="449"/>
      <c r="BG441" s="449"/>
      <c r="BH441" s="449"/>
      <c r="BI441" s="449"/>
      <c r="BJ441" s="449"/>
      <c r="BK441" s="449"/>
      <c r="BL441" s="449"/>
      <c r="BM441" s="449"/>
      <c r="BN441" s="449"/>
    </row>
    <row r="442" spans="1:66" ht="13.15" x14ac:dyDescent="0.4">
      <c r="A442" s="430"/>
      <c r="B442" s="430"/>
      <c r="C442" s="430"/>
      <c r="D442" s="430"/>
      <c r="E442" s="430"/>
      <c r="F442" s="430"/>
      <c r="G442" s="430"/>
      <c r="H442" s="461"/>
      <c r="I442" s="438"/>
      <c r="J442" s="438"/>
      <c r="K442" s="438"/>
      <c r="L442" s="430"/>
      <c r="M442" s="430"/>
      <c r="N442" s="461"/>
      <c r="O442" s="461"/>
      <c r="P442" s="430"/>
      <c r="Q442" s="430"/>
      <c r="R442" s="430"/>
      <c r="S442" s="430"/>
      <c r="T442" s="430"/>
      <c r="U442" s="430"/>
      <c r="V442" s="430"/>
      <c r="W442" s="430"/>
      <c r="X442" s="449"/>
      <c r="Y442" s="449"/>
      <c r="Z442" s="450"/>
      <c r="AA442" s="449"/>
      <c r="AB442" s="451"/>
      <c r="AC442" s="450"/>
      <c r="AD442" s="449"/>
      <c r="AE442" s="451"/>
      <c r="AF442" s="450"/>
      <c r="AG442" s="449"/>
      <c r="AH442" s="451"/>
      <c r="AI442" s="450"/>
      <c r="AJ442" s="449"/>
      <c r="AK442" s="451"/>
      <c r="AL442" s="450"/>
      <c r="AM442" s="449"/>
      <c r="AN442" s="451"/>
      <c r="AO442" s="450"/>
      <c r="AP442" s="449"/>
      <c r="AQ442" s="451"/>
      <c r="AR442" s="449"/>
      <c r="AS442" s="449"/>
      <c r="AT442" s="451"/>
      <c r="AU442" s="449"/>
      <c r="AV442" s="451"/>
      <c r="AW442" s="449"/>
      <c r="AX442" s="449"/>
      <c r="AY442" s="449"/>
      <c r="AZ442" s="449"/>
      <c r="BA442" s="449"/>
      <c r="BB442" s="449"/>
      <c r="BC442" s="449"/>
      <c r="BD442" s="449"/>
      <c r="BE442" s="449"/>
      <c r="BF442" s="449"/>
      <c r="BG442" s="449"/>
      <c r="BH442" s="449"/>
      <c r="BI442" s="449"/>
      <c r="BJ442" s="449"/>
      <c r="BK442" s="449"/>
      <c r="BL442" s="449"/>
      <c r="BM442" s="449"/>
      <c r="BN442" s="449"/>
    </row>
    <row r="443" spans="1:66" ht="13.15" x14ac:dyDescent="0.4">
      <c r="A443" s="430"/>
      <c r="B443" s="430"/>
      <c r="C443" s="430"/>
      <c r="D443" s="430"/>
      <c r="E443" s="430"/>
      <c r="F443" s="430"/>
      <c r="G443" s="430"/>
      <c r="H443" s="461"/>
      <c r="I443" s="438"/>
      <c r="J443" s="438"/>
      <c r="K443" s="438"/>
      <c r="L443" s="430"/>
      <c r="M443" s="430"/>
      <c r="N443" s="461"/>
      <c r="O443" s="461"/>
      <c r="P443" s="430"/>
      <c r="Q443" s="430"/>
      <c r="R443" s="430"/>
      <c r="S443" s="430"/>
      <c r="T443" s="430"/>
      <c r="U443" s="430"/>
      <c r="V443" s="430"/>
      <c r="W443" s="430"/>
      <c r="X443" s="449"/>
      <c r="Y443" s="449"/>
      <c r="Z443" s="450"/>
      <c r="AA443" s="449"/>
      <c r="AB443" s="451"/>
      <c r="AC443" s="450"/>
      <c r="AD443" s="449"/>
      <c r="AE443" s="451"/>
      <c r="AF443" s="450"/>
      <c r="AG443" s="449"/>
      <c r="AH443" s="451"/>
      <c r="AI443" s="450"/>
      <c r="AJ443" s="449"/>
      <c r="AK443" s="451"/>
      <c r="AL443" s="450"/>
      <c r="AM443" s="449"/>
      <c r="AN443" s="451"/>
      <c r="AO443" s="450"/>
      <c r="AP443" s="449"/>
      <c r="AQ443" s="451"/>
      <c r="AR443" s="449"/>
      <c r="AS443" s="449"/>
      <c r="AT443" s="451"/>
      <c r="AU443" s="449"/>
      <c r="AV443" s="451"/>
      <c r="AW443" s="449"/>
      <c r="AX443" s="449"/>
      <c r="AY443" s="449"/>
      <c r="AZ443" s="449"/>
      <c r="BA443" s="449"/>
      <c r="BB443" s="449"/>
      <c r="BC443" s="449"/>
      <c r="BD443" s="449"/>
      <c r="BE443" s="449"/>
      <c r="BF443" s="449"/>
      <c r="BG443" s="449"/>
      <c r="BH443" s="449"/>
      <c r="BI443" s="449"/>
      <c r="BJ443" s="449"/>
      <c r="BK443" s="449"/>
      <c r="BL443" s="449"/>
      <c r="BM443" s="449"/>
      <c r="BN443" s="449"/>
    </row>
    <row r="444" spans="1:66" ht="13.15" x14ac:dyDescent="0.4">
      <c r="A444" s="430"/>
      <c r="B444" s="430"/>
      <c r="C444" s="430"/>
      <c r="D444" s="430"/>
      <c r="E444" s="430"/>
      <c r="F444" s="430"/>
      <c r="G444" s="430"/>
      <c r="H444" s="461"/>
      <c r="I444" s="438"/>
      <c r="J444" s="438"/>
      <c r="K444" s="438"/>
      <c r="L444" s="430"/>
      <c r="M444" s="430"/>
      <c r="N444" s="461"/>
      <c r="O444" s="461"/>
      <c r="P444" s="430"/>
      <c r="Q444" s="430"/>
      <c r="R444" s="430"/>
      <c r="S444" s="430"/>
      <c r="T444" s="430"/>
      <c r="U444" s="430"/>
      <c r="V444" s="430"/>
      <c r="W444" s="430"/>
      <c r="X444" s="449"/>
      <c r="Y444" s="449"/>
      <c r="Z444" s="450"/>
      <c r="AA444" s="449"/>
      <c r="AB444" s="451"/>
      <c r="AC444" s="450"/>
      <c r="AD444" s="449"/>
      <c r="AE444" s="451"/>
      <c r="AF444" s="450"/>
      <c r="AG444" s="449"/>
      <c r="AH444" s="451"/>
      <c r="AI444" s="450"/>
      <c r="AJ444" s="449"/>
      <c r="AK444" s="451"/>
      <c r="AL444" s="450"/>
      <c r="AM444" s="449"/>
      <c r="AN444" s="451"/>
      <c r="AO444" s="450"/>
      <c r="AP444" s="449"/>
      <c r="AQ444" s="451"/>
      <c r="AR444" s="449"/>
      <c r="AS444" s="449"/>
      <c r="AT444" s="451"/>
      <c r="AU444" s="449"/>
      <c r="AV444" s="451"/>
      <c r="AW444" s="449"/>
      <c r="AX444" s="449"/>
      <c r="AY444" s="449"/>
      <c r="AZ444" s="449"/>
      <c r="BA444" s="449"/>
      <c r="BB444" s="449"/>
      <c r="BC444" s="449"/>
      <c r="BD444" s="449"/>
      <c r="BE444" s="449"/>
      <c r="BF444" s="449"/>
      <c r="BG444" s="449"/>
      <c r="BH444" s="449"/>
      <c r="BI444" s="449"/>
      <c r="BJ444" s="449"/>
      <c r="BK444" s="449"/>
      <c r="BL444" s="449"/>
      <c r="BM444" s="449"/>
      <c r="BN444" s="449"/>
    </row>
    <row r="445" spans="1:66" ht="13.15" x14ac:dyDescent="0.4">
      <c r="A445" s="430"/>
      <c r="B445" s="430"/>
      <c r="C445" s="430"/>
      <c r="D445" s="430"/>
      <c r="E445" s="430"/>
      <c r="F445" s="430"/>
      <c r="G445" s="430"/>
      <c r="H445" s="461"/>
      <c r="I445" s="438"/>
      <c r="J445" s="438"/>
      <c r="K445" s="438"/>
      <c r="L445" s="430"/>
      <c r="M445" s="430"/>
      <c r="N445" s="461"/>
      <c r="O445" s="461"/>
      <c r="P445" s="430"/>
      <c r="Q445" s="430"/>
      <c r="R445" s="430"/>
      <c r="S445" s="430"/>
      <c r="T445" s="430"/>
      <c r="U445" s="430"/>
      <c r="V445" s="430"/>
      <c r="W445" s="430"/>
      <c r="X445" s="449"/>
      <c r="Y445" s="449"/>
      <c r="Z445" s="450"/>
      <c r="AA445" s="449"/>
      <c r="AB445" s="451"/>
      <c r="AC445" s="450"/>
      <c r="AD445" s="449"/>
      <c r="AE445" s="451"/>
      <c r="AF445" s="450"/>
      <c r="AG445" s="449"/>
      <c r="AH445" s="451"/>
      <c r="AI445" s="450"/>
      <c r="AJ445" s="449"/>
      <c r="AK445" s="451"/>
      <c r="AL445" s="450"/>
      <c r="AM445" s="449"/>
      <c r="AN445" s="451"/>
      <c r="AO445" s="450"/>
      <c r="AP445" s="449"/>
      <c r="AQ445" s="451"/>
      <c r="AR445" s="449"/>
      <c r="AS445" s="449"/>
      <c r="AT445" s="451"/>
      <c r="AU445" s="449"/>
      <c r="AV445" s="451"/>
      <c r="AW445" s="449"/>
      <c r="AX445" s="449"/>
      <c r="AY445" s="449"/>
      <c r="AZ445" s="449"/>
      <c r="BA445" s="449"/>
      <c r="BB445" s="449"/>
      <c r="BC445" s="449"/>
      <c r="BD445" s="449"/>
      <c r="BE445" s="449"/>
      <c r="BF445" s="449"/>
      <c r="BG445" s="449"/>
      <c r="BH445" s="449"/>
      <c r="BI445" s="449"/>
      <c r="BJ445" s="449"/>
      <c r="BK445" s="449"/>
      <c r="BL445" s="449"/>
      <c r="BM445" s="449"/>
      <c r="BN445" s="449"/>
    </row>
    <row r="446" spans="1:66" ht="13.15" x14ac:dyDescent="0.4">
      <c r="A446" s="430"/>
      <c r="B446" s="430"/>
      <c r="C446" s="430"/>
      <c r="D446" s="430"/>
      <c r="E446" s="430"/>
      <c r="F446" s="430"/>
      <c r="G446" s="430"/>
      <c r="H446" s="461"/>
      <c r="I446" s="438"/>
      <c r="J446" s="438"/>
      <c r="K446" s="438"/>
      <c r="L446" s="430"/>
      <c r="M446" s="430"/>
      <c r="N446" s="461"/>
      <c r="O446" s="461"/>
      <c r="P446" s="430"/>
      <c r="Q446" s="430"/>
      <c r="R446" s="430"/>
      <c r="S446" s="430"/>
      <c r="T446" s="430"/>
      <c r="U446" s="430"/>
      <c r="V446" s="430"/>
      <c r="W446" s="430"/>
      <c r="X446" s="449"/>
      <c r="Y446" s="449"/>
      <c r="Z446" s="450"/>
      <c r="AA446" s="449"/>
      <c r="AB446" s="451"/>
      <c r="AC446" s="450"/>
      <c r="AD446" s="449"/>
      <c r="AE446" s="451"/>
      <c r="AF446" s="450"/>
      <c r="AG446" s="449"/>
      <c r="AH446" s="451"/>
      <c r="AI446" s="450"/>
      <c r="AJ446" s="449"/>
      <c r="AK446" s="451"/>
      <c r="AL446" s="450"/>
      <c r="AM446" s="449"/>
      <c r="AN446" s="451"/>
      <c r="AO446" s="450"/>
      <c r="AP446" s="449"/>
      <c r="AQ446" s="451"/>
      <c r="AR446" s="449"/>
      <c r="AS446" s="449"/>
      <c r="AT446" s="451"/>
      <c r="AU446" s="449"/>
      <c r="AV446" s="451"/>
      <c r="AW446" s="449"/>
      <c r="AX446" s="449"/>
      <c r="AY446" s="449"/>
      <c r="AZ446" s="449"/>
      <c r="BA446" s="449"/>
      <c r="BB446" s="449"/>
      <c r="BC446" s="449"/>
      <c r="BD446" s="449"/>
      <c r="BE446" s="449"/>
      <c r="BF446" s="449"/>
      <c r="BG446" s="449"/>
      <c r="BH446" s="449"/>
      <c r="BI446" s="449"/>
      <c r="BJ446" s="449"/>
      <c r="BK446" s="449"/>
      <c r="BL446" s="449"/>
      <c r="BM446" s="449"/>
      <c r="BN446" s="449"/>
    </row>
    <row r="447" spans="1:66" ht="13.15" x14ac:dyDescent="0.4">
      <c r="A447" s="430"/>
      <c r="B447" s="430"/>
      <c r="C447" s="430"/>
      <c r="D447" s="430"/>
      <c r="E447" s="430"/>
      <c r="F447" s="430"/>
      <c r="G447" s="430"/>
      <c r="H447" s="461"/>
      <c r="I447" s="438"/>
      <c r="J447" s="438"/>
      <c r="K447" s="438"/>
      <c r="L447" s="430"/>
      <c r="M447" s="430"/>
      <c r="N447" s="461"/>
      <c r="O447" s="461"/>
      <c r="P447" s="430"/>
      <c r="Q447" s="430"/>
      <c r="R447" s="430"/>
      <c r="S447" s="430"/>
      <c r="T447" s="430"/>
      <c r="U447" s="430"/>
      <c r="V447" s="430"/>
      <c r="W447" s="430"/>
      <c r="X447" s="449"/>
      <c r="Y447" s="449"/>
      <c r="Z447" s="450"/>
      <c r="AA447" s="449"/>
      <c r="AB447" s="451"/>
      <c r="AC447" s="450"/>
      <c r="AD447" s="449"/>
      <c r="AE447" s="451"/>
      <c r="AF447" s="450"/>
      <c r="AG447" s="449"/>
      <c r="AH447" s="451"/>
      <c r="AI447" s="450"/>
      <c r="AJ447" s="449"/>
      <c r="AK447" s="451"/>
      <c r="AL447" s="450"/>
      <c r="AM447" s="449"/>
      <c r="AN447" s="451"/>
      <c r="AO447" s="450"/>
      <c r="AP447" s="449"/>
      <c r="AQ447" s="451"/>
      <c r="AR447" s="449"/>
      <c r="AS447" s="449"/>
      <c r="AT447" s="451"/>
      <c r="AU447" s="449"/>
      <c r="AV447" s="451"/>
      <c r="AW447" s="449"/>
      <c r="AX447" s="449"/>
      <c r="AY447" s="449"/>
      <c r="AZ447" s="449"/>
      <c r="BA447" s="449"/>
      <c r="BB447" s="449"/>
      <c r="BC447" s="449"/>
      <c r="BD447" s="449"/>
      <c r="BE447" s="449"/>
      <c r="BF447" s="449"/>
      <c r="BG447" s="449"/>
      <c r="BH447" s="449"/>
      <c r="BI447" s="449"/>
      <c r="BJ447" s="449"/>
      <c r="BK447" s="449"/>
      <c r="BL447" s="449"/>
      <c r="BM447" s="449"/>
      <c r="BN447" s="449"/>
    </row>
    <row r="448" spans="1:66" ht="13.15" x14ac:dyDescent="0.4">
      <c r="A448" s="430"/>
      <c r="B448" s="430"/>
      <c r="C448" s="430"/>
      <c r="D448" s="430"/>
      <c r="E448" s="430"/>
      <c r="F448" s="430"/>
      <c r="G448" s="430"/>
      <c r="H448" s="461"/>
      <c r="I448" s="438"/>
      <c r="J448" s="438"/>
      <c r="K448" s="438"/>
      <c r="L448" s="430"/>
      <c r="M448" s="430"/>
      <c r="N448" s="461"/>
      <c r="O448" s="461"/>
      <c r="P448" s="430"/>
      <c r="Q448" s="430"/>
      <c r="R448" s="430"/>
      <c r="S448" s="430"/>
      <c r="T448" s="430"/>
      <c r="U448" s="430"/>
      <c r="V448" s="430"/>
      <c r="W448" s="430"/>
      <c r="X448" s="449"/>
      <c r="Y448" s="449"/>
      <c r="Z448" s="450"/>
      <c r="AA448" s="449"/>
      <c r="AB448" s="451"/>
      <c r="AC448" s="450"/>
      <c r="AD448" s="449"/>
      <c r="AE448" s="451"/>
      <c r="AF448" s="450"/>
      <c r="AG448" s="449"/>
      <c r="AH448" s="451"/>
      <c r="AI448" s="450"/>
      <c r="AJ448" s="449"/>
      <c r="AK448" s="451"/>
      <c r="AL448" s="450"/>
      <c r="AM448" s="449"/>
      <c r="AN448" s="451"/>
      <c r="AO448" s="450"/>
      <c r="AP448" s="449"/>
      <c r="AQ448" s="451"/>
      <c r="AR448" s="449"/>
      <c r="AS448" s="449"/>
      <c r="AT448" s="451"/>
      <c r="AU448" s="449"/>
      <c r="AV448" s="451"/>
      <c r="AW448" s="449"/>
      <c r="AX448" s="449"/>
      <c r="AY448" s="449"/>
      <c r="AZ448" s="449"/>
      <c r="BA448" s="449"/>
      <c r="BB448" s="449"/>
      <c r="BC448" s="449"/>
      <c r="BD448" s="449"/>
      <c r="BE448" s="449"/>
      <c r="BF448" s="449"/>
      <c r="BG448" s="449"/>
      <c r="BH448" s="449"/>
      <c r="BI448" s="449"/>
      <c r="BJ448" s="449"/>
      <c r="BK448" s="449"/>
      <c r="BL448" s="449"/>
      <c r="BM448" s="449"/>
      <c r="BN448" s="449"/>
    </row>
    <row r="449" spans="1:66" ht="13.15" x14ac:dyDescent="0.4">
      <c r="A449" s="430"/>
      <c r="B449" s="430"/>
      <c r="C449" s="430"/>
      <c r="D449" s="430"/>
      <c r="E449" s="430"/>
      <c r="F449" s="430"/>
      <c r="G449" s="430"/>
      <c r="H449" s="461"/>
      <c r="I449" s="438"/>
      <c r="J449" s="438"/>
      <c r="K449" s="438"/>
      <c r="L449" s="430"/>
      <c r="M449" s="430"/>
      <c r="N449" s="461"/>
      <c r="O449" s="461"/>
      <c r="P449" s="430"/>
      <c r="Q449" s="430"/>
      <c r="R449" s="430"/>
      <c r="S449" s="430"/>
      <c r="T449" s="430"/>
      <c r="U449" s="430"/>
      <c r="V449" s="430"/>
      <c r="W449" s="430"/>
      <c r="X449" s="449"/>
      <c r="Y449" s="449"/>
      <c r="Z449" s="450"/>
      <c r="AA449" s="449"/>
      <c r="AB449" s="451"/>
      <c r="AC449" s="450"/>
      <c r="AD449" s="449"/>
      <c r="AE449" s="451"/>
      <c r="AF449" s="450"/>
      <c r="AG449" s="449"/>
      <c r="AH449" s="451"/>
      <c r="AI449" s="450"/>
      <c r="AJ449" s="449"/>
      <c r="AK449" s="451"/>
      <c r="AL449" s="450"/>
      <c r="AM449" s="449"/>
      <c r="AN449" s="451"/>
      <c r="AO449" s="450"/>
      <c r="AP449" s="449"/>
      <c r="AQ449" s="451"/>
      <c r="AR449" s="449"/>
      <c r="AS449" s="449"/>
      <c r="AT449" s="451"/>
      <c r="AU449" s="449"/>
      <c r="AV449" s="451"/>
      <c r="AW449" s="449"/>
      <c r="AX449" s="449"/>
      <c r="AY449" s="449"/>
      <c r="AZ449" s="449"/>
      <c r="BA449" s="449"/>
      <c r="BB449" s="449"/>
      <c r="BC449" s="449"/>
      <c r="BD449" s="449"/>
      <c r="BE449" s="449"/>
      <c r="BF449" s="449"/>
      <c r="BG449" s="449"/>
      <c r="BH449" s="449"/>
      <c r="BI449" s="449"/>
      <c r="BJ449" s="449"/>
      <c r="BK449" s="449"/>
      <c r="BL449" s="449"/>
      <c r="BM449" s="449"/>
      <c r="BN449" s="449"/>
    </row>
    <row r="450" spans="1:66" ht="13.15" x14ac:dyDescent="0.4">
      <c r="A450" s="430"/>
      <c r="B450" s="430"/>
      <c r="C450" s="430"/>
      <c r="D450" s="430"/>
      <c r="E450" s="430"/>
      <c r="F450" s="430"/>
      <c r="G450" s="430"/>
      <c r="H450" s="461"/>
      <c r="I450" s="438"/>
      <c r="J450" s="438"/>
      <c r="K450" s="438"/>
      <c r="L450" s="430"/>
      <c r="M450" s="430"/>
      <c r="N450" s="461"/>
      <c r="O450" s="461"/>
      <c r="P450" s="430"/>
      <c r="Q450" s="430"/>
      <c r="R450" s="430"/>
      <c r="S450" s="430"/>
      <c r="T450" s="430"/>
      <c r="U450" s="430"/>
      <c r="V450" s="430"/>
      <c r="W450" s="430"/>
      <c r="X450" s="449"/>
      <c r="Y450" s="449"/>
      <c r="Z450" s="450"/>
      <c r="AA450" s="449"/>
      <c r="AB450" s="451"/>
      <c r="AC450" s="450"/>
      <c r="AD450" s="449"/>
      <c r="AE450" s="451"/>
      <c r="AF450" s="450"/>
      <c r="AG450" s="449"/>
      <c r="AH450" s="451"/>
      <c r="AI450" s="450"/>
      <c r="AJ450" s="449"/>
      <c r="AK450" s="451"/>
      <c r="AL450" s="450"/>
      <c r="AM450" s="449"/>
      <c r="AN450" s="451"/>
      <c r="AO450" s="450"/>
      <c r="AP450" s="449"/>
      <c r="AQ450" s="451"/>
      <c r="AR450" s="449"/>
      <c r="AS450" s="449"/>
      <c r="AT450" s="451"/>
      <c r="AU450" s="449"/>
      <c r="AV450" s="451"/>
      <c r="AW450" s="449"/>
      <c r="AX450" s="449"/>
      <c r="AY450" s="449"/>
      <c r="AZ450" s="449"/>
      <c r="BA450" s="449"/>
      <c r="BB450" s="449"/>
      <c r="BC450" s="449"/>
      <c r="BD450" s="449"/>
      <c r="BE450" s="449"/>
      <c r="BF450" s="449"/>
      <c r="BG450" s="449"/>
      <c r="BH450" s="449"/>
      <c r="BI450" s="449"/>
      <c r="BJ450" s="449"/>
      <c r="BK450" s="449"/>
      <c r="BL450" s="449"/>
      <c r="BM450" s="449"/>
      <c r="BN450" s="449"/>
    </row>
    <row r="451" spans="1:66" ht="13.15" x14ac:dyDescent="0.4">
      <c r="A451" s="430"/>
      <c r="B451" s="430"/>
      <c r="C451" s="430"/>
      <c r="D451" s="430"/>
      <c r="E451" s="430"/>
      <c r="F451" s="430"/>
      <c r="G451" s="430"/>
      <c r="H451" s="461"/>
      <c r="I451" s="438"/>
      <c r="J451" s="438"/>
      <c r="K451" s="438"/>
      <c r="L451" s="430"/>
      <c r="M451" s="430"/>
      <c r="N451" s="461"/>
      <c r="O451" s="461"/>
      <c r="P451" s="430"/>
      <c r="Q451" s="430"/>
      <c r="R451" s="430"/>
      <c r="S451" s="430"/>
      <c r="T451" s="430"/>
      <c r="U451" s="430"/>
      <c r="V451" s="430"/>
      <c r="W451" s="430"/>
      <c r="X451" s="449"/>
      <c r="Y451" s="449"/>
      <c r="Z451" s="450"/>
      <c r="AA451" s="449"/>
      <c r="AB451" s="451"/>
      <c r="AC451" s="450"/>
      <c r="AD451" s="449"/>
      <c r="AE451" s="451"/>
      <c r="AF451" s="450"/>
      <c r="AG451" s="449"/>
      <c r="AH451" s="451"/>
      <c r="AI451" s="450"/>
      <c r="AJ451" s="449"/>
      <c r="AK451" s="451"/>
      <c r="AL451" s="450"/>
      <c r="AM451" s="449"/>
      <c r="AN451" s="451"/>
      <c r="AO451" s="450"/>
      <c r="AP451" s="449"/>
      <c r="AQ451" s="451"/>
      <c r="AR451" s="449"/>
      <c r="AS451" s="449"/>
      <c r="AT451" s="451"/>
      <c r="AU451" s="449"/>
      <c r="AV451" s="451"/>
      <c r="AW451" s="449"/>
      <c r="AX451" s="449"/>
      <c r="AY451" s="449"/>
      <c r="AZ451" s="449"/>
      <c r="BA451" s="449"/>
      <c r="BB451" s="449"/>
      <c r="BC451" s="449"/>
      <c r="BD451" s="449"/>
      <c r="BE451" s="449"/>
      <c r="BF451" s="449"/>
      <c r="BG451" s="449"/>
      <c r="BH451" s="449"/>
      <c r="BI451" s="449"/>
      <c r="BJ451" s="449"/>
      <c r="BK451" s="449"/>
      <c r="BL451" s="449"/>
      <c r="BM451" s="449"/>
      <c r="BN451" s="449"/>
    </row>
    <row r="452" spans="1:66" ht="13.15" x14ac:dyDescent="0.4">
      <c r="A452" s="430"/>
      <c r="B452" s="430"/>
      <c r="C452" s="430"/>
      <c r="D452" s="430"/>
      <c r="E452" s="430"/>
      <c r="F452" s="430"/>
      <c r="G452" s="430"/>
      <c r="H452" s="461"/>
      <c r="I452" s="438"/>
      <c r="J452" s="438"/>
      <c r="K452" s="438"/>
      <c r="L452" s="430"/>
      <c r="M452" s="430"/>
      <c r="N452" s="461"/>
      <c r="O452" s="461"/>
      <c r="P452" s="430"/>
      <c r="Q452" s="430"/>
      <c r="R452" s="430"/>
      <c r="S452" s="430"/>
      <c r="T452" s="430"/>
      <c r="U452" s="430"/>
      <c r="V452" s="430"/>
      <c r="W452" s="430"/>
      <c r="X452" s="449"/>
      <c r="Y452" s="449"/>
      <c r="Z452" s="450"/>
      <c r="AA452" s="449"/>
      <c r="AB452" s="451"/>
      <c r="AC452" s="450"/>
      <c r="AD452" s="449"/>
      <c r="AE452" s="451"/>
      <c r="AF452" s="450"/>
      <c r="AG452" s="449"/>
      <c r="AH452" s="451"/>
      <c r="AI452" s="450"/>
      <c r="AJ452" s="449"/>
      <c r="AK452" s="451"/>
      <c r="AL452" s="450"/>
      <c r="AM452" s="449"/>
      <c r="AN452" s="451"/>
      <c r="AO452" s="450"/>
      <c r="AP452" s="449"/>
      <c r="AQ452" s="451"/>
      <c r="AR452" s="449"/>
      <c r="AS452" s="449"/>
      <c r="AT452" s="451"/>
      <c r="AU452" s="449"/>
      <c r="AV452" s="451"/>
      <c r="AW452" s="449"/>
      <c r="AX452" s="449"/>
      <c r="AY452" s="449"/>
      <c r="AZ452" s="449"/>
      <c r="BA452" s="449"/>
      <c r="BB452" s="449"/>
      <c r="BC452" s="449"/>
      <c r="BD452" s="449"/>
      <c r="BE452" s="449"/>
      <c r="BF452" s="449"/>
      <c r="BG452" s="449"/>
      <c r="BH452" s="449"/>
      <c r="BI452" s="449"/>
      <c r="BJ452" s="449"/>
      <c r="BK452" s="449"/>
      <c r="BL452" s="449"/>
      <c r="BM452" s="449"/>
      <c r="BN452" s="449"/>
    </row>
    <row r="453" spans="1:66" ht="13.15" x14ac:dyDescent="0.4">
      <c r="A453" s="430"/>
      <c r="B453" s="430"/>
      <c r="C453" s="430"/>
      <c r="D453" s="430"/>
      <c r="E453" s="430"/>
      <c r="F453" s="430"/>
      <c r="G453" s="430"/>
      <c r="H453" s="461"/>
      <c r="I453" s="438"/>
      <c r="J453" s="438"/>
      <c r="K453" s="438"/>
      <c r="L453" s="430"/>
      <c r="M453" s="430"/>
      <c r="N453" s="461"/>
      <c r="O453" s="461"/>
      <c r="P453" s="430"/>
      <c r="Q453" s="430"/>
      <c r="R453" s="430"/>
      <c r="S453" s="430"/>
      <c r="T453" s="430"/>
      <c r="U453" s="430"/>
      <c r="V453" s="430"/>
      <c r="W453" s="430"/>
      <c r="X453" s="449"/>
      <c r="Y453" s="449"/>
      <c r="Z453" s="450"/>
      <c r="AA453" s="449"/>
      <c r="AB453" s="451"/>
      <c r="AC453" s="450"/>
      <c r="AD453" s="449"/>
      <c r="AE453" s="451"/>
      <c r="AF453" s="450"/>
      <c r="AG453" s="449"/>
      <c r="AH453" s="451"/>
      <c r="AI453" s="450"/>
      <c r="AJ453" s="449"/>
      <c r="AK453" s="451"/>
      <c r="AL453" s="450"/>
      <c r="AM453" s="449"/>
      <c r="AN453" s="451"/>
      <c r="AO453" s="450"/>
      <c r="AP453" s="449"/>
      <c r="AQ453" s="451"/>
      <c r="AR453" s="449"/>
      <c r="AS453" s="449"/>
      <c r="AT453" s="451"/>
      <c r="AU453" s="449"/>
      <c r="AV453" s="451"/>
      <c r="AW453" s="449"/>
      <c r="AX453" s="449"/>
      <c r="AY453" s="449"/>
      <c r="AZ453" s="449"/>
      <c r="BA453" s="449"/>
      <c r="BB453" s="449"/>
      <c r="BC453" s="449"/>
      <c r="BD453" s="449"/>
      <c r="BE453" s="449"/>
      <c r="BF453" s="449"/>
      <c r="BG453" s="449"/>
      <c r="BH453" s="449"/>
      <c r="BI453" s="449"/>
      <c r="BJ453" s="449"/>
      <c r="BK453" s="449"/>
      <c r="BL453" s="449"/>
      <c r="BM453" s="449"/>
      <c r="BN453" s="449"/>
    </row>
    <row r="454" spans="1:66" ht="13.15" x14ac:dyDescent="0.4">
      <c r="A454" s="430"/>
      <c r="B454" s="430"/>
      <c r="C454" s="430"/>
      <c r="D454" s="430"/>
      <c r="E454" s="430"/>
      <c r="F454" s="430"/>
      <c r="G454" s="430"/>
      <c r="H454" s="461"/>
      <c r="I454" s="438"/>
      <c r="J454" s="438"/>
      <c r="K454" s="438"/>
      <c r="L454" s="430"/>
      <c r="M454" s="430"/>
      <c r="N454" s="461"/>
      <c r="O454" s="461"/>
      <c r="P454" s="430"/>
      <c r="Q454" s="430"/>
      <c r="R454" s="430"/>
      <c r="S454" s="430"/>
      <c r="T454" s="430"/>
      <c r="U454" s="430"/>
      <c r="V454" s="430"/>
      <c r="W454" s="430"/>
      <c r="X454" s="449"/>
      <c r="Y454" s="449"/>
      <c r="Z454" s="450"/>
      <c r="AA454" s="449"/>
      <c r="AB454" s="451"/>
      <c r="AC454" s="450"/>
      <c r="AD454" s="449"/>
      <c r="AE454" s="451"/>
      <c r="AF454" s="450"/>
      <c r="AG454" s="449"/>
      <c r="AH454" s="451"/>
      <c r="AI454" s="450"/>
      <c r="AJ454" s="449"/>
      <c r="AK454" s="451"/>
      <c r="AL454" s="450"/>
      <c r="AM454" s="449"/>
      <c r="AN454" s="451"/>
      <c r="AO454" s="450"/>
      <c r="AP454" s="449"/>
      <c r="AQ454" s="451"/>
      <c r="AR454" s="449"/>
      <c r="AS454" s="449"/>
      <c r="AT454" s="451"/>
      <c r="AU454" s="449"/>
      <c r="AV454" s="451"/>
      <c r="AW454" s="449"/>
      <c r="AX454" s="449"/>
      <c r="AY454" s="449"/>
      <c r="AZ454" s="449"/>
      <c r="BA454" s="449"/>
      <c r="BB454" s="449"/>
      <c r="BC454" s="449"/>
      <c r="BD454" s="449"/>
      <c r="BE454" s="449"/>
      <c r="BF454" s="449"/>
      <c r="BG454" s="449"/>
      <c r="BH454" s="449"/>
      <c r="BI454" s="449"/>
      <c r="BJ454" s="449"/>
      <c r="BK454" s="449"/>
      <c r="BL454" s="449"/>
      <c r="BM454" s="449"/>
      <c r="BN454" s="449"/>
    </row>
    <row r="455" spans="1:66" ht="13.15" x14ac:dyDescent="0.4">
      <c r="A455" s="430"/>
      <c r="B455" s="430"/>
      <c r="C455" s="430"/>
      <c r="D455" s="430"/>
      <c r="E455" s="430"/>
      <c r="F455" s="430"/>
      <c r="G455" s="430"/>
      <c r="H455" s="461"/>
      <c r="I455" s="438"/>
      <c r="J455" s="438"/>
      <c r="K455" s="438"/>
      <c r="L455" s="430"/>
      <c r="M455" s="430"/>
      <c r="N455" s="461"/>
      <c r="O455" s="461"/>
      <c r="P455" s="430"/>
      <c r="Q455" s="430"/>
      <c r="R455" s="430"/>
      <c r="S455" s="430"/>
      <c r="T455" s="430"/>
      <c r="U455" s="430"/>
      <c r="V455" s="430"/>
      <c r="W455" s="430"/>
      <c r="X455" s="449"/>
      <c r="Y455" s="449"/>
      <c r="Z455" s="450"/>
      <c r="AA455" s="449"/>
      <c r="AB455" s="451"/>
      <c r="AC455" s="450"/>
      <c r="AD455" s="449"/>
      <c r="AE455" s="451"/>
      <c r="AF455" s="450"/>
      <c r="AG455" s="449"/>
      <c r="AH455" s="451"/>
      <c r="AI455" s="450"/>
      <c r="AJ455" s="449"/>
      <c r="AK455" s="451"/>
      <c r="AL455" s="450"/>
      <c r="AM455" s="449"/>
      <c r="AN455" s="451"/>
      <c r="AO455" s="450"/>
      <c r="AP455" s="449"/>
      <c r="AQ455" s="451"/>
      <c r="AR455" s="449"/>
      <c r="AS455" s="449"/>
      <c r="AT455" s="451"/>
      <c r="AU455" s="449"/>
      <c r="AV455" s="451"/>
      <c r="AW455" s="449"/>
      <c r="AX455" s="449"/>
      <c r="AY455" s="449"/>
      <c r="AZ455" s="449"/>
      <c r="BA455" s="449"/>
      <c r="BB455" s="449"/>
      <c r="BC455" s="449"/>
      <c r="BD455" s="449"/>
      <c r="BE455" s="449"/>
      <c r="BF455" s="449"/>
      <c r="BG455" s="449"/>
      <c r="BH455" s="449"/>
      <c r="BI455" s="449"/>
      <c r="BJ455" s="449"/>
      <c r="BK455" s="449"/>
      <c r="BL455" s="449"/>
      <c r="BM455" s="449"/>
      <c r="BN455" s="449"/>
    </row>
    <row r="456" spans="1:66" ht="13.15" x14ac:dyDescent="0.4">
      <c r="A456" s="430"/>
      <c r="B456" s="430"/>
      <c r="C456" s="430"/>
      <c r="D456" s="430"/>
      <c r="E456" s="430"/>
      <c r="F456" s="430"/>
      <c r="G456" s="430"/>
      <c r="H456" s="461"/>
      <c r="I456" s="438"/>
      <c r="J456" s="438"/>
      <c r="K456" s="438"/>
      <c r="L456" s="430"/>
      <c r="M456" s="430"/>
      <c r="N456" s="461"/>
      <c r="O456" s="461"/>
      <c r="P456" s="430"/>
      <c r="Q456" s="430"/>
      <c r="R456" s="430"/>
      <c r="S456" s="430"/>
      <c r="T456" s="430"/>
      <c r="U456" s="430"/>
      <c r="V456" s="430"/>
      <c r="W456" s="430"/>
      <c r="X456" s="449"/>
      <c r="Y456" s="449"/>
      <c r="Z456" s="450"/>
      <c r="AA456" s="449"/>
      <c r="AB456" s="451"/>
      <c r="AC456" s="450"/>
      <c r="AD456" s="449"/>
      <c r="AE456" s="451"/>
      <c r="AF456" s="450"/>
      <c r="AG456" s="449"/>
      <c r="AH456" s="451"/>
      <c r="AI456" s="450"/>
      <c r="AJ456" s="449"/>
      <c r="AK456" s="451"/>
      <c r="AL456" s="450"/>
      <c r="AM456" s="449"/>
      <c r="AN456" s="451"/>
      <c r="AO456" s="450"/>
      <c r="AP456" s="449"/>
      <c r="AQ456" s="451"/>
      <c r="AR456" s="449"/>
      <c r="AS456" s="449"/>
      <c r="AT456" s="451"/>
      <c r="AU456" s="449"/>
      <c r="AV456" s="451"/>
      <c r="AW456" s="449"/>
      <c r="AX456" s="449"/>
      <c r="AY456" s="449"/>
      <c r="AZ456" s="449"/>
      <c r="BA456" s="449"/>
      <c r="BB456" s="449"/>
      <c r="BC456" s="449"/>
      <c r="BD456" s="449"/>
      <c r="BE456" s="449"/>
      <c r="BF456" s="449"/>
      <c r="BG456" s="449"/>
      <c r="BH456" s="449"/>
      <c r="BI456" s="449"/>
      <c r="BJ456" s="449"/>
      <c r="BK456" s="449"/>
      <c r="BL456" s="449"/>
      <c r="BM456" s="449"/>
      <c r="BN456" s="449"/>
    </row>
    <row r="457" spans="1:66" ht="13.15" x14ac:dyDescent="0.4">
      <c r="A457" s="430"/>
      <c r="B457" s="430"/>
      <c r="C457" s="430"/>
      <c r="D457" s="430"/>
      <c r="E457" s="430"/>
      <c r="F457" s="430"/>
      <c r="G457" s="430"/>
      <c r="H457" s="461"/>
      <c r="I457" s="438"/>
      <c r="J457" s="438"/>
      <c r="K457" s="438"/>
      <c r="L457" s="430"/>
      <c r="M457" s="430"/>
      <c r="N457" s="461"/>
      <c r="O457" s="461"/>
      <c r="P457" s="430"/>
      <c r="Q457" s="430"/>
      <c r="R457" s="430"/>
      <c r="S457" s="430"/>
      <c r="T457" s="430"/>
      <c r="U457" s="430"/>
      <c r="V457" s="430"/>
      <c r="W457" s="430"/>
      <c r="X457" s="449"/>
      <c r="Y457" s="449"/>
      <c r="Z457" s="450"/>
      <c r="AA457" s="449"/>
      <c r="AB457" s="451"/>
      <c r="AC457" s="450"/>
      <c r="AD457" s="449"/>
      <c r="AE457" s="451"/>
      <c r="AF457" s="450"/>
      <c r="AG457" s="449"/>
      <c r="AH457" s="451"/>
      <c r="AI457" s="450"/>
      <c r="AJ457" s="449"/>
      <c r="AK457" s="451"/>
      <c r="AL457" s="450"/>
      <c r="AM457" s="449"/>
      <c r="AN457" s="451"/>
      <c r="AO457" s="450"/>
      <c r="AP457" s="449"/>
      <c r="AQ457" s="451"/>
      <c r="AR457" s="449"/>
      <c r="AS457" s="449"/>
      <c r="AT457" s="451"/>
      <c r="AU457" s="449"/>
      <c r="AV457" s="451"/>
      <c r="AW457" s="449"/>
      <c r="AX457" s="449"/>
      <c r="AY457" s="449"/>
      <c r="AZ457" s="449"/>
      <c r="BA457" s="449"/>
      <c r="BB457" s="449"/>
      <c r="BC457" s="449"/>
      <c r="BD457" s="449"/>
      <c r="BE457" s="449"/>
      <c r="BF457" s="449"/>
      <c r="BG457" s="449"/>
      <c r="BH457" s="449"/>
      <c r="BI457" s="449"/>
      <c r="BJ457" s="449"/>
      <c r="BK457" s="449"/>
      <c r="BL457" s="449"/>
      <c r="BM457" s="449"/>
      <c r="BN457" s="449"/>
    </row>
    <row r="458" spans="1:66" ht="13.15" x14ac:dyDescent="0.4">
      <c r="A458" s="430"/>
      <c r="B458" s="430"/>
      <c r="C458" s="430"/>
      <c r="D458" s="430"/>
      <c r="E458" s="430"/>
      <c r="F458" s="430"/>
      <c r="G458" s="430"/>
      <c r="H458" s="461"/>
      <c r="I458" s="438"/>
      <c r="J458" s="438"/>
      <c r="K458" s="438"/>
      <c r="L458" s="430"/>
      <c r="M458" s="430"/>
      <c r="N458" s="461"/>
      <c r="O458" s="461"/>
      <c r="P458" s="430"/>
      <c r="Q458" s="430"/>
      <c r="R458" s="430"/>
      <c r="S458" s="430"/>
      <c r="T458" s="430"/>
      <c r="U458" s="430"/>
      <c r="V458" s="430"/>
      <c r="W458" s="430"/>
      <c r="X458" s="449"/>
      <c r="Y458" s="449"/>
      <c r="Z458" s="450"/>
      <c r="AA458" s="449"/>
      <c r="AB458" s="451"/>
      <c r="AC458" s="450"/>
      <c r="AD458" s="449"/>
      <c r="AE458" s="451"/>
      <c r="AF458" s="450"/>
      <c r="AG458" s="449"/>
      <c r="AH458" s="451"/>
      <c r="AI458" s="450"/>
      <c r="AJ458" s="449"/>
      <c r="AK458" s="451"/>
      <c r="AL458" s="450"/>
      <c r="AM458" s="449"/>
      <c r="AN458" s="451"/>
      <c r="AO458" s="450"/>
      <c r="AP458" s="449"/>
      <c r="AQ458" s="451"/>
      <c r="AR458" s="449"/>
      <c r="AS458" s="449"/>
      <c r="AT458" s="451"/>
      <c r="AU458" s="449"/>
      <c r="AV458" s="451"/>
      <c r="AW458" s="449"/>
      <c r="AX458" s="449"/>
      <c r="AY458" s="449"/>
      <c r="AZ458" s="449"/>
      <c r="BA458" s="449"/>
      <c r="BB458" s="449"/>
      <c r="BC458" s="449"/>
      <c r="BD458" s="449"/>
      <c r="BE458" s="449"/>
      <c r="BF458" s="449"/>
      <c r="BG458" s="449"/>
      <c r="BH458" s="449"/>
      <c r="BI458" s="449"/>
      <c r="BJ458" s="449"/>
      <c r="BK458" s="449"/>
      <c r="BL458" s="449"/>
      <c r="BM458" s="449"/>
      <c r="BN458" s="449"/>
    </row>
    <row r="459" spans="1:66" ht="13.15" x14ac:dyDescent="0.4">
      <c r="A459" s="430"/>
      <c r="B459" s="430"/>
      <c r="C459" s="430"/>
      <c r="D459" s="430"/>
      <c r="E459" s="430"/>
      <c r="F459" s="430"/>
      <c r="G459" s="430"/>
      <c r="H459" s="461"/>
      <c r="I459" s="438"/>
      <c r="J459" s="438"/>
      <c r="K459" s="438"/>
      <c r="L459" s="430"/>
      <c r="M459" s="430"/>
      <c r="N459" s="461"/>
      <c r="O459" s="461"/>
      <c r="P459" s="430"/>
      <c r="Q459" s="430"/>
      <c r="R459" s="430"/>
      <c r="S459" s="430"/>
      <c r="T459" s="430"/>
      <c r="U459" s="430"/>
      <c r="V459" s="430"/>
      <c r="W459" s="430"/>
      <c r="X459" s="449"/>
      <c r="Y459" s="449"/>
      <c r="Z459" s="450"/>
      <c r="AA459" s="449"/>
      <c r="AB459" s="451"/>
      <c r="AC459" s="450"/>
      <c r="AD459" s="449"/>
      <c r="AE459" s="451"/>
      <c r="AF459" s="450"/>
      <c r="AG459" s="449"/>
      <c r="AH459" s="451"/>
      <c r="AI459" s="450"/>
      <c r="AJ459" s="449"/>
      <c r="AK459" s="451"/>
      <c r="AL459" s="450"/>
      <c r="AM459" s="449"/>
      <c r="AN459" s="451"/>
      <c r="AO459" s="450"/>
      <c r="AP459" s="449"/>
      <c r="AQ459" s="451"/>
      <c r="AR459" s="449"/>
      <c r="AS459" s="449"/>
      <c r="AT459" s="451"/>
      <c r="AU459" s="449"/>
      <c r="AV459" s="451"/>
      <c r="AW459" s="449"/>
      <c r="AX459" s="449"/>
      <c r="AY459" s="449"/>
      <c r="AZ459" s="449"/>
      <c r="BA459" s="449"/>
      <c r="BB459" s="449"/>
      <c r="BC459" s="449"/>
      <c r="BD459" s="449"/>
      <c r="BE459" s="449"/>
      <c r="BF459" s="449"/>
      <c r="BG459" s="449"/>
      <c r="BH459" s="449"/>
      <c r="BI459" s="449"/>
      <c r="BJ459" s="449"/>
      <c r="BK459" s="449"/>
      <c r="BL459" s="449"/>
      <c r="BM459" s="449"/>
      <c r="BN459" s="449"/>
    </row>
    <row r="460" spans="1:66" ht="13.15" x14ac:dyDescent="0.4">
      <c r="A460" s="430"/>
      <c r="B460" s="430"/>
      <c r="C460" s="430"/>
      <c r="D460" s="430"/>
      <c r="E460" s="430"/>
      <c r="F460" s="430"/>
      <c r="G460" s="430"/>
      <c r="H460" s="461"/>
      <c r="I460" s="438"/>
      <c r="J460" s="438"/>
      <c r="K460" s="438"/>
      <c r="L460" s="430"/>
      <c r="M460" s="430"/>
      <c r="N460" s="461"/>
      <c r="O460" s="461"/>
      <c r="P460" s="430"/>
      <c r="Q460" s="430"/>
      <c r="R460" s="430"/>
      <c r="S460" s="430"/>
      <c r="T460" s="430"/>
      <c r="U460" s="430"/>
      <c r="V460" s="430"/>
      <c r="W460" s="430"/>
      <c r="X460" s="449"/>
      <c r="Y460" s="449"/>
      <c r="Z460" s="450"/>
      <c r="AA460" s="449"/>
      <c r="AB460" s="451"/>
      <c r="AC460" s="450"/>
      <c r="AD460" s="449"/>
      <c r="AE460" s="451"/>
      <c r="AF460" s="450"/>
      <c r="AG460" s="449"/>
      <c r="AH460" s="451"/>
      <c r="AI460" s="450"/>
      <c r="AJ460" s="449"/>
      <c r="AK460" s="451"/>
      <c r="AL460" s="450"/>
      <c r="AM460" s="449"/>
      <c r="AN460" s="451"/>
      <c r="AO460" s="450"/>
      <c r="AP460" s="449"/>
      <c r="AQ460" s="451"/>
      <c r="AR460" s="449"/>
      <c r="AS460" s="449"/>
      <c r="AT460" s="451"/>
      <c r="AU460" s="449"/>
      <c r="AV460" s="451"/>
      <c r="AW460" s="449"/>
      <c r="AX460" s="449"/>
      <c r="AY460" s="449"/>
      <c r="AZ460" s="449"/>
      <c r="BA460" s="449"/>
      <c r="BB460" s="449"/>
      <c r="BC460" s="449"/>
      <c r="BD460" s="449"/>
      <c r="BE460" s="449"/>
      <c r="BF460" s="449"/>
      <c r="BG460" s="449"/>
      <c r="BH460" s="449"/>
      <c r="BI460" s="449"/>
      <c r="BJ460" s="449"/>
      <c r="BK460" s="449"/>
      <c r="BL460" s="449"/>
      <c r="BM460" s="449"/>
      <c r="BN460" s="449"/>
    </row>
    <row r="461" spans="1:66" ht="13.15" x14ac:dyDescent="0.4">
      <c r="A461" s="430"/>
      <c r="B461" s="430"/>
      <c r="C461" s="430"/>
      <c r="D461" s="430"/>
      <c r="E461" s="430"/>
      <c r="F461" s="430"/>
      <c r="G461" s="430"/>
      <c r="H461" s="461"/>
      <c r="I461" s="438"/>
      <c r="J461" s="438"/>
      <c r="K461" s="438"/>
      <c r="L461" s="430"/>
      <c r="M461" s="430"/>
      <c r="N461" s="461"/>
      <c r="O461" s="461"/>
      <c r="P461" s="430"/>
      <c r="Q461" s="430"/>
      <c r="R461" s="430"/>
      <c r="S461" s="430"/>
      <c r="T461" s="430"/>
      <c r="U461" s="430"/>
      <c r="V461" s="430"/>
      <c r="W461" s="430"/>
      <c r="X461" s="449"/>
      <c r="Y461" s="449"/>
      <c r="Z461" s="450"/>
      <c r="AA461" s="449"/>
      <c r="AB461" s="451"/>
      <c r="AC461" s="450"/>
      <c r="AD461" s="449"/>
      <c r="AE461" s="451"/>
      <c r="AF461" s="450"/>
      <c r="AG461" s="449"/>
      <c r="AH461" s="451"/>
      <c r="AI461" s="450"/>
      <c r="AJ461" s="449"/>
      <c r="AK461" s="451"/>
      <c r="AL461" s="450"/>
      <c r="AM461" s="449"/>
      <c r="AN461" s="451"/>
      <c r="AO461" s="450"/>
      <c r="AP461" s="449"/>
      <c r="AQ461" s="451"/>
      <c r="AR461" s="449"/>
      <c r="AS461" s="449"/>
      <c r="AT461" s="451"/>
      <c r="AU461" s="449"/>
      <c r="AV461" s="451"/>
      <c r="AW461" s="449"/>
      <c r="AX461" s="449"/>
      <c r="AY461" s="449"/>
      <c r="AZ461" s="449"/>
      <c r="BA461" s="449"/>
      <c r="BB461" s="449"/>
      <c r="BC461" s="449"/>
      <c r="BD461" s="449"/>
      <c r="BE461" s="449"/>
      <c r="BF461" s="449"/>
      <c r="BG461" s="449"/>
      <c r="BH461" s="449"/>
      <c r="BI461" s="449"/>
      <c r="BJ461" s="449"/>
      <c r="BK461" s="449"/>
      <c r="BL461" s="449"/>
      <c r="BM461" s="449"/>
      <c r="BN461" s="449"/>
    </row>
    <row r="462" spans="1:66" ht="13.15" x14ac:dyDescent="0.4">
      <c r="A462" s="430"/>
      <c r="B462" s="430"/>
      <c r="C462" s="430"/>
      <c r="D462" s="430"/>
      <c r="E462" s="430"/>
      <c r="F462" s="430"/>
      <c r="G462" s="430"/>
      <c r="H462" s="461"/>
      <c r="I462" s="438"/>
      <c r="J462" s="438"/>
      <c r="K462" s="438"/>
      <c r="L462" s="430"/>
      <c r="M462" s="430"/>
      <c r="N462" s="461"/>
      <c r="O462" s="461"/>
      <c r="P462" s="430"/>
      <c r="Q462" s="430"/>
      <c r="R462" s="430"/>
      <c r="S462" s="430"/>
      <c r="T462" s="430"/>
      <c r="U462" s="430"/>
      <c r="V462" s="430"/>
      <c r="W462" s="430"/>
      <c r="X462" s="449"/>
      <c r="Y462" s="449"/>
      <c r="Z462" s="450"/>
      <c r="AA462" s="449"/>
      <c r="AB462" s="451"/>
      <c r="AC462" s="450"/>
      <c r="AD462" s="449"/>
      <c r="AE462" s="451"/>
      <c r="AF462" s="450"/>
      <c r="AG462" s="449"/>
      <c r="AH462" s="451"/>
      <c r="AI462" s="450"/>
      <c r="AJ462" s="449"/>
      <c r="AK462" s="451"/>
      <c r="AL462" s="450"/>
      <c r="AM462" s="449"/>
      <c r="AN462" s="451"/>
      <c r="AO462" s="450"/>
      <c r="AP462" s="449"/>
      <c r="AQ462" s="451"/>
      <c r="AR462" s="449"/>
      <c r="AS462" s="449"/>
      <c r="AT462" s="451"/>
      <c r="AU462" s="449"/>
      <c r="AV462" s="451"/>
      <c r="AW462" s="449"/>
      <c r="AX462" s="449"/>
      <c r="AY462" s="449"/>
      <c r="AZ462" s="449"/>
      <c r="BA462" s="449"/>
      <c r="BB462" s="449"/>
      <c r="BC462" s="449"/>
      <c r="BD462" s="449"/>
      <c r="BE462" s="449"/>
      <c r="BF462" s="449"/>
      <c r="BG462" s="449"/>
      <c r="BH462" s="449"/>
      <c r="BI462" s="449"/>
      <c r="BJ462" s="449"/>
      <c r="BK462" s="449"/>
      <c r="BL462" s="449"/>
      <c r="BM462" s="449"/>
      <c r="BN462" s="449"/>
    </row>
    <row r="463" spans="1:66" ht="13.15" x14ac:dyDescent="0.4">
      <c r="A463" s="430"/>
      <c r="B463" s="430"/>
      <c r="C463" s="430"/>
      <c r="D463" s="430"/>
      <c r="E463" s="430"/>
      <c r="F463" s="430"/>
      <c r="G463" s="430"/>
      <c r="H463" s="461"/>
      <c r="I463" s="438"/>
      <c r="J463" s="438"/>
      <c r="K463" s="438"/>
      <c r="L463" s="430"/>
      <c r="M463" s="430"/>
      <c r="N463" s="461"/>
      <c r="O463" s="461"/>
      <c r="P463" s="430"/>
      <c r="Q463" s="430"/>
      <c r="R463" s="430"/>
      <c r="S463" s="430"/>
      <c r="T463" s="430"/>
      <c r="U463" s="430"/>
      <c r="V463" s="430"/>
      <c r="W463" s="430"/>
      <c r="X463" s="449"/>
      <c r="Y463" s="449"/>
      <c r="Z463" s="450"/>
      <c r="AA463" s="449"/>
      <c r="AB463" s="451"/>
      <c r="AC463" s="450"/>
      <c r="AD463" s="449"/>
      <c r="AE463" s="451"/>
      <c r="AF463" s="450"/>
      <c r="AG463" s="449"/>
      <c r="AH463" s="451"/>
      <c r="AI463" s="450"/>
      <c r="AJ463" s="449"/>
      <c r="AK463" s="451"/>
      <c r="AL463" s="450"/>
      <c r="AM463" s="449"/>
      <c r="AN463" s="451"/>
      <c r="AO463" s="450"/>
      <c r="AP463" s="449"/>
      <c r="AQ463" s="451"/>
      <c r="AR463" s="449"/>
      <c r="AS463" s="449"/>
      <c r="AT463" s="451"/>
      <c r="AU463" s="449"/>
      <c r="AV463" s="451"/>
      <c r="AW463" s="449"/>
      <c r="AX463" s="449"/>
      <c r="AY463" s="449"/>
      <c r="AZ463" s="449"/>
      <c r="BA463" s="449"/>
      <c r="BB463" s="449"/>
      <c r="BC463" s="449"/>
      <c r="BD463" s="449"/>
      <c r="BE463" s="449"/>
      <c r="BF463" s="449"/>
      <c r="BG463" s="449"/>
      <c r="BH463" s="449"/>
      <c r="BI463" s="449"/>
      <c r="BJ463" s="449"/>
      <c r="BK463" s="449"/>
      <c r="BL463" s="449"/>
      <c r="BM463" s="449"/>
      <c r="BN463" s="449"/>
    </row>
    <row r="464" spans="1:66" ht="13.15" x14ac:dyDescent="0.4">
      <c r="A464" s="430"/>
      <c r="B464" s="430"/>
      <c r="C464" s="430"/>
      <c r="D464" s="430"/>
      <c r="E464" s="430"/>
      <c r="F464" s="430"/>
      <c r="G464" s="430"/>
      <c r="H464" s="461"/>
      <c r="I464" s="438"/>
      <c r="J464" s="438"/>
      <c r="K464" s="438"/>
      <c r="L464" s="430"/>
      <c r="M464" s="430"/>
      <c r="N464" s="461"/>
      <c r="O464" s="461"/>
      <c r="P464" s="430"/>
      <c r="Q464" s="430"/>
      <c r="R464" s="430"/>
      <c r="S464" s="430"/>
      <c r="T464" s="430"/>
      <c r="U464" s="430"/>
      <c r="V464" s="430"/>
      <c r="W464" s="430"/>
      <c r="X464" s="449"/>
      <c r="Y464" s="449"/>
      <c r="Z464" s="450"/>
      <c r="AA464" s="449"/>
      <c r="AB464" s="451"/>
      <c r="AC464" s="450"/>
      <c r="AD464" s="449"/>
      <c r="AE464" s="451"/>
      <c r="AF464" s="450"/>
      <c r="AG464" s="449"/>
      <c r="AH464" s="451"/>
      <c r="AI464" s="450"/>
      <c r="AJ464" s="449"/>
      <c r="AK464" s="451"/>
      <c r="AL464" s="450"/>
      <c r="AM464" s="449"/>
      <c r="AN464" s="451"/>
      <c r="AO464" s="450"/>
      <c r="AP464" s="449"/>
      <c r="AQ464" s="451"/>
      <c r="AR464" s="449"/>
      <c r="AS464" s="449"/>
      <c r="AT464" s="451"/>
      <c r="AU464" s="449"/>
      <c r="AV464" s="451"/>
      <c r="AW464" s="449"/>
      <c r="AX464" s="449"/>
      <c r="AY464" s="449"/>
      <c r="AZ464" s="449"/>
      <c r="BA464" s="449"/>
      <c r="BB464" s="449"/>
      <c r="BC464" s="449"/>
      <c r="BD464" s="449"/>
      <c r="BE464" s="449"/>
      <c r="BF464" s="449"/>
      <c r="BG464" s="449"/>
      <c r="BH464" s="449"/>
      <c r="BI464" s="449"/>
      <c r="BJ464" s="449"/>
      <c r="BK464" s="449"/>
      <c r="BL464" s="449"/>
      <c r="BM464" s="449"/>
      <c r="BN464" s="449"/>
    </row>
    <row r="465" spans="1:66" ht="13.15" x14ac:dyDescent="0.4">
      <c r="A465" s="430"/>
      <c r="B465" s="430"/>
      <c r="C465" s="430"/>
      <c r="D465" s="430"/>
      <c r="E465" s="430"/>
      <c r="F465" s="430"/>
      <c r="G465" s="430"/>
      <c r="H465" s="461"/>
      <c r="I465" s="438"/>
      <c r="J465" s="438"/>
      <c r="K465" s="438"/>
      <c r="L465" s="430"/>
      <c r="M465" s="430"/>
      <c r="N465" s="461"/>
      <c r="O465" s="461"/>
      <c r="P465" s="430"/>
      <c r="Q465" s="430"/>
      <c r="R465" s="430"/>
      <c r="S465" s="430"/>
      <c r="T465" s="430"/>
      <c r="U465" s="430"/>
      <c r="V465" s="430"/>
      <c r="W465" s="430"/>
      <c r="X465" s="449"/>
      <c r="Y465" s="449"/>
      <c r="Z465" s="450"/>
      <c r="AA465" s="449"/>
      <c r="AB465" s="451"/>
      <c r="AC465" s="450"/>
      <c r="AD465" s="449"/>
      <c r="AE465" s="451"/>
      <c r="AF465" s="450"/>
      <c r="AG465" s="449"/>
      <c r="AH465" s="451"/>
      <c r="AI465" s="450"/>
      <c r="AJ465" s="449"/>
      <c r="AK465" s="451"/>
      <c r="AL465" s="450"/>
      <c r="AM465" s="449"/>
      <c r="AN465" s="451"/>
      <c r="AO465" s="450"/>
      <c r="AP465" s="449"/>
      <c r="AQ465" s="451"/>
      <c r="AR465" s="449"/>
      <c r="AS465" s="449"/>
      <c r="AT465" s="451"/>
      <c r="AU465" s="449"/>
      <c r="AV465" s="451"/>
      <c r="AW465" s="449"/>
      <c r="AX465" s="449"/>
      <c r="AY465" s="449"/>
      <c r="AZ465" s="449"/>
      <c r="BA465" s="449"/>
      <c r="BB465" s="449"/>
      <c r="BC465" s="449"/>
      <c r="BD465" s="449"/>
      <c r="BE465" s="449"/>
      <c r="BF465" s="449"/>
      <c r="BG465" s="449"/>
      <c r="BH465" s="449"/>
      <c r="BI465" s="449"/>
      <c r="BJ465" s="449"/>
      <c r="BK465" s="449"/>
      <c r="BL465" s="449"/>
      <c r="BM465" s="449"/>
      <c r="BN465" s="449"/>
    </row>
    <row r="466" spans="1:66" ht="13.15" x14ac:dyDescent="0.4">
      <c r="A466" s="430"/>
      <c r="B466" s="430"/>
      <c r="C466" s="430"/>
      <c r="D466" s="430"/>
      <c r="E466" s="430"/>
      <c r="F466" s="430"/>
      <c r="G466" s="430"/>
      <c r="H466" s="461"/>
      <c r="I466" s="438"/>
      <c r="J466" s="438"/>
      <c r="K466" s="438"/>
      <c r="L466" s="430"/>
      <c r="M466" s="430"/>
      <c r="N466" s="461"/>
      <c r="O466" s="461"/>
      <c r="P466" s="430"/>
      <c r="Q466" s="430"/>
      <c r="R466" s="430"/>
      <c r="S466" s="430"/>
      <c r="T466" s="430"/>
      <c r="U466" s="430"/>
      <c r="V466" s="430"/>
      <c r="W466" s="430"/>
      <c r="X466" s="449"/>
      <c r="Y466" s="449"/>
      <c r="Z466" s="450"/>
      <c r="AA466" s="449"/>
      <c r="AB466" s="451"/>
      <c r="AC466" s="450"/>
      <c r="AD466" s="449"/>
      <c r="AE466" s="451"/>
      <c r="AF466" s="450"/>
      <c r="AG466" s="449"/>
      <c r="AH466" s="451"/>
      <c r="AI466" s="450"/>
      <c r="AJ466" s="449"/>
      <c r="AK466" s="451"/>
      <c r="AL466" s="450"/>
      <c r="AM466" s="449"/>
      <c r="AN466" s="451"/>
      <c r="AO466" s="450"/>
      <c r="AP466" s="449"/>
      <c r="AQ466" s="451"/>
      <c r="AR466" s="449"/>
      <c r="AS466" s="449"/>
      <c r="AT466" s="451"/>
      <c r="AU466" s="449"/>
      <c r="AV466" s="451"/>
      <c r="AW466" s="449"/>
      <c r="AX466" s="449"/>
      <c r="AY466" s="449"/>
      <c r="AZ466" s="449"/>
      <c r="BA466" s="449"/>
      <c r="BB466" s="449"/>
      <c r="BC466" s="449"/>
      <c r="BD466" s="449"/>
      <c r="BE466" s="449"/>
      <c r="BF466" s="449"/>
      <c r="BG466" s="449"/>
      <c r="BH466" s="449"/>
      <c r="BI466" s="449"/>
      <c r="BJ466" s="449"/>
      <c r="BK466" s="449"/>
      <c r="BL466" s="449"/>
      <c r="BM466" s="449"/>
      <c r="BN466" s="449"/>
    </row>
    <row r="467" spans="1:66" ht="13.15" x14ac:dyDescent="0.4">
      <c r="A467" s="430"/>
      <c r="B467" s="430"/>
      <c r="C467" s="430"/>
      <c r="D467" s="430"/>
      <c r="E467" s="430"/>
      <c r="F467" s="430"/>
      <c r="G467" s="430"/>
      <c r="H467" s="461"/>
      <c r="I467" s="438"/>
      <c r="J467" s="438"/>
      <c r="K467" s="438"/>
      <c r="L467" s="430"/>
      <c r="M467" s="430"/>
      <c r="N467" s="461"/>
      <c r="O467" s="461"/>
      <c r="P467" s="430"/>
      <c r="Q467" s="430"/>
      <c r="R467" s="430"/>
      <c r="S467" s="430"/>
      <c r="T467" s="430"/>
      <c r="U467" s="430"/>
      <c r="V467" s="430"/>
      <c r="W467" s="430"/>
      <c r="X467" s="449"/>
      <c r="Y467" s="449"/>
      <c r="Z467" s="450"/>
      <c r="AA467" s="449"/>
      <c r="AB467" s="451"/>
      <c r="AC467" s="450"/>
      <c r="AD467" s="449"/>
      <c r="AE467" s="451"/>
      <c r="AF467" s="450"/>
      <c r="AG467" s="449"/>
      <c r="AH467" s="451"/>
      <c r="AI467" s="450"/>
      <c r="AJ467" s="449"/>
      <c r="AK467" s="451"/>
      <c r="AL467" s="450"/>
      <c r="AM467" s="449"/>
      <c r="AN467" s="451"/>
      <c r="AO467" s="450"/>
      <c r="AP467" s="449"/>
      <c r="AQ467" s="451"/>
      <c r="AR467" s="449"/>
      <c r="AS467" s="449"/>
      <c r="AT467" s="451"/>
      <c r="AU467" s="449"/>
      <c r="AV467" s="451"/>
      <c r="AW467" s="449"/>
      <c r="AX467" s="449"/>
      <c r="AY467" s="449"/>
      <c r="AZ467" s="449"/>
      <c r="BA467" s="449"/>
      <c r="BB467" s="449"/>
      <c r="BC467" s="449"/>
      <c r="BD467" s="449"/>
      <c r="BE467" s="449"/>
      <c r="BF467" s="449"/>
      <c r="BG467" s="449"/>
      <c r="BH467" s="449"/>
      <c r="BI467" s="449"/>
      <c r="BJ467" s="449"/>
      <c r="BK467" s="449"/>
      <c r="BL467" s="449"/>
      <c r="BM467" s="449"/>
      <c r="BN467" s="449"/>
    </row>
    <row r="468" spans="1:66" ht="13.15" x14ac:dyDescent="0.4">
      <c r="A468" s="430"/>
      <c r="B468" s="430"/>
      <c r="C468" s="430"/>
      <c r="D468" s="430"/>
      <c r="E468" s="430"/>
      <c r="F468" s="430"/>
      <c r="G468" s="430"/>
      <c r="H468" s="461"/>
      <c r="I468" s="438"/>
      <c r="J468" s="438"/>
      <c r="K468" s="438"/>
      <c r="L468" s="430"/>
      <c r="M468" s="430"/>
      <c r="N468" s="461"/>
      <c r="O468" s="461"/>
      <c r="P468" s="430"/>
      <c r="Q468" s="430"/>
      <c r="R468" s="430"/>
      <c r="S468" s="430"/>
      <c r="T468" s="430"/>
      <c r="U468" s="430"/>
      <c r="V468" s="430"/>
      <c r="W468" s="430"/>
      <c r="X468" s="449"/>
      <c r="Y468" s="449"/>
      <c r="Z468" s="450"/>
      <c r="AA468" s="449"/>
      <c r="AB468" s="451"/>
      <c r="AC468" s="450"/>
      <c r="AD468" s="449"/>
      <c r="AE468" s="451"/>
      <c r="AF468" s="450"/>
      <c r="AG468" s="449"/>
      <c r="AH468" s="451"/>
      <c r="AI468" s="450"/>
      <c r="AJ468" s="449"/>
      <c r="AK468" s="451"/>
      <c r="AL468" s="450"/>
      <c r="AM468" s="449"/>
      <c r="AN468" s="451"/>
      <c r="AO468" s="450"/>
      <c r="AP468" s="449"/>
      <c r="AQ468" s="451"/>
      <c r="AR468" s="449"/>
      <c r="AS468" s="449"/>
      <c r="AT468" s="451"/>
      <c r="AU468" s="449"/>
      <c r="AV468" s="451"/>
      <c r="AW468" s="449"/>
      <c r="AX468" s="449"/>
      <c r="AY468" s="449"/>
      <c r="AZ468" s="449"/>
      <c r="BA468" s="449"/>
      <c r="BB468" s="449"/>
      <c r="BC468" s="449"/>
      <c r="BD468" s="449"/>
      <c r="BE468" s="449"/>
      <c r="BF468" s="449"/>
      <c r="BG468" s="449"/>
      <c r="BH468" s="449"/>
      <c r="BI468" s="449"/>
      <c r="BJ468" s="449"/>
      <c r="BK468" s="449"/>
      <c r="BL468" s="449"/>
      <c r="BM468" s="449"/>
      <c r="BN468" s="449"/>
    </row>
    <row r="469" spans="1:66" ht="13.15" x14ac:dyDescent="0.4">
      <c r="A469" s="430"/>
      <c r="B469" s="430"/>
      <c r="C469" s="430"/>
      <c r="D469" s="430"/>
      <c r="E469" s="430"/>
      <c r="F469" s="430"/>
      <c r="G469" s="430"/>
      <c r="H469" s="461"/>
      <c r="I469" s="438"/>
      <c r="J469" s="438"/>
      <c r="K469" s="438"/>
      <c r="L469" s="430"/>
      <c r="M469" s="430"/>
      <c r="N469" s="461"/>
      <c r="O469" s="461"/>
      <c r="P469" s="430"/>
      <c r="Q469" s="430"/>
      <c r="R469" s="430"/>
      <c r="S469" s="430"/>
      <c r="T469" s="430"/>
      <c r="U469" s="430"/>
      <c r="V469" s="430"/>
      <c r="W469" s="430"/>
      <c r="X469" s="449"/>
      <c r="Y469" s="449"/>
      <c r="Z469" s="450"/>
      <c r="AA469" s="449"/>
      <c r="AB469" s="451"/>
      <c r="AC469" s="450"/>
      <c r="AD469" s="449"/>
      <c r="AE469" s="451"/>
      <c r="AF469" s="450"/>
      <c r="AG469" s="449"/>
      <c r="AH469" s="451"/>
      <c r="AI469" s="450"/>
      <c r="AJ469" s="449"/>
      <c r="AK469" s="451"/>
      <c r="AL469" s="450"/>
      <c r="AM469" s="449"/>
      <c r="AN469" s="451"/>
      <c r="AO469" s="450"/>
      <c r="AP469" s="449"/>
      <c r="AQ469" s="451"/>
      <c r="AR469" s="449"/>
      <c r="AS469" s="449"/>
      <c r="AT469" s="451"/>
      <c r="AU469" s="449"/>
      <c r="AV469" s="451"/>
      <c r="AW469" s="449"/>
      <c r="AX469" s="449"/>
      <c r="AY469" s="449"/>
      <c r="AZ469" s="449"/>
      <c r="BA469" s="449"/>
      <c r="BB469" s="449"/>
      <c r="BC469" s="449"/>
      <c r="BD469" s="449"/>
      <c r="BE469" s="449"/>
      <c r="BF469" s="449"/>
      <c r="BG469" s="449"/>
      <c r="BH469" s="449"/>
      <c r="BI469" s="449"/>
      <c r="BJ469" s="449"/>
      <c r="BK469" s="449"/>
      <c r="BL469" s="449"/>
      <c r="BM469" s="449"/>
      <c r="BN469" s="449"/>
    </row>
    <row r="470" spans="1:66" ht="13.15" x14ac:dyDescent="0.4">
      <c r="A470" s="430"/>
      <c r="B470" s="430"/>
      <c r="C470" s="430"/>
      <c r="D470" s="430"/>
      <c r="E470" s="430"/>
      <c r="F470" s="430"/>
      <c r="G470" s="430"/>
      <c r="H470" s="461"/>
      <c r="I470" s="438"/>
      <c r="J470" s="438"/>
      <c r="K470" s="438"/>
      <c r="L470" s="430"/>
      <c r="M470" s="430"/>
      <c r="N470" s="461"/>
      <c r="O470" s="461"/>
      <c r="P470" s="430"/>
      <c r="Q470" s="430"/>
      <c r="R470" s="430"/>
      <c r="S470" s="430"/>
      <c r="T470" s="430"/>
      <c r="U470" s="430"/>
      <c r="V470" s="430"/>
      <c r="W470" s="430"/>
      <c r="X470" s="449"/>
      <c r="Y470" s="449"/>
      <c r="Z470" s="450"/>
      <c r="AA470" s="449"/>
      <c r="AB470" s="451"/>
      <c r="AC470" s="450"/>
      <c r="AD470" s="449"/>
      <c r="AE470" s="451"/>
      <c r="AF470" s="450"/>
      <c r="AG470" s="449"/>
      <c r="AH470" s="451"/>
      <c r="AI470" s="450"/>
      <c r="AJ470" s="449"/>
      <c r="AK470" s="451"/>
      <c r="AL470" s="450"/>
      <c r="AM470" s="449"/>
      <c r="AN470" s="451"/>
      <c r="AO470" s="450"/>
      <c r="AP470" s="449"/>
      <c r="AQ470" s="451"/>
      <c r="AR470" s="449"/>
      <c r="AS470" s="449"/>
      <c r="AT470" s="451"/>
      <c r="AU470" s="449"/>
      <c r="AV470" s="451"/>
      <c r="AW470" s="449"/>
      <c r="AX470" s="449"/>
      <c r="AY470" s="449"/>
      <c r="AZ470" s="449"/>
      <c r="BA470" s="449"/>
      <c r="BB470" s="449"/>
      <c r="BC470" s="449"/>
      <c r="BD470" s="449"/>
      <c r="BE470" s="449"/>
      <c r="BF470" s="449"/>
      <c r="BG470" s="449"/>
      <c r="BH470" s="449"/>
      <c r="BI470" s="449"/>
      <c r="BJ470" s="449"/>
      <c r="BK470" s="449"/>
      <c r="BL470" s="449"/>
      <c r="BM470" s="449"/>
      <c r="BN470" s="449"/>
    </row>
    <row r="471" spans="1:66" ht="13.15" x14ac:dyDescent="0.4">
      <c r="A471" s="430"/>
      <c r="B471" s="430"/>
      <c r="C471" s="430"/>
      <c r="D471" s="430"/>
      <c r="E471" s="430"/>
      <c r="F471" s="430"/>
      <c r="G471" s="430"/>
      <c r="H471" s="461"/>
      <c r="I471" s="438"/>
      <c r="J471" s="438"/>
      <c r="K471" s="438"/>
      <c r="L471" s="430"/>
      <c r="M471" s="430"/>
      <c r="N471" s="461"/>
      <c r="O471" s="461"/>
      <c r="P471" s="430"/>
      <c r="Q471" s="430"/>
      <c r="R471" s="430"/>
      <c r="S471" s="430"/>
      <c r="T471" s="430"/>
      <c r="U471" s="430"/>
      <c r="V471" s="430"/>
      <c r="W471" s="430"/>
      <c r="X471" s="449"/>
      <c r="Y471" s="449"/>
      <c r="Z471" s="450"/>
      <c r="AA471" s="449"/>
      <c r="AB471" s="451"/>
      <c r="AC471" s="450"/>
      <c r="AD471" s="449"/>
      <c r="AE471" s="451"/>
      <c r="AF471" s="450"/>
      <c r="AG471" s="449"/>
      <c r="AH471" s="451"/>
      <c r="AI471" s="450"/>
      <c r="AJ471" s="449"/>
      <c r="AK471" s="451"/>
      <c r="AL471" s="450"/>
      <c r="AM471" s="449"/>
      <c r="AN471" s="451"/>
      <c r="AO471" s="450"/>
      <c r="AP471" s="449"/>
      <c r="AQ471" s="451"/>
      <c r="AR471" s="449"/>
      <c r="AS471" s="449"/>
      <c r="AT471" s="451"/>
      <c r="AU471" s="449"/>
      <c r="AV471" s="451"/>
      <c r="AW471" s="449"/>
      <c r="AX471" s="449"/>
      <c r="AY471" s="449"/>
      <c r="AZ471" s="449"/>
      <c r="BA471" s="449"/>
      <c r="BB471" s="449"/>
      <c r="BC471" s="449"/>
      <c r="BD471" s="449"/>
      <c r="BE471" s="449"/>
      <c r="BF471" s="449"/>
      <c r="BG471" s="449"/>
      <c r="BH471" s="449"/>
      <c r="BI471" s="449"/>
      <c r="BJ471" s="449"/>
      <c r="BK471" s="449"/>
      <c r="BL471" s="449"/>
      <c r="BM471" s="449"/>
      <c r="BN471" s="449"/>
    </row>
    <row r="472" spans="1:66" ht="13.15" x14ac:dyDescent="0.4">
      <c r="A472" s="430"/>
      <c r="B472" s="430"/>
      <c r="C472" s="430"/>
      <c r="D472" s="430"/>
      <c r="E472" s="430"/>
      <c r="F472" s="430"/>
      <c r="G472" s="430"/>
      <c r="H472" s="461"/>
      <c r="I472" s="438"/>
      <c r="J472" s="438"/>
      <c r="K472" s="438"/>
      <c r="L472" s="430"/>
      <c r="M472" s="430"/>
      <c r="N472" s="461"/>
      <c r="O472" s="461"/>
      <c r="P472" s="430"/>
      <c r="Q472" s="430"/>
      <c r="R472" s="430"/>
      <c r="S472" s="430"/>
      <c r="T472" s="430"/>
      <c r="U472" s="430"/>
      <c r="V472" s="430"/>
      <c r="W472" s="430"/>
      <c r="X472" s="449"/>
      <c r="Y472" s="449"/>
      <c r="Z472" s="450"/>
      <c r="AA472" s="449"/>
      <c r="AB472" s="451"/>
      <c r="AC472" s="450"/>
      <c r="AD472" s="449"/>
      <c r="AE472" s="451"/>
      <c r="AF472" s="450"/>
      <c r="AG472" s="449"/>
      <c r="AH472" s="451"/>
      <c r="AI472" s="450"/>
      <c r="AJ472" s="449"/>
      <c r="AK472" s="451"/>
      <c r="AL472" s="450"/>
      <c r="AM472" s="449"/>
      <c r="AN472" s="451"/>
      <c r="AO472" s="450"/>
      <c r="AP472" s="449"/>
      <c r="AQ472" s="451"/>
      <c r="AR472" s="449"/>
      <c r="AS472" s="449"/>
      <c r="AT472" s="451"/>
      <c r="AU472" s="449"/>
      <c r="AV472" s="451"/>
      <c r="AW472" s="449"/>
      <c r="AX472" s="449"/>
      <c r="AY472" s="449"/>
      <c r="AZ472" s="449"/>
      <c r="BA472" s="449"/>
      <c r="BB472" s="449"/>
      <c r="BC472" s="449"/>
      <c r="BD472" s="449"/>
      <c r="BE472" s="449"/>
      <c r="BF472" s="449"/>
      <c r="BG472" s="449"/>
      <c r="BH472" s="449"/>
      <c r="BI472" s="449"/>
      <c r="BJ472" s="449"/>
      <c r="BK472" s="449"/>
      <c r="BL472" s="449"/>
      <c r="BM472" s="449"/>
      <c r="BN472" s="449"/>
    </row>
    <row r="473" spans="1:66" ht="13.15" x14ac:dyDescent="0.4">
      <c r="A473" s="430"/>
      <c r="B473" s="430"/>
      <c r="C473" s="430"/>
      <c r="D473" s="430"/>
      <c r="E473" s="430"/>
      <c r="F473" s="430"/>
      <c r="G473" s="430"/>
      <c r="H473" s="461"/>
      <c r="I473" s="438"/>
      <c r="J473" s="438"/>
      <c r="K473" s="438"/>
      <c r="L473" s="430"/>
      <c r="M473" s="430"/>
      <c r="N473" s="461"/>
      <c r="O473" s="461"/>
      <c r="P473" s="430"/>
      <c r="Q473" s="430"/>
      <c r="R473" s="430"/>
      <c r="S473" s="430"/>
      <c r="T473" s="430"/>
      <c r="U473" s="430"/>
      <c r="V473" s="430"/>
      <c r="W473" s="430"/>
      <c r="X473" s="449"/>
      <c r="Y473" s="449"/>
      <c r="Z473" s="450"/>
      <c r="AA473" s="449"/>
      <c r="AB473" s="451"/>
      <c r="AC473" s="450"/>
      <c r="AD473" s="449"/>
      <c r="AE473" s="451"/>
      <c r="AF473" s="450"/>
      <c r="AG473" s="449"/>
      <c r="AH473" s="451"/>
      <c r="AI473" s="450"/>
      <c r="AJ473" s="449"/>
      <c r="AK473" s="451"/>
      <c r="AL473" s="450"/>
      <c r="AM473" s="449"/>
      <c r="AN473" s="451"/>
      <c r="AO473" s="450"/>
      <c r="AP473" s="449"/>
      <c r="AQ473" s="451"/>
      <c r="AR473" s="449"/>
      <c r="AS473" s="449"/>
      <c r="AT473" s="451"/>
      <c r="AU473" s="449"/>
      <c r="AV473" s="451"/>
      <c r="AW473" s="449"/>
      <c r="AX473" s="449"/>
      <c r="AY473" s="449"/>
      <c r="AZ473" s="449"/>
      <c r="BA473" s="449"/>
      <c r="BB473" s="449"/>
      <c r="BC473" s="449"/>
      <c r="BD473" s="449"/>
      <c r="BE473" s="449"/>
      <c r="BF473" s="449"/>
      <c r="BG473" s="449"/>
      <c r="BH473" s="449"/>
      <c r="BI473" s="449"/>
      <c r="BJ473" s="449"/>
      <c r="BK473" s="449"/>
      <c r="BL473" s="449"/>
      <c r="BM473" s="449"/>
      <c r="BN473" s="449"/>
    </row>
    <row r="474" spans="1:66" ht="13.15" x14ac:dyDescent="0.4">
      <c r="A474" s="430"/>
      <c r="B474" s="430"/>
      <c r="C474" s="430"/>
      <c r="D474" s="430"/>
      <c r="E474" s="430"/>
      <c r="F474" s="430"/>
      <c r="G474" s="430"/>
      <c r="H474" s="461"/>
      <c r="I474" s="438"/>
      <c r="J474" s="438"/>
      <c r="K474" s="438"/>
      <c r="L474" s="430"/>
      <c r="M474" s="430"/>
      <c r="N474" s="461"/>
      <c r="O474" s="461"/>
      <c r="P474" s="430"/>
      <c r="Q474" s="430"/>
      <c r="R474" s="430"/>
      <c r="S474" s="430"/>
      <c r="T474" s="430"/>
      <c r="U474" s="430"/>
      <c r="V474" s="430"/>
      <c r="W474" s="430"/>
      <c r="X474" s="449"/>
      <c r="Y474" s="449"/>
      <c r="Z474" s="450"/>
      <c r="AA474" s="449"/>
      <c r="AB474" s="451"/>
      <c r="AC474" s="450"/>
      <c r="AD474" s="449"/>
      <c r="AE474" s="451"/>
      <c r="AF474" s="450"/>
      <c r="AG474" s="449"/>
      <c r="AH474" s="451"/>
      <c r="AI474" s="450"/>
      <c r="AJ474" s="449"/>
      <c r="AK474" s="451"/>
      <c r="AL474" s="450"/>
      <c r="AM474" s="449"/>
      <c r="AN474" s="451"/>
      <c r="AO474" s="450"/>
      <c r="AP474" s="449"/>
      <c r="AQ474" s="451"/>
      <c r="AR474" s="449"/>
      <c r="AS474" s="449"/>
      <c r="AT474" s="451"/>
      <c r="AU474" s="449"/>
      <c r="AV474" s="451"/>
      <c r="AW474" s="449"/>
      <c r="AX474" s="449"/>
      <c r="AY474" s="449"/>
      <c r="AZ474" s="449"/>
      <c r="BA474" s="449"/>
      <c r="BB474" s="449"/>
      <c r="BC474" s="449"/>
      <c r="BD474" s="449"/>
      <c r="BE474" s="449"/>
      <c r="BF474" s="449"/>
      <c r="BG474" s="449"/>
      <c r="BH474" s="449"/>
      <c r="BI474" s="449"/>
      <c r="BJ474" s="449"/>
      <c r="BK474" s="449"/>
      <c r="BL474" s="449"/>
      <c r="BM474" s="449"/>
      <c r="BN474" s="449"/>
    </row>
    <row r="475" spans="1:66" ht="13.15" x14ac:dyDescent="0.4">
      <c r="A475" s="430"/>
      <c r="B475" s="430"/>
      <c r="C475" s="430"/>
      <c r="D475" s="430"/>
      <c r="E475" s="430"/>
      <c r="F475" s="430"/>
      <c r="G475" s="430"/>
      <c r="H475" s="461"/>
      <c r="I475" s="438"/>
      <c r="J475" s="438"/>
      <c r="K475" s="438"/>
      <c r="L475" s="430"/>
      <c r="M475" s="430"/>
      <c r="N475" s="461"/>
      <c r="O475" s="461"/>
      <c r="P475" s="430"/>
      <c r="Q475" s="430"/>
      <c r="R475" s="430"/>
      <c r="S475" s="430"/>
      <c r="T475" s="430"/>
      <c r="U475" s="430"/>
      <c r="V475" s="430"/>
      <c r="W475" s="430"/>
      <c r="X475" s="449"/>
      <c r="Y475" s="449"/>
      <c r="Z475" s="450"/>
      <c r="AA475" s="449"/>
      <c r="AB475" s="451"/>
      <c r="AC475" s="450"/>
      <c r="AD475" s="449"/>
      <c r="AE475" s="451"/>
      <c r="AF475" s="450"/>
      <c r="AG475" s="449"/>
      <c r="AH475" s="451"/>
      <c r="AI475" s="450"/>
      <c r="AJ475" s="449"/>
      <c r="AK475" s="451"/>
      <c r="AL475" s="450"/>
      <c r="AM475" s="449"/>
      <c r="AN475" s="451"/>
      <c r="AO475" s="450"/>
      <c r="AP475" s="449"/>
      <c r="AQ475" s="451"/>
      <c r="AR475" s="449"/>
      <c r="AS475" s="449"/>
      <c r="AT475" s="451"/>
      <c r="AU475" s="449"/>
      <c r="AV475" s="451"/>
      <c r="AW475" s="449"/>
      <c r="AX475" s="449"/>
      <c r="AY475" s="449"/>
      <c r="AZ475" s="449"/>
      <c r="BA475" s="449"/>
      <c r="BB475" s="449"/>
      <c r="BC475" s="449"/>
      <c r="BD475" s="449"/>
      <c r="BE475" s="449"/>
      <c r="BF475" s="449"/>
      <c r="BG475" s="449"/>
      <c r="BH475" s="449"/>
      <c r="BI475" s="449"/>
      <c r="BJ475" s="449"/>
      <c r="BK475" s="449"/>
      <c r="BL475" s="449"/>
      <c r="BM475" s="449"/>
      <c r="BN475" s="449"/>
    </row>
    <row r="476" spans="1:66" ht="13.15" x14ac:dyDescent="0.4">
      <c r="A476" s="430"/>
      <c r="B476" s="430"/>
      <c r="C476" s="430"/>
      <c r="D476" s="430"/>
      <c r="E476" s="430"/>
      <c r="F476" s="430"/>
      <c r="G476" s="430"/>
      <c r="H476" s="461"/>
      <c r="I476" s="438"/>
      <c r="J476" s="438"/>
      <c r="K476" s="438"/>
      <c r="L476" s="430"/>
      <c r="M476" s="430"/>
      <c r="N476" s="461"/>
      <c r="O476" s="461"/>
      <c r="P476" s="430"/>
      <c r="Q476" s="430"/>
      <c r="R476" s="430"/>
      <c r="S476" s="430"/>
      <c r="T476" s="430"/>
      <c r="U476" s="430"/>
      <c r="V476" s="430"/>
      <c r="W476" s="430"/>
      <c r="X476" s="449"/>
      <c r="Y476" s="449"/>
      <c r="Z476" s="450"/>
      <c r="AA476" s="449"/>
      <c r="AB476" s="451"/>
      <c r="AC476" s="450"/>
      <c r="AD476" s="449"/>
      <c r="AE476" s="451"/>
      <c r="AF476" s="450"/>
      <c r="AG476" s="449"/>
      <c r="AH476" s="451"/>
      <c r="AI476" s="450"/>
      <c r="AJ476" s="449"/>
      <c r="AK476" s="451"/>
      <c r="AL476" s="450"/>
      <c r="AM476" s="449"/>
      <c r="AN476" s="451"/>
      <c r="AO476" s="450"/>
      <c r="AP476" s="449"/>
      <c r="AQ476" s="451"/>
      <c r="AR476" s="449"/>
      <c r="AS476" s="449"/>
      <c r="AT476" s="451"/>
      <c r="AU476" s="449"/>
      <c r="AV476" s="451"/>
      <c r="AW476" s="449"/>
      <c r="AX476" s="449"/>
      <c r="AY476" s="449"/>
      <c r="AZ476" s="449"/>
      <c r="BA476" s="449"/>
      <c r="BB476" s="449"/>
      <c r="BC476" s="449"/>
      <c r="BD476" s="449"/>
      <c r="BE476" s="449"/>
      <c r="BF476" s="449"/>
      <c r="BG476" s="449"/>
      <c r="BH476" s="449"/>
      <c r="BI476" s="449"/>
      <c r="BJ476" s="449"/>
      <c r="BK476" s="449"/>
      <c r="BL476" s="449"/>
      <c r="BM476" s="449"/>
      <c r="BN476" s="449"/>
    </row>
    <row r="477" spans="1:66" ht="13.15" x14ac:dyDescent="0.4">
      <c r="A477" s="430"/>
      <c r="B477" s="430"/>
      <c r="C477" s="430"/>
      <c r="D477" s="430"/>
      <c r="E477" s="430"/>
      <c r="F477" s="430"/>
      <c r="G477" s="430"/>
      <c r="H477" s="461"/>
      <c r="I477" s="438"/>
      <c r="J477" s="438"/>
      <c r="K477" s="438"/>
      <c r="L477" s="430"/>
      <c r="M477" s="430"/>
      <c r="N477" s="461"/>
      <c r="O477" s="461"/>
      <c r="P477" s="430"/>
      <c r="Q477" s="430"/>
      <c r="R477" s="430"/>
      <c r="S477" s="430"/>
      <c r="T477" s="430"/>
      <c r="U477" s="430"/>
      <c r="V477" s="430"/>
      <c r="W477" s="430"/>
      <c r="X477" s="449"/>
      <c r="Y477" s="449"/>
      <c r="Z477" s="450"/>
      <c r="AA477" s="449"/>
      <c r="AB477" s="451"/>
      <c r="AC477" s="450"/>
      <c r="AD477" s="449"/>
      <c r="AE477" s="451"/>
      <c r="AF477" s="450"/>
      <c r="AG477" s="449"/>
      <c r="AH477" s="451"/>
      <c r="AI477" s="450"/>
      <c r="AJ477" s="449"/>
      <c r="AK477" s="451"/>
      <c r="AL477" s="450"/>
      <c r="AM477" s="449"/>
      <c r="AN477" s="451"/>
      <c r="AO477" s="450"/>
      <c r="AP477" s="449"/>
      <c r="AQ477" s="451"/>
      <c r="AR477" s="449"/>
      <c r="AS477" s="449"/>
      <c r="AT477" s="451"/>
      <c r="AU477" s="449"/>
      <c r="AV477" s="451"/>
      <c r="AW477" s="449"/>
      <c r="AX477" s="449"/>
      <c r="AY477" s="449"/>
      <c r="AZ477" s="449"/>
      <c r="BA477" s="449"/>
      <c r="BB477" s="449"/>
      <c r="BC477" s="449"/>
      <c r="BD477" s="449"/>
      <c r="BE477" s="449"/>
      <c r="BF477" s="449"/>
      <c r="BG477" s="449"/>
      <c r="BH477" s="449"/>
      <c r="BI477" s="449"/>
      <c r="BJ477" s="449"/>
      <c r="BK477" s="449"/>
      <c r="BL477" s="449"/>
      <c r="BM477" s="449"/>
      <c r="BN477" s="449"/>
    </row>
    <row r="478" spans="1:66" ht="13.15" x14ac:dyDescent="0.4">
      <c r="A478" s="430"/>
      <c r="B478" s="430"/>
      <c r="C478" s="430"/>
      <c r="D478" s="430"/>
      <c r="E478" s="430"/>
      <c r="F478" s="430"/>
      <c r="G478" s="430"/>
      <c r="H478" s="461"/>
      <c r="I478" s="438"/>
      <c r="J478" s="438"/>
      <c r="K478" s="438"/>
      <c r="L478" s="430"/>
      <c r="M478" s="430"/>
      <c r="N478" s="461"/>
      <c r="O478" s="461"/>
      <c r="P478" s="430"/>
      <c r="Q478" s="430"/>
      <c r="R478" s="430"/>
      <c r="S478" s="430"/>
      <c r="T478" s="430"/>
      <c r="U478" s="430"/>
      <c r="V478" s="430"/>
      <c r="W478" s="430"/>
      <c r="X478" s="449"/>
      <c r="Y478" s="449"/>
      <c r="Z478" s="450"/>
      <c r="AA478" s="449"/>
      <c r="AB478" s="451"/>
      <c r="AC478" s="450"/>
      <c r="AD478" s="449"/>
      <c r="AE478" s="451"/>
      <c r="AF478" s="450"/>
      <c r="AG478" s="449"/>
      <c r="AH478" s="451"/>
      <c r="AI478" s="450"/>
      <c r="AJ478" s="449"/>
      <c r="AK478" s="451"/>
      <c r="AL478" s="450"/>
      <c r="AM478" s="449"/>
      <c r="AN478" s="451"/>
      <c r="AO478" s="450"/>
      <c r="AP478" s="449"/>
      <c r="AQ478" s="451"/>
      <c r="AR478" s="449"/>
      <c r="AS478" s="449"/>
      <c r="AT478" s="451"/>
      <c r="AU478" s="449"/>
      <c r="AV478" s="451"/>
      <c r="AW478" s="449"/>
      <c r="AX478" s="449"/>
      <c r="AY478" s="449"/>
      <c r="AZ478" s="449"/>
      <c r="BA478" s="449"/>
      <c r="BB478" s="449"/>
      <c r="BC478" s="449"/>
      <c r="BD478" s="449"/>
      <c r="BE478" s="449"/>
      <c r="BF478" s="449"/>
      <c r="BG478" s="449"/>
      <c r="BH478" s="449"/>
      <c r="BI478" s="449"/>
      <c r="BJ478" s="449"/>
      <c r="BK478" s="449"/>
      <c r="BL478" s="449"/>
      <c r="BM478" s="449"/>
      <c r="BN478" s="449"/>
    </row>
    <row r="479" spans="1:66" ht="13.15" x14ac:dyDescent="0.4">
      <c r="A479" s="430"/>
      <c r="B479" s="430"/>
      <c r="C479" s="430"/>
      <c r="D479" s="430"/>
      <c r="E479" s="430"/>
      <c r="F479" s="430"/>
      <c r="G479" s="430"/>
      <c r="H479" s="461"/>
      <c r="I479" s="438"/>
      <c r="J479" s="438"/>
      <c r="K479" s="438"/>
      <c r="L479" s="430"/>
      <c r="M479" s="430"/>
      <c r="N479" s="461"/>
      <c r="O479" s="461"/>
      <c r="P479" s="430"/>
      <c r="Q479" s="430"/>
      <c r="R479" s="430"/>
      <c r="S479" s="430"/>
      <c r="T479" s="430"/>
      <c r="U479" s="430"/>
      <c r="V479" s="430"/>
      <c r="W479" s="430"/>
      <c r="X479" s="449"/>
      <c r="Y479" s="449"/>
      <c r="Z479" s="450"/>
      <c r="AA479" s="449"/>
      <c r="AB479" s="451"/>
      <c r="AC479" s="450"/>
      <c r="AD479" s="449"/>
      <c r="AE479" s="451"/>
      <c r="AF479" s="450"/>
      <c r="AG479" s="449"/>
      <c r="AH479" s="451"/>
      <c r="AI479" s="450"/>
      <c r="AJ479" s="449"/>
      <c r="AK479" s="451"/>
      <c r="AL479" s="450"/>
      <c r="AM479" s="449"/>
      <c r="AN479" s="451"/>
      <c r="AO479" s="450"/>
      <c r="AP479" s="449"/>
      <c r="AQ479" s="451"/>
      <c r="AR479" s="449"/>
      <c r="AS479" s="449"/>
      <c r="AT479" s="451"/>
      <c r="AU479" s="449"/>
      <c r="AV479" s="451"/>
      <c r="AW479" s="449"/>
      <c r="AX479" s="449"/>
      <c r="AY479" s="449"/>
      <c r="AZ479" s="449"/>
      <c r="BA479" s="449"/>
      <c r="BB479" s="449"/>
      <c r="BC479" s="449"/>
      <c r="BD479" s="449"/>
      <c r="BE479" s="449"/>
      <c r="BF479" s="449"/>
      <c r="BG479" s="449"/>
      <c r="BH479" s="449"/>
      <c r="BI479" s="449"/>
      <c r="BJ479" s="449"/>
      <c r="BK479" s="449"/>
      <c r="BL479" s="449"/>
      <c r="BM479" s="449"/>
      <c r="BN479" s="449"/>
    </row>
    <row r="480" spans="1:66" ht="13.15" x14ac:dyDescent="0.4">
      <c r="A480" s="430"/>
      <c r="B480" s="430"/>
      <c r="C480" s="430"/>
      <c r="D480" s="430"/>
      <c r="E480" s="430"/>
      <c r="F480" s="430"/>
      <c r="G480" s="430"/>
      <c r="H480" s="461"/>
      <c r="I480" s="438"/>
      <c r="J480" s="438"/>
      <c r="K480" s="438"/>
      <c r="L480" s="430"/>
      <c r="M480" s="430"/>
      <c r="N480" s="461"/>
      <c r="O480" s="461"/>
      <c r="P480" s="430"/>
      <c r="Q480" s="430"/>
      <c r="R480" s="430"/>
      <c r="S480" s="430"/>
      <c r="T480" s="430"/>
      <c r="U480" s="430"/>
      <c r="V480" s="430"/>
      <c r="W480" s="430"/>
      <c r="X480" s="449"/>
      <c r="Y480" s="449"/>
      <c r="Z480" s="450"/>
      <c r="AA480" s="449"/>
      <c r="AB480" s="451"/>
      <c r="AC480" s="450"/>
      <c r="AD480" s="449"/>
      <c r="AE480" s="451"/>
      <c r="AF480" s="450"/>
      <c r="AG480" s="449"/>
      <c r="AH480" s="451"/>
      <c r="AI480" s="450"/>
      <c r="AJ480" s="449"/>
      <c r="AK480" s="451"/>
      <c r="AL480" s="450"/>
      <c r="AM480" s="449"/>
      <c r="AN480" s="451"/>
      <c r="AO480" s="450"/>
      <c r="AP480" s="449"/>
      <c r="AQ480" s="451"/>
      <c r="AR480" s="449"/>
      <c r="AS480" s="449"/>
      <c r="AT480" s="451"/>
      <c r="AU480" s="449"/>
      <c r="AV480" s="451"/>
      <c r="AW480" s="449"/>
      <c r="AX480" s="449"/>
      <c r="AY480" s="449"/>
      <c r="AZ480" s="449"/>
      <c r="BA480" s="449"/>
      <c r="BB480" s="449"/>
      <c r="BC480" s="449"/>
      <c r="BD480" s="449"/>
      <c r="BE480" s="449"/>
      <c r="BF480" s="449"/>
      <c r="BG480" s="449"/>
      <c r="BH480" s="449"/>
      <c r="BI480" s="449"/>
      <c r="BJ480" s="449"/>
      <c r="BK480" s="449"/>
      <c r="BL480" s="449"/>
      <c r="BM480" s="449"/>
      <c r="BN480" s="449"/>
    </row>
    <row r="481" spans="1:66" ht="13.15" x14ac:dyDescent="0.4">
      <c r="A481" s="430"/>
      <c r="B481" s="430"/>
      <c r="C481" s="430"/>
      <c r="D481" s="430"/>
      <c r="E481" s="430"/>
      <c r="F481" s="430"/>
      <c r="G481" s="430"/>
      <c r="H481" s="461"/>
      <c r="I481" s="438"/>
      <c r="J481" s="438"/>
      <c r="K481" s="438"/>
      <c r="L481" s="430"/>
      <c r="M481" s="430"/>
      <c r="N481" s="461"/>
      <c r="O481" s="461"/>
      <c r="P481" s="430"/>
      <c r="Q481" s="430"/>
      <c r="R481" s="430"/>
      <c r="S481" s="430"/>
      <c r="T481" s="430"/>
      <c r="U481" s="430"/>
      <c r="V481" s="430"/>
      <c r="W481" s="430"/>
      <c r="X481" s="449"/>
      <c r="Y481" s="449"/>
      <c r="Z481" s="450"/>
      <c r="AA481" s="449"/>
      <c r="AB481" s="451"/>
      <c r="AC481" s="450"/>
      <c r="AD481" s="449"/>
      <c r="AE481" s="451"/>
      <c r="AF481" s="450"/>
      <c r="AG481" s="449"/>
      <c r="AH481" s="451"/>
      <c r="AI481" s="450"/>
      <c r="AJ481" s="449"/>
      <c r="AK481" s="451"/>
      <c r="AL481" s="450"/>
      <c r="AM481" s="449"/>
      <c r="AN481" s="451"/>
      <c r="AO481" s="450"/>
      <c r="AP481" s="449"/>
      <c r="AQ481" s="451"/>
      <c r="AR481" s="449"/>
      <c r="AS481" s="449"/>
      <c r="AT481" s="451"/>
      <c r="AU481" s="449"/>
      <c r="AV481" s="451"/>
      <c r="AW481" s="449"/>
      <c r="AX481" s="449"/>
      <c r="AY481" s="449"/>
      <c r="AZ481" s="449"/>
      <c r="BA481" s="449"/>
      <c r="BB481" s="449"/>
      <c r="BC481" s="449"/>
      <c r="BD481" s="449"/>
      <c r="BE481" s="449"/>
      <c r="BF481" s="449"/>
      <c r="BG481" s="449"/>
      <c r="BH481" s="449"/>
      <c r="BI481" s="449"/>
      <c r="BJ481" s="449"/>
      <c r="BK481" s="449"/>
      <c r="BL481" s="449"/>
      <c r="BM481" s="449"/>
      <c r="BN481" s="449"/>
    </row>
    <row r="482" spans="1:66" ht="13.15" x14ac:dyDescent="0.4">
      <c r="A482" s="430"/>
      <c r="B482" s="430"/>
      <c r="C482" s="430"/>
      <c r="D482" s="430"/>
      <c r="E482" s="430"/>
      <c r="F482" s="430"/>
      <c r="G482" s="430"/>
      <c r="H482" s="461"/>
      <c r="I482" s="438"/>
      <c r="J482" s="438"/>
      <c r="K482" s="438"/>
      <c r="L482" s="430"/>
      <c r="M482" s="430"/>
      <c r="N482" s="461"/>
      <c r="O482" s="461"/>
      <c r="P482" s="430"/>
      <c r="Q482" s="430"/>
      <c r="R482" s="430"/>
      <c r="S482" s="430"/>
      <c r="T482" s="430"/>
      <c r="U482" s="430"/>
      <c r="V482" s="430"/>
      <c r="W482" s="430"/>
      <c r="X482" s="449"/>
      <c r="Y482" s="449"/>
      <c r="Z482" s="450"/>
      <c r="AA482" s="449"/>
      <c r="AB482" s="451"/>
      <c r="AC482" s="450"/>
      <c r="AD482" s="449"/>
      <c r="AE482" s="451"/>
      <c r="AF482" s="450"/>
      <c r="AG482" s="449"/>
      <c r="AH482" s="451"/>
      <c r="AI482" s="450"/>
      <c r="AJ482" s="449"/>
      <c r="AK482" s="451"/>
      <c r="AL482" s="450"/>
      <c r="AM482" s="449"/>
      <c r="AN482" s="451"/>
      <c r="AO482" s="450"/>
      <c r="AP482" s="449"/>
      <c r="AQ482" s="451"/>
      <c r="AR482" s="449"/>
      <c r="AS482" s="449"/>
      <c r="AT482" s="451"/>
      <c r="AU482" s="449"/>
      <c r="AV482" s="451"/>
      <c r="AW482" s="449"/>
      <c r="AX482" s="449"/>
      <c r="AY482" s="449"/>
      <c r="AZ482" s="449"/>
      <c r="BA482" s="449"/>
      <c r="BB482" s="449"/>
      <c r="BC482" s="449"/>
      <c r="BD482" s="449"/>
      <c r="BE482" s="449"/>
      <c r="BF482" s="449"/>
      <c r="BG482" s="449"/>
      <c r="BH482" s="449"/>
      <c r="BI482" s="449"/>
      <c r="BJ482" s="449"/>
      <c r="BK482" s="449"/>
      <c r="BL482" s="449"/>
      <c r="BM482" s="449"/>
      <c r="BN482" s="449"/>
    </row>
    <row r="483" spans="1:66" ht="13.15" x14ac:dyDescent="0.4">
      <c r="A483" s="430"/>
      <c r="B483" s="430"/>
      <c r="C483" s="430"/>
      <c r="D483" s="430"/>
      <c r="E483" s="430"/>
      <c r="F483" s="430"/>
      <c r="G483" s="430"/>
      <c r="H483" s="461"/>
      <c r="I483" s="438"/>
      <c r="J483" s="438"/>
      <c r="K483" s="438"/>
      <c r="L483" s="430"/>
      <c r="M483" s="430"/>
      <c r="N483" s="461"/>
      <c r="O483" s="461"/>
      <c r="P483" s="430"/>
      <c r="Q483" s="430"/>
      <c r="R483" s="430"/>
      <c r="S483" s="430"/>
      <c r="T483" s="430"/>
      <c r="U483" s="430"/>
      <c r="V483" s="430"/>
      <c r="W483" s="430"/>
      <c r="X483" s="449"/>
      <c r="Y483" s="449"/>
      <c r="Z483" s="450"/>
      <c r="AA483" s="449"/>
      <c r="AB483" s="451"/>
      <c r="AC483" s="450"/>
      <c r="AD483" s="449"/>
      <c r="AE483" s="451"/>
      <c r="AF483" s="450"/>
      <c r="AG483" s="449"/>
      <c r="AH483" s="451"/>
      <c r="AI483" s="450"/>
      <c r="AJ483" s="449"/>
      <c r="AK483" s="451"/>
      <c r="AL483" s="450"/>
      <c r="AM483" s="449"/>
      <c r="AN483" s="451"/>
      <c r="AO483" s="450"/>
      <c r="AP483" s="449"/>
      <c r="AQ483" s="451"/>
      <c r="AR483" s="449"/>
      <c r="AS483" s="449"/>
      <c r="AT483" s="451"/>
      <c r="AU483" s="449"/>
      <c r="AV483" s="451"/>
      <c r="AW483" s="449"/>
      <c r="AX483" s="449"/>
      <c r="AY483" s="449"/>
      <c r="AZ483" s="449"/>
      <c r="BA483" s="449"/>
      <c r="BB483" s="449"/>
      <c r="BC483" s="449"/>
      <c r="BD483" s="449"/>
      <c r="BE483" s="449"/>
      <c r="BF483" s="449"/>
      <c r="BG483" s="449"/>
      <c r="BH483" s="449"/>
      <c r="BI483" s="449"/>
      <c r="BJ483" s="449"/>
      <c r="BK483" s="449"/>
      <c r="BL483" s="449"/>
      <c r="BM483" s="449"/>
      <c r="BN483" s="449"/>
    </row>
    <row r="484" spans="1:66" ht="13.15" x14ac:dyDescent="0.4">
      <c r="A484" s="430"/>
      <c r="B484" s="430"/>
      <c r="C484" s="430"/>
      <c r="D484" s="430"/>
      <c r="E484" s="430"/>
      <c r="F484" s="430"/>
      <c r="G484" s="430"/>
      <c r="H484" s="461"/>
      <c r="I484" s="438"/>
      <c r="J484" s="438"/>
      <c r="K484" s="438"/>
      <c r="L484" s="430"/>
      <c r="M484" s="430"/>
      <c r="N484" s="461"/>
      <c r="O484" s="461"/>
      <c r="P484" s="430"/>
      <c r="Q484" s="430"/>
      <c r="R484" s="430"/>
      <c r="S484" s="430"/>
      <c r="T484" s="430"/>
      <c r="U484" s="430"/>
      <c r="V484" s="430"/>
      <c r="W484" s="430"/>
      <c r="X484" s="449"/>
      <c r="Y484" s="449"/>
      <c r="Z484" s="450"/>
      <c r="AA484" s="449"/>
      <c r="AB484" s="451"/>
      <c r="AC484" s="450"/>
      <c r="AD484" s="449"/>
      <c r="AE484" s="451"/>
      <c r="AF484" s="450"/>
      <c r="AG484" s="449"/>
      <c r="AH484" s="451"/>
      <c r="AI484" s="450"/>
      <c r="AJ484" s="449"/>
      <c r="AK484" s="451"/>
      <c r="AL484" s="450"/>
      <c r="AM484" s="449"/>
      <c r="AN484" s="451"/>
      <c r="AO484" s="450"/>
      <c r="AP484" s="449"/>
      <c r="AQ484" s="451"/>
      <c r="AR484" s="449"/>
      <c r="AS484" s="449"/>
      <c r="AT484" s="451"/>
      <c r="AU484" s="449"/>
      <c r="AV484" s="451"/>
      <c r="AW484" s="449"/>
      <c r="AX484" s="449"/>
      <c r="AY484" s="449"/>
      <c r="AZ484" s="449"/>
      <c r="BA484" s="449"/>
      <c r="BB484" s="449"/>
      <c r="BC484" s="449"/>
      <c r="BD484" s="449"/>
      <c r="BE484" s="449"/>
      <c r="BF484" s="449"/>
      <c r="BG484" s="449"/>
      <c r="BH484" s="449"/>
      <c r="BI484" s="449"/>
      <c r="BJ484" s="449"/>
      <c r="BK484" s="449"/>
      <c r="BL484" s="449"/>
      <c r="BM484" s="449"/>
      <c r="BN484" s="449"/>
    </row>
    <row r="485" spans="1:66" ht="13.15" x14ac:dyDescent="0.4">
      <c r="A485" s="430"/>
      <c r="B485" s="430"/>
      <c r="C485" s="430"/>
      <c r="D485" s="430"/>
      <c r="E485" s="430"/>
      <c r="F485" s="430"/>
      <c r="G485" s="430"/>
      <c r="H485" s="461"/>
      <c r="I485" s="438"/>
      <c r="J485" s="438"/>
      <c r="K485" s="438"/>
      <c r="L485" s="430"/>
      <c r="M485" s="430"/>
      <c r="N485" s="461"/>
      <c r="O485" s="461"/>
      <c r="P485" s="430"/>
      <c r="Q485" s="430"/>
      <c r="R485" s="430"/>
      <c r="S485" s="430"/>
      <c r="T485" s="430"/>
      <c r="U485" s="430"/>
      <c r="V485" s="430"/>
      <c r="W485" s="430"/>
      <c r="X485" s="449"/>
      <c r="Y485" s="449"/>
      <c r="Z485" s="450"/>
      <c r="AA485" s="449"/>
      <c r="AB485" s="451"/>
      <c r="AC485" s="450"/>
      <c r="AD485" s="449"/>
      <c r="AE485" s="451"/>
      <c r="AF485" s="450"/>
      <c r="AG485" s="449"/>
      <c r="AH485" s="451"/>
      <c r="AI485" s="450"/>
      <c r="AJ485" s="449"/>
      <c r="AK485" s="451"/>
      <c r="AL485" s="450"/>
      <c r="AM485" s="449"/>
      <c r="AN485" s="451"/>
      <c r="AO485" s="450"/>
      <c r="AP485" s="449"/>
      <c r="AQ485" s="451"/>
      <c r="AR485" s="449"/>
      <c r="AS485" s="449"/>
      <c r="AT485" s="451"/>
      <c r="AU485" s="449"/>
      <c r="AV485" s="451"/>
      <c r="AW485" s="449"/>
      <c r="AX485" s="449"/>
      <c r="AY485" s="449"/>
      <c r="AZ485" s="449"/>
      <c r="BA485" s="449"/>
      <c r="BB485" s="449"/>
      <c r="BC485" s="449"/>
      <c r="BD485" s="449"/>
      <c r="BE485" s="449"/>
      <c r="BF485" s="449"/>
      <c r="BG485" s="449"/>
      <c r="BH485" s="449"/>
      <c r="BI485" s="449"/>
      <c r="BJ485" s="449"/>
      <c r="BK485" s="449"/>
      <c r="BL485" s="449"/>
      <c r="BM485" s="449"/>
      <c r="BN485" s="449"/>
    </row>
    <row r="486" spans="1:66" ht="13.15" x14ac:dyDescent="0.4">
      <c r="A486" s="430"/>
      <c r="B486" s="430"/>
      <c r="C486" s="430"/>
      <c r="D486" s="430"/>
      <c r="E486" s="430"/>
      <c r="F486" s="430"/>
      <c r="G486" s="430"/>
      <c r="H486" s="461"/>
      <c r="I486" s="438"/>
      <c r="J486" s="438"/>
      <c r="K486" s="438"/>
      <c r="L486" s="430"/>
      <c r="M486" s="430"/>
      <c r="N486" s="461"/>
      <c r="O486" s="461"/>
      <c r="P486" s="430"/>
      <c r="Q486" s="430"/>
      <c r="R486" s="430"/>
      <c r="S486" s="430"/>
      <c r="T486" s="430"/>
      <c r="U486" s="430"/>
      <c r="V486" s="430"/>
      <c r="W486" s="430"/>
      <c r="X486" s="449"/>
      <c r="Y486" s="449"/>
      <c r="Z486" s="450"/>
      <c r="AA486" s="449"/>
      <c r="AB486" s="451"/>
      <c r="AC486" s="450"/>
      <c r="AD486" s="449"/>
      <c r="AE486" s="451"/>
      <c r="AF486" s="450"/>
      <c r="AG486" s="449"/>
      <c r="AH486" s="451"/>
      <c r="AI486" s="450"/>
      <c r="AJ486" s="449"/>
      <c r="AK486" s="451"/>
      <c r="AL486" s="450"/>
      <c r="AM486" s="449"/>
      <c r="AN486" s="451"/>
      <c r="AO486" s="450"/>
      <c r="AP486" s="449"/>
      <c r="AQ486" s="451"/>
      <c r="AR486" s="449"/>
      <c r="AS486" s="449"/>
      <c r="AT486" s="451"/>
      <c r="AU486" s="449"/>
      <c r="AV486" s="451"/>
      <c r="AW486" s="449"/>
      <c r="AX486" s="449"/>
      <c r="AY486" s="449"/>
      <c r="AZ486" s="449"/>
      <c r="BA486" s="449"/>
      <c r="BB486" s="449"/>
      <c r="BC486" s="449"/>
      <c r="BD486" s="449"/>
      <c r="BE486" s="449"/>
      <c r="BF486" s="449"/>
      <c r="BG486" s="449"/>
      <c r="BH486" s="449"/>
      <c r="BI486" s="449"/>
      <c r="BJ486" s="449"/>
      <c r="BK486" s="449"/>
      <c r="BL486" s="449"/>
      <c r="BM486" s="449"/>
      <c r="BN486" s="449"/>
    </row>
    <row r="487" spans="1:66" ht="13.15" x14ac:dyDescent="0.4">
      <c r="A487" s="430"/>
      <c r="B487" s="430"/>
      <c r="C487" s="430"/>
      <c r="D487" s="430"/>
      <c r="E487" s="430"/>
      <c r="F487" s="430"/>
      <c r="G487" s="430"/>
      <c r="H487" s="461"/>
      <c r="I487" s="438"/>
      <c r="J487" s="438"/>
      <c r="K487" s="438"/>
      <c r="L487" s="430"/>
      <c r="M487" s="430"/>
      <c r="N487" s="461"/>
      <c r="O487" s="461"/>
      <c r="P487" s="430"/>
      <c r="Q487" s="430"/>
      <c r="R487" s="430"/>
      <c r="S487" s="430"/>
      <c r="T487" s="430"/>
      <c r="U487" s="430"/>
      <c r="V487" s="430"/>
      <c r="W487" s="430"/>
      <c r="X487" s="449"/>
      <c r="Y487" s="449"/>
      <c r="Z487" s="450"/>
      <c r="AA487" s="449"/>
      <c r="AB487" s="451"/>
      <c r="AC487" s="450"/>
      <c r="AD487" s="449"/>
      <c r="AE487" s="451"/>
      <c r="AF487" s="450"/>
      <c r="AG487" s="449"/>
      <c r="AH487" s="451"/>
      <c r="AI487" s="450"/>
      <c r="AJ487" s="449"/>
      <c r="AK487" s="451"/>
      <c r="AL487" s="450"/>
      <c r="AM487" s="449"/>
      <c r="AN487" s="451"/>
      <c r="AO487" s="450"/>
      <c r="AP487" s="449"/>
      <c r="AQ487" s="451"/>
      <c r="AR487" s="449"/>
      <c r="AS487" s="449"/>
      <c r="AT487" s="451"/>
      <c r="AU487" s="449"/>
      <c r="AV487" s="451"/>
      <c r="AW487" s="449"/>
      <c r="AX487" s="449"/>
      <c r="AY487" s="449"/>
      <c r="AZ487" s="449"/>
      <c r="BA487" s="449"/>
      <c r="BB487" s="449"/>
      <c r="BC487" s="449"/>
      <c r="BD487" s="449"/>
      <c r="BE487" s="449"/>
      <c r="BF487" s="449"/>
      <c r="BG487" s="449"/>
      <c r="BH487" s="449"/>
      <c r="BI487" s="449"/>
      <c r="BJ487" s="449"/>
      <c r="BK487" s="449"/>
      <c r="BL487" s="449"/>
      <c r="BM487" s="449"/>
      <c r="BN487" s="449"/>
    </row>
    <row r="488" spans="1:66" ht="13.15" x14ac:dyDescent="0.4">
      <c r="A488" s="430"/>
      <c r="B488" s="430"/>
      <c r="C488" s="430"/>
      <c r="D488" s="430"/>
      <c r="E488" s="430"/>
      <c r="F488" s="430"/>
      <c r="G488" s="430"/>
      <c r="H488" s="461"/>
      <c r="I488" s="438"/>
      <c r="J488" s="438"/>
      <c r="K488" s="438"/>
      <c r="L488" s="430"/>
      <c r="M488" s="430"/>
      <c r="N488" s="461"/>
      <c r="O488" s="461"/>
      <c r="P488" s="430"/>
      <c r="Q488" s="430"/>
      <c r="R488" s="430"/>
      <c r="S488" s="430"/>
      <c r="T488" s="430"/>
      <c r="U488" s="430"/>
      <c r="V488" s="430"/>
      <c r="W488" s="430"/>
      <c r="X488" s="449"/>
      <c r="Y488" s="449"/>
      <c r="Z488" s="450"/>
      <c r="AA488" s="449"/>
      <c r="AB488" s="451"/>
      <c r="AC488" s="450"/>
      <c r="AD488" s="449"/>
      <c r="AE488" s="451"/>
      <c r="AF488" s="450"/>
      <c r="AG488" s="449"/>
      <c r="AH488" s="451"/>
      <c r="AI488" s="450"/>
      <c r="AJ488" s="449"/>
      <c r="AK488" s="451"/>
      <c r="AL488" s="450"/>
      <c r="AM488" s="449"/>
      <c r="AN488" s="451"/>
      <c r="AO488" s="450"/>
      <c r="AP488" s="449"/>
      <c r="AQ488" s="451"/>
      <c r="AR488" s="449"/>
      <c r="AS488" s="449"/>
      <c r="AT488" s="451"/>
      <c r="AU488" s="449"/>
      <c r="AV488" s="451"/>
      <c r="AW488" s="449"/>
      <c r="AX488" s="449"/>
      <c r="AY488" s="449"/>
      <c r="AZ488" s="449"/>
      <c r="BA488" s="449"/>
      <c r="BB488" s="449"/>
      <c r="BC488" s="449"/>
      <c r="BD488" s="449"/>
      <c r="BE488" s="449"/>
      <c r="BF488" s="449"/>
      <c r="BG488" s="449"/>
      <c r="BH488" s="449"/>
      <c r="BI488" s="449"/>
      <c r="BJ488" s="449"/>
      <c r="BK488" s="449"/>
      <c r="BL488" s="449"/>
      <c r="BM488" s="449"/>
      <c r="BN488" s="449"/>
    </row>
    <row r="489" spans="1:66" ht="13.15" x14ac:dyDescent="0.4">
      <c r="A489" s="430"/>
      <c r="B489" s="430"/>
      <c r="C489" s="430"/>
      <c r="D489" s="430"/>
      <c r="E489" s="430"/>
      <c r="F489" s="430"/>
      <c r="G489" s="430"/>
      <c r="H489" s="461"/>
      <c r="I489" s="438"/>
      <c r="J489" s="438"/>
      <c r="K489" s="438"/>
      <c r="L489" s="430"/>
      <c r="M489" s="430"/>
      <c r="N489" s="461"/>
      <c r="O489" s="461"/>
      <c r="P489" s="430"/>
      <c r="Q489" s="430"/>
      <c r="R489" s="430"/>
      <c r="S489" s="430"/>
      <c r="T489" s="430"/>
      <c r="U489" s="430"/>
      <c r="V489" s="430"/>
      <c r="W489" s="430"/>
      <c r="X489" s="449"/>
      <c r="Y489" s="449"/>
      <c r="Z489" s="450"/>
      <c r="AA489" s="449"/>
      <c r="AB489" s="451"/>
      <c r="AC489" s="450"/>
      <c r="AD489" s="449"/>
      <c r="AE489" s="451"/>
      <c r="AF489" s="450"/>
      <c r="AG489" s="449"/>
      <c r="AH489" s="451"/>
      <c r="AI489" s="450"/>
      <c r="AJ489" s="449"/>
      <c r="AK489" s="451"/>
      <c r="AL489" s="450"/>
      <c r="AM489" s="449"/>
      <c r="AN489" s="451"/>
      <c r="AO489" s="450"/>
      <c r="AP489" s="449"/>
      <c r="AQ489" s="451"/>
      <c r="AR489" s="449"/>
      <c r="AS489" s="449"/>
      <c r="AT489" s="451"/>
      <c r="AU489" s="449"/>
      <c r="AV489" s="451"/>
      <c r="AW489" s="449"/>
      <c r="AX489" s="449"/>
      <c r="AY489" s="449"/>
      <c r="AZ489" s="449"/>
      <c r="BA489" s="449"/>
      <c r="BB489" s="449"/>
      <c r="BC489" s="449"/>
      <c r="BD489" s="449"/>
      <c r="BE489" s="449"/>
      <c r="BF489" s="449"/>
      <c r="BG489" s="449"/>
      <c r="BH489" s="449"/>
      <c r="BI489" s="449"/>
      <c r="BJ489" s="449"/>
      <c r="BK489" s="449"/>
      <c r="BL489" s="449"/>
      <c r="BM489" s="449"/>
      <c r="BN489" s="449"/>
    </row>
    <row r="490" spans="1:66" ht="13.15" x14ac:dyDescent="0.4">
      <c r="A490" s="430"/>
      <c r="B490" s="430"/>
      <c r="C490" s="430"/>
      <c r="D490" s="430"/>
      <c r="E490" s="430"/>
      <c r="F490" s="430"/>
      <c r="G490" s="430"/>
      <c r="H490" s="461"/>
      <c r="I490" s="438"/>
      <c r="J490" s="438"/>
      <c r="K490" s="438"/>
      <c r="L490" s="430"/>
      <c r="M490" s="430"/>
      <c r="N490" s="461"/>
      <c r="O490" s="461"/>
      <c r="P490" s="430"/>
      <c r="Q490" s="430"/>
      <c r="R490" s="430"/>
      <c r="S490" s="430"/>
      <c r="T490" s="430"/>
      <c r="U490" s="430"/>
      <c r="V490" s="430"/>
      <c r="W490" s="430"/>
      <c r="X490" s="449"/>
      <c r="Y490" s="449"/>
      <c r="Z490" s="450"/>
      <c r="AA490" s="449"/>
      <c r="AB490" s="451"/>
      <c r="AC490" s="450"/>
      <c r="AD490" s="449"/>
      <c r="AE490" s="451"/>
      <c r="AF490" s="450"/>
      <c r="AG490" s="449"/>
      <c r="AH490" s="451"/>
      <c r="AI490" s="450"/>
      <c r="AJ490" s="449"/>
      <c r="AK490" s="451"/>
      <c r="AL490" s="450"/>
      <c r="AM490" s="449"/>
      <c r="AN490" s="451"/>
      <c r="AO490" s="450"/>
      <c r="AP490" s="449"/>
      <c r="AQ490" s="451"/>
      <c r="AR490" s="449"/>
      <c r="AS490" s="449"/>
      <c r="AT490" s="451"/>
      <c r="AU490" s="449"/>
      <c r="AV490" s="451"/>
      <c r="AW490" s="449"/>
      <c r="AX490" s="449"/>
      <c r="AY490" s="449"/>
      <c r="AZ490" s="449"/>
      <c r="BA490" s="449"/>
      <c r="BB490" s="449"/>
      <c r="BC490" s="449"/>
      <c r="BD490" s="449"/>
      <c r="BE490" s="449"/>
      <c r="BF490" s="449"/>
      <c r="BG490" s="449"/>
      <c r="BH490" s="449"/>
      <c r="BI490" s="449"/>
      <c r="BJ490" s="449"/>
      <c r="BK490" s="449"/>
      <c r="BL490" s="449"/>
      <c r="BM490" s="449"/>
      <c r="BN490" s="449"/>
    </row>
    <row r="491" spans="1:66" ht="13.15" x14ac:dyDescent="0.4">
      <c r="A491" s="430"/>
      <c r="B491" s="430"/>
      <c r="C491" s="430"/>
      <c r="D491" s="430"/>
      <c r="E491" s="430"/>
      <c r="F491" s="430"/>
      <c r="G491" s="430"/>
      <c r="H491" s="461"/>
      <c r="I491" s="438"/>
      <c r="J491" s="438"/>
      <c r="K491" s="438"/>
      <c r="L491" s="430"/>
      <c r="M491" s="430"/>
      <c r="N491" s="461"/>
      <c r="O491" s="461"/>
      <c r="P491" s="430"/>
      <c r="Q491" s="430"/>
      <c r="R491" s="430"/>
      <c r="S491" s="430"/>
      <c r="T491" s="430"/>
      <c r="U491" s="430"/>
      <c r="V491" s="430"/>
      <c r="W491" s="430"/>
      <c r="X491" s="449"/>
      <c r="Y491" s="449"/>
      <c r="Z491" s="450"/>
      <c r="AA491" s="449"/>
      <c r="AB491" s="451"/>
      <c r="AC491" s="450"/>
      <c r="AD491" s="449"/>
      <c r="AE491" s="451"/>
      <c r="AF491" s="450"/>
      <c r="AG491" s="449"/>
      <c r="AH491" s="451"/>
      <c r="AI491" s="450"/>
      <c r="AJ491" s="449"/>
      <c r="AK491" s="451"/>
      <c r="AL491" s="450"/>
      <c r="AM491" s="449"/>
      <c r="AN491" s="451"/>
      <c r="AO491" s="450"/>
      <c r="AP491" s="449"/>
      <c r="AQ491" s="451"/>
      <c r="AR491" s="449"/>
      <c r="AS491" s="449"/>
      <c r="AT491" s="451"/>
      <c r="AU491" s="449"/>
      <c r="AV491" s="451"/>
      <c r="AW491" s="449"/>
      <c r="AX491" s="449"/>
      <c r="AY491" s="449"/>
      <c r="AZ491" s="449"/>
      <c r="BA491" s="449"/>
      <c r="BB491" s="449"/>
      <c r="BC491" s="449"/>
      <c r="BD491" s="449"/>
      <c r="BE491" s="449"/>
      <c r="BF491" s="449"/>
      <c r="BG491" s="449"/>
      <c r="BH491" s="449"/>
      <c r="BI491" s="449"/>
      <c r="BJ491" s="449"/>
      <c r="BK491" s="449"/>
      <c r="BL491" s="449"/>
      <c r="BM491" s="449"/>
      <c r="BN491" s="449"/>
    </row>
    <row r="492" spans="1:66" ht="13.15" x14ac:dyDescent="0.4">
      <c r="A492" s="430"/>
      <c r="B492" s="430"/>
      <c r="C492" s="430"/>
      <c r="D492" s="430"/>
      <c r="E492" s="430"/>
      <c r="F492" s="430"/>
      <c r="G492" s="430"/>
      <c r="H492" s="461"/>
      <c r="I492" s="438"/>
      <c r="J492" s="438"/>
      <c r="K492" s="438"/>
      <c r="L492" s="430"/>
      <c r="M492" s="430"/>
      <c r="N492" s="461"/>
      <c r="O492" s="461"/>
      <c r="P492" s="430"/>
      <c r="Q492" s="430"/>
      <c r="R492" s="430"/>
      <c r="S492" s="430"/>
      <c r="T492" s="430"/>
      <c r="U492" s="430"/>
      <c r="V492" s="430"/>
      <c r="W492" s="430"/>
      <c r="X492" s="449"/>
      <c r="Y492" s="449"/>
      <c r="Z492" s="450"/>
      <c r="AA492" s="449"/>
      <c r="AB492" s="451"/>
      <c r="AC492" s="450"/>
      <c r="AD492" s="449"/>
      <c r="AE492" s="451"/>
      <c r="AF492" s="450"/>
      <c r="AG492" s="449"/>
      <c r="AH492" s="451"/>
      <c r="AI492" s="450"/>
      <c r="AJ492" s="449"/>
      <c r="AK492" s="451"/>
      <c r="AL492" s="450"/>
      <c r="AM492" s="449"/>
      <c r="AN492" s="451"/>
      <c r="AO492" s="450"/>
      <c r="AP492" s="449"/>
      <c r="AQ492" s="451"/>
      <c r="AR492" s="449"/>
      <c r="AS492" s="449"/>
      <c r="AT492" s="451"/>
      <c r="AU492" s="449"/>
      <c r="AV492" s="451"/>
      <c r="AW492" s="449"/>
      <c r="AX492" s="449"/>
      <c r="AY492" s="449"/>
      <c r="AZ492" s="449"/>
      <c r="BA492" s="449"/>
      <c r="BB492" s="449"/>
      <c r="BC492" s="449"/>
      <c r="BD492" s="449"/>
      <c r="BE492" s="449"/>
      <c r="BF492" s="449"/>
      <c r="BG492" s="449"/>
      <c r="BH492" s="449"/>
      <c r="BI492" s="449"/>
      <c r="BJ492" s="449"/>
      <c r="BK492" s="449"/>
      <c r="BL492" s="449"/>
      <c r="BM492" s="449"/>
      <c r="BN492" s="449"/>
    </row>
    <row r="493" spans="1:66" ht="13.15" x14ac:dyDescent="0.4">
      <c r="A493" s="430"/>
      <c r="B493" s="430"/>
      <c r="C493" s="430"/>
      <c r="D493" s="430"/>
      <c r="E493" s="430"/>
      <c r="F493" s="430"/>
      <c r="G493" s="430"/>
      <c r="H493" s="461"/>
      <c r="I493" s="438"/>
      <c r="J493" s="438"/>
      <c r="K493" s="438"/>
      <c r="L493" s="430"/>
      <c r="M493" s="430"/>
      <c r="N493" s="461"/>
      <c r="O493" s="461"/>
      <c r="P493" s="430"/>
      <c r="Q493" s="430"/>
      <c r="R493" s="430"/>
      <c r="S493" s="430"/>
      <c r="T493" s="430"/>
      <c r="U493" s="430"/>
      <c r="V493" s="430"/>
      <c r="W493" s="430"/>
      <c r="X493" s="449"/>
      <c r="Y493" s="449"/>
      <c r="Z493" s="450"/>
      <c r="AA493" s="449"/>
      <c r="AB493" s="451"/>
      <c r="AC493" s="450"/>
      <c r="AD493" s="449"/>
      <c r="AE493" s="451"/>
      <c r="AF493" s="450"/>
      <c r="AG493" s="449"/>
      <c r="AH493" s="451"/>
      <c r="AI493" s="450"/>
      <c r="AJ493" s="449"/>
      <c r="AK493" s="451"/>
      <c r="AL493" s="450"/>
      <c r="AM493" s="449"/>
      <c r="AN493" s="451"/>
      <c r="AO493" s="450"/>
      <c r="AP493" s="449"/>
      <c r="AQ493" s="451"/>
      <c r="AR493" s="449"/>
      <c r="AS493" s="449"/>
      <c r="AT493" s="451"/>
      <c r="AU493" s="449"/>
      <c r="AV493" s="451"/>
      <c r="AW493" s="449"/>
      <c r="AX493" s="449"/>
      <c r="AY493" s="449"/>
      <c r="AZ493" s="449"/>
      <c r="BA493" s="449"/>
      <c r="BB493" s="449"/>
      <c r="BC493" s="449"/>
      <c r="BD493" s="449"/>
      <c r="BE493" s="449"/>
      <c r="BF493" s="449"/>
      <c r="BG493" s="449"/>
      <c r="BH493" s="449"/>
      <c r="BI493" s="449"/>
      <c r="BJ493" s="449"/>
      <c r="BK493" s="449"/>
      <c r="BL493" s="449"/>
      <c r="BM493" s="449"/>
      <c r="BN493" s="449"/>
    </row>
    <row r="494" spans="1:66" ht="13.15" x14ac:dyDescent="0.4">
      <c r="A494" s="430"/>
      <c r="B494" s="430"/>
      <c r="C494" s="430"/>
      <c r="D494" s="430"/>
      <c r="E494" s="430"/>
      <c r="F494" s="430"/>
      <c r="G494" s="430"/>
      <c r="H494" s="461"/>
      <c r="I494" s="438"/>
      <c r="J494" s="438"/>
      <c r="K494" s="438"/>
      <c r="L494" s="430"/>
      <c r="M494" s="430"/>
      <c r="N494" s="461"/>
      <c r="O494" s="461"/>
      <c r="P494" s="430"/>
      <c r="Q494" s="430"/>
      <c r="R494" s="430"/>
      <c r="S494" s="430"/>
      <c r="T494" s="430"/>
      <c r="U494" s="430"/>
      <c r="V494" s="430"/>
      <c r="W494" s="430"/>
      <c r="X494" s="449"/>
      <c r="Y494" s="449"/>
      <c r="Z494" s="450"/>
      <c r="AA494" s="449"/>
      <c r="AB494" s="451"/>
      <c r="AC494" s="450"/>
      <c r="AD494" s="449"/>
      <c r="AE494" s="451"/>
      <c r="AF494" s="450"/>
      <c r="AG494" s="449"/>
      <c r="AH494" s="451"/>
      <c r="AI494" s="450"/>
      <c r="AJ494" s="449"/>
      <c r="AK494" s="451"/>
      <c r="AL494" s="450"/>
      <c r="AM494" s="449"/>
      <c r="AN494" s="451"/>
      <c r="AO494" s="450"/>
      <c r="AP494" s="449"/>
      <c r="AQ494" s="451"/>
      <c r="AR494" s="449"/>
      <c r="AS494" s="449"/>
      <c r="AT494" s="451"/>
      <c r="AU494" s="449"/>
      <c r="AV494" s="451"/>
      <c r="AW494" s="449"/>
      <c r="AX494" s="449"/>
      <c r="AY494" s="449"/>
      <c r="AZ494" s="449"/>
      <c r="BA494" s="449"/>
      <c r="BB494" s="449"/>
      <c r="BC494" s="449"/>
      <c r="BD494" s="449"/>
      <c r="BE494" s="449"/>
      <c r="BF494" s="449"/>
      <c r="BG494" s="449"/>
      <c r="BH494" s="449"/>
      <c r="BI494" s="449"/>
      <c r="BJ494" s="449"/>
      <c r="BK494" s="449"/>
      <c r="BL494" s="449"/>
      <c r="BM494" s="449"/>
      <c r="BN494" s="449"/>
    </row>
    <row r="495" spans="1:66" ht="13.15" x14ac:dyDescent="0.4">
      <c r="A495" s="430"/>
      <c r="B495" s="430"/>
      <c r="C495" s="430"/>
      <c r="D495" s="430"/>
      <c r="E495" s="430"/>
      <c r="F495" s="430"/>
      <c r="G495" s="430"/>
      <c r="H495" s="461"/>
      <c r="I495" s="438"/>
      <c r="J495" s="438"/>
      <c r="K495" s="438"/>
      <c r="L495" s="430"/>
      <c r="M495" s="430"/>
      <c r="N495" s="461"/>
      <c r="O495" s="461"/>
      <c r="P495" s="430"/>
      <c r="Q495" s="430"/>
      <c r="R495" s="430"/>
      <c r="S495" s="430"/>
      <c r="T495" s="430"/>
      <c r="U495" s="430"/>
      <c r="V495" s="430"/>
      <c r="W495" s="430"/>
      <c r="X495" s="449"/>
      <c r="Y495" s="449"/>
      <c r="Z495" s="450"/>
      <c r="AA495" s="449"/>
      <c r="AB495" s="451"/>
      <c r="AC495" s="450"/>
      <c r="AD495" s="449"/>
      <c r="AE495" s="451"/>
      <c r="AF495" s="450"/>
      <c r="AG495" s="449"/>
      <c r="AH495" s="451"/>
      <c r="AI495" s="450"/>
      <c r="AJ495" s="449"/>
      <c r="AK495" s="451"/>
      <c r="AL495" s="450"/>
      <c r="AM495" s="449"/>
      <c r="AN495" s="451"/>
      <c r="AO495" s="450"/>
      <c r="AP495" s="449"/>
      <c r="AQ495" s="451"/>
      <c r="AR495" s="449"/>
      <c r="AS495" s="449"/>
      <c r="AT495" s="451"/>
      <c r="AU495" s="449"/>
      <c r="AV495" s="451"/>
      <c r="AW495" s="449"/>
      <c r="AX495" s="449"/>
      <c r="AY495" s="449"/>
      <c r="AZ495" s="449"/>
      <c r="BA495" s="449"/>
      <c r="BB495" s="449"/>
      <c r="BC495" s="449"/>
      <c r="BD495" s="449"/>
      <c r="BE495" s="449"/>
      <c r="BF495" s="449"/>
      <c r="BG495" s="449"/>
      <c r="BH495" s="449"/>
      <c r="BI495" s="449"/>
      <c r="BJ495" s="449"/>
      <c r="BK495" s="449"/>
      <c r="BL495" s="449"/>
      <c r="BM495" s="449"/>
      <c r="BN495" s="449"/>
    </row>
    <row r="496" spans="1:66" ht="13.15" x14ac:dyDescent="0.4">
      <c r="A496" s="430"/>
      <c r="B496" s="430"/>
      <c r="C496" s="430"/>
      <c r="D496" s="430"/>
      <c r="E496" s="430"/>
      <c r="F496" s="430"/>
      <c r="G496" s="430"/>
      <c r="H496" s="461"/>
      <c r="I496" s="438"/>
      <c r="J496" s="438"/>
      <c r="K496" s="438"/>
      <c r="L496" s="430"/>
      <c r="M496" s="430"/>
      <c r="N496" s="461"/>
      <c r="O496" s="461"/>
      <c r="P496" s="430"/>
      <c r="Q496" s="430"/>
      <c r="R496" s="430"/>
      <c r="S496" s="430"/>
      <c r="T496" s="430"/>
      <c r="U496" s="430"/>
      <c r="V496" s="430"/>
      <c r="W496" s="430"/>
      <c r="X496" s="449"/>
      <c r="Y496" s="449"/>
      <c r="Z496" s="450"/>
      <c r="AA496" s="449"/>
      <c r="AB496" s="451"/>
      <c r="AC496" s="450"/>
      <c r="AD496" s="449"/>
      <c r="AE496" s="451"/>
      <c r="AF496" s="450"/>
      <c r="AG496" s="449"/>
      <c r="AH496" s="451"/>
      <c r="AI496" s="450"/>
      <c r="AJ496" s="449"/>
      <c r="AK496" s="451"/>
      <c r="AL496" s="450"/>
      <c r="AM496" s="449"/>
      <c r="AN496" s="451"/>
      <c r="AO496" s="450"/>
      <c r="AP496" s="449"/>
      <c r="AQ496" s="451"/>
      <c r="AR496" s="449"/>
      <c r="AS496" s="449"/>
      <c r="AT496" s="451"/>
      <c r="AU496" s="449"/>
      <c r="AV496" s="451"/>
      <c r="AW496" s="449"/>
      <c r="AX496" s="449"/>
      <c r="AY496" s="449"/>
      <c r="AZ496" s="449"/>
      <c r="BA496" s="449"/>
      <c r="BB496" s="449"/>
      <c r="BC496" s="449"/>
      <c r="BD496" s="449"/>
      <c r="BE496" s="449"/>
      <c r="BF496" s="449"/>
      <c r="BG496" s="449"/>
      <c r="BH496" s="449"/>
      <c r="BI496" s="449"/>
      <c r="BJ496" s="449"/>
      <c r="BK496" s="449"/>
      <c r="BL496" s="449"/>
      <c r="BM496" s="449"/>
      <c r="BN496" s="449"/>
    </row>
    <row r="497" spans="1:66" ht="13.15" x14ac:dyDescent="0.4">
      <c r="A497" s="430"/>
      <c r="B497" s="430"/>
      <c r="C497" s="430"/>
      <c r="D497" s="430"/>
      <c r="E497" s="430"/>
      <c r="F497" s="430"/>
      <c r="G497" s="430"/>
      <c r="H497" s="461"/>
      <c r="I497" s="438"/>
      <c r="J497" s="438"/>
      <c r="K497" s="438"/>
      <c r="L497" s="430"/>
      <c r="M497" s="430"/>
      <c r="N497" s="461"/>
      <c r="O497" s="461"/>
      <c r="P497" s="430"/>
      <c r="Q497" s="430"/>
      <c r="R497" s="430"/>
      <c r="S497" s="430"/>
      <c r="T497" s="430"/>
      <c r="U497" s="430"/>
      <c r="V497" s="430"/>
      <c r="W497" s="430"/>
      <c r="X497" s="449"/>
      <c r="Y497" s="449"/>
      <c r="Z497" s="450"/>
      <c r="AA497" s="449"/>
      <c r="AB497" s="451"/>
      <c r="AC497" s="450"/>
      <c r="AD497" s="449"/>
      <c r="AE497" s="451"/>
      <c r="AF497" s="450"/>
      <c r="AG497" s="449"/>
      <c r="AH497" s="451"/>
      <c r="AI497" s="450"/>
      <c r="AJ497" s="449"/>
      <c r="AK497" s="451"/>
      <c r="AL497" s="450"/>
      <c r="AM497" s="449"/>
      <c r="AN497" s="451"/>
      <c r="AO497" s="450"/>
      <c r="AP497" s="449"/>
      <c r="AQ497" s="451"/>
      <c r="AR497" s="449"/>
      <c r="AS497" s="449"/>
      <c r="AT497" s="451"/>
      <c r="AU497" s="449"/>
      <c r="AV497" s="451"/>
      <c r="AW497" s="449"/>
      <c r="AX497" s="449"/>
      <c r="AY497" s="449"/>
      <c r="AZ497" s="449"/>
      <c r="BA497" s="449"/>
      <c r="BB497" s="449"/>
      <c r="BC497" s="449"/>
      <c r="BD497" s="449"/>
      <c r="BE497" s="449"/>
      <c r="BF497" s="449"/>
      <c r="BG497" s="449"/>
      <c r="BH497" s="449"/>
      <c r="BI497" s="449"/>
      <c r="BJ497" s="449"/>
      <c r="BK497" s="449"/>
      <c r="BL497" s="449"/>
      <c r="BM497" s="449"/>
      <c r="BN497" s="449"/>
    </row>
    <row r="498" spans="1:66" ht="13.15" x14ac:dyDescent="0.4">
      <c r="A498" s="430"/>
      <c r="B498" s="430"/>
      <c r="C498" s="430"/>
      <c r="D498" s="430"/>
      <c r="E498" s="430"/>
      <c r="F498" s="430"/>
      <c r="G498" s="430"/>
      <c r="H498" s="461"/>
      <c r="I498" s="438"/>
      <c r="J498" s="438"/>
      <c r="K498" s="438"/>
      <c r="L498" s="430"/>
      <c r="M498" s="430"/>
      <c r="N498" s="461"/>
      <c r="O498" s="461"/>
      <c r="P498" s="430"/>
      <c r="Q498" s="430"/>
      <c r="R498" s="430"/>
      <c r="S498" s="430"/>
      <c r="T498" s="430"/>
      <c r="U498" s="430"/>
      <c r="V498" s="430"/>
      <c r="W498" s="430"/>
      <c r="X498" s="449"/>
      <c r="Y498" s="449"/>
      <c r="Z498" s="450"/>
      <c r="AA498" s="449"/>
      <c r="AB498" s="451"/>
      <c r="AC498" s="450"/>
      <c r="AD498" s="449"/>
      <c r="AE498" s="451"/>
      <c r="AF498" s="450"/>
      <c r="AG498" s="449"/>
      <c r="AH498" s="451"/>
      <c r="AI498" s="450"/>
      <c r="AJ498" s="449"/>
      <c r="AK498" s="451"/>
      <c r="AL498" s="450"/>
      <c r="AM498" s="449"/>
      <c r="AN498" s="451"/>
      <c r="AO498" s="450"/>
      <c r="AP498" s="449"/>
      <c r="AQ498" s="451"/>
      <c r="AR498" s="449"/>
      <c r="AS498" s="449"/>
      <c r="AT498" s="451"/>
      <c r="AU498" s="449"/>
      <c r="AV498" s="451"/>
      <c r="AW498" s="449"/>
      <c r="AX498" s="449"/>
      <c r="AY498" s="449"/>
      <c r="AZ498" s="449"/>
      <c r="BA498" s="449"/>
      <c r="BB498" s="449"/>
      <c r="BC498" s="449"/>
      <c r="BD498" s="449"/>
      <c r="BE498" s="449"/>
      <c r="BF498" s="449"/>
      <c r="BG498" s="449"/>
      <c r="BH498" s="449"/>
      <c r="BI498" s="449"/>
      <c r="BJ498" s="449"/>
      <c r="BK498" s="449"/>
      <c r="BL498" s="449"/>
      <c r="BM498" s="449"/>
      <c r="BN498" s="449"/>
    </row>
    <row r="499" spans="1:66" ht="13.15" x14ac:dyDescent="0.4">
      <c r="A499" s="430"/>
      <c r="B499" s="430"/>
      <c r="C499" s="430"/>
      <c r="D499" s="430"/>
      <c r="E499" s="430"/>
      <c r="F499" s="430"/>
      <c r="G499" s="430"/>
      <c r="H499" s="461"/>
      <c r="I499" s="438"/>
      <c r="J499" s="438"/>
      <c r="K499" s="438"/>
      <c r="L499" s="430"/>
      <c r="M499" s="430"/>
      <c r="N499" s="461"/>
      <c r="O499" s="461"/>
      <c r="P499" s="430"/>
      <c r="Q499" s="430"/>
      <c r="R499" s="430"/>
      <c r="S499" s="430"/>
      <c r="T499" s="430"/>
      <c r="U499" s="430"/>
      <c r="V499" s="430"/>
      <c r="W499" s="430"/>
      <c r="X499" s="449"/>
      <c r="Y499" s="449"/>
      <c r="Z499" s="450"/>
      <c r="AA499" s="449"/>
      <c r="AB499" s="451"/>
      <c r="AC499" s="450"/>
      <c r="AD499" s="449"/>
      <c r="AE499" s="451"/>
      <c r="AF499" s="450"/>
      <c r="AG499" s="449"/>
      <c r="AH499" s="451"/>
      <c r="AI499" s="450"/>
      <c r="AJ499" s="449"/>
      <c r="AK499" s="451"/>
      <c r="AL499" s="450"/>
      <c r="AM499" s="449"/>
      <c r="AN499" s="451"/>
      <c r="AO499" s="450"/>
      <c r="AP499" s="449"/>
      <c r="AQ499" s="451"/>
      <c r="AR499" s="449"/>
      <c r="AS499" s="449"/>
      <c r="AT499" s="451"/>
      <c r="AU499" s="449"/>
      <c r="AV499" s="451"/>
      <c r="AW499" s="449"/>
      <c r="AX499" s="449"/>
      <c r="AY499" s="449"/>
      <c r="AZ499" s="449"/>
      <c r="BA499" s="449"/>
      <c r="BB499" s="449"/>
      <c r="BC499" s="449"/>
      <c r="BD499" s="449"/>
      <c r="BE499" s="449"/>
      <c r="BF499" s="449"/>
      <c r="BG499" s="449"/>
      <c r="BH499" s="449"/>
      <c r="BI499" s="449"/>
      <c r="BJ499" s="449"/>
      <c r="BK499" s="449"/>
      <c r="BL499" s="449"/>
      <c r="BM499" s="449"/>
      <c r="BN499" s="449"/>
    </row>
    <row r="500" spans="1:66" ht="13.15" x14ac:dyDescent="0.4">
      <c r="A500" s="430"/>
      <c r="B500" s="430"/>
      <c r="C500" s="430"/>
      <c r="D500" s="430"/>
      <c r="E500" s="430"/>
      <c r="F500" s="430"/>
      <c r="G500" s="430"/>
      <c r="H500" s="461"/>
      <c r="I500" s="438"/>
      <c r="J500" s="438"/>
      <c r="K500" s="438"/>
      <c r="L500" s="430"/>
      <c r="M500" s="430"/>
      <c r="N500" s="461"/>
      <c r="O500" s="461"/>
      <c r="P500" s="430"/>
      <c r="Q500" s="430"/>
      <c r="R500" s="430"/>
      <c r="S500" s="430"/>
      <c r="T500" s="430"/>
      <c r="U500" s="430"/>
      <c r="V500" s="430"/>
      <c r="W500" s="430"/>
      <c r="X500" s="449"/>
      <c r="Y500" s="449"/>
      <c r="Z500" s="450"/>
      <c r="AA500" s="449"/>
      <c r="AB500" s="451"/>
      <c r="AC500" s="450"/>
      <c r="AD500" s="449"/>
      <c r="AE500" s="451"/>
      <c r="AF500" s="450"/>
      <c r="AG500" s="449"/>
      <c r="AH500" s="451"/>
      <c r="AI500" s="450"/>
      <c r="AJ500" s="449"/>
      <c r="AK500" s="451"/>
      <c r="AL500" s="450"/>
      <c r="AM500" s="449"/>
      <c r="AN500" s="451"/>
      <c r="AO500" s="450"/>
      <c r="AP500" s="449"/>
      <c r="AQ500" s="451"/>
      <c r="AR500" s="449"/>
      <c r="AS500" s="449"/>
      <c r="AT500" s="451"/>
      <c r="AU500" s="449"/>
      <c r="AV500" s="451"/>
      <c r="AW500" s="449"/>
      <c r="AX500" s="449"/>
      <c r="AY500" s="449"/>
      <c r="AZ500" s="449"/>
      <c r="BA500" s="449"/>
      <c r="BB500" s="449"/>
      <c r="BC500" s="449"/>
      <c r="BD500" s="449"/>
      <c r="BE500" s="449"/>
      <c r="BF500" s="449"/>
      <c r="BG500" s="449"/>
      <c r="BH500" s="449"/>
      <c r="BI500" s="449"/>
      <c r="BJ500" s="449"/>
      <c r="BK500" s="449"/>
      <c r="BL500" s="449"/>
      <c r="BM500" s="449"/>
      <c r="BN500" s="449"/>
    </row>
    <row r="501" spans="1:66" ht="13.15" x14ac:dyDescent="0.4">
      <c r="A501" s="430"/>
      <c r="B501" s="430"/>
      <c r="C501" s="430"/>
      <c r="D501" s="430"/>
      <c r="E501" s="430"/>
      <c r="F501" s="430"/>
      <c r="G501" s="430"/>
      <c r="H501" s="461"/>
      <c r="I501" s="438"/>
      <c r="J501" s="438"/>
      <c r="K501" s="438"/>
      <c r="L501" s="430"/>
      <c r="M501" s="430"/>
      <c r="N501" s="461"/>
      <c r="O501" s="461"/>
      <c r="P501" s="430"/>
      <c r="Q501" s="430"/>
      <c r="R501" s="430"/>
      <c r="S501" s="430"/>
      <c r="T501" s="430"/>
      <c r="U501" s="430"/>
      <c r="V501" s="430"/>
      <c r="W501" s="430"/>
      <c r="X501" s="449"/>
      <c r="Y501" s="449"/>
      <c r="Z501" s="450"/>
      <c r="AA501" s="449"/>
      <c r="AB501" s="451"/>
      <c r="AC501" s="450"/>
      <c r="AD501" s="449"/>
      <c r="AE501" s="451"/>
      <c r="AF501" s="450"/>
      <c r="AG501" s="449"/>
      <c r="AH501" s="451"/>
      <c r="AI501" s="450"/>
      <c r="AJ501" s="449"/>
      <c r="AK501" s="451"/>
      <c r="AL501" s="450"/>
      <c r="AM501" s="449"/>
      <c r="AN501" s="451"/>
      <c r="AO501" s="450"/>
      <c r="AP501" s="449"/>
      <c r="AQ501" s="451"/>
      <c r="AR501" s="449"/>
      <c r="AS501" s="449"/>
      <c r="AT501" s="451"/>
      <c r="AU501" s="449"/>
      <c r="AV501" s="451"/>
      <c r="AW501" s="449"/>
      <c r="AX501" s="449"/>
      <c r="AY501" s="449"/>
      <c r="AZ501" s="449"/>
      <c r="BA501" s="449"/>
      <c r="BB501" s="449"/>
      <c r="BC501" s="449"/>
      <c r="BD501" s="449"/>
      <c r="BE501" s="449"/>
      <c r="BF501" s="449"/>
      <c r="BG501" s="449"/>
      <c r="BH501" s="449"/>
      <c r="BI501" s="449"/>
      <c r="BJ501" s="449"/>
      <c r="BK501" s="449"/>
      <c r="BL501" s="449"/>
      <c r="BM501" s="449"/>
      <c r="BN501" s="449"/>
    </row>
    <row r="502" spans="1:66" ht="13.15" x14ac:dyDescent="0.4">
      <c r="A502" s="430"/>
      <c r="B502" s="430"/>
      <c r="C502" s="430"/>
      <c r="D502" s="430"/>
      <c r="E502" s="430"/>
      <c r="F502" s="430"/>
      <c r="G502" s="430"/>
      <c r="H502" s="461"/>
      <c r="I502" s="438"/>
      <c r="J502" s="438"/>
      <c r="K502" s="438"/>
      <c r="L502" s="430"/>
      <c r="M502" s="430"/>
      <c r="N502" s="461"/>
      <c r="O502" s="461"/>
      <c r="P502" s="430"/>
      <c r="Q502" s="430"/>
      <c r="R502" s="430"/>
      <c r="S502" s="430"/>
      <c r="T502" s="430"/>
      <c r="U502" s="430"/>
      <c r="V502" s="430"/>
      <c r="W502" s="430"/>
      <c r="X502" s="449"/>
      <c r="Y502" s="449"/>
      <c r="Z502" s="450"/>
      <c r="AA502" s="449"/>
      <c r="AB502" s="451"/>
      <c r="AC502" s="450"/>
      <c r="AD502" s="449"/>
      <c r="AE502" s="451"/>
      <c r="AF502" s="450"/>
      <c r="AG502" s="449"/>
      <c r="AH502" s="451"/>
      <c r="AI502" s="450"/>
      <c r="AJ502" s="449"/>
      <c r="AK502" s="451"/>
      <c r="AL502" s="450"/>
      <c r="AM502" s="449"/>
      <c r="AN502" s="451"/>
      <c r="AO502" s="450"/>
      <c r="AP502" s="449"/>
      <c r="AQ502" s="451"/>
      <c r="AR502" s="449"/>
      <c r="AS502" s="449"/>
      <c r="AT502" s="451"/>
      <c r="AU502" s="449"/>
      <c r="AV502" s="451"/>
      <c r="AW502" s="449"/>
      <c r="AX502" s="449"/>
      <c r="AY502" s="449"/>
      <c r="AZ502" s="449"/>
      <c r="BA502" s="449"/>
      <c r="BB502" s="449"/>
      <c r="BC502" s="449"/>
      <c r="BD502" s="449"/>
      <c r="BE502" s="449"/>
      <c r="BF502" s="449"/>
      <c r="BG502" s="449"/>
      <c r="BH502" s="449"/>
      <c r="BI502" s="449"/>
      <c r="BJ502" s="449"/>
      <c r="BK502" s="449"/>
      <c r="BL502" s="449"/>
      <c r="BM502" s="449"/>
      <c r="BN502" s="449"/>
    </row>
    <row r="503" spans="1:66" ht="13.15" x14ac:dyDescent="0.4">
      <c r="A503" s="430"/>
      <c r="B503" s="430"/>
      <c r="C503" s="430"/>
      <c r="D503" s="430"/>
      <c r="E503" s="430"/>
      <c r="F503" s="430"/>
      <c r="G503" s="430"/>
      <c r="H503" s="461"/>
      <c r="I503" s="438"/>
      <c r="J503" s="438"/>
      <c r="K503" s="438"/>
      <c r="L503" s="430"/>
      <c r="M503" s="430"/>
      <c r="N503" s="461"/>
      <c r="O503" s="461"/>
      <c r="P503" s="430"/>
      <c r="Q503" s="430"/>
      <c r="R503" s="430"/>
      <c r="S503" s="430"/>
      <c r="T503" s="430"/>
      <c r="U503" s="430"/>
      <c r="V503" s="430"/>
      <c r="W503" s="430"/>
      <c r="X503" s="449"/>
      <c r="Y503" s="449"/>
      <c r="Z503" s="450"/>
      <c r="AA503" s="449"/>
      <c r="AB503" s="451"/>
      <c r="AC503" s="450"/>
      <c r="AD503" s="449"/>
      <c r="AE503" s="451"/>
      <c r="AF503" s="450"/>
      <c r="AG503" s="449"/>
      <c r="AH503" s="451"/>
      <c r="AI503" s="450"/>
      <c r="AJ503" s="449"/>
      <c r="AK503" s="451"/>
      <c r="AL503" s="450"/>
      <c r="AM503" s="449"/>
      <c r="AN503" s="451"/>
      <c r="AO503" s="450"/>
      <c r="AP503" s="449"/>
      <c r="AQ503" s="451"/>
      <c r="AR503" s="449"/>
      <c r="AS503" s="449"/>
      <c r="AT503" s="451"/>
      <c r="AU503" s="449"/>
      <c r="AV503" s="451"/>
      <c r="AW503" s="449"/>
      <c r="AX503" s="449"/>
      <c r="AY503" s="449"/>
      <c r="AZ503" s="449"/>
      <c r="BA503" s="449"/>
      <c r="BB503" s="449"/>
      <c r="BC503" s="449"/>
      <c r="BD503" s="449"/>
      <c r="BE503" s="449"/>
      <c r="BF503" s="449"/>
      <c r="BG503" s="449"/>
      <c r="BH503" s="449"/>
      <c r="BI503" s="449"/>
      <c r="BJ503" s="449"/>
      <c r="BK503" s="449"/>
      <c r="BL503" s="449"/>
      <c r="BM503" s="449"/>
      <c r="BN503" s="449"/>
    </row>
    <row r="504" spans="1:66" ht="13.15" x14ac:dyDescent="0.4">
      <c r="A504" s="430"/>
      <c r="B504" s="430"/>
      <c r="C504" s="430"/>
      <c r="D504" s="430"/>
      <c r="E504" s="430"/>
      <c r="F504" s="430"/>
      <c r="G504" s="430"/>
      <c r="H504" s="461"/>
      <c r="I504" s="438"/>
      <c r="J504" s="438"/>
      <c r="K504" s="438"/>
      <c r="L504" s="430"/>
      <c r="M504" s="430"/>
      <c r="N504" s="461"/>
      <c r="O504" s="461"/>
      <c r="P504" s="430"/>
      <c r="Q504" s="430"/>
      <c r="R504" s="430"/>
      <c r="S504" s="430"/>
      <c r="T504" s="430"/>
      <c r="U504" s="430"/>
      <c r="V504" s="430"/>
      <c r="W504" s="430"/>
      <c r="X504" s="449"/>
      <c r="Y504" s="449"/>
      <c r="Z504" s="450"/>
      <c r="AA504" s="449"/>
      <c r="AB504" s="451"/>
      <c r="AC504" s="450"/>
      <c r="AD504" s="449"/>
      <c r="AE504" s="451"/>
      <c r="AF504" s="450"/>
      <c r="AG504" s="449"/>
      <c r="AH504" s="451"/>
      <c r="AI504" s="450"/>
      <c r="AJ504" s="449"/>
      <c r="AK504" s="451"/>
      <c r="AL504" s="450"/>
      <c r="AM504" s="449"/>
      <c r="AN504" s="451"/>
      <c r="AO504" s="450"/>
      <c r="AP504" s="449"/>
      <c r="AQ504" s="451"/>
      <c r="AR504" s="449"/>
      <c r="AS504" s="449"/>
      <c r="AT504" s="451"/>
      <c r="AU504" s="449"/>
      <c r="AV504" s="451"/>
      <c r="AW504" s="449"/>
      <c r="AX504" s="449"/>
      <c r="AY504" s="449"/>
      <c r="AZ504" s="449"/>
      <c r="BA504" s="449"/>
      <c r="BB504" s="449"/>
      <c r="BC504" s="449"/>
      <c r="BD504" s="449"/>
      <c r="BE504" s="449"/>
      <c r="BF504" s="449"/>
      <c r="BG504" s="449"/>
      <c r="BH504" s="449"/>
      <c r="BI504" s="449"/>
      <c r="BJ504" s="449"/>
      <c r="BK504" s="449"/>
      <c r="BL504" s="449"/>
      <c r="BM504" s="449"/>
      <c r="BN504" s="449"/>
    </row>
    <row r="505" spans="1:66" ht="13.15" x14ac:dyDescent="0.4">
      <c r="A505" s="430"/>
      <c r="B505" s="430"/>
      <c r="C505" s="430"/>
      <c r="D505" s="430"/>
      <c r="E505" s="430"/>
      <c r="F505" s="430"/>
      <c r="G505" s="430"/>
      <c r="H505" s="461"/>
      <c r="I505" s="438"/>
      <c r="J505" s="438"/>
      <c r="K505" s="438"/>
      <c r="L505" s="430"/>
      <c r="M505" s="430"/>
      <c r="N505" s="461"/>
      <c r="O505" s="461"/>
      <c r="P505" s="430"/>
      <c r="Q505" s="430"/>
      <c r="R505" s="430"/>
      <c r="S505" s="430"/>
      <c r="T505" s="430"/>
      <c r="U505" s="430"/>
      <c r="V505" s="430"/>
      <c r="W505" s="430"/>
      <c r="X505" s="449"/>
      <c r="Y505" s="449"/>
      <c r="Z505" s="450"/>
      <c r="AA505" s="449"/>
      <c r="AB505" s="451"/>
      <c r="AC505" s="450"/>
      <c r="AD505" s="449"/>
      <c r="AE505" s="451"/>
      <c r="AF505" s="450"/>
      <c r="AG505" s="449"/>
      <c r="AH505" s="451"/>
      <c r="AI505" s="450"/>
      <c r="AJ505" s="449"/>
      <c r="AK505" s="451"/>
      <c r="AL505" s="450"/>
      <c r="AM505" s="449"/>
      <c r="AN505" s="451"/>
      <c r="AO505" s="450"/>
      <c r="AP505" s="449"/>
      <c r="AQ505" s="451"/>
      <c r="AR505" s="449"/>
      <c r="AS505" s="449"/>
      <c r="AT505" s="451"/>
      <c r="AU505" s="449"/>
      <c r="AV505" s="451"/>
      <c r="AW505" s="449"/>
      <c r="AX505" s="449"/>
      <c r="AY505" s="449"/>
      <c r="AZ505" s="449"/>
      <c r="BA505" s="449"/>
      <c r="BB505" s="449"/>
      <c r="BC505" s="449"/>
      <c r="BD505" s="449"/>
      <c r="BE505" s="449"/>
      <c r="BF505" s="449"/>
      <c r="BG505" s="449"/>
      <c r="BH505" s="449"/>
      <c r="BI505" s="449"/>
      <c r="BJ505" s="449"/>
      <c r="BK505" s="449"/>
      <c r="BL505" s="449"/>
      <c r="BM505" s="449"/>
      <c r="BN505" s="449"/>
    </row>
    <row r="506" spans="1:66" ht="13.15" x14ac:dyDescent="0.4">
      <c r="A506" s="430"/>
      <c r="B506" s="430"/>
      <c r="C506" s="430"/>
      <c r="D506" s="430"/>
      <c r="E506" s="430"/>
      <c r="F506" s="430"/>
      <c r="G506" s="430"/>
      <c r="H506" s="461"/>
      <c r="I506" s="438"/>
      <c r="J506" s="438"/>
      <c r="K506" s="438"/>
      <c r="L506" s="430"/>
      <c r="M506" s="430"/>
      <c r="N506" s="461"/>
      <c r="O506" s="461"/>
      <c r="P506" s="430"/>
      <c r="Q506" s="430"/>
      <c r="R506" s="430"/>
      <c r="S506" s="430"/>
      <c r="T506" s="430"/>
      <c r="U506" s="430"/>
      <c r="V506" s="430"/>
      <c r="W506" s="430"/>
      <c r="X506" s="449"/>
      <c r="Y506" s="449"/>
      <c r="Z506" s="450"/>
      <c r="AA506" s="449"/>
      <c r="AB506" s="451"/>
      <c r="AC506" s="450"/>
      <c r="AD506" s="449"/>
      <c r="AE506" s="451"/>
      <c r="AF506" s="450"/>
      <c r="AG506" s="449"/>
      <c r="AH506" s="451"/>
      <c r="AI506" s="450"/>
      <c r="AJ506" s="449"/>
      <c r="AK506" s="451"/>
      <c r="AL506" s="450"/>
      <c r="AM506" s="449"/>
      <c r="AN506" s="451"/>
      <c r="AO506" s="450"/>
      <c r="AP506" s="449"/>
      <c r="AQ506" s="451"/>
      <c r="AR506" s="449"/>
      <c r="AS506" s="449"/>
      <c r="AT506" s="451"/>
      <c r="AU506" s="449"/>
      <c r="AV506" s="451"/>
      <c r="AW506" s="449"/>
      <c r="AX506" s="449"/>
      <c r="AY506" s="449"/>
      <c r="AZ506" s="449"/>
      <c r="BA506" s="449"/>
      <c r="BB506" s="449"/>
      <c r="BC506" s="449"/>
      <c r="BD506" s="449"/>
      <c r="BE506" s="449"/>
      <c r="BF506" s="449"/>
      <c r="BG506" s="449"/>
      <c r="BH506" s="449"/>
      <c r="BI506" s="449"/>
      <c r="BJ506" s="449"/>
      <c r="BK506" s="449"/>
      <c r="BL506" s="449"/>
      <c r="BM506" s="449"/>
      <c r="BN506" s="449"/>
    </row>
    <row r="507" spans="1:66" ht="13.15" x14ac:dyDescent="0.4">
      <c r="A507" s="430"/>
      <c r="B507" s="430"/>
      <c r="C507" s="430"/>
      <c r="D507" s="430"/>
      <c r="E507" s="430"/>
      <c r="F507" s="430"/>
      <c r="G507" s="430"/>
      <c r="H507" s="461"/>
      <c r="I507" s="438"/>
      <c r="J507" s="438"/>
      <c r="K507" s="438"/>
      <c r="L507" s="430"/>
      <c r="M507" s="430"/>
      <c r="N507" s="461"/>
      <c r="O507" s="461"/>
      <c r="P507" s="430"/>
      <c r="Q507" s="430"/>
      <c r="R507" s="430"/>
      <c r="S507" s="430"/>
      <c r="T507" s="430"/>
      <c r="U507" s="430"/>
      <c r="V507" s="430"/>
      <c r="W507" s="430"/>
      <c r="X507" s="449"/>
      <c r="Y507" s="449"/>
      <c r="Z507" s="450"/>
      <c r="AA507" s="449"/>
      <c r="AB507" s="451"/>
      <c r="AC507" s="450"/>
      <c r="AD507" s="449"/>
      <c r="AE507" s="451"/>
      <c r="AF507" s="450"/>
      <c r="AG507" s="449"/>
      <c r="AH507" s="451"/>
      <c r="AI507" s="450"/>
      <c r="AJ507" s="449"/>
      <c r="AK507" s="451"/>
      <c r="AL507" s="450"/>
      <c r="AM507" s="449"/>
      <c r="AN507" s="451"/>
      <c r="AO507" s="450"/>
      <c r="AP507" s="449"/>
      <c r="AQ507" s="451"/>
      <c r="AR507" s="449"/>
      <c r="AS507" s="449"/>
      <c r="AT507" s="451"/>
      <c r="AU507" s="449"/>
      <c r="AV507" s="451"/>
      <c r="AW507" s="449"/>
      <c r="AX507" s="449"/>
      <c r="AY507" s="449"/>
      <c r="AZ507" s="449"/>
      <c r="BA507" s="449"/>
      <c r="BB507" s="449"/>
      <c r="BC507" s="449"/>
      <c r="BD507" s="449"/>
      <c r="BE507" s="449"/>
      <c r="BF507" s="449"/>
      <c r="BG507" s="449"/>
      <c r="BH507" s="449"/>
      <c r="BI507" s="449"/>
      <c r="BJ507" s="449"/>
      <c r="BK507" s="449"/>
      <c r="BL507" s="449"/>
      <c r="BM507" s="449"/>
      <c r="BN507" s="449"/>
    </row>
    <row r="508" spans="1:66" ht="13.15" x14ac:dyDescent="0.4">
      <c r="A508" s="430"/>
      <c r="B508" s="430"/>
      <c r="C508" s="430"/>
      <c r="D508" s="430"/>
      <c r="E508" s="430"/>
      <c r="F508" s="430"/>
      <c r="G508" s="430"/>
      <c r="H508" s="461"/>
      <c r="I508" s="438"/>
      <c r="J508" s="438"/>
      <c r="K508" s="438"/>
      <c r="L508" s="430"/>
      <c r="M508" s="430"/>
      <c r="N508" s="461"/>
      <c r="O508" s="461"/>
      <c r="P508" s="430"/>
      <c r="Q508" s="430"/>
      <c r="R508" s="430"/>
      <c r="S508" s="430"/>
      <c r="T508" s="430"/>
      <c r="U508" s="430"/>
      <c r="V508" s="430"/>
      <c r="W508" s="430"/>
      <c r="X508" s="449"/>
      <c r="Y508" s="449"/>
      <c r="Z508" s="450"/>
      <c r="AA508" s="449"/>
      <c r="AB508" s="451"/>
      <c r="AC508" s="450"/>
      <c r="AD508" s="449"/>
      <c r="AE508" s="451"/>
      <c r="AF508" s="450"/>
      <c r="AG508" s="449"/>
      <c r="AH508" s="451"/>
      <c r="AI508" s="450"/>
      <c r="AJ508" s="449"/>
      <c r="AK508" s="451"/>
      <c r="AL508" s="450"/>
      <c r="AM508" s="449"/>
      <c r="AN508" s="451"/>
      <c r="AO508" s="450"/>
      <c r="AP508" s="449"/>
      <c r="AQ508" s="451"/>
      <c r="AR508" s="449"/>
      <c r="AS508" s="449"/>
      <c r="AT508" s="451"/>
      <c r="AU508" s="449"/>
      <c r="AV508" s="451"/>
      <c r="AW508" s="449"/>
      <c r="AX508" s="449"/>
      <c r="AY508" s="449"/>
      <c r="AZ508" s="449"/>
      <c r="BA508" s="449"/>
      <c r="BB508" s="449"/>
      <c r="BC508" s="449"/>
      <c r="BD508" s="449"/>
      <c r="BE508" s="449"/>
      <c r="BF508" s="449"/>
      <c r="BG508" s="449"/>
      <c r="BH508" s="449"/>
      <c r="BI508" s="449"/>
      <c r="BJ508" s="449"/>
      <c r="BK508" s="449"/>
      <c r="BL508" s="449"/>
      <c r="BM508" s="449"/>
      <c r="BN508" s="449"/>
    </row>
    <row r="509" spans="1:66" ht="13.15" x14ac:dyDescent="0.4">
      <c r="A509" s="430"/>
      <c r="B509" s="430"/>
      <c r="C509" s="430"/>
      <c r="D509" s="430"/>
      <c r="E509" s="430"/>
      <c r="F509" s="430"/>
      <c r="G509" s="430"/>
      <c r="H509" s="461"/>
      <c r="I509" s="438"/>
      <c r="J509" s="438"/>
      <c r="K509" s="438"/>
      <c r="L509" s="430"/>
      <c r="M509" s="430"/>
      <c r="N509" s="461"/>
      <c r="O509" s="461"/>
      <c r="P509" s="430"/>
      <c r="Q509" s="430"/>
      <c r="R509" s="430"/>
      <c r="S509" s="430"/>
      <c r="T509" s="430"/>
      <c r="U509" s="430"/>
      <c r="V509" s="430"/>
      <c r="W509" s="430"/>
      <c r="X509" s="449"/>
      <c r="Y509" s="449"/>
      <c r="Z509" s="450"/>
      <c r="AA509" s="449"/>
      <c r="AB509" s="451"/>
      <c r="AC509" s="450"/>
      <c r="AD509" s="449"/>
      <c r="AE509" s="451"/>
      <c r="AF509" s="450"/>
      <c r="AG509" s="449"/>
      <c r="AH509" s="451"/>
      <c r="AI509" s="450"/>
      <c r="AJ509" s="449"/>
      <c r="AK509" s="451"/>
      <c r="AL509" s="450"/>
      <c r="AM509" s="449"/>
      <c r="AN509" s="451"/>
      <c r="AO509" s="450"/>
      <c r="AP509" s="449"/>
      <c r="AQ509" s="451"/>
      <c r="AR509" s="449"/>
      <c r="AS509" s="449"/>
      <c r="AT509" s="451"/>
      <c r="AU509" s="449"/>
      <c r="AV509" s="451"/>
      <c r="AW509" s="449"/>
      <c r="AX509" s="449"/>
      <c r="AY509" s="449"/>
      <c r="AZ509" s="449"/>
      <c r="BA509" s="449"/>
      <c r="BB509" s="449"/>
      <c r="BC509" s="449"/>
      <c r="BD509" s="449"/>
      <c r="BE509" s="449"/>
      <c r="BF509" s="449"/>
      <c r="BG509" s="449"/>
      <c r="BH509" s="449"/>
      <c r="BI509" s="449"/>
      <c r="BJ509" s="449"/>
      <c r="BK509" s="449"/>
      <c r="BL509" s="449"/>
      <c r="BM509" s="449"/>
      <c r="BN509" s="449"/>
    </row>
    <row r="510" spans="1:66" ht="13.15" x14ac:dyDescent="0.4">
      <c r="A510" s="430"/>
      <c r="B510" s="430"/>
      <c r="C510" s="430"/>
      <c r="D510" s="430"/>
      <c r="E510" s="430"/>
      <c r="F510" s="430"/>
      <c r="G510" s="430"/>
      <c r="H510" s="461"/>
      <c r="I510" s="438"/>
      <c r="J510" s="438"/>
      <c r="K510" s="438"/>
      <c r="L510" s="430"/>
      <c r="M510" s="430"/>
      <c r="N510" s="461"/>
      <c r="O510" s="461"/>
      <c r="P510" s="430"/>
      <c r="Q510" s="430"/>
      <c r="R510" s="430"/>
      <c r="S510" s="430"/>
      <c r="T510" s="430"/>
      <c r="U510" s="430"/>
      <c r="V510" s="430"/>
      <c r="W510" s="430"/>
      <c r="X510" s="449"/>
      <c r="Y510" s="449"/>
      <c r="Z510" s="450"/>
      <c r="AA510" s="449"/>
      <c r="AB510" s="451"/>
      <c r="AC510" s="450"/>
      <c r="AD510" s="449"/>
      <c r="AE510" s="451"/>
      <c r="AF510" s="450"/>
      <c r="AG510" s="449"/>
      <c r="AH510" s="451"/>
      <c r="AI510" s="450"/>
      <c r="AJ510" s="449"/>
      <c r="AK510" s="451"/>
      <c r="AL510" s="450"/>
      <c r="AM510" s="449"/>
      <c r="AN510" s="451"/>
      <c r="AO510" s="450"/>
      <c r="AP510" s="449"/>
      <c r="AQ510" s="451"/>
      <c r="AR510" s="449"/>
      <c r="AS510" s="449"/>
      <c r="AT510" s="451"/>
      <c r="AU510" s="449"/>
      <c r="AV510" s="451"/>
      <c r="AW510" s="449"/>
      <c r="AX510" s="449"/>
      <c r="AY510" s="449"/>
      <c r="AZ510" s="449"/>
      <c r="BA510" s="449"/>
      <c r="BB510" s="449"/>
      <c r="BC510" s="449"/>
      <c r="BD510" s="449"/>
      <c r="BE510" s="449"/>
      <c r="BF510" s="449"/>
      <c r="BG510" s="449"/>
      <c r="BH510" s="449"/>
      <c r="BI510" s="449"/>
      <c r="BJ510" s="449"/>
      <c r="BK510" s="449"/>
      <c r="BL510" s="449"/>
      <c r="BM510" s="449"/>
      <c r="BN510" s="449"/>
    </row>
    <row r="511" spans="1:66" ht="13.15" x14ac:dyDescent="0.4">
      <c r="A511" s="430"/>
      <c r="B511" s="430"/>
      <c r="C511" s="430"/>
      <c r="D511" s="430"/>
      <c r="E511" s="430"/>
      <c r="F511" s="430"/>
      <c r="G511" s="430"/>
      <c r="H511" s="461"/>
      <c r="I511" s="438"/>
      <c r="J511" s="438"/>
      <c r="K511" s="438"/>
      <c r="L511" s="430"/>
      <c r="M511" s="430"/>
      <c r="N511" s="461"/>
      <c r="O511" s="461"/>
      <c r="P511" s="430"/>
      <c r="Q511" s="430"/>
      <c r="R511" s="430"/>
      <c r="S511" s="430"/>
      <c r="T511" s="430"/>
      <c r="U511" s="430"/>
      <c r="V511" s="430"/>
      <c r="W511" s="430"/>
      <c r="X511" s="449"/>
      <c r="Y511" s="449"/>
      <c r="Z511" s="450"/>
      <c r="AA511" s="449"/>
      <c r="AB511" s="451"/>
      <c r="AC511" s="450"/>
      <c r="AD511" s="449"/>
      <c r="AE511" s="451"/>
      <c r="AF511" s="450"/>
      <c r="AG511" s="449"/>
      <c r="AH511" s="451"/>
      <c r="AI511" s="450"/>
      <c r="AJ511" s="449"/>
      <c r="AK511" s="451"/>
      <c r="AL511" s="450"/>
      <c r="AM511" s="449"/>
      <c r="AN511" s="451"/>
      <c r="AO511" s="450"/>
      <c r="AP511" s="449"/>
      <c r="AQ511" s="451"/>
      <c r="AR511" s="449"/>
      <c r="AS511" s="449"/>
      <c r="AT511" s="451"/>
      <c r="AU511" s="449"/>
      <c r="AV511" s="451"/>
      <c r="AW511" s="449"/>
      <c r="AX511" s="449"/>
      <c r="AY511" s="449"/>
      <c r="AZ511" s="449"/>
      <c r="BA511" s="449"/>
      <c r="BB511" s="449"/>
      <c r="BC511" s="449"/>
      <c r="BD511" s="449"/>
      <c r="BE511" s="449"/>
      <c r="BF511" s="449"/>
      <c r="BG511" s="449"/>
      <c r="BH511" s="449"/>
      <c r="BI511" s="449"/>
      <c r="BJ511" s="449"/>
      <c r="BK511" s="449"/>
      <c r="BL511" s="449"/>
      <c r="BM511" s="449"/>
      <c r="BN511" s="449"/>
    </row>
    <row r="512" spans="1:66" ht="13.15" x14ac:dyDescent="0.4">
      <c r="A512" s="430"/>
      <c r="B512" s="430"/>
      <c r="C512" s="430"/>
      <c r="D512" s="430"/>
      <c r="E512" s="430"/>
      <c r="F512" s="430"/>
      <c r="G512" s="430"/>
      <c r="H512" s="461"/>
      <c r="I512" s="438"/>
      <c r="J512" s="438"/>
      <c r="K512" s="438"/>
      <c r="L512" s="430"/>
      <c r="M512" s="430"/>
      <c r="N512" s="461"/>
      <c r="O512" s="461"/>
      <c r="P512" s="430"/>
      <c r="Q512" s="430"/>
      <c r="R512" s="430"/>
      <c r="S512" s="430"/>
      <c r="T512" s="430"/>
      <c r="U512" s="430"/>
      <c r="V512" s="430"/>
      <c r="W512" s="430"/>
      <c r="X512" s="449"/>
      <c r="Y512" s="449"/>
      <c r="Z512" s="450"/>
      <c r="AA512" s="449"/>
      <c r="AB512" s="451"/>
      <c r="AC512" s="450"/>
      <c r="AD512" s="449"/>
      <c r="AE512" s="451"/>
      <c r="AF512" s="450"/>
      <c r="AG512" s="449"/>
      <c r="AH512" s="451"/>
      <c r="AI512" s="450"/>
      <c r="AJ512" s="449"/>
      <c r="AK512" s="451"/>
      <c r="AL512" s="450"/>
      <c r="AM512" s="449"/>
      <c r="AN512" s="451"/>
      <c r="AO512" s="450"/>
      <c r="AP512" s="449"/>
      <c r="AQ512" s="451"/>
      <c r="AR512" s="449"/>
      <c r="AS512" s="449"/>
      <c r="AT512" s="451"/>
      <c r="AU512" s="449"/>
      <c r="AV512" s="451"/>
      <c r="AW512" s="449"/>
      <c r="AX512" s="449"/>
      <c r="AY512" s="449"/>
      <c r="AZ512" s="449"/>
      <c r="BA512" s="449"/>
      <c r="BB512" s="449"/>
      <c r="BC512" s="449"/>
      <c r="BD512" s="449"/>
      <c r="BE512" s="449"/>
      <c r="BF512" s="449"/>
      <c r="BG512" s="449"/>
      <c r="BH512" s="449"/>
      <c r="BI512" s="449"/>
      <c r="BJ512" s="449"/>
      <c r="BK512" s="449"/>
      <c r="BL512" s="449"/>
      <c r="BM512" s="449"/>
      <c r="BN512" s="449"/>
    </row>
    <row r="513" spans="1:66" ht="13.15" x14ac:dyDescent="0.4">
      <c r="A513" s="430"/>
      <c r="B513" s="430"/>
      <c r="C513" s="430"/>
      <c r="D513" s="430"/>
      <c r="E513" s="430"/>
      <c r="F513" s="430"/>
      <c r="G513" s="430"/>
      <c r="H513" s="461"/>
      <c r="I513" s="438"/>
      <c r="J513" s="438"/>
      <c r="K513" s="438"/>
      <c r="L513" s="430"/>
      <c r="M513" s="430"/>
      <c r="N513" s="461"/>
      <c r="O513" s="461"/>
      <c r="P513" s="430"/>
      <c r="Q513" s="430"/>
      <c r="R513" s="430"/>
      <c r="S513" s="430"/>
      <c r="T513" s="430"/>
      <c r="U513" s="430"/>
      <c r="V513" s="430"/>
      <c r="W513" s="430"/>
      <c r="X513" s="449"/>
      <c r="Y513" s="449"/>
      <c r="Z513" s="450"/>
      <c r="AA513" s="449"/>
      <c r="AB513" s="451"/>
      <c r="AC513" s="450"/>
      <c r="AD513" s="449"/>
      <c r="AE513" s="451"/>
      <c r="AF513" s="450"/>
      <c r="AG513" s="449"/>
      <c r="AH513" s="451"/>
      <c r="AI513" s="450"/>
      <c r="AJ513" s="449"/>
      <c r="AK513" s="451"/>
      <c r="AL513" s="450"/>
      <c r="AM513" s="449"/>
      <c r="AN513" s="451"/>
      <c r="AO513" s="450"/>
      <c r="AP513" s="449"/>
      <c r="AQ513" s="451"/>
      <c r="AR513" s="449"/>
      <c r="AS513" s="449"/>
      <c r="AT513" s="451"/>
      <c r="AU513" s="449"/>
      <c r="AV513" s="451"/>
      <c r="AW513" s="449"/>
      <c r="AX513" s="449"/>
      <c r="AY513" s="449"/>
      <c r="AZ513" s="449"/>
      <c r="BA513" s="449"/>
      <c r="BB513" s="449"/>
      <c r="BC513" s="449"/>
      <c r="BD513" s="449"/>
      <c r="BE513" s="449"/>
      <c r="BF513" s="449"/>
      <c r="BG513" s="449"/>
      <c r="BH513" s="449"/>
      <c r="BI513" s="449"/>
      <c r="BJ513" s="449"/>
      <c r="BK513" s="449"/>
      <c r="BL513" s="449"/>
      <c r="BM513" s="449"/>
      <c r="BN513" s="449"/>
    </row>
    <row r="514" spans="1:66" ht="13.15" x14ac:dyDescent="0.4">
      <c r="A514" s="430"/>
      <c r="B514" s="430"/>
      <c r="C514" s="430"/>
      <c r="D514" s="430"/>
      <c r="E514" s="430"/>
      <c r="F514" s="430"/>
      <c r="G514" s="430"/>
      <c r="H514" s="461"/>
      <c r="I514" s="438"/>
      <c r="J514" s="438"/>
      <c r="K514" s="438"/>
      <c r="L514" s="430"/>
      <c r="M514" s="430"/>
      <c r="N514" s="461"/>
      <c r="O514" s="461"/>
      <c r="P514" s="430"/>
      <c r="Q514" s="430"/>
      <c r="R514" s="430"/>
      <c r="S514" s="430"/>
      <c r="T514" s="430"/>
      <c r="U514" s="430"/>
      <c r="V514" s="430"/>
      <c r="W514" s="430"/>
      <c r="X514" s="449"/>
      <c r="Y514" s="449"/>
      <c r="Z514" s="450"/>
      <c r="AA514" s="449"/>
      <c r="AB514" s="451"/>
      <c r="AC514" s="450"/>
      <c r="AD514" s="449"/>
      <c r="AE514" s="451"/>
      <c r="AF514" s="450"/>
      <c r="AG514" s="449"/>
      <c r="AH514" s="451"/>
      <c r="AI514" s="450"/>
      <c r="AJ514" s="449"/>
      <c r="AK514" s="451"/>
      <c r="AL514" s="450"/>
      <c r="AM514" s="449"/>
      <c r="AN514" s="451"/>
      <c r="AO514" s="450"/>
      <c r="AP514" s="449"/>
      <c r="AQ514" s="451"/>
      <c r="AR514" s="449"/>
      <c r="AS514" s="449"/>
      <c r="AT514" s="451"/>
      <c r="AU514" s="449"/>
      <c r="AV514" s="451"/>
      <c r="AW514" s="449"/>
      <c r="AX514" s="449"/>
      <c r="AY514" s="449"/>
      <c r="AZ514" s="449"/>
      <c r="BA514" s="449"/>
      <c r="BB514" s="449"/>
      <c r="BC514" s="449"/>
      <c r="BD514" s="449"/>
      <c r="BE514" s="449"/>
      <c r="BF514" s="449"/>
      <c r="BG514" s="449"/>
      <c r="BH514" s="449"/>
      <c r="BI514" s="449"/>
      <c r="BJ514" s="449"/>
      <c r="BK514" s="449"/>
      <c r="BL514" s="449"/>
      <c r="BM514" s="449"/>
      <c r="BN514" s="449"/>
    </row>
    <row r="515" spans="1:66" ht="13.15" x14ac:dyDescent="0.4">
      <c r="A515" s="430"/>
      <c r="B515" s="430"/>
      <c r="C515" s="430"/>
      <c r="D515" s="430"/>
      <c r="E515" s="430"/>
      <c r="F515" s="430"/>
      <c r="G515" s="430"/>
      <c r="H515" s="461"/>
      <c r="I515" s="438"/>
      <c r="J515" s="438"/>
      <c r="K515" s="438"/>
      <c r="L515" s="430"/>
      <c r="M515" s="430"/>
      <c r="N515" s="461"/>
      <c r="O515" s="461"/>
      <c r="P515" s="430"/>
      <c r="Q515" s="430"/>
      <c r="R515" s="430"/>
      <c r="S515" s="430"/>
      <c r="T515" s="430"/>
      <c r="U515" s="430"/>
      <c r="V515" s="430"/>
      <c r="W515" s="430"/>
      <c r="X515" s="449"/>
      <c r="Y515" s="449"/>
      <c r="Z515" s="450"/>
      <c r="AA515" s="449"/>
      <c r="AB515" s="451"/>
      <c r="AC515" s="450"/>
      <c r="AD515" s="449"/>
      <c r="AE515" s="451"/>
      <c r="AF515" s="450"/>
      <c r="AG515" s="449"/>
      <c r="AH515" s="451"/>
      <c r="AI515" s="450"/>
      <c r="AJ515" s="449"/>
      <c r="AK515" s="451"/>
      <c r="AL515" s="450"/>
      <c r="AM515" s="449"/>
      <c r="AN515" s="451"/>
      <c r="AO515" s="450"/>
      <c r="AP515" s="449"/>
      <c r="AQ515" s="451"/>
      <c r="AR515" s="449"/>
      <c r="AS515" s="449"/>
      <c r="AT515" s="451"/>
      <c r="AU515" s="449"/>
      <c r="AV515" s="451"/>
      <c r="AW515" s="449"/>
      <c r="AX515" s="449"/>
      <c r="AY515" s="449"/>
      <c r="AZ515" s="449"/>
      <c r="BA515" s="449"/>
      <c r="BB515" s="449"/>
      <c r="BC515" s="449"/>
      <c r="BD515" s="449"/>
      <c r="BE515" s="449"/>
      <c r="BF515" s="449"/>
      <c r="BG515" s="449"/>
      <c r="BH515" s="449"/>
      <c r="BI515" s="449"/>
      <c r="BJ515" s="449"/>
      <c r="BK515" s="449"/>
      <c r="BL515" s="449"/>
      <c r="BM515" s="449"/>
      <c r="BN515" s="449"/>
    </row>
    <row r="516" spans="1:66" ht="13.15" x14ac:dyDescent="0.4">
      <c r="A516" s="430"/>
      <c r="B516" s="430"/>
      <c r="C516" s="430"/>
      <c r="D516" s="430"/>
      <c r="E516" s="430"/>
      <c r="F516" s="430"/>
      <c r="G516" s="430"/>
      <c r="H516" s="461"/>
      <c r="I516" s="438"/>
      <c r="J516" s="438"/>
      <c r="K516" s="438"/>
      <c r="L516" s="430"/>
      <c r="M516" s="430"/>
      <c r="N516" s="461"/>
      <c r="O516" s="461"/>
      <c r="P516" s="430"/>
      <c r="Q516" s="430"/>
      <c r="R516" s="430"/>
      <c r="S516" s="430"/>
      <c r="T516" s="430"/>
      <c r="U516" s="430"/>
      <c r="V516" s="430"/>
      <c r="W516" s="430"/>
      <c r="X516" s="449"/>
      <c r="Y516" s="449"/>
      <c r="Z516" s="450"/>
      <c r="AA516" s="449"/>
      <c r="AB516" s="451"/>
      <c r="AC516" s="450"/>
      <c r="AD516" s="449"/>
      <c r="AE516" s="451"/>
      <c r="AF516" s="450"/>
      <c r="AG516" s="449"/>
      <c r="AH516" s="451"/>
      <c r="AI516" s="450"/>
      <c r="AJ516" s="449"/>
      <c r="AK516" s="451"/>
      <c r="AL516" s="450"/>
      <c r="AM516" s="449"/>
      <c r="AN516" s="451"/>
      <c r="AO516" s="450"/>
      <c r="AP516" s="449"/>
      <c r="AQ516" s="451"/>
      <c r="AR516" s="449"/>
      <c r="AS516" s="449"/>
      <c r="AT516" s="451"/>
      <c r="AU516" s="449"/>
      <c r="AV516" s="451"/>
      <c r="AW516" s="449"/>
      <c r="AX516" s="449"/>
      <c r="AY516" s="449"/>
      <c r="AZ516" s="449"/>
      <c r="BA516" s="449"/>
      <c r="BB516" s="449"/>
      <c r="BC516" s="449"/>
      <c r="BD516" s="449"/>
      <c r="BE516" s="449"/>
      <c r="BF516" s="449"/>
      <c r="BG516" s="449"/>
      <c r="BH516" s="449"/>
      <c r="BI516" s="449"/>
      <c r="BJ516" s="449"/>
      <c r="BK516" s="449"/>
      <c r="BL516" s="449"/>
      <c r="BM516" s="449"/>
      <c r="BN516" s="449"/>
    </row>
    <row r="517" spans="1:66" ht="13.15" x14ac:dyDescent="0.4">
      <c r="A517" s="430"/>
      <c r="B517" s="430"/>
      <c r="C517" s="430"/>
      <c r="D517" s="430"/>
      <c r="E517" s="430"/>
      <c r="F517" s="430"/>
      <c r="G517" s="430"/>
      <c r="H517" s="461"/>
      <c r="I517" s="438"/>
      <c r="J517" s="438"/>
      <c r="K517" s="438"/>
      <c r="L517" s="430"/>
      <c r="M517" s="430"/>
      <c r="N517" s="461"/>
      <c r="O517" s="461"/>
      <c r="P517" s="430"/>
      <c r="Q517" s="430"/>
      <c r="R517" s="430"/>
      <c r="S517" s="430"/>
      <c r="T517" s="430"/>
      <c r="U517" s="430"/>
      <c r="V517" s="430"/>
      <c r="W517" s="430"/>
      <c r="X517" s="449"/>
      <c r="Y517" s="449"/>
      <c r="Z517" s="450"/>
      <c r="AA517" s="449"/>
      <c r="AB517" s="451"/>
      <c r="AC517" s="450"/>
      <c r="AD517" s="449"/>
      <c r="AE517" s="451"/>
      <c r="AF517" s="450"/>
      <c r="AG517" s="449"/>
      <c r="AH517" s="451"/>
      <c r="AI517" s="450"/>
      <c r="AJ517" s="449"/>
      <c r="AK517" s="451"/>
      <c r="AL517" s="450"/>
      <c r="AM517" s="449"/>
      <c r="AN517" s="451"/>
      <c r="AO517" s="450"/>
      <c r="AP517" s="449"/>
      <c r="AQ517" s="451"/>
      <c r="AR517" s="449"/>
      <c r="AS517" s="449"/>
      <c r="AT517" s="451"/>
      <c r="AU517" s="449"/>
      <c r="AV517" s="451"/>
      <c r="AW517" s="449"/>
      <c r="AX517" s="449"/>
      <c r="AY517" s="449"/>
      <c r="AZ517" s="449"/>
      <c r="BA517" s="449"/>
      <c r="BB517" s="449"/>
      <c r="BC517" s="449"/>
      <c r="BD517" s="449"/>
      <c r="BE517" s="449"/>
      <c r="BF517" s="449"/>
      <c r="BG517" s="449"/>
      <c r="BH517" s="449"/>
      <c r="BI517" s="449"/>
      <c r="BJ517" s="449"/>
      <c r="BK517" s="449"/>
      <c r="BL517" s="449"/>
      <c r="BM517" s="449"/>
      <c r="BN517" s="449"/>
    </row>
    <row r="518" spans="1:66" ht="13.15" x14ac:dyDescent="0.4">
      <c r="A518" s="430"/>
      <c r="B518" s="430"/>
      <c r="C518" s="430"/>
      <c r="D518" s="430"/>
      <c r="E518" s="430"/>
      <c r="F518" s="430"/>
      <c r="G518" s="430"/>
      <c r="H518" s="461"/>
      <c r="I518" s="438"/>
      <c r="J518" s="438"/>
      <c r="K518" s="438"/>
      <c r="L518" s="430"/>
      <c r="M518" s="430"/>
      <c r="N518" s="461"/>
      <c r="O518" s="461"/>
      <c r="P518" s="430"/>
      <c r="Q518" s="430"/>
      <c r="R518" s="430"/>
      <c r="S518" s="430"/>
      <c r="T518" s="430"/>
      <c r="U518" s="430"/>
      <c r="V518" s="430"/>
      <c r="W518" s="430"/>
      <c r="X518" s="449"/>
      <c r="Y518" s="449"/>
      <c r="Z518" s="450"/>
      <c r="AA518" s="449"/>
      <c r="AB518" s="451"/>
      <c r="AC518" s="450"/>
      <c r="AD518" s="449"/>
      <c r="AE518" s="451"/>
      <c r="AF518" s="450"/>
      <c r="AG518" s="449"/>
      <c r="AH518" s="451"/>
      <c r="AI518" s="450"/>
      <c r="AJ518" s="449"/>
      <c r="AK518" s="451"/>
      <c r="AL518" s="450"/>
      <c r="AM518" s="449"/>
      <c r="AN518" s="451"/>
      <c r="AO518" s="450"/>
      <c r="AP518" s="449"/>
      <c r="AQ518" s="451"/>
      <c r="AR518" s="449"/>
      <c r="AS518" s="449"/>
      <c r="AT518" s="451"/>
      <c r="AU518" s="449"/>
      <c r="AV518" s="451"/>
      <c r="AW518" s="449"/>
      <c r="AX518" s="449"/>
      <c r="AY518" s="449"/>
      <c r="AZ518" s="449"/>
      <c r="BA518" s="449"/>
      <c r="BB518" s="449"/>
      <c r="BC518" s="449"/>
      <c r="BD518" s="449"/>
      <c r="BE518" s="449"/>
      <c r="BF518" s="449"/>
      <c r="BG518" s="449"/>
      <c r="BH518" s="449"/>
      <c r="BI518" s="449"/>
      <c r="BJ518" s="449"/>
      <c r="BK518" s="449"/>
      <c r="BL518" s="449"/>
      <c r="BM518" s="449"/>
      <c r="BN518" s="449"/>
    </row>
    <row r="519" spans="1:66" ht="13.15" x14ac:dyDescent="0.4">
      <c r="A519" s="430"/>
      <c r="B519" s="430"/>
      <c r="C519" s="430"/>
      <c r="D519" s="430"/>
      <c r="E519" s="430"/>
      <c r="F519" s="430"/>
      <c r="G519" s="430"/>
      <c r="H519" s="461"/>
      <c r="I519" s="438"/>
      <c r="J519" s="438"/>
      <c r="K519" s="438"/>
      <c r="L519" s="430"/>
      <c r="M519" s="430"/>
      <c r="N519" s="461"/>
      <c r="O519" s="461"/>
      <c r="P519" s="430"/>
      <c r="Q519" s="430"/>
      <c r="R519" s="430"/>
      <c r="S519" s="430"/>
      <c r="T519" s="430"/>
      <c r="U519" s="430"/>
      <c r="V519" s="430"/>
      <c r="W519" s="430"/>
      <c r="X519" s="449"/>
      <c r="Y519" s="449"/>
      <c r="Z519" s="450"/>
      <c r="AA519" s="449"/>
      <c r="AB519" s="451"/>
      <c r="AC519" s="450"/>
      <c r="AD519" s="449"/>
      <c r="AE519" s="451"/>
      <c r="AF519" s="450"/>
      <c r="AG519" s="449"/>
      <c r="AH519" s="451"/>
      <c r="AI519" s="450"/>
      <c r="AJ519" s="449"/>
      <c r="AK519" s="451"/>
      <c r="AL519" s="450"/>
      <c r="AM519" s="449"/>
      <c r="AN519" s="451"/>
      <c r="AO519" s="450"/>
      <c r="AP519" s="449"/>
      <c r="AQ519" s="451"/>
      <c r="AR519" s="449"/>
      <c r="AS519" s="449"/>
      <c r="AT519" s="451"/>
      <c r="AU519" s="449"/>
      <c r="AV519" s="451"/>
      <c r="AW519" s="449"/>
      <c r="AX519" s="449"/>
      <c r="AY519" s="449"/>
      <c r="AZ519" s="449"/>
      <c r="BA519" s="449"/>
      <c r="BB519" s="449"/>
      <c r="BC519" s="449"/>
      <c r="BD519" s="449"/>
      <c r="BE519" s="449"/>
      <c r="BF519" s="449"/>
      <c r="BG519" s="449"/>
      <c r="BH519" s="449"/>
      <c r="BI519" s="449"/>
      <c r="BJ519" s="449"/>
      <c r="BK519" s="449"/>
      <c r="BL519" s="449"/>
      <c r="BM519" s="449"/>
      <c r="BN519" s="449"/>
    </row>
    <row r="520" spans="1:66" ht="13.15" x14ac:dyDescent="0.4">
      <c r="A520" s="430"/>
      <c r="B520" s="430"/>
      <c r="C520" s="430"/>
      <c r="D520" s="430"/>
      <c r="E520" s="430"/>
      <c r="F520" s="430"/>
      <c r="G520" s="430"/>
      <c r="H520" s="461"/>
      <c r="I520" s="438"/>
      <c r="J520" s="438"/>
      <c r="K520" s="438"/>
      <c r="L520" s="430"/>
      <c r="M520" s="430"/>
      <c r="N520" s="461"/>
      <c r="O520" s="461"/>
      <c r="P520" s="430"/>
      <c r="Q520" s="430"/>
      <c r="R520" s="430"/>
      <c r="S520" s="430"/>
      <c r="T520" s="430"/>
      <c r="U520" s="430"/>
      <c r="V520" s="430"/>
      <c r="W520" s="430"/>
      <c r="X520" s="449"/>
      <c r="Y520" s="449"/>
      <c r="Z520" s="450"/>
      <c r="AA520" s="449"/>
      <c r="AB520" s="451"/>
      <c r="AC520" s="450"/>
      <c r="AD520" s="449"/>
      <c r="AE520" s="451"/>
      <c r="AF520" s="450"/>
      <c r="AG520" s="449"/>
      <c r="AH520" s="451"/>
      <c r="AI520" s="450"/>
      <c r="AJ520" s="449"/>
      <c r="AK520" s="451"/>
      <c r="AL520" s="450"/>
      <c r="AM520" s="449"/>
      <c r="AN520" s="451"/>
      <c r="AO520" s="450"/>
      <c r="AP520" s="449"/>
      <c r="AQ520" s="451"/>
      <c r="AR520" s="449"/>
      <c r="AS520" s="449"/>
      <c r="AT520" s="451"/>
      <c r="AU520" s="449"/>
      <c r="AV520" s="451"/>
      <c r="AW520" s="449"/>
      <c r="AX520" s="449"/>
      <c r="AY520" s="449"/>
      <c r="AZ520" s="449"/>
      <c r="BA520" s="449"/>
      <c r="BB520" s="449"/>
      <c r="BC520" s="449"/>
      <c r="BD520" s="449"/>
      <c r="BE520" s="449"/>
      <c r="BF520" s="449"/>
      <c r="BG520" s="449"/>
      <c r="BH520" s="449"/>
      <c r="BI520" s="449"/>
      <c r="BJ520" s="449"/>
      <c r="BK520" s="449"/>
      <c r="BL520" s="449"/>
      <c r="BM520" s="449"/>
      <c r="BN520" s="449"/>
    </row>
    <row r="521" spans="1:66" ht="13.15" x14ac:dyDescent="0.4">
      <c r="A521" s="430"/>
      <c r="B521" s="430"/>
      <c r="C521" s="430"/>
      <c r="D521" s="430"/>
      <c r="E521" s="430"/>
      <c r="F521" s="430"/>
      <c r="G521" s="430"/>
      <c r="H521" s="461"/>
      <c r="I521" s="438"/>
      <c r="J521" s="438"/>
      <c r="K521" s="438"/>
      <c r="L521" s="430"/>
      <c r="M521" s="430"/>
      <c r="N521" s="461"/>
      <c r="O521" s="461"/>
      <c r="P521" s="430"/>
      <c r="Q521" s="430"/>
      <c r="R521" s="430"/>
      <c r="S521" s="430"/>
      <c r="T521" s="430"/>
      <c r="U521" s="430"/>
      <c r="V521" s="430"/>
      <c r="W521" s="430"/>
      <c r="X521" s="449"/>
      <c r="Y521" s="449"/>
      <c r="Z521" s="450"/>
      <c r="AA521" s="449"/>
      <c r="AB521" s="451"/>
      <c r="AC521" s="450"/>
      <c r="AD521" s="449"/>
      <c r="AE521" s="451"/>
      <c r="AF521" s="450"/>
      <c r="AG521" s="449"/>
      <c r="AH521" s="451"/>
      <c r="AI521" s="450"/>
      <c r="AJ521" s="449"/>
      <c r="AK521" s="451"/>
      <c r="AL521" s="450"/>
      <c r="AM521" s="449"/>
      <c r="AN521" s="451"/>
      <c r="AO521" s="450"/>
      <c r="AP521" s="449"/>
      <c r="AQ521" s="451"/>
      <c r="AR521" s="449"/>
      <c r="AS521" s="449"/>
      <c r="AT521" s="451"/>
      <c r="AU521" s="449"/>
      <c r="AV521" s="451"/>
      <c r="AW521" s="449"/>
      <c r="AX521" s="449"/>
      <c r="AY521" s="449"/>
      <c r="AZ521" s="449"/>
      <c r="BA521" s="449"/>
      <c r="BB521" s="449"/>
      <c r="BC521" s="449"/>
      <c r="BD521" s="449"/>
      <c r="BE521" s="449"/>
      <c r="BF521" s="449"/>
      <c r="BG521" s="449"/>
      <c r="BH521" s="449"/>
      <c r="BI521" s="449"/>
      <c r="BJ521" s="449"/>
      <c r="BK521" s="449"/>
      <c r="BL521" s="449"/>
      <c r="BM521" s="449"/>
      <c r="BN521" s="449"/>
    </row>
    <row r="522" spans="1:66" ht="13.15" x14ac:dyDescent="0.4">
      <c r="A522" s="430"/>
      <c r="B522" s="430"/>
      <c r="C522" s="430"/>
      <c r="D522" s="430"/>
      <c r="E522" s="430"/>
      <c r="F522" s="430"/>
      <c r="G522" s="430"/>
      <c r="H522" s="461"/>
      <c r="I522" s="438"/>
      <c r="J522" s="438"/>
      <c r="K522" s="438"/>
      <c r="L522" s="430"/>
      <c r="M522" s="430"/>
      <c r="N522" s="461"/>
      <c r="O522" s="461"/>
      <c r="P522" s="430"/>
      <c r="Q522" s="430"/>
      <c r="R522" s="430"/>
      <c r="S522" s="430"/>
      <c r="T522" s="430"/>
      <c r="U522" s="430"/>
      <c r="V522" s="430"/>
      <c r="W522" s="430"/>
      <c r="X522" s="449"/>
      <c r="Y522" s="449"/>
      <c r="Z522" s="450"/>
      <c r="AA522" s="449"/>
      <c r="AB522" s="451"/>
      <c r="AC522" s="450"/>
      <c r="AD522" s="449"/>
      <c r="AE522" s="451"/>
      <c r="AF522" s="450"/>
      <c r="AG522" s="449"/>
      <c r="AH522" s="451"/>
      <c r="AI522" s="450"/>
      <c r="AJ522" s="449"/>
      <c r="AK522" s="451"/>
      <c r="AL522" s="450"/>
      <c r="AM522" s="449"/>
      <c r="AN522" s="451"/>
      <c r="AO522" s="450"/>
      <c r="AP522" s="449"/>
      <c r="AQ522" s="451"/>
      <c r="AR522" s="449"/>
      <c r="AS522" s="449"/>
      <c r="AT522" s="451"/>
      <c r="AU522" s="449"/>
      <c r="AV522" s="451"/>
      <c r="AW522" s="449"/>
      <c r="AX522" s="449"/>
      <c r="AY522" s="449"/>
      <c r="AZ522" s="449"/>
      <c r="BA522" s="449"/>
      <c r="BB522" s="449"/>
      <c r="BC522" s="449"/>
      <c r="BD522" s="449"/>
      <c r="BE522" s="449"/>
      <c r="BF522" s="449"/>
      <c r="BG522" s="449"/>
      <c r="BH522" s="449"/>
      <c r="BI522" s="449"/>
      <c r="BJ522" s="449"/>
      <c r="BK522" s="449"/>
      <c r="BL522" s="449"/>
      <c r="BM522" s="449"/>
      <c r="BN522" s="449"/>
    </row>
    <row r="523" spans="1:66" ht="13.15" x14ac:dyDescent="0.4">
      <c r="A523" s="430"/>
      <c r="B523" s="430"/>
      <c r="C523" s="430"/>
      <c r="D523" s="430"/>
      <c r="E523" s="430"/>
      <c r="F523" s="430"/>
      <c r="G523" s="430"/>
      <c r="H523" s="461"/>
      <c r="I523" s="438"/>
      <c r="J523" s="438"/>
      <c r="K523" s="438"/>
      <c r="L523" s="430"/>
      <c r="M523" s="430"/>
      <c r="N523" s="461"/>
      <c r="O523" s="461"/>
      <c r="P523" s="430"/>
      <c r="Q523" s="430"/>
      <c r="R523" s="430"/>
      <c r="S523" s="430"/>
      <c r="T523" s="430"/>
      <c r="U523" s="430"/>
      <c r="V523" s="430"/>
      <c r="W523" s="430"/>
      <c r="X523" s="449"/>
      <c r="Y523" s="449"/>
      <c r="Z523" s="450"/>
      <c r="AA523" s="449"/>
      <c r="AB523" s="451"/>
      <c r="AC523" s="450"/>
      <c r="AD523" s="449"/>
      <c r="AE523" s="451"/>
      <c r="AF523" s="450"/>
      <c r="AG523" s="449"/>
      <c r="AH523" s="451"/>
      <c r="AI523" s="450"/>
      <c r="AJ523" s="449"/>
      <c r="AK523" s="451"/>
      <c r="AL523" s="450"/>
      <c r="AM523" s="449"/>
      <c r="AN523" s="451"/>
      <c r="AO523" s="450"/>
      <c r="AP523" s="449"/>
      <c r="AQ523" s="451"/>
      <c r="AR523" s="449"/>
      <c r="AS523" s="449"/>
      <c r="AT523" s="451"/>
      <c r="AU523" s="449"/>
      <c r="AV523" s="451"/>
      <c r="AW523" s="449"/>
      <c r="AX523" s="449"/>
      <c r="AY523" s="449"/>
      <c r="AZ523" s="449"/>
      <c r="BA523" s="449"/>
      <c r="BB523" s="449"/>
      <c r="BC523" s="449"/>
      <c r="BD523" s="449"/>
      <c r="BE523" s="449"/>
      <c r="BF523" s="449"/>
      <c r="BG523" s="449"/>
      <c r="BH523" s="449"/>
      <c r="BI523" s="449"/>
      <c r="BJ523" s="449"/>
      <c r="BK523" s="449"/>
      <c r="BL523" s="449"/>
      <c r="BM523" s="449"/>
      <c r="BN523" s="449"/>
    </row>
    <row r="524" spans="1:66" ht="13.15" x14ac:dyDescent="0.4">
      <c r="A524" s="430"/>
      <c r="B524" s="430"/>
      <c r="C524" s="430"/>
      <c r="D524" s="430"/>
      <c r="E524" s="430"/>
      <c r="F524" s="430"/>
      <c r="G524" s="430"/>
      <c r="H524" s="461"/>
      <c r="I524" s="438"/>
      <c r="J524" s="438"/>
      <c r="K524" s="438"/>
      <c r="L524" s="430"/>
      <c r="M524" s="430"/>
      <c r="N524" s="461"/>
      <c r="O524" s="461"/>
      <c r="P524" s="430"/>
      <c r="Q524" s="430"/>
      <c r="R524" s="430"/>
      <c r="S524" s="430"/>
      <c r="T524" s="430"/>
      <c r="U524" s="430"/>
      <c r="V524" s="430"/>
      <c r="W524" s="430"/>
      <c r="X524" s="449"/>
      <c r="Y524" s="449"/>
      <c r="Z524" s="450"/>
      <c r="AA524" s="449"/>
      <c r="AB524" s="451"/>
      <c r="AC524" s="450"/>
      <c r="AD524" s="449"/>
      <c r="AE524" s="451"/>
      <c r="AF524" s="450"/>
      <c r="AG524" s="449"/>
      <c r="AH524" s="451"/>
      <c r="AI524" s="450"/>
      <c r="AJ524" s="449"/>
      <c r="AK524" s="451"/>
      <c r="AL524" s="450"/>
      <c r="AM524" s="449"/>
      <c r="AN524" s="451"/>
      <c r="AO524" s="450"/>
      <c r="AP524" s="449"/>
      <c r="AQ524" s="451"/>
      <c r="AR524" s="449"/>
      <c r="AS524" s="449"/>
      <c r="AT524" s="451"/>
      <c r="AU524" s="449"/>
      <c r="AV524" s="451"/>
      <c r="AW524" s="449"/>
      <c r="AX524" s="449"/>
      <c r="AY524" s="449"/>
      <c r="AZ524" s="449"/>
      <c r="BA524" s="449"/>
      <c r="BB524" s="449"/>
      <c r="BC524" s="449"/>
      <c r="BD524" s="449"/>
      <c r="BE524" s="449"/>
      <c r="BF524" s="449"/>
      <c r="BG524" s="449"/>
      <c r="BH524" s="449"/>
      <c r="BI524" s="449"/>
      <c r="BJ524" s="449"/>
      <c r="BK524" s="449"/>
      <c r="BL524" s="449"/>
      <c r="BM524" s="449"/>
      <c r="BN524" s="449"/>
    </row>
    <row r="525" spans="1:66" ht="13.15" x14ac:dyDescent="0.4">
      <c r="A525" s="430"/>
      <c r="B525" s="430"/>
      <c r="C525" s="430"/>
      <c r="D525" s="430"/>
      <c r="E525" s="430"/>
      <c r="F525" s="430"/>
      <c r="G525" s="430"/>
      <c r="H525" s="461"/>
      <c r="I525" s="438"/>
      <c r="J525" s="438"/>
      <c r="K525" s="438"/>
      <c r="L525" s="430"/>
      <c r="M525" s="430"/>
      <c r="N525" s="461"/>
      <c r="O525" s="461"/>
      <c r="P525" s="430"/>
      <c r="Q525" s="430"/>
      <c r="R525" s="430"/>
      <c r="S525" s="430"/>
      <c r="T525" s="430"/>
      <c r="U525" s="430"/>
      <c r="V525" s="430"/>
      <c r="W525" s="430"/>
      <c r="X525" s="449"/>
      <c r="Y525" s="449"/>
      <c r="Z525" s="450"/>
      <c r="AA525" s="449"/>
      <c r="AB525" s="451"/>
      <c r="AC525" s="450"/>
      <c r="AD525" s="449"/>
      <c r="AE525" s="451"/>
      <c r="AF525" s="450"/>
      <c r="AG525" s="449"/>
      <c r="AH525" s="451"/>
      <c r="AI525" s="450"/>
      <c r="AJ525" s="449"/>
      <c r="AK525" s="451"/>
      <c r="AL525" s="450"/>
      <c r="AM525" s="449"/>
      <c r="AN525" s="451"/>
      <c r="AO525" s="450"/>
      <c r="AP525" s="449"/>
      <c r="AQ525" s="451"/>
      <c r="AR525" s="449"/>
      <c r="AS525" s="449"/>
      <c r="AT525" s="451"/>
      <c r="AU525" s="449"/>
      <c r="AV525" s="451"/>
      <c r="AW525" s="449"/>
      <c r="AX525" s="449"/>
      <c r="AY525" s="449"/>
      <c r="AZ525" s="449"/>
      <c r="BA525" s="449"/>
      <c r="BB525" s="449"/>
      <c r="BC525" s="449"/>
      <c r="BD525" s="449"/>
      <c r="BE525" s="449"/>
      <c r="BF525" s="449"/>
      <c r="BG525" s="449"/>
      <c r="BH525" s="449"/>
      <c r="BI525" s="449"/>
      <c r="BJ525" s="449"/>
      <c r="BK525" s="449"/>
      <c r="BL525" s="449"/>
      <c r="BM525" s="449"/>
      <c r="BN525" s="449"/>
    </row>
    <row r="526" spans="1:66" ht="13.15" x14ac:dyDescent="0.4">
      <c r="A526" s="430"/>
      <c r="B526" s="430"/>
      <c r="C526" s="430"/>
      <c r="D526" s="430"/>
      <c r="E526" s="430"/>
      <c r="F526" s="430"/>
      <c r="G526" s="430"/>
      <c r="H526" s="461"/>
      <c r="I526" s="438"/>
      <c r="J526" s="438"/>
      <c r="K526" s="438"/>
      <c r="L526" s="430"/>
      <c r="M526" s="430"/>
      <c r="N526" s="461"/>
      <c r="O526" s="461"/>
      <c r="P526" s="430"/>
      <c r="Q526" s="430"/>
      <c r="R526" s="430"/>
      <c r="S526" s="430"/>
      <c r="T526" s="430"/>
      <c r="U526" s="430"/>
      <c r="V526" s="430"/>
      <c r="W526" s="430"/>
      <c r="X526" s="449"/>
      <c r="Y526" s="449"/>
      <c r="Z526" s="450"/>
      <c r="AA526" s="449"/>
      <c r="AB526" s="451"/>
      <c r="AC526" s="450"/>
      <c r="AD526" s="449"/>
      <c r="AE526" s="451"/>
      <c r="AF526" s="450"/>
      <c r="AG526" s="449"/>
      <c r="AH526" s="451"/>
      <c r="AI526" s="450"/>
      <c r="AJ526" s="449"/>
      <c r="AK526" s="451"/>
      <c r="AL526" s="450"/>
      <c r="AM526" s="449"/>
      <c r="AN526" s="451"/>
      <c r="AO526" s="450"/>
      <c r="AP526" s="449"/>
      <c r="AQ526" s="451"/>
      <c r="AR526" s="449"/>
      <c r="AS526" s="449"/>
      <c r="AT526" s="451"/>
      <c r="AU526" s="449"/>
      <c r="AV526" s="451"/>
      <c r="AW526" s="449"/>
      <c r="AX526" s="449"/>
      <c r="AY526" s="449"/>
      <c r="AZ526" s="449"/>
      <c r="BA526" s="449"/>
      <c r="BB526" s="449"/>
      <c r="BC526" s="449"/>
      <c r="BD526" s="449"/>
      <c r="BE526" s="449"/>
      <c r="BF526" s="449"/>
      <c r="BG526" s="449"/>
      <c r="BH526" s="449"/>
      <c r="BI526" s="449"/>
      <c r="BJ526" s="449"/>
      <c r="BK526" s="449"/>
      <c r="BL526" s="449"/>
      <c r="BM526" s="449"/>
      <c r="BN526" s="449"/>
    </row>
    <row r="527" spans="1:66" ht="13.15" x14ac:dyDescent="0.4">
      <c r="A527" s="430"/>
      <c r="B527" s="430"/>
      <c r="C527" s="430"/>
      <c r="D527" s="430"/>
      <c r="E527" s="430"/>
      <c r="F527" s="430"/>
      <c r="G527" s="430"/>
      <c r="H527" s="461"/>
      <c r="I527" s="438"/>
      <c r="J527" s="438"/>
      <c r="K527" s="438"/>
      <c r="L527" s="430"/>
      <c r="M527" s="430"/>
      <c r="N527" s="461"/>
      <c r="O527" s="461"/>
      <c r="P527" s="430"/>
      <c r="Q527" s="430"/>
      <c r="R527" s="430"/>
      <c r="S527" s="430"/>
      <c r="T527" s="430"/>
      <c r="U527" s="430"/>
      <c r="V527" s="430"/>
      <c r="W527" s="430"/>
      <c r="X527" s="449"/>
      <c r="Y527" s="449"/>
      <c r="Z527" s="450"/>
      <c r="AA527" s="449"/>
      <c r="AB527" s="451"/>
      <c r="AC527" s="450"/>
      <c r="AD527" s="449"/>
      <c r="AE527" s="451"/>
      <c r="AF527" s="450"/>
      <c r="AG527" s="449"/>
      <c r="AH527" s="451"/>
      <c r="AI527" s="450"/>
      <c r="AJ527" s="449"/>
      <c r="AK527" s="451"/>
      <c r="AL527" s="450"/>
      <c r="AM527" s="449"/>
      <c r="AN527" s="451"/>
      <c r="AO527" s="450"/>
      <c r="AP527" s="449"/>
      <c r="AQ527" s="451"/>
      <c r="AR527" s="449"/>
      <c r="AS527" s="449"/>
      <c r="AT527" s="451"/>
      <c r="AU527" s="449"/>
      <c r="AV527" s="451"/>
      <c r="AW527" s="449"/>
      <c r="AX527" s="449"/>
      <c r="AY527" s="449"/>
      <c r="AZ527" s="449"/>
      <c r="BA527" s="449"/>
      <c r="BB527" s="449"/>
      <c r="BC527" s="449"/>
      <c r="BD527" s="449"/>
      <c r="BE527" s="449"/>
      <c r="BF527" s="449"/>
      <c r="BG527" s="449"/>
      <c r="BH527" s="449"/>
      <c r="BI527" s="449"/>
      <c r="BJ527" s="449"/>
      <c r="BK527" s="449"/>
      <c r="BL527" s="449"/>
      <c r="BM527" s="449"/>
      <c r="BN527" s="449"/>
    </row>
    <row r="528" spans="1:66" ht="13.15" x14ac:dyDescent="0.4">
      <c r="A528" s="430"/>
      <c r="B528" s="430"/>
      <c r="C528" s="430"/>
      <c r="D528" s="430"/>
      <c r="E528" s="430"/>
      <c r="F528" s="430"/>
      <c r="G528" s="430"/>
      <c r="H528" s="461"/>
      <c r="I528" s="438"/>
      <c r="J528" s="438"/>
      <c r="K528" s="438"/>
      <c r="L528" s="430"/>
      <c r="M528" s="430"/>
      <c r="N528" s="461"/>
      <c r="O528" s="461"/>
      <c r="P528" s="430"/>
      <c r="Q528" s="430"/>
      <c r="R528" s="430"/>
      <c r="S528" s="430"/>
      <c r="T528" s="430"/>
      <c r="U528" s="430"/>
      <c r="V528" s="430"/>
      <c r="W528" s="430"/>
      <c r="X528" s="449"/>
      <c r="Y528" s="449"/>
      <c r="Z528" s="450"/>
      <c r="AA528" s="449"/>
      <c r="AB528" s="451"/>
      <c r="AC528" s="450"/>
      <c r="AD528" s="449"/>
      <c r="AE528" s="451"/>
      <c r="AF528" s="450"/>
      <c r="AG528" s="449"/>
      <c r="AH528" s="451"/>
      <c r="AI528" s="450"/>
      <c r="AJ528" s="449"/>
      <c r="AK528" s="451"/>
      <c r="AL528" s="450"/>
      <c r="AM528" s="449"/>
      <c r="AN528" s="451"/>
      <c r="AO528" s="450"/>
      <c r="AP528" s="449"/>
      <c r="AQ528" s="451"/>
      <c r="AR528" s="449"/>
      <c r="AS528" s="449"/>
      <c r="AT528" s="451"/>
      <c r="AU528" s="449"/>
      <c r="AV528" s="451"/>
      <c r="AW528" s="449"/>
      <c r="AX528" s="449"/>
      <c r="AY528" s="449"/>
      <c r="AZ528" s="449"/>
      <c r="BA528" s="449"/>
      <c r="BB528" s="449"/>
      <c r="BC528" s="449"/>
      <c r="BD528" s="449"/>
      <c r="BE528" s="449"/>
      <c r="BF528" s="449"/>
      <c r="BG528" s="449"/>
      <c r="BH528" s="449"/>
      <c r="BI528" s="449"/>
      <c r="BJ528" s="449"/>
      <c r="BK528" s="449"/>
      <c r="BL528" s="449"/>
      <c r="BM528" s="449"/>
      <c r="BN528" s="449"/>
    </row>
    <row r="529" spans="1:66" ht="13.15" x14ac:dyDescent="0.4">
      <c r="A529" s="430"/>
      <c r="B529" s="430"/>
      <c r="C529" s="430"/>
      <c r="D529" s="430"/>
      <c r="E529" s="430"/>
      <c r="F529" s="430"/>
      <c r="G529" s="430"/>
      <c r="H529" s="461"/>
      <c r="I529" s="438"/>
      <c r="J529" s="438"/>
      <c r="K529" s="438"/>
      <c r="L529" s="430"/>
      <c r="M529" s="430"/>
      <c r="N529" s="461"/>
      <c r="O529" s="461"/>
      <c r="P529" s="430"/>
      <c r="Q529" s="430"/>
      <c r="R529" s="430"/>
      <c r="S529" s="430"/>
      <c r="T529" s="430"/>
      <c r="U529" s="430"/>
      <c r="V529" s="430"/>
      <c r="W529" s="430"/>
      <c r="X529" s="449"/>
      <c r="Y529" s="449"/>
      <c r="Z529" s="450"/>
      <c r="AA529" s="449"/>
      <c r="AB529" s="451"/>
      <c r="AC529" s="450"/>
      <c r="AD529" s="449"/>
      <c r="AE529" s="451"/>
      <c r="AF529" s="450"/>
      <c r="AG529" s="449"/>
      <c r="AH529" s="451"/>
      <c r="AI529" s="450"/>
      <c r="AJ529" s="449"/>
      <c r="AK529" s="451"/>
      <c r="AL529" s="450"/>
      <c r="AM529" s="449"/>
      <c r="AN529" s="451"/>
      <c r="AO529" s="450"/>
      <c r="AP529" s="449"/>
      <c r="AQ529" s="451"/>
      <c r="AR529" s="449"/>
      <c r="AS529" s="449"/>
      <c r="AT529" s="451"/>
      <c r="AU529" s="449"/>
      <c r="AV529" s="451"/>
      <c r="AW529" s="449"/>
      <c r="AX529" s="449"/>
      <c r="AY529" s="449"/>
      <c r="AZ529" s="449"/>
      <c r="BA529" s="449"/>
      <c r="BB529" s="449"/>
      <c r="BC529" s="449"/>
      <c r="BD529" s="449"/>
      <c r="BE529" s="449"/>
      <c r="BF529" s="449"/>
      <c r="BG529" s="449"/>
      <c r="BH529" s="449"/>
      <c r="BI529" s="449"/>
      <c r="BJ529" s="449"/>
      <c r="BK529" s="449"/>
      <c r="BL529" s="449"/>
      <c r="BM529" s="449"/>
      <c r="BN529" s="449"/>
    </row>
    <row r="530" spans="1:66" ht="13.15" x14ac:dyDescent="0.4">
      <c r="A530" s="430"/>
      <c r="B530" s="430"/>
      <c r="C530" s="430"/>
      <c r="D530" s="430"/>
      <c r="E530" s="430"/>
      <c r="F530" s="430"/>
      <c r="G530" s="430"/>
      <c r="H530" s="461"/>
      <c r="I530" s="438"/>
      <c r="J530" s="438"/>
      <c r="K530" s="438"/>
      <c r="L530" s="430"/>
      <c r="M530" s="430"/>
      <c r="N530" s="461"/>
      <c r="O530" s="461"/>
      <c r="P530" s="430"/>
      <c r="Q530" s="430"/>
      <c r="R530" s="430"/>
      <c r="S530" s="430"/>
      <c r="T530" s="430"/>
      <c r="U530" s="430"/>
      <c r="V530" s="430"/>
      <c r="W530" s="430"/>
      <c r="X530" s="449"/>
      <c r="Y530" s="449"/>
      <c r="Z530" s="450"/>
      <c r="AA530" s="449"/>
      <c r="AB530" s="451"/>
      <c r="AC530" s="450"/>
      <c r="AD530" s="449"/>
      <c r="AE530" s="451"/>
      <c r="AF530" s="450"/>
      <c r="AG530" s="449"/>
      <c r="AH530" s="451"/>
      <c r="AI530" s="450"/>
      <c r="AJ530" s="449"/>
      <c r="AK530" s="451"/>
      <c r="AL530" s="450"/>
      <c r="AM530" s="449"/>
      <c r="AN530" s="451"/>
      <c r="AO530" s="450"/>
      <c r="AP530" s="449"/>
      <c r="AQ530" s="451"/>
      <c r="AR530" s="449"/>
      <c r="AS530" s="449"/>
      <c r="AT530" s="451"/>
      <c r="AU530" s="449"/>
      <c r="AV530" s="451"/>
      <c r="AW530" s="449"/>
      <c r="AX530" s="449"/>
      <c r="AY530" s="449"/>
      <c r="AZ530" s="449"/>
      <c r="BA530" s="449"/>
      <c r="BB530" s="449"/>
      <c r="BC530" s="449"/>
      <c r="BD530" s="449"/>
      <c r="BE530" s="449"/>
      <c r="BF530" s="449"/>
      <c r="BG530" s="449"/>
      <c r="BH530" s="449"/>
      <c r="BI530" s="449"/>
      <c r="BJ530" s="449"/>
      <c r="BK530" s="449"/>
      <c r="BL530" s="449"/>
      <c r="BM530" s="449"/>
      <c r="BN530" s="449"/>
    </row>
    <row r="531" spans="1:66" ht="13.15" x14ac:dyDescent="0.4">
      <c r="A531" s="430"/>
      <c r="B531" s="430"/>
      <c r="C531" s="430"/>
      <c r="D531" s="430"/>
      <c r="E531" s="430"/>
      <c r="F531" s="430"/>
      <c r="G531" s="430"/>
      <c r="H531" s="461"/>
      <c r="I531" s="438"/>
      <c r="J531" s="438"/>
      <c r="K531" s="438"/>
      <c r="L531" s="430"/>
      <c r="M531" s="430"/>
      <c r="N531" s="461"/>
      <c r="O531" s="461"/>
      <c r="P531" s="430"/>
      <c r="Q531" s="430"/>
      <c r="R531" s="430"/>
      <c r="S531" s="430"/>
      <c r="T531" s="430"/>
      <c r="U531" s="430"/>
      <c r="V531" s="430"/>
      <c r="W531" s="430"/>
      <c r="X531" s="449"/>
      <c r="Y531" s="449"/>
      <c r="Z531" s="450"/>
      <c r="AA531" s="449"/>
      <c r="AB531" s="451"/>
      <c r="AC531" s="450"/>
      <c r="AD531" s="449"/>
      <c r="AE531" s="451"/>
      <c r="AF531" s="450"/>
      <c r="AG531" s="449"/>
      <c r="AH531" s="451"/>
      <c r="AI531" s="450"/>
      <c r="AJ531" s="449"/>
      <c r="AK531" s="451"/>
      <c r="AL531" s="450"/>
      <c r="AM531" s="449"/>
      <c r="AN531" s="451"/>
      <c r="AO531" s="450"/>
      <c r="AP531" s="449"/>
      <c r="AQ531" s="451"/>
      <c r="AR531" s="449"/>
      <c r="AS531" s="449"/>
      <c r="AT531" s="451"/>
      <c r="AU531" s="449"/>
      <c r="AV531" s="451"/>
      <c r="AW531" s="449"/>
      <c r="AX531" s="449"/>
      <c r="AY531" s="449"/>
      <c r="AZ531" s="449"/>
      <c r="BA531" s="449"/>
      <c r="BB531" s="449"/>
      <c r="BC531" s="449"/>
      <c r="BD531" s="449"/>
      <c r="BE531" s="449"/>
      <c r="BF531" s="449"/>
      <c r="BG531" s="449"/>
      <c r="BH531" s="449"/>
      <c r="BI531" s="449"/>
      <c r="BJ531" s="449"/>
      <c r="BK531" s="449"/>
      <c r="BL531" s="449"/>
      <c r="BM531" s="449"/>
      <c r="BN531" s="449"/>
    </row>
    <row r="532" spans="1:66" ht="13.15" x14ac:dyDescent="0.4">
      <c r="A532" s="430"/>
      <c r="B532" s="430"/>
      <c r="C532" s="430"/>
      <c r="D532" s="430"/>
      <c r="E532" s="430"/>
      <c r="F532" s="430"/>
      <c r="G532" s="430"/>
      <c r="H532" s="461"/>
      <c r="I532" s="438"/>
      <c r="J532" s="438"/>
      <c r="K532" s="438"/>
      <c r="L532" s="430"/>
      <c r="M532" s="430"/>
      <c r="N532" s="461"/>
      <c r="O532" s="461"/>
      <c r="P532" s="430"/>
      <c r="Q532" s="430"/>
      <c r="R532" s="430"/>
      <c r="S532" s="430"/>
      <c r="T532" s="430"/>
      <c r="U532" s="430"/>
      <c r="V532" s="430"/>
      <c r="W532" s="430"/>
      <c r="X532" s="449"/>
      <c r="Y532" s="449"/>
      <c r="Z532" s="450"/>
      <c r="AA532" s="449"/>
      <c r="AB532" s="451"/>
      <c r="AC532" s="450"/>
      <c r="AD532" s="449"/>
      <c r="AE532" s="451"/>
      <c r="AF532" s="450"/>
      <c r="AG532" s="449"/>
      <c r="AH532" s="451"/>
      <c r="AI532" s="450"/>
      <c r="AJ532" s="449"/>
      <c r="AK532" s="451"/>
      <c r="AL532" s="450"/>
      <c r="AM532" s="449"/>
      <c r="AN532" s="451"/>
      <c r="AO532" s="450"/>
      <c r="AP532" s="449"/>
      <c r="AQ532" s="451"/>
      <c r="AR532" s="449"/>
      <c r="AS532" s="449"/>
      <c r="AT532" s="451"/>
      <c r="AU532" s="449"/>
      <c r="AV532" s="451"/>
      <c r="AW532" s="449"/>
      <c r="AX532" s="449"/>
      <c r="AY532" s="449"/>
      <c r="AZ532" s="449"/>
      <c r="BA532" s="449"/>
      <c r="BB532" s="449"/>
      <c r="BC532" s="449"/>
      <c r="BD532" s="449"/>
      <c r="BE532" s="449"/>
      <c r="BF532" s="449"/>
      <c r="BG532" s="449"/>
      <c r="BH532" s="449"/>
      <c r="BI532" s="449"/>
      <c r="BJ532" s="449"/>
      <c r="BK532" s="449"/>
      <c r="BL532" s="449"/>
      <c r="BM532" s="449"/>
      <c r="BN532" s="449"/>
    </row>
    <row r="533" spans="1:66" ht="13.15" x14ac:dyDescent="0.4">
      <c r="A533" s="430"/>
      <c r="B533" s="430"/>
      <c r="C533" s="430"/>
      <c r="D533" s="430"/>
      <c r="E533" s="430"/>
      <c r="F533" s="430"/>
      <c r="G533" s="430"/>
      <c r="H533" s="461"/>
      <c r="I533" s="438"/>
      <c r="J533" s="438"/>
      <c r="K533" s="438"/>
      <c r="L533" s="430"/>
      <c r="M533" s="430"/>
      <c r="N533" s="461"/>
      <c r="O533" s="461"/>
      <c r="P533" s="430"/>
      <c r="Q533" s="430"/>
      <c r="R533" s="430"/>
      <c r="S533" s="430"/>
      <c r="T533" s="430"/>
      <c r="U533" s="430"/>
      <c r="V533" s="430"/>
      <c r="W533" s="430"/>
      <c r="X533" s="449"/>
      <c r="Y533" s="449"/>
      <c r="Z533" s="450"/>
      <c r="AA533" s="449"/>
      <c r="AB533" s="451"/>
      <c r="AC533" s="450"/>
      <c r="AD533" s="449"/>
      <c r="AE533" s="451"/>
      <c r="AF533" s="450"/>
      <c r="AG533" s="449"/>
      <c r="AH533" s="451"/>
      <c r="AI533" s="450"/>
      <c r="AJ533" s="449"/>
      <c r="AK533" s="451"/>
      <c r="AL533" s="450"/>
      <c r="AM533" s="449"/>
      <c r="AN533" s="451"/>
      <c r="AO533" s="450"/>
      <c r="AP533" s="449"/>
      <c r="AQ533" s="451"/>
      <c r="AR533" s="449"/>
      <c r="AS533" s="449"/>
      <c r="AT533" s="451"/>
      <c r="AU533" s="449"/>
      <c r="AV533" s="451"/>
      <c r="AW533" s="449"/>
      <c r="AX533" s="449"/>
      <c r="AY533" s="449"/>
      <c r="AZ533" s="449"/>
      <c r="BA533" s="449"/>
      <c r="BB533" s="449"/>
      <c r="BC533" s="449"/>
      <c r="BD533" s="449"/>
      <c r="BE533" s="449"/>
      <c r="BF533" s="449"/>
      <c r="BG533" s="449"/>
      <c r="BH533" s="449"/>
      <c r="BI533" s="449"/>
      <c r="BJ533" s="449"/>
      <c r="BK533" s="449"/>
      <c r="BL533" s="449"/>
      <c r="BM533" s="449"/>
      <c r="BN533" s="449"/>
    </row>
    <row r="534" spans="1:66" ht="13.15" x14ac:dyDescent="0.4">
      <c r="A534" s="430"/>
      <c r="B534" s="430"/>
      <c r="C534" s="430"/>
      <c r="D534" s="430"/>
      <c r="E534" s="430"/>
      <c r="F534" s="430"/>
      <c r="G534" s="430"/>
      <c r="H534" s="461"/>
      <c r="I534" s="438"/>
      <c r="J534" s="438"/>
      <c r="K534" s="438"/>
      <c r="L534" s="430"/>
      <c r="M534" s="430"/>
      <c r="N534" s="461"/>
      <c r="O534" s="461"/>
      <c r="P534" s="430"/>
      <c r="Q534" s="430"/>
      <c r="R534" s="430"/>
      <c r="S534" s="430"/>
      <c r="T534" s="430"/>
      <c r="U534" s="430"/>
      <c r="V534" s="430"/>
      <c r="W534" s="430"/>
      <c r="X534" s="449"/>
      <c r="Y534" s="449"/>
      <c r="Z534" s="450"/>
      <c r="AA534" s="449"/>
      <c r="AB534" s="451"/>
      <c r="AC534" s="450"/>
      <c r="AD534" s="449"/>
      <c r="AE534" s="451"/>
      <c r="AF534" s="450"/>
      <c r="AG534" s="449"/>
      <c r="AH534" s="451"/>
      <c r="AI534" s="450"/>
      <c r="AJ534" s="449"/>
      <c r="AK534" s="451"/>
      <c r="AL534" s="450"/>
      <c r="AM534" s="449"/>
      <c r="AN534" s="451"/>
      <c r="AO534" s="450"/>
      <c r="AP534" s="449"/>
      <c r="AQ534" s="451"/>
      <c r="AR534" s="449"/>
      <c r="AS534" s="449"/>
      <c r="AT534" s="451"/>
      <c r="AU534" s="449"/>
      <c r="AV534" s="451"/>
      <c r="AW534" s="449"/>
      <c r="AX534" s="449"/>
      <c r="AY534" s="449"/>
      <c r="AZ534" s="449"/>
      <c r="BA534" s="449"/>
      <c r="BB534" s="449"/>
      <c r="BC534" s="449"/>
      <c r="BD534" s="449"/>
      <c r="BE534" s="449"/>
      <c r="BF534" s="449"/>
      <c r="BG534" s="449"/>
      <c r="BH534" s="449"/>
      <c r="BI534" s="449"/>
      <c r="BJ534" s="449"/>
      <c r="BK534" s="449"/>
      <c r="BL534" s="449"/>
      <c r="BM534" s="449"/>
      <c r="BN534" s="449"/>
    </row>
    <row r="535" spans="1:66" ht="13.15" x14ac:dyDescent="0.4">
      <c r="A535" s="430"/>
      <c r="B535" s="430"/>
      <c r="C535" s="430"/>
      <c r="D535" s="430"/>
      <c r="E535" s="430"/>
      <c r="F535" s="430"/>
      <c r="G535" s="430"/>
      <c r="H535" s="461"/>
      <c r="I535" s="438"/>
      <c r="J535" s="438"/>
      <c r="K535" s="438"/>
      <c r="L535" s="430"/>
      <c r="M535" s="430"/>
      <c r="N535" s="461"/>
      <c r="O535" s="461"/>
      <c r="P535" s="430"/>
      <c r="Q535" s="430"/>
      <c r="R535" s="430"/>
      <c r="S535" s="430"/>
      <c r="T535" s="430"/>
      <c r="U535" s="430"/>
      <c r="V535" s="430"/>
      <c r="W535" s="430"/>
      <c r="X535" s="449"/>
      <c r="Y535" s="449"/>
      <c r="Z535" s="450"/>
      <c r="AA535" s="449"/>
      <c r="AB535" s="451"/>
      <c r="AC535" s="450"/>
      <c r="AD535" s="449"/>
      <c r="AE535" s="451"/>
      <c r="AF535" s="450"/>
      <c r="AG535" s="449"/>
      <c r="AH535" s="451"/>
      <c r="AI535" s="450"/>
      <c r="AJ535" s="449"/>
      <c r="AK535" s="451"/>
      <c r="AL535" s="450"/>
      <c r="AM535" s="449"/>
      <c r="AN535" s="451"/>
      <c r="AO535" s="450"/>
      <c r="AP535" s="449"/>
      <c r="AQ535" s="451"/>
      <c r="AR535" s="449"/>
      <c r="AS535" s="449"/>
      <c r="AT535" s="451"/>
      <c r="AU535" s="449"/>
      <c r="AV535" s="451"/>
      <c r="AW535" s="449"/>
      <c r="AX535" s="449"/>
      <c r="AY535" s="449"/>
      <c r="AZ535" s="449"/>
      <c r="BA535" s="449"/>
      <c r="BB535" s="449"/>
      <c r="BC535" s="449"/>
      <c r="BD535" s="449"/>
      <c r="BE535" s="449"/>
      <c r="BF535" s="449"/>
      <c r="BG535" s="449"/>
      <c r="BH535" s="449"/>
      <c r="BI535" s="449"/>
      <c r="BJ535" s="449"/>
      <c r="BK535" s="449"/>
      <c r="BL535" s="449"/>
      <c r="BM535" s="449"/>
      <c r="BN535" s="449"/>
    </row>
    <row r="536" spans="1:66" ht="13.15" x14ac:dyDescent="0.4">
      <c r="A536" s="430"/>
      <c r="B536" s="430"/>
      <c r="C536" s="430"/>
      <c r="D536" s="430"/>
      <c r="E536" s="430"/>
      <c r="F536" s="430"/>
      <c r="G536" s="430"/>
      <c r="H536" s="461"/>
      <c r="I536" s="438"/>
      <c r="J536" s="438"/>
      <c r="K536" s="438"/>
      <c r="L536" s="430"/>
      <c r="M536" s="430"/>
      <c r="N536" s="461"/>
      <c r="O536" s="461"/>
      <c r="P536" s="430"/>
      <c r="Q536" s="430"/>
      <c r="R536" s="430"/>
      <c r="S536" s="430"/>
      <c r="T536" s="430"/>
      <c r="U536" s="430"/>
      <c r="V536" s="430"/>
      <c r="W536" s="430"/>
      <c r="X536" s="449"/>
      <c r="Y536" s="449"/>
      <c r="Z536" s="450"/>
      <c r="AA536" s="449"/>
      <c r="AB536" s="451"/>
      <c r="AC536" s="450"/>
      <c r="AD536" s="449"/>
      <c r="AE536" s="451"/>
      <c r="AF536" s="450"/>
      <c r="AG536" s="449"/>
      <c r="AH536" s="451"/>
      <c r="AI536" s="450"/>
      <c r="AJ536" s="449"/>
      <c r="AK536" s="451"/>
      <c r="AL536" s="450"/>
      <c r="AM536" s="449"/>
      <c r="AN536" s="451"/>
      <c r="AO536" s="450"/>
      <c r="AP536" s="449"/>
      <c r="AQ536" s="451"/>
      <c r="AR536" s="449"/>
      <c r="AS536" s="449"/>
      <c r="AT536" s="451"/>
      <c r="AU536" s="449"/>
      <c r="AV536" s="451"/>
      <c r="AW536" s="449"/>
      <c r="AX536" s="449"/>
      <c r="AY536" s="449"/>
      <c r="AZ536" s="449"/>
      <c r="BA536" s="449"/>
      <c r="BB536" s="449"/>
      <c r="BC536" s="449"/>
      <c r="BD536" s="449"/>
      <c r="BE536" s="449"/>
      <c r="BF536" s="449"/>
      <c r="BG536" s="449"/>
      <c r="BH536" s="449"/>
      <c r="BI536" s="449"/>
      <c r="BJ536" s="449"/>
      <c r="BK536" s="449"/>
      <c r="BL536" s="449"/>
      <c r="BM536" s="449"/>
      <c r="BN536" s="449"/>
    </row>
    <row r="537" spans="1:66" ht="13.15" x14ac:dyDescent="0.4">
      <c r="A537" s="430"/>
      <c r="B537" s="430"/>
      <c r="C537" s="430"/>
      <c r="D537" s="430"/>
      <c r="E537" s="430"/>
      <c r="F537" s="430"/>
      <c r="G537" s="430"/>
      <c r="H537" s="461"/>
      <c r="I537" s="438"/>
      <c r="J537" s="438"/>
      <c r="K537" s="438"/>
      <c r="L537" s="430"/>
      <c r="M537" s="430"/>
      <c r="N537" s="461"/>
      <c r="O537" s="461"/>
      <c r="P537" s="430"/>
      <c r="Q537" s="430"/>
      <c r="R537" s="430"/>
      <c r="S537" s="430"/>
      <c r="T537" s="430"/>
      <c r="U537" s="430"/>
      <c r="V537" s="430"/>
      <c r="W537" s="430"/>
      <c r="X537" s="449"/>
      <c r="Y537" s="449"/>
      <c r="Z537" s="450"/>
      <c r="AA537" s="449"/>
      <c r="AB537" s="451"/>
      <c r="AC537" s="450"/>
      <c r="AD537" s="449"/>
      <c r="AE537" s="451"/>
      <c r="AF537" s="450"/>
      <c r="AG537" s="449"/>
      <c r="AH537" s="451"/>
      <c r="AI537" s="450"/>
      <c r="AJ537" s="449"/>
      <c r="AK537" s="451"/>
      <c r="AL537" s="450"/>
      <c r="AM537" s="449"/>
      <c r="AN537" s="451"/>
      <c r="AO537" s="450"/>
      <c r="AP537" s="449"/>
      <c r="AQ537" s="451"/>
      <c r="AR537" s="449"/>
      <c r="AS537" s="449"/>
      <c r="AT537" s="451"/>
      <c r="AU537" s="449"/>
      <c r="AV537" s="451"/>
      <c r="AW537" s="449"/>
      <c r="AX537" s="449"/>
      <c r="AY537" s="449"/>
      <c r="AZ537" s="449"/>
      <c r="BA537" s="449"/>
      <c r="BB537" s="449"/>
      <c r="BC537" s="449"/>
      <c r="BD537" s="449"/>
      <c r="BE537" s="449"/>
      <c r="BF537" s="449"/>
      <c r="BG537" s="449"/>
      <c r="BH537" s="449"/>
      <c r="BI537" s="449"/>
      <c r="BJ537" s="449"/>
      <c r="BK537" s="449"/>
      <c r="BL537" s="449"/>
      <c r="BM537" s="449"/>
      <c r="BN537" s="449"/>
    </row>
    <row r="538" spans="1:66" ht="13.15" x14ac:dyDescent="0.4">
      <c r="A538" s="430"/>
      <c r="B538" s="430"/>
      <c r="C538" s="430"/>
      <c r="D538" s="430"/>
      <c r="E538" s="430"/>
      <c r="F538" s="430"/>
      <c r="G538" s="430"/>
      <c r="H538" s="461"/>
      <c r="I538" s="438"/>
      <c r="J538" s="438"/>
      <c r="K538" s="438"/>
      <c r="L538" s="430"/>
      <c r="M538" s="430"/>
      <c r="N538" s="461"/>
      <c r="O538" s="461"/>
      <c r="P538" s="430"/>
      <c r="Q538" s="430"/>
      <c r="R538" s="430"/>
      <c r="S538" s="430"/>
      <c r="T538" s="430"/>
      <c r="U538" s="430"/>
      <c r="V538" s="430"/>
      <c r="W538" s="430"/>
      <c r="X538" s="449"/>
      <c r="Y538" s="449"/>
      <c r="Z538" s="450"/>
      <c r="AA538" s="449"/>
      <c r="AB538" s="451"/>
      <c r="AC538" s="450"/>
      <c r="AD538" s="449"/>
      <c r="AE538" s="451"/>
      <c r="AF538" s="450"/>
      <c r="AG538" s="449"/>
      <c r="AH538" s="451"/>
      <c r="AI538" s="450"/>
      <c r="AJ538" s="449"/>
      <c r="AK538" s="451"/>
      <c r="AL538" s="450"/>
      <c r="AM538" s="449"/>
      <c r="AN538" s="451"/>
      <c r="AO538" s="450"/>
      <c r="AP538" s="449"/>
      <c r="AQ538" s="451"/>
      <c r="AR538" s="449"/>
      <c r="AS538" s="449"/>
      <c r="AT538" s="451"/>
      <c r="AU538" s="449"/>
      <c r="AV538" s="451"/>
      <c r="AW538" s="449"/>
      <c r="AX538" s="449"/>
      <c r="AY538" s="449"/>
      <c r="AZ538" s="449"/>
      <c r="BA538" s="449"/>
      <c r="BB538" s="449"/>
      <c r="BC538" s="449"/>
      <c r="BD538" s="449"/>
      <c r="BE538" s="449"/>
      <c r="BF538" s="449"/>
      <c r="BG538" s="449"/>
      <c r="BH538" s="449"/>
      <c r="BI538" s="449"/>
      <c r="BJ538" s="449"/>
      <c r="BK538" s="449"/>
      <c r="BL538" s="449"/>
      <c r="BM538" s="449"/>
      <c r="BN538" s="449"/>
    </row>
    <row r="539" spans="1:66" ht="13.15" x14ac:dyDescent="0.4">
      <c r="A539" s="430"/>
      <c r="B539" s="430"/>
      <c r="C539" s="430"/>
      <c r="D539" s="430"/>
      <c r="E539" s="430"/>
      <c r="F539" s="430"/>
      <c r="G539" s="430"/>
      <c r="H539" s="461"/>
      <c r="I539" s="438"/>
      <c r="J539" s="438"/>
      <c r="K539" s="438"/>
      <c r="L539" s="430"/>
      <c r="M539" s="430"/>
      <c r="N539" s="461"/>
      <c r="O539" s="461"/>
      <c r="P539" s="430"/>
      <c r="Q539" s="430"/>
      <c r="R539" s="430"/>
      <c r="S539" s="430"/>
      <c r="T539" s="430"/>
      <c r="U539" s="430"/>
      <c r="V539" s="430"/>
      <c r="W539" s="430"/>
      <c r="X539" s="449"/>
      <c r="Y539" s="449"/>
      <c r="Z539" s="450"/>
      <c r="AA539" s="449"/>
      <c r="AB539" s="451"/>
      <c r="AC539" s="450"/>
      <c r="AD539" s="449"/>
      <c r="AE539" s="451"/>
      <c r="AF539" s="450"/>
      <c r="AG539" s="449"/>
      <c r="AH539" s="451"/>
      <c r="AI539" s="450"/>
      <c r="AJ539" s="449"/>
      <c r="AK539" s="451"/>
      <c r="AL539" s="450"/>
      <c r="AM539" s="449"/>
      <c r="AN539" s="451"/>
      <c r="AO539" s="450"/>
      <c r="AP539" s="449"/>
      <c r="AQ539" s="451"/>
      <c r="AR539" s="449"/>
      <c r="AS539" s="449"/>
      <c r="AT539" s="451"/>
      <c r="AU539" s="449"/>
      <c r="AV539" s="451"/>
      <c r="AW539" s="449"/>
      <c r="AX539" s="449"/>
      <c r="AY539" s="449"/>
      <c r="AZ539" s="449"/>
      <c r="BA539" s="449"/>
      <c r="BB539" s="449"/>
      <c r="BC539" s="449"/>
      <c r="BD539" s="449"/>
      <c r="BE539" s="449"/>
      <c r="BF539" s="449"/>
      <c r="BG539" s="449"/>
      <c r="BH539" s="449"/>
      <c r="BI539" s="449"/>
      <c r="BJ539" s="449"/>
      <c r="BK539" s="449"/>
      <c r="BL539" s="449"/>
      <c r="BM539" s="449"/>
      <c r="BN539" s="449"/>
    </row>
    <row r="540" spans="1:66" ht="13.15" x14ac:dyDescent="0.4">
      <c r="A540" s="430"/>
      <c r="B540" s="430"/>
      <c r="C540" s="430"/>
      <c r="D540" s="430"/>
      <c r="E540" s="430"/>
      <c r="F540" s="430"/>
      <c r="G540" s="430"/>
      <c r="H540" s="461"/>
      <c r="I540" s="438"/>
      <c r="J540" s="438"/>
      <c r="K540" s="438"/>
      <c r="L540" s="430"/>
      <c r="M540" s="430"/>
      <c r="N540" s="461"/>
      <c r="O540" s="461"/>
      <c r="P540" s="430"/>
      <c r="Q540" s="430"/>
      <c r="R540" s="430"/>
      <c r="S540" s="430"/>
      <c r="T540" s="430"/>
      <c r="U540" s="430"/>
      <c r="V540" s="430"/>
      <c r="W540" s="430"/>
      <c r="X540" s="449"/>
      <c r="Y540" s="449"/>
      <c r="Z540" s="450"/>
      <c r="AA540" s="449"/>
      <c r="AB540" s="451"/>
      <c r="AC540" s="450"/>
      <c r="AD540" s="449"/>
      <c r="AE540" s="451"/>
      <c r="AF540" s="450"/>
      <c r="AG540" s="449"/>
      <c r="AH540" s="451"/>
      <c r="AI540" s="450"/>
      <c r="AJ540" s="449"/>
      <c r="AK540" s="451"/>
      <c r="AL540" s="450"/>
      <c r="AM540" s="449"/>
      <c r="AN540" s="451"/>
      <c r="AO540" s="450"/>
      <c r="AP540" s="449"/>
      <c r="AQ540" s="451"/>
      <c r="AR540" s="449"/>
      <c r="AS540" s="449"/>
      <c r="AT540" s="451"/>
      <c r="AU540" s="449"/>
      <c r="AV540" s="451"/>
      <c r="AW540" s="449"/>
      <c r="AX540" s="449"/>
      <c r="AY540" s="449"/>
      <c r="AZ540" s="449"/>
      <c r="BA540" s="449"/>
      <c r="BB540" s="449"/>
      <c r="BC540" s="449"/>
      <c r="BD540" s="449"/>
      <c r="BE540" s="449"/>
      <c r="BF540" s="449"/>
      <c r="BG540" s="449"/>
      <c r="BH540" s="449"/>
      <c r="BI540" s="449"/>
      <c r="BJ540" s="449"/>
      <c r="BK540" s="449"/>
      <c r="BL540" s="449"/>
      <c r="BM540" s="449"/>
      <c r="BN540" s="449"/>
    </row>
    <row r="541" spans="1:66" ht="13.15" x14ac:dyDescent="0.4">
      <c r="A541" s="430"/>
      <c r="B541" s="430"/>
      <c r="C541" s="430"/>
      <c r="D541" s="430"/>
      <c r="E541" s="430"/>
      <c r="F541" s="430"/>
      <c r="G541" s="430"/>
      <c r="H541" s="461"/>
      <c r="I541" s="438"/>
      <c r="J541" s="438"/>
      <c r="K541" s="438"/>
      <c r="L541" s="430"/>
      <c r="M541" s="430"/>
      <c r="N541" s="461"/>
      <c r="O541" s="461"/>
      <c r="P541" s="430"/>
      <c r="Q541" s="430"/>
      <c r="R541" s="430"/>
      <c r="S541" s="430"/>
      <c r="T541" s="430"/>
      <c r="U541" s="430"/>
      <c r="V541" s="430"/>
      <c r="W541" s="430"/>
      <c r="X541" s="449"/>
      <c r="Y541" s="449"/>
      <c r="Z541" s="450"/>
      <c r="AA541" s="449"/>
      <c r="AB541" s="451"/>
      <c r="AC541" s="450"/>
      <c r="AD541" s="449"/>
      <c r="AE541" s="451"/>
      <c r="AF541" s="450"/>
      <c r="AG541" s="449"/>
      <c r="AH541" s="451"/>
      <c r="AI541" s="450"/>
      <c r="AJ541" s="449"/>
      <c r="AK541" s="451"/>
      <c r="AL541" s="450"/>
      <c r="AM541" s="449"/>
      <c r="AN541" s="451"/>
      <c r="AO541" s="450"/>
      <c r="AP541" s="449"/>
      <c r="AQ541" s="451"/>
      <c r="AR541" s="449"/>
      <c r="AS541" s="449"/>
      <c r="AT541" s="451"/>
      <c r="AU541" s="449"/>
      <c r="AV541" s="451"/>
      <c r="AW541" s="449"/>
      <c r="AX541" s="449"/>
      <c r="AY541" s="449"/>
      <c r="AZ541" s="449"/>
      <c r="BA541" s="449"/>
      <c r="BB541" s="449"/>
      <c r="BC541" s="449"/>
      <c r="BD541" s="449"/>
      <c r="BE541" s="449"/>
      <c r="BF541" s="449"/>
      <c r="BG541" s="449"/>
      <c r="BH541" s="449"/>
      <c r="BI541" s="449"/>
      <c r="BJ541" s="449"/>
      <c r="BK541" s="449"/>
      <c r="BL541" s="449"/>
      <c r="BM541" s="449"/>
      <c r="BN541" s="449"/>
    </row>
    <row r="542" spans="1:66" ht="13.15" x14ac:dyDescent="0.4">
      <c r="A542" s="430"/>
      <c r="B542" s="430"/>
      <c r="C542" s="430"/>
      <c r="D542" s="430"/>
      <c r="E542" s="430"/>
      <c r="F542" s="430"/>
      <c r="G542" s="430"/>
      <c r="H542" s="461"/>
      <c r="I542" s="438"/>
      <c r="J542" s="438"/>
      <c r="K542" s="438"/>
      <c r="L542" s="430"/>
      <c r="M542" s="430"/>
      <c r="N542" s="461"/>
      <c r="O542" s="461"/>
      <c r="P542" s="430"/>
      <c r="Q542" s="430"/>
      <c r="R542" s="430"/>
      <c r="S542" s="430"/>
      <c r="T542" s="430"/>
      <c r="U542" s="430"/>
      <c r="V542" s="430"/>
      <c r="W542" s="430"/>
      <c r="X542" s="449"/>
      <c r="Y542" s="449"/>
      <c r="Z542" s="450"/>
      <c r="AA542" s="449"/>
      <c r="AB542" s="451"/>
      <c r="AC542" s="450"/>
      <c r="AD542" s="449"/>
      <c r="AE542" s="451"/>
      <c r="AF542" s="450"/>
      <c r="AG542" s="449"/>
      <c r="AH542" s="451"/>
      <c r="AI542" s="450"/>
      <c r="AJ542" s="449"/>
      <c r="AK542" s="451"/>
      <c r="AL542" s="450"/>
      <c r="AM542" s="449"/>
      <c r="AN542" s="451"/>
      <c r="AO542" s="450"/>
      <c r="AP542" s="449"/>
      <c r="AQ542" s="451"/>
      <c r="AR542" s="449"/>
      <c r="AS542" s="449"/>
      <c r="AT542" s="451"/>
      <c r="AU542" s="449"/>
      <c r="AV542" s="451"/>
      <c r="AW542" s="449"/>
      <c r="AX542" s="449"/>
      <c r="AY542" s="449"/>
      <c r="AZ542" s="449"/>
      <c r="BA542" s="449"/>
      <c r="BB542" s="449"/>
      <c r="BC542" s="449"/>
      <c r="BD542" s="449"/>
      <c r="BE542" s="449"/>
      <c r="BF542" s="449"/>
      <c r="BG542" s="449"/>
      <c r="BH542" s="449"/>
      <c r="BI542" s="449"/>
      <c r="BJ542" s="449"/>
      <c r="BK542" s="449"/>
      <c r="BL542" s="449"/>
      <c r="BM542" s="449"/>
      <c r="BN542" s="449"/>
    </row>
    <row r="543" spans="1:66" ht="13.15" x14ac:dyDescent="0.4">
      <c r="A543" s="430"/>
      <c r="B543" s="430"/>
      <c r="C543" s="430"/>
      <c r="D543" s="430"/>
      <c r="E543" s="430"/>
      <c r="F543" s="430"/>
      <c r="G543" s="430"/>
      <c r="H543" s="461"/>
      <c r="I543" s="438"/>
      <c r="J543" s="438"/>
      <c r="K543" s="438"/>
      <c r="L543" s="430"/>
      <c r="M543" s="430"/>
      <c r="N543" s="461"/>
      <c r="O543" s="461"/>
      <c r="P543" s="430"/>
      <c r="Q543" s="430"/>
      <c r="R543" s="430"/>
      <c r="S543" s="430"/>
      <c r="T543" s="430"/>
      <c r="U543" s="430"/>
      <c r="V543" s="430"/>
      <c r="W543" s="430"/>
      <c r="X543" s="449"/>
      <c r="Y543" s="449"/>
      <c r="Z543" s="450"/>
      <c r="AA543" s="449"/>
      <c r="AB543" s="451"/>
      <c r="AC543" s="450"/>
      <c r="AD543" s="449"/>
      <c r="AE543" s="451"/>
      <c r="AF543" s="450"/>
      <c r="AG543" s="449"/>
      <c r="AH543" s="451"/>
      <c r="AI543" s="450"/>
      <c r="AJ543" s="449"/>
      <c r="AK543" s="451"/>
      <c r="AL543" s="450"/>
      <c r="AM543" s="449"/>
      <c r="AN543" s="451"/>
      <c r="AO543" s="450"/>
      <c r="AP543" s="449"/>
      <c r="AQ543" s="451"/>
      <c r="AR543" s="449"/>
      <c r="AS543" s="449"/>
      <c r="AT543" s="451"/>
      <c r="AU543" s="449"/>
      <c r="AV543" s="451"/>
      <c r="AW543" s="449"/>
      <c r="AX543" s="449"/>
      <c r="AY543" s="449"/>
      <c r="AZ543" s="449"/>
      <c r="BA543" s="449"/>
      <c r="BB543" s="449"/>
      <c r="BC543" s="449"/>
      <c r="BD543" s="449"/>
      <c r="BE543" s="449"/>
      <c r="BF543" s="449"/>
      <c r="BG543" s="449"/>
      <c r="BH543" s="449"/>
      <c r="BI543" s="449"/>
      <c r="BJ543" s="449"/>
      <c r="BK543" s="449"/>
      <c r="BL543" s="449"/>
      <c r="BM543" s="449"/>
      <c r="BN543" s="449"/>
    </row>
    <row r="544" spans="1:66" ht="13.15" x14ac:dyDescent="0.4">
      <c r="A544" s="430"/>
      <c r="B544" s="430"/>
      <c r="C544" s="430"/>
      <c r="D544" s="430"/>
      <c r="E544" s="430"/>
      <c r="F544" s="430"/>
      <c r="G544" s="430"/>
      <c r="H544" s="461"/>
      <c r="I544" s="438"/>
      <c r="J544" s="438"/>
      <c r="K544" s="438"/>
      <c r="L544" s="430"/>
      <c r="M544" s="430"/>
      <c r="N544" s="461"/>
      <c r="O544" s="461"/>
      <c r="P544" s="430"/>
      <c r="Q544" s="430"/>
      <c r="R544" s="430"/>
      <c r="S544" s="430"/>
      <c r="T544" s="430"/>
      <c r="U544" s="430"/>
      <c r="V544" s="430"/>
      <c r="W544" s="430"/>
      <c r="X544" s="449"/>
      <c r="Y544" s="449"/>
      <c r="Z544" s="450"/>
      <c r="AA544" s="449"/>
      <c r="AB544" s="451"/>
      <c r="AC544" s="450"/>
      <c r="AD544" s="449"/>
      <c r="AE544" s="451"/>
      <c r="AF544" s="450"/>
      <c r="AG544" s="449"/>
      <c r="AH544" s="451"/>
      <c r="AI544" s="450"/>
      <c r="AJ544" s="449"/>
      <c r="AK544" s="451"/>
      <c r="AL544" s="450"/>
      <c r="AM544" s="449"/>
      <c r="AN544" s="451"/>
      <c r="AO544" s="450"/>
      <c r="AP544" s="449"/>
      <c r="AQ544" s="451"/>
      <c r="AR544" s="449"/>
      <c r="AS544" s="449"/>
      <c r="AT544" s="451"/>
      <c r="AU544" s="449"/>
      <c r="AV544" s="451"/>
      <c r="AW544" s="449"/>
      <c r="AX544" s="449"/>
      <c r="AY544" s="449"/>
      <c r="AZ544" s="449"/>
      <c r="BA544" s="449"/>
      <c r="BB544" s="449"/>
      <c r="BC544" s="449"/>
      <c r="BD544" s="449"/>
      <c r="BE544" s="449"/>
      <c r="BF544" s="449"/>
      <c r="BG544" s="449"/>
      <c r="BH544" s="449"/>
      <c r="BI544" s="449"/>
      <c r="BJ544" s="449"/>
      <c r="BK544" s="449"/>
      <c r="BL544" s="449"/>
      <c r="BM544" s="449"/>
      <c r="BN544" s="449"/>
    </row>
    <row r="545" spans="1:66" ht="13.15" x14ac:dyDescent="0.4">
      <c r="A545" s="430"/>
      <c r="B545" s="430"/>
      <c r="C545" s="430"/>
      <c r="D545" s="430"/>
      <c r="E545" s="430"/>
      <c r="F545" s="430"/>
      <c r="G545" s="430"/>
      <c r="H545" s="461"/>
      <c r="I545" s="438"/>
      <c r="J545" s="438"/>
      <c r="K545" s="438"/>
      <c r="L545" s="430"/>
      <c r="M545" s="430"/>
      <c r="N545" s="461"/>
      <c r="O545" s="461"/>
      <c r="P545" s="430"/>
      <c r="Q545" s="430"/>
      <c r="R545" s="430"/>
      <c r="S545" s="430"/>
      <c r="T545" s="430"/>
      <c r="U545" s="430"/>
      <c r="V545" s="430"/>
      <c r="W545" s="430"/>
      <c r="X545" s="449"/>
      <c r="Y545" s="449"/>
      <c r="Z545" s="450"/>
      <c r="AA545" s="449"/>
      <c r="AB545" s="451"/>
      <c r="AC545" s="450"/>
      <c r="AD545" s="449"/>
      <c r="AE545" s="451"/>
      <c r="AF545" s="450"/>
      <c r="AG545" s="449"/>
      <c r="AH545" s="451"/>
      <c r="AI545" s="450"/>
      <c r="AJ545" s="449"/>
      <c r="AK545" s="451"/>
      <c r="AL545" s="450"/>
      <c r="AM545" s="449"/>
      <c r="AN545" s="451"/>
      <c r="AO545" s="450"/>
      <c r="AP545" s="449"/>
      <c r="AQ545" s="451"/>
      <c r="AR545" s="449"/>
      <c r="AS545" s="449"/>
      <c r="AT545" s="451"/>
      <c r="AU545" s="449"/>
      <c r="AV545" s="451"/>
      <c r="AW545" s="449"/>
      <c r="AX545" s="449"/>
      <c r="AY545" s="449"/>
      <c r="AZ545" s="449"/>
      <c r="BA545" s="449"/>
      <c r="BB545" s="449"/>
      <c r="BC545" s="449"/>
      <c r="BD545" s="449"/>
      <c r="BE545" s="449"/>
      <c r="BF545" s="449"/>
      <c r="BG545" s="449"/>
      <c r="BH545" s="449"/>
      <c r="BI545" s="449"/>
      <c r="BJ545" s="449"/>
      <c r="BK545" s="449"/>
      <c r="BL545" s="449"/>
      <c r="BM545" s="449"/>
      <c r="BN545" s="449"/>
    </row>
    <row r="546" spans="1:66" ht="13.15" x14ac:dyDescent="0.4">
      <c r="A546" s="430"/>
      <c r="B546" s="430"/>
      <c r="C546" s="430"/>
      <c r="D546" s="430"/>
      <c r="E546" s="430"/>
      <c r="F546" s="430"/>
      <c r="G546" s="430"/>
      <c r="H546" s="461"/>
      <c r="I546" s="438"/>
      <c r="J546" s="438"/>
      <c r="K546" s="438"/>
      <c r="L546" s="430"/>
      <c r="M546" s="430"/>
      <c r="N546" s="461"/>
      <c r="O546" s="461"/>
      <c r="P546" s="430"/>
      <c r="Q546" s="430"/>
      <c r="R546" s="430"/>
      <c r="S546" s="430"/>
      <c r="T546" s="430"/>
      <c r="U546" s="430"/>
      <c r="V546" s="430"/>
      <c r="W546" s="430"/>
      <c r="X546" s="449"/>
      <c r="Y546" s="449"/>
      <c r="Z546" s="450"/>
      <c r="AA546" s="449"/>
      <c r="AB546" s="451"/>
      <c r="AC546" s="450"/>
      <c r="AD546" s="449"/>
      <c r="AE546" s="451"/>
      <c r="AF546" s="450"/>
      <c r="AG546" s="449"/>
      <c r="AH546" s="451"/>
      <c r="AI546" s="450"/>
      <c r="AJ546" s="449"/>
      <c r="AK546" s="451"/>
      <c r="AL546" s="450"/>
      <c r="AM546" s="449"/>
      <c r="AN546" s="451"/>
      <c r="AO546" s="450"/>
      <c r="AP546" s="449"/>
      <c r="AQ546" s="451"/>
      <c r="AR546" s="449"/>
      <c r="AS546" s="449"/>
      <c r="AT546" s="451"/>
      <c r="AU546" s="449"/>
      <c r="AV546" s="451"/>
      <c r="AW546" s="449"/>
      <c r="AX546" s="449"/>
      <c r="AY546" s="449"/>
      <c r="AZ546" s="449"/>
      <c r="BA546" s="449"/>
      <c r="BB546" s="449"/>
      <c r="BC546" s="449"/>
      <c r="BD546" s="449"/>
      <c r="BE546" s="449"/>
      <c r="BF546" s="449"/>
      <c r="BG546" s="449"/>
      <c r="BH546" s="449"/>
      <c r="BI546" s="449"/>
      <c r="BJ546" s="449"/>
      <c r="BK546" s="449"/>
      <c r="BL546" s="449"/>
      <c r="BM546" s="449"/>
      <c r="BN546" s="449"/>
    </row>
    <row r="547" spans="1:66" ht="13.15" x14ac:dyDescent="0.4">
      <c r="A547" s="430"/>
      <c r="B547" s="430"/>
      <c r="C547" s="430"/>
      <c r="D547" s="430"/>
      <c r="E547" s="430"/>
      <c r="F547" s="430"/>
      <c r="G547" s="430"/>
      <c r="H547" s="461"/>
      <c r="I547" s="438"/>
      <c r="J547" s="438"/>
      <c r="K547" s="438"/>
      <c r="L547" s="430"/>
      <c r="M547" s="430"/>
      <c r="N547" s="461"/>
      <c r="O547" s="461"/>
      <c r="P547" s="430"/>
      <c r="Q547" s="430"/>
      <c r="R547" s="430"/>
      <c r="S547" s="430"/>
      <c r="T547" s="430"/>
      <c r="U547" s="430"/>
      <c r="V547" s="430"/>
      <c r="W547" s="430"/>
      <c r="X547" s="449"/>
      <c r="Y547" s="449"/>
      <c r="Z547" s="450"/>
      <c r="AA547" s="449"/>
      <c r="AB547" s="451"/>
      <c r="AC547" s="450"/>
      <c r="AD547" s="449"/>
      <c r="AE547" s="451"/>
      <c r="AF547" s="450"/>
      <c r="AG547" s="449"/>
      <c r="AH547" s="451"/>
      <c r="AI547" s="450"/>
      <c r="AJ547" s="449"/>
      <c r="AK547" s="451"/>
      <c r="AL547" s="450"/>
      <c r="AM547" s="449"/>
      <c r="AN547" s="451"/>
      <c r="AO547" s="450"/>
      <c r="AP547" s="449"/>
      <c r="AQ547" s="451"/>
      <c r="AR547" s="449"/>
      <c r="AS547" s="449"/>
      <c r="AT547" s="451"/>
      <c r="AU547" s="449"/>
      <c r="AV547" s="451"/>
      <c r="AW547" s="449"/>
      <c r="AX547" s="449"/>
      <c r="AY547" s="449"/>
      <c r="AZ547" s="449"/>
      <c r="BA547" s="449"/>
      <c r="BB547" s="449"/>
      <c r="BC547" s="449"/>
      <c r="BD547" s="449"/>
      <c r="BE547" s="449"/>
      <c r="BF547" s="449"/>
      <c r="BG547" s="449"/>
      <c r="BH547" s="449"/>
      <c r="BI547" s="449"/>
      <c r="BJ547" s="449"/>
      <c r="BK547" s="449"/>
      <c r="BL547" s="449"/>
      <c r="BM547" s="449"/>
      <c r="BN547" s="449"/>
    </row>
    <row r="548" spans="1:66" ht="13.15" x14ac:dyDescent="0.4">
      <c r="A548" s="430"/>
      <c r="B548" s="430"/>
      <c r="C548" s="430"/>
      <c r="D548" s="430"/>
      <c r="E548" s="430"/>
      <c r="F548" s="430"/>
      <c r="G548" s="430"/>
      <c r="H548" s="461"/>
      <c r="I548" s="438"/>
      <c r="J548" s="438"/>
      <c r="K548" s="438"/>
      <c r="L548" s="430"/>
      <c r="M548" s="430"/>
      <c r="N548" s="461"/>
      <c r="O548" s="461"/>
      <c r="P548" s="430"/>
      <c r="Q548" s="430"/>
      <c r="R548" s="430"/>
      <c r="S548" s="430"/>
      <c r="T548" s="430"/>
      <c r="U548" s="430"/>
      <c r="V548" s="430"/>
      <c r="W548" s="430"/>
      <c r="X548" s="449"/>
      <c r="Y548" s="449"/>
      <c r="Z548" s="450"/>
      <c r="AA548" s="449"/>
      <c r="AB548" s="451"/>
      <c r="AC548" s="450"/>
      <c r="AD548" s="449"/>
      <c r="AE548" s="451"/>
      <c r="AF548" s="450"/>
      <c r="AG548" s="449"/>
      <c r="AH548" s="451"/>
      <c r="AI548" s="450"/>
      <c r="AJ548" s="449"/>
      <c r="AK548" s="451"/>
      <c r="AL548" s="450"/>
      <c r="AM548" s="449"/>
      <c r="AN548" s="451"/>
      <c r="AO548" s="450"/>
      <c r="AP548" s="449"/>
      <c r="AQ548" s="451"/>
      <c r="AR548" s="449"/>
      <c r="AS548" s="449"/>
      <c r="AT548" s="451"/>
      <c r="AU548" s="449"/>
      <c r="AV548" s="451"/>
      <c r="AW548" s="449"/>
      <c r="AX548" s="449"/>
      <c r="AY548" s="449"/>
      <c r="AZ548" s="449"/>
      <c r="BA548" s="449"/>
      <c r="BB548" s="449"/>
      <c r="BC548" s="449"/>
      <c r="BD548" s="449"/>
      <c r="BE548" s="449"/>
      <c r="BF548" s="449"/>
      <c r="BG548" s="449"/>
      <c r="BH548" s="449"/>
      <c r="BI548" s="449"/>
      <c r="BJ548" s="449"/>
      <c r="BK548" s="449"/>
      <c r="BL548" s="449"/>
      <c r="BM548" s="449"/>
      <c r="BN548" s="449"/>
    </row>
    <row r="549" spans="1:66" ht="13.15" x14ac:dyDescent="0.4">
      <c r="A549" s="430"/>
      <c r="B549" s="430"/>
      <c r="C549" s="430"/>
      <c r="D549" s="430"/>
      <c r="E549" s="430"/>
      <c r="F549" s="430"/>
      <c r="G549" s="430"/>
      <c r="H549" s="461"/>
      <c r="I549" s="438"/>
      <c r="J549" s="438"/>
      <c r="K549" s="438"/>
      <c r="L549" s="430"/>
      <c r="M549" s="430"/>
      <c r="N549" s="461"/>
      <c r="O549" s="461"/>
      <c r="P549" s="430"/>
      <c r="Q549" s="430"/>
      <c r="R549" s="430"/>
      <c r="S549" s="430"/>
      <c r="T549" s="430"/>
      <c r="U549" s="430"/>
      <c r="V549" s="430"/>
      <c r="W549" s="430"/>
      <c r="X549" s="449"/>
      <c r="Y549" s="449"/>
      <c r="Z549" s="450"/>
      <c r="AA549" s="449"/>
      <c r="AB549" s="451"/>
      <c r="AC549" s="450"/>
      <c r="AD549" s="449"/>
      <c r="AE549" s="451"/>
      <c r="AF549" s="450"/>
      <c r="AG549" s="449"/>
      <c r="AH549" s="451"/>
      <c r="AI549" s="450"/>
      <c r="AJ549" s="449"/>
      <c r="AK549" s="451"/>
      <c r="AL549" s="450"/>
      <c r="AM549" s="449"/>
      <c r="AN549" s="451"/>
      <c r="AO549" s="450"/>
      <c r="AP549" s="449"/>
      <c r="AQ549" s="451"/>
      <c r="AR549" s="449"/>
      <c r="AS549" s="449"/>
      <c r="AT549" s="451"/>
      <c r="AU549" s="449"/>
      <c r="AV549" s="451"/>
      <c r="AW549" s="449"/>
      <c r="AX549" s="449"/>
      <c r="AY549" s="449"/>
      <c r="AZ549" s="449"/>
      <c r="BA549" s="449"/>
      <c r="BB549" s="449"/>
      <c r="BC549" s="449"/>
      <c r="BD549" s="449"/>
      <c r="BE549" s="449"/>
      <c r="BF549" s="449"/>
      <c r="BG549" s="449"/>
      <c r="BH549" s="449"/>
      <c r="BI549" s="449"/>
      <c r="BJ549" s="449"/>
      <c r="BK549" s="449"/>
      <c r="BL549" s="449"/>
      <c r="BM549" s="449"/>
      <c r="BN549" s="449"/>
    </row>
    <row r="550" spans="1:66" ht="13.15" x14ac:dyDescent="0.4">
      <c r="A550" s="430"/>
      <c r="B550" s="430"/>
      <c r="C550" s="430"/>
      <c r="D550" s="430"/>
      <c r="E550" s="430"/>
      <c r="F550" s="430"/>
      <c r="G550" s="430"/>
      <c r="H550" s="461"/>
      <c r="I550" s="438"/>
      <c r="J550" s="438"/>
      <c r="K550" s="438"/>
      <c r="L550" s="430"/>
      <c r="M550" s="430"/>
      <c r="N550" s="461"/>
      <c r="O550" s="461"/>
      <c r="P550" s="430"/>
      <c r="Q550" s="430"/>
      <c r="R550" s="430"/>
      <c r="S550" s="430"/>
      <c r="T550" s="430"/>
      <c r="U550" s="430"/>
      <c r="V550" s="430"/>
      <c r="W550" s="430"/>
      <c r="X550" s="449"/>
      <c r="Y550" s="449"/>
      <c r="Z550" s="450"/>
      <c r="AA550" s="449"/>
      <c r="AB550" s="451"/>
      <c r="AC550" s="450"/>
      <c r="AD550" s="449"/>
      <c r="AE550" s="451"/>
      <c r="AF550" s="450"/>
      <c r="AG550" s="449"/>
      <c r="AH550" s="451"/>
      <c r="AI550" s="450"/>
      <c r="AJ550" s="449"/>
      <c r="AK550" s="451"/>
      <c r="AL550" s="450"/>
      <c r="AM550" s="449"/>
      <c r="AN550" s="451"/>
      <c r="AO550" s="450"/>
      <c r="AP550" s="449"/>
      <c r="AQ550" s="451"/>
      <c r="AR550" s="449"/>
      <c r="AS550" s="449"/>
      <c r="AT550" s="451"/>
      <c r="AU550" s="449"/>
      <c r="AV550" s="451"/>
      <c r="AW550" s="449"/>
      <c r="AX550" s="449"/>
      <c r="AY550" s="449"/>
      <c r="AZ550" s="449"/>
      <c r="BA550" s="449"/>
      <c r="BB550" s="449"/>
      <c r="BC550" s="449"/>
      <c r="BD550" s="449"/>
      <c r="BE550" s="449"/>
      <c r="BF550" s="449"/>
      <c r="BG550" s="449"/>
      <c r="BH550" s="449"/>
      <c r="BI550" s="449"/>
      <c r="BJ550" s="449"/>
      <c r="BK550" s="449"/>
      <c r="BL550" s="449"/>
      <c r="BM550" s="449"/>
      <c r="BN550" s="449"/>
    </row>
    <row r="551" spans="1:66" ht="13.15" x14ac:dyDescent="0.4">
      <c r="A551" s="430"/>
      <c r="B551" s="430"/>
      <c r="C551" s="430"/>
      <c r="D551" s="430"/>
      <c r="E551" s="430"/>
      <c r="F551" s="430"/>
      <c r="G551" s="430"/>
      <c r="H551" s="461"/>
      <c r="I551" s="438"/>
      <c r="J551" s="438"/>
      <c r="K551" s="438"/>
      <c r="L551" s="430"/>
      <c r="M551" s="430"/>
      <c r="N551" s="461"/>
      <c r="O551" s="461"/>
      <c r="P551" s="430"/>
      <c r="Q551" s="430"/>
      <c r="R551" s="430"/>
      <c r="S551" s="430"/>
      <c r="T551" s="430"/>
      <c r="U551" s="430"/>
      <c r="V551" s="430"/>
      <c r="W551" s="430"/>
      <c r="X551" s="449"/>
      <c r="Y551" s="449"/>
      <c r="Z551" s="450"/>
      <c r="AA551" s="449"/>
      <c r="AB551" s="451"/>
      <c r="AC551" s="450"/>
      <c r="AD551" s="449"/>
      <c r="AE551" s="451"/>
      <c r="AF551" s="450"/>
      <c r="AG551" s="449"/>
      <c r="AH551" s="451"/>
      <c r="AI551" s="450"/>
      <c r="AJ551" s="449"/>
      <c r="AK551" s="451"/>
      <c r="AL551" s="450"/>
      <c r="AM551" s="449"/>
      <c r="AN551" s="451"/>
      <c r="AO551" s="450"/>
      <c r="AP551" s="449"/>
      <c r="AQ551" s="451"/>
      <c r="AR551" s="449"/>
      <c r="AS551" s="449"/>
      <c r="AT551" s="451"/>
      <c r="AU551" s="449"/>
      <c r="AV551" s="451"/>
      <c r="AW551" s="449"/>
      <c r="AX551" s="449"/>
      <c r="AY551" s="449"/>
      <c r="AZ551" s="449"/>
      <c r="BA551" s="449"/>
      <c r="BB551" s="449"/>
      <c r="BC551" s="449"/>
      <c r="BD551" s="449"/>
      <c r="BE551" s="449"/>
      <c r="BF551" s="449"/>
      <c r="BG551" s="449"/>
      <c r="BH551" s="449"/>
      <c r="BI551" s="449"/>
      <c r="BJ551" s="449"/>
      <c r="BK551" s="449"/>
      <c r="BL551" s="449"/>
      <c r="BM551" s="449"/>
      <c r="BN551" s="449"/>
    </row>
    <row r="552" spans="1:66" ht="13.15" x14ac:dyDescent="0.4">
      <c r="A552" s="430"/>
      <c r="B552" s="430"/>
      <c r="C552" s="430"/>
      <c r="D552" s="430"/>
      <c r="E552" s="430"/>
      <c r="F552" s="430"/>
      <c r="G552" s="430"/>
      <c r="H552" s="461"/>
      <c r="I552" s="438"/>
      <c r="J552" s="438"/>
      <c r="K552" s="438"/>
      <c r="L552" s="430"/>
      <c r="M552" s="430"/>
      <c r="N552" s="461"/>
      <c r="O552" s="461"/>
      <c r="P552" s="430"/>
      <c r="Q552" s="430"/>
      <c r="R552" s="430"/>
      <c r="S552" s="430"/>
      <c r="T552" s="430"/>
      <c r="U552" s="430"/>
      <c r="V552" s="430"/>
      <c r="W552" s="430"/>
      <c r="X552" s="449"/>
      <c r="Y552" s="449"/>
      <c r="Z552" s="450"/>
      <c r="AA552" s="449"/>
      <c r="AB552" s="451"/>
      <c r="AC552" s="450"/>
      <c r="AD552" s="449"/>
      <c r="AE552" s="451"/>
      <c r="AF552" s="450"/>
      <c r="AG552" s="449"/>
      <c r="AH552" s="451"/>
      <c r="AI552" s="450"/>
      <c r="AJ552" s="449"/>
      <c r="AK552" s="451"/>
      <c r="AL552" s="450"/>
      <c r="AM552" s="449"/>
      <c r="AN552" s="451"/>
      <c r="AO552" s="450"/>
      <c r="AP552" s="449"/>
      <c r="AQ552" s="451"/>
      <c r="AR552" s="449"/>
      <c r="AS552" s="449"/>
      <c r="AT552" s="451"/>
      <c r="AU552" s="449"/>
      <c r="AV552" s="451"/>
      <c r="AW552" s="449"/>
      <c r="AX552" s="449"/>
      <c r="AY552" s="449"/>
      <c r="AZ552" s="449"/>
      <c r="BA552" s="449"/>
      <c r="BB552" s="449"/>
      <c r="BC552" s="449"/>
      <c r="BD552" s="449"/>
      <c r="BE552" s="449"/>
      <c r="BF552" s="449"/>
      <c r="BG552" s="449"/>
      <c r="BH552" s="449"/>
      <c r="BI552" s="449"/>
      <c r="BJ552" s="449"/>
      <c r="BK552" s="449"/>
      <c r="BL552" s="449"/>
      <c r="BM552" s="449"/>
      <c r="BN552" s="449"/>
    </row>
    <row r="553" spans="1:66" ht="13.15" x14ac:dyDescent="0.4">
      <c r="A553" s="430"/>
      <c r="B553" s="430"/>
      <c r="C553" s="430"/>
      <c r="D553" s="430"/>
      <c r="E553" s="430"/>
      <c r="F553" s="430"/>
      <c r="G553" s="430"/>
      <c r="H553" s="461"/>
      <c r="I553" s="438"/>
      <c r="J553" s="438"/>
      <c r="K553" s="438"/>
      <c r="L553" s="430"/>
      <c r="M553" s="430"/>
      <c r="N553" s="461"/>
      <c r="O553" s="461"/>
      <c r="P553" s="430"/>
      <c r="Q553" s="430"/>
      <c r="R553" s="430"/>
      <c r="S553" s="430"/>
      <c r="T553" s="430"/>
      <c r="U553" s="430"/>
      <c r="V553" s="430"/>
      <c r="W553" s="430"/>
      <c r="X553" s="449"/>
      <c r="Y553" s="449"/>
      <c r="Z553" s="450"/>
      <c r="AA553" s="449"/>
      <c r="AB553" s="451"/>
      <c r="AC553" s="450"/>
      <c r="AD553" s="449"/>
      <c r="AE553" s="451"/>
      <c r="AF553" s="450"/>
      <c r="AG553" s="449"/>
      <c r="AH553" s="451"/>
      <c r="AI553" s="450"/>
      <c r="AJ553" s="449"/>
      <c r="AK553" s="451"/>
      <c r="AL553" s="450"/>
      <c r="AM553" s="449"/>
      <c r="AN553" s="451"/>
      <c r="AO553" s="450"/>
      <c r="AP553" s="449"/>
      <c r="AQ553" s="451"/>
      <c r="AR553" s="449"/>
      <c r="AS553" s="449"/>
      <c r="AT553" s="451"/>
      <c r="AU553" s="449"/>
      <c r="AV553" s="451"/>
      <c r="AW553" s="449"/>
      <c r="AX553" s="449"/>
      <c r="AY553" s="449"/>
      <c r="AZ553" s="449"/>
      <c r="BA553" s="449"/>
      <c r="BB553" s="449"/>
      <c r="BC553" s="449"/>
      <c r="BD553" s="449"/>
      <c r="BE553" s="449"/>
      <c r="BF553" s="449"/>
      <c r="BG553" s="449"/>
      <c r="BH553" s="449"/>
      <c r="BI553" s="449"/>
      <c r="BJ553" s="449"/>
      <c r="BK553" s="449"/>
      <c r="BL553" s="449"/>
      <c r="BM553" s="449"/>
      <c r="BN553" s="449"/>
    </row>
    <row r="554" spans="1:66" ht="13.15" x14ac:dyDescent="0.4">
      <c r="A554" s="430"/>
      <c r="B554" s="430"/>
      <c r="C554" s="430"/>
      <c r="D554" s="430"/>
      <c r="E554" s="430"/>
      <c r="F554" s="430"/>
      <c r="G554" s="430"/>
      <c r="H554" s="461"/>
      <c r="I554" s="438"/>
      <c r="J554" s="438"/>
      <c r="K554" s="438"/>
      <c r="L554" s="430"/>
      <c r="M554" s="430"/>
      <c r="N554" s="461"/>
      <c r="O554" s="461"/>
      <c r="P554" s="430"/>
      <c r="Q554" s="430"/>
      <c r="R554" s="430"/>
      <c r="S554" s="430"/>
      <c r="T554" s="430"/>
      <c r="U554" s="430"/>
      <c r="V554" s="430"/>
      <c r="W554" s="430"/>
      <c r="X554" s="449"/>
      <c r="Y554" s="449"/>
      <c r="Z554" s="450"/>
      <c r="AA554" s="449"/>
      <c r="AB554" s="451"/>
      <c r="AC554" s="450"/>
      <c r="AD554" s="449"/>
      <c r="AE554" s="451"/>
      <c r="AF554" s="450"/>
      <c r="AG554" s="449"/>
      <c r="AH554" s="451"/>
      <c r="AI554" s="450"/>
      <c r="AJ554" s="449"/>
      <c r="AK554" s="451"/>
      <c r="AL554" s="450"/>
      <c r="AM554" s="449"/>
      <c r="AN554" s="451"/>
      <c r="AO554" s="450"/>
      <c r="AP554" s="449"/>
      <c r="AQ554" s="451"/>
      <c r="AR554" s="449"/>
      <c r="AS554" s="449"/>
      <c r="AT554" s="451"/>
      <c r="AU554" s="449"/>
      <c r="AV554" s="451"/>
      <c r="AW554" s="449"/>
      <c r="AX554" s="449"/>
      <c r="AY554" s="449"/>
      <c r="AZ554" s="449"/>
      <c r="BA554" s="449"/>
      <c r="BB554" s="449"/>
      <c r="BC554" s="449"/>
      <c r="BD554" s="449"/>
      <c r="BE554" s="449"/>
      <c r="BF554" s="449"/>
      <c r="BG554" s="449"/>
      <c r="BH554" s="449"/>
      <c r="BI554" s="449"/>
      <c r="BJ554" s="449"/>
      <c r="BK554" s="449"/>
      <c r="BL554" s="449"/>
      <c r="BM554" s="449"/>
      <c r="BN554" s="449"/>
    </row>
    <row r="555" spans="1:66" ht="13.15" x14ac:dyDescent="0.4">
      <c r="A555" s="430"/>
      <c r="B555" s="430"/>
      <c r="C555" s="430"/>
      <c r="D555" s="430"/>
      <c r="E555" s="430"/>
      <c r="F555" s="430"/>
      <c r="G555" s="430"/>
      <c r="H555" s="461"/>
      <c r="I555" s="438"/>
      <c r="J555" s="438"/>
      <c r="K555" s="438"/>
      <c r="L555" s="430"/>
      <c r="M555" s="430"/>
      <c r="N555" s="461"/>
      <c r="O555" s="461"/>
      <c r="P555" s="430"/>
      <c r="Q555" s="430"/>
      <c r="R555" s="430"/>
      <c r="S555" s="430"/>
      <c r="T555" s="430"/>
      <c r="U555" s="430"/>
      <c r="V555" s="430"/>
      <c r="W555" s="430"/>
      <c r="X555" s="449"/>
      <c r="Y555" s="449"/>
      <c r="Z555" s="450"/>
      <c r="AA555" s="449"/>
      <c r="AB555" s="451"/>
      <c r="AC555" s="450"/>
      <c r="AD555" s="449"/>
      <c r="AE555" s="451"/>
      <c r="AF555" s="450"/>
      <c r="AG555" s="449"/>
      <c r="AH555" s="451"/>
      <c r="AI555" s="450"/>
      <c r="AJ555" s="449"/>
      <c r="AK555" s="451"/>
      <c r="AL555" s="450"/>
      <c r="AM555" s="449"/>
      <c r="AN555" s="451"/>
      <c r="AO555" s="450"/>
      <c r="AP555" s="449"/>
      <c r="AQ555" s="451"/>
      <c r="AR555" s="449"/>
      <c r="AS555" s="449"/>
      <c r="AT555" s="451"/>
      <c r="AU555" s="449"/>
      <c r="AV555" s="451"/>
      <c r="AW555" s="449"/>
      <c r="AX555" s="449"/>
      <c r="AY555" s="449"/>
      <c r="AZ555" s="449"/>
      <c r="BA555" s="449"/>
      <c r="BB555" s="449"/>
      <c r="BC555" s="449"/>
      <c r="BD555" s="449"/>
      <c r="BE555" s="449"/>
      <c r="BF555" s="449"/>
      <c r="BG555" s="449"/>
      <c r="BH555" s="449"/>
      <c r="BI555" s="449"/>
      <c r="BJ555" s="449"/>
      <c r="BK555" s="449"/>
      <c r="BL555" s="449"/>
      <c r="BM555" s="449"/>
      <c r="BN555" s="449"/>
    </row>
    <row r="556" spans="1:66" ht="13.15" x14ac:dyDescent="0.4">
      <c r="A556" s="430"/>
      <c r="B556" s="430"/>
      <c r="C556" s="430"/>
      <c r="D556" s="430"/>
      <c r="E556" s="430"/>
      <c r="F556" s="430"/>
      <c r="G556" s="430"/>
      <c r="H556" s="461"/>
      <c r="I556" s="438"/>
      <c r="J556" s="438"/>
      <c r="K556" s="438"/>
      <c r="L556" s="430"/>
      <c r="M556" s="430"/>
      <c r="N556" s="461"/>
      <c r="O556" s="461"/>
      <c r="P556" s="430"/>
      <c r="Q556" s="430"/>
      <c r="R556" s="430"/>
      <c r="S556" s="430"/>
      <c r="T556" s="430"/>
      <c r="U556" s="430"/>
      <c r="V556" s="430"/>
      <c r="W556" s="430"/>
      <c r="X556" s="449"/>
      <c r="Y556" s="449"/>
      <c r="Z556" s="450"/>
      <c r="AA556" s="449"/>
      <c r="AB556" s="451"/>
      <c r="AC556" s="450"/>
      <c r="AD556" s="449"/>
      <c r="AE556" s="451"/>
      <c r="AF556" s="450"/>
      <c r="AG556" s="449"/>
      <c r="AH556" s="451"/>
      <c r="AI556" s="450"/>
      <c r="AJ556" s="449"/>
      <c r="AK556" s="451"/>
      <c r="AL556" s="450"/>
      <c r="AM556" s="449"/>
      <c r="AN556" s="451"/>
      <c r="AO556" s="450"/>
      <c r="AP556" s="449"/>
      <c r="AQ556" s="451"/>
      <c r="AR556" s="449"/>
      <c r="AS556" s="449"/>
      <c r="AT556" s="451"/>
      <c r="AU556" s="449"/>
      <c r="AV556" s="451"/>
      <c r="AW556" s="449"/>
      <c r="AX556" s="449"/>
      <c r="AY556" s="449"/>
      <c r="AZ556" s="449"/>
      <c r="BA556" s="449"/>
      <c r="BB556" s="449"/>
      <c r="BC556" s="449"/>
      <c r="BD556" s="449"/>
      <c r="BE556" s="449"/>
      <c r="BF556" s="449"/>
      <c r="BG556" s="449"/>
      <c r="BH556" s="449"/>
      <c r="BI556" s="449"/>
      <c r="BJ556" s="449"/>
      <c r="BK556" s="449"/>
      <c r="BL556" s="449"/>
      <c r="BM556" s="449"/>
      <c r="BN556" s="449"/>
    </row>
    <row r="557" spans="1:66" ht="13.15" x14ac:dyDescent="0.4">
      <c r="A557" s="430"/>
      <c r="B557" s="430"/>
      <c r="C557" s="430"/>
      <c r="D557" s="430"/>
      <c r="E557" s="430"/>
      <c r="F557" s="430"/>
      <c r="G557" s="430"/>
      <c r="H557" s="461"/>
      <c r="I557" s="438"/>
      <c r="J557" s="438"/>
      <c r="K557" s="438"/>
      <c r="L557" s="430"/>
      <c r="M557" s="430"/>
      <c r="N557" s="461"/>
      <c r="O557" s="461"/>
      <c r="P557" s="430"/>
      <c r="Q557" s="430"/>
      <c r="R557" s="430"/>
      <c r="S557" s="430"/>
      <c r="T557" s="430"/>
      <c r="U557" s="430"/>
      <c r="V557" s="430"/>
      <c r="W557" s="430"/>
      <c r="X557" s="449"/>
      <c r="Y557" s="449"/>
      <c r="Z557" s="450"/>
      <c r="AA557" s="449"/>
      <c r="AB557" s="451"/>
      <c r="AC557" s="450"/>
      <c r="AD557" s="449"/>
      <c r="AE557" s="451"/>
      <c r="AF557" s="450"/>
      <c r="AG557" s="449"/>
      <c r="AH557" s="451"/>
      <c r="AI557" s="450"/>
      <c r="AJ557" s="449"/>
      <c r="AK557" s="451"/>
      <c r="AL557" s="450"/>
      <c r="AM557" s="449"/>
      <c r="AN557" s="451"/>
      <c r="AO557" s="450"/>
      <c r="AP557" s="449"/>
      <c r="AQ557" s="451"/>
      <c r="AR557" s="449"/>
      <c r="AS557" s="449"/>
      <c r="AT557" s="451"/>
      <c r="AU557" s="449"/>
      <c r="AV557" s="451"/>
      <c r="AW557" s="449"/>
      <c r="AX557" s="449"/>
      <c r="AY557" s="449"/>
      <c r="AZ557" s="449"/>
      <c r="BA557" s="449"/>
      <c r="BB557" s="449"/>
      <c r="BC557" s="449"/>
      <c r="BD557" s="449"/>
      <c r="BE557" s="449"/>
      <c r="BF557" s="449"/>
      <c r="BG557" s="449"/>
      <c r="BH557" s="449"/>
      <c r="BI557" s="449"/>
      <c r="BJ557" s="449"/>
      <c r="BK557" s="449"/>
      <c r="BL557" s="449"/>
      <c r="BM557" s="449"/>
      <c r="BN557" s="449"/>
    </row>
    <row r="558" spans="1:66" ht="13.15" x14ac:dyDescent="0.4">
      <c r="A558" s="430"/>
      <c r="B558" s="430"/>
      <c r="C558" s="430"/>
      <c r="D558" s="430"/>
      <c r="E558" s="430"/>
      <c r="F558" s="430"/>
      <c r="G558" s="430"/>
      <c r="H558" s="461"/>
      <c r="I558" s="438"/>
      <c r="J558" s="438"/>
      <c r="K558" s="438"/>
      <c r="L558" s="430"/>
      <c r="M558" s="430"/>
      <c r="N558" s="461"/>
      <c r="O558" s="461"/>
      <c r="P558" s="430"/>
      <c r="Q558" s="430"/>
      <c r="R558" s="430"/>
      <c r="S558" s="430"/>
      <c r="T558" s="430"/>
      <c r="U558" s="430"/>
      <c r="V558" s="430"/>
      <c r="W558" s="430"/>
      <c r="X558" s="449"/>
      <c r="Y558" s="449"/>
      <c r="Z558" s="450"/>
      <c r="AA558" s="449"/>
      <c r="AB558" s="451"/>
      <c r="AC558" s="450"/>
      <c r="AD558" s="449"/>
      <c r="AE558" s="451"/>
      <c r="AF558" s="450"/>
      <c r="AG558" s="449"/>
      <c r="AH558" s="451"/>
      <c r="AI558" s="450"/>
      <c r="AJ558" s="449"/>
      <c r="AK558" s="451"/>
      <c r="AL558" s="450"/>
      <c r="AM558" s="449"/>
      <c r="AN558" s="451"/>
      <c r="AO558" s="450"/>
      <c r="AP558" s="449"/>
      <c r="AQ558" s="451"/>
      <c r="AR558" s="449"/>
      <c r="AS558" s="449"/>
      <c r="AT558" s="451"/>
      <c r="AU558" s="449"/>
      <c r="AV558" s="451"/>
      <c r="AW558" s="449"/>
      <c r="AX558" s="449"/>
      <c r="AY558" s="449"/>
      <c r="AZ558" s="449"/>
      <c r="BA558" s="449"/>
      <c r="BB558" s="449"/>
      <c r="BC558" s="449"/>
      <c r="BD558" s="449"/>
      <c r="BE558" s="449"/>
      <c r="BF558" s="449"/>
      <c r="BG558" s="449"/>
      <c r="BH558" s="449"/>
      <c r="BI558" s="449"/>
      <c r="BJ558" s="449"/>
      <c r="BK558" s="449"/>
      <c r="BL558" s="449"/>
      <c r="BM558" s="449"/>
      <c r="BN558" s="449"/>
    </row>
    <row r="559" spans="1:66" ht="13.15" x14ac:dyDescent="0.4">
      <c r="A559" s="430"/>
      <c r="B559" s="430"/>
      <c r="C559" s="430"/>
      <c r="D559" s="430"/>
      <c r="E559" s="430"/>
      <c r="F559" s="430"/>
      <c r="G559" s="430"/>
      <c r="H559" s="461"/>
      <c r="I559" s="438"/>
      <c r="J559" s="438"/>
      <c r="K559" s="438"/>
      <c r="L559" s="430"/>
      <c r="M559" s="430"/>
      <c r="N559" s="461"/>
      <c r="O559" s="461"/>
      <c r="P559" s="430"/>
      <c r="Q559" s="430"/>
      <c r="R559" s="430"/>
      <c r="S559" s="430"/>
      <c r="T559" s="430"/>
      <c r="U559" s="430"/>
      <c r="V559" s="430"/>
      <c r="W559" s="430"/>
      <c r="X559" s="449"/>
      <c r="Y559" s="449"/>
      <c r="Z559" s="450"/>
      <c r="AA559" s="449"/>
      <c r="AB559" s="451"/>
      <c r="AC559" s="450"/>
      <c r="AD559" s="449"/>
      <c r="AE559" s="451"/>
      <c r="AF559" s="450"/>
      <c r="AG559" s="449"/>
      <c r="AH559" s="451"/>
      <c r="AI559" s="450"/>
      <c r="AJ559" s="449"/>
      <c r="AK559" s="451"/>
      <c r="AL559" s="450"/>
      <c r="AM559" s="449"/>
      <c r="AN559" s="451"/>
      <c r="AO559" s="450"/>
      <c r="AP559" s="449"/>
      <c r="AQ559" s="451"/>
      <c r="AR559" s="449"/>
      <c r="AS559" s="449"/>
      <c r="AT559" s="451"/>
      <c r="AU559" s="449"/>
      <c r="AV559" s="451"/>
      <c r="AW559" s="449"/>
      <c r="AX559" s="449"/>
      <c r="AY559" s="449"/>
      <c r="AZ559" s="449"/>
      <c r="BA559" s="449"/>
      <c r="BB559" s="449"/>
      <c r="BC559" s="449"/>
      <c r="BD559" s="449"/>
      <c r="BE559" s="449"/>
      <c r="BF559" s="449"/>
      <c r="BG559" s="449"/>
      <c r="BH559" s="449"/>
      <c r="BI559" s="449"/>
      <c r="BJ559" s="449"/>
      <c r="BK559" s="449"/>
      <c r="BL559" s="449"/>
      <c r="BM559" s="449"/>
      <c r="BN559" s="449"/>
    </row>
    <row r="560" spans="1:66" ht="13.15" x14ac:dyDescent="0.4">
      <c r="A560" s="430"/>
      <c r="B560" s="430"/>
      <c r="C560" s="430"/>
      <c r="D560" s="430"/>
      <c r="E560" s="430"/>
      <c r="F560" s="430"/>
      <c r="G560" s="430"/>
      <c r="H560" s="461"/>
      <c r="I560" s="438"/>
      <c r="J560" s="438"/>
      <c r="K560" s="438"/>
      <c r="L560" s="430"/>
      <c r="M560" s="430"/>
      <c r="N560" s="461"/>
      <c r="O560" s="461"/>
      <c r="P560" s="430"/>
      <c r="Q560" s="430"/>
      <c r="R560" s="430"/>
      <c r="S560" s="430"/>
      <c r="T560" s="430"/>
      <c r="U560" s="430"/>
      <c r="V560" s="430"/>
      <c r="W560" s="430"/>
      <c r="X560" s="449"/>
      <c r="Y560" s="449"/>
      <c r="Z560" s="450"/>
      <c r="AA560" s="449"/>
      <c r="AB560" s="451"/>
      <c r="AC560" s="450"/>
      <c r="AD560" s="449"/>
      <c r="AE560" s="451"/>
      <c r="AF560" s="450"/>
      <c r="AG560" s="449"/>
      <c r="AH560" s="451"/>
      <c r="AI560" s="450"/>
      <c r="AJ560" s="449"/>
      <c r="AK560" s="451"/>
      <c r="AL560" s="450"/>
      <c r="AM560" s="449"/>
      <c r="AN560" s="451"/>
      <c r="AO560" s="450"/>
      <c r="AP560" s="449"/>
      <c r="AQ560" s="451"/>
      <c r="AR560" s="449"/>
      <c r="AS560" s="449"/>
      <c r="AT560" s="451"/>
      <c r="AU560" s="449"/>
      <c r="AV560" s="451"/>
      <c r="AW560" s="449"/>
      <c r="AX560" s="449"/>
      <c r="AY560" s="449"/>
      <c r="AZ560" s="449"/>
      <c r="BA560" s="449"/>
      <c r="BB560" s="449"/>
      <c r="BC560" s="449"/>
      <c r="BD560" s="449"/>
      <c r="BE560" s="449"/>
      <c r="BF560" s="449"/>
      <c r="BG560" s="449"/>
      <c r="BH560" s="449"/>
      <c r="BI560" s="449"/>
      <c r="BJ560" s="449"/>
      <c r="BK560" s="449"/>
      <c r="BL560" s="449"/>
      <c r="BM560" s="449"/>
      <c r="BN560" s="449"/>
    </row>
    <row r="561" spans="1:66" ht="13.15" x14ac:dyDescent="0.4">
      <c r="A561" s="430"/>
      <c r="B561" s="430"/>
      <c r="C561" s="430"/>
      <c r="D561" s="430"/>
      <c r="E561" s="430"/>
      <c r="F561" s="430"/>
      <c r="G561" s="430"/>
      <c r="H561" s="461"/>
      <c r="I561" s="438"/>
      <c r="J561" s="438"/>
      <c r="K561" s="438"/>
      <c r="L561" s="430"/>
      <c r="M561" s="430"/>
      <c r="N561" s="461"/>
      <c r="O561" s="461"/>
      <c r="P561" s="430"/>
      <c r="Q561" s="430"/>
      <c r="R561" s="430"/>
      <c r="S561" s="430"/>
      <c r="T561" s="430"/>
      <c r="U561" s="430"/>
      <c r="V561" s="430"/>
      <c r="W561" s="430"/>
      <c r="X561" s="449"/>
      <c r="Y561" s="449"/>
      <c r="Z561" s="450"/>
      <c r="AA561" s="449"/>
      <c r="AB561" s="451"/>
      <c r="AC561" s="450"/>
      <c r="AD561" s="449"/>
      <c r="AE561" s="451"/>
      <c r="AF561" s="450"/>
      <c r="AG561" s="449"/>
      <c r="AH561" s="451"/>
      <c r="AI561" s="450"/>
      <c r="AJ561" s="449"/>
      <c r="AK561" s="451"/>
      <c r="AL561" s="450"/>
      <c r="AM561" s="449"/>
      <c r="AN561" s="451"/>
      <c r="AO561" s="450"/>
      <c r="AP561" s="449"/>
      <c r="AQ561" s="451"/>
      <c r="AR561" s="449"/>
      <c r="AS561" s="449"/>
      <c r="AT561" s="451"/>
      <c r="AU561" s="449"/>
      <c r="AV561" s="451"/>
      <c r="AW561" s="449"/>
      <c r="AX561" s="449"/>
      <c r="AY561" s="449"/>
      <c r="AZ561" s="449"/>
      <c r="BA561" s="449"/>
      <c r="BB561" s="449"/>
      <c r="BC561" s="449"/>
      <c r="BD561" s="449"/>
      <c r="BE561" s="449"/>
      <c r="BF561" s="449"/>
      <c r="BG561" s="449"/>
      <c r="BH561" s="449"/>
      <c r="BI561" s="449"/>
      <c r="BJ561" s="449"/>
      <c r="BK561" s="449"/>
      <c r="BL561" s="449"/>
      <c r="BM561" s="449"/>
      <c r="BN561" s="449"/>
    </row>
    <row r="562" spans="1:66" ht="13.15" x14ac:dyDescent="0.4">
      <c r="A562" s="430"/>
      <c r="B562" s="430"/>
      <c r="C562" s="430"/>
      <c r="D562" s="430"/>
      <c r="E562" s="430"/>
      <c r="F562" s="430"/>
      <c r="G562" s="430"/>
      <c r="H562" s="461"/>
      <c r="I562" s="438"/>
      <c r="J562" s="438"/>
      <c r="K562" s="438"/>
      <c r="L562" s="430"/>
      <c r="M562" s="430"/>
      <c r="N562" s="461"/>
      <c r="O562" s="461"/>
      <c r="P562" s="430"/>
      <c r="Q562" s="430"/>
      <c r="R562" s="430"/>
      <c r="S562" s="430"/>
      <c r="T562" s="430"/>
      <c r="U562" s="430"/>
      <c r="V562" s="430"/>
      <c r="W562" s="430"/>
      <c r="X562" s="449"/>
      <c r="Y562" s="449"/>
      <c r="Z562" s="450"/>
      <c r="AA562" s="449"/>
      <c r="AB562" s="451"/>
      <c r="AC562" s="450"/>
      <c r="AD562" s="449"/>
      <c r="AE562" s="451"/>
      <c r="AF562" s="450"/>
      <c r="AG562" s="449"/>
      <c r="AH562" s="451"/>
      <c r="AI562" s="450"/>
      <c r="AJ562" s="449"/>
      <c r="AK562" s="451"/>
      <c r="AL562" s="450"/>
      <c r="AM562" s="449"/>
      <c r="AN562" s="451"/>
      <c r="AO562" s="450"/>
      <c r="AP562" s="449"/>
      <c r="AQ562" s="451"/>
      <c r="AR562" s="449"/>
      <c r="AS562" s="449"/>
      <c r="AT562" s="451"/>
      <c r="AU562" s="449"/>
      <c r="AV562" s="451"/>
      <c r="AW562" s="449"/>
      <c r="AX562" s="449"/>
      <c r="AY562" s="449"/>
      <c r="AZ562" s="449"/>
      <c r="BA562" s="449"/>
      <c r="BB562" s="449"/>
      <c r="BC562" s="449"/>
      <c r="BD562" s="449"/>
      <c r="BE562" s="449"/>
      <c r="BF562" s="449"/>
      <c r="BG562" s="449"/>
      <c r="BH562" s="449"/>
      <c r="BI562" s="449"/>
      <c r="BJ562" s="449"/>
      <c r="BK562" s="449"/>
      <c r="BL562" s="449"/>
      <c r="BM562" s="449"/>
      <c r="BN562" s="449"/>
    </row>
    <row r="563" spans="1:66" ht="13.15" x14ac:dyDescent="0.4">
      <c r="A563" s="430"/>
      <c r="B563" s="430"/>
      <c r="C563" s="430"/>
      <c r="D563" s="430"/>
      <c r="E563" s="430"/>
      <c r="F563" s="430"/>
      <c r="G563" s="430"/>
      <c r="H563" s="461"/>
      <c r="I563" s="438"/>
      <c r="J563" s="438"/>
      <c r="K563" s="438"/>
      <c r="L563" s="430"/>
      <c r="M563" s="430"/>
      <c r="N563" s="461"/>
      <c r="O563" s="461"/>
      <c r="P563" s="430"/>
      <c r="Q563" s="430"/>
      <c r="R563" s="430"/>
      <c r="S563" s="430"/>
      <c r="T563" s="430"/>
      <c r="U563" s="430"/>
      <c r="V563" s="430"/>
      <c r="W563" s="430"/>
      <c r="X563" s="449"/>
      <c r="Y563" s="449"/>
      <c r="Z563" s="450"/>
      <c r="AA563" s="449"/>
      <c r="AB563" s="451"/>
      <c r="AC563" s="450"/>
      <c r="AD563" s="449"/>
      <c r="AE563" s="451"/>
      <c r="AF563" s="450"/>
      <c r="AG563" s="449"/>
      <c r="AH563" s="451"/>
      <c r="AI563" s="450"/>
      <c r="AJ563" s="449"/>
      <c r="AK563" s="451"/>
      <c r="AL563" s="450"/>
      <c r="AM563" s="449"/>
      <c r="AN563" s="451"/>
      <c r="AO563" s="450"/>
      <c r="AP563" s="449"/>
      <c r="AQ563" s="451"/>
      <c r="AR563" s="449"/>
      <c r="AS563" s="449"/>
      <c r="AT563" s="451"/>
      <c r="AU563" s="449"/>
      <c r="AV563" s="451"/>
      <c r="AW563" s="449"/>
      <c r="AX563" s="449"/>
      <c r="AY563" s="449"/>
      <c r="AZ563" s="449"/>
      <c r="BA563" s="449"/>
      <c r="BB563" s="449"/>
      <c r="BC563" s="449"/>
      <c r="BD563" s="449"/>
      <c r="BE563" s="449"/>
      <c r="BF563" s="449"/>
      <c r="BG563" s="449"/>
      <c r="BH563" s="449"/>
      <c r="BI563" s="449"/>
      <c r="BJ563" s="449"/>
      <c r="BK563" s="449"/>
      <c r="BL563" s="449"/>
      <c r="BM563" s="449"/>
      <c r="BN563" s="449"/>
    </row>
    <row r="564" spans="1:66" ht="13.15" x14ac:dyDescent="0.4">
      <c r="A564" s="430"/>
      <c r="B564" s="430"/>
      <c r="C564" s="430"/>
      <c r="D564" s="430"/>
      <c r="E564" s="430"/>
      <c r="F564" s="430"/>
      <c r="G564" s="430"/>
      <c r="H564" s="461"/>
      <c r="I564" s="438"/>
      <c r="J564" s="438"/>
      <c r="K564" s="438"/>
      <c r="L564" s="430"/>
      <c r="M564" s="430"/>
      <c r="N564" s="461"/>
      <c r="O564" s="461"/>
      <c r="P564" s="430"/>
      <c r="Q564" s="430"/>
      <c r="R564" s="430"/>
      <c r="S564" s="430"/>
      <c r="T564" s="430"/>
      <c r="U564" s="430"/>
      <c r="V564" s="430"/>
      <c r="W564" s="430"/>
      <c r="X564" s="449"/>
      <c r="Y564" s="449"/>
      <c r="Z564" s="450"/>
      <c r="AA564" s="449"/>
      <c r="AB564" s="451"/>
      <c r="AC564" s="450"/>
      <c r="AD564" s="449"/>
      <c r="AE564" s="451"/>
      <c r="AF564" s="450"/>
      <c r="AG564" s="449"/>
      <c r="AH564" s="451"/>
      <c r="AI564" s="450"/>
      <c r="AJ564" s="449"/>
      <c r="AK564" s="451"/>
      <c r="AL564" s="450"/>
      <c r="AM564" s="449"/>
      <c r="AN564" s="451"/>
      <c r="AO564" s="450"/>
      <c r="AP564" s="449"/>
      <c r="AQ564" s="451"/>
      <c r="AR564" s="449"/>
      <c r="AS564" s="449"/>
      <c r="AT564" s="451"/>
      <c r="AU564" s="449"/>
      <c r="AV564" s="451"/>
      <c r="AW564" s="449"/>
      <c r="AX564" s="449"/>
      <c r="AY564" s="449"/>
      <c r="AZ564" s="449"/>
      <c r="BA564" s="449"/>
      <c r="BB564" s="449"/>
      <c r="BC564" s="449"/>
      <c r="BD564" s="449"/>
      <c r="BE564" s="449"/>
      <c r="BF564" s="449"/>
      <c r="BG564" s="449"/>
      <c r="BH564" s="449"/>
      <c r="BI564" s="449"/>
      <c r="BJ564" s="449"/>
      <c r="BK564" s="449"/>
      <c r="BL564" s="449"/>
      <c r="BM564" s="449"/>
      <c r="BN564" s="449"/>
    </row>
    <row r="565" spans="1:66" ht="13.15" x14ac:dyDescent="0.4">
      <c r="A565" s="430"/>
      <c r="B565" s="430"/>
      <c r="C565" s="430"/>
      <c r="D565" s="430"/>
      <c r="E565" s="430"/>
      <c r="F565" s="430"/>
      <c r="G565" s="430"/>
      <c r="H565" s="461"/>
      <c r="I565" s="438"/>
      <c r="J565" s="438"/>
      <c r="K565" s="438"/>
      <c r="L565" s="430"/>
      <c r="M565" s="430"/>
      <c r="N565" s="461"/>
      <c r="O565" s="461"/>
      <c r="P565" s="430"/>
      <c r="Q565" s="430"/>
      <c r="R565" s="430"/>
      <c r="S565" s="430"/>
      <c r="T565" s="430"/>
      <c r="U565" s="430"/>
      <c r="V565" s="430"/>
      <c r="W565" s="430"/>
      <c r="X565" s="449"/>
      <c r="Y565" s="449"/>
      <c r="Z565" s="450"/>
      <c r="AA565" s="449"/>
      <c r="AB565" s="451"/>
      <c r="AC565" s="450"/>
      <c r="AD565" s="449"/>
      <c r="AE565" s="451"/>
      <c r="AF565" s="450"/>
      <c r="AG565" s="449"/>
      <c r="AH565" s="451"/>
      <c r="AI565" s="450"/>
      <c r="AJ565" s="449"/>
      <c r="AK565" s="451"/>
      <c r="AL565" s="450"/>
      <c r="AM565" s="449"/>
      <c r="AN565" s="451"/>
      <c r="AO565" s="450"/>
      <c r="AP565" s="449"/>
      <c r="AQ565" s="451"/>
      <c r="AR565" s="449"/>
      <c r="AS565" s="449"/>
      <c r="AT565" s="451"/>
      <c r="AU565" s="449"/>
      <c r="AV565" s="451"/>
      <c r="AW565" s="449"/>
      <c r="AX565" s="449"/>
      <c r="AY565" s="449"/>
      <c r="AZ565" s="449"/>
      <c r="BA565" s="449"/>
      <c r="BB565" s="449"/>
      <c r="BC565" s="449"/>
      <c r="BD565" s="449"/>
      <c r="BE565" s="449"/>
      <c r="BF565" s="449"/>
      <c r="BG565" s="449"/>
      <c r="BH565" s="449"/>
      <c r="BI565" s="449"/>
      <c r="BJ565" s="449"/>
      <c r="BK565" s="449"/>
      <c r="BL565" s="449"/>
      <c r="BM565" s="449"/>
      <c r="BN565" s="449"/>
    </row>
    <row r="566" spans="1:66" ht="13.15" x14ac:dyDescent="0.4">
      <c r="A566" s="430"/>
      <c r="B566" s="430"/>
      <c r="C566" s="430"/>
      <c r="D566" s="430"/>
      <c r="E566" s="430"/>
      <c r="F566" s="430"/>
      <c r="G566" s="430"/>
      <c r="H566" s="461"/>
      <c r="I566" s="438"/>
      <c r="J566" s="438"/>
      <c r="K566" s="438"/>
      <c r="L566" s="430"/>
      <c r="M566" s="430"/>
      <c r="N566" s="461"/>
      <c r="O566" s="461"/>
      <c r="P566" s="430"/>
      <c r="Q566" s="430"/>
      <c r="R566" s="430"/>
      <c r="S566" s="430"/>
      <c r="T566" s="430"/>
      <c r="U566" s="430"/>
      <c r="V566" s="430"/>
      <c r="W566" s="430"/>
      <c r="X566" s="449"/>
      <c r="Y566" s="449"/>
      <c r="Z566" s="450"/>
      <c r="AA566" s="449"/>
      <c r="AB566" s="451"/>
      <c r="AC566" s="450"/>
      <c r="AD566" s="449"/>
      <c r="AE566" s="451"/>
      <c r="AF566" s="450"/>
      <c r="AG566" s="449"/>
      <c r="AH566" s="451"/>
      <c r="AI566" s="450"/>
      <c r="AJ566" s="449"/>
      <c r="AK566" s="451"/>
      <c r="AL566" s="450"/>
      <c r="AM566" s="449"/>
      <c r="AN566" s="451"/>
      <c r="AO566" s="450"/>
      <c r="AP566" s="449"/>
      <c r="AQ566" s="451"/>
      <c r="AR566" s="449"/>
      <c r="AS566" s="449"/>
      <c r="AT566" s="451"/>
      <c r="AU566" s="449"/>
      <c r="AV566" s="451"/>
      <c r="AW566" s="449"/>
      <c r="AX566" s="449"/>
      <c r="AY566" s="449"/>
      <c r="AZ566" s="449"/>
      <c r="BA566" s="449"/>
      <c r="BB566" s="449"/>
      <c r="BC566" s="449"/>
      <c r="BD566" s="449"/>
      <c r="BE566" s="449"/>
      <c r="BF566" s="449"/>
      <c r="BG566" s="449"/>
      <c r="BH566" s="449"/>
      <c r="BI566" s="449"/>
      <c r="BJ566" s="449"/>
      <c r="BK566" s="449"/>
      <c r="BL566" s="449"/>
      <c r="BM566" s="449"/>
      <c r="BN566" s="449"/>
    </row>
    <row r="567" spans="1:66" ht="13.15" x14ac:dyDescent="0.4">
      <c r="A567" s="430"/>
      <c r="B567" s="430"/>
      <c r="C567" s="430"/>
      <c r="D567" s="430"/>
      <c r="E567" s="430"/>
      <c r="F567" s="430"/>
      <c r="G567" s="430"/>
      <c r="H567" s="461"/>
      <c r="I567" s="438"/>
      <c r="J567" s="438"/>
      <c r="K567" s="438"/>
      <c r="L567" s="430"/>
      <c r="M567" s="430"/>
      <c r="N567" s="461"/>
      <c r="O567" s="461"/>
      <c r="P567" s="430"/>
      <c r="Q567" s="430"/>
      <c r="R567" s="430"/>
      <c r="S567" s="430"/>
      <c r="T567" s="430"/>
      <c r="U567" s="430"/>
      <c r="V567" s="430"/>
      <c r="W567" s="430"/>
      <c r="X567" s="449"/>
      <c r="Y567" s="449"/>
      <c r="Z567" s="450"/>
      <c r="AA567" s="449"/>
      <c r="AB567" s="451"/>
      <c r="AC567" s="450"/>
      <c r="AD567" s="449"/>
      <c r="AE567" s="451"/>
      <c r="AF567" s="450"/>
      <c r="AG567" s="449"/>
      <c r="AH567" s="451"/>
      <c r="AI567" s="450"/>
      <c r="AJ567" s="449"/>
      <c r="AK567" s="451"/>
      <c r="AL567" s="450"/>
      <c r="AM567" s="449"/>
      <c r="AN567" s="451"/>
      <c r="AO567" s="450"/>
      <c r="AP567" s="449"/>
      <c r="AQ567" s="451"/>
      <c r="AR567" s="449"/>
      <c r="AS567" s="449"/>
      <c r="AT567" s="451"/>
      <c r="AU567" s="449"/>
      <c r="AV567" s="451"/>
      <c r="AW567" s="449"/>
      <c r="AX567" s="449"/>
      <c r="AY567" s="449"/>
      <c r="AZ567" s="449"/>
      <c r="BA567" s="449"/>
      <c r="BB567" s="449"/>
      <c r="BC567" s="449"/>
      <c r="BD567" s="449"/>
      <c r="BE567" s="449"/>
      <c r="BF567" s="449"/>
      <c r="BG567" s="449"/>
      <c r="BH567" s="449"/>
      <c r="BI567" s="449"/>
      <c r="BJ567" s="449"/>
      <c r="BK567" s="449"/>
      <c r="BL567" s="449"/>
      <c r="BM567" s="449"/>
      <c r="BN567" s="449"/>
    </row>
    <row r="568" spans="1:66" ht="13.15" x14ac:dyDescent="0.4">
      <c r="A568" s="430"/>
      <c r="B568" s="430"/>
      <c r="C568" s="430"/>
      <c r="D568" s="430"/>
      <c r="E568" s="430"/>
      <c r="F568" s="430"/>
      <c r="G568" s="430"/>
      <c r="H568" s="461"/>
      <c r="I568" s="438"/>
      <c r="J568" s="438"/>
      <c r="K568" s="438"/>
      <c r="L568" s="430"/>
      <c r="M568" s="430"/>
      <c r="N568" s="461"/>
      <c r="O568" s="461"/>
      <c r="P568" s="430"/>
      <c r="Q568" s="430"/>
      <c r="R568" s="430"/>
      <c r="S568" s="430"/>
      <c r="T568" s="430"/>
      <c r="U568" s="430"/>
      <c r="V568" s="430"/>
      <c r="W568" s="430"/>
      <c r="X568" s="449"/>
      <c r="Y568" s="449"/>
      <c r="Z568" s="450"/>
      <c r="AA568" s="449"/>
      <c r="AB568" s="451"/>
      <c r="AC568" s="450"/>
      <c r="AD568" s="449"/>
      <c r="AE568" s="451"/>
      <c r="AF568" s="450"/>
      <c r="AG568" s="449"/>
      <c r="AH568" s="451"/>
      <c r="AI568" s="450"/>
      <c r="AJ568" s="449"/>
      <c r="AK568" s="451"/>
      <c r="AL568" s="450"/>
      <c r="AM568" s="449"/>
      <c r="AN568" s="451"/>
      <c r="AO568" s="450"/>
      <c r="AP568" s="449"/>
      <c r="AQ568" s="451"/>
      <c r="AR568" s="449"/>
      <c r="AS568" s="449"/>
      <c r="AT568" s="451"/>
      <c r="AU568" s="449"/>
      <c r="AV568" s="451"/>
      <c r="AW568" s="449"/>
      <c r="AX568" s="449"/>
      <c r="AY568" s="449"/>
      <c r="AZ568" s="449"/>
      <c r="BA568" s="449"/>
      <c r="BB568" s="449"/>
      <c r="BC568" s="449"/>
      <c r="BD568" s="449"/>
      <c r="BE568" s="449"/>
      <c r="BF568" s="449"/>
      <c r="BG568" s="449"/>
      <c r="BH568" s="449"/>
      <c r="BI568" s="449"/>
      <c r="BJ568" s="449"/>
      <c r="BK568" s="449"/>
      <c r="BL568" s="449"/>
      <c r="BM568" s="449"/>
      <c r="BN568" s="449"/>
    </row>
    <row r="569" spans="1:66" ht="13.15" x14ac:dyDescent="0.4">
      <c r="A569" s="430"/>
      <c r="B569" s="430"/>
      <c r="C569" s="430"/>
      <c r="D569" s="430"/>
      <c r="E569" s="430"/>
      <c r="F569" s="430"/>
      <c r="G569" s="430"/>
      <c r="H569" s="461"/>
      <c r="I569" s="438"/>
      <c r="J569" s="438"/>
      <c r="K569" s="438"/>
      <c r="L569" s="430"/>
      <c r="M569" s="430"/>
      <c r="N569" s="461"/>
      <c r="O569" s="461"/>
      <c r="P569" s="430"/>
      <c r="Q569" s="430"/>
      <c r="R569" s="430"/>
      <c r="S569" s="430"/>
      <c r="T569" s="430"/>
      <c r="U569" s="430"/>
      <c r="V569" s="430"/>
      <c r="W569" s="430"/>
      <c r="X569" s="449"/>
      <c r="Y569" s="449"/>
      <c r="Z569" s="450"/>
      <c r="AA569" s="449"/>
      <c r="AB569" s="451"/>
      <c r="AC569" s="450"/>
      <c r="AD569" s="449"/>
      <c r="AE569" s="451"/>
      <c r="AF569" s="450"/>
      <c r="AG569" s="449"/>
      <c r="AH569" s="451"/>
      <c r="AI569" s="450"/>
      <c r="AJ569" s="449"/>
      <c r="AK569" s="451"/>
      <c r="AL569" s="450"/>
      <c r="AM569" s="449"/>
      <c r="AN569" s="451"/>
      <c r="AO569" s="450"/>
      <c r="AP569" s="449"/>
      <c r="AQ569" s="451"/>
      <c r="AR569" s="449"/>
      <c r="AS569" s="449"/>
      <c r="AT569" s="451"/>
      <c r="AU569" s="449"/>
      <c r="AV569" s="451"/>
      <c r="AW569" s="449"/>
      <c r="AX569" s="449"/>
      <c r="AY569" s="449"/>
      <c r="AZ569" s="449"/>
      <c r="BA569" s="449"/>
      <c r="BB569" s="449"/>
      <c r="BC569" s="449"/>
      <c r="BD569" s="449"/>
      <c r="BE569" s="449"/>
      <c r="BF569" s="449"/>
      <c r="BG569" s="449"/>
      <c r="BH569" s="449"/>
      <c r="BI569" s="449"/>
      <c r="BJ569" s="449"/>
      <c r="BK569" s="449"/>
      <c r="BL569" s="449"/>
      <c r="BM569" s="449"/>
      <c r="BN569" s="449"/>
    </row>
    <row r="570" spans="1:66" ht="13.15" x14ac:dyDescent="0.4">
      <c r="A570" s="430"/>
      <c r="B570" s="430"/>
      <c r="C570" s="430"/>
      <c r="D570" s="430"/>
      <c r="E570" s="430"/>
      <c r="F570" s="430"/>
      <c r="G570" s="430"/>
      <c r="H570" s="461"/>
      <c r="I570" s="438"/>
      <c r="J570" s="438"/>
      <c r="K570" s="438"/>
      <c r="L570" s="430"/>
      <c r="M570" s="430"/>
      <c r="N570" s="461"/>
      <c r="O570" s="461"/>
      <c r="P570" s="430"/>
      <c r="Q570" s="430"/>
      <c r="R570" s="430"/>
      <c r="S570" s="430"/>
      <c r="T570" s="430"/>
      <c r="U570" s="430"/>
      <c r="V570" s="430"/>
      <c r="W570" s="430"/>
      <c r="X570" s="449"/>
      <c r="Y570" s="449"/>
      <c r="Z570" s="450"/>
      <c r="AA570" s="449"/>
      <c r="AB570" s="451"/>
      <c r="AC570" s="450"/>
      <c r="AD570" s="449"/>
      <c r="AE570" s="451"/>
      <c r="AF570" s="450"/>
      <c r="AG570" s="449"/>
      <c r="AH570" s="451"/>
      <c r="AI570" s="450"/>
      <c r="AJ570" s="449"/>
      <c r="AK570" s="451"/>
      <c r="AL570" s="450"/>
      <c r="AM570" s="449"/>
      <c r="AN570" s="451"/>
      <c r="AO570" s="450"/>
      <c r="AP570" s="449"/>
      <c r="AQ570" s="451"/>
      <c r="AR570" s="449"/>
      <c r="AS570" s="449"/>
      <c r="AT570" s="451"/>
      <c r="AU570" s="449"/>
      <c r="AV570" s="451"/>
      <c r="AW570" s="449"/>
      <c r="AX570" s="449"/>
      <c r="AY570" s="449"/>
      <c r="AZ570" s="449"/>
      <c r="BA570" s="449"/>
      <c r="BB570" s="449"/>
      <c r="BC570" s="449"/>
      <c r="BD570" s="449"/>
      <c r="BE570" s="449"/>
      <c r="BF570" s="449"/>
      <c r="BG570" s="449"/>
      <c r="BH570" s="449"/>
      <c r="BI570" s="449"/>
      <c r="BJ570" s="449"/>
      <c r="BK570" s="449"/>
      <c r="BL570" s="449"/>
      <c r="BM570" s="449"/>
      <c r="BN570" s="449"/>
    </row>
    <row r="571" spans="1:66" ht="13.15" x14ac:dyDescent="0.4">
      <c r="A571" s="430"/>
      <c r="B571" s="430"/>
      <c r="C571" s="430"/>
      <c r="D571" s="430"/>
      <c r="E571" s="430"/>
      <c r="F571" s="430"/>
      <c r="G571" s="430"/>
      <c r="H571" s="461"/>
      <c r="I571" s="438"/>
      <c r="J571" s="438"/>
      <c r="K571" s="438"/>
      <c r="L571" s="430"/>
      <c r="M571" s="430"/>
      <c r="N571" s="461"/>
      <c r="O571" s="461"/>
      <c r="P571" s="430"/>
      <c r="Q571" s="430"/>
      <c r="R571" s="430"/>
      <c r="S571" s="430"/>
      <c r="T571" s="430"/>
      <c r="U571" s="430"/>
      <c r="V571" s="430"/>
      <c r="W571" s="430"/>
      <c r="X571" s="449"/>
      <c r="Y571" s="449"/>
      <c r="Z571" s="450"/>
      <c r="AA571" s="449"/>
      <c r="AB571" s="451"/>
      <c r="AC571" s="450"/>
      <c r="AD571" s="449"/>
      <c r="AE571" s="451"/>
      <c r="AF571" s="450"/>
      <c r="AG571" s="449"/>
      <c r="AH571" s="451"/>
      <c r="AI571" s="450"/>
      <c r="AJ571" s="449"/>
      <c r="AK571" s="451"/>
      <c r="AL571" s="450"/>
      <c r="AM571" s="449"/>
      <c r="AN571" s="451"/>
      <c r="AO571" s="450"/>
      <c r="AP571" s="449"/>
      <c r="AQ571" s="451"/>
      <c r="AR571" s="449"/>
      <c r="AS571" s="449"/>
      <c r="AT571" s="451"/>
      <c r="AU571" s="449"/>
      <c r="AV571" s="451"/>
      <c r="AW571" s="449"/>
      <c r="AX571" s="449"/>
      <c r="AY571" s="449"/>
      <c r="AZ571" s="449"/>
      <c r="BA571" s="449"/>
      <c r="BB571" s="449"/>
      <c r="BC571" s="449"/>
      <c r="BD571" s="449"/>
      <c r="BE571" s="449"/>
      <c r="BF571" s="449"/>
      <c r="BG571" s="449"/>
      <c r="BH571" s="449"/>
      <c r="BI571" s="449"/>
      <c r="BJ571" s="449"/>
      <c r="BK571" s="449"/>
      <c r="BL571" s="449"/>
      <c r="BM571" s="449"/>
      <c r="BN571" s="449"/>
    </row>
    <row r="572" spans="1:66" ht="13.15" x14ac:dyDescent="0.4">
      <c r="A572" s="430"/>
      <c r="B572" s="430"/>
      <c r="C572" s="430"/>
      <c r="D572" s="430"/>
      <c r="E572" s="430"/>
      <c r="F572" s="430"/>
      <c r="G572" s="430"/>
      <c r="H572" s="461"/>
      <c r="I572" s="438"/>
      <c r="J572" s="438"/>
      <c r="K572" s="438"/>
      <c r="L572" s="430"/>
      <c r="M572" s="430"/>
      <c r="N572" s="461"/>
      <c r="O572" s="461"/>
      <c r="P572" s="430"/>
      <c r="Q572" s="430"/>
      <c r="R572" s="430"/>
      <c r="S572" s="430"/>
      <c r="T572" s="430"/>
      <c r="U572" s="430"/>
      <c r="V572" s="430"/>
      <c r="W572" s="430"/>
      <c r="X572" s="449"/>
      <c r="Y572" s="449"/>
      <c r="Z572" s="450"/>
      <c r="AA572" s="449"/>
      <c r="AB572" s="451"/>
      <c r="AC572" s="450"/>
      <c r="AD572" s="449"/>
      <c r="AE572" s="451"/>
      <c r="AF572" s="450"/>
      <c r="AG572" s="449"/>
      <c r="AH572" s="451"/>
      <c r="AI572" s="450"/>
      <c r="AJ572" s="449"/>
      <c r="AK572" s="451"/>
      <c r="AL572" s="450"/>
      <c r="AM572" s="449"/>
      <c r="AN572" s="451"/>
      <c r="AO572" s="450"/>
      <c r="AP572" s="449"/>
      <c r="AQ572" s="451"/>
      <c r="AR572" s="449"/>
      <c r="AS572" s="449"/>
      <c r="AT572" s="451"/>
      <c r="AU572" s="449"/>
      <c r="AV572" s="451"/>
      <c r="AW572" s="449"/>
      <c r="AX572" s="449"/>
      <c r="AY572" s="449"/>
      <c r="AZ572" s="449"/>
      <c r="BA572" s="449"/>
      <c r="BB572" s="449"/>
      <c r="BC572" s="449"/>
      <c r="BD572" s="449"/>
      <c r="BE572" s="449"/>
      <c r="BF572" s="449"/>
      <c r="BG572" s="449"/>
      <c r="BH572" s="449"/>
      <c r="BI572" s="449"/>
      <c r="BJ572" s="449"/>
      <c r="BK572" s="449"/>
      <c r="BL572" s="449"/>
      <c r="BM572" s="449"/>
      <c r="BN572" s="449"/>
    </row>
    <row r="573" spans="1:66" ht="13.15" x14ac:dyDescent="0.4">
      <c r="A573" s="430"/>
      <c r="B573" s="430"/>
      <c r="C573" s="430"/>
      <c r="D573" s="430"/>
      <c r="E573" s="430"/>
      <c r="F573" s="430"/>
      <c r="G573" s="430"/>
      <c r="H573" s="461"/>
      <c r="I573" s="438"/>
      <c r="J573" s="438"/>
      <c r="K573" s="438"/>
      <c r="L573" s="430"/>
      <c r="M573" s="430"/>
      <c r="N573" s="461"/>
      <c r="O573" s="461"/>
      <c r="P573" s="430"/>
      <c r="Q573" s="430"/>
      <c r="R573" s="430"/>
      <c r="S573" s="430"/>
      <c r="T573" s="430"/>
      <c r="U573" s="430"/>
      <c r="V573" s="430"/>
      <c r="W573" s="430"/>
      <c r="X573" s="449"/>
      <c r="Y573" s="449"/>
      <c r="Z573" s="450"/>
      <c r="AA573" s="449"/>
      <c r="AB573" s="451"/>
      <c r="AC573" s="450"/>
      <c r="AD573" s="449"/>
      <c r="AE573" s="451"/>
      <c r="AF573" s="450"/>
      <c r="AG573" s="449"/>
      <c r="AH573" s="451"/>
      <c r="AI573" s="450"/>
      <c r="AJ573" s="449"/>
      <c r="AK573" s="451"/>
      <c r="AL573" s="450"/>
      <c r="AM573" s="449"/>
      <c r="AN573" s="451"/>
      <c r="AO573" s="450"/>
      <c r="AP573" s="449"/>
      <c r="AQ573" s="451"/>
      <c r="AR573" s="449"/>
      <c r="AS573" s="449"/>
      <c r="AT573" s="451"/>
      <c r="AU573" s="449"/>
      <c r="AV573" s="451"/>
      <c r="AW573" s="449"/>
      <c r="AX573" s="449"/>
      <c r="AY573" s="449"/>
      <c r="AZ573" s="449"/>
      <c r="BA573" s="449"/>
      <c r="BB573" s="449"/>
      <c r="BC573" s="449"/>
      <c r="BD573" s="449"/>
      <c r="BE573" s="449"/>
      <c r="BF573" s="449"/>
      <c r="BG573" s="449"/>
      <c r="BH573" s="449"/>
      <c r="BI573" s="449"/>
      <c r="BJ573" s="449"/>
      <c r="BK573" s="449"/>
      <c r="BL573" s="449"/>
      <c r="BM573" s="449"/>
      <c r="BN573" s="449"/>
    </row>
    <row r="574" spans="1:66" ht="13.15" x14ac:dyDescent="0.4">
      <c r="A574" s="430"/>
      <c r="B574" s="430"/>
      <c r="C574" s="430"/>
      <c r="D574" s="430"/>
      <c r="E574" s="430"/>
      <c r="F574" s="430"/>
      <c r="G574" s="430"/>
      <c r="H574" s="461"/>
      <c r="I574" s="438"/>
      <c r="J574" s="438"/>
      <c r="K574" s="438"/>
      <c r="L574" s="430"/>
      <c r="M574" s="430"/>
      <c r="N574" s="461"/>
      <c r="O574" s="461"/>
      <c r="P574" s="430"/>
      <c r="Q574" s="430"/>
      <c r="R574" s="430"/>
      <c r="S574" s="430"/>
      <c r="T574" s="430"/>
      <c r="U574" s="430"/>
      <c r="V574" s="430"/>
      <c r="W574" s="430"/>
      <c r="X574" s="449"/>
      <c r="Y574" s="449"/>
      <c r="Z574" s="450"/>
      <c r="AA574" s="449"/>
      <c r="AB574" s="451"/>
      <c r="AC574" s="450"/>
      <c r="AD574" s="449"/>
      <c r="AE574" s="451"/>
      <c r="AF574" s="450"/>
      <c r="AG574" s="449"/>
      <c r="AH574" s="451"/>
      <c r="AI574" s="450"/>
      <c r="AJ574" s="449"/>
      <c r="AK574" s="451"/>
      <c r="AL574" s="450"/>
      <c r="AM574" s="449"/>
      <c r="AN574" s="451"/>
      <c r="AO574" s="450"/>
      <c r="AP574" s="449"/>
      <c r="AQ574" s="451"/>
      <c r="AR574" s="449"/>
      <c r="AS574" s="449"/>
      <c r="AT574" s="451"/>
      <c r="AU574" s="449"/>
      <c r="AV574" s="451"/>
      <c r="AW574" s="449"/>
      <c r="AX574" s="449"/>
      <c r="AY574" s="449"/>
      <c r="AZ574" s="449"/>
      <c r="BA574" s="449"/>
      <c r="BB574" s="449"/>
      <c r="BC574" s="449"/>
      <c r="BD574" s="449"/>
      <c r="BE574" s="449"/>
      <c r="BF574" s="449"/>
      <c r="BG574" s="449"/>
      <c r="BH574" s="449"/>
      <c r="BI574" s="449"/>
      <c r="BJ574" s="449"/>
      <c r="BK574" s="449"/>
      <c r="BL574" s="449"/>
      <c r="BM574" s="449"/>
      <c r="BN574" s="449"/>
    </row>
    <row r="575" spans="1:66" ht="13.15" x14ac:dyDescent="0.4">
      <c r="A575" s="430"/>
      <c r="B575" s="430"/>
      <c r="C575" s="430"/>
      <c r="D575" s="430"/>
      <c r="E575" s="430"/>
      <c r="F575" s="430"/>
      <c r="G575" s="430"/>
      <c r="H575" s="461"/>
      <c r="I575" s="438"/>
      <c r="J575" s="438"/>
      <c r="K575" s="438"/>
      <c r="L575" s="430"/>
      <c r="M575" s="430"/>
      <c r="N575" s="461"/>
      <c r="O575" s="461"/>
      <c r="P575" s="430"/>
      <c r="Q575" s="430"/>
      <c r="R575" s="430"/>
      <c r="S575" s="430"/>
      <c r="T575" s="430"/>
      <c r="U575" s="430"/>
      <c r="V575" s="430"/>
      <c r="W575" s="430"/>
      <c r="X575" s="449"/>
      <c r="Y575" s="449"/>
      <c r="Z575" s="450"/>
      <c r="AA575" s="449"/>
      <c r="AB575" s="451"/>
      <c r="AC575" s="450"/>
      <c r="AD575" s="449"/>
      <c r="AE575" s="451"/>
      <c r="AF575" s="450"/>
      <c r="AG575" s="449"/>
      <c r="AH575" s="451"/>
      <c r="AI575" s="450"/>
      <c r="AJ575" s="449"/>
      <c r="AK575" s="451"/>
      <c r="AL575" s="450"/>
      <c r="AM575" s="449"/>
      <c r="AN575" s="451"/>
      <c r="AO575" s="450"/>
      <c r="AP575" s="449"/>
      <c r="AQ575" s="451"/>
      <c r="AR575" s="449"/>
      <c r="AS575" s="449"/>
      <c r="AT575" s="451"/>
      <c r="AU575" s="449"/>
      <c r="AV575" s="451"/>
      <c r="AW575" s="449"/>
      <c r="AX575" s="449"/>
      <c r="AY575" s="449"/>
      <c r="AZ575" s="449"/>
      <c r="BA575" s="449"/>
      <c r="BB575" s="449"/>
      <c r="BC575" s="449"/>
      <c r="BD575" s="449"/>
      <c r="BE575" s="449"/>
      <c r="BF575" s="449"/>
      <c r="BG575" s="449"/>
      <c r="BH575" s="449"/>
      <c r="BI575" s="449"/>
      <c r="BJ575" s="449"/>
      <c r="BK575" s="449"/>
      <c r="BL575" s="449"/>
      <c r="BM575" s="449"/>
      <c r="BN575" s="449"/>
    </row>
    <row r="576" spans="1:66" ht="13.15" x14ac:dyDescent="0.4">
      <c r="A576" s="430"/>
      <c r="B576" s="430"/>
      <c r="C576" s="430"/>
      <c r="D576" s="430"/>
      <c r="E576" s="430"/>
      <c r="F576" s="430"/>
      <c r="G576" s="430"/>
      <c r="H576" s="461"/>
      <c r="I576" s="438"/>
      <c r="J576" s="438"/>
      <c r="K576" s="438"/>
      <c r="L576" s="430"/>
      <c r="M576" s="430"/>
      <c r="N576" s="461"/>
      <c r="O576" s="461"/>
      <c r="P576" s="430"/>
      <c r="Q576" s="430"/>
      <c r="R576" s="430"/>
      <c r="S576" s="430"/>
      <c r="T576" s="430"/>
      <c r="U576" s="430"/>
      <c r="V576" s="430"/>
      <c r="W576" s="430"/>
      <c r="X576" s="449"/>
      <c r="Y576" s="449"/>
      <c r="Z576" s="450"/>
      <c r="AA576" s="449"/>
      <c r="AB576" s="451"/>
      <c r="AC576" s="450"/>
      <c r="AD576" s="449"/>
      <c r="AE576" s="451"/>
      <c r="AF576" s="450"/>
      <c r="AG576" s="449"/>
      <c r="AH576" s="451"/>
      <c r="AI576" s="450"/>
      <c r="AJ576" s="449"/>
      <c r="AK576" s="451"/>
      <c r="AL576" s="450"/>
      <c r="AM576" s="449"/>
      <c r="AN576" s="451"/>
      <c r="AO576" s="450"/>
      <c r="AP576" s="449"/>
      <c r="AQ576" s="451"/>
      <c r="AR576" s="449"/>
      <c r="AS576" s="449"/>
      <c r="AT576" s="451"/>
      <c r="AU576" s="449"/>
      <c r="AV576" s="451"/>
      <c r="AW576" s="449"/>
      <c r="AX576" s="449"/>
      <c r="AY576" s="449"/>
      <c r="AZ576" s="449"/>
      <c r="BA576" s="449"/>
      <c r="BB576" s="449"/>
      <c r="BC576" s="449"/>
      <c r="BD576" s="449"/>
      <c r="BE576" s="449"/>
      <c r="BF576" s="449"/>
      <c r="BG576" s="449"/>
      <c r="BH576" s="449"/>
      <c r="BI576" s="449"/>
      <c r="BJ576" s="449"/>
      <c r="BK576" s="449"/>
      <c r="BL576" s="449"/>
      <c r="BM576" s="449"/>
      <c r="BN576" s="449"/>
    </row>
    <row r="577" spans="1:66" ht="13.15" x14ac:dyDescent="0.4">
      <c r="A577" s="430"/>
      <c r="B577" s="430"/>
      <c r="C577" s="430"/>
      <c r="D577" s="430"/>
      <c r="E577" s="430"/>
      <c r="F577" s="430"/>
      <c r="G577" s="430"/>
      <c r="H577" s="461"/>
      <c r="I577" s="438"/>
      <c r="J577" s="438"/>
      <c r="K577" s="438"/>
      <c r="L577" s="430"/>
      <c r="M577" s="430"/>
      <c r="N577" s="461"/>
      <c r="O577" s="461"/>
      <c r="P577" s="430"/>
      <c r="Q577" s="430"/>
      <c r="R577" s="430"/>
      <c r="S577" s="430"/>
      <c r="T577" s="430"/>
      <c r="U577" s="430"/>
      <c r="V577" s="430"/>
      <c r="W577" s="430"/>
      <c r="X577" s="449"/>
      <c r="Y577" s="449"/>
      <c r="Z577" s="450"/>
      <c r="AA577" s="449"/>
      <c r="AB577" s="451"/>
      <c r="AC577" s="450"/>
      <c r="AD577" s="449"/>
      <c r="AE577" s="451"/>
      <c r="AF577" s="450"/>
      <c r="AG577" s="449"/>
      <c r="AH577" s="451"/>
      <c r="AI577" s="450"/>
      <c r="AJ577" s="449"/>
      <c r="AK577" s="451"/>
      <c r="AL577" s="450"/>
      <c r="AM577" s="449"/>
      <c r="AN577" s="451"/>
      <c r="AO577" s="450"/>
      <c r="AP577" s="449"/>
      <c r="AQ577" s="451"/>
      <c r="AR577" s="449"/>
      <c r="AS577" s="449"/>
      <c r="AT577" s="451"/>
      <c r="AU577" s="449"/>
      <c r="AV577" s="451"/>
      <c r="AW577" s="449"/>
      <c r="AX577" s="449"/>
      <c r="AY577" s="449"/>
      <c r="AZ577" s="449"/>
      <c r="BA577" s="449"/>
      <c r="BB577" s="449"/>
      <c r="BC577" s="449"/>
      <c r="BD577" s="449"/>
      <c r="BE577" s="449"/>
      <c r="BF577" s="449"/>
      <c r="BG577" s="449"/>
      <c r="BH577" s="449"/>
      <c r="BI577" s="449"/>
      <c r="BJ577" s="449"/>
      <c r="BK577" s="449"/>
      <c r="BL577" s="449"/>
      <c r="BM577" s="449"/>
      <c r="BN577" s="449"/>
    </row>
    <row r="578" spans="1:66" ht="13.15" x14ac:dyDescent="0.4">
      <c r="A578" s="430"/>
      <c r="B578" s="430"/>
      <c r="C578" s="430"/>
      <c r="D578" s="430"/>
      <c r="E578" s="430"/>
      <c r="F578" s="430"/>
      <c r="G578" s="430"/>
      <c r="H578" s="461"/>
      <c r="I578" s="438"/>
      <c r="J578" s="438"/>
      <c r="K578" s="438"/>
      <c r="L578" s="430"/>
      <c r="M578" s="430"/>
      <c r="N578" s="461"/>
      <c r="O578" s="461"/>
      <c r="P578" s="430"/>
      <c r="Q578" s="430"/>
      <c r="R578" s="430"/>
      <c r="S578" s="430"/>
      <c r="T578" s="430"/>
      <c r="U578" s="430"/>
      <c r="V578" s="430"/>
      <c r="W578" s="430"/>
      <c r="X578" s="449"/>
      <c r="Y578" s="449"/>
      <c r="Z578" s="450"/>
      <c r="AA578" s="449"/>
      <c r="AB578" s="451"/>
      <c r="AC578" s="450"/>
      <c r="AD578" s="449"/>
      <c r="AE578" s="451"/>
      <c r="AF578" s="450"/>
      <c r="AG578" s="449"/>
      <c r="AH578" s="451"/>
      <c r="AI578" s="450"/>
      <c r="AJ578" s="449"/>
      <c r="AK578" s="451"/>
      <c r="AL578" s="450"/>
      <c r="AM578" s="449"/>
      <c r="AN578" s="451"/>
      <c r="AO578" s="450"/>
      <c r="AP578" s="449"/>
      <c r="AQ578" s="451"/>
      <c r="AR578" s="449"/>
      <c r="AS578" s="449"/>
      <c r="AT578" s="451"/>
      <c r="AU578" s="449"/>
      <c r="AV578" s="451"/>
      <c r="AW578" s="449"/>
      <c r="AX578" s="449"/>
      <c r="AY578" s="449"/>
      <c r="AZ578" s="449"/>
      <c r="BA578" s="449"/>
      <c r="BB578" s="449"/>
      <c r="BC578" s="449"/>
      <c r="BD578" s="449"/>
      <c r="BE578" s="449"/>
      <c r="BF578" s="449"/>
      <c r="BG578" s="449"/>
      <c r="BH578" s="449"/>
      <c r="BI578" s="449"/>
      <c r="BJ578" s="449"/>
      <c r="BK578" s="449"/>
      <c r="BL578" s="449"/>
      <c r="BM578" s="449"/>
      <c r="BN578" s="449"/>
    </row>
    <row r="579" spans="1:66" ht="13.15" x14ac:dyDescent="0.4">
      <c r="A579" s="430"/>
      <c r="B579" s="430"/>
      <c r="C579" s="430"/>
      <c r="D579" s="430"/>
      <c r="E579" s="430"/>
      <c r="F579" s="430"/>
      <c r="G579" s="430"/>
      <c r="H579" s="461"/>
      <c r="I579" s="438"/>
      <c r="J579" s="438"/>
      <c r="K579" s="438"/>
      <c r="L579" s="430"/>
      <c r="M579" s="430"/>
      <c r="N579" s="461"/>
      <c r="O579" s="461"/>
      <c r="P579" s="430"/>
      <c r="Q579" s="430"/>
      <c r="R579" s="430"/>
      <c r="S579" s="430"/>
      <c r="T579" s="430"/>
      <c r="U579" s="430"/>
      <c r="V579" s="430"/>
      <c r="W579" s="430"/>
      <c r="X579" s="449"/>
      <c r="Y579" s="449"/>
      <c r="Z579" s="450"/>
      <c r="AA579" s="449"/>
      <c r="AB579" s="451"/>
      <c r="AC579" s="450"/>
      <c r="AD579" s="449"/>
      <c r="AE579" s="451"/>
      <c r="AF579" s="450"/>
      <c r="AG579" s="449"/>
      <c r="AH579" s="451"/>
      <c r="AI579" s="450"/>
      <c r="AJ579" s="449"/>
      <c r="AK579" s="451"/>
      <c r="AL579" s="450"/>
      <c r="AM579" s="449"/>
      <c r="AN579" s="451"/>
      <c r="AO579" s="450"/>
      <c r="AP579" s="449"/>
      <c r="AQ579" s="451"/>
      <c r="AR579" s="449"/>
      <c r="AS579" s="449"/>
      <c r="AT579" s="451"/>
      <c r="AU579" s="449"/>
      <c r="AV579" s="451"/>
      <c r="AW579" s="449"/>
      <c r="AX579" s="449"/>
      <c r="AY579" s="449"/>
      <c r="AZ579" s="449"/>
      <c r="BA579" s="449"/>
      <c r="BB579" s="449"/>
      <c r="BC579" s="449"/>
      <c r="BD579" s="449"/>
      <c r="BE579" s="449"/>
      <c r="BF579" s="449"/>
      <c r="BG579" s="449"/>
      <c r="BH579" s="449"/>
      <c r="BI579" s="449"/>
      <c r="BJ579" s="449"/>
      <c r="BK579" s="449"/>
      <c r="BL579" s="449"/>
      <c r="BM579" s="449"/>
      <c r="BN579" s="449"/>
    </row>
    <row r="580" spans="1:66" ht="13.15" x14ac:dyDescent="0.4">
      <c r="A580" s="430"/>
      <c r="B580" s="430"/>
      <c r="C580" s="430"/>
      <c r="D580" s="430"/>
      <c r="E580" s="430"/>
      <c r="F580" s="430"/>
      <c r="G580" s="430"/>
      <c r="H580" s="461"/>
      <c r="I580" s="438"/>
      <c r="J580" s="438"/>
      <c r="K580" s="438"/>
      <c r="L580" s="430"/>
      <c r="M580" s="430"/>
      <c r="N580" s="461"/>
      <c r="O580" s="461"/>
      <c r="P580" s="430"/>
      <c r="Q580" s="430"/>
      <c r="R580" s="430"/>
      <c r="S580" s="430"/>
      <c r="T580" s="430"/>
      <c r="U580" s="430"/>
      <c r="V580" s="430"/>
      <c r="W580" s="430"/>
      <c r="X580" s="449"/>
      <c r="Y580" s="449"/>
      <c r="Z580" s="450"/>
      <c r="AA580" s="449"/>
      <c r="AB580" s="451"/>
      <c r="AC580" s="450"/>
      <c r="AD580" s="449"/>
      <c r="AE580" s="451"/>
      <c r="AF580" s="450"/>
      <c r="AG580" s="449"/>
      <c r="AH580" s="451"/>
      <c r="AI580" s="450"/>
      <c r="AJ580" s="449"/>
      <c r="AK580" s="451"/>
      <c r="AL580" s="450"/>
      <c r="AM580" s="449"/>
      <c r="AN580" s="451"/>
      <c r="AO580" s="450"/>
      <c r="AP580" s="449"/>
      <c r="AQ580" s="451"/>
      <c r="AR580" s="449"/>
      <c r="AS580" s="449"/>
      <c r="AT580" s="451"/>
      <c r="AU580" s="449"/>
      <c r="AV580" s="451"/>
      <c r="AW580" s="449"/>
      <c r="AX580" s="449"/>
      <c r="AY580" s="449"/>
      <c r="AZ580" s="449"/>
      <c r="BA580" s="449"/>
      <c r="BB580" s="449"/>
      <c r="BC580" s="449"/>
      <c r="BD580" s="449"/>
      <c r="BE580" s="449"/>
      <c r="BF580" s="449"/>
      <c r="BG580" s="449"/>
      <c r="BH580" s="449"/>
      <c r="BI580" s="449"/>
      <c r="BJ580" s="449"/>
      <c r="BK580" s="449"/>
      <c r="BL580" s="449"/>
      <c r="BM580" s="449"/>
      <c r="BN580" s="449"/>
    </row>
    <row r="581" spans="1:66" ht="13.15" x14ac:dyDescent="0.4">
      <c r="A581" s="430"/>
      <c r="B581" s="430"/>
      <c r="C581" s="430"/>
      <c r="D581" s="430"/>
      <c r="E581" s="430"/>
      <c r="F581" s="430"/>
      <c r="G581" s="430"/>
      <c r="H581" s="461"/>
      <c r="I581" s="438"/>
      <c r="J581" s="438"/>
      <c r="K581" s="438"/>
      <c r="L581" s="430"/>
      <c r="M581" s="430"/>
      <c r="N581" s="461"/>
      <c r="O581" s="461"/>
      <c r="P581" s="430"/>
      <c r="Q581" s="430"/>
      <c r="R581" s="430"/>
      <c r="S581" s="430"/>
      <c r="T581" s="430"/>
      <c r="U581" s="430"/>
      <c r="V581" s="430"/>
      <c r="W581" s="430"/>
      <c r="X581" s="449"/>
      <c r="Y581" s="449"/>
      <c r="Z581" s="450"/>
      <c r="AA581" s="449"/>
      <c r="AB581" s="451"/>
      <c r="AC581" s="450"/>
      <c r="AD581" s="449"/>
      <c r="AE581" s="451"/>
      <c r="AF581" s="450"/>
      <c r="AG581" s="449"/>
      <c r="AH581" s="451"/>
      <c r="AI581" s="450"/>
      <c r="AJ581" s="449"/>
      <c r="AK581" s="451"/>
      <c r="AL581" s="450"/>
      <c r="AM581" s="449"/>
      <c r="AN581" s="451"/>
      <c r="AO581" s="450"/>
      <c r="AP581" s="449"/>
      <c r="AQ581" s="451"/>
      <c r="AR581" s="449"/>
      <c r="AS581" s="449"/>
      <c r="AT581" s="451"/>
      <c r="AU581" s="449"/>
      <c r="AV581" s="451"/>
      <c r="AW581" s="449"/>
      <c r="AX581" s="449"/>
      <c r="AY581" s="449"/>
      <c r="AZ581" s="449"/>
      <c r="BA581" s="449"/>
      <c r="BB581" s="449"/>
      <c r="BC581" s="449"/>
      <c r="BD581" s="449"/>
      <c r="BE581" s="449"/>
      <c r="BF581" s="449"/>
      <c r="BG581" s="449"/>
      <c r="BH581" s="449"/>
      <c r="BI581" s="449"/>
      <c r="BJ581" s="449"/>
      <c r="BK581" s="449"/>
      <c r="BL581" s="449"/>
      <c r="BM581" s="449"/>
      <c r="BN581" s="449"/>
    </row>
    <row r="582" spans="1:66" ht="13.15" x14ac:dyDescent="0.4">
      <c r="A582" s="430"/>
      <c r="B582" s="430"/>
      <c r="C582" s="430"/>
      <c r="D582" s="430"/>
      <c r="E582" s="430"/>
      <c r="F582" s="430"/>
      <c r="G582" s="430"/>
      <c r="H582" s="461"/>
      <c r="I582" s="438"/>
      <c r="J582" s="438"/>
      <c r="K582" s="438"/>
      <c r="L582" s="430"/>
      <c r="M582" s="430"/>
      <c r="N582" s="461"/>
      <c r="O582" s="461"/>
      <c r="P582" s="430"/>
      <c r="Q582" s="430"/>
      <c r="R582" s="430"/>
      <c r="S582" s="430"/>
      <c r="T582" s="430"/>
      <c r="U582" s="430"/>
      <c r="V582" s="430"/>
      <c r="W582" s="430"/>
      <c r="X582" s="449"/>
      <c r="Y582" s="449"/>
      <c r="Z582" s="450"/>
      <c r="AA582" s="449"/>
      <c r="AB582" s="451"/>
      <c r="AC582" s="450"/>
      <c r="AD582" s="449"/>
      <c r="AE582" s="451"/>
      <c r="AF582" s="450"/>
      <c r="AG582" s="449"/>
      <c r="AH582" s="451"/>
      <c r="AI582" s="450"/>
      <c r="AJ582" s="449"/>
      <c r="AK582" s="451"/>
      <c r="AL582" s="450"/>
      <c r="AM582" s="449"/>
      <c r="AN582" s="451"/>
      <c r="AO582" s="450"/>
      <c r="AP582" s="449"/>
      <c r="AQ582" s="451"/>
      <c r="AR582" s="449"/>
      <c r="AS582" s="449"/>
      <c r="AT582" s="451"/>
      <c r="AU582" s="449"/>
      <c r="AV582" s="451"/>
      <c r="AW582" s="449"/>
      <c r="AX582" s="449"/>
      <c r="AY582" s="449"/>
      <c r="AZ582" s="449"/>
      <c r="BA582" s="449"/>
      <c r="BB582" s="449"/>
      <c r="BC582" s="449"/>
      <c r="BD582" s="449"/>
      <c r="BE582" s="449"/>
      <c r="BF582" s="449"/>
      <c r="BG582" s="449"/>
      <c r="BH582" s="449"/>
      <c r="BI582" s="449"/>
      <c r="BJ582" s="449"/>
      <c r="BK582" s="449"/>
      <c r="BL582" s="449"/>
      <c r="BM582" s="449"/>
      <c r="BN582" s="449"/>
    </row>
    <row r="583" spans="1:66" ht="13.15" x14ac:dyDescent="0.4">
      <c r="A583" s="430"/>
      <c r="B583" s="430"/>
      <c r="C583" s="430"/>
      <c r="D583" s="430"/>
      <c r="E583" s="430"/>
      <c r="F583" s="430"/>
      <c r="G583" s="430"/>
      <c r="H583" s="461"/>
      <c r="I583" s="438"/>
      <c r="J583" s="438"/>
      <c r="K583" s="438"/>
      <c r="L583" s="430"/>
      <c r="M583" s="430"/>
      <c r="N583" s="461"/>
      <c r="O583" s="461"/>
      <c r="P583" s="430"/>
      <c r="Q583" s="430"/>
      <c r="R583" s="430"/>
      <c r="S583" s="430"/>
      <c r="T583" s="430"/>
      <c r="U583" s="430"/>
      <c r="V583" s="430"/>
      <c r="W583" s="430"/>
      <c r="X583" s="449"/>
      <c r="Y583" s="449"/>
      <c r="Z583" s="450"/>
      <c r="AA583" s="449"/>
      <c r="AB583" s="451"/>
      <c r="AC583" s="450"/>
      <c r="AD583" s="449"/>
      <c r="AE583" s="451"/>
      <c r="AF583" s="450"/>
      <c r="AG583" s="449"/>
      <c r="AH583" s="451"/>
      <c r="AI583" s="450"/>
      <c r="AJ583" s="449"/>
      <c r="AK583" s="451"/>
      <c r="AL583" s="450"/>
      <c r="AM583" s="449"/>
      <c r="AN583" s="451"/>
      <c r="AO583" s="450"/>
      <c r="AP583" s="449"/>
      <c r="AQ583" s="451"/>
      <c r="AR583" s="449"/>
      <c r="AS583" s="449"/>
      <c r="AT583" s="451"/>
      <c r="AU583" s="449"/>
      <c r="AV583" s="451"/>
      <c r="AW583" s="449"/>
      <c r="AX583" s="449"/>
      <c r="AY583" s="449"/>
      <c r="AZ583" s="449"/>
      <c r="BA583" s="449"/>
      <c r="BB583" s="449"/>
      <c r="BC583" s="449"/>
      <c r="BD583" s="449"/>
      <c r="BE583" s="449"/>
      <c r="BF583" s="449"/>
      <c r="BG583" s="449"/>
      <c r="BH583" s="449"/>
      <c r="BI583" s="449"/>
      <c r="BJ583" s="449"/>
      <c r="BK583" s="449"/>
      <c r="BL583" s="449"/>
      <c r="BM583" s="449"/>
      <c r="BN583" s="449"/>
    </row>
    <row r="584" spans="1:66" ht="13.15" x14ac:dyDescent="0.4">
      <c r="A584" s="430"/>
      <c r="B584" s="430"/>
      <c r="C584" s="430"/>
      <c r="D584" s="430"/>
      <c r="E584" s="430"/>
      <c r="F584" s="430"/>
      <c r="G584" s="430"/>
      <c r="H584" s="461"/>
      <c r="I584" s="438"/>
      <c r="J584" s="438"/>
      <c r="K584" s="438"/>
      <c r="L584" s="430"/>
      <c r="M584" s="430"/>
      <c r="N584" s="461"/>
      <c r="O584" s="461"/>
      <c r="P584" s="430"/>
      <c r="Q584" s="430"/>
      <c r="R584" s="430"/>
      <c r="S584" s="430"/>
      <c r="T584" s="430"/>
      <c r="U584" s="430"/>
      <c r="V584" s="430"/>
      <c r="W584" s="430"/>
      <c r="X584" s="449"/>
      <c r="Y584" s="449"/>
      <c r="Z584" s="450"/>
      <c r="AA584" s="449"/>
      <c r="AB584" s="451"/>
      <c r="AC584" s="450"/>
      <c r="AD584" s="449"/>
      <c r="AE584" s="451"/>
      <c r="AF584" s="450"/>
      <c r="AG584" s="449"/>
      <c r="AH584" s="451"/>
      <c r="AI584" s="450"/>
      <c r="AJ584" s="449"/>
      <c r="AK584" s="451"/>
      <c r="AL584" s="450"/>
      <c r="AM584" s="449"/>
      <c r="AN584" s="451"/>
      <c r="AO584" s="450"/>
      <c r="AP584" s="449"/>
      <c r="AQ584" s="451"/>
      <c r="AR584" s="449"/>
      <c r="AS584" s="449"/>
      <c r="AT584" s="451"/>
      <c r="AU584" s="449"/>
      <c r="AV584" s="451"/>
      <c r="AW584" s="449"/>
      <c r="AX584" s="449"/>
      <c r="AY584" s="449"/>
      <c r="AZ584" s="449"/>
      <c r="BA584" s="449"/>
      <c r="BB584" s="449"/>
      <c r="BC584" s="449"/>
      <c r="BD584" s="449"/>
      <c r="BE584" s="449"/>
      <c r="BF584" s="449"/>
      <c r="BG584" s="449"/>
      <c r="BH584" s="449"/>
      <c r="BI584" s="449"/>
      <c r="BJ584" s="449"/>
      <c r="BK584" s="449"/>
      <c r="BL584" s="449"/>
      <c r="BM584" s="449"/>
      <c r="BN584" s="449"/>
    </row>
    <row r="585" spans="1:66" ht="13.15" x14ac:dyDescent="0.4">
      <c r="A585" s="430"/>
      <c r="B585" s="430"/>
      <c r="C585" s="430"/>
      <c r="D585" s="430"/>
      <c r="E585" s="430"/>
      <c r="F585" s="430"/>
      <c r="G585" s="430"/>
      <c r="H585" s="461"/>
      <c r="I585" s="438"/>
      <c r="J585" s="438"/>
      <c r="K585" s="438"/>
      <c r="L585" s="430"/>
      <c r="M585" s="430"/>
      <c r="N585" s="461"/>
      <c r="O585" s="461"/>
      <c r="P585" s="430"/>
      <c r="Q585" s="430"/>
      <c r="R585" s="430"/>
      <c r="S585" s="430"/>
      <c r="T585" s="430"/>
      <c r="U585" s="430"/>
      <c r="V585" s="430"/>
      <c r="W585" s="430"/>
      <c r="X585" s="449"/>
      <c r="Y585" s="449"/>
      <c r="Z585" s="450"/>
      <c r="AA585" s="449"/>
      <c r="AB585" s="451"/>
      <c r="AC585" s="450"/>
      <c r="AD585" s="449"/>
      <c r="AE585" s="451"/>
      <c r="AF585" s="450"/>
      <c r="AG585" s="449"/>
      <c r="AH585" s="451"/>
      <c r="AI585" s="450"/>
      <c r="AJ585" s="449"/>
      <c r="AK585" s="451"/>
      <c r="AL585" s="450"/>
      <c r="AM585" s="449"/>
      <c r="AN585" s="451"/>
      <c r="AO585" s="450"/>
      <c r="AP585" s="449"/>
      <c r="AQ585" s="451"/>
      <c r="AR585" s="449"/>
      <c r="AS585" s="449"/>
      <c r="AT585" s="451"/>
      <c r="AU585" s="449"/>
      <c r="AV585" s="451"/>
      <c r="AW585" s="449"/>
      <c r="AX585" s="449"/>
      <c r="AY585" s="449"/>
      <c r="AZ585" s="449"/>
      <c r="BA585" s="449"/>
      <c r="BB585" s="449"/>
      <c r="BC585" s="449"/>
      <c r="BD585" s="449"/>
      <c r="BE585" s="449"/>
      <c r="BF585" s="449"/>
      <c r="BG585" s="449"/>
      <c r="BH585" s="449"/>
      <c r="BI585" s="449"/>
      <c r="BJ585" s="449"/>
      <c r="BK585" s="449"/>
      <c r="BL585" s="449"/>
      <c r="BM585" s="449"/>
      <c r="BN585" s="449"/>
    </row>
    <row r="586" spans="1:66" ht="13.15" x14ac:dyDescent="0.4">
      <c r="A586" s="430"/>
      <c r="B586" s="430"/>
      <c r="C586" s="430"/>
      <c r="D586" s="430"/>
      <c r="E586" s="430"/>
      <c r="F586" s="430"/>
      <c r="G586" s="430"/>
      <c r="H586" s="461"/>
      <c r="I586" s="438"/>
      <c r="J586" s="438"/>
      <c r="K586" s="438"/>
      <c r="L586" s="430"/>
      <c r="M586" s="430"/>
      <c r="N586" s="461"/>
      <c r="O586" s="461"/>
      <c r="P586" s="430"/>
      <c r="Q586" s="430"/>
      <c r="R586" s="430"/>
      <c r="S586" s="430"/>
      <c r="T586" s="430"/>
      <c r="U586" s="430"/>
      <c r="V586" s="430"/>
      <c r="W586" s="430"/>
      <c r="X586" s="449"/>
      <c r="Y586" s="449"/>
      <c r="Z586" s="450"/>
      <c r="AA586" s="449"/>
      <c r="AB586" s="451"/>
      <c r="AC586" s="450"/>
      <c r="AD586" s="449"/>
      <c r="AE586" s="451"/>
      <c r="AF586" s="450"/>
      <c r="AG586" s="449"/>
      <c r="AH586" s="451"/>
      <c r="AI586" s="450"/>
      <c r="AJ586" s="449"/>
      <c r="AK586" s="451"/>
      <c r="AL586" s="450"/>
      <c r="AM586" s="449"/>
      <c r="AN586" s="451"/>
      <c r="AO586" s="450"/>
      <c r="AP586" s="449"/>
      <c r="AQ586" s="451"/>
      <c r="AR586" s="449"/>
      <c r="AS586" s="449"/>
      <c r="AT586" s="451"/>
      <c r="AU586" s="449"/>
      <c r="AV586" s="451"/>
      <c r="AW586" s="449"/>
      <c r="AX586" s="449"/>
      <c r="AY586" s="449"/>
      <c r="AZ586" s="449"/>
      <c r="BA586" s="449"/>
      <c r="BB586" s="449"/>
      <c r="BC586" s="449"/>
      <c r="BD586" s="449"/>
      <c r="BE586" s="449"/>
      <c r="BF586" s="449"/>
      <c r="BG586" s="449"/>
      <c r="BH586" s="449"/>
      <c r="BI586" s="449"/>
      <c r="BJ586" s="449"/>
      <c r="BK586" s="449"/>
      <c r="BL586" s="449"/>
      <c r="BM586" s="449"/>
      <c r="BN586" s="449"/>
    </row>
    <row r="587" spans="1:66" ht="13.15" x14ac:dyDescent="0.4">
      <c r="A587" s="430"/>
      <c r="B587" s="430"/>
      <c r="C587" s="430"/>
      <c r="D587" s="430"/>
      <c r="E587" s="430"/>
      <c r="F587" s="430"/>
      <c r="G587" s="430"/>
      <c r="H587" s="461"/>
      <c r="I587" s="438"/>
      <c r="J587" s="438"/>
      <c r="K587" s="438"/>
      <c r="L587" s="430"/>
      <c r="M587" s="430"/>
      <c r="N587" s="461"/>
      <c r="O587" s="461"/>
      <c r="P587" s="430"/>
      <c r="Q587" s="430"/>
      <c r="R587" s="430"/>
      <c r="S587" s="430"/>
      <c r="T587" s="430"/>
      <c r="U587" s="430"/>
      <c r="V587" s="430"/>
      <c r="W587" s="430"/>
      <c r="X587" s="449"/>
      <c r="Y587" s="449"/>
      <c r="Z587" s="450"/>
      <c r="AA587" s="449"/>
      <c r="AB587" s="451"/>
      <c r="AC587" s="450"/>
      <c r="AD587" s="449"/>
      <c r="AE587" s="451"/>
      <c r="AF587" s="450"/>
      <c r="AG587" s="449"/>
      <c r="AH587" s="451"/>
      <c r="AI587" s="450"/>
      <c r="AJ587" s="449"/>
      <c r="AK587" s="451"/>
      <c r="AL587" s="450"/>
      <c r="AM587" s="449"/>
      <c r="AN587" s="451"/>
      <c r="AO587" s="450"/>
      <c r="AP587" s="449"/>
      <c r="AQ587" s="451"/>
      <c r="AR587" s="449"/>
      <c r="AS587" s="449"/>
      <c r="AT587" s="451"/>
      <c r="AU587" s="449"/>
      <c r="AV587" s="451"/>
      <c r="AW587" s="449"/>
      <c r="AX587" s="449"/>
      <c r="AY587" s="449"/>
      <c r="AZ587" s="449"/>
      <c r="BA587" s="449"/>
      <c r="BB587" s="449"/>
      <c r="BC587" s="449"/>
      <c r="BD587" s="449"/>
      <c r="BE587" s="449"/>
      <c r="BF587" s="449"/>
      <c r="BG587" s="449"/>
      <c r="BH587" s="449"/>
      <c r="BI587" s="449"/>
      <c r="BJ587" s="449"/>
      <c r="BK587" s="449"/>
      <c r="BL587" s="449"/>
      <c r="BM587" s="449"/>
      <c r="BN587" s="449"/>
    </row>
    <row r="588" spans="1:66" ht="13.15" x14ac:dyDescent="0.4">
      <c r="A588" s="430"/>
      <c r="B588" s="430"/>
      <c r="C588" s="430"/>
      <c r="D588" s="430"/>
      <c r="E588" s="430"/>
      <c r="F588" s="430"/>
      <c r="G588" s="430"/>
      <c r="H588" s="461"/>
      <c r="I588" s="438"/>
      <c r="J588" s="438"/>
      <c r="K588" s="438"/>
      <c r="L588" s="430"/>
      <c r="M588" s="430"/>
      <c r="N588" s="461"/>
      <c r="O588" s="461"/>
      <c r="P588" s="430"/>
      <c r="Q588" s="430"/>
      <c r="R588" s="430"/>
      <c r="S588" s="430"/>
      <c r="T588" s="430"/>
      <c r="U588" s="430"/>
      <c r="V588" s="430"/>
      <c r="W588" s="430"/>
      <c r="X588" s="449"/>
      <c r="Y588" s="449"/>
      <c r="Z588" s="450"/>
      <c r="AA588" s="449"/>
      <c r="AB588" s="451"/>
      <c r="AC588" s="450"/>
      <c r="AD588" s="449"/>
      <c r="AE588" s="451"/>
      <c r="AF588" s="450"/>
      <c r="AG588" s="449"/>
      <c r="AH588" s="451"/>
      <c r="AI588" s="450"/>
      <c r="AJ588" s="449"/>
      <c r="AK588" s="451"/>
      <c r="AL588" s="450"/>
      <c r="AM588" s="449"/>
      <c r="AN588" s="451"/>
      <c r="AO588" s="450"/>
      <c r="AP588" s="449"/>
      <c r="AQ588" s="451"/>
      <c r="AR588" s="449"/>
      <c r="AS588" s="449"/>
      <c r="AT588" s="451"/>
      <c r="AU588" s="449"/>
      <c r="AV588" s="451"/>
      <c r="AW588" s="449"/>
      <c r="AX588" s="449"/>
      <c r="AY588" s="449"/>
      <c r="AZ588" s="449"/>
      <c r="BA588" s="449"/>
      <c r="BB588" s="449"/>
      <c r="BC588" s="449"/>
      <c r="BD588" s="449"/>
      <c r="BE588" s="449"/>
      <c r="BF588" s="449"/>
      <c r="BG588" s="449"/>
      <c r="BH588" s="449"/>
      <c r="BI588" s="449"/>
      <c r="BJ588" s="449"/>
      <c r="BK588" s="449"/>
      <c r="BL588" s="449"/>
      <c r="BM588" s="449"/>
      <c r="BN588" s="449"/>
    </row>
    <row r="589" spans="1:66" ht="13.15" x14ac:dyDescent="0.4">
      <c r="A589" s="430"/>
      <c r="B589" s="430"/>
      <c r="C589" s="430"/>
      <c r="D589" s="430"/>
      <c r="E589" s="430"/>
      <c r="F589" s="430"/>
      <c r="G589" s="430"/>
      <c r="H589" s="461"/>
      <c r="I589" s="438"/>
      <c r="J589" s="438"/>
      <c r="K589" s="438"/>
      <c r="L589" s="430"/>
      <c r="M589" s="430"/>
      <c r="N589" s="461"/>
      <c r="O589" s="461"/>
      <c r="P589" s="430"/>
      <c r="Q589" s="430"/>
      <c r="R589" s="430"/>
      <c r="S589" s="430"/>
      <c r="T589" s="430"/>
      <c r="U589" s="430"/>
      <c r="V589" s="430"/>
      <c r="W589" s="430"/>
      <c r="X589" s="449"/>
      <c r="Y589" s="449"/>
      <c r="Z589" s="450"/>
      <c r="AA589" s="449"/>
      <c r="AB589" s="451"/>
      <c r="AC589" s="450"/>
      <c r="AD589" s="449"/>
      <c r="AE589" s="451"/>
      <c r="AF589" s="450"/>
      <c r="AG589" s="449"/>
      <c r="AH589" s="451"/>
      <c r="AI589" s="450"/>
      <c r="AJ589" s="449"/>
      <c r="AK589" s="451"/>
      <c r="AL589" s="450"/>
      <c r="AM589" s="449"/>
      <c r="AN589" s="451"/>
      <c r="AO589" s="450"/>
      <c r="AP589" s="449"/>
      <c r="AQ589" s="451"/>
      <c r="AR589" s="449"/>
      <c r="AS589" s="449"/>
      <c r="AT589" s="451"/>
      <c r="AU589" s="449"/>
      <c r="AV589" s="451"/>
      <c r="AW589" s="449"/>
      <c r="AX589" s="449"/>
      <c r="AY589" s="449"/>
      <c r="AZ589" s="449"/>
      <c r="BA589" s="449"/>
      <c r="BB589" s="449"/>
      <c r="BC589" s="449"/>
      <c r="BD589" s="449"/>
      <c r="BE589" s="449"/>
      <c r="BF589" s="449"/>
      <c r="BG589" s="449"/>
      <c r="BH589" s="449"/>
      <c r="BI589" s="449"/>
      <c r="BJ589" s="449"/>
      <c r="BK589" s="449"/>
      <c r="BL589" s="449"/>
      <c r="BM589" s="449"/>
      <c r="BN589" s="449"/>
    </row>
    <row r="590" spans="1:66" ht="13.15" x14ac:dyDescent="0.4">
      <c r="A590" s="430"/>
      <c r="B590" s="430"/>
      <c r="C590" s="430"/>
      <c r="D590" s="430"/>
      <c r="E590" s="430"/>
      <c r="F590" s="430"/>
      <c r="G590" s="430"/>
      <c r="H590" s="461"/>
      <c r="I590" s="438"/>
      <c r="J590" s="438"/>
      <c r="K590" s="438"/>
      <c r="L590" s="430"/>
      <c r="M590" s="430"/>
      <c r="N590" s="461"/>
      <c r="O590" s="461"/>
      <c r="P590" s="430"/>
      <c r="Q590" s="430"/>
      <c r="R590" s="430"/>
      <c r="S590" s="430"/>
      <c r="T590" s="430"/>
      <c r="U590" s="430"/>
      <c r="V590" s="430"/>
      <c r="W590" s="430"/>
      <c r="X590" s="449"/>
      <c r="Y590" s="449"/>
      <c r="Z590" s="450"/>
      <c r="AA590" s="449"/>
      <c r="AB590" s="451"/>
      <c r="AC590" s="450"/>
      <c r="AD590" s="449"/>
      <c r="AE590" s="451"/>
      <c r="AF590" s="450"/>
      <c r="AG590" s="449"/>
      <c r="AH590" s="451"/>
      <c r="AI590" s="450"/>
      <c r="AJ590" s="449"/>
      <c r="AK590" s="451"/>
      <c r="AL590" s="450"/>
      <c r="AM590" s="449"/>
      <c r="AN590" s="451"/>
      <c r="AO590" s="450"/>
      <c r="AP590" s="449"/>
      <c r="AQ590" s="451"/>
      <c r="AR590" s="449"/>
      <c r="AS590" s="449"/>
      <c r="AT590" s="451"/>
      <c r="AU590" s="449"/>
      <c r="AV590" s="451"/>
      <c r="AW590" s="449"/>
      <c r="AX590" s="449"/>
      <c r="AY590" s="449"/>
      <c r="AZ590" s="449"/>
      <c r="BA590" s="449"/>
      <c r="BB590" s="449"/>
      <c r="BC590" s="449"/>
      <c r="BD590" s="449"/>
      <c r="BE590" s="449"/>
      <c r="BF590" s="449"/>
      <c r="BG590" s="449"/>
      <c r="BH590" s="449"/>
      <c r="BI590" s="449"/>
      <c r="BJ590" s="449"/>
      <c r="BK590" s="449"/>
      <c r="BL590" s="449"/>
      <c r="BM590" s="449"/>
      <c r="BN590" s="449"/>
    </row>
    <row r="591" spans="1:66" ht="13.15" x14ac:dyDescent="0.4">
      <c r="A591" s="430"/>
      <c r="B591" s="430"/>
      <c r="C591" s="430"/>
      <c r="D591" s="430"/>
      <c r="E591" s="430"/>
      <c r="F591" s="430"/>
      <c r="G591" s="430"/>
      <c r="H591" s="461"/>
      <c r="I591" s="438"/>
      <c r="J591" s="438"/>
      <c r="K591" s="438"/>
      <c r="L591" s="430"/>
      <c r="M591" s="430"/>
      <c r="N591" s="461"/>
      <c r="O591" s="461"/>
      <c r="P591" s="430"/>
      <c r="Q591" s="430"/>
      <c r="R591" s="430"/>
      <c r="S591" s="430"/>
      <c r="T591" s="430"/>
      <c r="U591" s="430"/>
      <c r="V591" s="430"/>
      <c r="W591" s="430"/>
      <c r="X591" s="449"/>
      <c r="Y591" s="449"/>
      <c r="Z591" s="450"/>
      <c r="AA591" s="449"/>
      <c r="AB591" s="451"/>
      <c r="AC591" s="450"/>
      <c r="AD591" s="449"/>
      <c r="AE591" s="451"/>
      <c r="AF591" s="450"/>
      <c r="AG591" s="449"/>
      <c r="AH591" s="451"/>
      <c r="AI591" s="450"/>
      <c r="AJ591" s="449"/>
      <c r="AK591" s="451"/>
      <c r="AL591" s="450"/>
      <c r="AM591" s="449"/>
      <c r="AN591" s="451"/>
      <c r="AO591" s="450"/>
      <c r="AP591" s="449"/>
      <c r="AQ591" s="451"/>
      <c r="AR591" s="449"/>
      <c r="AS591" s="449"/>
      <c r="AT591" s="451"/>
      <c r="AU591" s="449"/>
      <c r="AV591" s="451"/>
      <c r="AW591" s="449"/>
      <c r="AX591" s="449"/>
      <c r="AY591" s="449"/>
      <c r="AZ591" s="449"/>
      <c r="BA591" s="449"/>
      <c r="BB591" s="449"/>
      <c r="BC591" s="449"/>
      <c r="BD591" s="449"/>
      <c r="BE591" s="449"/>
      <c r="BF591" s="449"/>
      <c r="BG591" s="449"/>
      <c r="BH591" s="449"/>
      <c r="BI591" s="449"/>
      <c r="BJ591" s="449"/>
      <c r="BK591" s="449"/>
      <c r="BL591" s="449"/>
      <c r="BM591" s="449"/>
      <c r="BN591" s="449"/>
    </row>
    <row r="592" spans="1:66" ht="13.15" x14ac:dyDescent="0.4">
      <c r="A592" s="430"/>
      <c r="B592" s="430"/>
      <c r="C592" s="430"/>
      <c r="D592" s="430"/>
      <c r="E592" s="430"/>
      <c r="F592" s="430"/>
      <c r="G592" s="430"/>
      <c r="H592" s="461"/>
      <c r="I592" s="438"/>
      <c r="J592" s="438"/>
      <c r="K592" s="438"/>
      <c r="L592" s="430"/>
      <c r="M592" s="430"/>
      <c r="N592" s="461"/>
      <c r="O592" s="461"/>
      <c r="P592" s="430"/>
      <c r="Q592" s="430"/>
      <c r="R592" s="430"/>
      <c r="S592" s="430"/>
      <c r="T592" s="430"/>
      <c r="U592" s="430"/>
      <c r="V592" s="430"/>
      <c r="W592" s="430"/>
      <c r="X592" s="449"/>
      <c r="Y592" s="449"/>
      <c r="Z592" s="450"/>
      <c r="AA592" s="449"/>
      <c r="AB592" s="451"/>
      <c r="AC592" s="450"/>
      <c r="AD592" s="449"/>
      <c r="AE592" s="451"/>
      <c r="AF592" s="450"/>
      <c r="AG592" s="449"/>
      <c r="AH592" s="451"/>
      <c r="AI592" s="450"/>
      <c r="AJ592" s="449"/>
      <c r="AK592" s="451"/>
      <c r="AL592" s="450"/>
      <c r="AM592" s="449"/>
      <c r="AN592" s="451"/>
      <c r="AO592" s="450"/>
      <c r="AP592" s="449"/>
      <c r="AQ592" s="451"/>
      <c r="AR592" s="449"/>
      <c r="AS592" s="449"/>
      <c r="AT592" s="451"/>
      <c r="AU592" s="449"/>
      <c r="AV592" s="451"/>
      <c r="AW592" s="449"/>
      <c r="AX592" s="449"/>
      <c r="AY592" s="449"/>
      <c r="AZ592" s="449"/>
      <c r="BA592" s="449"/>
      <c r="BB592" s="449"/>
      <c r="BC592" s="449"/>
      <c r="BD592" s="449"/>
      <c r="BE592" s="449"/>
      <c r="BF592" s="449"/>
      <c r="BG592" s="449"/>
      <c r="BH592" s="449"/>
      <c r="BI592" s="449"/>
      <c r="BJ592" s="449"/>
      <c r="BK592" s="449"/>
      <c r="BL592" s="449"/>
      <c r="BM592" s="449"/>
      <c r="BN592" s="449"/>
    </row>
    <row r="593" spans="1:66" ht="13.15" x14ac:dyDescent="0.4">
      <c r="A593" s="430"/>
      <c r="B593" s="430"/>
      <c r="C593" s="430"/>
      <c r="D593" s="430"/>
      <c r="E593" s="430"/>
      <c r="F593" s="430"/>
      <c r="G593" s="430"/>
      <c r="H593" s="461"/>
      <c r="I593" s="438"/>
      <c r="J593" s="438"/>
      <c r="K593" s="438"/>
      <c r="L593" s="430"/>
      <c r="M593" s="430"/>
      <c r="N593" s="461"/>
      <c r="O593" s="461"/>
      <c r="P593" s="430"/>
      <c r="Q593" s="430"/>
      <c r="R593" s="430"/>
      <c r="S593" s="430"/>
      <c r="T593" s="430"/>
      <c r="U593" s="430"/>
      <c r="V593" s="430"/>
      <c r="W593" s="430"/>
      <c r="X593" s="449"/>
      <c r="Y593" s="449"/>
      <c r="Z593" s="450"/>
      <c r="AA593" s="449"/>
      <c r="AB593" s="451"/>
      <c r="AC593" s="450"/>
      <c r="AD593" s="449"/>
      <c r="AE593" s="451"/>
      <c r="AF593" s="450"/>
      <c r="AG593" s="449"/>
      <c r="AH593" s="451"/>
      <c r="AI593" s="450"/>
      <c r="AJ593" s="449"/>
      <c r="AK593" s="451"/>
      <c r="AL593" s="450"/>
      <c r="AM593" s="449"/>
      <c r="AN593" s="451"/>
      <c r="AO593" s="450"/>
      <c r="AP593" s="449"/>
      <c r="AQ593" s="451"/>
      <c r="AR593" s="449"/>
      <c r="AS593" s="449"/>
      <c r="AT593" s="451"/>
      <c r="AU593" s="449"/>
      <c r="AV593" s="451"/>
      <c r="AW593" s="449"/>
      <c r="AX593" s="449"/>
      <c r="AY593" s="449"/>
      <c r="AZ593" s="449"/>
      <c r="BA593" s="449"/>
      <c r="BB593" s="449"/>
      <c r="BC593" s="449"/>
      <c r="BD593" s="449"/>
      <c r="BE593" s="449"/>
      <c r="BF593" s="449"/>
      <c r="BG593" s="449"/>
      <c r="BH593" s="449"/>
      <c r="BI593" s="449"/>
      <c r="BJ593" s="449"/>
      <c r="BK593" s="449"/>
      <c r="BL593" s="449"/>
      <c r="BM593" s="449"/>
      <c r="BN593" s="449"/>
    </row>
    <row r="594" spans="1:66" ht="13.15" x14ac:dyDescent="0.4">
      <c r="A594" s="430"/>
      <c r="B594" s="430"/>
      <c r="C594" s="430"/>
      <c r="D594" s="430"/>
      <c r="E594" s="430"/>
      <c r="F594" s="430"/>
      <c r="G594" s="430"/>
      <c r="H594" s="461"/>
      <c r="I594" s="438"/>
      <c r="J594" s="438"/>
      <c r="K594" s="438"/>
      <c r="L594" s="430"/>
      <c r="M594" s="430"/>
      <c r="N594" s="461"/>
      <c r="O594" s="461"/>
      <c r="P594" s="430"/>
      <c r="Q594" s="430"/>
      <c r="R594" s="430"/>
      <c r="S594" s="430"/>
      <c r="T594" s="430"/>
      <c r="U594" s="430"/>
      <c r="V594" s="430"/>
      <c r="W594" s="430"/>
      <c r="X594" s="449"/>
      <c r="Y594" s="449"/>
      <c r="Z594" s="450"/>
      <c r="AA594" s="449"/>
      <c r="AB594" s="451"/>
      <c r="AC594" s="450"/>
      <c r="AD594" s="449"/>
      <c r="AE594" s="451"/>
      <c r="AF594" s="450"/>
      <c r="AG594" s="449"/>
      <c r="AH594" s="451"/>
      <c r="AI594" s="450"/>
      <c r="AJ594" s="449"/>
      <c r="AK594" s="451"/>
      <c r="AL594" s="450"/>
      <c r="AM594" s="449"/>
      <c r="AN594" s="451"/>
      <c r="AO594" s="450"/>
      <c r="AP594" s="449"/>
      <c r="AQ594" s="451"/>
      <c r="AR594" s="449"/>
      <c r="AS594" s="449"/>
      <c r="AT594" s="451"/>
      <c r="AU594" s="449"/>
      <c r="AV594" s="451"/>
      <c r="AW594" s="449"/>
      <c r="AX594" s="449"/>
      <c r="AY594" s="449"/>
      <c r="AZ594" s="449"/>
      <c r="BA594" s="449"/>
      <c r="BB594" s="449"/>
      <c r="BC594" s="449"/>
      <c r="BD594" s="449"/>
      <c r="BE594" s="449"/>
      <c r="BF594" s="449"/>
      <c r="BG594" s="449"/>
      <c r="BH594" s="449"/>
      <c r="BI594" s="449"/>
      <c r="BJ594" s="449"/>
      <c r="BK594" s="449"/>
      <c r="BL594" s="449"/>
      <c r="BM594" s="449"/>
      <c r="BN594" s="449"/>
    </row>
    <row r="595" spans="1:66" ht="13.15" x14ac:dyDescent="0.4">
      <c r="A595" s="430"/>
      <c r="B595" s="430"/>
      <c r="C595" s="430"/>
      <c r="D595" s="430"/>
      <c r="E595" s="430"/>
      <c r="F595" s="430"/>
      <c r="G595" s="430"/>
      <c r="H595" s="461"/>
      <c r="I595" s="438"/>
      <c r="J595" s="438"/>
      <c r="K595" s="438"/>
      <c r="L595" s="430"/>
      <c r="M595" s="430"/>
      <c r="N595" s="461"/>
      <c r="O595" s="461"/>
      <c r="P595" s="430"/>
      <c r="Q595" s="430"/>
      <c r="R595" s="430"/>
      <c r="S595" s="430"/>
      <c r="T595" s="430"/>
      <c r="U595" s="430"/>
      <c r="V595" s="430"/>
      <c r="W595" s="430"/>
      <c r="X595" s="449"/>
      <c r="Y595" s="449"/>
      <c r="Z595" s="450"/>
      <c r="AA595" s="449"/>
      <c r="AB595" s="451"/>
      <c r="AC595" s="450"/>
      <c r="AD595" s="449"/>
      <c r="AE595" s="451"/>
      <c r="AF595" s="450"/>
      <c r="AG595" s="449"/>
      <c r="AH595" s="451"/>
      <c r="AI595" s="450"/>
      <c r="AJ595" s="449"/>
      <c r="AK595" s="451"/>
      <c r="AL595" s="450"/>
      <c r="AM595" s="449"/>
      <c r="AN595" s="451"/>
      <c r="AO595" s="450"/>
      <c r="AP595" s="449"/>
      <c r="AQ595" s="451"/>
      <c r="AR595" s="449"/>
      <c r="AS595" s="449"/>
      <c r="AT595" s="451"/>
      <c r="AU595" s="449"/>
      <c r="AV595" s="451"/>
      <c r="AW595" s="449"/>
      <c r="AX595" s="449"/>
      <c r="AY595" s="449"/>
      <c r="AZ595" s="449"/>
      <c r="BA595" s="449"/>
      <c r="BB595" s="449"/>
      <c r="BC595" s="449"/>
      <c r="BD595" s="449"/>
      <c r="BE595" s="449"/>
      <c r="BF595" s="449"/>
      <c r="BG595" s="449"/>
      <c r="BH595" s="449"/>
      <c r="BI595" s="449"/>
      <c r="BJ595" s="449"/>
      <c r="BK595" s="449"/>
      <c r="BL595" s="449"/>
      <c r="BM595" s="449"/>
      <c r="BN595" s="449"/>
    </row>
    <row r="596" spans="1:66" ht="13.15" x14ac:dyDescent="0.4">
      <c r="A596" s="430"/>
      <c r="B596" s="430"/>
      <c r="C596" s="430"/>
      <c r="D596" s="430"/>
      <c r="E596" s="430"/>
      <c r="F596" s="430"/>
      <c r="G596" s="430"/>
      <c r="H596" s="461"/>
      <c r="I596" s="438"/>
      <c r="J596" s="438"/>
      <c r="K596" s="438"/>
      <c r="L596" s="430"/>
      <c r="M596" s="430"/>
      <c r="N596" s="461"/>
      <c r="O596" s="461"/>
      <c r="P596" s="430"/>
      <c r="Q596" s="430"/>
      <c r="R596" s="430"/>
      <c r="S596" s="430"/>
      <c r="T596" s="430"/>
      <c r="U596" s="430"/>
      <c r="V596" s="430"/>
      <c r="W596" s="430"/>
      <c r="X596" s="449"/>
      <c r="Y596" s="449"/>
      <c r="Z596" s="450"/>
      <c r="AA596" s="449"/>
      <c r="AB596" s="451"/>
      <c r="AC596" s="450"/>
      <c r="AD596" s="449"/>
      <c r="AE596" s="451"/>
      <c r="AF596" s="450"/>
      <c r="AG596" s="449"/>
      <c r="AH596" s="451"/>
      <c r="AI596" s="450"/>
      <c r="AJ596" s="449"/>
      <c r="AK596" s="451"/>
      <c r="AL596" s="450"/>
      <c r="AM596" s="449"/>
      <c r="AN596" s="451"/>
      <c r="AO596" s="450"/>
      <c r="AP596" s="449"/>
      <c r="AQ596" s="451"/>
      <c r="AR596" s="449"/>
      <c r="AS596" s="449"/>
      <c r="AT596" s="451"/>
      <c r="AU596" s="449"/>
      <c r="AV596" s="451"/>
      <c r="AW596" s="449"/>
      <c r="AX596" s="449"/>
      <c r="AY596" s="449"/>
      <c r="AZ596" s="449"/>
      <c r="BA596" s="449"/>
      <c r="BB596" s="449"/>
      <c r="BC596" s="449"/>
      <c r="BD596" s="449"/>
      <c r="BE596" s="449"/>
      <c r="BF596" s="449"/>
      <c r="BG596" s="449"/>
      <c r="BH596" s="449"/>
      <c r="BI596" s="449"/>
      <c r="BJ596" s="449"/>
      <c r="BK596" s="449"/>
      <c r="BL596" s="449"/>
      <c r="BM596" s="449"/>
      <c r="BN596" s="449"/>
    </row>
    <row r="597" spans="1:66" ht="13.15" x14ac:dyDescent="0.4">
      <c r="A597" s="430"/>
      <c r="B597" s="430"/>
      <c r="C597" s="430"/>
      <c r="D597" s="430"/>
      <c r="E597" s="430"/>
      <c r="F597" s="430"/>
      <c r="G597" s="430"/>
      <c r="H597" s="461"/>
      <c r="I597" s="438"/>
      <c r="J597" s="438"/>
      <c r="K597" s="438"/>
      <c r="L597" s="430"/>
      <c r="M597" s="430"/>
      <c r="N597" s="461"/>
      <c r="O597" s="461"/>
      <c r="P597" s="430"/>
      <c r="Q597" s="430"/>
      <c r="R597" s="430"/>
      <c r="S597" s="430"/>
      <c r="T597" s="430"/>
      <c r="U597" s="430"/>
      <c r="V597" s="430"/>
      <c r="W597" s="430"/>
      <c r="X597" s="449"/>
      <c r="Y597" s="449"/>
      <c r="Z597" s="450"/>
      <c r="AA597" s="449"/>
      <c r="AB597" s="451"/>
      <c r="AC597" s="450"/>
      <c r="AD597" s="449"/>
      <c r="AE597" s="451"/>
      <c r="AF597" s="450"/>
      <c r="AG597" s="449"/>
      <c r="AH597" s="451"/>
      <c r="AI597" s="450"/>
      <c r="AJ597" s="449"/>
      <c r="AK597" s="451"/>
      <c r="AL597" s="450"/>
      <c r="AM597" s="449"/>
      <c r="AN597" s="451"/>
      <c r="AO597" s="450"/>
      <c r="AP597" s="449"/>
      <c r="AQ597" s="451"/>
      <c r="AR597" s="449"/>
      <c r="AS597" s="449"/>
      <c r="AT597" s="451"/>
      <c r="AU597" s="449"/>
      <c r="AV597" s="451"/>
      <c r="AW597" s="449"/>
      <c r="AX597" s="449"/>
      <c r="AY597" s="449"/>
      <c r="AZ597" s="449"/>
      <c r="BA597" s="449"/>
      <c r="BB597" s="449"/>
      <c r="BC597" s="449"/>
      <c r="BD597" s="449"/>
      <c r="BE597" s="449"/>
      <c r="BF597" s="449"/>
      <c r="BG597" s="449"/>
      <c r="BH597" s="449"/>
      <c r="BI597" s="449"/>
      <c r="BJ597" s="449"/>
      <c r="BK597" s="449"/>
      <c r="BL597" s="449"/>
      <c r="BM597" s="449"/>
      <c r="BN597" s="449"/>
    </row>
    <row r="598" spans="1:66" ht="13.15" x14ac:dyDescent="0.4">
      <c r="A598" s="430"/>
      <c r="B598" s="430"/>
      <c r="C598" s="430"/>
      <c r="D598" s="430"/>
      <c r="E598" s="430"/>
      <c r="F598" s="430"/>
      <c r="G598" s="430"/>
      <c r="H598" s="461"/>
      <c r="I598" s="438"/>
      <c r="J598" s="438"/>
      <c r="K598" s="438"/>
      <c r="L598" s="430"/>
      <c r="M598" s="430"/>
      <c r="N598" s="461"/>
      <c r="O598" s="461"/>
      <c r="P598" s="430"/>
      <c r="Q598" s="430"/>
      <c r="R598" s="430"/>
      <c r="S598" s="430"/>
      <c r="T598" s="430"/>
      <c r="U598" s="430"/>
      <c r="V598" s="430"/>
      <c r="W598" s="430"/>
      <c r="X598" s="449"/>
      <c r="Y598" s="449"/>
      <c r="Z598" s="450"/>
      <c r="AA598" s="449"/>
      <c r="AB598" s="451"/>
      <c r="AC598" s="450"/>
      <c r="AD598" s="449"/>
      <c r="AE598" s="451"/>
      <c r="AF598" s="450"/>
      <c r="AG598" s="449"/>
      <c r="AH598" s="451"/>
      <c r="AI598" s="450"/>
      <c r="AJ598" s="449"/>
      <c r="AK598" s="451"/>
      <c r="AL598" s="450"/>
      <c r="AM598" s="449"/>
      <c r="AN598" s="451"/>
      <c r="AO598" s="450"/>
      <c r="AP598" s="449"/>
      <c r="AQ598" s="451"/>
      <c r="AR598" s="449"/>
      <c r="AS598" s="449"/>
      <c r="AT598" s="451"/>
      <c r="AU598" s="449"/>
      <c r="AV598" s="451"/>
      <c r="AW598" s="449"/>
      <c r="AX598" s="449"/>
      <c r="AY598" s="449"/>
      <c r="AZ598" s="449"/>
      <c r="BA598" s="449"/>
      <c r="BB598" s="449"/>
      <c r="BC598" s="449"/>
      <c r="BD598" s="449"/>
      <c r="BE598" s="449"/>
      <c r="BF598" s="449"/>
      <c r="BG598" s="449"/>
      <c r="BH598" s="449"/>
      <c r="BI598" s="449"/>
      <c r="BJ598" s="449"/>
      <c r="BK598" s="449"/>
      <c r="BL598" s="449"/>
      <c r="BM598" s="449"/>
      <c r="BN598" s="449"/>
    </row>
    <row r="599" spans="1:66" ht="13.15" x14ac:dyDescent="0.4">
      <c r="A599" s="430"/>
      <c r="B599" s="430"/>
      <c r="C599" s="430"/>
      <c r="D599" s="430"/>
      <c r="E599" s="430"/>
      <c r="F599" s="430"/>
      <c r="G599" s="430"/>
      <c r="H599" s="461"/>
      <c r="I599" s="438"/>
      <c r="J599" s="438"/>
      <c r="K599" s="438"/>
      <c r="L599" s="430"/>
      <c r="M599" s="430"/>
      <c r="N599" s="461"/>
      <c r="O599" s="461"/>
      <c r="P599" s="430"/>
      <c r="Q599" s="430"/>
      <c r="R599" s="430"/>
      <c r="S599" s="430"/>
      <c r="T599" s="430"/>
      <c r="U599" s="430"/>
      <c r="V599" s="430"/>
      <c r="W599" s="430"/>
      <c r="X599" s="449"/>
      <c r="Y599" s="449"/>
      <c r="Z599" s="450"/>
      <c r="AA599" s="449"/>
      <c r="AB599" s="451"/>
      <c r="AC599" s="450"/>
      <c r="AD599" s="449"/>
      <c r="AE599" s="451"/>
      <c r="AF599" s="450"/>
      <c r="AG599" s="449"/>
      <c r="AH599" s="451"/>
      <c r="AI599" s="450"/>
      <c r="AJ599" s="449"/>
      <c r="AK599" s="451"/>
      <c r="AL599" s="450"/>
      <c r="AM599" s="449"/>
      <c r="AN599" s="451"/>
      <c r="AO599" s="450"/>
      <c r="AP599" s="449"/>
      <c r="AQ599" s="451"/>
      <c r="AR599" s="449"/>
      <c r="AS599" s="449"/>
      <c r="AT599" s="451"/>
      <c r="AU599" s="449"/>
      <c r="AV599" s="451"/>
      <c r="AW599" s="449"/>
      <c r="AX599" s="449"/>
      <c r="AY599" s="449"/>
      <c r="AZ599" s="449"/>
      <c r="BA599" s="449"/>
      <c r="BB599" s="449"/>
      <c r="BC599" s="449"/>
      <c r="BD599" s="449"/>
      <c r="BE599" s="449"/>
      <c r="BF599" s="449"/>
      <c r="BG599" s="449"/>
      <c r="BH599" s="449"/>
      <c r="BI599" s="449"/>
      <c r="BJ599" s="449"/>
      <c r="BK599" s="449"/>
      <c r="BL599" s="449"/>
      <c r="BM599" s="449"/>
      <c r="BN599" s="449"/>
    </row>
    <row r="600" spans="1:66" ht="13.15" x14ac:dyDescent="0.4">
      <c r="A600" s="430"/>
      <c r="B600" s="430"/>
      <c r="C600" s="430"/>
      <c r="D600" s="430"/>
      <c r="E600" s="430"/>
      <c r="F600" s="430"/>
      <c r="G600" s="430"/>
      <c r="H600" s="461"/>
      <c r="I600" s="438"/>
      <c r="J600" s="438"/>
      <c r="K600" s="438"/>
      <c r="L600" s="430"/>
      <c r="M600" s="430"/>
      <c r="N600" s="461"/>
      <c r="O600" s="461"/>
      <c r="P600" s="430"/>
      <c r="Q600" s="430"/>
      <c r="R600" s="430"/>
      <c r="S600" s="430"/>
      <c r="T600" s="430"/>
      <c r="U600" s="430"/>
      <c r="V600" s="430"/>
      <c r="W600" s="430"/>
      <c r="X600" s="449"/>
      <c r="Y600" s="449"/>
      <c r="Z600" s="450"/>
      <c r="AA600" s="449"/>
      <c r="AB600" s="451"/>
      <c r="AC600" s="450"/>
      <c r="AD600" s="449"/>
      <c r="AE600" s="451"/>
      <c r="AF600" s="450"/>
      <c r="AG600" s="449"/>
      <c r="AH600" s="451"/>
      <c r="AI600" s="450"/>
      <c r="AJ600" s="449"/>
      <c r="AK600" s="451"/>
      <c r="AL600" s="450"/>
      <c r="AM600" s="449"/>
      <c r="AN600" s="451"/>
      <c r="AO600" s="450"/>
      <c r="AP600" s="449"/>
      <c r="AQ600" s="451"/>
      <c r="AR600" s="449"/>
      <c r="AS600" s="449"/>
      <c r="AT600" s="451"/>
      <c r="AU600" s="449"/>
      <c r="AV600" s="451"/>
      <c r="AW600" s="449"/>
      <c r="AX600" s="449"/>
      <c r="AY600" s="449"/>
      <c r="AZ600" s="449"/>
      <c r="BA600" s="449"/>
      <c r="BB600" s="449"/>
      <c r="BC600" s="449"/>
      <c r="BD600" s="449"/>
      <c r="BE600" s="449"/>
      <c r="BF600" s="449"/>
      <c r="BG600" s="449"/>
      <c r="BH600" s="449"/>
      <c r="BI600" s="449"/>
      <c r="BJ600" s="449"/>
      <c r="BK600" s="449"/>
      <c r="BL600" s="449"/>
      <c r="BM600" s="449"/>
      <c r="BN600" s="449"/>
    </row>
    <row r="601" spans="1:66" ht="13.15" x14ac:dyDescent="0.4">
      <c r="A601" s="430"/>
      <c r="B601" s="430"/>
      <c r="C601" s="430"/>
      <c r="D601" s="430"/>
      <c r="E601" s="430"/>
      <c r="F601" s="430"/>
      <c r="G601" s="430"/>
      <c r="H601" s="461"/>
      <c r="I601" s="438"/>
      <c r="J601" s="438"/>
      <c r="K601" s="438"/>
      <c r="L601" s="430"/>
      <c r="M601" s="430"/>
      <c r="N601" s="461"/>
      <c r="O601" s="461"/>
      <c r="P601" s="430"/>
      <c r="Q601" s="430"/>
      <c r="R601" s="430"/>
      <c r="S601" s="430"/>
      <c r="T601" s="430"/>
      <c r="U601" s="430"/>
      <c r="V601" s="430"/>
      <c r="W601" s="430"/>
      <c r="X601" s="449"/>
      <c r="Y601" s="449"/>
      <c r="Z601" s="450"/>
      <c r="AA601" s="449"/>
      <c r="AB601" s="451"/>
      <c r="AC601" s="450"/>
      <c r="AD601" s="449"/>
      <c r="AE601" s="451"/>
      <c r="AF601" s="450"/>
      <c r="AG601" s="449"/>
      <c r="AH601" s="451"/>
      <c r="AI601" s="450"/>
      <c r="AJ601" s="449"/>
      <c r="AK601" s="451"/>
      <c r="AL601" s="450"/>
      <c r="AM601" s="449"/>
      <c r="AN601" s="451"/>
      <c r="AO601" s="450"/>
      <c r="AP601" s="449"/>
      <c r="AQ601" s="451"/>
      <c r="AR601" s="449"/>
      <c r="AS601" s="449"/>
      <c r="AT601" s="451"/>
      <c r="AU601" s="449"/>
      <c r="AV601" s="451"/>
      <c r="AW601" s="449"/>
      <c r="AX601" s="449"/>
      <c r="AY601" s="449"/>
      <c r="AZ601" s="449"/>
      <c r="BA601" s="449"/>
      <c r="BB601" s="449"/>
      <c r="BC601" s="449"/>
      <c r="BD601" s="449"/>
      <c r="BE601" s="449"/>
      <c r="BF601" s="449"/>
      <c r="BG601" s="449"/>
      <c r="BH601" s="449"/>
      <c r="BI601" s="449"/>
      <c r="BJ601" s="449"/>
      <c r="BK601" s="449"/>
      <c r="BL601" s="449"/>
      <c r="BM601" s="449"/>
      <c r="BN601" s="449"/>
    </row>
    <row r="602" spans="1:66" ht="13.15" x14ac:dyDescent="0.4">
      <c r="A602" s="430"/>
      <c r="B602" s="430"/>
      <c r="C602" s="430"/>
      <c r="D602" s="430"/>
      <c r="E602" s="430"/>
      <c r="F602" s="430"/>
      <c r="G602" s="430"/>
      <c r="H602" s="461"/>
      <c r="I602" s="438"/>
      <c r="J602" s="438"/>
      <c r="K602" s="438"/>
      <c r="L602" s="430"/>
      <c r="M602" s="430"/>
      <c r="N602" s="461"/>
      <c r="O602" s="461"/>
      <c r="P602" s="430"/>
      <c r="Q602" s="430"/>
      <c r="R602" s="430"/>
      <c r="S602" s="430"/>
      <c r="T602" s="430"/>
      <c r="U602" s="430"/>
      <c r="V602" s="430"/>
      <c r="W602" s="430"/>
      <c r="X602" s="449"/>
      <c r="Y602" s="449"/>
      <c r="Z602" s="450"/>
      <c r="AA602" s="449"/>
      <c r="AB602" s="451"/>
      <c r="AC602" s="450"/>
      <c r="AD602" s="449"/>
      <c r="AE602" s="451"/>
      <c r="AF602" s="450"/>
      <c r="AG602" s="449"/>
      <c r="AH602" s="451"/>
      <c r="AI602" s="450"/>
      <c r="AJ602" s="449"/>
      <c r="AK602" s="451"/>
      <c r="AL602" s="450"/>
      <c r="AM602" s="449"/>
      <c r="AN602" s="451"/>
      <c r="AO602" s="450"/>
      <c r="AP602" s="449"/>
      <c r="AQ602" s="451"/>
      <c r="AR602" s="449"/>
      <c r="AS602" s="449"/>
      <c r="AT602" s="451"/>
      <c r="AU602" s="449"/>
      <c r="AV602" s="451"/>
      <c r="AW602" s="449"/>
      <c r="AX602" s="449"/>
      <c r="AY602" s="449"/>
      <c r="AZ602" s="449"/>
      <c r="BA602" s="449"/>
      <c r="BB602" s="449"/>
      <c r="BC602" s="449"/>
      <c r="BD602" s="449"/>
      <c r="BE602" s="449"/>
      <c r="BF602" s="449"/>
      <c r="BG602" s="449"/>
      <c r="BH602" s="449"/>
      <c r="BI602" s="449"/>
      <c r="BJ602" s="449"/>
      <c r="BK602" s="449"/>
      <c r="BL602" s="449"/>
      <c r="BM602" s="449"/>
      <c r="BN602" s="449"/>
    </row>
    <row r="603" spans="1:66" ht="13.15" x14ac:dyDescent="0.4">
      <c r="A603" s="430"/>
      <c r="B603" s="430"/>
      <c r="C603" s="430"/>
      <c r="D603" s="430"/>
      <c r="E603" s="430"/>
      <c r="F603" s="430"/>
      <c r="G603" s="430"/>
      <c r="H603" s="461"/>
      <c r="I603" s="438"/>
      <c r="J603" s="438"/>
      <c r="K603" s="438"/>
      <c r="L603" s="430"/>
      <c r="M603" s="430"/>
      <c r="N603" s="461"/>
      <c r="O603" s="461"/>
      <c r="P603" s="430"/>
      <c r="Q603" s="430"/>
      <c r="R603" s="430"/>
      <c r="S603" s="430"/>
      <c r="T603" s="430"/>
      <c r="U603" s="430"/>
      <c r="V603" s="430"/>
      <c r="W603" s="430"/>
      <c r="X603" s="449"/>
      <c r="Y603" s="449"/>
      <c r="Z603" s="450"/>
      <c r="AA603" s="449"/>
      <c r="AB603" s="451"/>
      <c r="AC603" s="450"/>
      <c r="AD603" s="449"/>
      <c r="AE603" s="451"/>
      <c r="AF603" s="450"/>
      <c r="AG603" s="449"/>
      <c r="AH603" s="451"/>
      <c r="AI603" s="450"/>
      <c r="AJ603" s="449"/>
      <c r="AK603" s="451"/>
      <c r="AL603" s="450"/>
      <c r="AM603" s="449"/>
      <c r="AN603" s="451"/>
      <c r="AO603" s="450"/>
      <c r="AP603" s="449"/>
      <c r="AQ603" s="451"/>
      <c r="AR603" s="449"/>
      <c r="AS603" s="449"/>
      <c r="AT603" s="451"/>
      <c r="AU603" s="449"/>
      <c r="AV603" s="451"/>
      <c r="AW603" s="449"/>
      <c r="AX603" s="449"/>
      <c r="AY603" s="449"/>
      <c r="AZ603" s="449"/>
      <c r="BA603" s="449"/>
      <c r="BB603" s="449"/>
      <c r="BC603" s="449"/>
      <c r="BD603" s="449"/>
      <c r="BE603" s="449"/>
      <c r="BF603" s="449"/>
      <c r="BG603" s="449"/>
      <c r="BH603" s="449"/>
      <c r="BI603" s="449"/>
      <c r="BJ603" s="449"/>
      <c r="BK603" s="449"/>
      <c r="BL603" s="449"/>
      <c r="BM603" s="449"/>
      <c r="BN603" s="449"/>
    </row>
    <row r="604" spans="1:66" ht="13.15" x14ac:dyDescent="0.4">
      <c r="A604" s="430"/>
      <c r="B604" s="430"/>
      <c r="C604" s="430"/>
      <c r="D604" s="430"/>
      <c r="E604" s="430"/>
      <c r="F604" s="430"/>
      <c r="G604" s="430"/>
      <c r="H604" s="461"/>
      <c r="I604" s="438"/>
      <c r="J604" s="438"/>
      <c r="K604" s="438"/>
      <c r="L604" s="430"/>
      <c r="M604" s="430"/>
      <c r="N604" s="461"/>
      <c r="O604" s="461"/>
      <c r="P604" s="430"/>
      <c r="Q604" s="430"/>
      <c r="R604" s="430"/>
      <c r="S604" s="430"/>
      <c r="T604" s="430"/>
      <c r="U604" s="430"/>
      <c r="V604" s="430"/>
      <c r="W604" s="430"/>
      <c r="X604" s="449"/>
      <c r="Y604" s="449"/>
      <c r="Z604" s="450"/>
      <c r="AA604" s="449"/>
      <c r="AB604" s="451"/>
      <c r="AC604" s="450"/>
      <c r="AD604" s="449"/>
      <c r="AE604" s="451"/>
      <c r="AF604" s="450"/>
      <c r="AG604" s="449"/>
      <c r="AH604" s="451"/>
      <c r="AI604" s="450"/>
      <c r="AJ604" s="449"/>
      <c r="AK604" s="451"/>
      <c r="AL604" s="450"/>
      <c r="AM604" s="449"/>
      <c r="AN604" s="451"/>
      <c r="AO604" s="450"/>
      <c r="AP604" s="449"/>
      <c r="AQ604" s="451"/>
      <c r="AR604" s="449"/>
      <c r="AS604" s="449"/>
      <c r="AT604" s="451"/>
      <c r="AU604" s="449"/>
      <c r="AV604" s="451"/>
      <c r="AW604" s="449"/>
      <c r="AX604" s="449"/>
      <c r="AY604" s="449"/>
      <c r="AZ604" s="449"/>
      <c r="BA604" s="449"/>
      <c r="BB604" s="449"/>
      <c r="BC604" s="449"/>
      <c r="BD604" s="449"/>
      <c r="BE604" s="449"/>
      <c r="BF604" s="449"/>
      <c r="BG604" s="449"/>
      <c r="BH604" s="449"/>
      <c r="BI604" s="449"/>
      <c r="BJ604" s="449"/>
      <c r="BK604" s="449"/>
      <c r="BL604" s="449"/>
      <c r="BM604" s="449"/>
      <c r="BN604" s="449"/>
    </row>
    <row r="605" spans="1:66" ht="13.15" x14ac:dyDescent="0.4">
      <c r="A605" s="430"/>
      <c r="B605" s="430"/>
      <c r="C605" s="430"/>
      <c r="D605" s="430"/>
      <c r="E605" s="430"/>
      <c r="F605" s="430"/>
      <c r="G605" s="430"/>
      <c r="H605" s="461"/>
      <c r="I605" s="438"/>
      <c r="J605" s="438"/>
      <c r="K605" s="438"/>
      <c r="L605" s="430"/>
      <c r="M605" s="430"/>
      <c r="N605" s="461"/>
      <c r="O605" s="461"/>
      <c r="P605" s="430"/>
      <c r="Q605" s="430"/>
      <c r="R605" s="430"/>
      <c r="S605" s="430"/>
      <c r="T605" s="430"/>
      <c r="U605" s="430"/>
      <c r="V605" s="430"/>
      <c r="W605" s="430"/>
      <c r="X605" s="449"/>
      <c r="Y605" s="449"/>
      <c r="Z605" s="450"/>
      <c r="AA605" s="449"/>
      <c r="AB605" s="451"/>
      <c r="AC605" s="450"/>
      <c r="AD605" s="449"/>
      <c r="AE605" s="451"/>
      <c r="AF605" s="450"/>
      <c r="AG605" s="449"/>
      <c r="AH605" s="451"/>
      <c r="AI605" s="450"/>
      <c r="AJ605" s="449"/>
      <c r="AK605" s="451"/>
      <c r="AL605" s="450"/>
      <c r="AM605" s="449"/>
      <c r="AN605" s="451"/>
      <c r="AO605" s="450"/>
      <c r="AP605" s="449"/>
      <c r="AQ605" s="451"/>
      <c r="AR605" s="449"/>
      <c r="AS605" s="449"/>
      <c r="AT605" s="451"/>
      <c r="AU605" s="449"/>
      <c r="AV605" s="451"/>
      <c r="AW605" s="449"/>
      <c r="AX605" s="449"/>
      <c r="AY605" s="449"/>
      <c r="AZ605" s="449"/>
      <c r="BA605" s="449"/>
      <c r="BB605" s="449"/>
      <c r="BC605" s="449"/>
      <c r="BD605" s="449"/>
      <c r="BE605" s="449"/>
      <c r="BF605" s="449"/>
      <c r="BG605" s="449"/>
      <c r="BH605" s="449"/>
      <c r="BI605" s="449"/>
      <c r="BJ605" s="449"/>
      <c r="BK605" s="449"/>
      <c r="BL605" s="449"/>
      <c r="BM605" s="449"/>
      <c r="BN605" s="449"/>
    </row>
    <row r="606" spans="1:66" ht="13.15" x14ac:dyDescent="0.4">
      <c r="A606" s="430"/>
      <c r="B606" s="430"/>
      <c r="C606" s="430"/>
      <c r="D606" s="430"/>
      <c r="E606" s="430"/>
      <c r="F606" s="430"/>
      <c r="G606" s="430"/>
      <c r="H606" s="461"/>
      <c r="I606" s="438"/>
      <c r="J606" s="438"/>
      <c r="K606" s="438"/>
      <c r="L606" s="430"/>
      <c r="M606" s="430"/>
      <c r="N606" s="461"/>
      <c r="O606" s="461"/>
      <c r="P606" s="430"/>
      <c r="Q606" s="430"/>
      <c r="R606" s="430"/>
      <c r="S606" s="430"/>
      <c r="T606" s="430"/>
      <c r="U606" s="430"/>
      <c r="V606" s="430"/>
      <c r="W606" s="430"/>
      <c r="X606" s="449"/>
      <c r="Y606" s="449"/>
      <c r="Z606" s="450"/>
      <c r="AA606" s="449"/>
      <c r="AB606" s="451"/>
      <c r="AC606" s="450"/>
      <c r="AD606" s="449"/>
      <c r="AE606" s="451"/>
      <c r="AF606" s="450"/>
      <c r="AG606" s="449"/>
      <c r="AH606" s="451"/>
      <c r="AI606" s="450"/>
      <c r="AJ606" s="449"/>
      <c r="AK606" s="451"/>
      <c r="AL606" s="450"/>
      <c r="AM606" s="449"/>
      <c r="AN606" s="451"/>
      <c r="AO606" s="450"/>
      <c r="AP606" s="449"/>
      <c r="AQ606" s="451"/>
      <c r="AR606" s="449"/>
      <c r="AS606" s="449"/>
      <c r="AT606" s="451"/>
      <c r="AU606" s="449"/>
      <c r="AV606" s="451"/>
      <c r="AW606" s="449"/>
      <c r="AX606" s="449"/>
      <c r="AY606" s="449"/>
      <c r="AZ606" s="449"/>
      <c r="BA606" s="449"/>
      <c r="BB606" s="449"/>
      <c r="BC606" s="449"/>
      <c r="BD606" s="449"/>
      <c r="BE606" s="449"/>
      <c r="BF606" s="449"/>
      <c r="BG606" s="449"/>
      <c r="BH606" s="449"/>
      <c r="BI606" s="449"/>
      <c r="BJ606" s="449"/>
      <c r="BK606" s="449"/>
      <c r="BL606" s="449"/>
      <c r="BM606" s="449"/>
      <c r="BN606" s="449"/>
    </row>
    <row r="607" spans="1:66" ht="13.15" x14ac:dyDescent="0.4">
      <c r="A607" s="430"/>
      <c r="B607" s="430"/>
      <c r="C607" s="430"/>
      <c r="D607" s="430"/>
      <c r="E607" s="430"/>
      <c r="F607" s="430"/>
      <c r="G607" s="430"/>
      <c r="H607" s="461"/>
      <c r="I607" s="438"/>
      <c r="J607" s="438"/>
      <c r="K607" s="438"/>
      <c r="L607" s="430"/>
      <c r="M607" s="430"/>
      <c r="N607" s="461"/>
      <c r="O607" s="461"/>
      <c r="P607" s="430"/>
      <c r="Q607" s="430"/>
      <c r="R607" s="430"/>
      <c r="S607" s="430"/>
      <c r="T607" s="430"/>
      <c r="U607" s="430"/>
      <c r="V607" s="430"/>
      <c r="W607" s="430"/>
      <c r="X607" s="449"/>
      <c r="Y607" s="449"/>
      <c r="Z607" s="450"/>
      <c r="AA607" s="449"/>
      <c r="AB607" s="451"/>
      <c r="AC607" s="450"/>
      <c r="AD607" s="449"/>
      <c r="AE607" s="451"/>
      <c r="AF607" s="450"/>
      <c r="AG607" s="449"/>
      <c r="AH607" s="451"/>
      <c r="AI607" s="450"/>
      <c r="AJ607" s="449"/>
      <c r="AK607" s="451"/>
      <c r="AL607" s="450"/>
      <c r="AM607" s="449"/>
      <c r="AN607" s="451"/>
      <c r="AO607" s="450"/>
      <c r="AP607" s="449"/>
      <c r="AQ607" s="451"/>
      <c r="AR607" s="449"/>
      <c r="AS607" s="449"/>
      <c r="AT607" s="451"/>
      <c r="AU607" s="449"/>
      <c r="AV607" s="451"/>
      <c r="AW607" s="449"/>
      <c r="AX607" s="449"/>
      <c r="AY607" s="449"/>
      <c r="AZ607" s="449"/>
      <c r="BA607" s="449"/>
      <c r="BB607" s="449"/>
      <c r="BC607" s="449"/>
      <c r="BD607" s="449"/>
      <c r="BE607" s="449"/>
      <c r="BF607" s="449"/>
      <c r="BG607" s="449"/>
      <c r="BH607" s="449"/>
      <c r="BI607" s="449"/>
      <c r="BJ607" s="449"/>
      <c r="BK607" s="449"/>
      <c r="BL607" s="449"/>
      <c r="BM607" s="449"/>
      <c r="BN607" s="449"/>
    </row>
    <row r="608" spans="1:66" ht="13.15" x14ac:dyDescent="0.4">
      <c r="A608" s="430"/>
      <c r="B608" s="430"/>
      <c r="C608" s="430"/>
      <c r="D608" s="430"/>
      <c r="E608" s="430"/>
      <c r="F608" s="430"/>
      <c r="G608" s="430"/>
      <c r="H608" s="461"/>
      <c r="I608" s="438"/>
      <c r="J608" s="438"/>
      <c r="K608" s="438"/>
      <c r="L608" s="430"/>
      <c r="M608" s="430"/>
      <c r="N608" s="461"/>
      <c r="O608" s="461"/>
      <c r="P608" s="430"/>
      <c r="Q608" s="430"/>
      <c r="R608" s="430"/>
      <c r="S608" s="430"/>
      <c r="T608" s="430"/>
      <c r="U608" s="430"/>
      <c r="V608" s="430"/>
      <c r="W608" s="430"/>
      <c r="X608" s="449"/>
      <c r="Y608" s="449"/>
      <c r="Z608" s="450"/>
      <c r="AA608" s="449"/>
      <c r="AB608" s="451"/>
      <c r="AC608" s="450"/>
      <c r="AD608" s="449"/>
      <c r="AE608" s="451"/>
      <c r="AF608" s="450"/>
      <c r="AG608" s="449"/>
      <c r="AH608" s="451"/>
      <c r="AI608" s="450"/>
      <c r="AJ608" s="449"/>
      <c r="AK608" s="451"/>
      <c r="AL608" s="450"/>
      <c r="AM608" s="449"/>
      <c r="AN608" s="451"/>
      <c r="AO608" s="450"/>
      <c r="AP608" s="449"/>
      <c r="AQ608" s="451"/>
      <c r="AR608" s="449"/>
      <c r="AS608" s="449"/>
      <c r="AT608" s="451"/>
      <c r="AU608" s="449"/>
      <c r="AV608" s="451"/>
      <c r="AW608" s="449"/>
      <c r="AX608" s="449"/>
      <c r="AY608" s="449"/>
      <c r="AZ608" s="449"/>
      <c r="BA608" s="449"/>
      <c r="BB608" s="449"/>
      <c r="BC608" s="449"/>
      <c r="BD608" s="449"/>
      <c r="BE608" s="449"/>
      <c r="BF608" s="449"/>
      <c r="BG608" s="449"/>
      <c r="BH608" s="449"/>
      <c r="BI608" s="449"/>
      <c r="BJ608" s="449"/>
      <c r="BK608" s="449"/>
      <c r="BL608" s="449"/>
      <c r="BM608" s="449"/>
      <c r="BN608" s="449"/>
    </row>
    <row r="609" spans="1:66" ht="13.15" x14ac:dyDescent="0.4">
      <c r="A609" s="430"/>
      <c r="B609" s="430"/>
      <c r="C609" s="430"/>
      <c r="D609" s="430"/>
      <c r="E609" s="430"/>
      <c r="F609" s="430"/>
      <c r="G609" s="430"/>
      <c r="H609" s="461"/>
      <c r="I609" s="438"/>
      <c r="J609" s="438"/>
      <c r="K609" s="438"/>
      <c r="L609" s="430"/>
      <c r="M609" s="430"/>
      <c r="N609" s="461"/>
      <c r="O609" s="461"/>
      <c r="P609" s="430"/>
      <c r="Q609" s="430"/>
      <c r="R609" s="430"/>
      <c r="S609" s="430"/>
      <c r="T609" s="430"/>
      <c r="U609" s="430"/>
      <c r="V609" s="430"/>
      <c r="W609" s="430"/>
      <c r="X609" s="449"/>
      <c r="Y609" s="449"/>
      <c r="Z609" s="450"/>
      <c r="AA609" s="449"/>
      <c r="AB609" s="451"/>
      <c r="AC609" s="450"/>
      <c r="AD609" s="449"/>
      <c r="AE609" s="451"/>
      <c r="AF609" s="450"/>
      <c r="AG609" s="449"/>
      <c r="AH609" s="451"/>
      <c r="AI609" s="450"/>
      <c r="AJ609" s="449"/>
      <c r="AK609" s="451"/>
      <c r="AL609" s="450"/>
      <c r="AM609" s="449"/>
      <c r="AN609" s="451"/>
      <c r="AO609" s="450"/>
      <c r="AP609" s="449"/>
      <c r="AQ609" s="451"/>
      <c r="AR609" s="449"/>
      <c r="AS609" s="449"/>
      <c r="AT609" s="451"/>
      <c r="AU609" s="449"/>
      <c r="AV609" s="451"/>
      <c r="AW609" s="449"/>
      <c r="AX609" s="449"/>
      <c r="AY609" s="449"/>
      <c r="AZ609" s="449"/>
      <c r="BA609" s="449"/>
      <c r="BB609" s="449"/>
      <c r="BC609" s="449"/>
      <c r="BD609" s="449"/>
      <c r="BE609" s="449"/>
      <c r="BF609" s="449"/>
      <c r="BG609" s="449"/>
      <c r="BH609" s="449"/>
      <c r="BI609" s="449"/>
      <c r="BJ609" s="449"/>
      <c r="BK609" s="449"/>
      <c r="BL609" s="449"/>
      <c r="BM609" s="449"/>
      <c r="BN609" s="449"/>
    </row>
    <row r="610" spans="1:66" ht="13.15" x14ac:dyDescent="0.4">
      <c r="A610" s="430"/>
      <c r="B610" s="430"/>
      <c r="C610" s="430"/>
      <c r="D610" s="430"/>
      <c r="E610" s="430"/>
      <c r="F610" s="430"/>
      <c r="G610" s="430"/>
      <c r="H610" s="461"/>
      <c r="I610" s="438"/>
      <c r="J610" s="438"/>
      <c r="K610" s="438"/>
      <c r="L610" s="430"/>
      <c r="M610" s="430"/>
      <c r="N610" s="461"/>
      <c r="O610" s="461"/>
      <c r="P610" s="430"/>
      <c r="Q610" s="430"/>
      <c r="R610" s="430"/>
      <c r="S610" s="430"/>
      <c r="T610" s="430"/>
      <c r="U610" s="430"/>
      <c r="V610" s="430"/>
      <c r="W610" s="430"/>
      <c r="X610" s="449"/>
      <c r="Y610" s="449"/>
      <c r="Z610" s="450"/>
      <c r="AA610" s="449"/>
      <c r="AB610" s="451"/>
      <c r="AC610" s="450"/>
      <c r="AD610" s="449"/>
      <c r="AE610" s="451"/>
      <c r="AF610" s="450"/>
      <c r="AG610" s="449"/>
      <c r="AH610" s="451"/>
      <c r="AI610" s="450"/>
      <c r="AJ610" s="449"/>
      <c r="AK610" s="451"/>
      <c r="AL610" s="450"/>
      <c r="AM610" s="449"/>
      <c r="AN610" s="451"/>
      <c r="AO610" s="450"/>
      <c r="AP610" s="449"/>
      <c r="AQ610" s="451"/>
      <c r="AR610" s="449"/>
      <c r="AS610" s="449"/>
      <c r="AT610" s="451"/>
      <c r="AU610" s="449"/>
      <c r="AV610" s="451"/>
      <c r="AW610" s="449"/>
      <c r="AX610" s="449"/>
      <c r="AY610" s="449"/>
      <c r="AZ610" s="449"/>
      <c r="BA610" s="449"/>
      <c r="BB610" s="449"/>
      <c r="BC610" s="449"/>
      <c r="BD610" s="449"/>
      <c r="BE610" s="449"/>
      <c r="BF610" s="449"/>
      <c r="BG610" s="449"/>
      <c r="BH610" s="449"/>
      <c r="BI610" s="449"/>
      <c r="BJ610" s="449"/>
      <c r="BK610" s="449"/>
      <c r="BL610" s="449"/>
      <c r="BM610" s="449"/>
      <c r="BN610" s="449"/>
    </row>
    <row r="611" spans="1:66" ht="13.15" x14ac:dyDescent="0.4">
      <c r="A611" s="430"/>
      <c r="B611" s="430"/>
      <c r="C611" s="430"/>
      <c r="D611" s="430"/>
      <c r="E611" s="430"/>
      <c r="F611" s="430"/>
      <c r="G611" s="430"/>
      <c r="H611" s="461"/>
      <c r="I611" s="438"/>
      <c r="J611" s="438"/>
      <c r="K611" s="438"/>
      <c r="L611" s="430"/>
      <c r="M611" s="430"/>
      <c r="N611" s="461"/>
      <c r="O611" s="461"/>
      <c r="P611" s="430"/>
      <c r="Q611" s="430"/>
      <c r="R611" s="430"/>
      <c r="S611" s="430"/>
      <c r="T611" s="430"/>
      <c r="U611" s="430"/>
      <c r="V611" s="430"/>
      <c r="W611" s="430"/>
      <c r="X611" s="449"/>
      <c r="Y611" s="449"/>
      <c r="Z611" s="450"/>
      <c r="AA611" s="449"/>
      <c r="AB611" s="451"/>
      <c r="AC611" s="450"/>
      <c r="AD611" s="449"/>
      <c r="AE611" s="451"/>
      <c r="AF611" s="450"/>
      <c r="AG611" s="449"/>
      <c r="AH611" s="451"/>
      <c r="AI611" s="450"/>
      <c r="AJ611" s="449"/>
      <c r="AK611" s="451"/>
      <c r="AL611" s="450"/>
      <c r="AM611" s="449"/>
      <c r="AN611" s="451"/>
      <c r="AO611" s="450"/>
      <c r="AP611" s="449"/>
      <c r="AQ611" s="451"/>
      <c r="AR611" s="449"/>
      <c r="AS611" s="449"/>
      <c r="AT611" s="451"/>
      <c r="AU611" s="449"/>
      <c r="AV611" s="451"/>
      <c r="AW611" s="449"/>
      <c r="AX611" s="449"/>
      <c r="AY611" s="449"/>
      <c r="AZ611" s="449"/>
      <c r="BA611" s="449"/>
      <c r="BB611" s="449"/>
      <c r="BC611" s="449"/>
      <c r="BD611" s="449"/>
      <c r="BE611" s="449"/>
      <c r="BF611" s="449"/>
      <c r="BG611" s="449"/>
      <c r="BH611" s="449"/>
      <c r="BI611" s="449"/>
      <c r="BJ611" s="449"/>
      <c r="BK611" s="449"/>
      <c r="BL611" s="449"/>
      <c r="BM611" s="449"/>
      <c r="BN611" s="449"/>
    </row>
    <row r="612" spans="1:66" ht="13.15" x14ac:dyDescent="0.4">
      <c r="A612" s="430"/>
      <c r="B612" s="430"/>
      <c r="C612" s="430"/>
      <c r="D612" s="430"/>
      <c r="E612" s="430"/>
      <c r="F612" s="430"/>
      <c r="G612" s="430"/>
      <c r="H612" s="461"/>
      <c r="I612" s="438"/>
      <c r="J612" s="438"/>
      <c r="K612" s="438"/>
      <c r="L612" s="430"/>
      <c r="M612" s="430"/>
      <c r="N612" s="461"/>
      <c r="O612" s="461"/>
      <c r="P612" s="430"/>
      <c r="Q612" s="430"/>
      <c r="R612" s="430"/>
      <c r="S612" s="430"/>
      <c r="T612" s="430"/>
      <c r="U612" s="430"/>
      <c r="V612" s="430"/>
      <c r="W612" s="430"/>
      <c r="X612" s="449"/>
      <c r="Y612" s="449"/>
      <c r="Z612" s="450"/>
      <c r="AA612" s="449"/>
      <c r="AB612" s="451"/>
      <c r="AC612" s="450"/>
      <c r="AD612" s="449"/>
      <c r="AE612" s="451"/>
      <c r="AF612" s="450"/>
      <c r="AG612" s="449"/>
      <c r="AH612" s="451"/>
      <c r="AI612" s="450"/>
      <c r="AJ612" s="449"/>
      <c r="AK612" s="451"/>
      <c r="AL612" s="450"/>
      <c r="AM612" s="449"/>
      <c r="AN612" s="451"/>
      <c r="AO612" s="450"/>
      <c r="AP612" s="449"/>
      <c r="AQ612" s="451"/>
      <c r="AR612" s="449"/>
      <c r="AS612" s="449"/>
      <c r="AT612" s="451"/>
      <c r="AU612" s="449"/>
      <c r="AV612" s="451"/>
      <c r="AW612" s="449"/>
      <c r="AX612" s="449"/>
      <c r="AY612" s="449"/>
      <c r="AZ612" s="449"/>
      <c r="BA612" s="449"/>
      <c r="BB612" s="449"/>
      <c r="BC612" s="449"/>
      <c r="BD612" s="449"/>
      <c r="BE612" s="449"/>
      <c r="BF612" s="449"/>
      <c r="BG612" s="449"/>
      <c r="BH612" s="449"/>
      <c r="BI612" s="449"/>
      <c r="BJ612" s="449"/>
      <c r="BK612" s="449"/>
      <c r="BL612" s="449"/>
      <c r="BM612" s="449"/>
      <c r="BN612" s="449"/>
    </row>
    <row r="613" spans="1:66" ht="13.15" x14ac:dyDescent="0.4">
      <c r="A613" s="430"/>
      <c r="B613" s="430"/>
      <c r="C613" s="430"/>
      <c r="D613" s="430"/>
      <c r="E613" s="430"/>
      <c r="F613" s="430"/>
      <c r="G613" s="430"/>
      <c r="H613" s="461"/>
      <c r="I613" s="438"/>
      <c r="J613" s="438"/>
      <c r="K613" s="438"/>
      <c r="L613" s="430"/>
      <c r="M613" s="430"/>
      <c r="N613" s="461"/>
      <c r="O613" s="461"/>
      <c r="P613" s="430"/>
      <c r="Q613" s="430"/>
      <c r="R613" s="430"/>
      <c r="S613" s="430"/>
      <c r="T613" s="430"/>
      <c r="U613" s="430"/>
      <c r="V613" s="430"/>
      <c r="W613" s="430"/>
      <c r="X613" s="449"/>
      <c r="Y613" s="449"/>
      <c r="Z613" s="450"/>
      <c r="AA613" s="449"/>
      <c r="AB613" s="451"/>
      <c r="AC613" s="450"/>
      <c r="AD613" s="449"/>
      <c r="AE613" s="451"/>
      <c r="AF613" s="450"/>
      <c r="AG613" s="449"/>
      <c r="AH613" s="451"/>
      <c r="AI613" s="450"/>
      <c r="AJ613" s="449"/>
      <c r="AK613" s="451"/>
      <c r="AL613" s="450"/>
      <c r="AM613" s="449"/>
      <c r="AN613" s="451"/>
      <c r="AO613" s="450"/>
      <c r="AP613" s="449"/>
      <c r="AQ613" s="451"/>
      <c r="AR613" s="449"/>
      <c r="AS613" s="449"/>
      <c r="AT613" s="451"/>
      <c r="AU613" s="449"/>
      <c r="AV613" s="451"/>
      <c r="AW613" s="449"/>
      <c r="AX613" s="449"/>
      <c r="AY613" s="449"/>
      <c r="AZ613" s="449"/>
      <c r="BA613" s="449"/>
      <c r="BB613" s="449"/>
      <c r="BC613" s="449"/>
      <c r="BD613" s="449"/>
      <c r="BE613" s="449"/>
      <c r="BF613" s="449"/>
      <c r="BG613" s="449"/>
      <c r="BH613" s="449"/>
      <c r="BI613" s="449"/>
      <c r="BJ613" s="449"/>
      <c r="BK613" s="449"/>
      <c r="BL613" s="449"/>
      <c r="BM613" s="449"/>
      <c r="BN613" s="449"/>
    </row>
    <row r="614" spans="1:66" ht="13.15" x14ac:dyDescent="0.4">
      <c r="A614" s="430"/>
      <c r="B614" s="430"/>
      <c r="C614" s="430"/>
      <c r="D614" s="430"/>
      <c r="E614" s="430"/>
      <c r="F614" s="430"/>
      <c r="G614" s="430"/>
      <c r="H614" s="461"/>
      <c r="I614" s="438"/>
      <c r="J614" s="438"/>
      <c r="K614" s="438"/>
      <c r="L614" s="430"/>
      <c r="M614" s="430"/>
      <c r="N614" s="461"/>
      <c r="O614" s="461"/>
      <c r="P614" s="430"/>
      <c r="Q614" s="430"/>
      <c r="R614" s="430"/>
      <c r="S614" s="430"/>
      <c r="T614" s="430"/>
      <c r="U614" s="430"/>
      <c r="V614" s="430"/>
      <c r="W614" s="430"/>
      <c r="X614" s="449"/>
      <c r="Y614" s="449"/>
      <c r="Z614" s="450"/>
      <c r="AA614" s="449"/>
      <c r="AB614" s="451"/>
      <c r="AC614" s="450"/>
      <c r="AD614" s="449"/>
      <c r="AE614" s="451"/>
      <c r="AF614" s="450"/>
      <c r="AG614" s="449"/>
      <c r="AH614" s="451"/>
      <c r="AI614" s="450"/>
      <c r="AJ614" s="449"/>
      <c r="AK614" s="451"/>
      <c r="AL614" s="450"/>
      <c r="AM614" s="449"/>
      <c r="AN614" s="451"/>
      <c r="AO614" s="450"/>
      <c r="AP614" s="449"/>
      <c r="AQ614" s="451"/>
      <c r="AR614" s="449"/>
      <c r="AS614" s="449"/>
      <c r="AT614" s="451"/>
      <c r="AU614" s="449"/>
      <c r="AV614" s="451"/>
      <c r="AW614" s="449"/>
      <c r="AX614" s="449"/>
      <c r="AY614" s="449"/>
      <c r="AZ614" s="449"/>
      <c r="BA614" s="449"/>
      <c r="BB614" s="449"/>
      <c r="BC614" s="449"/>
      <c r="BD614" s="449"/>
      <c r="BE614" s="449"/>
      <c r="BF614" s="449"/>
      <c r="BG614" s="449"/>
      <c r="BH614" s="449"/>
      <c r="BI614" s="449"/>
      <c r="BJ614" s="449"/>
      <c r="BK614" s="449"/>
      <c r="BL614" s="449"/>
      <c r="BM614" s="449"/>
      <c r="BN614" s="449"/>
    </row>
    <row r="615" spans="1:66" ht="13.15" x14ac:dyDescent="0.4">
      <c r="A615" s="430"/>
      <c r="B615" s="430"/>
      <c r="C615" s="430"/>
      <c r="D615" s="430"/>
      <c r="E615" s="430"/>
      <c r="F615" s="430"/>
      <c r="G615" s="430"/>
      <c r="H615" s="461"/>
      <c r="I615" s="438"/>
      <c r="J615" s="438"/>
      <c r="K615" s="438"/>
      <c r="L615" s="430"/>
      <c r="M615" s="430"/>
      <c r="N615" s="461"/>
      <c r="O615" s="461"/>
      <c r="P615" s="430"/>
      <c r="Q615" s="430"/>
      <c r="R615" s="430"/>
      <c r="S615" s="430"/>
      <c r="T615" s="430"/>
      <c r="U615" s="430"/>
      <c r="V615" s="430"/>
      <c r="W615" s="430"/>
      <c r="X615" s="449"/>
      <c r="Y615" s="449"/>
      <c r="Z615" s="450"/>
      <c r="AA615" s="449"/>
      <c r="AB615" s="451"/>
      <c r="AC615" s="450"/>
      <c r="AD615" s="449"/>
      <c r="AE615" s="451"/>
      <c r="AF615" s="450"/>
      <c r="AG615" s="449"/>
      <c r="AH615" s="451"/>
      <c r="AI615" s="450"/>
      <c r="AJ615" s="449"/>
      <c r="AK615" s="451"/>
      <c r="AL615" s="450"/>
      <c r="AM615" s="449"/>
      <c r="AN615" s="451"/>
      <c r="AO615" s="450"/>
      <c r="AP615" s="449"/>
      <c r="AQ615" s="451"/>
      <c r="AR615" s="449"/>
      <c r="AS615" s="449"/>
      <c r="AT615" s="451"/>
      <c r="AU615" s="449"/>
      <c r="AV615" s="451"/>
      <c r="AW615" s="449"/>
      <c r="AX615" s="449"/>
      <c r="AY615" s="449"/>
      <c r="AZ615" s="449"/>
      <c r="BA615" s="449"/>
      <c r="BB615" s="449"/>
      <c r="BC615" s="449"/>
      <c r="BD615" s="449"/>
      <c r="BE615" s="449"/>
      <c r="BF615" s="449"/>
      <c r="BG615" s="449"/>
      <c r="BH615" s="449"/>
      <c r="BI615" s="449"/>
      <c r="BJ615" s="449"/>
      <c r="BK615" s="449"/>
      <c r="BL615" s="449"/>
      <c r="BM615" s="449"/>
      <c r="BN615" s="449"/>
    </row>
    <row r="616" spans="1:66" ht="13.15" x14ac:dyDescent="0.4">
      <c r="A616" s="430"/>
      <c r="B616" s="430"/>
      <c r="C616" s="430"/>
      <c r="D616" s="430"/>
      <c r="E616" s="430"/>
      <c r="F616" s="430"/>
      <c r="G616" s="430"/>
      <c r="H616" s="461"/>
      <c r="I616" s="438"/>
      <c r="J616" s="438"/>
      <c r="K616" s="438"/>
      <c r="L616" s="430"/>
      <c r="M616" s="430"/>
      <c r="N616" s="461"/>
      <c r="O616" s="461"/>
      <c r="P616" s="430"/>
      <c r="Q616" s="430"/>
      <c r="R616" s="430"/>
      <c r="S616" s="430"/>
      <c r="T616" s="430"/>
      <c r="U616" s="430"/>
      <c r="V616" s="430"/>
      <c r="W616" s="430"/>
      <c r="X616" s="449"/>
      <c r="Y616" s="449"/>
      <c r="Z616" s="450"/>
      <c r="AA616" s="449"/>
      <c r="AB616" s="451"/>
      <c r="AC616" s="450"/>
      <c r="AD616" s="449"/>
      <c r="AE616" s="451"/>
      <c r="AF616" s="450"/>
      <c r="AG616" s="449"/>
      <c r="AH616" s="451"/>
      <c r="AI616" s="450"/>
      <c r="AJ616" s="449"/>
      <c r="AK616" s="451"/>
      <c r="AL616" s="450"/>
      <c r="AM616" s="449"/>
      <c r="AN616" s="451"/>
      <c r="AO616" s="450"/>
      <c r="AP616" s="449"/>
      <c r="AQ616" s="451"/>
      <c r="AR616" s="449"/>
      <c r="AS616" s="449"/>
      <c r="AT616" s="451"/>
      <c r="AU616" s="449"/>
      <c r="AV616" s="451"/>
      <c r="AW616" s="449"/>
      <c r="AX616" s="449"/>
      <c r="AY616" s="449"/>
      <c r="AZ616" s="449"/>
      <c r="BA616" s="449"/>
      <c r="BB616" s="449"/>
      <c r="BC616" s="449"/>
      <c r="BD616" s="449"/>
      <c r="BE616" s="449"/>
      <c r="BF616" s="449"/>
      <c r="BG616" s="449"/>
      <c r="BH616" s="449"/>
      <c r="BI616" s="449"/>
      <c r="BJ616" s="449"/>
      <c r="BK616" s="449"/>
      <c r="BL616" s="449"/>
      <c r="BM616" s="449"/>
      <c r="BN616" s="449"/>
    </row>
    <row r="617" spans="1:66" ht="13.15" x14ac:dyDescent="0.4">
      <c r="A617" s="430"/>
      <c r="B617" s="430"/>
      <c r="C617" s="430"/>
      <c r="D617" s="430"/>
      <c r="E617" s="430"/>
      <c r="F617" s="430"/>
      <c r="G617" s="430"/>
      <c r="H617" s="461"/>
      <c r="I617" s="438"/>
      <c r="J617" s="438"/>
      <c r="K617" s="438"/>
      <c r="L617" s="430"/>
      <c r="M617" s="430"/>
      <c r="N617" s="461"/>
      <c r="O617" s="461"/>
      <c r="P617" s="430"/>
      <c r="Q617" s="430"/>
      <c r="R617" s="430"/>
      <c r="S617" s="430"/>
      <c r="T617" s="430"/>
      <c r="U617" s="430"/>
      <c r="V617" s="430"/>
      <c r="W617" s="430"/>
      <c r="X617" s="449"/>
      <c r="Y617" s="449"/>
      <c r="Z617" s="450"/>
      <c r="AA617" s="449"/>
      <c r="AB617" s="451"/>
      <c r="AC617" s="450"/>
      <c r="AD617" s="449"/>
      <c r="AE617" s="451"/>
      <c r="AF617" s="450"/>
      <c r="AG617" s="449"/>
      <c r="AH617" s="451"/>
      <c r="AI617" s="450"/>
      <c r="AJ617" s="449"/>
      <c r="AK617" s="451"/>
      <c r="AL617" s="450"/>
      <c r="AM617" s="449"/>
      <c r="AN617" s="451"/>
      <c r="AO617" s="450"/>
      <c r="AP617" s="449"/>
      <c r="AQ617" s="451"/>
      <c r="AR617" s="449"/>
      <c r="AS617" s="449"/>
      <c r="AT617" s="451"/>
      <c r="AU617" s="449"/>
      <c r="AV617" s="451"/>
      <c r="AW617" s="449"/>
      <c r="AX617" s="449"/>
      <c r="AY617" s="449"/>
      <c r="AZ617" s="449"/>
      <c r="BA617" s="449"/>
      <c r="BB617" s="449"/>
      <c r="BC617" s="449"/>
      <c r="BD617" s="449"/>
      <c r="BE617" s="449"/>
      <c r="BF617" s="449"/>
      <c r="BG617" s="449"/>
      <c r="BH617" s="449"/>
      <c r="BI617" s="449"/>
      <c r="BJ617" s="449"/>
      <c r="BK617" s="449"/>
      <c r="BL617" s="449"/>
      <c r="BM617" s="449"/>
      <c r="BN617" s="449"/>
    </row>
    <row r="618" spans="1:66" ht="13.15" x14ac:dyDescent="0.4">
      <c r="A618" s="430"/>
      <c r="B618" s="430"/>
      <c r="C618" s="430"/>
      <c r="D618" s="430"/>
      <c r="E618" s="430"/>
      <c r="F618" s="430"/>
      <c r="G618" s="430"/>
      <c r="H618" s="461"/>
      <c r="I618" s="438"/>
      <c r="J618" s="438"/>
      <c r="K618" s="438"/>
      <c r="L618" s="430"/>
      <c r="M618" s="430"/>
      <c r="N618" s="461"/>
      <c r="O618" s="461"/>
      <c r="P618" s="430"/>
      <c r="Q618" s="430"/>
      <c r="R618" s="430"/>
      <c r="S618" s="430"/>
      <c r="T618" s="430"/>
      <c r="U618" s="430"/>
      <c r="V618" s="430"/>
      <c r="W618" s="430"/>
      <c r="X618" s="449"/>
      <c r="Y618" s="449"/>
      <c r="Z618" s="450"/>
      <c r="AA618" s="449"/>
      <c r="AB618" s="451"/>
      <c r="AC618" s="450"/>
      <c r="AD618" s="449"/>
      <c r="AE618" s="451"/>
      <c r="AF618" s="450"/>
      <c r="AG618" s="449"/>
      <c r="AH618" s="451"/>
      <c r="AI618" s="450"/>
      <c r="AJ618" s="449"/>
      <c r="AK618" s="451"/>
      <c r="AL618" s="450"/>
      <c r="AM618" s="449"/>
      <c r="AN618" s="451"/>
      <c r="AO618" s="450"/>
      <c r="AP618" s="449"/>
      <c r="AQ618" s="451"/>
      <c r="AR618" s="449"/>
      <c r="AS618" s="449"/>
      <c r="AT618" s="451"/>
      <c r="AU618" s="449"/>
      <c r="AV618" s="451"/>
      <c r="AW618" s="449"/>
      <c r="AX618" s="449"/>
      <c r="AY618" s="449"/>
      <c r="AZ618" s="449"/>
      <c r="BA618" s="449"/>
      <c r="BB618" s="449"/>
      <c r="BC618" s="449"/>
      <c r="BD618" s="449"/>
      <c r="BE618" s="449"/>
      <c r="BF618" s="449"/>
      <c r="BG618" s="449"/>
      <c r="BH618" s="449"/>
      <c r="BI618" s="449"/>
      <c r="BJ618" s="449"/>
      <c r="BK618" s="449"/>
      <c r="BL618" s="449"/>
      <c r="BM618" s="449"/>
      <c r="BN618" s="449"/>
    </row>
    <row r="619" spans="1:66" ht="13.15" x14ac:dyDescent="0.4">
      <c r="A619" s="430"/>
      <c r="B619" s="430"/>
      <c r="C619" s="430"/>
      <c r="D619" s="430"/>
      <c r="E619" s="430"/>
      <c r="F619" s="430"/>
      <c r="G619" s="430"/>
      <c r="H619" s="461"/>
      <c r="I619" s="438"/>
      <c r="J619" s="438"/>
      <c r="K619" s="438"/>
      <c r="L619" s="430"/>
      <c r="M619" s="430"/>
      <c r="N619" s="461"/>
      <c r="O619" s="461"/>
      <c r="P619" s="430"/>
      <c r="Q619" s="430"/>
      <c r="R619" s="430"/>
      <c r="S619" s="430"/>
      <c r="T619" s="430"/>
      <c r="U619" s="430"/>
      <c r="V619" s="430"/>
      <c r="W619" s="430"/>
      <c r="X619" s="449"/>
      <c r="Y619" s="449"/>
      <c r="Z619" s="450"/>
      <c r="AA619" s="449"/>
      <c r="AB619" s="451"/>
      <c r="AC619" s="450"/>
      <c r="AD619" s="449"/>
      <c r="AE619" s="451"/>
      <c r="AF619" s="450"/>
      <c r="AG619" s="449"/>
      <c r="AH619" s="451"/>
      <c r="AI619" s="450"/>
      <c r="AJ619" s="449"/>
      <c r="AK619" s="451"/>
      <c r="AL619" s="450"/>
      <c r="AM619" s="449"/>
      <c r="AN619" s="451"/>
      <c r="AO619" s="450"/>
      <c r="AP619" s="449"/>
      <c r="AQ619" s="451"/>
      <c r="AR619" s="449"/>
      <c r="AS619" s="449"/>
      <c r="AT619" s="451"/>
      <c r="AU619" s="449"/>
      <c r="AV619" s="451"/>
      <c r="AW619" s="449"/>
      <c r="AX619" s="449"/>
      <c r="AY619" s="449"/>
      <c r="AZ619" s="449"/>
      <c r="BA619" s="449"/>
      <c r="BB619" s="449"/>
      <c r="BC619" s="449"/>
      <c r="BD619" s="449"/>
      <c r="BE619" s="449"/>
      <c r="BF619" s="449"/>
      <c r="BG619" s="449"/>
      <c r="BH619" s="449"/>
      <c r="BI619" s="449"/>
      <c r="BJ619" s="449"/>
      <c r="BK619" s="449"/>
      <c r="BL619" s="449"/>
      <c r="BM619" s="449"/>
      <c r="BN619" s="449"/>
    </row>
    <row r="620" spans="1:66" ht="13.15" x14ac:dyDescent="0.4">
      <c r="A620" s="430"/>
      <c r="B620" s="430"/>
      <c r="C620" s="430"/>
      <c r="D620" s="430"/>
      <c r="E620" s="430"/>
      <c r="F620" s="430"/>
      <c r="G620" s="430"/>
      <c r="H620" s="461"/>
      <c r="I620" s="438"/>
      <c r="J620" s="438"/>
      <c r="K620" s="438"/>
      <c r="L620" s="430"/>
      <c r="M620" s="430"/>
      <c r="N620" s="461"/>
      <c r="O620" s="461"/>
      <c r="P620" s="430"/>
      <c r="Q620" s="430"/>
      <c r="R620" s="430"/>
      <c r="S620" s="430"/>
      <c r="T620" s="430"/>
      <c r="U620" s="430"/>
      <c r="V620" s="430"/>
      <c r="W620" s="430"/>
      <c r="X620" s="449"/>
      <c r="Y620" s="449"/>
      <c r="Z620" s="450"/>
      <c r="AA620" s="449"/>
      <c r="AB620" s="451"/>
      <c r="AC620" s="450"/>
      <c r="AD620" s="449"/>
      <c r="AE620" s="451"/>
      <c r="AF620" s="450"/>
      <c r="AG620" s="449"/>
      <c r="AH620" s="451"/>
      <c r="AI620" s="450"/>
      <c r="AJ620" s="449"/>
      <c r="AK620" s="451"/>
      <c r="AL620" s="450"/>
      <c r="AM620" s="449"/>
      <c r="AN620" s="451"/>
      <c r="AO620" s="450"/>
      <c r="AP620" s="449"/>
      <c r="AQ620" s="451"/>
      <c r="AR620" s="449"/>
      <c r="AS620" s="449"/>
      <c r="AT620" s="451"/>
      <c r="AU620" s="449"/>
      <c r="AV620" s="451"/>
      <c r="AW620" s="449"/>
      <c r="AX620" s="449"/>
      <c r="AY620" s="449"/>
      <c r="AZ620" s="449"/>
      <c r="BA620" s="449"/>
      <c r="BB620" s="449"/>
      <c r="BC620" s="449"/>
      <c r="BD620" s="449"/>
      <c r="BE620" s="449"/>
      <c r="BF620" s="449"/>
      <c r="BG620" s="449"/>
      <c r="BH620" s="449"/>
      <c r="BI620" s="449"/>
      <c r="BJ620" s="449"/>
      <c r="BK620" s="449"/>
      <c r="BL620" s="449"/>
      <c r="BM620" s="449"/>
      <c r="BN620" s="449"/>
    </row>
    <row r="621" spans="1:66" ht="13.15" x14ac:dyDescent="0.4">
      <c r="A621" s="430"/>
      <c r="B621" s="430"/>
      <c r="C621" s="430"/>
      <c r="D621" s="430"/>
      <c r="E621" s="430"/>
      <c r="F621" s="430"/>
      <c r="G621" s="430"/>
      <c r="H621" s="461"/>
      <c r="I621" s="438"/>
      <c r="J621" s="438"/>
      <c r="K621" s="438"/>
      <c r="L621" s="430"/>
      <c r="M621" s="430"/>
      <c r="N621" s="461"/>
      <c r="O621" s="461"/>
      <c r="P621" s="430"/>
      <c r="Q621" s="430"/>
      <c r="R621" s="430"/>
      <c r="S621" s="430"/>
      <c r="T621" s="430"/>
      <c r="U621" s="430"/>
      <c r="V621" s="430"/>
      <c r="W621" s="430"/>
      <c r="X621" s="449"/>
      <c r="Y621" s="449"/>
      <c r="Z621" s="450"/>
      <c r="AA621" s="449"/>
      <c r="AB621" s="451"/>
      <c r="AC621" s="450"/>
      <c r="AD621" s="449"/>
      <c r="AE621" s="451"/>
      <c r="AF621" s="450"/>
      <c r="AG621" s="449"/>
      <c r="AH621" s="451"/>
      <c r="AI621" s="450"/>
      <c r="AJ621" s="449"/>
      <c r="AK621" s="451"/>
      <c r="AL621" s="450"/>
      <c r="AM621" s="449"/>
      <c r="AN621" s="451"/>
      <c r="AO621" s="450"/>
      <c r="AP621" s="449"/>
      <c r="AQ621" s="451"/>
      <c r="AR621" s="449"/>
      <c r="AS621" s="449"/>
      <c r="AT621" s="451"/>
      <c r="AU621" s="449"/>
      <c r="AV621" s="451"/>
      <c r="AW621" s="449"/>
      <c r="AX621" s="449"/>
      <c r="AY621" s="449"/>
      <c r="AZ621" s="449"/>
      <c r="BA621" s="449"/>
      <c r="BB621" s="449"/>
      <c r="BC621" s="449"/>
      <c r="BD621" s="449"/>
      <c r="BE621" s="449"/>
      <c r="BF621" s="449"/>
      <c r="BG621" s="449"/>
      <c r="BH621" s="449"/>
      <c r="BI621" s="449"/>
      <c r="BJ621" s="449"/>
      <c r="BK621" s="449"/>
      <c r="BL621" s="449"/>
      <c r="BM621" s="449"/>
      <c r="BN621" s="449"/>
    </row>
    <row r="622" spans="1:66" ht="13.15" x14ac:dyDescent="0.4">
      <c r="A622" s="430"/>
      <c r="B622" s="430"/>
      <c r="C622" s="430"/>
      <c r="D622" s="430"/>
      <c r="E622" s="430"/>
      <c r="F622" s="430"/>
      <c r="G622" s="430"/>
      <c r="H622" s="461"/>
      <c r="I622" s="438"/>
      <c r="J622" s="438"/>
      <c r="K622" s="438"/>
      <c r="L622" s="430"/>
      <c r="M622" s="430"/>
      <c r="N622" s="461"/>
      <c r="O622" s="461"/>
      <c r="P622" s="430"/>
      <c r="Q622" s="430"/>
      <c r="R622" s="430"/>
      <c r="S622" s="430"/>
      <c r="T622" s="430"/>
      <c r="U622" s="430"/>
      <c r="V622" s="430"/>
      <c r="W622" s="430"/>
      <c r="X622" s="449"/>
      <c r="Y622" s="449"/>
      <c r="Z622" s="450"/>
      <c r="AA622" s="449"/>
      <c r="AB622" s="451"/>
      <c r="AC622" s="450"/>
      <c r="AD622" s="449"/>
      <c r="AE622" s="451"/>
      <c r="AF622" s="450"/>
      <c r="AG622" s="449"/>
      <c r="AH622" s="451"/>
      <c r="AI622" s="450"/>
      <c r="AJ622" s="449"/>
      <c r="AK622" s="451"/>
      <c r="AL622" s="450"/>
      <c r="AM622" s="449"/>
      <c r="AN622" s="451"/>
      <c r="AO622" s="450"/>
      <c r="AP622" s="449"/>
      <c r="AQ622" s="451"/>
      <c r="AR622" s="449"/>
      <c r="AS622" s="449"/>
      <c r="AT622" s="451"/>
      <c r="AU622" s="449"/>
      <c r="AV622" s="451"/>
      <c r="AW622" s="449"/>
      <c r="AX622" s="449"/>
      <c r="AY622" s="449"/>
      <c r="AZ622" s="449"/>
      <c r="BA622" s="449"/>
      <c r="BB622" s="449"/>
      <c r="BC622" s="449"/>
      <c r="BD622" s="449"/>
      <c r="BE622" s="449"/>
      <c r="BF622" s="449"/>
      <c r="BG622" s="449"/>
      <c r="BH622" s="449"/>
      <c r="BI622" s="449"/>
      <c r="BJ622" s="449"/>
      <c r="BK622" s="449"/>
      <c r="BL622" s="449"/>
      <c r="BM622" s="449"/>
      <c r="BN622" s="449"/>
    </row>
    <row r="623" spans="1:66" ht="13.15" x14ac:dyDescent="0.4">
      <c r="A623" s="430"/>
      <c r="B623" s="430"/>
      <c r="C623" s="430"/>
      <c r="D623" s="430"/>
      <c r="E623" s="430"/>
      <c r="F623" s="430"/>
      <c r="G623" s="430"/>
      <c r="H623" s="461"/>
      <c r="I623" s="438"/>
      <c r="J623" s="438"/>
      <c r="K623" s="438"/>
      <c r="L623" s="430"/>
      <c r="M623" s="430"/>
      <c r="N623" s="461"/>
      <c r="O623" s="461"/>
      <c r="P623" s="430"/>
      <c r="Q623" s="430"/>
      <c r="R623" s="430"/>
      <c r="S623" s="430"/>
      <c r="T623" s="430"/>
      <c r="U623" s="430"/>
      <c r="V623" s="430"/>
      <c r="W623" s="430"/>
      <c r="X623" s="449"/>
      <c r="Y623" s="449"/>
      <c r="Z623" s="450"/>
      <c r="AA623" s="449"/>
      <c r="AB623" s="451"/>
      <c r="AC623" s="450"/>
      <c r="AD623" s="449"/>
      <c r="AE623" s="451"/>
      <c r="AF623" s="450"/>
      <c r="AG623" s="449"/>
      <c r="AH623" s="451"/>
      <c r="AI623" s="450"/>
      <c r="AJ623" s="449"/>
      <c r="AK623" s="451"/>
      <c r="AL623" s="450"/>
      <c r="AM623" s="449"/>
      <c r="AN623" s="451"/>
      <c r="AO623" s="450"/>
      <c r="AP623" s="449"/>
      <c r="AQ623" s="451"/>
      <c r="AR623" s="449"/>
      <c r="AS623" s="449"/>
      <c r="AT623" s="451"/>
      <c r="AU623" s="449"/>
      <c r="AV623" s="451"/>
      <c r="AW623" s="449"/>
      <c r="AX623" s="449"/>
      <c r="AY623" s="449"/>
      <c r="AZ623" s="449"/>
      <c r="BA623" s="449"/>
      <c r="BB623" s="449"/>
      <c r="BC623" s="449"/>
      <c r="BD623" s="449"/>
      <c r="BE623" s="449"/>
      <c r="BF623" s="449"/>
      <c r="BG623" s="449"/>
      <c r="BH623" s="449"/>
      <c r="BI623" s="449"/>
      <c r="BJ623" s="449"/>
      <c r="BK623" s="449"/>
      <c r="BL623" s="449"/>
      <c r="BM623" s="449"/>
      <c r="BN623" s="449"/>
    </row>
    <row r="624" spans="1:66" ht="13.15" x14ac:dyDescent="0.4">
      <c r="A624" s="430"/>
      <c r="B624" s="430"/>
      <c r="C624" s="430"/>
      <c r="D624" s="430"/>
      <c r="E624" s="430"/>
      <c r="F624" s="430"/>
      <c r="G624" s="430"/>
      <c r="H624" s="461"/>
      <c r="I624" s="438"/>
      <c r="J624" s="438"/>
      <c r="K624" s="438"/>
      <c r="L624" s="430"/>
      <c r="M624" s="430"/>
      <c r="N624" s="461"/>
      <c r="O624" s="461"/>
      <c r="P624" s="430"/>
      <c r="Q624" s="430"/>
      <c r="R624" s="430"/>
      <c r="S624" s="430"/>
      <c r="T624" s="430"/>
      <c r="U624" s="430"/>
      <c r="V624" s="430"/>
      <c r="W624" s="430"/>
      <c r="X624" s="449"/>
      <c r="Y624" s="449"/>
      <c r="Z624" s="450"/>
      <c r="AA624" s="449"/>
      <c r="AB624" s="451"/>
      <c r="AC624" s="450"/>
      <c r="AD624" s="449"/>
      <c r="AE624" s="451"/>
      <c r="AF624" s="450"/>
      <c r="AG624" s="449"/>
      <c r="AH624" s="451"/>
      <c r="AI624" s="450"/>
      <c r="AJ624" s="449"/>
      <c r="AK624" s="451"/>
      <c r="AL624" s="450"/>
      <c r="AM624" s="449"/>
      <c r="AN624" s="451"/>
      <c r="AO624" s="450"/>
      <c r="AP624" s="449"/>
      <c r="AQ624" s="451"/>
      <c r="AR624" s="449"/>
      <c r="AS624" s="449"/>
      <c r="AT624" s="451"/>
      <c r="AU624" s="449"/>
      <c r="AV624" s="451"/>
      <c r="AW624" s="449"/>
      <c r="AX624" s="449"/>
      <c r="AY624" s="449"/>
      <c r="AZ624" s="449"/>
      <c r="BA624" s="449"/>
      <c r="BB624" s="449"/>
      <c r="BC624" s="449"/>
      <c r="BD624" s="449"/>
      <c r="BE624" s="449"/>
      <c r="BF624" s="449"/>
      <c r="BG624" s="449"/>
      <c r="BH624" s="449"/>
      <c r="BI624" s="449"/>
      <c r="BJ624" s="449"/>
      <c r="BK624" s="449"/>
      <c r="BL624" s="449"/>
      <c r="BM624" s="449"/>
      <c r="BN624" s="449"/>
    </row>
    <row r="625" spans="1:66" ht="13.15" x14ac:dyDescent="0.4">
      <c r="A625" s="430"/>
      <c r="B625" s="430"/>
      <c r="C625" s="430"/>
      <c r="D625" s="430"/>
      <c r="E625" s="430"/>
      <c r="F625" s="430"/>
      <c r="G625" s="430"/>
      <c r="H625" s="461"/>
      <c r="I625" s="438"/>
      <c r="J625" s="438"/>
      <c r="K625" s="438"/>
      <c r="L625" s="430"/>
      <c r="M625" s="430"/>
      <c r="N625" s="461"/>
      <c r="O625" s="461"/>
      <c r="P625" s="430"/>
      <c r="Q625" s="430"/>
      <c r="R625" s="430"/>
      <c r="S625" s="430"/>
      <c r="T625" s="430"/>
      <c r="U625" s="430"/>
      <c r="V625" s="430"/>
      <c r="W625" s="430"/>
      <c r="X625" s="449"/>
      <c r="Y625" s="449"/>
      <c r="Z625" s="450"/>
      <c r="AA625" s="449"/>
      <c r="AB625" s="451"/>
      <c r="AC625" s="450"/>
      <c r="AD625" s="449"/>
      <c r="AE625" s="451"/>
      <c r="AF625" s="450"/>
      <c r="AG625" s="449"/>
      <c r="AH625" s="451"/>
      <c r="AI625" s="450"/>
      <c r="AJ625" s="449"/>
      <c r="AK625" s="451"/>
      <c r="AL625" s="450"/>
      <c r="AM625" s="449"/>
      <c r="AN625" s="451"/>
      <c r="AO625" s="450"/>
      <c r="AP625" s="449"/>
      <c r="AQ625" s="451"/>
      <c r="AR625" s="449"/>
      <c r="AS625" s="449"/>
      <c r="AT625" s="451"/>
      <c r="AU625" s="449"/>
      <c r="AV625" s="451"/>
      <c r="AW625" s="449"/>
      <c r="AX625" s="449"/>
      <c r="AY625" s="449"/>
      <c r="AZ625" s="449"/>
      <c r="BA625" s="449"/>
      <c r="BB625" s="449"/>
      <c r="BC625" s="449"/>
      <c r="BD625" s="449"/>
      <c r="BE625" s="449"/>
      <c r="BF625" s="449"/>
      <c r="BG625" s="449"/>
      <c r="BH625" s="449"/>
      <c r="BI625" s="449"/>
      <c r="BJ625" s="449"/>
      <c r="BK625" s="449"/>
      <c r="BL625" s="449"/>
      <c r="BM625" s="449"/>
      <c r="BN625" s="449"/>
    </row>
    <row r="626" spans="1:66" ht="13.15" x14ac:dyDescent="0.4">
      <c r="A626" s="430"/>
      <c r="B626" s="430"/>
      <c r="C626" s="430"/>
      <c r="D626" s="430"/>
      <c r="E626" s="430"/>
      <c r="F626" s="430"/>
      <c r="G626" s="430"/>
      <c r="H626" s="461"/>
      <c r="I626" s="438"/>
      <c r="J626" s="438"/>
      <c r="K626" s="438"/>
      <c r="L626" s="430"/>
      <c r="M626" s="430"/>
      <c r="N626" s="461"/>
      <c r="O626" s="461"/>
      <c r="P626" s="430"/>
      <c r="Q626" s="430"/>
      <c r="R626" s="430"/>
      <c r="S626" s="430"/>
      <c r="T626" s="430"/>
      <c r="U626" s="430"/>
      <c r="V626" s="430"/>
      <c r="W626" s="430"/>
      <c r="X626" s="449"/>
      <c r="Y626" s="449"/>
      <c r="Z626" s="450"/>
      <c r="AA626" s="449"/>
      <c r="AB626" s="451"/>
      <c r="AC626" s="450"/>
      <c r="AD626" s="449"/>
      <c r="AE626" s="451"/>
      <c r="AF626" s="450"/>
      <c r="AG626" s="449"/>
      <c r="AH626" s="451"/>
      <c r="AI626" s="450"/>
      <c r="AJ626" s="449"/>
      <c r="AK626" s="451"/>
      <c r="AL626" s="450"/>
      <c r="AM626" s="449"/>
      <c r="AN626" s="451"/>
      <c r="AO626" s="450"/>
      <c r="AP626" s="449"/>
      <c r="AQ626" s="451"/>
      <c r="AR626" s="449"/>
      <c r="AS626" s="449"/>
      <c r="AT626" s="451"/>
      <c r="AU626" s="449"/>
      <c r="AV626" s="451"/>
      <c r="AW626" s="449"/>
      <c r="AX626" s="449"/>
      <c r="AY626" s="449"/>
      <c r="AZ626" s="449"/>
      <c r="BA626" s="449"/>
      <c r="BB626" s="449"/>
      <c r="BC626" s="449"/>
      <c r="BD626" s="449"/>
      <c r="BE626" s="449"/>
      <c r="BF626" s="449"/>
      <c r="BG626" s="449"/>
      <c r="BH626" s="449"/>
      <c r="BI626" s="449"/>
      <c r="BJ626" s="449"/>
      <c r="BK626" s="449"/>
      <c r="BL626" s="449"/>
      <c r="BM626" s="449"/>
      <c r="BN626" s="449"/>
    </row>
    <row r="627" spans="1:66" ht="13.15" x14ac:dyDescent="0.4">
      <c r="A627" s="430"/>
      <c r="B627" s="430"/>
      <c r="C627" s="430"/>
      <c r="D627" s="430"/>
      <c r="E627" s="430"/>
      <c r="F627" s="430"/>
      <c r="G627" s="430"/>
      <c r="H627" s="461"/>
      <c r="I627" s="438"/>
      <c r="J627" s="438"/>
      <c r="K627" s="438"/>
      <c r="L627" s="430"/>
      <c r="M627" s="430"/>
      <c r="N627" s="461"/>
      <c r="O627" s="461"/>
      <c r="P627" s="430"/>
      <c r="Q627" s="430"/>
      <c r="R627" s="430"/>
      <c r="S627" s="430"/>
      <c r="T627" s="430"/>
      <c r="U627" s="430"/>
      <c r="V627" s="430"/>
      <c r="W627" s="430"/>
      <c r="X627" s="449"/>
      <c r="Y627" s="449"/>
      <c r="Z627" s="450"/>
      <c r="AA627" s="449"/>
      <c r="AB627" s="451"/>
      <c r="AC627" s="450"/>
      <c r="AD627" s="449"/>
      <c r="AE627" s="451"/>
      <c r="AF627" s="450"/>
      <c r="AG627" s="449"/>
      <c r="AH627" s="451"/>
      <c r="AI627" s="450"/>
      <c r="AJ627" s="449"/>
      <c r="AK627" s="451"/>
      <c r="AL627" s="450"/>
      <c r="AM627" s="449"/>
      <c r="AN627" s="451"/>
      <c r="AO627" s="450"/>
      <c r="AP627" s="449"/>
      <c r="AQ627" s="451"/>
      <c r="AR627" s="449"/>
      <c r="AS627" s="449"/>
      <c r="AT627" s="451"/>
      <c r="AU627" s="449"/>
      <c r="AV627" s="451"/>
      <c r="AW627" s="449"/>
      <c r="AX627" s="449"/>
      <c r="AY627" s="449"/>
      <c r="AZ627" s="449"/>
      <c r="BA627" s="449"/>
      <c r="BB627" s="449"/>
      <c r="BC627" s="449"/>
      <c r="BD627" s="449"/>
      <c r="BE627" s="449"/>
      <c r="BF627" s="449"/>
      <c r="BG627" s="449"/>
      <c r="BH627" s="449"/>
      <c r="BI627" s="449"/>
      <c r="BJ627" s="449"/>
      <c r="BK627" s="449"/>
      <c r="BL627" s="449"/>
      <c r="BM627" s="449"/>
      <c r="BN627" s="449"/>
    </row>
    <row r="628" spans="1:66" ht="13.15" x14ac:dyDescent="0.4">
      <c r="A628" s="430"/>
      <c r="B628" s="430"/>
      <c r="C628" s="430"/>
      <c r="D628" s="430"/>
      <c r="E628" s="430"/>
      <c r="F628" s="430"/>
      <c r="G628" s="430"/>
      <c r="H628" s="461"/>
      <c r="I628" s="438"/>
      <c r="J628" s="438"/>
      <c r="K628" s="438"/>
      <c r="L628" s="430"/>
      <c r="M628" s="430"/>
      <c r="N628" s="461"/>
      <c r="O628" s="461"/>
      <c r="P628" s="430"/>
      <c r="Q628" s="430"/>
      <c r="R628" s="430"/>
      <c r="S628" s="430"/>
      <c r="T628" s="430"/>
      <c r="U628" s="430"/>
      <c r="V628" s="430"/>
      <c r="W628" s="430"/>
      <c r="X628" s="449"/>
      <c r="Y628" s="449"/>
      <c r="Z628" s="450"/>
      <c r="AA628" s="449"/>
      <c r="AB628" s="451"/>
      <c r="AC628" s="450"/>
      <c r="AD628" s="449"/>
      <c r="AE628" s="451"/>
      <c r="AF628" s="450"/>
      <c r="AG628" s="449"/>
      <c r="AH628" s="451"/>
      <c r="AI628" s="450"/>
      <c r="AJ628" s="449"/>
      <c r="AK628" s="451"/>
      <c r="AL628" s="450"/>
      <c r="AM628" s="449"/>
      <c r="AN628" s="451"/>
      <c r="AO628" s="450"/>
      <c r="AP628" s="449"/>
      <c r="AQ628" s="451"/>
      <c r="AR628" s="449"/>
      <c r="AS628" s="449"/>
      <c r="AT628" s="451"/>
      <c r="AU628" s="449"/>
      <c r="AV628" s="451"/>
      <c r="AW628" s="449"/>
      <c r="AX628" s="449"/>
      <c r="AY628" s="449"/>
      <c r="AZ628" s="449"/>
      <c r="BA628" s="449"/>
      <c r="BB628" s="449"/>
      <c r="BC628" s="449"/>
      <c r="BD628" s="449"/>
      <c r="BE628" s="449"/>
      <c r="BF628" s="449"/>
      <c r="BG628" s="449"/>
      <c r="BH628" s="449"/>
      <c r="BI628" s="449"/>
      <c r="BJ628" s="449"/>
      <c r="BK628" s="449"/>
      <c r="BL628" s="449"/>
      <c r="BM628" s="449"/>
      <c r="BN628" s="449"/>
    </row>
    <row r="629" spans="1:66" ht="13.15" x14ac:dyDescent="0.4">
      <c r="A629" s="430"/>
      <c r="B629" s="430"/>
      <c r="C629" s="430"/>
      <c r="D629" s="430"/>
      <c r="E629" s="430"/>
      <c r="F629" s="430"/>
      <c r="G629" s="430"/>
      <c r="H629" s="461"/>
      <c r="I629" s="438"/>
      <c r="J629" s="438"/>
      <c r="K629" s="438"/>
      <c r="L629" s="430"/>
      <c r="M629" s="430"/>
      <c r="N629" s="461"/>
      <c r="O629" s="461"/>
      <c r="P629" s="430"/>
      <c r="Q629" s="430"/>
      <c r="R629" s="430"/>
      <c r="S629" s="430"/>
      <c r="T629" s="430"/>
      <c r="U629" s="430"/>
      <c r="V629" s="430"/>
      <c r="W629" s="430"/>
      <c r="X629" s="449"/>
      <c r="Y629" s="449"/>
      <c r="Z629" s="450"/>
      <c r="AA629" s="449"/>
      <c r="AB629" s="451"/>
      <c r="AC629" s="450"/>
      <c r="AD629" s="449"/>
      <c r="AE629" s="451"/>
      <c r="AF629" s="450"/>
      <c r="AG629" s="449"/>
      <c r="AH629" s="451"/>
      <c r="AI629" s="450"/>
      <c r="AJ629" s="449"/>
      <c r="AK629" s="451"/>
      <c r="AL629" s="450"/>
      <c r="AM629" s="449"/>
      <c r="AN629" s="451"/>
      <c r="AO629" s="450"/>
      <c r="AP629" s="449"/>
      <c r="AQ629" s="451"/>
      <c r="AR629" s="449"/>
      <c r="AS629" s="449"/>
      <c r="AT629" s="451"/>
      <c r="AU629" s="449"/>
      <c r="AV629" s="451"/>
      <c r="AW629" s="449"/>
      <c r="AX629" s="449"/>
      <c r="AY629" s="449"/>
      <c r="AZ629" s="449"/>
      <c r="BA629" s="449"/>
      <c r="BB629" s="449"/>
      <c r="BC629" s="449"/>
      <c r="BD629" s="449"/>
      <c r="BE629" s="449"/>
      <c r="BF629" s="449"/>
      <c r="BG629" s="449"/>
      <c r="BH629" s="449"/>
      <c r="BI629" s="449"/>
      <c r="BJ629" s="449"/>
      <c r="BK629" s="449"/>
      <c r="BL629" s="449"/>
      <c r="BM629" s="449"/>
      <c r="BN629" s="449"/>
    </row>
    <row r="630" spans="1:66" ht="13.15" x14ac:dyDescent="0.4">
      <c r="A630" s="430"/>
      <c r="B630" s="430"/>
      <c r="C630" s="430"/>
      <c r="D630" s="430"/>
      <c r="E630" s="430"/>
      <c r="F630" s="430"/>
      <c r="G630" s="430"/>
      <c r="H630" s="461"/>
      <c r="I630" s="438"/>
      <c r="J630" s="438"/>
      <c r="K630" s="438"/>
      <c r="L630" s="430"/>
      <c r="M630" s="430"/>
      <c r="N630" s="461"/>
      <c r="O630" s="461"/>
      <c r="P630" s="430"/>
      <c r="Q630" s="430"/>
      <c r="R630" s="430"/>
      <c r="S630" s="430"/>
      <c r="T630" s="430"/>
      <c r="U630" s="430"/>
      <c r="V630" s="430"/>
      <c r="W630" s="430"/>
      <c r="X630" s="449"/>
      <c r="Y630" s="449"/>
      <c r="Z630" s="450"/>
      <c r="AA630" s="449"/>
      <c r="AB630" s="451"/>
      <c r="AC630" s="450"/>
      <c r="AD630" s="449"/>
      <c r="AE630" s="451"/>
      <c r="AF630" s="450"/>
      <c r="AG630" s="449"/>
      <c r="AH630" s="451"/>
      <c r="AI630" s="450"/>
      <c r="AJ630" s="449"/>
      <c r="AK630" s="451"/>
      <c r="AL630" s="450"/>
      <c r="AM630" s="449"/>
      <c r="AN630" s="451"/>
      <c r="AO630" s="450"/>
      <c r="AP630" s="449"/>
      <c r="AQ630" s="451"/>
      <c r="AR630" s="449"/>
      <c r="AS630" s="449"/>
      <c r="AT630" s="451"/>
      <c r="AU630" s="449"/>
      <c r="AV630" s="451"/>
      <c r="AW630" s="449"/>
      <c r="AX630" s="449"/>
      <c r="AY630" s="449"/>
      <c r="AZ630" s="449"/>
      <c r="BA630" s="449"/>
      <c r="BB630" s="449"/>
      <c r="BC630" s="449"/>
      <c r="BD630" s="449"/>
      <c r="BE630" s="449"/>
      <c r="BF630" s="449"/>
      <c r="BG630" s="449"/>
      <c r="BH630" s="449"/>
      <c r="BI630" s="449"/>
      <c r="BJ630" s="449"/>
      <c r="BK630" s="449"/>
      <c r="BL630" s="449"/>
      <c r="BM630" s="449"/>
      <c r="BN630" s="449"/>
    </row>
    <row r="631" spans="1:66" ht="13.15" x14ac:dyDescent="0.4">
      <c r="A631" s="430"/>
      <c r="B631" s="430"/>
      <c r="C631" s="430"/>
      <c r="D631" s="430"/>
      <c r="E631" s="430"/>
      <c r="F631" s="430"/>
      <c r="G631" s="430"/>
      <c r="H631" s="461"/>
      <c r="I631" s="438"/>
      <c r="J631" s="438"/>
      <c r="K631" s="438"/>
      <c r="L631" s="430"/>
      <c r="M631" s="430"/>
      <c r="N631" s="461"/>
      <c r="O631" s="461"/>
      <c r="P631" s="430"/>
      <c r="Q631" s="430"/>
      <c r="R631" s="430"/>
      <c r="S631" s="430"/>
      <c r="T631" s="430"/>
      <c r="U631" s="430"/>
      <c r="V631" s="430"/>
      <c r="W631" s="430"/>
      <c r="X631" s="449"/>
      <c r="Y631" s="449"/>
      <c r="Z631" s="450"/>
      <c r="AA631" s="449"/>
      <c r="AB631" s="451"/>
      <c r="AC631" s="450"/>
      <c r="AD631" s="449"/>
      <c r="AE631" s="451"/>
      <c r="AF631" s="450"/>
      <c r="AG631" s="449"/>
      <c r="AH631" s="451"/>
      <c r="AI631" s="450"/>
      <c r="AJ631" s="449"/>
      <c r="AK631" s="451"/>
      <c r="AL631" s="450"/>
      <c r="AM631" s="449"/>
      <c r="AN631" s="451"/>
      <c r="AO631" s="450"/>
      <c r="AP631" s="449"/>
      <c r="AQ631" s="451"/>
      <c r="AR631" s="449"/>
      <c r="AS631" s="449"/>
      <c r="AT631" s="451"/>
      <c r="AU631" s="449"/>
      <c r="AV631" s="451"/>
      <c r="AW631" s="449"/>
      <c r="AX631" s="449"/>
      <c r="AY631" s="449"/>
      <c r="AZ631" s="449"/>
      <c r="BA631" s="449"/>
      <c r="BB631" s="449"/>
      <c r="BC631" s="449"/>
      <c r="BD631" s="449"/>
      <c r="BE631" s="449"/>
      <c r="BF631" s="449"/>
      <c r="BG631" s="449"/>
      <c r="BH631" s="449"/>
      <c r="BI631" s="449"/>
      <c r="BJ631" s="449"/>
      <c r="BK631" s="449"/>
      <c r="BL631" s="449"/>
      <c r="BM631" s="449"/>
      <c r="BN631" s="449"/>
    </row>
    <row r="632" spans="1:66" ht="13.15" x14ac:dyDescent="0.4">
      <c r="A632" s="430"/>
      <c r="B632" s="430"/>
      <c r="C632" s="430"/>
      <c r="D632" s="430"/>
      <c r="E632" s="430"/>
      <c r="F632" s="430"/>
      <c r="G632" s="430"/>
      <c r="H632" s="461"/>
      <c r="I632" s="438"/>
      <c r="J632" s="438"/>
      <c r="K632" s="438"/>
      <c r="L632" s="430"/>
      <c r="M632" s="430"/>
      <c r="N632" s="461"/>
      <c r="O632" s="461"/>
      <c r="P632" s="430"/>
      <c r="Q632" s="430"/>
      <c r="R632" s="430"/>
      <c r="S632" s="430"/>
      <c r="T632" s="430"/>
      <c r="U632" s="430"/>
      <c r="V632" s="430"/>
      <c r="W632" s="430"/>
      <c r="X632" s="449"/>
      <c r="Y632" s="449"/>
      <c r="Z632" s="450"/>
      <c r="AA632" s="449"/>
      <c r="AB632" s="451"/>
      <c r="AC632" s="450"/>
      <c r="AD632" s="449"/>
      <c r="AE632" s="451"/>
      <c r="AF632" s="450"/>
      <c r="AG632" s="449"/>
      <c r="AH632" s="451"/>
      <c r="AI632" s="450"/>
      <c r="AJ632" s="449"/>
      <c r="AK632" s="451"/>
      <c r="AL632" s="450"/>
      <c r="AM632" s="449"/>
      <c r="AN632" s="451"/>
      <c r="AO632" s="450"/>
      <c r="AP632" s="449"/>
      <c r="AQ632" s="451"/>
      <c r="AR632" s="449"/>
      <c r="AS632" s="449"/>
      <c r="AT632" s="451"/>
      <c r="AU632" s="449"/>
      <c r="AV632" s="451"/>
      <c r="AW632" s="449"/>
      <c r="AX632" s="449"/>
      <c r="AY632" s="449"/>
      <c r="AZ632" s="449"/>
      <c r="BA632" s="449"/>
      <c r="BB632" s="449"/>
      <c r="BC632" s="449"/>
      <c r="BD632" s="449"/>
      <c r="BE632" s="449"/>
      <c r="BF632" s="449"/>
      <c r="BG632" s="449"/>
      <c r="BH632" s="449"/>
      <c r="BI632" s="449"/>
      <c r="BJ632" s="449"/>
      <c r="BK632" s="449"/>
      <c r="BL632" s="449"/>
      <c r="BM632" s="449"/>
      <c r="BN632" s="449"/>
    </row>
    <row r="633" spans="1:66" ht="13.15" x14ac:dyDescent="0.4">
      <c r="A633" s="430"/>
      <c r="B633" s="430"/>
      <c r="C633" s="430"/>
      <c r="D633" s="430"/>
      <c r="E633" s="430"/>
      <c r="F633" s="430"/>
      <c r="G633" s="430"/>
      <c r="H633" s="461"/>
      <c r="I633" s="438"/>
      <c r="J633" s="438"/>
      <c r="K633" s="438"/>
      <c r="L633" s="430"/>
      <c r="M633" s="430"/>
      <c r="N633" s="461"/>
      <c r="O633" s="461"/>
      <c r="P633" s="430"/>
      <c r="Q633" s="430"/>
      <c r="R633" s="430"/>
      <c r="S633" s="430"/>
      <c r="T633" s="430"/>
      <c r="U633" s="430"/>
      <c r="V633" s="430"/>
      <c r="W633" s="430"/>
      <c r="X633" s="449"/>
      <c r="Y633" s="449"/>
      <c r="Z633" s="450"/>
      <c r="AA633" s="449"/>
      <c r="AB633" s="451"/>
      <c r="AC633" s="450"/>
      <c r="AD633" s="449"/>
      <c r="AE633" s="451"/>
      <c r="AF633" s="450"/>
      <c r="AG633" s="449"/>
      <c r="AH633" s="451"/>
      <c r="AI633" s="450"/>
      <c r="AJ633" s="449"/>
      <c r="AK633" s="451"/>
      <c r="AL633" s="450"/>
      <c r="AM633" s="449"/>
      <c r="AN633" s="451"/>
      <c r="AO633" s="450"/>
      <c r="AP633" s="449"/>
      <c r="AQ633" s="451"/>
      <c r="AR633" s="449"/>
      <c r="AS633" s="449"/>
      <c r="AT633" s="451"/>
      <c r="AU633" s="449"/>
      <c r="AV633" s="451"/>
      <c r="AW633" s="449"/>
      <c r="AX633" s="449"/>
      <c r="AY633" s="449"/>
      <c r="AZ633" s="449"/>
      <c r="BA633" s="449"/>
      <c r="BB633" s="449"/>
      <c r="BC633" s="449"/>
      <c r="BD633" s="449"/>
      <c r="BE633" s="449"/>
      <c r="BF633" s="449"/>
      <c r="BG633" s="449"/>
      <c r="BH633" s="449"/>
      <c r="BI633" s="449"/>
      <c r="BJ633" s="449"/>
      <c r="BK633" s="449"/>
      <c r="BL633" s="449"/>
      <c r="BM633" s="449"/>
      <c r="BN633" s="449"/>
    </row>
    <row r="634" spans="1:66" ht="13.15" x14ac:dyDescent="0.4">
      <c r="A634" s="430"/>
      <c r="B634" s="430"/>
      <c r="C634" s="430"/>
      <c r="D634" s="430"/>
      <c r="E634" s="430"/>
      <c r="F634" s="430"/>
      <c r="G634" s="430"/>
      <c r="H634" s="461"/>
      <c r="I634" s="438"/>
      <c r="J634" s="438"/>
      <c r="K634" s="438"/>
      <c r="L634" s="430"/>
      <c r="M634" s="430"/>
      <c r="N634" s="461"/>
      <c r="O634" s="461"/>
      <c r="P634" s="430"/>
      <c r="Q634" s="430"/>
      <c r="R634" s="430"/>
      <c r="S634" s="430"/>
      <c r="T634" s="430"/>
      <c r="U634" s="430"/>
      <c r="V634" s="430"/>
      <c r="W634" s="430"/>
      <c r="X634" s="449"/>
      <c r="Y634" s="449"/>
      <c r="Z634" s="450"/>
      <c r="AA634" s="449"/>
      <c r="AB634" s="451"/>
      <c r="AC634" s="450"/>
      <c r="AD634" s="449"/>
      <c r="AE634" s="451"/>
      <c r="AF634" s="450"/>
      <c r="AG634" s="449"/>
      <c r="AH634" s="451"/>
      <c r="AI634" s="450"/>
      <c r="AJ634" s="449"/>
      <c r="AK634" s="451"/>
      <c r="AL634" s="450"/>
      <c r="AM634" s="449"/>
      <c r="AN634" s="451"/>
      <c r="AO634" s="450"/>
      <c r="AP634" s="449"/>
      <c r="AQ634" s="451"/>
      <c r="AR634" s="449"/>
      <c r="AS634" s="449"/>
      <c r="AT634" s="451"/>
      <c r="AU634" s="449"/>
      <c r="AV634" s="451"/>
      <c r="AW634" s="449"/>
      <c r="AX634" s="449"/>
      <c r="AY634" s="449"/>
      <c r="AZ634" s="449"/>
      <c r="BA634" s="449"/>
      <c r="BB634" s="449"/>
      <c r="BC634" s="449"/>
      <c r="BD634" s="449"/>
      <c r="BE634" s="449"/>
      <c r="BF634" s="449"/>
      <c r="BG634" s="449"/>
      <c r="BH634" s="449"/>
      <c r="BI634" s="449"/>
      <c r="BJ634" s="449"/>
      <c r="BK634" s="449"/>
      <c r="BL634" s="449"/>
      <c r="BM634" s="449"/>
      <c r="BN634" s="449"/>
    </row>
    <row r="635" spans="1:66" ht="13.15" x14ac:dyDescent="0.4">
      <c r="A635" s="430"/>
      <c r="B635" s="430"/>
      <c r="C635" s="430"/>
      <c r="D635" s="430"/>
      <c r="E635" s="430"/>
      <c r="F635" s="430"/>
      <c r="G635" s="430"/>
      <c r="H635" s="461"/>
      <c r="I635" s="438"/>
      <c r="J635" s="438"/>
      <c r="K635" s="438"/>
      <c r="L635" s="430"/>
      <c r="M635" s="430"/>
      <c r="N635" s="461"/>
      <c r="O635" s="461"/>
      <c r="P635" s="430"/>
      <c r="Q635" s="430"/>
      <c r="R635" s="430"/>
      <c r="S635" s="430"/>
      <c r="T635" s="430"/>
      <c r="U635" s="430"/>
      <c r="V635" s="430"/>
      <c r="W635" s="430"/>
      <c r="X635" s="449"/>
      <c r="Y635" s="449"/>
      <c r="Z635" s="450"/>
      <c r="AA635" s="449"/>
      <c r="AB635" s="451"/>
      <c r="AC635" s="450"/>
      <c r="AD635" s="449"/>
      <c r="AE635" s="451"/>
      <c r="AF635" s="450"/>
      <c r="AG635" s="449"/>
      <c r="AH635" s="451"/>
      <c r="AI635" s="450"/>
      <c r="AJ635" s="449"/>
      <c r="AK635" s="451"/>
      <c r="AL635" s="450"/>
      <c r="AM635" s="449"/>
      <c r="AN635" s="451"/>
      <c r="AO635" s="450"/>
      <c r="AP635" s="449"/>
      <c r="AQ635" s="451"/>
      <c r="AR635" s="449"/>
      <c r="AS635" s="449"/>
      <c r="AT635" s="451"/>
      <c r="AU635" s="449"/>
      <c r="AV635" s="451"/>
      <c r="AW635" s="449"/>
      <c r="AX635" s="449"/>
      <c r="AY635" s="449"/>
      <c r="AZ635" s="449"/>
      <c r="BA635" s="449"/>
      <c r="BB635" s="449"/>
      <c r="BC635" s="449"/>
      <c r="BD635" s="449"/>
      <c r="BE635" s="449"/>
      <c r="BF635" s="449"/>
      <c r="BG635" s="449"/>
      <c r="BH635" s="449"/>
      <c r="BI635" s="449"/>
      <c r="BJ635" s="449"/>
      <c r="BK635" s="449"/>
      <c r="BL635" s="449"/>
      <c r="BM635" s="449"/>
      <c r="BN635" s="449"/>
    </row>
    <row r="636" spans="1:66" ht="13.15" x14ac:dyDescent="0.4">
      <c r="A636" s="430"/>
      <c r="B636" s="430"/>
      <c r="C636" s="430"/>
      <c r="D636" s="430"/>
      <c r="E636" s="430"/>
      <c r="F636" s="430"/>
      <c r="G636" s="430"/>
      <c r="H636" s="461"/>
      <c r="I636" s="438"/>
      <c r="J636" s="438"/>
      <c r="K636" s="438"/>
      <c r="L636" s="430"/>
      <c r="M636" s="430"/>
      <c r="N636" s="461"/>
      <c r="O636" s="461"/>
      <c r="P636" s="430"/>
      <c r="Q636" s="430"/>
      <c r="R636" s="430"/>
      <c r="S636" s="430"/>
      <c r="T636" s="430"/>
      <c r="U636" s="430"/>
      <c r="V636" s="430"/>
      <c r="W636" s="430"/>
      <c r="X636" s="449"/>
      <c r="Y636" s="449"/>
      <c r="Z636" s="450"/>
      <c r="AA636" s="449"/>
      <c r="AB636" s="451"/>
      <c r="AC636" s="450"/>
      <c r="AD636" s="449"/>
      <c r="AE636" s="451"/>
      <c r="AF636" s="450"/>
      <c r="AG636" s="449"/>
      <c r="AH636" s="451"/>
      <c r="AI636" s="450"/>
      <c r="AJ636" s="449"/>
      <c r="AK636" s="451"/>
      <c r="AL636" s="450"/>
      <c r="AM636" s="449"/>
      <c r="AN636" s="451"/>
      <c r="AO636" s="450"/>
      <c r="AP636" s="449"/>
      <c r="AQ636" s="451"/>
      <c r="AR636" s="449"/>
      <c r="AS636" s="449"/>
      <c r="AT636" s="451"/>
      <c r="AU636" s="449"/>
      <c r="AV636" s="451"/>
      <c r="AW636" s="449"/>
      <c r="AX636" s="449"/>
      <c r="AY636" s="449"/>
      <c r="AZ636" s="449"/>
      <c r="BA636" s="449"/>
      <c r="BB636" s="449"/>
      <c r="BC636" s="449"/>
      <c r="BD636" s="449"/>
      <c r="BE636" s="449"/>
      <c r="BF636" s="449"/>
      <c r="BG636" s="449"/>
      <c r="BH636" s="449"/>
      <c r="BI636" s="449"/>
      <c r="BJ636" s="449"/>
      <c r="BK636" s="449"/>
      <c r="BL636" s="449"/>
      <c r="BM636" s="449"/>
      <c r="BN636" s="449"/>
    </row>
    <row r="637" spans="1:66" ht="13.15" x14ac:dyDescent="0.4">
      <c r="A637" s="430"/>
      <c r="B637" s="430"/>
      <c r="C637" s="430"/>
      <c r="D637" s="430"/>
      <c r="E637" s="430"/>
      <c r="F637" s="430"/>
      <c r="G637" s="430"/>
      <c r="H637" s="461"/>
      <c r="I637" s="438"/>
      <c r="J637" s="438"/>
      <c r="K637" s="438"/>
      <c r="L637" s="430"/>
      <c r="M637" s="430"/>
      <c r="N637" s="461"/>
      <c r="O637" s="461"/>
      <c r="P637" s="430"/>
      <c r="Q637" s="430"/>
      <c r="R637" s="430"/>
      <c r="S637" s="430"/>
      <c r="T637" s="430"/>
      <c r="U637" s="430"/>
      <c r="V637" s="430"/>
      <c r="W637" s="430"/>
      <c r="X637" s="449"/>
      <c r="Y637" s="449"/>
      <c r="Z637" s="450"/>
      <c r="AA637" s="449"/>
      <c r="AB637" s="451"/>
      <c r="AC637" s="450"/>
      <c r="AD637" s="449"/>
      <c r="AE637" s="451"/>
      <c r="AF637" s="450"/>
      <c r="AG637" s="449"/>
      <c r="AH637" s="451"/>
      <c r="AI637" s="450"/>
      <c r="AJ637" s="449"/>
      <c r="AK637" s="451"/>
      <c r="AL637" s="450"/>
      <c r="AM637" s="449"/>
      <c r="AN637" s="451"/>
      <c r="AO637" s="450"/>
      <c r="AP637" s="449"/>
      <c r="AQ637" s="451"/>
      <c r="AR637" s="449"/>
      <c r="AS637" s="449"/>
      <c r="AT637" s="451"/>
      <c r="AU637" s="449"/>
      <c r="AV637" s="451"/>
      <c r="AW637" s="449"/>
      <c r="AX637" s="449"/>
      <c r="AY637" s="449"/>
      <c r="AZ637" s="449"/>
      <c r="BA637" s="449"/>
      <c r="BB637" s="449"/>
      <c r="BC637" s="449"/>
      <c r="BD637" s="449"/>
      <c r="BE637" s="449"/>
      <c r="BF637" s="449"/>
      <c r="BG637" s="449"/>
      <c r="BH637" s="449"/>
      <c r="BI637" s="449"/>
      <c r="BJ637" s="449"/>
      <c r="BK637" s="449"/>
      <c r="BL637" s="449"/>
      <c r="BM637" s="449"/>
      <c r="BN637" s="449"/>
    </row>
    <row r="638" spans="1:66" ht="13.15" x14ac:dyDescent="0.4">
      <c r="A638" s="430"/>
      <c r="B638" s="430"/>
      <c r="C638" s="430"/>
      <c r="D638" s="430"/>
      <c r="E638" s="430"/>
      <c r="F638" s="430"/>
      <c r="G638" s="430"/>
      <c r="H638" s="461"/>
      <c r="I638" s="438"/>
      <c r="J638" s="438"/>
      <c r="K638" s="438"/>
      <c r="L638" s="430"/>
      <c r="M638" s="430"/>
      <c r="N638" s="461"/>
      <c r="O638" s="461"/>
      <c r="P638" s="430"/>
      <c r="Q638" s="430"/>
      <c r="R638" s="430"/>
      <c r="S638" s="430"/>
      <c r="T638" s="430"/>
      <c r="U638" s="430"/>
      <c r="V638" s="430"/>
      <c r="W638" s="430"/>
      <c r="X638" s="449"/>
      <c r="Y638" s="449"/>
      <c r="Z638" s="450"/>
      <c r="AA638" s="449"/>
      <c r="AB638" s="451"/>
      <c r="AC638" s="450"/>
      <c r="AD638" s="449"/>
      <c r="AE638" s="451"/>
      <c r="AF638" s="450"/>
      <c r="AG638" s="449"/>
      <c r="AH638" s="451"/>
      <c r="AI638" s="450"/>
      <c r="AJ638" s="449"/>
      <c r="AK638" s="451"/>
      <c r="AL638" s="450"/>
      <c r="AM638" s="449"/>
      <c r="AN638" s="451"/>
      <c r="AO638" s="450"/>
      <c r="AP638" s="449"/>
      <c r="AQ638" s="451"/>
      <c r="AR638" s="449"/>
      <c r="AS638" s="449"/>
      <c r="AT638" s="451"/>
      <c r="AU638" s="449"/>
      <c r="AV638" s="451"/>
      <c r="AW638" s="449"/>
      <c r="AX638" s="449"/>
      <c r="AY638" s="449"/>
      <c r="AZ638" s="449"/>
      <c r="BA638" s="449"/>
      <c r="BB638" s="449"/>
      <c r="BC638" s="449"/>
      <c r="BD638" s="449"/>
      <c r="BE638" s="449"/>
      <c r="BF638" s="449"/>
      <c r="BG638" s="449"/>
      <c r="BH638" s="449"/>
      <c r="BI638" s="449"/>
      <c r="BJ638" s="449"/>
      <c r="BK638" s="449"/>
      <c r="BL638" s="449"/>
      <c r="BM638" s="449"/>
      <c r="BN638" s="449"/>
    </row>
    <row r="639" spans="1:66" ht="13.15" x14ac:dyDescent="0.4">
      <c r="A639" s="430"/>
      <c r="B639" s="430"/>
      <c r="C639" s="430"/>
      <c r="D639" s="430"/>
      <c r="E639" s="430"/>
      <c r="F639" s="430"/>
      <c r="G639" s="430"/>
      <c r="H639" s="461"/>
      <c r="I639" s="438"/>
      <c r="J639" s="438"/>
      <c r="K639" s="438"/>
      <c r="L639" s="430"/>
      <c r="M639" s="430"/>
      <c r="N639" s="461"/>
      <c r="O639" s="461"/>
      <c r="P639" s="430"/>
      <c r="Q639" s="430"/>
      <c r="R639" s="430"/>
      <c r="S639" s="430"/>
      <c r="T639" s="430"/>
      <c r="U639" s="430"/>
      <c r="V639" s="430"/>
      <c r="W639" s="430"/>
      <c r="X639" s="449"/>
      <c r="Y639" s="449"/>
      <c r="Z639" s="450"/>
      <c r="AA639" s="449"/>
      <c r="AB639" s="451"/>
      <c r="AC639" s="450"/>
      <c r="AD639" s="449"/>
      <c r="AE639" s="451"/>
      <c r="AF639" s="450"/>
      <c r="AG639" s="449"/>
      <c r="AH639" s="451"/>
      <c r="AI639" s="450"/>
      <c r="AJ639" s="449"/>
      <c r="AK639" s="451"/>
      <c r="AL639" s="450"/>
      <c r="AM639" s="449"/>
      <c r="AN639" s="451"/>
      <c r="AO639" s="450"/>
      <c r="AP639" s="449"/>
      <c r="AQ639" s="451"/>
      <c r="AR639" s="449"/>
      <c r="AS639" s="449"/>
      <c r="AT639" s="451"/>
      <c r="AU639" s="449"/>
      <c r="AV639" s="451"/>
      <c r="AW639" s="449"/>
      <c r="AX639" s="449"/>
      <c r="AY639" s="449"/>
      <c r="AZ639" s="449"/>
      <c r="BA639" s="449"/>
      <c r="BB639" s="449"/>
      <c r="BC639" s="449"/>
      <c r="BD639" s="449"/>
      <c r="BE639" s="449"/>
      <c r="BF639" s="449"/>
      <c r="BG639" s="449"/>
      <c r="BH639" s="449"/>
      <c r="BI639" s="449"/>
      <c r="BJ639" s="449"/>
      <c r="BK639" s="449"/>
      <c r="BL639" s="449"/>
      <c r="BM639" s="449"/>
      <c r="BN639" s="449"/>
    </row>
    <row r="640" spans="1:66" ht="13.15" x14ac:dyDescent="0.4">
      <c r="A640" s="430"/>
      <c r="B640" s="430"/>
      <c r="C640" s="430"/>
      <c r="D640" s="430"/>
      <c r="E640" s="430"/>
      <c r="F640" s="430"/>
      <c r="G640" s="430"/>
      <c r="H640" s="461"/>
      <c r="I640" s="438"/>
      <c r="J640" s="438"/>
      <c r="K640" s="438"/>
      <c r="L640" s="430"/>
      <c r="M640" s="430"/>
      <c r="N640" s="461"/>
      <c r="O640" s="461"/>
      <c r="P640" s="430"/>
      <c r="Q640" s="430"/>
      <c r="R640" s="430"/>
      <c r="S640" s="430"/>
      <c r="T640" s="430"/>
      <c r="U640" s="430"/>
      <c r="V640" s="430"/>
      <c r="W640" s="430"/>
      <c r="X640" s="449"/>
      <c r="Y640" s="449"/>
      <c r="Z640" s="450"/>
      <c r="AA640" s="449"/>
      <c r="AB640" s="451"/>
      <c r="AC640" s="450"/>
      <c r="AD640" s="449"/>
      <c r="AE640" s="451"/>
      <c r="AF640" s="450"/>
      <c r="AG640" s="449"/>
      <c r="AH640" s="451"/>
      <c r="AI640" s="450"/>
      <c r="AJ640" s="449"/>
      <c r="AK640" s="451"/>
      <c r="AL640" s="450"/>
      <c r="AM640" s="449"/>
      <c r="AN640" s="451"/>
      <c r="AO640" s="450"/>
      <c r="AP640" s="449"/>
      <c r="AQ640" s="451"/>
      <c r="AR640" s="449"/>
      <c r="AS640" s="449"/>
      <c r="AT640" s="451"/>
      <c r="AU640" s="449"/>
      <c r="AV640" s="451"/>
      <c r="AW640" s="449"/>
      <c r="AX640" s="449"/>
      <c r="AY640" s="449"/>
      <c r="AZ640" s="449"/>
      <c r="BA640" s="449"/>
      <c r="BB640" s="449"/>
      <c r="BC640" s="449"/>
      <c r="BD640" s="449"/>
      <c r="BE640" s="449"/>
      <c r="BF640" s="449"/>
      <c r="BG640" s="449"/>
      <c r="BH640" s="449"/>
      <c r="BI640" s="449"/>
      <c r="BJ640" s="449"/>
      <c r="BK640" s="449"/>
      <c r="BL640" s="449"/>
      <c r="BM640" s="449"/>
      <c r="BN640" s="449"/>
    </row>
    <row r="641" spans="1:66" ht="13.15" x14ac:dyDescent="0.4">
      <c r="A641" s="430"/>
      <c r="B641" s="430"/>
      <c r="C641" s="430"/>
      <c r="D641" s="430"/>
      <c r="E641" s="430"/>
      <c r="F641" s="430"/>
      <c r="G641" s="430"/>
      <c r="H641" s="461"/>
      <c r="I641" s="438"/>
      <c r="J641" s="438"/>
      <c r="K641" s="438"/>
      <c r="L641" s="430"/>
      <c r="M641" s="430"/>
      <c r="N641" s="461"/>
      <c r="O641" s="461"/>
      <c r="P641" s="430"/>
      <c r="Q641" s="430"/>
      <c r="R641" s="430"/>
      <c r="S641" s="430"/>
      <c r="T641" s="430"/>
      <c r="U641" s="430"/>
      <c r="V641" s="430"/>
      <c r="W641" s="430"/>
      <c r="X641" s="449"/>
      <c r="Y641" s="449"/>
      <c r="Z641" s="450"/>
      <c r="AA641" s="449"/>
      <c r="AB641" s="451"/>
      <c r="AC641" s="450"/>
      <c r="AD641" s="449"/>
      <c r="AE641" s="451"/>
      <c r="AF641" s="450"/>
      <c r="AG641" s="449"/>
      <c r="AH641" s="451"/>
      <c r="AI641" s="450"/>
      <c r="AJ641" s="449"/>
      <c r="AK641" s="451"/>
      <c r="AL641" s="450"/>
      <c r="AM641" s="449"/>
      <c r="AN641" s="451"/>
      <c r="AO641" s="450"/>
      <c r="AP641" s="449"/>
      <c r="AQ641" s="451"/>
      <c r="AR641" s="449"/>
      <c r="AS641" s="449"/>
      <c r="AT641" s="451"/>
      <c r="AU641" s="449"/>
      <c r="AV641" s="451"/>
      <c r="AW641" s="449"/>
      <c r="AX641" s="449"/>
      <c r="AY641" s="449"/>
      <c r="AZ641" s="449"/>
      <c r="BA641" s="449"/>
      <c r="BB641" s="449"/>
      <c r="BC641" s="449"/>
      <c r="BD641" s="449"/>
      <c r="BE641" s="449"/>
      <c r="BF641" s="449"/>
      <c r="BG641" s="449"/>
      <c r="BH641" s="449"/>
      <c r="BI641" s="449"/>
      <c r="BJ641" s="449"/>
      <c r="BK641" s="449"/>
      <c r="BL641" s="449"/>
      <c r="BM641" s="449"/>
      <c r="BN641" s="449"/>
    </row>
    <row r="642" spans="1:66" ht="13.15" x14ac:dyDescent="0.4">
      <c r="A642" s="430"/>
      <c r="B642" s="430"/>
      <c r="C642" s="430"/>
      <c r="D642" s="430"/>
      <c r="E642" s="430"/>
      <c r="F642" s="430"/>
      <c r="G642" s="430"/>
      <c r="H642" s="461"/>
      <c r="I642" s="438"/>
      <c r="J642" s="438"/>
      <c r="K642" s="438"/>
      <c r="L642" s="430"/>
      <c r="M642" s="430"/>
      <c r="N642" s="461"/>
      <c r="O642" s="461"/>
      <c r="P642" s="430"/>
      <c r="Q642" s="430"/>
      <c r="R642" s="430"/>
      <c r="S642" s="430"/>
      <c r="T642" s="430"/>
      <c r="U642" s="430"/>
      <c r="V642" s="430"/>
      <c r="W642" s="430"/>
      <c r="X642" s="449"/>
      <c r="Y642" s="449"/>
      <c r="Z642" s="450"/>
      <c r="AA642" s="449"/>
      <c r="AB642" s="451"/>
      <c r="AC642" s="450"/>
      <c r="AD642" s="449"/>
      <c r="AE642" s="451"/>
      <c r="AF642" s="450"/>
      <c r="AG642" s="449"/>
      <c r="AH642" s="451"/>
      <c r="AI642" s="450"/>
      <c r="AJ642" s="449"/>
      <c r="AK642" s="451"/>
      <c r="AL642" s="450"/>
      <c r="AM642" s="449"/>
      <c r="AN642" s="451"/>
      <c r="AO642" s="450"/>
      <c r="AP642" s="449"/>
      <c r="AQ642" s="451"/>
      <c r="AR642" s="449"/>
      <c r="AS642" s="449"/>
      <c r="AT642" s="451"/>
      <c r="AU642" s="449"/>
      <c r="AV642" s="451"/>
      <c r="AW642" s="449"/>
      <c r="AX642" s="449"/>
      <c r="AY642" s="449"/>
      <c r="AZ642" s="449"/>
      <c r="BA642" s="449"/>
      <c r="BB642" s="449"/>
      <c r="BC642" s="449"/>
      <c r="BD642" s="449"/>
      <c r="BE642" s="449"/>
      <c r="BF642" s="449"/>
      <c r="BG642" s="449"/>
      <c r="BH642" s="449"/>
      <c r="BI642" s="449"/>
      <c r="BJ642" s="449"/>
      <c r="BK642" s="449"/>
      <c r="BL642" s="449"/>
      <c r="BM642" s="449"/>
      <c r="BN642" s="449"/>
    </row>
    <row r="643" spans="1:66" ht="13.15" x14ac:dyDescent="0.4">
      <c r="A643" s="430"/>
      <c r="B643" s="430"/>
      <c r="C643" s="430"/>
      <c r="D643" s="430"/>
      <c r="E643" s="430"/>
      <c r="F643" s="430"/>
      <c r="G643" s="430"/>
      <c r="H643" s="461"/>
      <c r="I643" s="438"/>
      <c r="J643" s="438"/>
      <c r="K643" s="438"/>
      <c r="L643" s="430"/>
      <c r="M643" s="430"/>
      <c r="N643" s="461"/>
      <c r="O643" s="461"/>
      <c r="P643" s="430"/>
      <c r="Q643" s="430"/>
      <c r="R643" s="430"/>
      <c r="S643" s="430"/>
      <c r="T643" s="430"/>
      <c r="U643" s="430"/>
      <c r="V643" s="430"/>
      <c r="W643" s="430"/>
      <c r="X643" s="449"/>
      <c r="Y643" s="449"/>
      <c r="Z643" s="450"/>
      <c r="AA643" s="449"/>
      <c r="AB643" s="451"/>
      <c r="AC643" s="450"/>
      <c r="AD643" s="449"/>
      <c r="AE643" s="451"/>
      <c r="AF643" s="450"/>
      <c r="AG643" s="449"/>
      <c r="AH643" s="451"/>
      <c r="AI643" s="450"/>
      <c r="AJ643" s="449"/>
      <c r="AK643" s="451"/>
      <c r="AL643" s="450"/>
      <c r="AM643" s="449"/>
      <c r="AN643" s="451"/>
      <c r="AO643" s="450"/>
      <c r="AP643" s="449"/>
      <c r="AQ643" s="451"/>
      <c r="AR643" s="449"/>
      <c r="AS643" s="449"/>
      <c r="AT643" s="451"/>
      <c r="AU643" s="449"/>
      <c r="AV643" s="451"/>
      <c r="AW643" s="449"/>
      <c r="AX643" s="449"/>
      <c r="AY643" s="449"/>
      <c r="AZ643" s="449"/>
      <c r="BA643" s="449"/>
      <c r="BB643" s="449"/>
      <c r="BC643" s="449"/>
      <c r="BD643" s="449"/>
      <c r="BE643" s="449"/>
      <c r="BF643" s="449"/>
      <c r="BG643" s="449"/>
      <c r="BH643" s="449"/>
      <c r="BI643" s="449"/>
      <c r="BJ643" s="449"/>
      <c r="BK643" s="449"/>
      <c r="BL643" s="449"/>
      <c r="BM643" s="449"/>
      <c r="BN643" s="449"/>
    </row>
    <row r="644" spans="1:66" ht="13.15" x14ac:dyDescent="0.4">
      <c r="A644" s="430"/>
      <c r="B644" s="430"/>
      <c r="C644" s="430"/>
      <c r="D644" s="430"/>
      <c r="E644" s="430"/>
      <c r="F644" s="430"/>
      <c r="G644" s="430"/>
      <c r="H644" s="461"/>
      <c r="I644" s="438"/>
      <c r="J644" s="438"/>
      <c r="K644" s="438"/>
      <c r="L644" s="430"/>
      <c r="M644" s="430"/>
      <c r="N644" s="461"/>
      <c r="O644" s="461"/>
      <c r="P644" s="430"/>
      <c r="Q644" s="430"/>
      <c r="R644" s="430"/>
      <c r="S644" s="430"/>
      <c r="T644" s="430"/>
      <c r="U644" s="430"/>
      <c r="V644" s="430"/>
      <c r="W644" s="430"/>
      <c r="X644" s="449"/>
      <c r="Y644" s="449"/>
      <c r="Z644" s="450"/>
      <c r="AA644" s="449"/>
      <c r="AB644" s="451"/>
      <c r="AC644" s="450"/>
      <c r="AD644" s="449"/>
      <c r="AE644" s="451"/>
      <c r="AF644" s="450"/>
      <c r="AG644" s="449"/>
      <c r="AH644" s="451"/>
      <c r="AI644" s="450"/>
      <c r="AJ644" s="449"/>
      <c r="AK644" s="451"/>
      <c r="AL644" s="450"/>
      <c r="AM644" s="449"/>
      <c r="AN644" s="451"/>
      <c r="AO644" s="450"/>
      <c r="AP644" s="449"/>
      <c r="AQ644" s="451"/>
      <c r="AR644" s="449"/>
      <c r="AS644" s="449"/>
      <c r="AT644" s="451"/>
      <c r="AU644" s="449"/>
      <c r="AV644" s="451"/>
      <c r="AW644" s="449"/>
      <c r="AX644" s="449"/>
      <c r="AY644" s="449"/>
      <c r="AZ644" s="449"/>
      <c r="BA644" s="449"/>
      <c r="BB644" s="449"/>
      <c r="BC644" s="449"/>
      <c r="BD644" s="449"/>
      <c r="BE644" s="449"/>
      <c r="BF644" s="449"/>
      <c r="BG644" s="449"/>
      <c r="BH644" s="449"/>
      <c r="BI644" s="449"/>
      <c r="BJ644" s="449"/>
      <c r="BK644" s="449"/>
      <c r="BL644" s="449"/>
      <c r="BM644" s="449"/>
      <c r="BN644" s="449"/>
    </row>
    <row r="645" spans="1:66" ht="13.15" x14ac:dyDescent="0.4">
      <c r="A645" s="430"/>
      <c r="B645" s="430"/>
      <c r="C645" s="430"/>
      <c r="D645" s="430"/>
      <c r="E645" s="430"/>
      <c r="F645" s="430"/>
      <c r="G645" s="430"/>
      <c r="H645" s="461"/>
      <c r="I645" s="438"/>
      <c r="J645" s="438"/>
      <c r="K645" s="438"/>
      <c r="L645" s="430"/>
      <c r="M645" s="430"/>
      <c r="N645" s="461"/>
      <c r="O645" s="461"/>
      <c r="P645" s="430"/>
      <c r="Q645" s="430"/>
      <c r="R645" s="430"/>
      <c r="S645" s="430"/>
      <c r="T645" s="430"/>
      <c r="U645" s="430"/>
      <c r="V645" s="430"/>
      <c r="W645" s="430"/>
      <c r="X645" s="449"/>
      <c r="Y645" s="449"/>
      <c r="Z645" s="450"/>
      <c r="AA645" s="449"/>
      <c r="AB645" s="451"/>
      <c r="AC645" s="450"/>
      <c r="AD645" s="449"/>
      <c r="AE645" s="451"/>
      <c r="AF645" s="450"/>
      <c r="AG645" s="449"/>
      <c r="AH645" s="451"/>
      <c r="AI645" s="450"/>
      <c r="AJ645" s="449"/>
      <c r="AK645" s="451"/>
      <c r="AL645" s="450"/>
      <c r="AM645" s="449"/>
      <c r="AN645" s="451"/>
      <c r="AO645" s="450"/>
      <c r="AP645" s="449"/>
      <c r="AQ645" s="451"/>
      <c r="AR645" s="449"/>
      <c r="AS645" s="449"/>
      <c r="AT645" s="451"/>
      <c r="AU645" s="449"/>
      <c r="AV645" s="451"/>
      <c r="AW645" s="449"/>
      <c r="AX645" s="449"/>
      <c r="AY645" s="449"/>
      <c r="AZ645" s="449"/>
      <c r="BA645" s="449"/>
      <c r="BB645" s="449"/>
      <c r="BC645" s="449"/>
      <c r="BD645" s="449"/>
      <c r="BE645" s="449"/>
      <c r="BF645" s="449"/>
      <c r="BG645" s="449"/>
      <c r="BH645" s="449"/>
      <c r="BI645" s="449"/>
      <c r="BJ645" s="449"/>
      <c r="BK645" s="449"/>
      <c r="BL645" s="449"/>
      <c r="BM645" s="449"/>
      <c r="BN645" s="449"/>
    </row>
    <row r="646" spans="1:66" ht="13.15" x14ac:dyDescent="0.4">
      <c r="A646" s="430"/>
      <c r="B646" s="430"/>
      <c r="C646" s="430"/>
      <c r="D646" s="430"/>
      <c r="E646" s="430"/>
      <c r="F646" s="430"/>
      <c r="G646" s="430"/>
      <c r="H646" s="461"/>
      <c r="I646" s="438"/>
      <c r="J646" s="438"/>
      <c r="K646" s="438"/>
      <c r="L646" s="430"/>
      <c r="M646" s="430"/>
      <c r="N646" s="461"/>
      <c r="O646" s="461"/>
      <c r="P646" s="430"/>
      <c r="Q646" s="430"/>
      <c r="R646" s="430"/>
      <c r="S646" s="430"/>
      <c r="T646" s="430"/>
      <c r="U646" s="430"/>
      <c r="V646" s="430"/>
      <c r="W646" s="430"/>
      <c r="X646" s="449"/>
      <c r="Y646" s="449"/>
      <c r="Z646" s="450"/>
      <c r="AA646" s="449"/>
      <c r="AB646" s="451"/>
      <c r="AC646" s="450"/>
      <c r="AD646" s="449"/>
      <c r="AE646" s="451"/>
      <c r="AF646" s="450"/>
      <c r="AG646" s="449"/>
      <c r="AH646" s="451"/>
      <c r="AI646" s="450"/>
      <c r="AJ646" s="449"/>
      <c r="AK646" s="451"/>
      <c r="AL646" s="450"/>
      <c r="AM646" s="449"/>
      <c r="AN646" s="451"/>
      <c r="AO646" s="450"/>
      <c r="AP646" s="449"/>
      <c r="AQ646" s="451"/>
      <c r="AR646" s="449"/>
      <c r="AS646" s="449"/>
      <c r="AT646" s="451"/>
      <c r="AU646" s="449"/>
      <c r="AV646" s="451"/>
      <c r="AW646" s="449"/>
      <c r="AX646" s="449"/>
      <c r="AY646" s="449"/>
      <c r="AZ646" s="449"/>
      <c r="BA646" s="449"/>
      <c r="BB646" s="449"/>
      <c r="BC646" s="449"/>
      <c r="BD646" s="449"/>
      <c r="BE646" s="449"/>
      <c r="BF646" s="449"/>
      <c r="BG646" s="449"/>
      <c r="BH646" s="449"/>
      <c r="BI646" s="449"/>
      <c r="BJ646" s="449"/>
      <c r="BK646" s="449"/>
      <c r="BL646" s="449"/>
      <c r="BM646" s="449"/>
      <c r="BN646" s="449"/>
    </row>
    <row r="647" spans="1:66" ht="13.15" x14ac:dyDescent="0.4">
      <c r="A647" s="430"/>
      <c r="B647" s="430"/>
      <c r="C647" s="430"/>
      <c r="D647" s="430"/>
      <c r="E647" s="430"/>
      <c r="F647" s="430"/>
      <c r="G647" s="430"/>
      <c r="H647" s="461"/>
      <c r="I647" s="438"/>
      <c r="J647" s="438"/>
      <c r="K647" s="438"/>
      <c r="L647" s="430"/>
      <c r="M647" s="430"/>
      <c r="N647" s="461"/>
      <c r="O647" s="461"/>
      <c r="P647" s="430"/>
      <c r="Q647" s="430"/>
      <c r="R647" s="430"/>
      <c r="S647" s="430"/>
      <c r="T647" s="430"/>
      <c r="U647" s="430"/>
      <c r="V647" s="430"/>
      <c r="W647" s="430"/>
      <c r="X647" s="449"/>
      <c r="Y647" s="449"/>
      <c r="Z647" s="450"/>
      <c r="AA647" s="449"/>
      <c r="AB647" s="451"/>
      <c r="AC647" s="450"/>
      <c r="AD647" s="449"/>
      <c r="AE647" s="451"/>
      <c r="AF647" s="450"/>
      <c r="AG647" s="449"/>
      <c r="AH647" s="451"/>
      <c r="AI647" s="450"/>
      <c r="AJ647" s="449"/>
      <c r="AK647" s="451"/>
      <c r="AL647" s="450"/>
      <c r="AM647" s="449"/>
      <c r="AN647" s="451"/>
      <c r="AO647" s="450"/>
      <c r="AP647" s="449"/>
      <c r="AQ647" s="451"/>
      <c r="AR647" s="449"/>
      <c r="AS647" s="449"/>
      <c r="AT647" s="451"/>
      <c r="AU647" s="449"/>
      <c r="AV647" s="451"/>
      <c r="AW647" s="449"/>
      <c r="AX647" s="449"/>
      <c r="AY647" s="449"/>
      <c r="AZ647" s="449"/>
      <c r="BA647" s="449"/>
      <c r="BB647" s="449"/>
      <c r="BC647" s="449"/>
      <c r="BD647" s="449"/>
      <c r="BE647" s="449"/>
      <c r="BF647" s="449"/>
      <c r="BG647" s="449"/>
      <c r="BH647" s="449"/>
      <c r="BI647" s="449"/>
      <c r="BJ647" s="449"/>
      <c r="BK647" s="449"/>
      <c r="BL647" s="449"/>
      <c r="BM647" s="449"/>
      <c r="BN647" s="449"/>
    </row>
    <row r="648" spans="1:66" ht="13.15" x14ac:dyDescent="0.4">
      <c r="A648" s="430"/>
      <c r="B648" s="430"/>
      <c r="C648" s="430"/>
      <c r="D648" s="430"/>
      <c r="E648" s="430"/>
      <c r="F648" s="430"/>
      <c r="G648" s="430"/>
      <c r="H648" s="461"/>
      <c r="I648" s="438"/>
      <c r="J648" s="438"/>
      <c r="K648" s="438"/>
      <c r="L648" s="430"/>
      <c r="M648" s="430"/>
      <c r="N648" s="461"/>
      <c r="O648" s="461"/>
      <c r="P648" s="430"/>
      <c r="Q648" s="430"/>
      <c r="R648" s="430"/>
      <c r="S648" s="430"/>
      <c r="T648" s="430"/>
      <c r="U648" s="430"/>
      <c r="V648" s="430"/>
      <c r="W648" s="430"/>
      <c r="X648" s="449"/>
      <c r="Y648" s="449"/>
      <c r="Z648" s="450"/>
      <c r="AA648" s="449"/>
      <c r="AB648" s="451"/>
      <c r="AC648" s="450"/>
      <c r="AD648" s="449"/>
      <c r="AE648" s="451"/>
      <c r="AF648" s="450"/>
      <c r="AG648" s="449"/>
      <c r="AH648" s="451"/>
      <c r="AI648" s="450"/>
      <c r="AJ648" s="449"/>
      <c r="AK648" s="451"/>
      <c r="AL648" s="450"/>
      <c r="AM648" s="449"/>
      <c r="AN648" s="451"/>
      <c r="AO648" s="450"/>
      <c r="AP648" s="449"/>
      <c r="AQ648" s="451"/>
      <c r="AR648" s="449"/>
      <c r="AS648" s="449"/>
      <c r="AT648" s="451"/>
      <c r="AU648" s="449"/>
      <c r="AV648" s="451"/>
      <c r="AW648" s="449"/>
      <c r="AX648" s="449"/>
      <c r="AY648" s="449"/>
      <c r="AZ648" s="449"/>
      <c r="BA648" s="449"/>
      <c r="BB648" s="449"/>
      <c r="BC648" s="449"/>
      <c r="BD648" s="449"/>
      <c r="BE648" s="449"/>
      <c r="BF648" s="449"/>
      <c r="BG648" s="449"/>
      <c r="BH648" s="449"/>
      <c r="BI648" s="449"/>
      <c r="BJ648" s="449"/>
      <c r="BK648" s="449"/>
      <c r="BL648" s="449"/>
      <c r="BM648" s="449"/>
      <c r="BN648" s="449"/>
    </row>
    <row r="649" spans="1:66" ht="13.15" x14ac:dyDescent="0.4">
      <c r="A649" s="430"/>
      <c r="B649" s="430"/>
      <c r="C649" s="430"/>
      <c r="D649" s="430"/>
      <c r="E649" s="430"/>
      <c r="F649" s="430"/>
      <c r="G649" s="430"/>
      <c r="H649" s="461"/>
      <c r="I649" s="438"/>
      <c r="J649" s="438"/>
      <c r="K649" s="438"/>
      <c r="L649" s="430"/>
      <c r="M649" s="430"/>
      <c r="N649" s="461"/>
      <c r="O649" s="461"/>
      <c r="P649" s="430"/>
      <c r="Q649" s="430"/>
      <c r="R649" s="430"/>
      <c r="S649" s="430"/>
      <c r="T649" s="430"/>
      <c r="U649" s="430"/>
      <c r="V649" s="430"/>
      <c r="W649" s="430"/>
      <c r="X649" s="449"/>
      <c r="Y649" s="449"/>
      <c r="Z649" s="450"/>
      <c r="AA649" s="449"/>
      <c r="AB649" s="451"/>
      <c r="AC649" s="450"/>
      <c r="AD649" s="449"/>
      <c r="AE649" s="451"/>
      <c r="AF649" s="450"/>
      <c r="AG649" s="449"/>
      <c r="AH649" s="451"/>
      <c r="AI649" s="450"/>
      <c r="AJ649" s="449"/>
      <c r="AK649" s="451"/>
      <c r="AL649" s="450"/>
      <c r="AM649" s="449"/>
      <c r="AN649" s="451"/>
      <c r="AO649" s="450"/>
      <c r="AP649" s="449"/>
      <c r="AQ649" s="451"/>
      <c r="AR649" s="449"/>
      <c r="AS649" s="449"/>
      <c r="AT649" s="451"/>
      <c r="AU649" s="449"/>
      <c r="AV649" s="451"/>
      <c r="AW649" s="449"/>
      <c r="AX649" s="449"/>
      <c r="AY649" s="449"/>
      <c r="AZ649" s="449"/>
      <c r="BA649" s="449"/>
      <c r="BB649" s="449"/>
      <c r="BC649" s="449"/>
      <c r="BD649" s="449"/>
      <c r="BE649" s="449"/>
      <c r="BF649" s="449"/>
      <c r="BG649" s="449"/>
      <c r="BH649" s="449"/>
      <c r="BI649" s="449"/>
      <c r="BJ649" s="449"/>
      <c r="BK649" s="449"/>
      <c r="BL649" s="449"/>
      <c r="BM649" s="449"/>
      <c r="BN649" s="449"/>
    </row>
    <row r="650" spans="1:66" ht="13.15" x14ac:dyDescent="0.4">
      <c r="A650" s="430"/>
      <c r="B650" s="430"/>
      <c r="C650" s="430"/>
      <c r="D650" s="430"/>
      <c r="E650" s="430"/>
      <c r="F650" s="430"/>
      <c r="G650" s="430"/>
      <c r="H650" s="461"/>
      <c r="I650" s="438"/>
      <c r="J650" s="438"/>
      <c r="K650" s="438"/>
      <c r="L650" s="430"/>
      <c r="M650" s="430"/>
      <c r="N650" s="461"/>
      <c r="O650" s="461"/>
      <c r="P650" s="430"/>
      <c r="Q650" s="430"/>
      <c r="R650" s="430"/>
      <c r="S650" s="430"/>
      <c r="T650" s="430"/>
      <c r="U650" s="430"/>
      <c r="V650" s="430"/>
      <c r="W650" s="430"/>
      <c r="X650" s="449"/>
      <c r="Y650" s="449"/>
      <c r="Z650" s="450"/>
      <c r="AA650" s="449"/>
      <c r="AB650" s="451"/>
      <c r="AC650" s="450"/>
      <c r="AD650" s="449"/>
      <c r="AE650" s="451"/>
      <c r="AF650" s="450"/>
      <c r="AG650" s="449"/>
      <c r="AH650" s="451"/>
      <c r="AI650" s="450"/>
      <c r="AJ650" s="449"/>
      <c r="AK650" s="451"/>
      <c r="AL650" s="450"/>
      <c r="AM650" s="449"/>
      <c r="AN650" s="451"/>
      <c r="AO650" s="450"/>
      <c r="AP650" s="449"/>
      <c r="AQ650" s="451"/>
      <c r="AR650" s="449"/>
      <c r="AS650" s="449"/>
      <c r="AT650" s="451"/>
      <c r="AU650" s="449"/>
      <c r="AV650" s="451"/>
      <c r="AW650" s="449"/>
      <c r="AX650" s="449"/>
      <c r="AY650" s="449"/>
      <c r="AZ650" s="449"/>
      <c r="BA650" s="449"/>
      <c r="BB650" s="449"/>
      <c r="BC650" s="449"/>
      <c r="BD650" s="449"/>
      <c r="BE650" s="449"/>
      <c r="BF650" s="449"/>
      <c r="BG650" s="449"/>
      <c r="BH650" s="449"/>
      <c r="BI650" s="449"/>
      <c r="BJ650" s="449"/>
      <c r="BK650" s="449"/>
      <c r="BL650" s="449"/>
      <c r="BM650" s="449"/>
      <c r="BN650" s="449"/>
    </row>
    <row r="651" spans="1:66" ht="13.15" x14ac:dyDescent="0.4">
      <c r="A651" s="430"/>
      <c r="B651" s="430"/>
      <c r="C651" s="430"/>
      <c r="D651" s="430"/>
      <c r="E651" s="430"/>
      <c r="F651" s="430"/>
      <c r="G651" s="430"/>
      <c r="H651" s="461"/>
      <c r="I651" s="438"/>
      <c r="J651" s="438"/>
      <c r="K651" s="438"/>
      <c r="L651" s="430"/>
      <c r="M651" s="430"/>
      <c r="N651" s="461"/>
      <c r="O651" s="461"/>
      <c r="P651" s="430"/>
      <c r="Q651" s="430"/>
      <c r="R651" s="430"/>
      <c r="S651" s="430"/>
      <c r="T651" s="430"/>
      <c r="U651" s="430"/>
      <c r="V651" s="430"/>
      <c r="W651" s="430"/>
      <c r="X651" s="449"/>
      <c r="Y651" s="449"/>
      <c r="Z651" s="450"/>
      <c r="AA651" s="449"/>
      <c r="AB651" s="451"/>
      <c r="AC651" s="450"/>
      <c r="AD651" s="449"/>
      <c r="AE651" s="451"/>
      <c r="AF651" s="450"/>
      <c r="AG651" s="449"/>
      <c r="AH651" s="451"/>
      <c r="AI651" s="450"/>
      <c r="AJ651" s="449"/>
      <c r="AK651" s="451"/>
      <c r="AL651" s="450"/>
      <c r="AM651" s="449"/>
      <c r="AN651" s="451"/>
      <c r="AO651" s="450"/>
      <c r="AP651" s="449"/>
      <c r="AQ651" s="451"/>
      <c r="AR651" s="449"/>
      <c r="AS651" s="449"/>
      <c r="AT651" s="451"/>
      <c r="AU651" s="449"/>
      <c r="AV651" s="451"/>
      <c r="AW651" s="449"/>
      <c r="AX651" s="449"/>
      <c r="AY651" s="449"/>
      <c r="AZ651" s="449"/>
      <c r="BA651" s="449"/>
      <c r="BB651" s="449"/>
      <c r="BC651" s="449"/>
      <c r="BD651" s="449"/>
      <c r="BE651" s="449"/>
      <c r="BF651" s="449"/>
      <c r="BG651" s="449"/>
      <c r="BH651" s="449"/>
      <c r="BI651" s="449"/>
      <c r="BJ651" s="449"/>
      <c r="BK651" s="449"/>
      <c r="BL651" s="449"/>
      <c r="BM651" s="449"/>
      <c r="BN651" s="449"/>
    </row>
    <row r="652" spans="1:66" ht="13.15" x14ac:dyDescent="0.4">
      <c r="A652" s="430"/>
      <c r="B652" s="430"/>
      <c r="C652" s="430"/>
      <c r="D652" s="430"/>
      <c r="E652" s="430"/>
      <c r="F652" s="430"/>
      <c r="G652" s="430"/>
      <c r="H652" s="461"/>
      <c r="I652" s="438"/>
      <c r="J652" s="438"/>
      <c r="K652" s="438"/>
      <c r="L652" s="430"/>
      <c r="M652" s="430"/>
      <c r="N652" s="461"/>
      <c r="O652" s="461"/>
      <c r="P652" s="430"/>
      <c r="Q652" s="430"/>
      <c r="R652" s="430"/>
      <c r="S652" s="430"/>
      <c r="T652" s="430"/>
      <c r="U652" s="430"/>
      <c r="V652" s="430"/>
      <c r="W652" s="430"/>
      <c r="X652" s="449"/>
      <c r="Y652" s="449"/>
      <c r="Z652" s="450"/>
      <c r="AA652" s="449"/>
      <c r="AB652" s="451"/>
      <c r="AC652" s="450"/>
      <c r="AD652" s="449"/>
      <c r="AE652" s="451"/>
      <c r="AF652" s="450"/>
      <c r="AG652" s="449"/>
      <c r="AH652" s="451"/>
      <c r="AI652" s="450"/>
      <c r="AJ652" s="449"/>
      <c r="AK652" s="451"/>
      <c r="AL652" s="450"/>
      <c r="AM652" s="449"/>
      <c r="AN652" s="451"/>
      <c r="AO652" s="450"/>
      <c r="AP652" s="449"/>
      <c r="AQ652" s="451"/>
      <c r="AR652" s="449"/>
      <c r="AS652" s="449"/>
      <c r="AT652" s="451"/>
      <c r="AU652" s="449"/>
      <c r="AV652" s="451"/>
      <c r="AW652" s="449"/>
      <c r="AX652" s="449"/>
      <c r="AY652" s="449"/>
      <c r="AZ652" s="449"/>
      <c r="BA652" s="449"/>
      <c r="BB652" s="449"/>
      <c r="BC652" s="449"/>
      <c r="BD652" s="449"/>
      <c r="BE652" s="449"/>
      <c r="BF652" s="449"/>
      <c r="BG652" s="449"/>
      <c r="BH652" s="449"/>
      <c r="BI652" s="449"/>
      <c r="BJ652" s="449"/>
      <c r="BK652" s="449"/>
      <c r="BL652" s="449"/>
      <c r="BM652" s="449"/>
      <c r="BN652" s="449"/>
    </row>
    <row r="653" spans="1:66" ht="13.15" x14ac:dyDescent="0.4">
      <c r="A653" s="430"/>
      <c r="B653" s="430"/>
      <c r="C653" s="430"/>
      <c r="D653" s="430"/>
      <c r="E653" s="430"/>
      <c r="F653" s="430"/>
      <c r="G653" s="430"/>
      <c r="H653" s="461"/>
      <c r="I653" s="438"/>
      <c r="J653" s="438"/>
      <c r="K653" s="438"/>
      <c r="L653" s="430"/>
      <c r="M653" s="430"/>
      <c r="N653" s="461"/>
      <c r="O653" s="461"/>
      <c r="P653" s="430"/>
      <c r="Q653" s="430"/>
      <c r="R653" s="430"/>
      <c r="S653" s="430"/>
      <c r="T653" s="430"/>
      <c r="U653" s="430"/>
      <c r="V653" s="430"/>
      <c r="W653" s="430"/>
      <c r="X653" s="449"/>
      <c r="Y653" s="449"/>
      <c r="Z653" s="450"/>
      <c r="AA653" s="449"/>
      <c r="AB653" s="451"/>
      <c r="AC653" s="450"/>
      <c r="AD653" s="449"/>
      <c r="AE653" s="451"/>
      <c r="AF653" s="450"/>
      <c r="AG653" s="449"/>
      <c r="AH653" s="451"/>
      <c r="AI653" s="450"/>
      <c r="AJ653" s="449"/>
      <c r="AK653" s="451"/>
      <c r="AL653" s="450"/>
      <c r="AM653" s="449"/>
      <c r="AN653" s="451"/>
      <c r="AO653" s="450"/>
      <c r="AP653" s="449"/>
      <c r="AQ653" s="451"/>
      <c r="AR653" s="449"/>
      <c r="AS653" s="449"/>
      <c r="AT653" s="451"/>
      <c r="AU653" s="449"/>
      <c r="AV653" s="451"/>
      <c r="AW653" s="449"/>
      <c r="AX653" s="449"/>
      <c r="AY653" s="449"/>
      <c r="AZ653" s="449"/>
      <c r="BA653" s="449"/>
      <c r="BB653" s="449"/>
      <c r="BC653" s="449"/>
      <c r="BD653" s="449"/>
      <c r="BE653" s="449"/>
      <c r="BF653" s="449"/>
      <c r="BG653" s="449"/>
      <c r="BH653" s="449"/>
      <c r="BI653" s="449"/>
      <c r="BJ653" s="449"/>
      <c r="BK653" s="449"/>
      <c r="BL653" s="449"/>
      <c r="BM653" s="449"/>
      <c r="BN653" s="449"/>
    </row>
    <row r="654" spans="1:66" ht="13.15" x14ac:dyDescent="0.4">
      <c r="A654" s="430"/>
      <c r="B654" s="430"/>
      <c r="C654" s="430"/>
      <c r="D654" s="430"/>
      <c r="E654" s="430"/>
      <c r="F654" s="430"/>
      <c r="G654" s="430"/>
      <c r="H654" s="461"/>
      <c r="I654" s="438"/>
      <c r="J654" s="438"/>
      <c r="K654" s="438"/>
      <c r="L654" s="430"/>
      <c r="M654" s="430"/>
      <c r="N654" s="461"/>
      <c r="O654" s="461"/>
      <c r="P654" s="430"/>
      <c r="Q654" s="430"/>
      <c r="R654" s="430"/>
      <c r="S654" s="430"/>
      <c r="T654" s="430"/>
      <c r="U654" s="430"/>
      <c r="V654" s="430"/>
      <c r="W654" s="430"/>
      <c r="X654" s="449"/>
      <c r="Y654" s="449"/>
      <c r="Z654" s="450"/>
      <c r="AA654" s="449"/>
      <c r="AB654" s="451"/>
      <c r="AC654" s="450"/>
      <c r="AD654" s="449"/>
      <c r="AE654" s="451"/>
      <c r="AF654" s="450"/>
      <c r="AG654" s="449"/>
      <c r="AH654" s="451"/>
      <c r="AI654" s="450"/>
      <c r="AJ654" s="449"/>
      <c r="AK654" s="451"/>
      <c r="AL654" s="450"/>
      <c r="AM654" s="449"/>
      <c r="AN654" s="451"/>
      <c r="AO654" s="450"/>
      <c r="AP654" s="449"/>
      <c r="AQ654" s="451"/>
      <c r="AR654" s="449"/>
      <c r="AS654" s="449"/>
      <c r="AT654" s="451"/>
      <c r="AU654" s="449"/>
      <c r="AV654" s="451"/>
      <c r="AW654" s="449"/>
      <c r="AX654" s="449"/>
      <c r="AY654" s="449"/>
      <c r="AZ654" s="449"/>
      <c r="BA654" s="449"/>
      <c r="BB654" s="449"/>
      <c r="BC654" s="449"/>
      <c r="BD654" s="449"/>
      <c r="BE654" s="449"/>
      <c r="BF654" s="449"/>
      <c r="BG654" s="449"/>
      <c r="BH654" s="449"/>
      <c r="BI654" s="449"/>
      <c r="BJ654" s="449"/>
      <c r="BK654" s="449"/>
      <c r="BL654" s="449"/>
      <c r="BM654" s="449"/>
      <c r="BN654" s="449"/>
    </row>
    <row r="655" spans="1:66" ht="13.15" x14ac:dyDescent="0.4">
      <c r="A655" s="430"/>
      <c r="B655" s="430"/>
      <c r="C655" s="430"/>
      <c r="D655" s="430"/>
      <c r="E655" s="430"/>
      <c r="F655" s="430"/>
      <c r="G655" s="430"/>
      <c r="H655" s="461"/>
      <c r="I655" s="438"/>
      <c r="J655" s="438"/>
      <c r="K655" s="438"/>
      <c r="L655" s="430"/>
      <c r="M655" s="430"/>
      <c r="N655" s="461"/>
      <c r="O655" s="461"/>
      <c r="P655" s="430"/>
      <c r="Q655" s="430"/>
      <c r="R655" s="430"/>
      <c r="S655" s="430"/>
      <c r="T655" s="430"/>
      <c r="U655" s="430"/>
      <c r="V655" s="430"/>
      <c r="W655" s="430"/>
      <c r="X655" s="449"/>
      <c r="Y655" s="449"/>
      <c r="Z655" s="450"/>
      <c r="AA655" s="449"/>
      <c r="AB655" s="451"/>
      <c r="AC655" s="450"/>
      <c r="AD655" s="449"/>
      <c r="AE655" s="451"/>
      <c r="AF655" s="450"/>
      <c r="AG655" s="449"/>
      <c r="AH655" s="451"/>
      <c r="AI655" s="450"/>
      <c r="AJ655" s="449"/>
      <c r="AK655" s="451"/>
      <c r="AL655" s="450"/>
      <c r="AM655" s="449"/>
      <c r="AN655" s="451"/>
      <c r="AO655" s="450"/>
      <c r="AP655" s="449"/>
      <c r="AQ655" s="451"/>
      <c r="AR655" s="449"/>
      <c r="AS655" s="449"/>
      <c r="AT655" s="451"/>
      <c r="AU655" s="449"/>
      <c r="AV655" s="451"/>
      <c r="AW655" s="449"/>
      <c r="AX655" s="449"/>
      <c r="AY655" s="449"/>
      <c r="AZ655" s="449"/>
      <c r="BA655" s="449"/>
      <c r="BB655" s="449"/>
      <c r="BC655" s="449"/>
      <c r="BD655" s="449"/>
      <c r="BE655" s="449"/>
      <c r="BF655" s="449"/>
      <c r="BG655" s="449"/>
      <c r="BH655" s="449"/>
      <c r="BI655" s="449"/>
      <c r="BJ655" s="449"/>
      <c r="BK655" s="449"/>
      <c r="BL655" s="449"/>
      <c r="BM655" s="449"/>
      <c r="BN655" s="449"/>
    </row>
    <row r="656" spans="1:66" ht="13.15" x14ac:dyDescent="0.4">
      <c r="A656" s="430"/>
      <c r="B656" s="430"/>
      <c r="C656" s="430"/>
      <c r="D656" s="430"/>
      <c r="E656" s="430"/>
      <c r="F656" s="430"/>
      <c r="G656" s="430"/>
      <c r="H656" s="461"/>
      <c r="I656" s="438"/>
      <c r="J656" s="438"/>
      <c r="K656" s="438"/>
      <c r="L656" s="430"/>
      <c r="M656" s="430"/>
      <c r="N656" s="461"/>
      <c r="O656" s="461"/>
      <c r="P656" s="430"/>
      <c r="Q656" s="430"/>
      <c r="R656" s="430"/>
      <c r="S656" s="430"/>
      <c r="T656" s="430"/>
      <c r="U656" s="430"/>
      <c r="V656" s="430"/>
      <c r="W656" s="430"/>
      <c r="X656" s="449"/>
      <c r="Y656" s="449"/>
      <c r="Z656" s="450"/>
      <c r="AA656" s="449"/>
      <c r="AB656" s="451"/>
      <c r="AC656" s="450"/>
      <c r="AD656" s="449"/>
      <c r="AE656" s="451"/>
      <c r="AF656" s="450"/>
      <c r="AG656" s="449"/>
      <c r="AH656" s="451"/>
      <c r="AI656" s="450"/>
      <c r="AJ656" s="449"/>
      <c r="AK656" s="451"/>
      <c r="AL656" s="450"/>
      <c r="AM656" s="449"/>
      <c r="AN656" s="451"/>
      <c r="AO656" s="450"/>
      <c r="AP656" s="449"/>
      <c r="AQ656" s="451"/>
      <c r="AR656" s="449"/>
      <c r="AS656" s="449"/>
      <c r="AT656" s="451"/>
      <c r="AU656" s="449"/>
      <c r="AV656" s="451"/>
      <c r="AW656" s="449"/>
      <c r="AX656" s="449"/>
      <c r="AY656" s="449"/>
      <c r="AZ656" s="449"/>
      <c r="BA656" s="449"/>
      <c r="BB656" s="449"/>
      <c r="BC656" s="449"/>
      <c r="BD656" s="449"/>
      <c r="BE656" s="449"/>
      <c r="BF656" s="449"/>
      <c r="BG656" s="449"/>
      <c r="BH656" s="449"/>
      <c r="BI656" s="449"/>
      <c r="BJ656" s="449"/>
      <c r="BK656" s="449"/>
      <c r="BL656" s="449"/>
      <c r="BM656" s="449"/>
      <c r="BN656" s="449"/>
    </row>
    <row r="657" spans="1:66" ht="13.15" x14ac:dyDescent="0.4">
      <c r="A657" s="430"/>
      <c r="B657" s="430"/>
      <c r="C657" s="430"/>
      <c r="D657" s="430"/>
      <c r="E657" s="430"/>
      <c r="F657" s="430"/>
      <c r="G657" s="430"/>
      <c r="H657" s="461"/>
      <c r="I657" s="438"/>
      <c r="J657" s="438"/>
      <c r="K657" s="438"/>
      <c r="L657" s="430"/>
      <c r="M657" s="430"/>
      <c r="N657" s="461"/>
      <c r="O657" s="461"/>
      <c r="P657" s="430"/>
      <c r="Q657" s="430"/>
      <c r="R657" s="430"/>
      <c r="S657" s="430"/>
      <c r="T657" s="430"/>
      <c r="U657" s="430"/>
      <c r="V657" s="430"/>
      <c r="W657" s="430"/>
      <c r="X657" s="449"/>
      <c r="Y657" s="449"/>
      <c r="Z657" s="450"/>
      <c r="AA657" s="449"/>
      <c r="AB657" s="451"/>
      <c r="AC657" s="450"/>
      <c r="AD657" s="449"/>
      <c r="AE657" s="451"/>
      <c r="AF657" s="450"/>
      <c r="AG657" s="449"/>
      <c r="AH657" s="451"/>
      <c r="AI657" s="450"/>
      <c r="AJ657" s="449"/>
      <c r="AK657" s="451"/>
      <c r="AL657" s="450"/>
      <c r="AM657" s="449"/>
      <c r="AN657" s="451"/>
      <c r="AO657" s="450"/>
      <c r="AP657" s="449"/>
      <c r="AQ657" s="451"/>
      <c r="AR657" s="449"/>
      <c r="AS657" s="449"/>
      <c r="AT657" s="451"/>
      <c r="AU657" s="449"/>
      <c r="AV657" s="451"/>
      <c r="AW657" s="449"/>
      <c r="AX657" s="449"/>
      <c r="AY657" s="449"/>
      <c r="AZ657" s="449"/>
      <c r="BA657" s="449"/>
      <c r="BB657" s="449"/>
      <c r="BC657" s="449"/>
      <c r="BD657" s="449"/>
      <c r="BE657" s="449"/>
      <c r="BF657" s="449"/>
      <c r="BG657" s="449"/>
      <c r="BH657" s="449"/>
      <c r="BI657" s="449"/>
      <c r="BJ657" s="449"/>
      <c r="BK657" s="449"/>
      <c r="BL657" s="449"/>
      <c r="BM657" s="449"/>
      <c r="BN657" s="449"/>
    </row>
    <row r="658" spans="1:66" ht="13.15" x14ac:dyDescent="0.4">
      <c r="A658" s="430"/>
      <c r="B658" s="430"/>
      <c r="C658" s="430"/>
      <c r="D658" s="430"/>
      <c r="E658" s="430"/>
      <c r="F658" s="430"/>
      <c r="G658" s="430"/>
      <c r="H658" s="461"/>
      <c r="I658" s="438"/>
      <c r="J658" s="438"/>
      <c r="K658" s="438"/>
      <c r="L658" s="430"/>
      <c r="M658" s="430"/>
      <c r="N658" s="461"/>
      <c r="O658" s="461"/>
      <c r="P658" s="430"/>
      <c r="Q658" s="430"/>
      <c r="R658" s="430"/>
      <c r="S658" s="430"/>
      <c r="T658" s="430"/>
      <c r="U658" s="430"/>
      <c r="V658" s="430"/>
      <c r="W658" s="430"/>
      <c r="X658" s="449"/>
      <c r="Y658" s="449"/>
      <c r="Z658" s="450"/>
      <c r="AA658" s="449"/>
      <c r="AB658" s="451"/>
      <c r="AC658" s="450"/>
      <c r="AD658" s="449"/>
      <c r="AE658" s="451"/>
      <c r="AF658" s="450"/>
      <c r="AG658" s="449"/>
      <c r="AH658" s="451"/>
      <c r="AI658" s="450"/>
      <c r="AJ658" s="449"/>
      <c r="AK658" s="451"/>
      <c r="AL658" s="450"/>
      <c r="AM658" s="449"/>
      <c r="AN658" s="451"/>
      <c r="AO658" s="450"/>
      <c r="AP658" s="449"/>
      <c r="AQ658" s="451"/>
      <c r="AR658" s="449"/>
      <c r="AS658" s="449"/>
      <c r="AT658" s="451"/>
      <c r="AU658" s="449"/>
      <c r="AV658" s="451"/>
      <c r="AW658" s="449"/>
      <c r="AX658" s="449"/>
      <c r="AY658" s="449"/>
      <c r="AZ658" s="449"/>
      <c r="BA658" s="449"/>
      <c r="BB658" s="449"/>
      <c r="BC658" s="449"/>
      <c r="BD658" s="449"/>
      <c r="BE658" s="449"/>
      <c r="BF658" s="449"/>
      <c r="BG658" s="449"/>
      <c r="BH658" s="449"/>
      <c r="BI658" s="449"/>
      <c r="BJ658" s="449"/>
      <c r="BK658" s="449"/>
      <c r="BL658" s="449"/>
      <c r="BM658" s="449"/>
      <c r="BN658" s="449"/>
    </row>
    <row r="659" spans="1:66" ht="13.15" x14ac:dyDescent="0.4">
      <c r="A659" s="430"/>
      <c r="B659" s="430"/>
      <c r="C659" s="430"/>
      <c r="D659" s="430"/>
      <c r="E659" s="430"/>
      <c r="F659" s="430"/>
      <c r="G659" s="430"/>
      <c r="H659" s="461"/>
      <c r="I659" s="438"/>
      <c r="J659" s="438"/>
      <c r="K659" s="438"/>
      <c r="L659" s="430"/>
      <c r="M659" s="430"/>
      <c r="N659" s="461"/>
      <c r="O659" s="461"/>
      <c r="P659" s="430"/>
      <c r="Q659" s="430"/>
      <c r="R659" s="430"/>
      <c r="S659" s="430"/>
      <c r="T659" s="430"/>
      <c r="U659" s="430"/>
      <c r="V659" s="430"/>
      <c r="W659" s="430"/>
      <c r="X659" s="449"/>
      <c r="Y659" s="449"/>
      <c r="Z659" s="450"/>
      <c r="AA659" s="449"/>
      <c r="AB659" s="451"/>
      <c r="AC659" s="450"/>
      <c r="AD659" s="449"/>
      <c r="AE659" s="451"/>
      <c r="AF659" s="450"/>
      <c r="AG659" s="449"/>
      <c r="AH659" s="451"/>
      <c r="AI659" s="450"/>
      <c r="AJ659" s="449"/>
      <c r="AK659" s="451"/>
      <c r="AL659" s="450"/>
      <c r="AM659" s="449"/>
      <c r="AN659" s="451"/>
      <c r="AO659" s="450"/>
      <c r="AP659" s="449"/>
      <c r="AQ659" s="451"/>
      <c r="AR659" s="449"/>
      <c r="AS659" s="449"/>
      <c r="AT659" s="451"/>
      <c r="AU659" s="449"/>
      <c r="AV659" s="451"/>
      <c r="AW659" s="449"/>
      <c r="AX659" s="449"/>
      <c r="AY659" s="449"/>
      <c r="AZ659" s="449"/>
      <c r="BA659" s="449"/>
      <c r="BB659" s="449"/>
      <c r="BC659" s="449"/>
      <c r="BD659" s="449"/>
      <c r="BE659" s="449"/>
      <c r="BF659" s="449"/>
      <c r="BG659" s="449"/>
      <c r="BH659" s="449"/>
      <c r="BI659" s="449"/>
      <c r="BJ659" s="449"/>
      <c r="BK659" s="449"/>
      <c r="BL659" s="449"/>
      <c r="BM659" s="449"/>
      <c r="BN659" s="449"/>
    </row>
    <row r="660" spans="1:66" ht="13.15" x14ac:dyDescent="0.4">
      <c r="A660" s="430"/>
      <c r="B660" s="430"/>
      <c r="C660" s="430"/>
      <c r="D660" s="430"/>
      <c r="E660" s="430"/>
      <c r="F660" s="430"/>
      <c r="G660" s="430"/>
      <c r="H660" s="461"/>
      <c r="I660" s="438"/>
      <c r="J660" s="438"/>
      <c r="K660" s="438"/>
      <c r="L660" s="430"/>
      <c r="M660" s="430"/>
      <c r="N660" s="461"/>
      <c r="O660" s="461"/>
      <c r="P660" s="430"/>
      <c r="Q660" s="430"/>
      <c r="R660" s="430"/>
      <c r="S660" s="430"/>
      <c r="T660" s="430"/>
      <c r="U660" s="430"/>
      <c r="V660" s="430"/>
      <c r="W660" s="430"/>
      <c r="X660" s="449"/>
      <c r="Y660" s="449"/>
      <c r="Z660" s="450"/>
      <c r="AA660" s="449"/>
      <c r="AB660" s="451"/>
      <c r="AC660" s="450"/>
      <c r="AD660" s="449"/>
      <c r="AE660" s="451"/>
      <c r="AF660" s="450"/>
      <c r="AG660" s="449"/>
      <c r="AH660" s="451"/>
      <c r="AI660" s="450"/>
      <c r="AJ660" s="449"/>
      <c r="AK660" s="451"/>
      <c r="AL660" s="450"/>
      <c r="AM660" s="449"/>
      <c r="AN660" s="451"/>
      <c r="AO660" s="450"/>
      <c r="AP660" s="449"/>
      <c r="AQ660" s="451"/>
      <c r="AR660" s="449"/>
      <c r="AS660" s="449"/>
      <c r="AT660" s="451"/>
      <c r="AU660" s="449"/>
      <c r="AV660" s="451"/>
      <c r="AW660" s="449"/>
      <c r="AX660" s="449"/>
      <c r="AY660" s="449"/>
      <c r="AZ660" s="449"/>
      <c r="BA660" s="449"/>
      <c r="BB660" s="449"/>
      <c r="BC660" s="449"/>
      <c r="BD660" s="449"/>
      <c r="BE660" s="449"/>
      <c r="BF660" s="449"/>
      <c r="BG660" s="449"/>
      <c r="BH660" s="449"/>
      <c r="BI660" s="449"/>
      <c r="BJ660" s="449"/>
      <c r="BK660" s="449"/>
      <c r="BL660" s="449"/>
      <c r="BM660" s="449"/>
      <c r="BN660" s="449"/>
    </row>
    <row r="661" spans="1:66" ht="13.15" x14ac:dyDescent="0.4">
      <c r="A661" s="430"/>
      <c r="B661" s="430"/>
      <c r="C661" s="430"/>
      <c r="D661" s="430"/>
      <c r="E661" s="430"/>
      <c r="F661" s="430"/>
      <c r="G661" s="430"/>
      <c r="H661" s="461"/>
      <c r="I661" s="438"/>
      <c r="J661" s="438"/>
      <c r="K661" s="438"/>
      <c r="L661" s="430"/>
      <c r="M661" s="430"/>
      <c r="N661" s="461"/>
      <c r="O661" s="461"/>
      <c r="P661" s="430"/>
      <c r="Q661" s="430"/>
      <c r="R661" s="430"/>
      <c r="S661" s="430"/>
      <c r="T661" s="430"/>
      <c r="U661" s="430"/>
      <c r="V661" s="430"/>
      <c r="W661" s="430"/>
      <c r="X661" s="449"/>
      <c r="Y661" s="449"/>
      <c r="Z661" s="450"/>
      <c r="AA661" s="449"/>
      <c r="AB661" s="451"/>
      <c r="AC661" s="450"/>
      <c r="AD661" s="449"/>
      <c r="AE661" s="451"/>
      <c r="AF661" s="450"/>
      <c r="AG661" s="449"/>
      <c r="AH661" s="451"/>
      <c r="AI661" s="450"/>
      <c r="AJ661" s="449"/>
      <c r="AK661" s="451"/>
      <c r="AL661" s="450"/>
      <c r="AM661" s="449"/>
      <c r="AN661" s="451"/>
      <c r="AO661" s="450"/>
      <c r="AP661" s="449"/>
      <c r="AQ661" s="451"/>
      <c r="AR661" s="449"/>
      <c r="AS661" s="449"/>
      <c r="AT661" s="451"/>
      <c r="AU661" s="449"/>
      <c r="AV661" s="451"/>
      <c r="AW661" s="449"/>
      <c r="AX661" s="449"/>
      <c r="AY661" s="449"/>
      <c r="AZ661" s="449"/>
      <c r="BA661" s="449"/>
      <c r="BB661" s="449"/>
      <c r="BC661" s="449"/>
      <c r="BD661" s="449"/>
      <c r="BE661" s="449"/>
      <c r="BF661" s="449"/>
      <c r="BG661" s="449"/>
      <c r="BH661" s="449"/>
      <c r="BI661" s="449"/>
      <c r="BJ661" s="449"/>
      <c r="BK661" s="449"/>
      <c r="BL661" s="449"/>
      <c r="BM661" s="449"/>
      <c r="BN661" s="449"/>
    </row>
    <row r="662" spans="1:66" ht="13.15" x14ac:dyDescent="0.4">
      <c r="A662" s="430"/>
      <c r="B662" s="430"/>
      <c r="C662" s="430"/>
      <c r="D662" s="430"/>
      <c r="E662" s="430"/>
      <c r="F662" s="430"/>
      <c r="G662" s="430"/>
      <c r="H662" s="461"/>
      <c r="I662" s="438"/>
      <c r="J662" s="438"/>
      <c r="K662" s="438"/>
      <c r="L662" s="430"/>
      <c r="M662" s="430"/>
      <c r="N662" s="461"/>
      <c r="O662" s="461"/>
      <c r="P662" s="430"/>
      <c r="Q662" s="430"/>
      <c r="R662" s="430"/>
      <c r="S662" s="430"/>
      <c r="T662" s="430"/>
      <c r="U662" s="430"/>
      <c r="V662" s="430"/>
      <c r="W662" s="430"/>
      <c r="X662" s="449"/>
      <c r="Y662" s="449"/>
      <c r="Z662" s="450"/>
      <c r="AA662" s="449"/>
      <c r="AB662" s="451"/>
      <c r="AC662" s="450"/>
      <c r="AD662" s="449"/>
      <c r="AE662" s="451"/>
      <c r="AF662" s="450"/>
      <c r="AG662" s="449"/>
      <c r="AH662" s="451"/>
      <c r="AI662" s="450"/>
      <c r="AJ662" s="449"/>
      <c r="AK662" s="451"/>
      <c r="AL662" s="450"/>
      <c r="AM662" s="449"/>
      <c r="AN662" s="451"/>
      <c r="AO662" s="450"/>
      <c r="AP662" s="449"/>
      <c r="AQ662" s="451"/>
      <c r="AR662" s="449"/>
      <c r="AS662" s="449"/>
      <c r="AT662" s="451"/>
      <c r="AU662" s="449"/>
      <c r="AV662" s="451"/>
      <c r="AW662" s="449"/>
      <c r="AX662" s="449"/>
      <c r="AY662" s="449"/>
      <c r="AZ662" s="449"/>
      <c r="BA662" s="449"/>
      <c r="BB662" s="449"/>
      <c r="BC662" s="449"/>
      <c r="BD662" s="449"/>
      <c r="BE662" s="449"/>
      <c r="BF662" s="449"/>
      <c r="BG662" s="449"/>
      <c r="BH662" s="449"/>
      <c r="BI662" s="449"/>
      <c r="BJ662" s="449"/>
      <c r="BK662" s="449"/>
      <c r="BL662" s="449"/>
      <c r="BM662" s="449"/>
      <c r="BN662" s="449"/>
    </row>
    <row r="663" spans="1:66" ht="13.15" x14ac:dyDescent="0.4">
      <c r="A663" s="430"/>
      <c r="B663" s="430"/>
      <c r="C663" s="430"/>
      <c r="D663" s="430"/>
      <c r="E663" s="430"/>
      <c r="F663" s="430"/>
      <c r="G663" s="430"/>
      <c r="H663" s="461"/>
      <c r="I663" s="438"/>
      <c r="J663" s="438"/>
      <c r="K663" s="438"/>
      <c r="L663" s="430"/>
      <c r="M663" s="430"/>
      <c r="N663" s="461"/>
      <c r="O663" s="461"/>
      <c r="P663" s="430"/>
      <c r="Q663" s="430"/>
      <c r="R663" s="430"/>
      <c r="S663" s="430"/>
      <c r="T663" s="430"/>
      <c r="U663" s="430"/>
      <c r="V663" s="430"/>
      <c r="W663" s="430"/>
      <c r="X663" s="449"/>
      <c r="Y663" s="449"/>
      <c r="Z663" s="450"/>
      <c r="AA663" s="449"/>
      <c r="AB663" s="451"/>
      <c r="AC663" s="450"/>
      <c r="AD663" s="449"/>
      <c r="AE663" s="451"/>
      <c r="AF663" s="450"/>
      <c r="AG663" s="449"/>
      <c r="AH663" s="451"/>
      <c r="AI663" s="450"/>
      <c r="AJ663" s="449"/>
      <c r="AK663" s="451"/>
      <c r="AL663" s="450"/>
      <c r="AM663" s="449"/>
      <c r="AN663" s="451"/>
      <c r="AO663" s="450"/>
      <c r="AP663" s="449"/>
      <c r="AQ663" s="451"/>
      <c r="AR663" s="449"/>
      <c r="AS663" s="449"/>
      <c r="AT663" s="451"/>
      <c r="AU663" s="449"/>
      <c r="AV663" s="451"/>
      <c r="AW663" s="449"/>
      <c r="AX663" s="449"/>
      <c r="AY663" s="449"/>
      <c r="AZ663" s="449"/>
      <c r="BA663" s="449"/>
      <c r="BB663" s="449"/>
      <c r="BC663" s="449"/>
      <c r="BD663" s="449"/>
      <c r="BE663" s="449"/>
      <c r="BF663" s="449"/>
      <c r="BG663" s="449"/>
      <c r="BH663" s="449"/>
      <c r="BI663" s="449"/>
      <c r="BJ663" s="449"/>
      <c r="BK663" s="449"/>
      <c r="BL663" s="449"/>
      <c r="BM663" s="449"/>
      <c r="BN663" s="449"/>
    </row>
    <row r="664" spans="1:66" ht="13.15" x14ac:dyDescent="0.4">
      <c r="A664" s="430"/>
      <c r="B664" s="430"/>
      <c r="C664" s="430"/>
      <c r="D664" s="430"/>
      <c r="E664" s="430"/>
      <c r="F664" s="430"/>
      <c r="G664" s="430"/>
      <c r="H664" s="461"/>
      <c r="I664" s="438"/>
      <c r="J664" s="438"/>
      <c r="K664" s="438"/>
      <c r="L664" s="430"/>
      <c r="M664" s="430"/>
      <c r="N664" s="461"/>
      <c r="O664" s="461"/>
      <c r="P664" s="430"/>
      <c r="Q664" s="430"/>
      <c r="R664" s="430"/>
      <c r="S664" s="430"/>
      <c r="T664" s="430"/>
      <c r="U664" s="430"/>
      <c r="V664" s="430"/>
      <c r="W664" s="430"/>
      <c r="X664" s="449"/>
      <c r="Y664" s="449"/>
      <c r="Z664" s="450"/>
      <c r="AA664" s="449"/>
      <c r="AB664" s="451"/>
      <c r="AC664" s="450"/>
      <c r="AD664" s="449"/>
      <c r="AE664" s="451"/>
      <c r="AF664" s="450"/>
      <c r="AG664" s="449"/>
      <c r="AH664" s="451"/>
      <c r="AI664" s="450"/>
      <c r="AJ664" s="449"/>
      <c r="AK664" s="451"/>
      <c r="AL664" s="450"/>
      <c r="AM664" s="449"/>
      <c r="AN664" s="451"/>
      <c r="AO664" s="450"/>
      <c r="AP664" s="449"/>
      <c r="AQ664" s="451"/>
      <c r="AR664" s="449"/>
      <c r="AS664" s="449"/>
      <c r="AT664" s="451"/>
      <c r="AU664" s="449"/>
      <c r="AV664" s="451"/>
      <c r="AW664" s="449"/>
      <c r="AX664" s="449"/>
      <c r="AY664" s="449"/>
      <c r="AZ664" s="449"/>
      <c r="BA664" s="449"/>
      <c r="BB664" s="449"/>
      <c r="BC664" s="449"/>
      <c r="BD664" s="449"/>
      <c r="BE664" s="449"/>
      <c r="BF664" s="449"/>
      <c r="BG664" s="449"/>
      <c r="BH664" s="449"/>
      <c r="BI664" s="449"/>
      <c r="BJ664" s="449"/>
      <c r="BK664" s="449"/>
      <c r="BL664" s="449"/>
      <c r="BM664" s="449"/>
      <c r="BN664" s="449"/>
    </row>
    <row r="665" spans="1:66" ht="13.15" x14ac:dyDescent="0.4">
      <c r="A665" s="430"/>
      <c r="B665" s="430"/>
      <c r="C665" s="430"/>
      <c r="D665" s="430"/>
      <c r="E665" s="430"/>
      <c r="F665" s="430"/>
      <c r="G665" s="430"/>
      <c r="H665" s="461"/>
      <c r="I665" s="438"/>
      <c r="J665" s="438"/>
      <c r="K665" s="438"/>
      <c r="L665" s="430"/>
      <c r="M665" s="430"/>
      <c r="N665" s="461"/>
      <c r="O665" s="461"/>
      <c r="P665" s="430"/>
      <c r="Q665" s="430"/>
      <c r="R665" s="430"/>
      <c r="S665" s="430"/>
      <c r="T665" s="430"/>
      <c r="U665" s="430"/>
      <c r="V665" s="430"/>
      <c r="W665" s="430"/>
      <c r="X665" s="449"/>
      <c r="Y665" s="449"/>
      <c r="Z665" s="450"/>
      <c r="AA665" s="449"/>
      <c r="AB665" s="451"/>
      <c r="AC665" s="450"/>
      <c r="AD665" s="449"/>
      <c r="AE665" s="451"/>
      <c r="AF665" s="450"/>
      <c r="AG665" s="449"/>
      <c r="AH665" s="451"/>
      <c r="AI665" s="450"/>
      <c r="AJ665" s="449"/>
      <c r="AK665" s="451"/>
      <c r="AL665" s="450"/>
      <c r="AM665" s="449"/>
      <c r="AN665" s="451"/>
      <c r="AO665" s="450"/>
      <c r="AP665" s="449"/>
      <c r="AQ665" s="451"/>
      <c r="AR665" s="449"/>
      <c r="AS665" s="449"/>
      <c r="AT665" s="451"/>
      <c r="AU665" s="449"/>
      <c r="AV665" s="451"/>
      <c r="AW665" s="449"/>
      <c r="AX665" s="449"/>
      <c r="AY665" s="449"/>
      <c r="AZ665" s="449"/>
      <c r="BA665" s="449"/>
      <c r="BB665" s="449"/>
      <c r="BC665" s="449"/>
      <c r="BD665" s="449"/>
      <c r="BE665" s="449"/>
      <c r="BF665" s="449"/>
      <c r="BG665" s="449"/>
      <c r="BH665" s="449"/>
      <c r="BI665" s="449"/>
      <c r="BJ665" s="449"/>
      <c r="BK665" s="449"/>
      <c r="BL665" s="449"/>
      <c r="BM665" s="449"/>
      <c r="BN665" s="449"/>
    </row>
    <row r="666" spans="1:66" ht="13.15" x14ac:dyDescent="0.4">
      <c r="A666" s="430"/>
      <c r="B666" s="430"/>
      <c r="C666" s="430"/>
      <c r="D666" s="430"/>
      <c r="E666" s="430"/>
      <c r="F666" s="430"/>
      <c r="G666" s="430"/>
      <c r="H666" s="461"/>
      <c r="I666" s="438"/>
      <c r="J666" s="438"/>
      <c r="K666" s="438"/>
      <c r="L666" s="430"/>
      <c r="M666" s="430"/>
      <c r="N666" s="461"/>
      <c r="O666" s="461"/>
      <c r="P666" s="430"/>
      <c r="Q666" s="430"/>
      <c r="R666" s="430"/>
      <c r="S666" s="430"/>
      <c r="T666" s="430"/>
      <c r="U666" s="430"/>
      <c r="V666" s="430"/>
      <c r="W666" s="430"/>
      <c r="X666" s="449"/>
      <c r="Y666" s="449"/>
      <c r="Z666" s="450"/>
      <c r="AA666" s="449"/>
      <c r="AB666" s="451"/>
      <c r="AC666" s="450"/>
      <c r="AD666" s="449"/>
      <c r="AE666" s="451"/>
      <c r="AF666" s="450"/>
      <c r="AG666" s="449"/>
      <c r="AH666" s="451"/>
      <c r="AI666" s="450"/>
      <c r="AJ666" s="449"/>
      <c r="AK666" s="451"/>
      <c r="AL666" s="450"/>
      <c r="AM666" s="449"/>
      <c r="AN666" s="451"/>
      <c r="AO666" s="450"/>
      <c r="AP666" s="449"/>
      <c r="AQ666" s="451"/>
      <c r="AR666" s="449"/>
      <c r="AS666" s="449"/>
      <c r="AT666" s="451"/>
      <c r="AU666" s="449"/>
      <c r="AV666" s="451"/>
      <c r="AW666" s="449"/>
      <c r="AX666" s="449"/>
      <c r="AY666" s="449"/>
      <c r="AZ666" s="449"/>
      <c r="BA666" s="449"/>
      <c r="BB666" s="449"/>
      <c r="BC666" s="449"/>
      <c r="BD666" s="449"/>
      <c r="BE666" s="449"/>
      <c r="BF666" s="449"/>
      <c r="BG666" s="449"/>
      <c r="BH666" s="449"/>
      <c r="BI666" s="449"/>
      <c r="BJ666" s="449"/>
      <c r="BK666" s="449"/>
      <c r="BL666" s="449"/>
      <c r="BM666" s="449"/>
      <c r="BN666" s="449"/>
    </row>
    <row r="667" spans="1:66" ht="13.15" x14ac:dyDescent="0.4">
      <c r="A667" s="430"/>
      <c r="B667" s="430"/>
      <c r="C667" s="430"/>
      <c r="D667" s="430"/>
      <c r="E667" s="430"/>
      <c r="F667" s="430"/>
      <c r="G667" s="430"/>
      <c r="H667" s="461"/>
      <c r="I667" s="438"/>
      <c r="J667" s="438"/>
      <c r="K667" s="438"/>
      <c r="L667" s="430"/>
      <c r="M667" s="430"/>
      <c r="N667" s="461"/>
      <c r="O667" s="461"/>
      <c r="P667" s="430"/>
      <c r="Q667" s="430"/>
      <c r="R667" s="430"/>
      <c r="S667" s="430"/>
      <c r="T667" s="430"/>
      <c r="U667" s="430"/>
      <c r="V667" s="430"/>
      <c r="W667" s="430"/>
      <c r="X667" s="449"/>
      <c r="Y667" s="449"/>
      <c r="Z667" s="450"/>
      <c r="AA667" s="449"/>
      <c r="AB667" s="451"/>
      <c r="AC667" s="450"/>
      <c r="AD667" s="449"/>
      <c r="AE667" s="451"/>
      <c r="AF667" s="450"/>
      <c r="AG667" s="449"/>
      <c r="AH667" s="451"/>
      <c r="AI667" s="450"/>
      <c r="AJ667" s="449"/>
      <c r="AK667" s="451"/>
      <c r="AL667" s="450"/>
      <c r="AM667" s="449"/>
      <c r="AN667" s="451"/>
      <c r="AO667" s="450"/>
      <c r="AP667" s="449"/>
      <c r="AQ667" s="451"/>
      <c r="AR667" s="449"/>
      <c r="AS667" s="449"/>
      <c r="AT667" s="451"/>
      <c r="AU667" s="449"/>
      <c r="AV667" s="451"/>
      <c r="AW667" s="449"/>
      <c r="AX667" s="449"/>
      <c r="AY667" s="449"/>
      <c r="AZ667" s="449"/>
      <c r="BA667" s="449"/>
      <c r="BB667" s="449"/>
      <c r="BC667" s="449"/>
      <c r="BD667" s="449"/>
      <c r="BE667" s="449"/>
      <c r="BF667" s="449"/>
      <c r="BG667" s="449"/>
      <c r="BH667" s="449"/>
      <c r="BI667" s="449"/>
      <c r="BJ667" s="449"/>
      <c r="BK667" s="449"/>
      <c r="BL667" s="449"/>
      <c r="BM667" s="449"/>
      <c r="BN667" s="449"/>
    </row>
    <row r="668" spans="1:66" ht="13.15" x14ac:dyDescent="0.4">
      <c r="A668" s="430"/>
      <c r="B668" s="430"/>
      <c r="C668" s="430"/>
      <c r="D668" s="430"/>
      <c r="E668" s="430"/>
      <c r="F668" s="430"/>
      <c r="G668" s="430"/>
      <c r="H668" s="461"/>
      <c r="I668" s="438"/>
      <c r="J668" s="438"/>
      <c r="K668" s="438"/>
      <c r="L668" s="430"/>
      <c r="M668" s="430"/>
      <c r="N668" s="461"/>
      <c r="O668" s="461"/>
      <c r="P668" s="430"/>
      <c r="Q668" s="430"/>
      <c r="R668" s="430"/>
      <c r="S668" s="430"/>
      <c r="T668" s="430"/>
      <c r="U668" s="430"/>
      <c r="V668" s="430"/>
      <c r="W668" s="430"/>
      <c r="X668" s="449"/>
      <c r="Y668" s="449"/>
      <c r="Z668" s="450"/>
      <c r="AA668" s="449"/>
      <c r="AB668" s="451"/>
      <c r="AC668" s="450"/>
      <c r="AD668" s="449"/>
      <c r="AE668" s="451"/>
      <c r="AF668" s="450"/>
      <c r="AG668" s="449"/>
      <c r="AH668" s="451"/>
      <c r="AI668" s="450"/>
      <c r="AJ668" s="449"/>
      <c r="AK668" s="451"/>
      <c r="AL668" s="450"/>
      <c r="AM668" s="449"/>
      <c r="AN668" s="451"/>
      <c r="AO668" s="450"/>
      <c r="AP668" s="449"/>
      <c r="AQ668" s="451"/>
      <c r="AR668" s="449"/>
      <c r="AS668" s="449"/>
      <c r="AT668" s="451"/>
      <c r="AU668" s="449"/>
      <c r="AV668" s="451"/>
      <c r="AW668" s="449"/>
      <c r="AX668" s="449"/>
      <c r="AY668" s="449"/>
      <c r="AZ668" s="449"/>
      <c r="BA668" s="449"/>
      <c r="BB668" s="449"/>
      <c r="BC668" s="449"/>
      <c r="BD668" s="449"/>
      <c r="BE668" s="449"/>
      <c r="BF668" s="449"/>
      <c r="BG668" s="449"/>
      <c r="BH668" s="449"/>
      <c r="BI668" s="449"/>
      <c r="BJ668" s="449"/>
      <c r="BK668" s="449"/>
      <c r="BL668" s="449"/>
      <c r="BM668" s="449"/>
      <c r="BN668" s="449"/>
    </row>
    <row r="669" spans="1:66" ht="13.15" x14ac:dyDescent="0.4">
      <c r="A669" s="430"/>
      <c r="B669" s="430"/>
      <c r="C669" s="430"/>
      <c r="D669" s="430"/>
      <c r="E669" s="430"/>
      <c r="F669" s="430"/>
      <c r="G669" s="430"/>
      <c r="H669" s="461"/>
      <c r="I669" s="438"/>
      <c r="J669" s="438"/>
      <c r="K669" s="438"/>
      <c r="L669" s="430"/>
      <c r="M669" s="430"/>
      <c r="N669" s="461"/>
      <c r="O669" s="461"/>
      <c r="P669" s="430"/>
      <c r="Q669" s="430"/>
      <c r="R669" s="430"/>
      <c r="S669" s="430"/>
      <c r="T669" s="430"/>
      <c r="U669" s="430"/>
      <c r="V669" s="430"/>
      <c r="W669" s="430"/>
      <c r="X669" s="449"/>
      <c r="Y669" s="449"/>
      <c r="Z669" s="450"/>
      <c r="AA669" s="449"/>
      <c r="AB669" s="451"/>
      <c r="AC669" s="450"/>
      <c r="AD669" s="449"/>
      <c r="AE669" s="451"/>
      <c r="AF669" s="450"/>
      <c r="AG669" s="449"/>
      <c r="AH669" s="451"/>
      <c r="AI669" s="450"/>
      <c r="AJ669" s="449"/>
      <c r="AK669" s="451"/>
      <c r="AL669" s="450"/>
      <c r="AM669" s="449"/>
      <c r="AN669" s="451"/>
      <c r="AO669" s="450"/>
      <c r="AP669" s="449"/>
      <c r="AQ669" s="451"/>
      <c r="AR669" s="449"/>
      <c r="AS669" s="449"/>
      <c r="AT669" s="451"/>
      <c r="AU669" s="449"/>
      <c r="AV669" s="451"/>
      <c r="AW669" s="449"/>
      <c r="AX669" s="449"/>
      <c r="AY669" s="449"/>
      <c r="AZ669" s="449"/>
      <c r="BA669" s="449"/>
      <c r="BB669" s="449"/>
      <c r="BC669" s="449"/>
      <c r="BD669" s="449"/>
      <c r="BE669" s="449"/>
      <c r="BF669" s="449"/>
      <c r="BG669" s="449"/>
      <c r="BH669" s="449"/>
      <c r="BI669" s="449"/>
      <c r="BJ669" s="449"/>
      <c r="BK669" s="449"/>
      <c r="BL669" s="449"/>
      <c r="BM669" s="449"/>
      <c r="BN669" s="449"/>
    </row>
    <row r="670" spans="1:66" ht="13.15" x14ac:dyDescent="0.4">
      <c r="A670" s="430"/>
      <c r="B670" s="430"/>
      <c r="C670" s="430"/>
      <c r="D670" s="430"/>
      <c r="E670" s="430"/>
      <c r="F670" s="430"/>
      <c r="G670" s="430"/>
      <c r="H670" s="461"/>
      <c r="I670" s="438"/>
      <c r="J670" s="438"/>
      <c r="K670" s="438"/>
      <c r="L670" s="430"/>
      <c r="M670" s="430"/>
      <c r="N670" s="461"/>
      <c r="O670" s="461"/>
      <c r="P670" s="430"/>
      <c r="Q670" s="430"/>
      <c r="R670" s="430"/>
      <c r="S670" s="430"/>
      <c r="T670" s="430"/>
      <c r="U670" s="430"/>
      <c r="V670" s="430"/>
      <c r="W670" s="430"/>
      <c r="X670" s="449"/>
      <c r="Y670" s="449"/>
      <c r="Z670" s="450"/>
      <c r="AA670" s="449"/>
      <c r="AB670" s="451"/>
      <c r="AC670" s="450"/>
      <c r="AD670" s="449"/>
      <c r="AE670" s="451"/>
      <c r="AF670" s="450"/>
      <c r="AG670" s="449"/>
      <c r="AH670" s="451"/>
      <c r="AI670" s="450"/>
      <c r="AJ670" s="449"/>
      <c r="AK670" s="451"/>
      <c r="AL670" s="450"/>
      <c r="AM670" s="449"/>
      <c r="AN670" s="451"/>
      <c r="AO670" s="450"/>
      <c r="AP670" s="449"/>
      <c r="AQ670" s="451"/>
      <c r="AR670" s="449"/>
      <c r="AS670" s="449"/>
      <c r="AT670" s="451"/>
      <c r="AU670" s="449"/>
      <c r="AV670" s="451"/>
      <c r="AW670" s="449"/>
      <c r="AX670" s="449"/>
      <c r="AY670" s="449"/>
      <c r="AZ670" s="449"/>
      <c r="BA670" s="449"/>
      <c r="BB670" s="449"/>
      <c r="BC670" s="449"/>
      <c r="BD670" s="449"/>
      <c r="BE670" s="449"/>
      <c r="BF670" s="449"/>
      <c r="BG670" s="449"/>
      <c r="BH670" s="449"/>
      <c r="BI670" s="449"/>
      <c r="BJ670" s="449"/>
      <c r="BK670" s="449"/>
      <c r="BL670" s="449"/>
      <c r="BM670" s="449"/>
      <c r="BN670" s="449"/>
    </row>
    <row r="671" spans="1:66" ht="13.15" x14ac:dyDescent="0.4">
      <c r="A671" s="430"/>
      <c r="B671" s="430"/>
      <c r="C671" s="430"/>
      <c r="D671" s="430"/>
      <c r="E671" s="430"/>
      <c r="F671" s="430"/>
      <c r="G671" s="430"/>
      <c r="H671" s="461"/>
      <c r="I671" s="438"/>
      <c r="J671" s="438"/>
      <c r="K671" s="438"/>
      <c r="L671" s="430"/>
      <c r="M671" s="430"/>
      <c r="N671" s="461"/>
      <c r="O671" s="461"/>
      <c r="P671" s="430"/>
      <c r="Q671" s="430"/>
      <c r="R671" s="430"/>
      <c r="S671" s="430"/>
      <c r="T671" s="430"/>
      <c r="U671" s="430"/>
      <c r="V671" s="430"/>
      <c r="W671" s="430"/>
      <c r="X671" s="449"/>
      <c r="Y671" s="449"/>
      <c r="Z671" s="450"/>
      <c r="AA671" s="449"/>
      <c r="AB671" s="451"/>
      <c r="AC671" s="450"/>
      <c r="AD671" s="449"/>
      <c r="AE671" s="451"/>
      <c r="AF671" s="450"/>
      <c r="AG671" s="449"/>
      <c r="AH671" s="451"/>
      <c r="AI671" s="450"/>
      <c r="AJ671" s="449"/>
      <c r="AK671" s="451"/>
      <c r="AL671" s="450"/>
      <c r="AM671" s="449"/>
      <c r="AN671" s="451"/>
      <c r="AO671" s="450"/>
      <c r="AP671" s="449"/>
      <c r="AQ671" s="451"/>
      <c r="AR671" s="449"/>
      <c r="AS671" s="449"/>
      <c r="AT671" s="451"/>
      <c r="AU671" s="449"/>
      <c r="AV671" s="451"/>
      <c r="AW671" s="449"/>
      <c r="AX671" s="449"/>
      <c r="AY671" s="449"/>
      <c r="AZ671" s="449"/>
      <c r="BA671" s="449"/>
      <c r="BB671" s="449"/>
      <c r="BC671" s="449"/>
      <c r="BD671" s="449"/>
      <c r="BE671" s="449"/>
      <c r="BF671" s="449"/>
      <c r="BG671" s="449"/>
      <c r="BH671" s="449"/>
      <c r="BI671" s="449"/>
      <c r="BJ671" s="449"/>
      <c r="BK671" s="449"/>
      <c r="BL671" s="449"/>
      <c r="BM671" s="449"/>
      <c r="BN671" s="449"/>
    </row>
    <row r="672" spans="1:66" ht="13.15" x14ac:dyDescent="0.4">
      <c r="A672" s="430"/>
      <c r="B672" s="430"/>
      <c r="C672" s="430"/>
      <c r="D672" s="430"/>
      <c r="E672" s="430"/>
      <c r="F672" s="430"/>
      <c r="G672" s="430"/>
      <c r="H672" s="461"/>
      <c r="I672" s="438"/>
      <c r="J672" s="438"/>
      <c r="K672" s="438"/>
      <c r="L672" s="430"/>
      <c r="M672" s="430"/>
      <c r="N672" s="461"/>
      <c r="O672" s="461"/>
      <c r="P672" s="430"/>
      <c r="Q672" s="430"/>
      <c r="R672" s="430"/>
      <c r="S672" s="430"/>
      <c r="T672" s="430"/>
      <c r="U672" s="430"/>
      <c r="V672" s="430"/>
      <c r="W672" s="430"/>
      <c r="X672" s="449"/>
      <c r="Y672" s="449"/>
      <c r="Z672" s="450"/>
      <c r="AA672" s="449"/>
      <c r="AB672" s="451"/>
      <c r="AC672" s="450"/>
      <c r="AD672" s="449"/>
      <c r="AE672" s="451"/>
      <c r="AF672" s="450"/>
      <c r="AG672" s="449"/>
      <c r="AH672" s="451"/>
      <c r="AI672" s="450"/>
      <c r="AJ672" s="449"/>
      <c r="AK672" s="451"/>
      <c r="AL672" s="450"/>
      <c r="AM672" s="449"/>
      <c r="AN672" s="451"/>
      <c r="AO672" s="450"/>
      <c r="AP672" s="449"/>
      <c r="AQ672" s="451"/>
      <c r="AR672" s="449"/>
      <c r="AS672" s="449"/>
      <c r="AT672" s="451"/>
      <c r="AU672" s="449"/>
      <c r="AV672" s="451"/>
      <c r="AW672" s="449"/>
      <c r="AX672" s="449"/>
      <c r="AY672" s="449"/>
      <c r="AZ672" s="449"/>
      <c r="BA672" s="449"/>
      <c r="BB672" s="449"/>
      <c r="BC672" s="449"/>
      <c r="BD672" s="449"/>
      <c r="BE672" s="449"/>
      <c r="BF672" s="449"/>
      <c r="BG672" s="449"/>
      <c r="BH672" s="449"/>
      <c r="BI672" s="449"/>
      <c r="BJ672" s="449"/>
      <c r="BK672" s="449"/>
      <c r="BL672" s="449"/>
      <c r="BM672" s="449"/>
      <c r="BN672" s="449"/>
    </row>
    <row r="673" spans="1:66" ht="13.15" x14ac:dyDescent="0.4">
      <c r="A673" s="430"/>
      <c r="B673" s="430"/>
      <c r="C673" s="430"/>
      <c r="D673" s="430"/>
      <c r="E673" s="430"/>
      <c r="F673" s="430"/>
      <c r="G673" s="430"/>
      <c r="H673" s="461"/>
      <c r="I673" s="438"/>
      <c r="J673" s="438"/>
      <c r="K673" s="438"/>
      <c r="L673" s="430"/>
      <c r="M673" s="430"/>
      <c r="N673" s="461"/>
      <c r="O673" s="461"/>
      <c r="P673" s="430"/>
      <c r="Q673" s="430"/>
      <c r="R673" s="430"/>
      <c r="S673" s="430"/>
      <c r="T673" s="430"/>
      <c r="U673" s="430"/>
      <c r="V673" s="430"/>
      <c r="W673" s="430"/>
      <c r="X673" s="449"/>
      <c r="Y673" s="449"/>
      <c r="Z673" s="450"/>
      <c r="AA673" s="449"/>
      <c r="AB673" s="451"/>
      <c r="AC673" s="450"/>
      <c r="AD673" s="449"/>
      <c r="AE673" s="451"/>
      <c r="AF673" s="450"/>
      <c r="AG673" s="449"/>
      <c r="AH673" s="451"/>
      <c r="AI673" s="450"/>
      <c r="AJ673" s="449"/>
      <c r="AK673" s="451"/>
      <c r="AL673" s="450"/>
      <c r="AM673" s="449"/>
      <c r="AN673" s="451"/>
      <c r="AO673" s="450"/>
      <c r="AP673" s="449"/>
      <c r="AQ673" s="451"/>
      <c r="AR673" s="449"/>
      <c r="AS673" s="449"/>
      <c r="AT673" s="451"/>
      <c r="AU673" s="449"/>
      <c r="AV673" s="451"/>
      <c r="AW673" s="449"/>
      <c r="AX673" s="449"/>
      <c r="AY673" s="449"/>
      <c r="AZ673" s="449"/>
      <c r="BA673" s="449"/>
      <c r="BB673" s="449"/>
      <c r="BC673" s="449"/>
      <c r="BD673" s="449"/>
      <c r="BE673" s="449"/>
      <c r="BF673" s="449"/>
      <c r="BG673" s="449"/>
      <c r="BH673" s="449"/>
      <c r="BI673" s="449"/>
      <c r="BJ673" s="449"/>
      <c r="BK673" s="449"/>
      <c r="BL673" s="449"/>
      <c r="BM673" s="449"/>
      <c r="BN673" s="449"/>
    </row>
    <row r="674" spans="1:66" ht="13.15" x14ac:dyDescent="0.4">
      <c r="A674" s="430"/>
      <c r="B674" s="430"/>
      <c r="C674" s="430"/>
      <c r="D674" s="430"/>
      <c r="E674" s="430"/>
      <c r="F674" s="430"/>
      <c r="G674" s="430"/>
      <c r="H674" s="461"/>
      <c r="I674" s="438"/>
      <c r="J674" s="438"/>
      <c r="K674" s="438"/>
      <c r="L674" s="430"/>
      <c r="M674" s="430"/>
      <c r="N674" s="461"/>
      <c r="O674" s="461"/>
      <c r="P674" s="430"/>
      <c r="Q674" s="430"/>
      <c r="R674" s="430"/>
      <c r="S674" s="430"/>
      <c r="T674" s="430"/>
      <c r="U674" s="430"/>
      <c r="V674" s="430"/>
      <c r="W674" s="430"/>
      <c r="X674" s="449"/>
      <c r="Y674" s="449"/>
      <c r="Z674" s="450"/>
      <c r="AA674" s="449"/>
      <c r="AB674" s="451"/>
      <c r="AC674" s="450"/>
      <c r="AD674" s="449"/>
      <c r="AE674" s="451"/>
      <c r="AF674" s="450"/>
      <c r="AG674" s="449"/>
      <c r="AH674" s="451"/>
      <c r="AI674" s="450"/>
      <c r="AJ674" s="449"/>
      <c r="AK674" s="451"/>
      <c r="AL674" s="450"/>
      <c r="AM674" s="449"/>
      <c r="AN674" s="451"/>
      <c r="AO674" s="450"/>
      <c r="AP674" s="449"/>
      <c r="AQ674" s="451"/>
      <c r="AR674" s="449"/>
      <c r="AS674" s="449"/>
      <c r="AT674" s="451"/>
      <c r="AU674" s="449"/>
      <c r="AV674" s="451"/>
      <c r="AW674" s="449"/>
      <c r="AX674" s="449"/>
      <c r="AY674" s="449"/>
      <c r="AZ674" s="449"/>
      <c r="BA674" s="449"/>
      <c r="BB674" s="449"/>
      <c r="BC674" s="449"/>
      <c r="BD674" s="449"/>
      <c r="BE674" s="449"/>
      <c r="BF674" s="449"/>
      <c r="BG674" s="449"/>
      <c r="BH674" s="449"/>
      <c r="BI674" s="449"/>
      <c r="BJ674" s="449"/>
      <c r="BK674" s="449"/>
      <c r="BL674" s="449"/>
      <c r="BM674" s="449"/>
      <c r="BN674" s="449"/>
    </row>
    <row r="675" spans="1:66" ht="13.15" x14ac:dyDescent="0.4">
      <c r="A675" s="430"/>
      <c r="B675" s="430"/>
      <c r="C675" s="430"/>
      <c r="D675" s="430"/>
      <c r="E675" s="430"/>
      <c r="F675" s="430"/>
      <c r="G675" s="430"/>
      <c r="H675" s="461"/>
      <c r="I675" s="438"/>
      <c r="J675" s="438"/>
      <c r="K675" s="438"/>
      <c r="L675" s="430"/>
      <c r="M675" s="430"/>
      <c r="N675" s="461"/>
      <c r="O675" s="461"/>
      <c r="P675" s="430"/>
      <c r="Q675" s="430"/>
      <c r="R675" s="430"/>
      <c r="S675" s="430"/>
      <c r="T675" s="430"/>
      <c r="U675" s="430"/>
      <c r="V675" s="430"/>
      <c r="W675" s="430"/>
      <c r="X675" s="449"/>
      <c r="Y675" s="449"/>
      <c r="Z675" s="450"/>
      <c r="AA675" s="449"/>
      <c r="AB675" s="451"/>
      <c r="AC675" s="450"/>
      <c r="AD675" s="449"/>
      <c r="AE675" s="451"/>
      <c r="AF675" s="450"/>
      <c r="AG675" s="449"/>
      <c r="AH675" s="451"/>
      <c r="AI675" s="450"/>
      <c r="AJ675" s="449"/>
      <c r="AK675" s="451"/>
      <c r="AL675" s="450"/>
      <c r="AM675" s="449"/>
      <c r="AN675" s="451"/>
      <c r="AO675" s="450"/>
      <c r="AP675" s="449"/>
      <c r="AQ675" s="451"/>
      <c r="AR675" s="449"/>
      <c r="AS675" s="449"/>
      <c r="AT675" s="451"/>
      <c r="AU675" s="449"/>
      <c r="AV675" s="451"/>
      <c r="AW675" s="449"/>
      <c r="AX675" s="449"/>
      <c r="AY675" s="449"/>
      <c r="AZ675" s="449"/>
      <c r="BA675" s="449"/>
      <c r="BB675" s="449"/>
      <c r="BC675" s="449"/>
      <c r="BD675" s="449"/>
      <c r="BE675" s="449"/>
      <c r="BF675" s="449"/>
      <c r="BG675" s="449"/>
      <c r="BH675" s="449"/>
      <c r="BI675" s="449"/>
      <c r="BJ675" s="449"/>
      <c r="BK675" s="449"/>
      <c r="BL675" s="449"/>
      <c r="BM675" s="449"/>
      <c r="BN675" s="449"/>
    </row>
    <row r="676" spans="1:66" ht="13.15" x14ac:dyDescent="0.4">
      <c r="A676" s="430"/>
      <c r="B676" s="430"/>
      <c r="C676" s="430"/>
      <c r="D676" s="430"/>
      <c r="E676" s="430"/>
      <c r="F676" s="430"/>
      <c r="G676" s="430"/>
      <c r="H676" s="461"/>
      <c r="I676" s="438"/>
      <c r="J676" s="438"/>
      <c r="K676" s="438"/>
      <c r="L676" s="430"/>
      <c r="M676" s="430"/>
      <c r="N676" s="461"/>
      <c r="O676" s="461"/>
      <c r="P676" s="430"/>
      <c r="Q676" s="430"/>
      <c r="R676" s="430"/>
      <c r="S676" s="430"/>
      <c r="T676" s="430"/>
      <c r="U676" s="430"/>
      <c r="V676" s="430"/>
      <c r="W676" s="430"/>
      <c r="X676" s="449"/>
      <c r="Y676" s="449"/>
      <c r="Z676" s="450"/>
      <c r="AA676" s="449"/>
      <c r="AB676" s="451"/>
      <c r="AC676" s="450"/>
      <c r="AD676" s="449"/>
      <c r="AE676" s="451"/>
      <c r="AF676" s="450"/>
      <c r="AG676" s="449"/>
      <c r="AH676" s="451"/>
      <c r="AI676" s="450"/>
      <c r="AJ676" s="449"/>
      <c r="AK676" s="451"/>
      <c r="AL676" s="450"/>
      <c r="AM676" s="449"/>
      <c r="AN676" s="451"/>
      <c r="AO676" s="450"/>
      <c r="AP676" s="449"/>
      <c r="AQ676" s="451"/>
      <c r="AR676" s="449"/>
      <c r="AS676" s="449"/>
      <c r="AT676" s="451"/>
      <c r="AU676" s="449"/>
      <c r="AV676" s="451"/>
      <c r="AW676" s="449"/>
      <c r="AX676" s="449"/>
      <c r="AY676" s="449"/>
      <c r="AZ676" s="449"/>
      <c r="BA676" s="449"/>
      <c r="BB676" s="449"/>
      <c r="BC676" s="449"/>
      <c r="BD676" s="449"/>
      <c r="BE676" s="449"/>
      <c r="BF676" s="449"/>
      <c r="BG676" s="449"/>
      <c r="BH676" s="449"/>
      <c r="BI676" s="449"/>
      <c r="BJ676" s="449"/>
      <c r="BK676" s="449"/>
      <c r="BL676" s="449"/>
      <c r="BM676" s="449"/>
      <c r="BN676" s="449"/>
    </row>
    <row r="677" spans="1:66" ht="13.15" x14ac:dyDescent="0.4">
      <c r="A677" s="430"/>
      <c r="B677" s="430"/>
      <c r="C677" s="430"/>
      <c r="D677" s="430"/>
      <c r="E677" s="430"/>
      <c r="F677" s="430"/>
      <c r="G677" s="430"/>
      <c r="H677" s="461"/>
      <c r="I677" s="438"/>
      <c r="J677" s="438"/>
      <c r="K677" s="438"/>
      <c r="L677" s="430"/>
      <c r="M677" s="430"/>
      <c r="N677" s="461"/>
      <c r="O677" s="461"/>
      <c r="P677" s="430"/>
      <c r="Q677" s="430"/>
      <c r="R677" s="430"/>
      <c r="S677" s="430"/>
      <c r="T677" s="430"/>
      <c r="U677" s="430"/>
      <c r="V677" s="430"/>
      <c r="W677" s="430"/>
      <c r="X677" s="449"/>
      <c r="Y677" s="449"/>
      <c r="Z677" s="450"/>
      <c r="AA677" s="449"/>
      <c r="AB677" s="451"/>
      <c r="AC677" s="450"/>
      <c r="AD677" s="449"/>
      <c r="AE677" s="451"/>
      <c r="AF677" s="450"/>
      <c r="AG677" s="449"/>
      <c r="AH677" s="451"/>
      <c r="AI677" s="450"/>
      <c r="AJ677" s="449"/>
      <c r="AK677" s="451"/>
      <c r="AL677" s="450"/>
      <c r="AM677" s="449"/>
      <c r="AN677" s="451"/>
      <c r="AO677" s="450"/>
      <c r="AP677" s="449"/>
      <c r="AQ677" s="451"/>
      <c r="AR677" s="449"/>
      <c r="AS677" s="449"/>
      <c r="AT677" s="451"/>
      <c r="AU677" s="449"/>
      <c r="AV677" s="451"/>
      <c r="AW677" s="449"/>
      <c r="AX677" s="449"/>
      <c r="AY677" s="449"/>
      <c r="AZ677" s="449"/>
      <c r="BA677" s="449"/>
      <c r="BB677" s="449"/>
      <c r="BC677" s="449"/>
      <c r="BD677" s="449"/>
      <c r="BE677" s="449"/>
      <c r="BF677" s="449"/>
      <c r="BG677" s="449"/>
      <c r="BH677" s="449"/>
      <c r="BI677" s="449"/>
      <c r="BJ677" s="449"/>
      <c r="BK677" s="449"/>
      <c r="BL677" s="449"/>
      <c r="BM677" s="449"/>
      <c r="BN677" s="449"/>
    </row>
    <row r="678" spans="1:66" ht="13.15" x14ac:dyDescent="0.4">
      <c r="A678" s="430"/>
      <c r="B678" s="430"/>
      <c r="C678" s="430"/>
      <c r="D678" s="430"/>
      <c r="E678" s="430"/>
      <c r="F678" s="430"/>
      <c r="G678" s="430"/>
      <c r="H678" s="461"/>
      <c r="I678" s="438"/>
      <c r="J678" s="438"/>
      <c r="K678" s="438"/>
      <c r="L678" s="430"/>
      <c r="M678" s="430"/>
      <c r="N678" s="461"/>
      <c r="O678" s="461"/>
      <c r="P678" s="430"/>
      <c r="Q678" s="430"/>
      <c r="R678" s="430"/>
      <c r="S678" s="430"/>
      <c r="T678" s="430"/>
      <c r="U678" s="430"/>
      <c r="V678" s="430"/>
      <c r="W678" s="430"/>
      <c r="X678" s="449"/>
      <c r="Y678" s="449"/>
      <c r="Z678" s="450"/>
      <c r="AA678" s="449"/>
      <c r="AB678" s="451"/>
      <c r="AC678" s="450"/>
      <c r="AD678" s="449"/>
      <c r="AE678" s="451"/>
      <c r="AF678" s="450"/>
      <c r="AG678" s="449"/>
      <c r="AH678" s="451"/>
      <c r="AI678" s="450"/>
      <c r="AJ678" s="449"/>
      <c r="AK678" s="451"/>
      <c r="AL678" s="450"/>
      <c r="AM678" s="449"/>
      <c r="AN678" s="451"/>
      <c r="AO678" s="450"/>
      <c r="AP678" s="449"/>
      <c r="AQ678" s="451"/>
      <c r="AR678" s="449"/>
      <c r="AS678" s="449"/>
      <c r="AT678" s="451"/>
      <c r="AU678" s="449"/>
      <c r="AV678" s="451"/>
      <c r="AW678" s="449"/>
      <c r="AX678" s="449"/>
      <c r="AY678" s="449"/>
      <c r="AZ678" s="449"/>
      <c r="BA678" s="449"/>
      <c r="BB678" s="449"/>
      <c r="BC678" s="449"/>
      <c r="BD678" s="449"/>
      <c r="BE678" s="449"/>
      <c r="BF678" s="449"/>
      <c r="BG678" s="449"/>
      <c r="BH678" s="449"/>
      <c r="BI678" s="449"/>
      <c r="BJ678" s="449"/>
      <c r="BK678" s="449"/>
      <c r="BL678" s="449"/>
      <c r="BM678" s="449"/>
      <c r="BN678" s="449"/>
    </row>
    <row r="679" spans="1:66" ht="13.15" x14ac:dyDescent="0.4">
      <c r="A679" s="430"/>
      <c r="B679" s="430"/>
      <c r="C679" s="430"/>
      <c r="D679" s="430"/>
      <c r="E679" s="430"/>
      <c r="F679" s="430"/>
      <c r="G679" s="430"/>
      <c r="H679" s="461"/>
      <c r="I679" s="438"/>
      <c r="J679" s="438"/>
      <c r="K679" s="438"/>
      <c r="L679" s="430"/>
      <c r="M679" s="430"/>
      <c r="N679" s="461"/>
      <c r="O679" s="461"/>
      <c r="P679" s="430"/>
      <c r="Q679" s="430"/>
      <c r="R679" s="430"/>
      <c r="S679" s="430"/>
      <c r="T679" s="430"/>
      <c r="U679" s="430"/>
      <c r="V679" s="430"/>
      <c r="W679" s="430"/>
      <c r="X679" s="449"/>
      <c r="Y679" s="449"/>
      <c r="Z679" s="450"/>
      <c r="AA679" s="449"/>
      <c r="AB679" s="451"/>
      <c r="AC679" s="450"/>
      <c r="AD679" s="449"/>
      <c r="AE679" s="451"/>
      <c r="AF679" s="450"/>
      <c r="AG679" s="449"/>
      <c r="AH679" s="451"/>
      <c r="AI679" s="450"/>
      <c r="AJ679" s="449"/>
      <c r="AK679" s="451"/>
      <c r="AL679" s="450"/>
      <c r="AM679" s="449"/>
      <c r="AN679" s="451"/>
      <c r="AO679" s="450"/>
      <c r="AP679" s="449"/>
      <c r="AQ679" s="451"/>
      <c r="AR679" s="449"/>
      <c r="AS679" s="449"/>
      <c r="AT679" s="451"/>
      <c r="AU679" s="449"/>
      <c r="AV679" s="451"/>
      <c r="AW679" s="449"/>
      <c r="AX679" s="449"/>
      <c r="AY679" s="449"/>
      <c r="AZ679" s="449"/>
      <c r="BA679" s="449"/>
      <c r="BB679" s="449"/>
      <c r="BC679" s="449"/>
      <c r="BD679" s="449"/>
      <c r="BE679" s="449"/>
      <c r="BF679" s="449"/>
      <c r="BG679" s="449"/>
      <c r="BH679" s="449"/>
      <c r="BI679" s="449"/>
      <c r="BJ679" s="449"/>
      <c r="BK679" s="449"/>
      <c r="BL679" s="449"/>
      <c r="BM679" s="449"/>
      <c r="BN679" s="449"/>
    </row>
    <row r="680" spans="1:66" ht="13.15" x14ac:dyDescent="0.4">
      <c r="A680" s="430"/>
      <c r="B680" s="430"/>
      <c r="C680" s="430"/>
      <c r="D680" s="430"/>
      <c r="E680" s="430"/>
      <c r="F680" s="430"/>
      <c r="G680" s="430"/>
      <c r="H680" s="461"/>
      <c r="I680" s="438"/>
      <c r="J680" s="438"/>
      <c r="K680" s="438"/>
      <c r="L680" s="430"/>
      <c r="M680" s="430"/>
      <c r="N680" s="461"/>
      <c r="O680" s="461"/>
      <c r="P680" s="430"/>
      <c r="Q680" s="430"/>
      <c r="R680" s="430"/>
      <c r="S680" s="430"/>
      <c r="T680" s="430"/>
      <c r="U680" s="430"/>
      <c r="V680" s="430"/>
      <c r="W680" s="430"/>
      <c r="X680" s="449"/>
      <c r="Y680" s="449"/>
      <c r="Z680" s="450"/>
      <c r="AA680" s="449"/>
      <c r="AB680" s="451"/>
      <c r="AC680" s="450"/>
      <c r="AD680" s="449"/>
      <c r="AE680" s="451"/>
      <c r="AF680" s="450"/>
      <c r="AG680" s="449"/>
      <c r="AH680" s="451"/>
      <c r="AI680" s="450"/>
      <c r="AJ680" s="449"/>
      <c r="AK680" s="451"/>
      <c r="AL680" s="450"/>
      <c r="AM680" s="449"/>
      <c r="AN680" s="451"/>
      <c r="AO680" s="450"/>
      <c r="AP680" s="449"/>
      <c r="AQ680" s="451"/>
      <c r="AR680" s="449"/>
      <c r="AS680" s="449"/>
      <c r="AT680" s="451"/>
      <c r="AU680" s="449"/>
      <c r="AV680" s="451"/>
      <c r="AW680" s="449"/>
      <c r="AX680" s="449"/>
      <c r="AY680" s="449"/>
      <c r="AZ680" s="449"/>
      <c r="BA680" s="449"/>
      <c r="BB680" s="449"/>
      <c r="BC680" s="449"/>
      <c r="BD680" s="449"/>
      <c r="BE680" s="449"/>
      <c r="BF680" s="449"/>
      <c r="BG680" s="449"/>
      <c r="BH680" s="449"/>
      <c r="BI680" s="449"/>
      <c r="BJ680" s="449"/>
      <c r="BK680" s="449"/>
      <c r="BL680" s="449"/>
      <c r="BM680" s="449"/>
      <c r="BN680" s="449"/>
    </row>
    <row r="681" spans="1:66" ht="13.15" x14ac:dyDescent="0.4">
      <c r="A681" s="430"/>
      <c r="B681" s="430"/>
      <c r="C681" s="430"/>
      <c r="D681" s="430"/>
      <c r="E681" s="430"/>
      <c r="F681" s="430"/>
      <c r="G681" s="430"/>
      <c r="H681" s="461"/>
      <c r="I681" s="438"/>
      <c r="J681" s="438"/>
      <c r="K681" s="438"/>
      <c r="L681" s="430"/>
      <c r="M681" s="430"/>
      <c r="N681" s="461"/>
      <c r="O681" s="461"/>
      <c r="P681" s="430"/>
      <c r="Q681" s="430"/>
      <c r="R681" s="430"/>
      <c r="S681" s="430"/>
      <c r="T681" s="430"/>
      <c r="U681" s="430"/>
      <c r="V681" s="430"/>
      <c r="W681" s="430"/>
      <c r="X681" s="449"/>
      <c r="Y681" s="449"/>
      <c r="Z681" s="450"/>
      <c r="AA681" s="449"/>
      <c r="AB681" s="451"/>
      <c r="AC681" s="450"/>
      <c r="AD681" s="449"/>
      <c r="AE681" s="451"/>
      <c r="AF681" s="450"/>
      <c r="AG681" s="449"/>
      <c r="AH681" s="451"/>
      <c r="AI681" s="450"/>
      <c r="AJ681" s="449"/>
      <c r="AK681" s="451"/>
      <c r="AL681" s="450"/>
      <c r="AM681" s="449"/>
      <c r="AN681" s="451"/>
      <c r="AO681" s="450"/>
      <c r="AP681" s="449"/>
      <c r="AQ681" s="451"/>
      <c r="AR681" s="449"/>
      <c r="AS681" s="449"/>
      <c r="AT681" s="451"/>
      <c r="AU681" s="449"/>
      <c r="AV681" s="451"/>
      <c r="AW681" s="449"/>
      <c r="AX681" s="449"/>
      <c r="AY681" s="449"/>
      <c r="AZ681" s="449"/>
      <c r="BA681" s="449"/>
      <c r="BB681" s="449"/>
      <c r="BC681" s="449"/>
      <c r="BD681" s="449"/>
      <c r="BE681" s="449"/>
      <c r="BF681" s="449"/>
      <c r="BG681" s="449"/>
      <c r="BH681" s="449"/>
      <c r="BI681" s="449"/>
      <c r="BJ681" s="449"/>
      <c r="BK681" s="449"/>
      <c r="BL681" s="449"/>
      <c r="BM681" s="449"/>
      <c r="BN681" s="449"/>
    </row>
    <row r="682" spans="1:66" ht="13.15" x14ac:dyDescent="0.4">
      <c r="A682" s="430"/>
      <c r="B682" s="430"/>
      <c r="C682" s="430"/>
      <c r="D682" s="430"/>
      <c r="E682" s="430"/>
      <c r="F682" s="430"/>
      <c r="G682" s="430"/>
      <c r="H682" s="461"/>
      <c r="I682" s="438"/>
      <c r="J682" s="438"/>
      <c r="K682" s="438"/>
      <c r="L682" s="430"/>
      <c r="M682" s="430"/>
      <c r="N682" s="461"/>
      <c r="O682" s="461"/>
      <c r="P682" s="430"/>
      <c r="Q682" s="430"/>
      <c r="R682" s="430"/>
      <c r="S682" s="430"/>
      <c r="T682" s="430"/>
      <c r="U682" s="430"/>
      <c r="V682" s="430"/>
      <c r="W682" s="430"/>
      <c r="X682" s="449"/>
      <c r="Y682" s="449"/>
      <c r="Z682" s="450"/>
      <c r="AA682" s="449"/>
      <c r="AB682" s="451"/>
      <c r="AC682" s="450"/>
      <c r="AD682" s="449"/>
      <c r="AE682" s="451"/>
      <c r="AF682" s="450"/>
      <c r="AG682" s="449"/>
      <c r="AH682" s="451"/>
      <c r="AI682" s="450"/>
      <c r="AJ682" s="449"/>
      <c r="AK682" s="451"/>
      <c r="AL682" s="450"/>
      <c r="AM682" s="449"/>
      <c r="AN682" s="451"/>
      <c r="AO682" s="450"/>
      <c r="AP682" s="449"/>
      <c r="AQ682" s="451"/>
      <c r="AR682" s="449"/>
      <c r="AS682" s="449"/>
      <c r="AT682" s="451"/>
      <c r="AU682" s="449"/>
      <c r="AV682" s="451"/>
      <c r="AW682" s="449"/>
      <c r="AX682" s="449"/>
      <c r="AY682" s="449"/>
      <c r="AZ682" s="449"/>
      <c r="BA682" s="449"/>
      <c r="BB682" s="449"/>
      <c r="BC682" s="449"/>
      <c r="BD682" s="449"/>
      <c r="BE682" s="449"/>
      <c r="BF682" s="449"/>
      <c r="BG682" s="449"/>
      <c r="BH682" s="449"/>
      <c r="BI682" s="449"/>
      <c r="BJ682" s="449"/>
      <c r="BK682" s="449"/>
      <c r="BL682" s="449"/>
      <c r="BM682" s="449"/>
      <c r="BN682" s="449"/>
    </row>
    <row r="683" spans="1:66" ht="13.15" x14ac:dyDescent="0.4">
      <c r="A683" s="430"/>
      <c r="B683" s="430"/>
      <c r="C683" s="430"/>
      <c r="D683" s="430"/>
      <c r="E683" s="430"/>
      <c r="F683" s="430"/>
      <c r="G683" s="430"/>
      <c r="H683" s="461"/>
      <c r="I683" s="438"/>
      <c r="J683" s="438"/>
      <c r="K683" s="438"/>
      <c r="L683" s="430"/>
      <c r="M683" s="430"/>
      <c r="N683" s="461"/>
      <c r="O683" s="461"/>
      <c r="P683" s="430"/>
      <c r="Q683" s="430"/>
      <c r="R683" s="430"/>
      <c r="S683" s="430"/>
      <c r="T683" s="430"/>
      <c r="U683" s="430"/>
      <c r="V683" s="430"/>
      <c r="W683" s="430"/>
      <c r="X683" s="449"/>
      <c r="Y683" s="449"/>
      <c r="Z683" s="450"/>
      <c r="AA683" s="449"/>
      <c r="AB683" s="451"/>
      <c r="AC683" s="450"/>
      <c r="AD683" s="449"/>
      <c r="AE683" s="451"/>
      <c r="AF683" s="450"/>
      <c r="AG683" s="449"/>
      <c r="AH683" s="451"/>
      <c r="AI683" s="450"/>
      <c r="AJ683" s="449"/>
      <c r="AK683" s="451"/>
      <c r="AL683" s="450"/>
      <c r="AM683" s="449"/>
      <c r="AN683" s="451"/>
      <c r="AO683" s="450"/>
      <c r="AP683" s="449"/>
      <c r="AQ683" s="451"/>
      <c r="AR683" s="449"/>
      <c r="AS683" s="449"/>
      <c r="AT683" s="451"/>
      <c r="AU683" s="449"/>
      <c r="AV683" s="451"/>
      <c r="AW683" s="449"/>
      <c r="AX683" s="449"/>
      <c r="AY683" s="449"/>
      <c r="AZ683" s="449"/>
      <c r="BA683" s="449"/>
      <c r="BB683" s="449"/>
      <c r="BC683" s="449"/>
      <c r="BD683" s="449"/>
      <c r="BE683" s="449"/>
      <c r="BF683" s="449"/>
      <c r="BG683" s="449"/>
      <c r="BH683" s="449"/>
      <c r="BI683" s="449"/>
      <c r="BJ683" s="449"/>
      <c r="BK683" s="449"/>
      <c r="BL683" s="449"/>
      <c r="BM683" s="449"/>
      <c r="BN683" s="449"/>
    </row>
    <row r="684" spans="1:66" ht="13.15" x14ac:dyDescent="0.4">
      <c r="A684" s="430"/>
      <c r="B684" s="430"/>
      <c r="C684" s="430"/>
      <c r="D684" s="430"/>
      <c r="E684" s="430"/>
      <c r="F684" s="430"/>
      <c r="G684" s="430"/>
      <c r="H684" s="461"/>
      <c r="I684" s="438"/>
      <c r="J684" s="438"/>
      <c r="K684" s="438"/>
      <c r="L684" s="430"/>
      <c r="M684" s="430"/>
      <c r="N684" s="461"/>
      <c r="O684" s="461"/>
      <c r="P684" s="430"/>
      <c r="Q684" s="430"/>
      <c r="R684" s="430"/>
      <c r="S684" s="430"/>
      <c r="T684" s="430"/>
      <c r="U684" s="430"/>
      <c r="V684" s="430"/>
      <c r="W684" s="430"/>
      <c r="X684" s="449"/>
      <c r="Y684" s="449"/>
      <c r="Z684" s="450"/>
      <c r="AA684" s="449"/>
      <c r="AB684" s="451"/>
      <c r="AC684" s="450"/>
      <c r="AD684" s="449"/>
      <c r="AE684" s="451"/>
      <c r="AF684" s="450"/>
      <c r="AG684" s="449"/>
      <c r="AH684" s="451"/>
      <c r="AI684" s="450"/>
      <c r="AJ684" s="449"/>
      <c r="AK684" s="451"/>
      <c r="AL684" s="450"/>
      <c r="AM684" s="449"/>
      <c r="AN684" s="451"/>
      <c r="AO684" s="450"/>
      <c r="AP684" s="449"/>
      <c r="AQ684" s="451"/>
      <c r="AR684" s="449"/>
      <c r="AS684" s="449"/>
      <c r="AT684" s="451"/>
      <c r="AU684" s="449"/>
      <c r="AV684" s="451"/>
      <c r="AW684" s="449"/>
      <c r="AX684" s="449"/>
      <c r="AY684" s="449"/>
      <c r="AZ684" s="449"/>
      <c r="BA684" s="449"/>
      <c r="BB684" s="449"/>
      <c r="BC684" s="449"/>
      <c r="BD684" s="449"/>
      <c r="BE684" s="449"/>
      <c r="BF684" s="449"/>
      <c r="BG684" s="449"/>
      <c r="BH684" s="449"/>
      <c r="BI684" s="449"/>
      <c r="BJ684" s="449"/>
      <c r="BK684" s="449"/>
      <c r="BL684" s="449"/>
      <c r="BM684" s="449"/>
      <c r="BN684" s="449"/>
    </row>
    <row r="685" spans="1:66" ht="13.15" x14ac:dyDescent="0.4">
      <c r="A685" s="430"/>
      <c r="B685" s="430"/>
      <c r="C685" s="430"/>
      <c r="D685" s="430"/>
      <c r="E685" s="430"/>
      <c r="F685" s="430"/>
      <c r="G685" s="430"/>
      <c r="H685" s="461"/>
      <c r="I685" s="438"/>
      <c r="J685" s="438"/>
      <c r="K685" s="438"/>
      <c r="L685" s="430"/>
      <c r="M685" s="430"/>
      <c r="N685" s="461"/>
      <c r="O685" s="461"/>
      <c r="P685" s="430"/>
      <c r="Q685" s="430"/>
      <c r="R685" s="430"/>
      <c r="S685" s="430"/>
      <c r="T685" s="430"/>
      <c r="U685" s="430"/>
      <c r="V685" s="430"/>
      <c r="W685" s="430"/>
      <c r="X685" s="449"/>
      <c r="Y685" s="449"/>
      <c r="Z685" s="450"/>
      <c r="AA685" s="449"/>
      <c r="AB685" s="451"/>
      <c r="AC685" s="450"/>
      <c r="AD685" s="449"/>
      <c r="AE685" s="451"/>
      <c r="AF685" s="450"/>
      <c r="AG685" s="449"/>
      <c r="AH685" s="451"/>
      <c r="AI685" s="450"/>
      <c r="AJ685" s="449"/>
      <c r="AK685" s="451"/>
      <c r="AL685" s="450"/>
      <c r="AM685" s="449"/>
      <c r="AN685" s="451"/>
      <c r="AO685" s="450"/>
      <c r="AP685" s="449"/>
      <c r="AQ685" s="451"/>
      <c r="AR685" s="449"/>
      <c r="AS685" s="449"/>
      <c r="AT685" s="451"/>
      <c r="AU685" s="449"/>
      <c r="AV685" s="451"/>
      <c r="AW685" s="449"/>
      <c r="AX685" s="449"/>
      <c r="AY685" s="449"/>
      <c r="AZ685" s="449"/>
      <c r="BA685" s="449"/>
      <c r="BB685" s="449"/>
      <c r="BC685" s="449"/>
      <c r="BD685" s="449"/>
      <c r="BE685" s="449"/>
      <c r="BF685" s="449"/>
      <c r="BG685" s="449"/>
      <c r="BH685" s="449"/>
      <c r="BI685" s="449"/>
      <c r="BJ685" s="449"/>
      <c r="BK685" s="449"/>
      <c r="BL685" s="449"/>
      <c r="BM685" s="449"/>
      <c r="BN685" s="449"/>
    </row>
    <row r="686" spans="1:66" ht="13.15" x14ac:dyDescent="0.4">
      <c r="A686" s="430"/>
      <c r="B686" s="430"/>
      <c r="C686" s="430"/>
      <c r="D686" s="430"/>
      <c r="E686" s="430"/>
      <c r="F686" s="430"/>
      <c r="G686" s="430"/>
      <c r="H686" s="461"/>
      <c r="I686" s="438"/>
      <c r="J686" s="438"/>
      <c r="K686" s="438"/>
      <c r="L686" s="430"/>
      <c r="M686" s="430"/>
      <c r="N686" s="461"/>
      <c r="O686" s="461"/>
      <c r="P686" s="430"/>
      <c r="Q686" s="430"/>
      <c r="R686" s="430"/>
      <c r="S686" s="430"/>
      <c r="T686" s="430"/>
      <c r="U686" s="430"/>
      <c r="V686" s="430"/>
      <c r="W686" s="430"/>
      <c r="X686" s="449"/>
      <c r="Y686" s="449"/>
      <c r="Z686" s="450"/>
      <c r="AA686" s="449"/>
      <c r="AB686" s="451"/>
      <c r="AC686" s="450"/>
      <c r="AD686" s="449"/>
      <c r="AE686" s="451"/>
      <c r="AF686" s="450"/>
      <c r="AG686" s="449"/>
      <c r="AH686" s="451"/>
      <c r="AI686" s="450"/>
      <c r="AJ686" s="449"/>
      <c r="AK686" s="451"/>
      <c r="AL686" s="450"/>
      <c r="AM686" s="449"/>
      <c r="AN686" s="451"/>
      <c r="AO686" s="450"/>
      <c r="AP686" s="449"/>
      <c r="AQ686" s="451"/>
      <c r="AR686" s="449"/>
      <c r="AS686" s="449"/>
      <c r="AT686" s="451"/>
      <c r="AU686" s="449"/>
      <c r="AV686" s="451"/>
      <c r="AW686" s="449"/>
      <c r="AX686" s="449"/>
      <c r="AY686" s="449"/>
      <c r="AZ686" s="449"/>
      <c r="BA686" s="449"/>
      <c r="BB686" s="449"/>
      <c r="BC686" s="449"/>
      <c r="BD686" s="449"/>
      <c r="BE686" s="449"/>
      <c r="BF686" s="449"/>
      <c r="BG686" s="449"/>
      <c r="BH686" s="449"/>
      <c r="BI686" s="449"/>
      <c r="BJ686" s="449"/>
      <c r="BK686" s="449"/>
      <c r="BL686" s="449"/>
      <c r="BM686" s="449"/>
      <c r="BN686" s="449"/>
    </row>
    <row r="687" spans="1:66" ht="13.15" x14ac:dyDescent="0.4">
      <c r="A687" s="430"/>
      <c r="B687" s="430"/>
      <c r="C687" s="430"/>
      <c r="D687" s="430"/>
      <c r="E687" s="430"/>
      <c r="F687" s="430"/>
      <c r="G687" s="430"/>
      <c r="H687" s="461"/>
      <c r="I687" s="438"/>
      <c r="J687" s="438"/>
      <c r="K687" s="438"/>
      <c r="L687" s="430"/>
      <c r="M687" s="430"/>
      <c r="N687" s="461"/>
      <c r="O687" s="461"/>
      <c r="P687" s="430"/>
      <c r="Q687" s="430"/>
      <c r="R687" s="430"/>
      <c r="S687" s="430"/>
      <c r="T687" s="430"/>
      <c r="U687" s="430"/>
      <c r="V687" s="430"/>
      <c r="W687" s="430"/>
      <c r="X687" s="449"/>
      <c r="Y687" s="449"/>
      <c r="Z687" s="450"/>
      <c r="AA687" s="449"/>
      <c r="AB687" s="451"/>
      <c r="AC687" s="450"/>
      <c r="AD687" s="449"/>
      <c r="AE687" s="451"/>
      <c r="AF687" s="450"/>
      <c r="AG687" s="449"/>
      <c r="AH687" s="451"/>
      <c r="AI687" s="450"/>
      <c r="AJ687" s="449"/>
      <c r="AK687" s="451"/>
      <c r="AL687" s="450"/>
      <c r="AM687" s="449"/>
      <c r="AN687" s="451"/>
      <c r="AO687" s="450"/>
      <c r="AP687" s="449"/>
      <c r="AQ687" s="451"/>
      <c r="AR687" s="449"/>
      <c r="AS687" s="449"/>
      <c r="AT687" s="451"/>
      <c r="AU687" s="449"/>
      <c r="AV687" s="451"/>
      <c r="AW687" s="449"/>
      <c r="AX687" s="449"/>
      <c r="AY687" s="449"/>
      <c r="AZ687" s="449"/>
      <c r="BA687" s="449"/>
      <c r="BB687" s="449"/>
      <c r="BC687" s="449"/>
      <c r="BD687" s="449"/>
      <c r="BE687" s="449"/>
      <c r="BF687" s="449"/>
      <c r="BG687" s="449"/>
      <c r="BH687" s="449"/>
      <c r="BI687" s="449"/>
      <c r="BJ687" s="449"/>
      <c r="BK687" s="449"/>
      <c r="BL687" s="449"/>
      <c r="BM687" s="449"/>
      <c r="BN687" s="449"/>
    </row>
    <row r="688" spans="1:66" ht="13.15" x14ac:dyDescent="0.4">
      <c r="A688" s="430"/>
      <c r="B688" s="430"/>
      <c r="C688" s="430"/>
      <c r="D688" s="430"/>
      <c r="E688" s="430"/>
      <c r="F688" s="430"/>
      <c r="G688" s="430"/>
      <c r="H688" s="461"/>
      <c r="I688" s="438"/>
      <c r="J688" s="438"/>
      <c r="K688" s="438"/>
      <c r="L688" s="430"/>
      <c r="M688" s="430"/>
      <c r="N688" s="461"/>
      <c r="O688" s="461"/>
      <c r="P688" s="430"/>
      <c r="Q688" s="430"/>
      <c r="R688" s="430"/>
      <c r="S688" s="430"/>
      <c r="T688" s="430"/>
      <c r="U688" s="430"/>
      <c r="V688" s="430"/>
      <c r="W688" s="430"/>
      <c r="X688" s="449"/>
      <c r="Y688" s="449"/>
      <c r="Z688" s="450"/>
      <c r="AA688" s="449"/>
      <c r="AB688" s="451"/>
      <c r="AC688" s="450"/>
      <c r="AD688" s="449"/>
      <c r="AE688" s="451"/>
      <c r="AF688" s="450"/>
      <c r="AG688" s="449"/>
      <c r="AH688" s="451"/>
      <c r="AI688" s="450"/>
      <c r="AJ688" s="449"/>
      <c r="AK688" s="451"/>
      <c r="AL688" s="450"/>
      <c r="AM688" s="449"/>
      <c r="AN688" s="451"/>
      <c r="AO688" s="450"/>
      <c r="AP688" s="449"/>
      <c r="AQ688" s="451"/>
      <c r="AR688" s="449"/>
      <c r="AS688" s="449"/>
      <c r="AT688" s="451"/>
      <c r="AU688" s="449"/>
      <c r="AV688" s="451"/>
      <c r="AW688" s="449"/>
      <c r="AX688" s="449"/>
      <c r="AY688" s="449"/>
      <c r="AZ688" s="449"/>
      <c r="BA688" s="449"/>
      <c r="BB688" s="449"/>
      <c r="BC688" s="449"/>
      <c r="BD688" s="449"/>
      <c r="BE688" s="449"/>
      <c r="BF688" s="449"/>
      <c r="BG688" s="449"/>
      <c r="BH688" s="449"/>
      <c r="BI688" s="449"/>
      <c r="BJ688" s="449"/>
      <c r="BK688" s="449"/>
      <c r="BL688" s="449"/>
      <c r="BM688" s="449"/>
      <c r="BN688" s="449"/>
    </row>
    <row r="689" spans="1:66" ht="13.15" x14ac:dyDescent="0.4">
      <c r="A689" s="430"/>
      <c r="B689" s="430"/>
      <c r="C689" s="430"/>
      <c r="D689" s="430"/>
      <c r="E689" s="430"/>
      <c r="F689" s="430"/>
      <c r="G689" s="430"/>
      <c r="H689" s="461"/>
      <c r="I689" s="438"/>
      <c r="J689" s="438"/>
      <c r="K689" s="438"/>
      <c r="L689" s="430"/>
      <c r="M689" s="430"/>
      <c r="N689" s="461"/>
      <c r="O689" s="461"/>
      <c r="P689" s="430"/>
      <c r="Q689" s="430"/>
      <c r="R689" s="430"/>
      <c r="S689" s="430"/>
      <c r="T689" s="430"/>
      <c r="U689" s="430"/>
      <c r="V689" s="430"/>
      <c r="W689" s="430"/>
      <c r="X689" s="449"/>
      <c r="Y689" s="449"/>
      <c r="Z689" s="450"/>
      <c r="AA689" s="449"/>
      <c r="AB689" s="451"/>
      <c r="AC689" s="450"/>
      <c r="AD689" s="449"/>
      <c r="AE689" s="451"/>
      <c r="AF689" s="450"/>
      <c r="AG689" s="449"/>
      <c r="AH689" s="451"/>
      <c r="AI689" s="450"/>
      <c r="AJ689" s="449"/>
      <c r="AK689" s="451"/>
      <c r="AL689" s="450"/>
      <c r="AM689" s="449"/>
      <c r="AN689" s="451"/>
      <c r="AO689" s="450"/>
      <c r="AP689" s="449"/>
      <c r="AQ689" s="451"/>
      <c r="AR689" s="449"/>
      <c r="AS689" s="449"/>
      <c r="AT689" s="451"/>
      <c r="AU689" s="449"/>
      <c r="AV689" s="451"/>
      <c r="AW689" s="449"/>
      <c r="AX689" s="449"/>
      <c r="AY689" s="449"/>
      <c r="AZ689" s="449"/>
      <c r="BA689" s="449"/>
      <c r="BB689" s="449"/>
      <c r="BC689" s="449"/>
      <c r="BD689" s="449"/>
      <c r="BE689" s="449"/>
      <c r="BF689" s="449"/>
      <c r="BG689" s="449"/>
      <c r="BH689" s="449"/>
      <c r="BI689" s="449"/>
      <c r="BJ689" s="449"/>
      <c r="BK689" s="449"/>
      <c r="BL689" s="449"/>
      <c r="BM689" s="449"/>
      <c r="BN689" s="449"/>
    </row>
    <row r="690" spans="1:66" ht="13.15" x14ac:dyDescent="0.4">
      <c r="A690" s="430"/>
      <c r="B690" s="430"/>
      <c r="C690" s="430"/>
      <c r="D690" s="430"/>
      <c r="E690" s="430"/>
      <c r="F690" s="430"/>
      <c r="G690" s="430"/>
      <c r="H690" s="461"/>
      <c r="I690" s="438"/>
      <c r="J690" s="438"/>
      <c r="K690" s="438"/>
      <c r="L690" s="430"/>
      <c r="M690" s="430"/>
      <c r="N690" s="461"/>
      <c r="O690" s="461"/>
      <c r="P690" s="430"/>
      <c r="Q690" s="430"/>
      <c r="R690" s="430"/>
      <c r="S690" s="430"/>
      <c r="T690" s="430"/>
      <c r="U690" s="430"/>
      <c r="V690" s="430"/>
      <c r="W690" s="430"/>
      <c r="X690" s="449"/>
      <c r="Y690" s="449"/>
      <c r="Z690" s="450"/>
      <c r="AA690" s="449"/>
      <c r="AB690" s="451"/>
      <c r="AC690" s="450"/>
      <c r="AD690" s="449"/>
      <c r="AE690" s="451"/>
      <c r="AF690" s="450"/>
      <c r="AG690" s="449"/>
      <c r="AH690" s="451"/>
      <c r="AI690" s="450"/>
      <c r="AJ690" s="449"/>
      <c r="AK690" s="451"/>
      <c r="AL690" s="450"/>
      <c r="AM690" s="449"/>
      <c r="AN690" s="451"/>
      <c r="AO690" s="450"/>
      <c r="AP690" s="449"/>
      <c r="AQ690" s="451"/>
      <c r="AR690" s="449"/>
      <c r="AS690" s="449"/>
      <c r="AT690" s="451"/>
      <c r="AU690" s="449"/>
      <c r="AV690" s="451"/>
      <c r="AW690" s="449"/>
      <c r="AX690" s="449"/>
      <c r="AY690" s="449"/>
      <c r="AZ690" s="449"/>
      <c r="BA690" s="449"/>
      <c r="BB690" s="449"/>
      <c r="BC690" s="449"/>
      <c r="BD690" s="449"/>
      <c r="BE690" s="449"/>
      <c r="BF690" s="449"/>
      <c r="BG690" s="449"/>
      <c r="BH690" s="449"/>
      <c r="BI690" s="449"/>
      <c r="BJ690" s="449"/>
      <c r="BK690" s="449"/>
      <c r="BL690" s="449"/>
      <c r="BM690" s="449"/>
      <c r="BN690" s="449"/>
    </row>
    <row r="691" spans="1:66" ht="13.15" x14ac:dyDescent="0.4">
      <c r="A691" s="430"/>
      <c r="B691" s="430"/>
      <c r="C691" s="430"/>
      <c r="D691" s="430"/>
      <c r="E691" s="430"/>
      <c r="F691" s="430"/>
      <c r="G691" s="430"/>
      <c r="H691" s="461"/>
      <c r="I691" s="438"/>
      <c r="J691" s="438"/>
      <c r="K691" s="438"/>
      <c r="L691" s="430"/>
      <c r="M691" s="430"/>
      <c r="N691" s="461"/>
      <c r="O691" s="461"/>
      <c r="P691" s="430"/>
      <c r="Q691" s="430"/>
      <c r="R691" s="430"/>
      <c r="S691" s="430"/>
      <c r="T691" s="430"/>
      <c r="U691" s="430"/>
      <c r="V691" s="430"/>
      <c r="W691" s="430"/>
      <c r="X691" s="449"/>
      <c r="Y691" s="449"/>
      <c r="Z691" s="450"/>
      <c r="AA691" s="449"/>
      <c r="AB691" s="451"/>
      <c r="AC691" s="450"/>
      <c r="AD691" s="449"/>
      <c r="AE691" s="451"/>
      <c r="AF691" s="450"/>
      <c r="AG691" s="449"/>
      <c r="AH691" s="451"/>
      <c r="AI691" s="450"/>
      <c r="AJ691" s="449"/>
      <c r="AK691" s="451"/>
      <c r="AL691" s="450"/>
      <c r="AM691" s="449"/>
      <c r="AN691" s="451"/>
      <c r="AO691" s="450"/>
      <c r="AP691" s="449"/>
      <c r="AQ691" s="451"/>
      <c r="AR691" s="449"/>
      <c r="AS691" s="449"/>
      <c r="AT691" s="451"/>
      <c r="AU691" s="449"/>
      <c r="AV691" s="451"/>
      <c r="AW691" s="449"/>
      <c r="AX691" s="449"/>
      <c r="AY691" s="449"/>
      <c r="AZ691" s="449"/>
      <c r="BA691" s="449"/>
      <c r="BB691" s="449"/>
      <c r="BC691" s="449"/>
      <c r="BD691" s="449"/>
      <c r="BE691" s="449"/>
      <c r="BF691" s="449"/>
      <c r="BG691" s="449"/>
      <c r="BH691" s="449"/>
      <c r="BI691" s="449"/>
      <c r="BJ691" s="449"/>
      <c r="BK691" s="449"/>
      <c r="BL691" s="449"/>
      <c r="BM691" s="449"/>
      <c r="BN691" s="449"/>
    </row>
    <row r="692" spans="1:66" ht="13.15" x14ac:dyDescent="0.4">
      <c r="A692" s="430"/>
      <c r="B692" s="430"/>
      <c r="C692" s="430"/>
      <c r="D692" s="430"/>
      <c r="E692" s="430"/>
      <c r="F692" s="430"/>
      <c r="G692" s="430"/>
      <c r="H692" s="461"/>
      <c r="I692" s="438"/>
      <c r="J692" s="438"/>
      <c r="K692" s="438"/>
      <c r="L692" s="430"/>
      <c r="M692" s="430"/>
      <c r="N692" s="461"/>
      <c r="O692" s="461"/>
      <c r="P692" s="430"/>
      <c r="Q692" s="430"/>
      <c r="R692" s="430"/>
      <c r="S692" s="430"/>
      <c r="T692" s="430"/>
      <c r="U692" s="430"/>
      <c r="V692" s="430"/>
      <c r="W692" s="430"/>
      <c r="X692" s="449"/>
      <c r="Y692" s="449"/>
      <c r="Z692" s="450"/>
      <c r="AA692" s="449"/>
      <c r="AB692" s="451"/>
      <c r="AC692" s="450"/>
      <c r="AD692" s="449"/>
      <c r="AE692" s="451"/>
      <c r="AF692" s="450"/>
      <c r="AG692" s="449"/>
      <c r="AH692" s="451"/>
      <c r="AI692" s="450"/>
      <c r="AJ692" s="449"/>
      <c r="AK692" s="451"/>
      <c r="AL692" s="450"/>
      <c r="AM692" s="449"/>
      <c r="AN692" s="451"/>
      <c r="AO692" s="450"/>
      <c r="AP692" s="449"/>
      <c r="AQ692" s="451"/>
      <c r="AR692" s="449"/>
      <c r="AS692" s="449"/>
      <c r="AT692" s="451"/>
      <c r="AU692" s="449"/>
      <c r="AV692" s="451"/>
      <c r="AW692" s="449"/>
      <c r="AX692" s="449"/>
      <c r="AY692" s="449"/>
      <c r="AZ692" s="449"/>
      <c r="BA692" s="449"/>
      <c r="BB692" s="449"/>
      <c r="BC692" s="449"/>
      <c r="BD692" s="449"/>
      <c r="BE692" s="449"/>
      <c r="BF692" s="449"/>
      <c r="BG692" s="449"/>
      <c r="BH692" s="449"/>
      <c r="BI692" s="449"/>
      <c r="BJ692" s="449"/>
      <c r="BK692" s="449"/>
      <c r="BL692" s="449"/>
      <c r="BM692" s="449"/>
      <c r="BN692" s="449"/>
    </row>
    <row r="693" spans="1:66" ht="13.15" x14ac:dyDescent="0.4">
      <c r="A693" s="430"/>
      <c r="B693" s="430"/>
      <c r="C693" s="430"/>
      <c r="D693" s="430"/>
      <c r="E693" s="430"/>
      <c r="F693" s="430"/>
      <c r="G693" s="430"/>
      <c r="H693" s="461"/>
      <c r="I693" s="438"/>
      <c r="J693" s="438"/>
      <c r="K693" s="438"/>
      <c r="L693" s="430"/>
      <c r="M693" s="430"/>
      <c r="N693" s="461"/>
      <c r="O693" s="461"/>
      <c r="P693" s="430"/>
      <c r="Q693" s="430"/>
      <c r="R693" s="430"/>
      <c r="S693" s="430"/>
      <c r="T693" s="430"/>
      <c r="U693" s="430"/>
      <c r="V693" s="430"/>
      <c r="W693" s="430"/>
      <c r="X693" s="449"/>
      <c r="Y693" s="449"/>
      <c r="Z693" s="450"/>
      <c r="AA693" s="449"/>
      <c r="AB693" s="451"/>
      <c r="AC693" s="450"/>
      <c r="AD693" s="449"/>
      <c r="AE693" s="451"/>
      <c r="AF693" s="450"/>
      <c r="AG693" s="449"/>
      <c r="AH693" s="451"/>
      <c r="AI693" s="450"/>
      <c r="AJ693" s="449"/>
      <c r="AK693" s="451"/>
      <c r="AL693" s="450"/>
      <c r="AM693" s="449"/>
      <c r="AN693" s="451"/>
      <c r="AO693" s="450"/>
      <c r="AP693" s="449"/>
      <c r="AQ693" s="451"/>
      <c r="AR693" s="449"/>
      <c r="AS693" s="449"/>
      <c r="AT693" s="451"/>
      <c r="AU693" s="449"/>
      <c r="AV693" s="451"/>
      <c r="AW693" s="449"/>
      <c r="AX693" s="449"/>
      <c r="AY693" s="449"/>
      <c r="AZ693" s="449"/>
      <c r="BA693" s="449"/>
      <c r="BB693" s="449"/>
      <c r="BC693" s="449"/>
      <c r="BD693" s="449"/>
      <c r="BE693" s="449"/>
      <c r="BF693" s="449"/>
      <c r="BG693" s="449"/>
      <c r="BH693" s="449"/>
      <c r="BI693" s="449"/>
      <c r="BJ693" s="449"/>
      <c r="BK693" s="449"/>
      <c r="BL693" s="449"/>
      <c r="BM693" s="449"/>
      <c r="BN693" s="449"/>
    </row>
    <row r="694" spans="1:66" ht="13.15" x14ac:dyDescent="0.4">
      <c r="A694" s="430"/>
      <c r="B694" s="430"/>
      <c r="C694" s="430"/>
      <c r="D694" s="430"/>
      <c r="E694" s="430"/>
      <c r="F694" s="430"/>
      <c r="G694" s="430"/>
      <c r="H694" s="461"/>
      <c r="I694" s="438"/>
      <c r="J694" s="438"/>
      <c r="K694" s="438"/>
      <c r="L694" s="430"/>
      <c r="M694" s="430"/>
      <c r="N694" s="461"/>
      <c r="O694" s="461"/>
      <c r="P694" s="430"/>
      <c r="Q694" s="430"/>
      <c r="R694" s="430"/>
      <c r="S694" s="430"/>
      <c r="T694" s="430"/>
      <c r="U694" s="430"/>
      <c r="V694" s="430"/>
      <c r="W694" s="430"/>
      <c r="X694" s="449"/>
      <c r="Y694" s="449"/>
      <c r="Z694" s="450"/>
      <c r="AA694" s="449"/>
      <c r="AB694" s="451"/>
      <c r="AC694" s="450"/>
      <c r="AD694" s="449"/>
      <c r="AE694" s="451"/>
      <c r="AF694" s="450"/>
      <c r="AG694" s="449"/>
      <c r="AH694" s="451"/>
      <c r="AI694" s="450"/>
      <c r="AJ694" s="449"/>
      <c r="AK694" s="451"/>
      <c r="AL694" s="450"/>
      <c r="AM694" s="449"/>
      <c r="AN694" s="451"/>
      <c r="AO694" s="450"/>
      <c r="AP694" s="449"/>
      <c r="AQ694" s="451"/>
      <c r="AR694" s="449"/>
      <c r="AS694" s="449"/>
      <c r="AT694" s="451"/>
      <c r="AU694" s="449"/>
      <c r="AV694" s="451"/>
      <c r="AW694" s="449"/>
      <c r="AX694" s="449"/>
      <c r="AY694" s="449"/>
      <c r="AZ694" s="449"/>
      <c r="BA694" s="449"/>
      <c r="BB694" s="449"/>
      <c r="BC694" s="449"/>
      <c r="BD694" s="449"/>
      <c r="BE694" s="449"/>
      <c r="BF694" s="449"/>
      <c r="BG694" s="449"/>
      <c r="BH694" s="449"/>
      <c r="BI694" s="449"/>
      <c r="BJ694" s="449"/>
      <c r="BK694" s="449"/>
      <c r="BL694" s="449"/>
      <c r="BM694" s="449"/>
      <c r="BN694" s="449"/>
    </row>
    <row r="695" spans="1:66" ht="13.15" x14ac:dyDescent="0.4">
      <c r="A695" s="430"/>
      <c r="B695" s="430"/>
      <c r="C695" s="430"/>
      <c r="D695" s="430"/>
      <c r="E695" s="430"/>
      <c r="F695" s="430"/>
      <c r="G695" s="430"/>
      <c r="H695" s="461"/>
      <c r="I695" s="438"/>
      <c r="J695" s="438"/>
      <c r="K695" s="438"/>
      <c r="L695" s="430"/>
      <c r="M695" s="430"/>
      <c r="N695" s="461"/>
      <c r="O695" s="461"/>
      <c r="P695" s="430"/>
      <c r="Q695" s="430"/>
      <c r="R695" s="430"/>
      <c r="S695" s="430"/>
      <c r="T695" s="430"/>
      <c r="U695" s="430"/>
      <c r="V695" s="430"/>
      <c r="W695" s="430"/>
      <c r="X695" s="449"/>
      <c r="Y695" s="449"/>
      <c r="Z695" s="450"/>
      <c r="AA695" s="449"/>
      <c r="AB695" s="451"/>
      <c r="AC695" s="450"/>
      <c r="AD695" s="449"/>
      <c r="AE695" s="451"/>
      <c r="AF695" s="450"/>
      <c r="AG695" s="449"/>
      <c r="AH695" s="451"/>
      <c r="AI695" s="450"/>
      <c r="AJ695" s="449"/>
      <c r="AK695" s="451"/>
      <c r="AL695" s="450"/>
      <c r="AM695" s="449"/>
      <c r="AN695" s="451"/>
      <c r="AO695" s="450"/>
      <c r="AP695" s="449"/>
      <c r="AQ695" s="451"/>
      <c r="AR695" s="449"/>
      <c r="AS695" s="449"/>
      <c r="AT695" s="451"/>
      <c r="AU695" s="449"/>
      <c r="AV695" s="451"/>
      <c r="AW695" s="449"/>
      <c r="AX695" s="449"/>
      <c r="AY695" s="449"/>
      <c r="AZ695" s="449"/>
      <c r="BA695" s="449"/>
      <c r="BB695" s="449"/>
      <c r="BC695" s="449"/>
      <c r="BD695" s="449"/>
      <c r="BE695" s="449"/>
      <c r="BF695" s="449"/>
      <c r="BG695" s="449"/>
      <c r="BH695" s="449"/>
      <c r="BI695" s="449"/>
      <c r="BJ695" s="449"/>
      <c r="BK695" s="449"/>
      <c r="BL695" s="449"/>
      <c r="BM695" s="449"/>
      <c r="BN695" s="449"/>
    </row>
    <row r="696" spans="1:66" ht="13.15" x14ac:dyDescent="0.4">
      <c r="A696" s="430"/>
      <c r="B696" s="430"/>
      <c r="C696" s="430"/>
      <c r="D696" s="430"/>
      <c r="E696" s="430"/>
      <c r="F696" s="430"/>
      <c r="G696" s="430"/>
      <c r="H696" s="461"/>
      <c r="I696" s="438"/>
      <c r="J696" s="438"/>
      <c r="K696" s="438"/>
      <c r="L696" s="430"/>
      <c r="M696" s="430"/>
      <c r="N696" s="461"/>
      <c r="O696" s="461"/>
      <c r="P696" s="430"/>
      <c r="Q696" s="430"/>
      <c r="R696" s="430"/>
      <c r="S696" s="430"/>
      <c r="T696" s="430"/>
      <c r="U696" s="430"/>
      <c r="V696" s="430"/>
      <c r="W696" s="430"/>
      <c r="X696" s="449"/>
      <c r="Y696" s="449"/>
      <c r="Z696" s="450"/>
      <c r="AA696" s="449"/>
      <c r="AB696" s="451"/>
      <c r="AC696" s="450"/>
      <c r="AD696" s="449"/>
      <c r="AE696" s="451"/>
      <c r="AF696" s="450"/>
      <c r="AG696" s="449"/>
      <c r="AH696" s="451"/>
      <c r="AI696" s="450"/>
      <c r="AJ696" s="449"/>
      <c r="AK696" s="451"/>
      <c r="AL696" s="450"/>
      <c r="AM696" s="449"/>
      <c r="AN696" s="451"/>
      <c r="AO696" s="450"/>
      <c r="AP696" s="449"/>
      <c r="AQ696" s="451"/>
      <c r="AR696" s="449"/>
      <c r="AS696" s="449"/>
      <c r="AT696" s="451"/>
      <c r="AU696" s="449"/>
      <c r="AV696" s="451"/>
      <c r="AW696" s="449"/>
      <c r="AX696" s="449"/>
      <c r="AY696" s="449"/>
      <c r="AZ696" s="449"/>
      <c r="BA696" s="449"/>
      <c r="BB696" s="449"/>
      <c r="BC696" s="449"/>
      <c r="BD696" s="449"/>
      <c r="BE696" s="449"/>
      <c r="BF696" s="449"/>
      <c r="BG696" s="449"/>
      <c r="BH696" s="449"/>
      <c r="BI696" s="449"/>
      <c r="BJ696" s="449"/>
      <c r="BK696" s="449"/>
      <c r="BL696" s="449"/>
      <c r="BM696" s="449"/>
      <c r="BN696" s="449"/>
    </row>
    <row r="697" spans="1:66" ht="13.15" x14ac:dyDescent="0.4">
      <c r="A697" s="430"/>
      <c r="B697" s="430"/>
      <c r="C697" s="430"/>
      <c r="D697" s="430"/>
      <c r="E697" s="430"/>
      <c r="F697" s="430"/>
      <c r="G697" s="430"/>
      <c r="H697" s="461"/>
      <c r="I697" s="438"/>
      <c r="J697" s="438"/>
      <c r="K697" s="438"/>
      <c r="L697" s="430"/>
      <c r="M697" s="430"/>
      <c r="N697" s="461"/>
      <c r="O697" s="461"/>
      <c r="P697" s="430"/>
      <c r="Q697" s="430"/>
      <c r="R697" s="430"/>
      <c r="S697" s="430"/>
      <c r="T697" s="430"/>
      <c r="U697" s="430"/>
      <c r="V697" s="430"/>
      <c r="W697" s="430"/>
      <c r="X697" s="449"/>
      <c r="Y697" s="449"/>
      <c r="Z697" s="450"/>
      <c r="AA697" s="449"/>
      <c r="AB697" s="451"/>
      <c r="AC697" s="450"/>
      <c r="AD697" s="449"/>
      <c r="AE697" s="451"/>
      <c r="AF697" s="450"/>
      <c r="AG697" s="449"/>
      <c r="AH697" s="451"/>
      <c r="AI697" s="450"/>
      <c r="AJ697" s="449"/>
      <c r="AK697" s="451"/>
      <c r="AL697" s="450"/>
      <c r="AM697" s="449"/>
      <c r="AN697" s="451"/>
      <c r="AO697" s="450"/>
      <c r="AP697" s="449"/>
      <c r="AQ697" s="451"/>
      <c r="AR697" s="449"/>
      <c r="AS697" s="449"/>
      <c r="AT697" s="451"/>
      <c r="AU697" s="449"/>
      <c r="AV697" s="451"/>
      <c r="AW697" s="449"/>
      <c r="AX697" s="449"/>
      <c r="AY697" s="449"/>
      <c r="AZ697" s="449"/>
      <c r="BA697" s="449"/>
      <c r="BB697" s="449"/>
      <c r="BC697" s="449"/>
      <c r="BD697" s="449"/>
      <c r="BE697" s="449"/>
      <c r="BF697" s="449"/>
      <c r="BG697" s="449"/>
      <c r="BH697" s="449"/>
      <c r="BI697" s="449"/>
      <c r="BJ697" s="449"/>
      <c r="BK697" s="449"/>
      <c r="BL697" s="449"/>
      <c r="BM697" s="449"/>
      <c r="BN697" s="449"/>
    </row>
    <row r="698" spans="1:66" ht="13.15" x14ac:dyDescent="0.4">
      <c r="A698" s="430"/>
      <c r="B698" s="430"/>
      <c r="C698" s="430"/>
      <c r="D698" s="430"/>
      <c r="E698" s="430"/>
      <c r="F698" s="430"/>
      <c r="G698" s="430"/>
      <c r="H698" s="461"/>
      <c r="I698" s="438"/>
      <c r="J698" s="438"/>
      <c r="K698" s="438"/>
      <c r="L698" s="430"/>
      <c r="M698" s="430"/>
      <c r="N698" s="461"/>
      <c r="O698" s="461"/>
      <c r="P698" s="430"/>
      <c r="Q698" s="430"/>
      <c r="R698" s="430"/>
      <c r="S698" s="430"/>
      <c r="T698" s="430"/>
      <c r="U698" s="430"/>
      <c r="V698" s="430"/>
      <c r="W698" s="430"/>
      <c r="X698" s="449"/>
      <c r="Y698" s="449"/>
      <c r="Z698" s="450"/>
      <c r="AA698" s="449"/>
      <c r="AB698" s="451"/>
      <c r="AC698" s="450"/>
      <c r="AD698" s="449"/>
      <c r="AE698" s="451"/>
      <c r="AF698" s="450"/>
      <c r="AG698" s="449"/>
      <c r="AH698" s="451"/>
      <c r="AI698" s="450"/>
      <c r="AJ698" s="449"/>
      <c r="AK698" s="451"/>
      <c r="AL698" s="450"/>
      <c r="AM698" s="449"/>
      <c r="AN698" s="451"/>
      <c r="AO698" s="450"/>
      <c r="AP698" s="449"/>
      <c r="AQ698" s="451"/>
      <c r="AR698" s="449"/>
      <c r="AS698" s="449"/>
      <c r="AT698" s="451"/>
      <c r="AU698" s="449"/>
      <c r="AV698" s="451"/>
      <c r="AW698" s="449"/>
      <c r="AX698" s="449"/>
      <c r="AY698" s="449"/>
      <c r="AZ698" s="449"/>
      <c r="BA698" s="449"/>
      <c r="BB698" s="449"/>
      <c r="BC698" s="449"/>
      <c r="BD698" s="449"/>
      <c r="BE698" s="449"/>
      <c r="BF698" s="449"/>
      <c r="BG698" s="449"/>
      <c r="BH698" s="449"/>
      <c r="BI698" s="449"/>
      <c r="BJ698" s="449"/>
      <c r="BK698" s="449"/>
      <c r="BL698" s="449"/>
      <c r="BM698" s="449"/>
      <c r="BN698" s="449"/>
    </row>
    <row r="699" spans="1:66" ht="13.15" x14ac:dyDescent="0.4">
      <c r="A699" s="430"/>
      <c r="B699" s="430"/>
      <c r="C699" s="430"/>
      <c r="D699" s="430"/>
      <c r="E699" s="430"/>
      <c r="F699" s="430"/>
      <c r="G699" s="430"/>
      <c r="H699" s="461"/>
      <c r="I699" s="438"/>
      <c r="J699" s="438"/>
      <c r="K699" s="438"/>
      <c r="L699" s="430"/>
      <c r="M699" s="430"/>
      <c r="N699" s="461"/>
      <c r="O699" s="461"/>
      <c r="P699" s="430"/>
      <c r="Q699" s="430"/>
      <c r="R699" s="430"/>
      <c r="S699" s="430"/>
      <c r="T699" s="430"/>
      <c r="U699" s="430"/>
      <c r="V699" s="430"/>
      <c r="W699" s="430"/>
      <c r="X699" s="449"/>
      <c r="Y699" s="449"/>
      <c r="Z699" s="450"/>
      <c r="AA699" s="449"/>
      <c r="AB699" s="451"/>
      <c r="AC699" s="450"/>
      <c r="AD699" s="449"/>
      <c r="AE699" s="451"/>
      <c r="AF699" s="450"/>
      <c r="AG699" s="449"/>
      <c r="AH699" s="451"/>
      <c r="AI699" s="450"/>
      <c r="AJ699" s="449"/>
      <c r="AK699" s="451"/>
      <c r="AL699" s="450"/>
      <c r="AM699" s="449"/>
      <c r="AN699" s="451"/>
      <c r="AO699" s="450"/>
      <c r="AP699" s="449"/>
      <c r="AQ699" s="451"/>
      <c r="AR699" s="449"/>
      <c r="AS699" s="449"/>
      <c r="AT699" s="451"/>
      <c r="AU699" s="449"/>
      <c r="AV699" s="451"/>
      <c r="AW699" s="449"/>
      <c r="AX699" s="449"/>
      <c r="AY699" s="449"/>
      <c r="AZ699" s="449"/>
      <c r="BA699" s="449"/>
      <c r="BB699" s="449"/>
      <c r="BC699" s="449"/>
      <c r="BD699" s="449"/>
      <c r="BE699" s="449"/>
      <c r="BF699" s="449"/>
      <c r="BG699" s="449"/>
      <c r="BH699" s="449"/>
      <c r="BI699" s="449"/>
      <c r="BJ699" s="449"/>
      <c r="BK699" s="449"/>
      <c r="BL699" s="449"/>
      <c r="BM699" s="449"/>
      <c r="BN699" s="449"/>
    </row>
    <row r="700" spans="1:66" ht="13.15" x14ac:dyDescent="0.4">
      <c r="A700" s="430"/>
      <c r="B700" s="430"/>
      <c r="C700" s="430"/>
      <c r="D700" s="430"/>
      <c r="E700" s="430"/>
      <c r="F700" s="430"/>
      <c r="G700" s="430"/>
      <c r="H700" s="461"/>
      <c r="I700" s="438"/>
      <c r="J700" s="438"/>
      <c r="K700" s="438"/>
      <c r="L700" s="430"/>
      <c r="M700" s="430"/>
      <c r="N700" s="461"/>
      <c r="O700" s="461"/>
      <c r="P700" s="430"/>
      <c r="Q700" s="430"/>
      <c r="R700" s="430"/>
      <c r="S700" s="430"/>
      <c r="T700" s="430"/>
      <c r="U700" s="430"/>
      <c r="V700" s="430"/>
      <c r="W700" s="430"/>
      <c r="X700" s="449"/>
      <c r="Y700" s="449"/>
      <c r="Z700" s="450"/>
      <c r="AA700" s="449"/>
      <c r="AB700" s="451"/>
      <c r="AC700" s="450"/>
      <c r="AD700" s="449"/>
      <c r="AE700" s="451"/>
      <c r="AF700" s="450"/>
      <c r="AG700" s="449"/>
      <c r="AH700" s="451"/>
      <c r="AI700" s="450"/>
      <c r="AJ700" s="449"/>
      <c r="AK700" s="451"/>
      <c r="AL700" s="450"/>
      <c r="AM700" s="449"/>
      <c r="AN700" s="451"/>
      <c r="AO700" s="450"/>
      <c r="AP700" s="449"/>
      <c r="AQ700" s="451"/>
      <c r="AR700" s="449"/>
      <c r="AS700" s="449"/>
      <c r="AT700" s="451"/>
      <c r="AU700" s="449"/>
      <c r="AV700" s="451"/>
      <c r="AW700" s="449"/>
      <c r="AX700" s="449"/>
      <c r="AY700" s="449"/>
      <c r="AZ700" s="449"/>
      <c r="BA700" s="449"/>
      <c r="BB700" s="449"/>
      <c r="BC700" s="449"/>
      <c r="BD700" s="449"/>
      <c r="BE700" s="449"/>
      <c r="BF700" s="449"/>
      <c r="BG700" s="449"/>
      <c r="BH700" s="449"/>
      <c r="BI700" s="449"/>
      <c r="BJ700" s="449"/>
      <c r="BK700" s="449"/>
      <c r="BL700" s="449"/>
      <c r="BM700" s="449"/>
      <c r="BN700" s="449"/>
    </row>
    <row r="701" spans="1:66" ht="13.15" x14ac:dyDescent="0.4">
      <c r="A701" s="430"/>
      <c r="B701" s="430"/>
      <c r="C701" s="430"/>
      <c r="D701" s="430"/>
      <c r="E701" s="430"/>
      <c r="F701" s="430"/>
      <c r="G701" s="430"/>
      <c r="H701" s="461"/>
      <c r="I701" s="438"/>
      <c r="J701" s="438"/>
      <c r="K701" s="438"/>
      <c r="L701" s="430"/>
      <c r="M701" s="430"/>
      <c r="N701" s="461"/>
      <c r="O701" s="461"/>
      <c r="P701" s="430"/>
      <c r="Q701" s="430"/>
      <c r="R701" s="430"/>
      <c r="S701" s="430"/>
      <c r="T701" s="430"/>
      <c r="U701" s="430"/>
      <c r="V701" s="430"/>
      <c r="W701" s="430"/>
      <c r="X701" s="449"/>
      <c r="Y701" s="449"/>
      <c r="Z701" s="450"/>
      <c r="AA701" s="449"/>
      <c r="AB701" s="451"/>
      <c r="AC701" s="450"/>
      <c r="AD701" s="449"/>
      <c r="AE701" s="451"/>
      <c r="AF701" s="450"/>
      <c r="AG701" s="449"/>
      <c r="AH701" s="451"/>
      <c r="AI701" s="450"/>
      <c r="AJ701" s="449"/>
      <c r="AK701" s="451"/>
      <c r="AL701" s="450"/>
      <c r="AM701" s="449"/>
      <c r="AN701" s="451"/>
      <c r="AO701" s="450"/>
      <c r="AP701" s="449"/>
      <c r="AQ701" s="451"/>
      <c r="AR701" s="449"/>
      <c r="AS701" s="449"/>
      <c r="AT701" s="451"/>
      <c r="AU701" s="449"/>
      <c r="AV701" s="451"/>
      <c r="AW701" s="449"/>
      <c r="AX701" s="449"/>
      <c r="AY701" s="449"/>
      <c r="AZ701" s="449"/>
      <c r="BA701" s="449"/>
      <c r="BB701" s="449"/>
      <c r="BC701" s="449"/>
      <c r="BD701" s="449"/>
      <c r="BE701" s="449"/>
      <c r="BF701" s="449"/>
      <c r="BG701" s="449"/>
      <c r="BH701" s="449"/>
      <c r="BI701" s="449"/>
      <c r="BJ701" s="449"/>
      <c r="BK701" s="449"/>
      <c r="BL701" s="449"/>
      <c r="BM701" s="449"/>
      <c r="BN701" s="449"/>
    </row>
    <row r="702" spans="1:66" ht="13.15" x14ac:dyDescent="0.4">
      <c r="A702" s="430"/>
      <c r="B702" s="430"/>
      <c r="C702" s="430"/>
      <c r="D702" s="430"/>
      <c r="E702" s="430"/>
      <c r="F702" s="430"/>
      <c r="G702" s="430"/>
      <c r="H702" s="461"/>
      <c r="I702" s="438"/>
      <c r="J702" s="438"/>
      <c r="K702" s="438"/>
      <c r="L702" s="430"/>
      <c r="M702" s="430"/>
      <c r="N702" s="461"/>
      <c r="O702" s="461"/>
      <c r="P702" s="430"/>
      <c r="Q702" s="430"/>
      <c r="R702" s="430"/>
      <c r="S702" s="430"/>
      <c r="T702" s="430"/>
      <c r="U702" s="430"/>
      <c r="V702" s="430"/>
      <c r="W702" s="430"/>
      <c r="X702" s="449"/>
      <c r="Y702" s="449"/>
      <c r="Z702" s="450"/>
      <c r="AA702" s="449"/>
      <c r="AB702" s="451"/>
      <c r="AC702" s="450"/>
      <c r="AD702" s="449"/>
      <c r="AE702" s="451"/>
      <c r="AF702" s="450"/>
      <c r="AG702" s="449"/>
      <c r="AH702" s="451"/>
      <c r="AI702" s="450"/>
      <c r="AJ702" s="449"/>
      <c r="AK702" s="451"/>
      <c r="AL702" s="450"/>
      <c r="AM702" s="449"/>
      <c r="AN702" s="451"/>
      <c r="AO702" s="450"/>
      <c r="AP702" s="449"/>
      <c r="AQ702" s="451"/>
      <c r="AR702" s="449"/>
      <c r="AS702" s="449"/>
      <c r="AT702" s="451"/>
      <c r="AU702" s="449"/>
      <c r="AV702" s="451"/>
      <c r="AW702" s="449"/>
      <c r="AX702" s="449"/>
      <c r="AY702" s="449"/>
      <c r="AZ702" s="449"/>
      <c r="BA702" s="449"/>
      <c r="BB702" s="449"/>
      <c r="BC702" s="449"/>
      <c r="BD702" s="449"/>
      <c r="BE702" s="449"/>
      <c r="BF702" s="449"/>
      <c r="BG702" s="449"/>
      <c r="BH702" s="449"/>
      <c r="BI702" s="449"/>
      <c r="BJ702" s="449"/>
      <c r="BK702" s="449"/>
      <c r="BL702" s="449"/>
      <c r="BM702" s="449"/>
      <c r="BN702" s="449"/>
    </row>
    <row r="703" spans="1:66" ht="13.15" x14ac:dyDescent="0.4">
      <c r="A703" s="430"/>
      <c r="B703" s="430"/>
      <c r="C703" s="430"/>
      <c r="D703" s="430"/>
      <c r="E703" s="430"/>
      <c r="F703" s="430"/>
      <c r="G703" s="430"/>
      <c r="H703" s="461"/>
      <c r="I703" s="438"/>
      <c r="J703" s="438"/>
      <c r="K703" s="438"/>
      <c r="L703" s="430"/>
      <c r="M703" s="430"/>
      <c r="N703" s="461"/>
      <c r="O703" s="461"/>
      <c r="P703" s="430"/>
      <c r="Q703" s="430"/>
      <c r="R703" s="430"/>
      <c r="S703" s="430"/>
      <c r="T703" s="430"/>
      <c r="U703" s="430"/>
      <c r="V703" s="430"/>
      <c r="W703" s="430"/>
      <c r="X703" s="449"/>
      <c r="Y703" s="449"/>
      <c r="Z703" s="450"/>
      <c r="AA703" s="449"/>
      <c r="AB703" s="451"/>
      <c r="AC703" s="450"/>
      <c r="AD703" s="449"/>
      <c r="AE703" s="451"/>
      <c r="AF703" s="450"/>
      <c r="AG703" s="449"/>
      <c r="AH703" s="451"/>
      <c r="AI703" s="450"/>
      <c r="AJ703" s="449"/>
      <c r="AK703" s="451"/>
      <c r="AL703" s="450"/>
      <c r="AM703" s="449"/>
      <c r="AN703" s="451"/>
      <c r="AO703" s="450"/>
      <c r="AP703" s="449"/>
      <c r="AQ703" s="451"/>
      <c r="AR703" s="449"/>
      <c r="AS703" s="449"/>
      <c r="AT703" s="451"/>
      <c r="AU703" s="449"/>
      <c r="AV703" s="451"/>
      <c r="AW703" s="449"/>
      <c r="AX703" s="449"/>
      <c r="AY703" s="449"/>
      <c r="AZ703" s="449"/>
      <c r="BA703" s="449"/>
      <c r="BB703" s="449"/>
      <c r="BC703" s="449"/>
      <c r="BD703" s="449"/>
      <c r="BE703" s="449"/>
      <c r="BF703" s="449"/>
      <c r="BG703" s="449"/>
      <c r="BH703" s="449"/>
      <c r="BI703" s="449"/>
      <c r="BJ703" s="449"/>
      <c r="BK703" s="449"/>
      <c r="BL703" s="449"/>
      <c r="BM703" s="449"/>
      <c r="BN703" s="449"/>
    </row>
    <row r="704" spans="1:66" ht="13.15" x14ac:dyDescent="0.4">
      <c r="A704" s="430"/>
      <c r="B704" s="430"/>
      <c r="C704" s="430"/>
      <c r="D704" s="430"/>
      <c r="E704" s="430"/>
      <c r="F704" s="430"/>
      <c r="G704" s="430"/>
      <c r="H704" s="461"/>
      <c r="I704" s="438"/>
      <c r="J704" s="438"/>
      <c r="K704" s="438"/>
      <c r="L704" s="430"/>
      <c r="M704" s="430"/>
      <c r="N704" s="461"/>
      <c r="O704" s="461"/>
      <c r="P704" s="430"/>
      <c r="Q704" s="430"/>
      <c r="R704" s="430"/>
      <c r="S704" s="430"/>
      <c r="T704" s="430"/>
      <c r="U704" s="430"/>
      <c r="V704" s="430"/>
      <c r="W704" s="430"/>
      <c r="X704" s="449"/>
      <c r="Y704" s="449"/>
      <c r="Z704" s="450"/>
      <c r="AA704" s="449"/>
      <c r="AB704" s="451"/>
      <c r="AC704" s="450"/>
      <c r="AD704" s="449"/>
      <c r="AE704" s="451"/>
      <c r="AF704" s="450"/>
      <c r="AG704" s="449"/>
      <c r="AH704" s="451"/>
      <c r="AI704" s="450"/>
      <c r="AJ704" s="449"/>
      <c r="AK704" s="451"/>
      <c r="AL704" s="450"/>
      <c r="AM704" s="449"/>
      <c r="AN704" s="451"/>
      <c r="AO704" s="450"/>
      <c r="AP704" s="449"/>
      <c r="AQ704" s="451"/>
      <c r="AR704" s="449"/>
      <c r="AS704" s="449"/>
      <c r="AT704" s="451"/>
      <c r="AU704" s="449"/>
      <c r="AV704" s="451"/>
      <c r="AW704" s="449"/>
      <c r="AX704" s="449"/>
      <c r="AY704" s="449"/>
      <c r="AZ704" s="449"/>
      <c r="BA704" s="449"/>
      <c r="BB704" s="449"/>
      <c r="BC704" s="449"/>
      <c r="BD704" s="449"/>
      <c r="BE704" s="449"/>
      <c r="BF704" s="449"/>
      <c r="BG704" s="449"/>
      <c r="BH704" s="449"/>
      <c r="BI704" s="449"/>
      <c r="BJ704" s="449"/>
      <c r="BK704" s="449"/>
      <c r="BL704" s="449"/>
      <c r="BM704" s="449"/>
      <c r="BN704" s="449"/>
    </row>
    <row r="705" spans="1:66" ht="13.15" x14ac:dyDescent="0.4">
      <c r="A705" s="430"/>
      <c r="B705" s="430"/>
      <c r="C705" s="430"/>
      <c r="D705" s="430"/>
      <c r="E705" s="430"/>
      <c r="F705" s="430"/>
      <c r="G705" s="430"/>
      <c r="H705" s="461"/>
      <c r="I705" s="438"/>
      <c r="J705" s="438"/>
      <c r="K705" s="438"/>
      <c r="L705" s="430"/>
      <c r="M705" s="430"/>
      <c r="N705" s="461"/>
      <c r="O705" s="461"/>
      <c r="P705" s="430"/>
      <c r="Q705" s="430"/>
      <c r="R705" s="430"/>
      <c r="S705" s="430"/>
      <c r="T705" s="430"/>
      <c r="U705" s="430"/>
      <c r="V705" s="430"/>
      <c r="W705" s="430"/>
      <c r="X705" s="449"/>
      <c r="Y705" s="449"/>
      <c r="Z705" s="450"/>
      <c r="AA705" s="449"/>
      <c r="AB705" s="451"/>
      <c r="AC705" s="450"/>
      <c r="AD705" s="449"/>
      <c r="AE705" s="451"/>
      <c r="AF705" s="450"/>
      <c r="AG705" s="449"/>
      <c r="AH705" s="451"/>
      <c r="AI705" s="450"/>
      <c r="AJ705" s="449"/>
      <c r="AK705" s="451"/>
      <c r="AL705" s="450"/>
      <c r="AM705" s="449"/>
      <c r="AN705" s="451"/>
      <c r="AO705" s="450"/>
      <c r="AP705" s="449"/>
      <c r="AQ705" s="451"/>
      <c r="AR705" s="449"/>
      <c r="AS705" s="449"/>
      <c r="AT705" s="451"/>
      <c r="AU705" s="449"/>
      <c r="AV705" s="451"/>
      <c r="AW705" s="449"/>
      <c r="AX705" s="449"/>
      <c r="AY705" s="449"/>
      <c r="AZ705" s="449"/>
      <c r="BA705" s="449"/>
      <c r="BB705" s="449"/>
      <c r="BC705" s="449"/>
      <c r="BD705" s="449"/>
      <c r="BE705" s="449"/>
      <c r="BF705" s="449"/>
      <c r="BG705" s="449"/>
      <c r="BH705" s="449"/>
      <c r="BI705" s="449"/>
      <c r="BJ705" s="449"/>
      <c r="BK705" s="449"/>
      <c r="BL705" s="449"/>
      <c r="BM705" s="449"/>
      <c r="BN705" s="449"/>
    </row>
    <row r="706" spans="1:66" ht="13.15" x14ac:dyDescent="0.4">
      <c r="A706" s="430"/>
      <c r="B706" s="430"/>
      <c r="C706" s="430"/>
      <c r="D706" s="430"/>
      <c r="E706" s="430"/>
      <c r="F706" s="430"/>
      <c r="G706" s="430"/>
      <c r="H706" s="461"/>
      <c r="I706" s="438"/>
      <c r="J706" s="438"/>
      <c r="K706" s="438"/>
      <c r="L706" s="430"/>
      <c r="M706" s="430"/>
      <c r="N706" s="461"/>
      <c r="O706" s="461"/>
      <c r="P706" s="430"/>
      <c r="Q706" s="430"/>
      <c r="R706" s="430"/>
      <c r="S706" s="430"/>
      <c r="T706" s="430"/>
      <c r="U706" s="430"/>
      <c r="V706" s="430"/>
      <c r="W706" s="430"/>
      <c r="X706" s="449"/>
      <c r="Y706" s="449"/>
      <c r="Z706" s="450"/>
      <c r="AA706" s="449"/>
      <c r="AB706" s="451"/>
      <c r="AC706" s="450"/>
      <c r="AD706" s="449"/>
      <c r="AE706" s="451"/>
      <c r="AF706" s="450"/>
      <c r="AG706" s="449"/>
      <c r="AH706" s="451"/>
      <c r="AI706" s="450"/>
      <c r="AJ706" s="449"/>
      <c r="AK706" s="451"/>
      <c r="AL706" s="450"/>
      <c r="AM706" s="449"/>
      <c r="AN706" s="451"/>
      <c r="AO706" s="450"/>
      <c r="AP706" s="449"/>
      <c r="AQ706" s="451"/>
      <c r="AR706" s="449"/>
      <c r="AS706" s="449"/>
      <c r="AT706" s="451"/>
      <c r="AU706" s="449"/>
      <c r="AV706" s="451"/>
      <c r="AW706" s="449"/>
      <c r="AX706" s="449"/>
      <c r="AY706" s="449"/>
      <c r="AZ706" s="449"/>
      <c r="BA706" s="449"/>
      <c r="BB706" s="449"/>
      <c r="BC706" s="449"/>
      <c r="BD706" s="449"/>
      <c r="BE706" s="449"/>
      <c r="BF706" s="449"/>
      <c r="BG706" s="449"/>
      <c r="BH706" s="449"/>
      <c r="BI706" s="449"/>
      <c r="BJ706" s="449"/>
      <c r="BK706" s="449"/>
      <c r="BL706" s="449"/>
      <c r="BM706" s="449"/>
      <c r="BN706" s="449"/>
    </row>
    <row r="707" spans="1:66" ht="13.15" x14ac:dyDescent="0.4">
      <c r="A707" s="430"/>
      <c r="B707" s="430"/>
      <c r="C707" s="430"/>
      <c r="D707" s="430"/>
      <c r="E707" s="430"/>
      <c r="F707" s="430"/>
      <c r="G707" s="430"/>
      <c r="H707" s="461"/>
      <c r="I707" s="438"/>
      <c r="J707" s="438"/>
      <c r="K707" s="438"/>
      <c r="L707" s="430"/>
      <c r="M707" s="430"/>
      <c r="N707" s="461"/>
      <c r="O707" s="461"/>
      <c r="P707" s="430"/>
      <c r="Q707" s="430"/>
      <c r="R707" s="430"/>
      <c r="S707" s="430"/>
      <c r="T707" s="430"/>
      <c r="U707" s="430"/>
      <c r="V707" s="430"/>
      <c r="W707" s="430"/>
      <c r="X707" s="449"/>
      <c r="Y707" s="449"/>
      <c r="Z707" s="450"/>
      <c r="AA707" s="449"/>
      <c r="AB707" s="451"/>
      <c r="AC707" s="450"/>
      <c r="AD707" s="449"/>
      <c r="AE707" s="451"/>
      <c r="AF707" s="450"/>
      <c r="AG707" s="449"/>
      <c r="AH707" s="451"/>
      <c r="AI707" s="450"/>
      <c r="AJ707" s="449"/>
      <c r="AK707" s="451"/>
      <c r="AL707" s="450"/>
      <c r="AM707" s="449"/>
      <c r="AN707" s="451"/>
      <c r="AO707" s="450"/>
      <c r="AP707" s="449"/>
      <c r="AQ707" s="451"/>
      <c r="AR707" s="449"/>
      <c r="AS707" s="449"/>
      <c r="AT707" s="451"/>
      <c r="AU707" s="449"/>
      <c r="AV707" s="451"/>
      <c r="AW707" s="449"/>
      <c r="AX707" s="449"/>
      <c r="AY707" s="449"/>
      <c r="AZ707" s="449"/>
      <c r="BA707" s="449"/>
      <c r="BB707" s="449"/>
      <c r="BC707" s="449"/>
      <c r="BD707" s="449"/>
      <c r="BE707" s="449"/>
      <c r="BF707" s="449"/>
      <c r="BG707" s="449"/>
      <c r="BH707" s="449"/>
      <c r="BI707" s="449"/>
      <c r="BJ707" s="449"/>
      <c r="BK707" s="449"/>
      <c r="BL707" s="449"/>
      <c r="BM707" s="449"/>
      <c r="BN707" s="449"/>
    </row>
    <row r="708" spans="1:66" ht="13.15" x14ac:dyDescent="0.4">
      <c r="A708" s="430"/>
      <c r="B708" s="430"/>
      <c r="C708" s="430"/>
      <c r="D708" s="430"/>
      <c r="E708" s="430"/>
      <c r="F708" s="430"/>
      <c r="G708" s="430"/>
      <c r="H708" s="461"/>
      <c r="I708" s="438"/>
      <c r="J708" s="438"/>
      <c r="K708" s="438"/>
      <c r="L708" s="430"/>
      <c r="M708" s="430"/>
      <c r="N708" s="461"/>
      <c r="O708" s="461"/>
      <c r="P708" s="430"/>
      <c r="Q708" s="430"/>
      <c r="R708" s="430"/>
      <c r="S708" s="430"/>
      <c r="T708" s="430"/>
      <c r="U708" s="430"/>
      <c r="V708" s="430"/>
      <c r="W708" s="430"/>
      <c r="X708" s="449"/>
      <c r="Y708" s="449"/>
      <c r="Z708" s="450"/>
      <c r="AA708" s="449"/>
      <c r="AB708" s="451"/>
      <c r="AC708" s="450"/>
      <c r="AD708" s="449"/>
      <c r="AE708" s="451"/>
      <c r="AF708" s="450"/>
      <c r="AG708" s="449"/>
      <c r="AH708" s="451"/>
      <c r="AI708" s="450"/>
      <c r="AJ708" s="449"/>
      <c r="AK708" s="451"/>
      <c r="AL708" s="450"/>
      <c r="AM708" s="449"/>
      <c r="AN708" s="451"/>
      <c r="AO708" s="450"/>
      <c r="AP708" s="449"/>
      <c r="AQ708" s="451"/>
      <c r="AR708" s="449"/>
      <c r="AS708" s="449"/>
      <c r="AT708" s="451"/>
      <c r="AU708" s="449"/>
      <c r="AV708" s="451"/>
      <c r="AW708" s="449"/>
      <c r="AX708" s="449"/>
      <c r="AY708" s="449"/>
      <c r="AZ708" s="449"/>
      <c r="BA708" s="449"/>
      <c r="BB708" s="449"/>
      <c r="BC708" s="449"/>
      <c r="BD708" s="449"/>
      <c r="BE708" s="449"/>
      <c r="BF708" s="449"/>
      <c r="BG708" s="449"/>
      <c r="BH708" s="449"/>
      <c r="BI708" s="449"/>
      <c r="BJ708" s="449"/>
      <c r="BK708" s="449"/>
      <c r="BL708" s="449"/>
      <c r="BM708" s="449"/>
      <c r="BN708" s="449"/>
    </row>
    <row r="709" spans="1:66" ht="13.15" x14ac:dyDescent="0.4">
      <c r="A709" s="430"/>
      <c r="B709" s="430"/>
      <c r="C709" s="430"/>
      <c r="D709" s="430"/>
      <c r="E709" s="430"/>
      <c r="F709" s="430"/>
      <c r="G709" s="430"/>
      <c r="H709" s="461"/>
      <c r="I709" s="438"/>
      <c r="J709" s="438"/>
      <c r="K709" s="438"/>
      <c r="L709" s="430"/>
      <c r="M709" s="430"/>
      <c r="N709" s="461"/>
      <c r="O709" s="461"/>
      <c r="P709" s="430"/>
      <c r="Q709" s="430"/>
      <c r="R709" s="430"/>
      <c r="S709" s="430"/>
      <c r="T709" s="430"/>
      <c r="U709" s="430"/>
      <c r="V709" s="430"/>
      <c r="W709" s="430"/>
      <c r="X709" s="449"/>
      <c r="Y709" s="449"/>
      <c r="Z709" s="450"/>
      <c r="AA709" s="449"/>
      <c r="AB709" s="451"/>
      <c r="AC709" s="450"/>
      <c r="AD709" s="449"/>
      <c r="AE709" s="451"/>
      <c r="AF709" s="450"/>
      <c r="AG709" s="449"/>
      <c r="AH709" s="451"/>
      <c r="AI709" s="450"/>
      <c r="AJ709" s="449"/>
      <c r="AK709" s="451"/>
      <c r="AL709" s="450"/>
      <c r="AM709" s="449"/>
      <c r="AN709" s="451"/>
      <c r="AO709" s="450"/>
      <c r="AP709" s="449"/>
      <c r="AQ709" s="451"/>
      <c r="AR709" s="449"/>
      <c r="AS709" s="449"/>
      <c r="AT709" s="451"/>
      <c r="AU709" s="449"/>
      <c r="AV709" s="451"/>
      <c r="AW709" s="449"/>
      <c r="AX709" s="449"/>
      <c r="AY709" s="449"/>
      <c r="AZ709" s="449"/>
      <c r="BA709" s="449"/>
      <c r="BB709" s="449"/>
      <c r="BC709" s="449"/>
      <c r="BD709" s="449"/>
      <c r="BE709" s="449"/>
      <c r="BF709" s="449"/>
      <c r="BG709" s="449"/>
      <c r="BH709" s="449"/>
      <c r="BI709" s="449"/>
      <c r="BJ709" s="449"/>
      <c r="BK709" s="449"/>
      <c r="BL709" s="449"/>
      <c r="BM709" s="449"/>
      <c r="BN709" s="449"/>
    </row>
    <row r="710" spans="1:66" ht="13.15" x14ac:dyDescent="0.4">
      <c r="A710" s="430"/>
      <c r="B710" s="430"/>
      <c r="C710" s="430"/>
      <c r="D710" s="430"/>
      <c r="E710" s="430"/>
      <c r="F710" s="430"/>
      <c r="G710" s="430"/>
      <c r="H710" s="461"/>
      <c r="I710" s="438"/>
      <c r="J710" s="438"/>
      <c r="K710" s="438"/>
      <c r="L710" s="430"/>
      <c r="M710" s="430"/>
      <c r="N710" s="461"/>
      <c r="O710" s="461"/>
      <c r="P710" s="430"/>
      <c r="Q710" s="430"/>
      <c r="R710" s="430"/>
      <c r="S710" s="430"/>
      <c r="T710" s="430"/>
      <c r="U710" s="430"/>
      <c r="V710" s="430"/>
      <c r="W710" s="430"/>
      <c r="X710" s="449"/>
      <c r="Y710" s="449"/>
      <c r="Z710" s="450"/>
      <c r="AA710" s="449"/>
      <c r="AB710" s="451"/>
      <c r="AC710" s="450"/>
      <c r="AD710" s="449"/>
      <c r="AE710" s="451"/>
      <c r="AF710" s="450"/>
      <c r="AG710" s="449"/>
      <c r="AH710" s="451"/>
      <c r="AI710" s="450"/>
      <c r="AJ710" s="449"/>
      <c r="AK710" s="451"/>
      <c r="AL710" s="450"/>
      <c r="AM710" s="449"/>
      <c r="AN710" s="451"/>
      <c r="AO710" s="450"/>
      <c r="AP710" s="449"/>
      <c r="AQ710" s="451"/>
      <c r="AR710" s="449"/>
      <c r="AS710" s="449"/>
      <c r="AT710" s="451"/>
      <c r="AU710" s="449"/>
      <c r="AV710" s="451"/>
      <c r="AW710" s="449"/>
      <c r="AX710" s="449"/>
      <c r="AY710" s="449"/>
      <c r="AZ710" s="449"/>
      <c r="BA710" s="449"/>
      <c r="BB710" s="449"/>
      <c r="BC710" s="449"/>
      <c r="BD710" s="449"/>
      <c r="BE710" s="449"/>
      <c r="BF710" s="449"/>
      <c r="BG710" s="449"/>
      <c r="BH710" s="449"/>
      <c r="BI710" s="449"/>
      <c r="BJ710" s="449"/>
      <c r="BK710" s="449"/>
      <c r="BL710" s="449"/>
      <c r="BM710" s="449"/>
      <c r="BN710" s="449"/>
    </row>
    <row r="711" spans="1:66" ht="13.15" x14ac:dyDescent="0.4">
      <c r="A711" s="430"/>
      <c r="B711" s="430"/>
      <c r="C711" s="430"/>
      <c r="D711" s="430"/>
      <c r="E711" s="430"/>
      <c r="F711" s="430"/>
      <c r="G711" s="430"/>
      <c r="H711" s="461"/>
      <c r="I711" s="438"/>
      <c r="J711" s="438"/>
      <c r="K711" s="438"/>
      <c r="L711" s="430"/>
      <c r="M711" s="430"/>
      <c r="N711" s="461"/>
      <c r="O711" s="461"/>
      <c r="P711" s="430"/>
      <c r="Q711" s="430"/>
      <c r="R711" s="430"/>
      <c r="S711" s="430"/>
      <c r="T711" s="430"/>
      <c r="U711" s="430"/>
      <c r="V711" s="430"/>
      <c r="W711" s="430"/>
      <c r="X711" s="449"/>
      <c r="Y711" s="449"/>
      <c r="Z711" s="450"/>
      <c r="AA711" s="449"/>
      <c r="AB711" s="451"/>
      <c r="AC711" s="450"/>
      <c r="AD711" s="449"/>
      <c r="AE711" s="451"/>
      <c r="AF711" s="450"/>
      <c r="AG711" s="449"/>
      <c r="AH711" s="451"/>
      <c r="AI711" s="450"/>
      <c r="AJ711" s="449"/>
      <c r="AK711" s="451"/>
      <c r="AL711" s="450"/>
      <c r="AM711" s="449"/>
      <c r="AN711" s="451"/>
      <c r="AO711" s="450"/>
      <c r="AP711" s="449"/>
      <c r="AQ711" s="451"/>
      <c r="AR711" s="449"/>
      <c r="AS711" s="449"/>
      <c r="AT711" s="451"/>
      <c r="AU711" s="449"/>
      <c r="AV711" s="451"/>
      <c r="AW711" s="449"/>
      <c r="AX711" s="449"/>
      <c r="AY711" s="449"/>
      <c r="AZ711" s="449"/>
      <c r="BA711" s="449"/>
      <c r="BB711" s="449"/>
      <c r="BC711" s="449"/>
      <c r="BD711" s="449"/>
      <c r="BE711" s="449"/>
      <c r="BF711" s="449"/>
      <c r="BG711" s="449"/>
      <c r="BH711" s="449"/>
      <c r="BI711" s="449"/>
      <c r="BJ711" s="449"/>
      <c r="BK711" s="449"/>
      <c r="BL711" s="449"/>
      <c r="BM711" s="449"/>
      <c r="BN711" s="449"/>
    </row>
    <row r="712" spans="1:66" ht="13.15" x14ac:dyDescent="0.4">
      <c r="A712" s="430"/>
      <c r="B712" s="430"/>
      <c r="C712" s="430"/>
      <c r="D712" s="430"/>
      <c r="E712" s="430"/>
      <c r="F712" s="430"/>
      <c r="G712" s="430"/>
      <c r="H712" s="461"/>
      <c r="I712" s="438"/>
      <c r="J712" s="438"/>
      <c r="K712" s="438"/>
      <c r="L712" s="430"/>
      <c r="M712" s="430"/>
      <c r="N712" s="461"/>
      <c r="O712" s="461"/>
      <c r="P712" s="430"/>
      <c r="Q712" s="430"/>
      <c r="R712" s="430"/>
      <c r="S712" s="430"/>
      <c r="T712" s="430"/>
      <c r="U712" s="430"/>
      <c r="V712" s="430"/>
      <c r="W712" s="430"/>
      <c r="X712" s="449"/>
      <c r="Y712" s="449"/>
      <c r="Z712" s="450"/>
      <c r="AA712" s="449"/>
      <c r="AB712" s="451"/>
      <c r="AC712" s="450"/>
      <c r="AD712" s="449"/>
      <c r="AE712" s="451"/>
      <c r="AF712" s="450"/>
      <c r="AG712" s="449"/>
      <c r="AH712" s="451"/>
      <c r="AI712" s="450"/>
      <c r="AJ712" s="449"/>
      <c r="AK712" s="451"/>
      <c r="AL712" s="450"/>
      <c r="AM712" s="449"/>
      <c r="AN712" s="451"/>
      <c r="AO712" s="450"/>
      <c r="AP712" s="449"/>
      <c r="AQ712" s="451"/>
      <c r="AR712" s="449"/>
      <c r="AS712" s="449"/>
      <c r="AT712" s="451"/>
      <c r="AU712" s="449"/>
      <c r="AV712" s="451"/>
      <c r="AW712" s="449"/>
      <c r="AX712" s="449"/>
      <c r="AY712" s="449"/>
      <c r="AZ712" s="449"/>
      <c r="BA712" s="449"/>
      <c r="BB712" s="449"/>
      <c r="BC712" s="449"/>
      <c r="BD712" s="449"/>
      <c r="BE712" s="449"/>
      <c r="BF712" s="449"/>
      <c r="BG712" s="449"/>
      <c r="BH712" s="449"/>
      <c r="BI712" s="449"/>
      <c r="BJ712" s="449"/>
      <c r="BK712" s="449"/>
      <c r="BL712" s="449"/>
      <c r="BM712" s="449"/>
      <c r="BN712" s="449"/>
    </row>
    <row r="713" spans="1:66" ht="13.15" x14ac:dyDescent="0.4">
      <c r="A713" s="430"/>
      <c r="B713" s="430"/>
      <c r="C713" s="430"/>
      <c r="D713" s="430"/>
      <c r="E713" s="430"/>
      <c r="F713" s="430"/>
      <c r="G713" s="430"/>
      <c r="H713" s="461"/>
      <c r="I713" s="438"/>
      <c r="J713" s="438"/>
      <c r="K713" s="438"/>
      <c r="L713" s="430"/>
      <c r="M713" s="430"/>
      <c r="N713" s="461"/>
      <c r="O713" s="461"/>
      <c r="P713" s="430"/>
      <c r="Q713" s="430"/>
      <c r="R713" s="430"/>
      <c r="S713" s="430"/>
      <c r="T713" s="430"/>
      <c r="U713" s="430"/>
      <c r="V713" s="430"/>
      <c r="W713" s="430"/>
      <c r="X713" s="449"/>
      <c r="Y713" s="449"/>
      <c r="Z713" s="450"/>
      <c r="AA713" s="449"/>
      <c r="AB713" s="451"/>
      <c r="AC713" s="450"/>
      <c r="AD713" s="449"/>
      <c r="AE713" s="451"/>
      <c r="AF713" s="450"/>
      <c r="AG713" s="449"/>
      <c r="AH713" s="451"/>
      <c r="AI713" s="450"/>
      <c r="AJ713" s="449"/>
      <c r="AK713" s="451"/>
      <c r="AL713" s="450"/>
      <c r="AM713" s="449"/>
      <c r="AN713" s="451"/>
      <c r="AO713" s="450"/>
      <c r="AP713" s="449"/>
      <c r="AQ713" s="451"/>
      <c r="AR713" s="449"/>
      <c r="AS713" s="449"/>
      <c r="AT713" s="451"/>
      <c r="AU713" s="449"/>
      <c r="AV713" s="451"/>
      <c r="AW713" s="449"/>
      <c r="AX713" s="449"/>
      <c r="AY713" s="449"/>
      <c r="AZ713" s="449"/>
      <c r="BA713" s="449"/>
      <c r="BB713" s="449"/>
      <c r="BC713" s="449"/>
      <c r="BD713" s="449"/>
      <c r="BE713" s="449"/>
      <c r="BF713" s="449"/>
      <c r="BG713" s="449"/>
      <c r="BH713" s="449"/>
      <c r="BI713" s="449"/>
      <c r="BJ713" s="449"/>
      <c r="BK713" s="449"/>
      <c r="BL713" s="449"/>
      <c r="BM713" s="449"/>
      <c r="BN713" s="449"/>
    </row>
    <row r="714" spans="1:66" ht="13.15" x14ac:dyDescent="0.4">
      <c r="A714" s="430"/>
      <c r="B714" s="430"/>
      <c r="C714" s="430"/>
      <c r="D714" s="430"/>
      <c r="E714" s="430"/>
      <c r="F714" s="430"/>
      <c r="G714" s="430"/>
      <c r="H714" s="461"/>
      <c r="I714" s="438"/>
      <c r="J714" s="438"/>
      <c r="K714" s="438"/>
      <c r="L714" s="430"/>
      <c r="M714" s="430"/>
      <c r="N714" s="461"/>
      <c r="O714" s="461"/>
      <c r="P714" s="430"/>
      <c r="Q714" s="430"/>
      <c r="R714" s="430"/>
      <c r="S714" s="430"/>
      <c r="T714" s="430"/>
      <c r="U714" s="430"/>
      <c r="V714" s="430"/>
      <c r="W714" s="430"/>
      <c r="X714" s="449"/>
      <c r="Y714" s="449"/>
      <c r="Z714" s="450"/>
      <c r="AA714" s="449"/>
      <c r="AB714" s="451"/>
      <c r="AC714" s="450"/>
      <c r="AD714" s="449"/>
      <c r="AE714" s="451"/>
      <c r="AF714" s="450"/>
      <c r="AG714" s="449"/>
      <c r="AH714" s="451"/>
      <c r="AI714" s="450"/>
      <c r="AJ714" s="449"/>
      <c r="AK714" s="451"/>
      <c r="AL714" s="450"/>
      <c r="AM714" s="449"/>
      <c r="AN714" s="451"/>
      <c r="AO714" s="450"/>
      <c r="AP714" s="449"/>
      <c r="AQ714" s="451"/>
      <c r="AR714" s="449"/>
      <c r="AS714" s="449"/>
      <c r="AT714" s="451"/>
      <c r="AU714" s="449"/>
      <c r="AV714" s="451"/>
      <c r="AW714" s="449"/>
      <c r="AX714" s="449"/>
      <c r="AY714" s="449"/>
      <c r="AZ714" s="449"/>
      <c r="BA714" s="449"/>
      <c r="BB714" s="449"/>
      <c r="BC714" s="449"/>
      <c r="BD714" s="449"/>
      <c r="BE714" s="449"/>
      <c r="BF714" s="449"/>
      <c r="BG714" s="449"/>
      <c r="BH714" s="449"/>
      <c r="BI714" s="449"/>
      <c r="BJ714" s="449"/>
      <c r="BK714" s="449"/>
      <c r="BL714" s="449"/>
      <c r="BM714" s="449"/>
      <c r="BN714" s="449"/>
    </row>
    <row r="715" spans="1:66" ht="13.15" x14ac:dyDescent="0.4">
      <c r="A715" s="430"/>
      <c r="B715" s="430"/>
      <c r="C715" s="430"/>
      <c r="D715" s="430"/>
      <c r="E715" s="430"/>
      <c r="F715" s="430"/>
      <c r="G715" s="430"/>
      <c r="H715" s="461"/>
      <c r="I715" s="438"/>
      <c r="J715" s="438"/>
      <c r="K715" s="438"/>
      <c r="L715" s="430"/>
      <c r="M715" s="430"/>
      <c r="N715" s="461"/>
      <c r="O715" s="461"/>
      <c r="P715" s="430"/>
      <c r="Q715" s="430"/>
      <c r="R715" s="430"/>
      <c r="S715" s="430"/>
      <c r="T715" s="430"/>
      <c r="U715" s="430"/>
      <c r="V715" s="430"/>
      <c r="W715" s="430"/>
      <c r="X715" s="449"/>
      <c r="Y715" s="449"/>
      <c r="Z715" s="450"/>
      <c r="AA715" s="449"/>
      <c r="AB715" s="451"/>
      <c r="AC715" s="450"/>
      <c r="AD715" s="449"/>
      <c r="AE715" s="451"/>
      <c r="AF715" s="450"/>
      <c r="AG715" s="449"/>
      <c r="AH715" s="451"/>
      <c r="AI715" s="450"/>
      <c r="AJ715" s="449"/>
      <c r="AK715" s="451"/>
      <c r="AL715" s="450"/>
      <c r="AM715" s="449"/>
      <c r="AN715" s="451"/>
      <c r="AO715" s="450"/>
      <c r="AP715" s="449"/>
      <c r="AQ715" s="451"/>
      <c r="AR715" s="449"/>
      <c r="AS715" s="449"/>
      <c r="AT715" s="451"/>
      <c r="AU715" s="449"/>
      <c r="AV715" s="451"/>
      <c r="AW715" s="449"/>
      <c r="AX715" s="449"/>
      <c r="AY715" s="449"/>
      <c r="AZ715" s="449"/>
      <c r="BA715" s="449"/>
      <c r="BB715" s="449"/>
      <c r="BC715" s="449"/>
      <c r="BD715" s="449"/>
      <c r="BE715" s="449"/>
      <c r="BF715" s="449"/>
      <c r="BG715" s="449"/>
      <c r="BH715" s="449"/>
      <c r="BI715" s="449"/>
      <c r="BJ715" s="449"/>
      <c r="BK715" s="449"/>
      <c r="BL715" s="449"/>
      <c r="BM715" s="449"/>
      <c r="BN715" s="449"/>
    </row>
    <row r="716" spans="1:66" ht="13.15" x14ac:dyDescent="0.4">
      <c r="A716" s="430"/>
      <c r="B716" s="430"/>
      <c r="C716" s="430"/>
      <c r="D716" s="430"/>
      <c r="E716" s="430"/>
      <c r="F716" s="430"/>
      <c r="G716" s="430"/>
      <c r="H716" s="461"/>
      <c r="I716" s="438"/>
      <c r="J716" s="438"/>
      <c r="K716" s="438"/>
      <c r="L716" s="430"/>
      <c r="M716" s="430"/>
      <c r="N716" s="461"/>
      <c r="O716" s="461"/>
      <c r="P716" s="430"/>
      <c r="Q716" s="430"/>
      <c r="R716" s="430"/>
      <c r="S716" s="430"/>
      <c r="T716" s="430"/>
      <c r="U716" s="430"/>
      <c r="V716" s="430"/>
      <c r="W716" s="430"/>
      <c r="X716" s="449"/>
      <c r="Y716" s="449"/>
      <c r="Z716" s="450"/>
      <c r="AA716" s="449"/>
      <c r="AB716" s="451"/>
      <c r="AC716" s="450"/>
      <c r="AD716" s="449"/>
      <c r="AE716" s="451"/>
      <c r="AF716" s="450"/>
      <c r="AG716" s="449"/>
      <c r="AH716" s="451"/>
      <c r="AI716" s="450"/>
      <c r="AJ716" s="449"/>
      <c r="AK716" s="451"/>
      <c r="AL716" s="450"/>
      <c r="AM716" s="449"/>
      <c r="AN716" s="451"/>
      <c r="AO716" s="450"/>
      <c r="AP716" s="449"/>
      <c r="AQ716" s="451"/>
      <c r="AR716" s="449"/>
      <c r="AS716" s="449"/>
      <c r="AT716" s="451"/>
      <c r="AU716" s="449"/>
      <c r="AV716" s="451"/>
      <c r="AW716" s="449"/>
      <c r="AX716" s="449"/>
      <c r="AY716" s="449"/>
      <c r="AZ716" s="449"/>
      <c r="BA716" s="449"/>
      <c r="BB716" s="449"/>
      <c r="BC716" s="449"/>
      <c r="BD716" s="449"/>
      <c r="BE716" s="449"/>
      <c r="BF716" s="449"/>
      <c r="BG716" s="449"/>
      <c r="BH716" s="449"/>
      <c r="BI716" s="449"/>
      <c r="BJ716" s="449"/>
      <c r="BK716" s="449"/>
      <c r="BL716" s="449"/>
      <c r="BM716" s="449"/>
      <c r="BN716" s="449"/>
    </row>
    <row r="717" spans="1:66" ht="13.15" x14ac:dyDescent="0.4">
      <c r="A717" s="430"/>
      <c r="B717" s="430"/>
      <c r="C717" s="430"/>
      <c r="D717" s="430"/>
      <c r="E717" s="430"/>
      <c r="F717" s="430"/>
      <c r="G717" s="430"/>
      <c r="H717" s="461"/>
      <c r="I717" s="438"/>
      <c r="J717" s="438"/>
      <c r="K717" s="438"/>
      <c r="L717" s="430"/>
      <c r="M717" s="430"/>
      <c r="N717" s="461"/>
      <c r="O717" s="461"/>
      <c r="P717" s="430"/>
      <c r="Q717" s="430"/>
      <c r="R717" s="430"/>
      <c r="S717" s="430"/>
      <c r="T717" s="430"/>
      <c r="U717" s="430"/>
      <c r="V717" s="430"/>
      <c r="W717" s="430"/>
      <c r="X717" s="449"/>
      <c r="Y717" s="449"/>
      <c r="Z717" s="450"/>
      <c r="AA717" s="449"/>
      <c r="AB717" s="451"/>
      <c r="AC717" s="450"/>
      <c r="AD717" s="449"/>
      <c r="AE717" s="451"/>
      <c r="AF717" s="450"/>
      <c r="AG717" s="449"/>
      <c r="AH717" s="451"/>
      <c r="AI717" s="450"/>
      <c r="AJ717" s="449"/>
      <c r="AK717" s="451"/>
      <c r="AL717" s="450"/>
      <c r="AM717" s="449"/>
      <c r="AN717" s="451"/>
      <c r="AO717" s="450"/>
      <c r="AP717" s="449"/>
      <c r="AQ717" s="451"/>
      <c r="AR717" s="449"/>
      <c r="AS717" s="449"/>
      <c r="AT717" s="451"/>
      <c r="AU717" s="449"/>
      <c r="AV717" s="451"/>
      <c r="AW717" s="449"/>
      <c r="AX717" s="449"/>
      <c r="AY717" s="449"/>
      <c r="AZ717" s="449"/>
      <c r="BA717" s="449"/>
      <c r="BB717" s="449"/>
      <c r="BC717" s="449"/>
      <c r="BD717" s="449"/>
      <c r="BE717" s="449"/>
      <c r="BF717" s="449"/>
      <c r="BG717" s="449"/>
      <c r="BH717" s="449"/>
      <c r="BI717" s="449"/>
      <c r="BJ717" s="449"/>
      <c r="BK717" s="449"/>
      <c r="BL717" s="449"/>
      <c r="BM717" s="449"/>
      <c r="BN717" s="449"/>
    </row>
    <row r="718" spans="1:66" ht="13.15" x14ac:dyDescent="0.4">
      <c r="A718" s="430"/>
      <c r="B718" s="430"/>
      <c r="C718" s="430"/>
      <c r="D718" s="430"/>
      <c r="E718" s="430"/>
      <c r="F718" s="430"/>
      <c r="G718" s="430"/>
      <c r="H718" s="461"/>
      <c r="I718" s="438"/>
      <c r="J718" s="438"/>
      <c r="K718" s="438"/>
      <c r="L718" s="430"/>
      <c r="M718" s="430"/>
      <c r="N718" s="461"/>
      <c r="O718" s="461"/>
      <c r="P718" s="430"/>
      <c r="Q718" s="430"/>
      <c r="R718" s="430"/>
      <c r="S718" s="430"/>
      <c r="T718" s="430"/>
      <c r="U718" s="430"/>
      <c r="V718" s="430"/>
      <c r="W718" s="430"/>
      <c r="X718" s="449"/>
      <c r="Y718" s="449"/>
      <c r="Z718" s="450"/>
      <c r="AA718" s="449"/>
      <c r="AB718" s="451"/>
      <c r="AC718" s="450"/>
      <c r="AD718" s="449"/>
      <c r="AE718" s="451"/>
      <c r="AF718" s="450"/>
      <c r="AG718" s="449"/>
      <c r="AH718" s="451"/>
      <c r="AI718" s="450"/>
      <c r="AJ718" s="449"/>
      <c r="AK718" s="451"/>
      <c r="AL718" s="450"/>
      <c r="AM718" s="449"/>
      <c r="AN718" s="451"/>
      <c r="AO718" s="450"/>
      <c r="AP718" s="449"/>
      <c r="AQ718" s="451"/>
      <c r="AR718" s="449"/>
      <c r="AS718" s="449"/>
      <c r="AT718" s="451"/>
      <c r="AU718" s="449"/>
      <c r="AV718" s="451"/>
      <c r="AW718" s="449"/>
      <c r="AX718" s="449"/>
      <c r="AY718" s="449"/>
      <c r="AZ718" s="449"/>
      <c r="BA718" s="449"/>
      <c r="BB718" s="449"/>
      <c r="BC718" s="449"/>
      <c r="BD718" s="449"/>
      <c r="BE718" s="449"/>
      <c r="BF718" s="449"/>
      <c r="BG718" s="449"/>
      <c r="BH718" s="449"/>
      <c r="BI718" s="449"/>
      <c r="BJ718" s="449"/>
      <c r="BK718" s="449"/>
      <c r="BL718" s="449"/>
      <c r="BM718" s="449"/>
      <c r="BN718" s="449"/>
    </row>
    <row r="719" spans="1:66" ht="13.15" x14ac:dyDescent="0.4">
      <c r="A719" s="430"/>
      <c r="B719" s="430"/>
      <c r="C719" s="430"/>
      <c r="D719" s="430"/>
      <c r="E719" s="430"/>
      <c r="F719" s="430"/>
      <c r="G719" s="430"/>
      <c r="H719" s="461"/>
      <c r="I719" s="438"/>
      <c r="J719" s="438"/>
      <c r="K719" s="438"/>
      <c r="L719" s="430"/>
      <c r="M719" s="430"/>
      <c r="N719" s="461"/>
      <c r="O719" s="461"/>
      <c r="P719" s="430"/>
      <c r="Q719" s="430"/>
      <c r="R719" s="430"/>
      <c r="S719" s="430"/>
      <c r="T719" s="430"/>
      <c r="U719" s="430"/>
      <c r="V719" s="430"/>
      <c r="W719" s="430"/>
      <c r="X719" s="449"/>
      <c r="Y719" s="449"/>
      <c r="Z719" s="450"/>
      <c r="AA719" s="449"/>
      <c r="AB719" s="451"/>
      <c r="AC719" s="450"/>
      <c r="AD719" s="449"/>
      <c r="AE719" s="451"/>
      <c r="AF719" s="450"/>
      <c r="AG719" s="449"/>
      <c r="AH719" s="451"/>
      <c r="AI719" s="450"/>
      <c r="AJ719" s="449"/>
      <c r="AK719" s="451"/>
      <c r="AL719" s="450"/>
      <c r="AM719" s="449"/>
      <c r="AN719" s="451"/>
      <c r="AO719" s="450"/>
      <c r="AP719" s="449"/>
      <c r="AQ719" s="451"/>
      <c r="AR719" s="449"/>
      <c r="AS719" s="449"/>
      <c r="AT719" s="451"/>
      <c r="AU719" s="449"/>
      <c r="AV719" s="451"/>
      <c r="AW719" s="449"/>
      <c r="AX719" s="449"/>
      <c r="AY719" s="449"/>
      <c r="AZ719" s="449"/>
      <c r="BA719" s="449"/>
      <c r="BB719" s="449"/>
      <c r="BC719" s="449"/>
      <c r="BD719" s="449"/>
      <c r="BE719" s="449"/>
      <c r="BF719" s="449"/>
      <c r="BG719" s="449"/>
      <c r="BH719" s="449"/>
      <c r="BI719" s="449"/>
      <c r="BJ719" s="449"/>
      <c r="BK719" s="449"/>
      <c r="BL719" s="449"/>
      <c r="BM719" s="449"/>
      <c r="BN719" s="449"/>
    </row>
    <row r="720" spans="1:66" ht="13.15" x14ac:dyDescent="0.4">
      <c r="A720" s="430"/>
      <c r="B720" s="430"/>
      <c r="C720" s="430"/>
      <c r="D720" s="430"/>
      <c r="E720" s="430"/>
      <c r="F720" s="430"/>
      <c r="G720" s="430"/>
      <c r="H720" s="461"/>
      <c r="I720" s="438"/>
      <c r="J720" s="438"/>
      <c r="K720" s="438"/>
      <c r="L720" s="430"/>
      <c r="M720" s="430"/>
      <c r="N720" s="461"/>
      <c r="O720" s="461"/>
      <c r="P720" s="430"/>
      <c r="Q720" s="430"/>
      <c r="R720" s="430"/>
      <c r="S720" s="430"/>
      <c r="T720" s="430"/>
      <c r="U720" s="430"/>
      <c r="V720" s="430"/>
      <c r="W720" s="430"/>
      <c r="X720" s="449"/>
      <c r="Y720" s="449"/>
      <c r="Z720" s="450"/>
      <c r="AA720" s="449"/>
      <c r="AB720" s="451"/>
      <c r="AC720" s="450"/>
      <c r="AD720" s="449"/>
      <c r="AE720" s="451"/>
      <c r="AF720" s="450"/>
      <c r="AG720" s="449"/>
      <c r="AH720" s="451"/>
      <c r="AI720" s="450"/>
      <c r="AJ720" s="449"/>
      <c r="AK720" s="451"/>
      <c r="AL720" s="450"/>
      <c r="AM720" s="449"/>
      <c r="AN720" s="451"/>
      <c r="AO720" s="450"/>
      <c r="AP720" s="449"/>
      <c r="AQ720" s="451"/>
      <c r="AR720" s="449"/>
      <c r="AS720" s="449"/>
      <c r="AT720" s="451"/>
      <c r="AU720" s="449"/>
      <c r="AV720" s="451"/>
      <c r="AW720" s="449"/>
      <c r="AX720" s="449"/>
      <c r="AY720" s="449"/>
      <c r="AZ720" s="449"/>
      <c r="BA720" s="449"/>
      <c r="BB720" s="449"/>
      <c r="BC720" s="449"/>
      <c r="BD720" s="449"/>
      <c r="BE720" s="449"/>
      <c r="BF720" s="449"/>
      <c r="BG720" s="449"/>
      <c r="BH720" s="449"/>
      <c r="BI720" s="449"/>
      <c r="BJ720" s="449"/>
      <c r="BK720" s="449"/>
      <c r="BL720" s="449"/>
      <c r="BM720" s="449"/>
      <c r="BN720" s="449"/>
    </row>
    <row r="721" spans="1:66" ht="13.15" x14ac:dyDescent="0.4">
      <c r="A721" s="430"/>
      <c r="B721" s="430"/>
      <c r="C721" s="430"/>
      <c r="D721" s="430"/>
      <c r="E721" s="430"/>
      <c r="F721" s="430"/>
      <c r="G721" s="430"/>
      <c r="H721" s="461"/>
      <c r="I721" s="438"/>
      <c r="J721" s="438"/>
      <c r="K721" s="438"/>
      <c r="L721" s="430"/>
      <c r="M721" s="430"/>
      <c r="N721" s="461"/>
      <c r="O721" s="461"/>
      <c r="P721" s="430"/>
      <c r="Q721" s="430"/>
      <c r="R721" s="430"/>
      <c r="S721" s="430"/>
      <c r="T721" s="430"/>
      <c r="U721" s="430"/>
      <c r="V721" s="430"/>
      <c r="W721" s="430"/>
      <c r="X721" s="449"/>
      <c r="Y721" s="449"/>
      <c r="Z721" s="450"/>
      <c r="AA721" s="449"/>
      <c r="AB721" s="451"/>
      <c r="AC721" s="450"/>
      <c r="AD721" s="449"/>
      <c r="AE721" s="451"/>
      <c r="AF721" s="450"/>
      <c r="AG721" s="449"/>
      <c r="AH721" s="451"/>
      <c r="AI721" s="450"/>
      <c r="AJ721" s="449"/>
      <c r="AK721" s="451"/>
      <c r="AL721" s="450"/>
      <c r="AM721" s="449"/>
      <c r="AN721" s="451"/>
      <c r="AO721" s="450"/>
      <c r="AP721" s="449"/>
      <c r="AQ721" s="451"/>
      <c r="AR721" s="449"/>
      <c r="AS721" s="449"/>
      <c r="AT721" s="451"/>
      <c r="AU721" s="449"/>
      <c r="AV721" s="451"/>
      <c r="AW721" s="449"/>
      <c r="AX721" s="449"/>
      <c r="AY721" s="449"/>
      <c r="AZ721" s="449"/>
      <c r="BA721" s="449"/>
      <c r="BB721" s="449"/>
      <c r="BC721" s="449"/>
      <c r="BD721" s="449"/>
      <c r="BE721" s="449"/>
      <c r="BF721" s="449"/>
      <c r="BG721" s="449"/>
      <c r="BH721" s="449"/>
      <c r="BI721" s="449"/>
      <c r="BJ721" s="449"/>
      <c r="BK721" s="449"/>
      <c r="BL721" s="449"/>
      <c r="BM721" s="449"/>
      <c r="BN721" s="449"/>
    </row>
    <row r="722" spans="1:66" ht="13.15" x14ac:dyDescent="0.4">
      <c r="A722" s="430"/>
      <c r="B722" s="430"/>
      <c r="C722" s="430"/>
      <c r="D722" s="430"/>
      <c r="E722" s="430"/>
      <c r="F722" s="430"/>
      <c r="G722" s="430"/>
      <c r="H722" s="461"/>
      <c r="I722" s="438"/>
      <c r="J722" s="438"/>
      <c r="K722" s="438"/>
      <c r="L722" s="430"/>
      <c r="M722" s="430"/>
      <c r="N722" s="461"/>
      <c r="O722" s="461"/>
      <c r="P722" s="430"/>
      <c r="Q722" s="430"/>
      <c r="R722" s="430"/>
      <c r="S722" s="430"/>
      <c r="T722" s="430"/>
      <c r="U722" s="430"/>
      <c r="V722" s="430"/>
      <c r="W722" s="430"/>
      <c r="X722" s="449"/>
      <c r="Y722" s="449"/>
      <c r="Z722" s="450"/>
      <c r="AA722" s="449"/>
      <c r="AB722" s="451"/>
      <c r="AC722" s="450"/>
      <c r="AD722" s="449"/>
      <c r="AE722" s="451"/>
      <c r="AF722" s="450"/>
      <c r="AG722" s="449"/>
      <c r="AH722" s="451"/>
      <c r="AI722" s="450"/>
      <c r="AJ722" s="449"/>
      <c r="AK722" s="451"/>
      <c r="AL722" s="450"/>
      <c r="AM722" s="449"/>
      <c r="AN722" s="451"/>
      <c r="AO722" s="450"/>
      <c r="AP722" s="449"/>
      <c r="AQ722" s="451"/>
      <c r="AR722" s="449"/>
      <c r="AS722" s="449"/>
      <c r="AT722" s="451"/>
      <c r="AU722" s="449"/>
      <c r="AV722" s="451"/>
      <c r="AW722" s="449"/>
      <c r="AX722" s="449"/>
      <c r="AY722" s="449"/>
      <c r="AZ722" s="449"/>
      <c r="BA722" s="449"/>
      <c r="BB722" s="449"/>
      <c r="BC722" s="449"/>
      <c r="BD722" s="449"/>
      <c r="BE722" s="449"/>
      <c r="BF722" s="449"/>
      <c r="BG722" s="449"/>
      <c r="BH722" s="449"/>
      <c r="BI722" s="449"/>
      <c r="BJ722" s="449"/>
      <c r="BK722" s="449"/>
      <c r="BL722" s="449"/>
      <c r="BM722" s="449"/>
      <c r="BN722" s="449"/>
    </row>
    <row r="723" spans="1:66" ht="13.15" x14ac:dyDescent="0.4">
      <c r="A723" s="430"/>
      <c r="B723" s="430"/>
      <c r="C723" s="430"/>
      <c r="D723" s="430"/>
      <c r="E723" s="430"/>
      <c r="F723" s="430"/>
      <c r="G723" s="430"/>
      <c r="H723" s="461"/>
      <c r="I723" s="438"/>
      <c r="J723" s="438"/>
      <c r="K723" s="438"/>
      <c r="L723" s="430"/>
      <c r="M723" s="430"/>
      <c r="N723" s="461"/>
      <c r="O723" s="461"/>
      <c r="P723" s="430"/>
      <c r="Q723" s="430"/>
      <c r="R723" s="430"/>
      <c r="S723" s="430"/>
      <c r="T723" s="430"/>
      <c r="U723" s="430"/>
      <c r="V723" s="430"/>
      <c r="W723" s="430"/>
      <c r="X723" s="449"/>
      <c r="Y723" s="449"/>
      <c r="Z723" s="450"/>
      <c r="AA723" s="449"/>
      <c r="AB723" s="451"/>
      <c r="AC723" s="450"/>
      <c r="AD723" s="449"/>
      <c r="AE723" s="451"/>
      <c r="AF723" s="450"/>
      <c r="AG723" s="449"/>
      <c r="AH723" s="451"/>
      <c r="AI723" s="450"/>
      <c r="AJ723" s="449"/>
      <c r="AK723" s="451"/>
      <c r="AL723" s="450"/>
      <c r="AM723" s="449"/>
      <c r="AN723" s="451"/>
      <c r="AO723" s="450"/>
      <c r="AP723" s="449"/>
      <c r="AQ723" s="451"/>
      <c r="AR723" s="449"/>
      <c r="AS723" s="449"/>
      <c r="AT723" s="451"/>
      <c r="AU723" s="449"/>
      <c r="AV723" s="451"/>
      <c r="AW723" s="449"/>
      <c r="AX723" s="449"/>
      <c r="AY723" s="449"/>
      <c r="AZ723" s="449"/>
      <c r="BA723" s="449"/>
      <c r="BB723" s="449"/>
      <c r="BC723" s="449"/>
      <c r="BD723" s="449"/>
      <c r="BE723" s="449"/>
      <c r="BF723" s="449"/>
      <c r="BG723" s="449"/>
      <c r="BH723" s="449"/>
      <c r="BI723" s="449"/>
      <c r="BJ723" s="449"/>
      <c r="BK723" s="449"/>
      <c r="BL723" s="449"/>
      <c r="BM723" s="449"/>
      <c r="BN723" s="449"/>
    </row>
    <row r="724" spans="1:66" ht="13.15" x14ac:dyDescent="0.4">
      <c r="A724" s="430"/>
      <c r="B724" s="430"/>
      <c r="C724" s="430"/>
      <c r="D724" s="430"/>
      <c r="E724" s="430"/>
      <c r="F724" s="430"/>
      <c r="G724" s="430"/>
      <c r="H724" s="461"/>
      <c r="I724" s="438"/>
      <c r="J724" s="438"/>
      <c r="K724" s="438"/>
      <c r="L724" s="430"/>
      <c r="M724" s="430"/>
      <c r="N724" s="461"/>
      <c r="O724" s="461"/>
      <c r="P724" s="430"/>
      <c r="Q724" s="430"/>
      <c r="R724" s="430"/>
      <c r="S724" s="430"/>
      <c r="T724" s="430"/>
      <c r="U724" s="430"/>
      <c r="V724" s="430"/>
      <c r="W724" s="430"/>
      <c r="X724" s="449"/>
      <c r="Y724" s="449"/>
      <c r="Z724" s="450"/>
      <c r="AA724" s="449"/>
      <c r="AB724" s="451"/>
      <c r="AC724" s="450"/>
      <c r="AD724" s="449"/>
      <c r="AE724" s="451"/>
      <c r="AF724" s="450"/>
      <c r="AG724" s="449"/>
      <c r="AH724" s="451"/>
      <c r="AI724" s="450"/>
      <c r="AJ724" s="449"/>
      <c r="AK724" s="451"/>
      <c r="AL724" s="450"/>
      <c r="AM724" s="449"/>
      <c r="AN724" s="451"/>
      <c r="AO724" s="450"/>
      <c r="AP724" s="449"/>
      <c r="AQ724" s="451"/>
      <c r="AR724" s="449"/>
      <c r="AS724" s="449"/>
      <c r="AT724" s="451"/>
      <c r="AU724" s="449"/>
      <c r="AV724" s="451"/>
      <c r="AW724" s="449"/>
      <c r="AX724" s="449"/>
      <c r="AY724" s="449"/>
      <c r="AZ724" s="449"/>
      <c r="BA724" s="449"/>
      <c r="BB724" s="449"/>
      <c r="BC724" s="449"/>
      <c r="BD724" s="449"/>
      <c r="BE724" s="449"/>
      <c r="BF724" s="449"/>
      <c r="BG724" s="449"/>
      <c r="BH724" s="449"/>
      <c r="BI724" s="449"/>
      <c r="BJ724" s="449"/>
      <c r="BK724" s="449"/>
      <c r="BL724" s="449"/>
      <c r="BM724" s="449"/>
      <c r="BN724" s="449"/>
    </row>
    <row r="725" spans="1:66" ht="13.15" x14ac:dyDescent="0.4">
      <c r="A725" s="430"/>
      <c r="B725" s="430"/>
      <c r="C725" s="430"/>
      <c r="D725" s="430"/>
      <c r="E725" s="430"/>
      <c r="F725" s="430"/>
      <c r="G725" s="430"/>
      <c r="H725" s="461"/>
      <c r="I725" s="438"/>
      <c r="J725" s="438"/>
      <c r="K725" s="438"/>
      <c r="L725" s="430"/>
      <c r="M725" s="430"/>
      <c r="N725" s="461"/>
      <c r="O725" s="461"/>
      <c r="P725" s="430"/>
      <c r="Q725" s="430"/>
      <c r="R725" s="430"/>
      <c r="S725" s="430"/>
      <c r="T725" s="430"/>
      <c r="U725" s="430"/>
      <c r="V725" s="430"/>
      <c r="W725" s="430"/>
      <c r="X725" s="449"/>
      <c r="Y725" s="449"/>
      <c r="Z725" s="450"/>
      <c r="AA725" s="449"/>
      <c r="AB725" s="451"/>
      <c r="AC725" s="450"/>
      <c r="AD725" s="449"/>
      <c r="AE725" s="451"/>
      <c r="AF725" s="450"/>
      <c r="AG725" s="449"/>
      <c r="AH725" s="451"/>
      <c r="AI725" s="450"/>
      <c r="AJ725" s="449"/>
      <c r="AK725" s="451"/>
      <c r="AL725" s="450"/>
      <c r="AM725" s="449"/>
      <c r="AN725" s="451"/>
      <c r="AO725" s="450"/>
      <c r="AP725" s="449"/>
      <c r="AQ725" s="451"/>
      <c r="AR725" s="449"/>
      <c r="AS725" s="449"/>
      <c r="AT725" s="451"/>
      <c r="AU725" s="449"/>
      <c r="AV725" s="451"/>
      <c r="AW725" s="449"/>
      <c r="AX725" s="449"/>
      <c r="AY725" s="449"/>
      <c r="AZ725" s="449"/>
      <c r="BA725" s="449"/>
      <c r="BB725" s="449"/>
      <c r="BC725" s="449"/>
      <c r="BD725" s="449"/>
      <c r="BE725" s="449"/>
      <c r="BF725" s="449"/>
      <c r="BG725" s="449"/>
      <c r="BH725" s="449"/>
      <c r="BI725" s="449"/>
      <c r="BJ725" s="449"/>
      <c r="BK725" s="449"/>
      <c r="BL725" s="449"/>
      <c r="BM725" s="449"/>
      <c r="BN725" s="449"/>
    </row>
    <row r="726" spans="1:66" ht="13.15" x14ac:dyDescent="0.4">
      <c r="A726" s="430"/>
      <c r="B726" s="430"/>
      <c r="C726" s="430"/>
      <c r="D726" s="430"/>
      <c r="E726" s="430"/>
      <c r="F726" s="430"/>
      <c r="G726" s="430"/>
      <c r="H726" s="461"/>
      <c r="I726" s="438"/>
      <c r="J726" s="438"/>
      <c r="K726" s="438"/>
      <c r="L726" s="430"/>
      <c r="M726" s="430"/>
      <c r="N726" s="461"/>
      <c r="O726" s="461"/>
      <c r="P726" s="430"/>
      <c r="Q726" s="430"/>
      <c r="R726" s="430"/>
      <c r="S726" s="430"/>
      <c r="T726" s="430"/>
      <c r="U726" s="430"/>
      <c r="V726" s="430"/>
      <c r="W726" s="430"/>
      <c r="X726" s="449"/>
      <c r="Y726" s="449"/>
      <c r="Z726" s="450"/>
      <c r="AA726" s="449"/>
      <c r="AB726" s="451"/>
      <c r="AC726" s="450"/>
      <c r="AD726" s="449"/>
      <c r="AE726" s="451"/>
      <c r="AF726" s="450"/>
      <c r="AG726" s="449"/>
      <c r="AH726" s="451"/>
      <c r="AI726" s="450"/>
      <c r="AJ726" s="449"/>
      <c r="AK726" s="451"/>
      <c r="AL726" s="450"/>
      <c r="AM726" s="449"/>
      <c r="AN726" s="451"/>
      <c r="AO726" s="450"/>
      <c r="AP726" s="449"/>
      <c r="AQ726" s="451"/>
      <c r="AR726" s="449"/>
      <c r="AS726" s="449"/>
      <c r="AT726" s="451"/>
      <c r="AU726" s="449"/>
      <c r="AV726" s="451"/>
      <c r="AW726" s="449"/>
      <c r="AX726" s="449"/>
      <c r="AY726" s="449"/>
      <c r="AZ726" s="449"/>
      <c r="BA726" s="449"/>
      <c r="BB726" s="449"/>
      <c r="BC726" s="449"/>
      <c r="BD726" s="449"/>
      <c r="BE726" s="449"/>
      <c r="BF726" s="449"/>
      <c r="BG726" s="449"/>
      <c r="BH726" s="449"/>
      <c r="BI726" s="449"/>
      <c r="BJ726" s="449"/>
      <c r="BK726" s="449"/>
      <c r="BL726" s="449"/>
      <c r="BM726" s="449"/>
      <c r="BN726" s="449"/>
    </row>
    <row r="727" spans="1:66" ht="13.15" x14ac:dyDescent="0.4">
      <c r="A727" s="430"/>
      <c r="B727" s="430"/>
      <c r="C727" s="430"/>
      <c r="D727" s="430"/>
      <c r="E727" s="430"/>
      <c r="F727" s="430"/>
      <c r="G727" s="430"/>
      <c r="H727" s="461"/>
      <c r="I727" s="438"/>
      <c r="J727" s="438"/>
      <c r="K727" s="438"/>
      <c r="L727" s="430"/>
      <c r="M727" s="430"/>
      <c r="N727" s="461"/>
      <c r="O727" s="461"/>
      <c r="P727" s="430"/>
      <c r="Q727" s="430"/>
      <c r="R727" s="430"/>
      <c r="S727" s="430"/>
      <c r="T727" s="430"/>
      <c r="U727" s="430"/>
      <c r="V727" s="430"/>
      <c r="W727" s="430"/>
      <c r="X727" s="449"/>
      <c r="Y727" s="449"/>
      <c r="Z727" s="450"/>
      <c r="AA727" s="449"/>
      <c r="AB727" s="451"/>
      <c r="AC727" s="450"/>
      <c r="AD727" s="449"/>
      <c r="AE727" s="451"/>
      <c r="AF727" s="450"/>
      <c r="AG727" s="449"/>
      <c r="AH727" s="451"/>
      <c r="AI727" s="450"/>
      <c r="AJ727" s="449"/>
      <c r="AK727" s="451"/>
      <c r="AL727" s="450"/>
      <c r="AM727" s="449"/>
      <c r="AN727" s="451"/>
      <c r="AO727" s="450"/>
      <c r="AP727" s="449"/>
      <c r="AQ727" s="451"/>
      <c r="AR727" s="449"/>
      <c r="AS727" s="449"/>
      <c r="AT727" s="451"/>
      <c r="AU727" s="449"/>
      <c r="AV727" s="451"/>
      <c r="AW727" s="449"/>
      <c r="AX727" s="449"/>
      <c r="AY727" s="449"/>
      <c r="AZ727" s="449"/>
      <c r="BA727" s="449"/>
      <c r="BB727" s="449"/>
      <c r="BC727" s="449"/>
      <c r="BD727" s="449"/>
      <c r="BE727" s="449"/>
      <c r="BF727" s="449"/>
      <c r="BG727" s="449"/>
      <c r="BH727" s="449"/>
      <c r="BI727" s="449"/>
      <c r="BJ727" s="449"/>
      <c r="BK727" s="449"/>
      <c r="BL727" s="449"/>
      <c r="BM727" s="449"/>
      <c r="BN727" s="449"/>
    </row>
    <row r="728" spans="1:66" ht="13.15" x14ac:dyDescent="0.4">
      <c r="A728" s="430"/>
      <c r="B728" s="430"/>
      <c r="C728" s="430"/>
      <c r="D728" s="430"/>
      <c r="E728" s="430"/>
      <c r="F728" s="430"/>
      <c r="G728" s="430"/>
      <c r="H728" s="461"/>
      <c r="I728" s="438"/>
      <c r="J728" s="438"/>
      <c r="K728" s="438"/>
      <c r="L728" s="430"/>
      <c r="M728" s="430"/>
      <c r="N728" s="461"/>
      <c r="O728" s="461"/>
      <c r="P728" s="430"/>
      <c r="Q728" s="430"/>
      <c r="R728" s="430"/>
      <c r="S728" s="430"/>
      <c r="T728" s="430"/>
      <c r="U728" s="430"/>
      <c r="V728" s="430"/>
      <c r="W728" s="430"/>
      <c r="X728" s="449"/>
      <c r="Y728" s="449"/>
      <c r="Z728" s="450"/>
      <c r="AA728" s="449"/>
      <c r="AB728" s="451"/>
      <c r="AC728" s="450"/>
      <c r="AD728" s="449"/>
      <c r="AE728" s="451"/>
      <c r="AF728" s="450"/>
      <c r="AG728" s="449"/>
      <c r="AH728" s="451"/>
      <c r="AI728" s="450"/>
      <c r="AJ728" s="449"/>
      <c r="AK728" s="451"/>
      <c r="AL728" s="450"/>
      <c r="AM728" s="449"/>
      <c r="AN728" s="451"/>
      <c r="AO728" s="450"/>
      <c r="AP728" s="449"/>
      <c r="AQ728" s="451"/>
      <c r="AR728" s="449"/>
      <c r="AS728" s="449"/>
      <c r="AT728" s="451"/>
      <c r="AU728" s="449"/>
      <c r="AV728" s="451"/>
      <c r="AW728" s="449"/>
      <c r="AX728" s="449"/>
      <c r="AY728" s="449"/>
      <c r="AZ728" s="449"/>
      <c r="BA728" s="449"/>
      <c r="BB728" s="449"/>
      <c r="BC728" s="449"/>
      <c r="BD728" s="449"/>
      <c r="BE728" s="449"/>
      <c r="BF728" s="449"/>
      <c r="BG728" s="449"/>
      <c r="BH728" s="449"/>
      <c r="BI728" s="449"/>
      <c r="BJ728" s="449"/>
      <c r="BK728" s="449"/>
      <c r="BL728" s="449"/>
      <c r="BM728" s="449"/>
      <c r="BN728" s="449"/>
    </row>
    <row r="729" spans="1:66" ht="13.15" x14ac:dyDescent="0.4">
      <c r="A729" s="430"/>
      <c r="B729" s="430"/>
      <c r="C729" s="430"/>
      <c r="D729" s="430"/>
      <c r="E729" s="430"/>
      <c r="F729" s="430"/>
      <c r="G729" s="430"/>
      <c r="H729" s="461"/>
      <c r="I729" s="438"/>
      <c r="J729" s="438"/>
      <c r="K729" s="438"/>
      <c r="L729" s="430"/>
      <c r="M729" s="430"/>
      <c r="N729" s="461"/>
      <c r="O729" s="461"/>
      <c r="P729" s="430"/>
      <c r="Q729" s="430"/>
      <c r="R729" s="430"/>
      <c r="S729" s="430"/>
      <c r="T729" s="430"/>
      <c r="U729" s="430"/>
      <c r="V729" s="430"/>
      <c r="W729" s="430"/>
      <c r="X729" s="449"/>
      <c r="Y729" s="449"/>
      <c r="Z729" s="450"/>
      <c r="AA729" s="449"/>
      <c r="AB729" s="451"/>
      <c r="AC729" s="450"/>
      <c r="AD729" s="449"/>
      <c r="AE729" s="451"/>
      <c r="AF729" s="450"/>
      <c r="AG729" s="449"/>
      <c r="AH729" s="451"/>
      <c r="AI729" s="450"/>
      <c r="AJ729" s="449"/>
      <c r="AK729" s="451"/>
      <c r="AL729" s="450"/>
      <c r="AM729" s="449"/>
      <c r="AN729" s="451"/>
      <c r="AO729" s="450"/>
      <c r="AP729" s="449"/>
      <c r="AQ729" s="451"/>
      <c r="AR729" s="449"/>
      <c r="AS729" s="449"/>
      <c r="AT729" s="451"/>
      <c r="AU729" s="449"/>
      <c r="AV729" s="451"/>
      <c r="AW729" s="449"/>
      <c r="AX729" s="449"/>
      <c r="AY729" s="449"/>
      <c r="AZ729" s="449"/>
      <c r="BA729" s="449"/>
      <c r="BB729" s="449"/>
      <c r="BC729" s="449"/>
      <c r="BD729" s="449"/>
      <c r="BE729" s="449"/>
      <c r="BF729" s="449"/>
      <c r="BG729" s="449"/>
      <c r="BH729" s="449"/>
      <c r="BI729" s="449"/>
      <c r="BJ729" s="449"/>
      <c r="BK729" s="449"/>
      <c r="BL729" s="449"/>
      <c r="BM729" s="449"/>
      <c r="BN729" s="449"/>
    </row>
    <row r="730" spans="1:66" ht="13.15" x14ac:dyDescent="0.4">
      <c r="A730" s="430"/>
      <c r="B730" s="430"/>
      <c r="C730" s="430"/>
      <c r="D730" s="430"/>
      <c r="E730" s="430"/>
      <c r="F730" s="430"/>
      <c r="G730" s="430"/>
      <c r="H730" s="461"/>
      <c r="I730" s="438"/>
      <c r="J730" s="438"/>
      <c r="K730" s="438"/>
      <c r="L730" s="430"/>
      <c r="M730" s="430"/>
      <c r="N730" s="461"/>
      <c r="O730" s="461"/>
      <c r="P730" s="430"/>
      <c r="Q730" s="430"/>
      <c r="R730" s="430"/>
      <c r="S730" s="430"/>
      <c r="T730" s="430"/>
      <c r="U730" s="430"/>
      <c r="V730" s="430"/>
      <c r="W730" s="430"/>
      <c r="X730" s="449"/>
      <c r="Y730" s="449"/>
      <c r="Z730" s="450"/>
      <c r="AA730" s="449"/>
      <c r="AB730" s="451"/>
      <c r="AC730" s="450"/>
      <c r="AD730" s="449"/>
      <c r="AE730" s="451"/>
      <c r="AF730" s="450"/>
      <c r="AG730" s="449"/>
      <c r="AH730" s="451"/>
      <c r="AI730" s="450"/>
      <c r="AJ730" s="449"/>
      <c r="AK730" s="451"/>
      <c r="AL730" s="450"/>
      <c r="AM730" s="449"/>
      <c r="AN730" s="451"/>
      <c r="AO730" s="450"/>
      <c r="AP730" s="449"/>
      <c r="AQ730" s="451"/>
      <c r="AR730" s="449"/>
      <c r="AS730" s="449"/>
      <c r="AT730" s="451"/>
      <c r="AU730" s="449"/>
      <c r="AV730" s="451"/>
      <c r="AW730" s="449"/>
      <c r="AX730" s="449"/>
      <c r="AY730" s="449"/>
      <c r="AZ730" s="449"/>
      <c r="BA730" s="449"/>
      <c r="BB730" s="449"/>
      <c r="BC730" s="449"/>
      <c r="BD730" s="449"/>
      <c r="BE730" s="449"/>
      <c r="BF730" s="449"/>
      <c r="BG730" s="449"/>
      <c r="BH730" s="449"/>
      <c r="BI730" s="449"/>
      <c r="BJ730" s="449"/>
      <c r="BK730" s="449"/>
      <c r="BL730" s="449"/>
      <c r="BM730" s="449"/>
      <c r="BN730" s="449"/>
    </row>
    <row r="731" spans="1:66" ht="13.15" x14ac:dyDescent="0.4">
      <c r="A731" s="430"/>
      <c r="B731" s="430"/>
      <c r="C731" s="430"/>
      <c r="D731" s="430"/>
      <c r="E731" s="430"/>
      <c r="F731" s="430"/>
      <c r="G731" s="430"/>
      <c r="H731" s="461"/>
      <c r="I731" s="438"/>
      <c r="J731" s="438"/>
      <c r="K731" s="438"/>
      <c r="L731" s="430"/>
      <c r="M731" s="430"/>
      <c r="N731" s="461"/>
      <c r="O731" s="461"/>
      <c r="P731" s="430"/>
      <c r="Q731" s="430"/>
      <c r="R731" s="430"/>
      <c r="S731" s="430"/>
      <c r="T731" s="430"/>
      <c r="U731" s="430"/>
      <c r="V731" s="430"/>
      <c r="W731" s="430"/>
      <c r="X731" s="449"/>
      <c r="Y731" s="449"/>
      <c r="Z731" s="450"/>
      <c r="AA731" s="449"/>
      <c r="AB731" s="451"/>
      <c r="AC731" s="450"/>
      <c r="AD731" s="449"/>
      <c r="AE731" s="451"/>
      <c r="AF731" s="450"/>
      <c r="AG731" s="449"/>
      <c r="AH731" s="451"/>
      <c r="AI731" s="450"/>
      <c r="AJ731" s="449"/>
      <c r="AK731" s="451"/>
      <c r="AL731" s="450"/>
      <c r="AM731" s="449"/>
      <c r="AN731" s="451"/>
      <c r="AO731" s="450"/>
      <c r="AP731" s="449"/>
      <c r="AQ731" s="451"/>
      <c r="AR731" s="449"/>
      <c r="AS731" s="449"/>
      <c r="AT731" s="451"/>
      <c r="AU731" s="449"/>
      <c r="AV731" s="451"/>
      <c r="AW731" s="449"/>
      <c r="AX731" s="449"/>
      <c r="AY731" s="449"/>
      <c r="AZ731" s="449"/>
      <c r="BA731" s="449"/>
      <c r="BB731" s="449"/>
      <c r="BC731" s="449"/>
      <c r="BD731" s="449"/>
      <c r="BE731" s="449"/>
      <c r="BF731" s="449"/>
      <c r="BG731" s="449"/>
      <c r="BH731" s="449"/>
      <c r="BI731" s="449"/>
      <c r="BJ731" s="449"/>
      <c r="BK731" s="449"/>
      <c r="BL731" s="449"/>
      <c r="BM731" s="449"/>
      <c r="BN731" s="449"/>
    </row>
    <row r="732" spans="1:66" ht="13.15" x14ac:dyDescent="0.4">
      <c r="A732" s="430"/>
      <c r="B732" s="430"/>
      <c r="C732" s="430"/>
      <c r="D732" s="430"/>
      <c r="E732" s="430"/>
      <c r="F732" s="430"/>
      <c r="G732" s="430"/>
      <c r="H732" s="461"/>
      <c r="I732" s="438"/>
      <c r="J732" s="438"/>
      <c r="K732" s="438"/>
      <c r="L732" s="430"/>
      <c r="M732" s="430"/>
      <c r="N732" s="461"/>
      <c r="O732" s="461"/>
      <c r="P732" s="430"/>
      <c r="Q732" s="430"/>
      <c r="R732" s="430"/>
      <c r="S732" s="430"/>
      <c r="T732" s="430"/>
      <c r="U732" s="430"/>
      <c r="V732" s="430"/>
      <c r="W732" s="430"/>
      <c r="X732" s="449"/>
      <c r="Y732" s="449"/>
      <c r="Z732" s="450"/>
      <c r="AA732" s="449"/>
      <c r="AB732" s="451"/>
      <c r="AC732" s="450"/>
      <c r="AD732" s="449"/>
      <c r="AE732" s="451"/>
      <c r="AF732" s="450"/>
      <c r="AG732" s="449"/>
      <c r="AH732" s="451"/>
      <c r="AI732" s="450"/>
      <c r="AJ732" s="449"/>
      <c r="AK732" s="451"/>
      <c r="AL732" s="450"/>
      <c r="AM732" s="449"/>
      <c r="AN732" s="451"/>
      <c r="AO732" s="450"/>
      <c r="AP732" s="449"/>
      <c r="AQ732" s="451"/>
      <c r="AR732" s="449"/>
      <c r="AS732" s="449"/>
      <c r="AT732" s="451"/>
      <c r="AU732" s="449"/>
      <c r="AV732" s="451"/>
      <c r="AW732" s="449"/>
      <c r="AX732" s="449"/>
      <c r="AY732" s="449"/>
      <c r="AZ732" s="449"/>
      <c r="BA732" s="449"/>
      <c r="BB732" s="449"/>
      <c r="BC732" s="449"/>
      <c r="BD732" s="449"/>
      <c r="BE732" s="449"/>
      <c r="BF732" s="449"/>
      <c r="BG732" s="449"/>
      <c r="BH732" s="449"/>
      <c r="BI732" s="449"/>
      <c r="BJ732" s="449"/>
      <c r="BK732" s="449"/>
      <c r="BL732" s="449"/>
      <c r="BM732" s="449"/>
      <c r="BN732" s="449"/>
    </row>
    <row r="733" spans="1:66" ht="13.15" x14ac:dyDescent="0.4">
      <c r="A733" s="430"/>
      <c r="B733" s="430"/>
      <c r="C733" s="430"/>
      <c r="D733" s="430"/>
      <c r="E733" s="430"/>
      <c r="F733" s="430"/>
      <c r="G733" s="430"/>
      <c r="H733" s="461"/>
      <c r="I733" s="438"/>
      <c r="J733" s="438"/>
      <c r="K733" s="438"/>
      <c r="L733" s="430"/>
      <c r="M733" s="430"/>
      <c r="N733" s="461"/>
      <c r="O733" s="461"/>
      <c r="P733" s="430"/>
      <c r="Q733" s="430"/>
      <c r="R733" s="430"/>
      <c r="S733" s="430"/>
      <c r="T733" s="430"/>
      <c r="U733" s="430"/>
      <c r="V733" s="430"/>
      <c r="W733" s="430"/>
      <c r="X733" s="449"/>
      <c r="Y733" s="449"/>
      <c r="Z733" s="450"/>
      <c r="AA733" s="449"/>
      <c r="AB733" s="451"/>
      <c r="AC733" s="450"/>
      <c r="AD733" s="449"/>
      <c r="AE733" s="451"/>
      <c r="AF733" s="450"/>
      <c r="AG733" s="449"/>
      <c r="AH733" s="451"/>
      <c r="AI733" s="450"/>
      <c r="AJ733" s="449"/>
      <c r="AK733" s="451"/>
      <c r="AL733" s="450"/>
      <c r="AM733" s="449"/>
      <c r="AN733" s="451"/>
      <c r="AO733" s="450"/>
      <c r="AP733" s="449"/>
      <c r="AQ733" s="451"/>
      <c r="AR733" s="449"/>
      <c r="AS733" s="449"/>
      <c r="AT733" s="451"/>
      <c r="AU733" s="449"/>
      <c r="AV733" s="451"/>
      <c r="AW733" s="449"/>
      <c r="AX733" s="449"/>
      <c r="AY733" s="449"/>
      <c r="AZ733" s="449"/>
      <c r="BA733" s="449"/>
      <c r="BB733" s="449"/>
      <c r="BC733" s="449"/>
      <c r="BD733" s="449"/>
      <c r="BE733" s="449"/>
      <c r="BF733" s="449"/>
      <c r="BG733" s="449"/>
      <c r="BH733" s="449"/>
      <c r="BI733" s="449"/>
      <c r="BJ733" s="449"/>
      <c r="BK733" s="449"/>
      <c r="BL733" s="449"/>
      <c r="BM733" s="449"/>
      <c r="BN733" s="449"/>
    </row>
    <row r="734" spans="1:66" ht="13.15" x14ac:dyDescent="0.4">
      <c r="A734" s="430"/>
      <c r="B734" s="430"/>
      <c r="C734" s="430"/>
      <c r="D734" s="430"/>
      <c r="E734" s="430"/>
      <c r="F734" s="430"/>
      <c r="G734" s="430"/>
      <c r="H734" s="461"/>
      <c r="I734" s="438"/>
      <c r="J734" s="438"/>
      <c r="K734" s="438"/>
      <c r="L734" s="430"/>
      <c r="M734" s="430"/>
      <c r="N734" s="461"/>
      <c r="O734" s="461"/>
      <c r="P734" s="430"/>
      <c r="Q734" s="430"/>
      <c r="R734" s="430"/>
      <c r="S734" s="430"/>
      <c r="T734" s="430"/>
      <c r="U734" s="430"/>
      <c r="V734" s="430"/>
      <c r="W734" s="430"/>
      <c r="X734" s="449"/>
      <c r="Y734" s="449"/>
      <c r="Z734" s="450"/>
      <c r="AA734" s="449"/>
      <c r="AB734" s="451"/>
      <c r="AC734" s="450"/>
      <c r="AD734" s="449"/>
      <c r="AE734" s="451"/>
      <c r="AF734" s="450"/>
      <c r="AG734" s="449"/>
      <c r="AH734" s="451"/>
      <c r="AI734" s="450"/>
      <c r="AJ734" s="449"/>
      <c r="AK734" s="451"/>
      <c r="AL734" s="450"/>
      <c r="AM734" s="449"/>
      <c r="AN734" s="451"/>
      <c r="AO734" s="450"/>
      <c r="AP734" s="449"/>
      <c r="AQ734" s="451"/>
      <c r="AR734" s="449"/>
      <c r="AS734" s="449"/>
      <c r="AT734" s="451"/>
      <c r="AU734" s="449"/>
      <c r="AV734" s="451"/>
      <c r="AW734" s="449"/>
      <c r="AX734" s="449"/>
      <c r="AY734" s="449"/>
      <c r="AZ734" s="449"/>
      <c r="BA734" s="449"/>
      <c r="BB734" s="449"/>
      <c r="BC734" s="449"/>
      <c r="BD734" s="449"/>
      <c r="BE734" s="449"/>
      <c r="BF734" s="449"/>
      <c r="BG734" s="449"/>
      <c r="BH734" s="449"/>
      <c r="BI734" s="449"/>
      <c r="BJ734" s="449"/>
      <c r="BK734" s="449"/>
      <c r="BL734" s="449"/>
      <c r="BM734" s="449"/>
      <c r="BN734" s="449"/>
    </row>
    <row r="735" spans="1:66" ht="13.15" x14ac:dyDescent="0.4">
      <c r="A735" s="430"/>
      <c r="B735" s="430"/>
      <c r="C735" s="430"/>
      <c r="D735" s="430"/>
      <c r="E735" s="430"/>
      <c r="F735" s="430"/>
      <c r="G735" s="430"/>
      <c r="H735" s="461"/>
      <c r="I735" s="438"/>
      <c r="J735" s="438"/>
      <c r="K735" s="438"/>
      <c r="L735" s="430"/>
      <c r="M735" s="430"/>
      <c r="N735" s="461"/>
      <c r="O735" s="461"/>
      <c r="P735" s="430"/>
      <c r="Q735" s="430"/>
      <c r="R735" s="430"/>
      <c r="S735" s="430"/>
      <c r="T735" s="430"/>
      <c r="U735" s="430"/>
      <c r="V735" s="430"/>
      <c r="W735" s="430"/>
      <c r="X735" s="449"/>
      <c r="Y735" s="449"/>
      <c r="Z735" s="450"/>
      <c r="AA735" s="449"/>
      <c r="AB735" s="451"/>
      <c r="AC735" s="450"/>
      <c r="AD735" s="449"/>
      <c r="AE735" s="451"/>
      <c r="AF735" s="450"/>
      <c r="AG735" s="449"/>
      <c r="AH735" s="451"/>
      <c r="AI735" s="450"/>
      <c r="AJ735" s="449"/>
      <c r="AK735" s="451"/>
      <c r="AL735" s="450"/>
      <c r="AM735" s="449"/>
      <c r="AN735" s="451"/>
      <c r="AO735" s="450"/>
      <c r="AP735" s="449"/>
      <c r="AQ735" s="451"/>
      <c r="AR735" s="449"/>
      <c r="AS735" s="449"/>
      <c r="AT735" s="451"/>
      <c r="AU735" s="449"/>
      <c r="AV735" s="451"/>
      <c r="AW735" s="449"/>
      <c r="AX735" s="449"/>
      <c r="AY735" s="449"/>
      <c r="AZ735" s="449"/>
      <c r="BA735" s="449"/>
      <c r="BB735" s="449"/>
      <c r="BC735" s="449"/>
      <c r="BD735" s="449"/>
      <c r="BE735" s="449"/>
      <c r="BF735" s="449"/>
      <c r="BG735" s="449"/>
      <c r="BH735" s="449"/>
      <c r="BI735" s="449"/>
      <c r="BJ735" s="449"/>
      <c r="BK735" s="449"/>
      <c r="BL735" s="449"/>
      <c r="BM735" s="449"/>
      <c r="BN735" s="449"/>
    </row>
    <row r="736" spans="1:66" ht="13.15" x14ac:dyDescent="0.4">
      <c r="A736" s="430"/>
      <c r="B736" s="430"/>
      <c r="C736" s="430"/>
      <c r="D736" s="430"/>
      <c r="E736" s="430"/>
      <c r="F736" s="430"/>
      <c r="G736" s="430"/>
      <c r="H736" s="461"/>
      <c r="I736" s="438"/>
      <c r="J736" s="438"/>
      <c r="K736" s="438"/>
      <c r="L736" s="430"/>
      <c r="M736" s="430"/>
      <c r="N736" s="461"/>
      <c r="O736" s="461"/>
      <c r="P736" s="430"/>
      <c r="Q736" s="430"/>
      <c r="R736" s="430"/>
      <c r="S736" s="430"/>
      <c r="T736" s="430"/>
      <c r="U736" s="430"/>
      <c r="V736" s="430"/>
      <c r="W736" s="430"/>
      <c r="X736" s="449"/>
      <c r="Y736" s="449"/>
      <c r="Z736" s="450"/>
      <c r="AA736" s="449"/>
      <c r="AB736" s="451"/>
      <c r="AC736" s="450"/>
      <c r="AD736" s="449"/>
      <c r="AE736" s="451"/>
      <c r="AF736" s="450"/>
      <c r="AG736" s="449"/>
      <c r="AH736" s="451"/>
      <c r="AI736" s="450"/>
      <c r="AJ736" s="449"/>
      <c r="AK736" s="451"/>
      <c r="AL736" s="450"/>
      <c r="AM736" s="449"/>
      <c r="AN736" s="451"/>
      <c r="AO736" s="450"/>
      <c r="AP736" s="449"/>
      <c r="AQ736" s="451"/>
      <c r="AR736" s="449"/>
      <c r="AS736" s="449"/>
      <c r="AT736" s="451"/>
      <c r="AU736" s="449"/>
      <c r="AV736" s="451"/>
      <c r="AW736" s="449"/>
      <c r="AX736" s="449"/>
      <c r="AY736" s="449"/>
      <c r="AZ736" s="449"/>
      <c r="BA736" s="449"/>
      <c r="BB736" s="449"/>
      <c r="BC736" s="449"/>
      <c r="BD736" s="449"/>
      <c r="BE736" s="449"/>
      <c r="BF736" s="449"/>
      <c r="BG736" s="449"/>
      <c r="BH736" s="449"/>
      <c r="BI736" s="449"/>
      <c r="BJ736" s="449"/>
      <c r="BK736" s="449"/>
      <c r="BL736" s="449"/>
      <c r="BM736" s="449"/>
      <c r="BN736" s="449"/>
    </row>
    <row r="737" spans="1:66" ht="13.15" x14ac:dyDescent="0.4">
      <c r="A737" s="430"/>
      <c r="B737" s="430"/>
      <c r="C737" s="430"/>
      <c r="D737" s="430"/>
      <c r="E737" s="430"/>
      <c r="F737" s="430"/>
      <c r="G737" s="430"/>
      <c r="H737" s="461"/>
      <c r="I737" s="438"/>
      <c r="J737" s="438"/>
      <c r="K737" s="438"/>
      <c r="L737" s="430"/>
      <c r="M737" s="430"/>
      <c r="N737" s="461"/>
      <c r="O737" s="461"/>
      <c r="P737" s="430"/>
      <c r="Q737" s="430"/>
      <c r="R737" s="430"/>
      <c r="S737" s="430"/>
      <c r="T737" s="430"/>
      <c r="U737" s="430"/>
      <c r="V737" s="430"/>
      <c r="W737" s="430"/>
      <c r="X737" s="449"/>
      <c r="Y737" s="449"/>
      <c r="Z737" s="450"/>
      <c r="AA737" s="449"/>
      <c r="AB737" s="451"/>
      <c r="AC737" s="450"/>
      <c r="AD737" s="449"/>
      <c r="AE737" s="451"/>
      <c r="AF737" s="450"/>
      <c r="AG737" s="449"/>
      <c r="AH737" s="451"/>
      <c r="AI737" s="450"/>
      <c r="AJ737" s="449"/>
      <c r="AK737" s="451"/>
      <c r="AL737" s="450"/>
      <c r="AM737" s="449"/>
      <c r="AN737" s="451"/>
      <c r="AO737" s="450"/>
      <c r="AP737" s="449"/>
      <c r="AQ737" s="451"/>
      <c r="AR737" s="449"/>
      <c r="AS737" s="449"/>
      <c r="AT737" s="451"/>
      <c r="AU737" s="449"/>
      <c r="AV737" s="451"/>
      <c r="AW737" s="449"/>
      <c r="AX737" s="449"/>
      <c r="AY737" s="449"/>
      <c r="AZ737" s="449"/>
      <c r="BA737" s="449"/>
      <c r="BB737" s="449"/>
      <c r="BC737" s="449"/>
      <c r="BD737" s="449"/>
      <c r="BE737" s="449"/>
      <c r="BF737" s="449"/>
      <c r="BG737" s="449"/>
      <c r="BH737" s="449"/>
      <c r="BI737" s="449"/>
      <c r="BJ737" s="449"/>
      <c r="BK737" s="449"/>
      <c r="BL737" s="449"/>
      <c r="BM737" s="449"/>
      <c r="BN737" s="449"/>
    </row>
    <row r="738" spans="1:66" ht="13.15" x14ac:dyDescent="0.4">
      <c r="A738" s="430"/>
      <c r="B738" s="430"/>
      <c r="C738" s="430"/>
      <c r="D738" s="430"/>
      <c r="E738" s="430"/>
      <c r="F738" s="430"/>
      <c r="G738" s="430"/>
      <c r="H738" s="461"/>
      <c r="I738" s="438"/>
      <c r="J738" s="438"/>
      <c r="K738" s="438"/>
      <c r="L738" s="430"/>
      <c r="M738" s="430"/>
      <c r="N738" s="461"/>
      <c r="O738" s="461"/>
      <c r="P738" s="430"/>
      <c r="Q738" s="430"/>
      <c r="R738" s="430"/>
      <c r="S738" s="430"/>
      <c r="T738" s="430"/>
      <c r="U738" s="430"/>
      <c r="V738" s="430"/>
      <c r="W738" s="430"/>
      <c r="X738" s="449"/>
      <c r="Y738" s="449"/>
      <c r="Z738" s="450"/>
      <c r="AA738" s="449"/>
      <c r="AB738" s="451"/>
      <c r="AC738" s="450"/>
      <c r="AD738" s="449"/>
      <c r="AE738" s="451"/>
      <c r="AF738" s="450"/>
      <c r="AG738" s="449"/>
      <c r="AH738" s="451"/>
      <c r="AI738" s="450"/>
      <c r="AJ738" s="449"/>
      <c r="AK738" s="451"/>
      <c r="AL738" s="450"/>
      <c r="AM738" s="449"/>
      <c r="AN738" s="451"/>
      <c r="AO738" s="450"/>
      <c r="AP738" s="449"/>
      <c r="AQ738" s="451"/>
      <c r="AR738" s="449"/>
      <c r="AS738" s="449"/>
      <c r="AT738" s="451"/>
      <c r="AU738" s="449"/>
      <c r="AV738" s="451"/>
      <c r="AW738" s="449"/>
      <c r="AX738" s="449"/>
      <c r="AY738" s="449"/>
      <c r="AZ738" s="449"/>
      <c r="BA738" s="449"/>
      <c r="BB738" s="449"/>
      <c r="BC738" s="449"/>
      <c r="BD738" s="449"/>
      <c r="BE738" s="449"/>
      <c r="BF738" s="449"/>
      <c r="BG738" s="449"/>
      <c r="BH738" s="449"/>
      <c r="BI738" s="449"/>
      <c r="BJ738" s="449"/>
      <c r="BK738" s="449"/>
      <c r="BL738" s="449"/>
      <c r="BM738" s="449"/>
      <c r="BN738" s="449"/>
    </row>
    <row r="739" spans="1:66" ht="13.15" x14ac:dyDescent="0.4">
      <c r="A739" s="430"/>
      <c r="B739" s="430"/>
      <c r="C739" s="430"/>
      <c r="D739" s="430"/>
      <c r="E739" s="430"/>
      <c r="F739" s="430"/>
      <c r="G739" s="430"/>
      <c r="H739" s="461"/>
      <c r="I739" s="438"/>
      <c r="J739" s="438"/>
      <c r="K739" s="438"/>
      <c r="L739" s="430"/>
      <c r="M739" s="430"/>
      <c r="N739" s="461"/>
      <c r="O739" s="461"/>
      <c r="P739" s="430"/>
      <c r="Q739" s="430"/>
      <c r="R739" s="430"/>
      <c r="S739" s="430"/>
      <c r="T739" s="430"/>
      <c r="U739" s="430"/>
      <c r="V739" s="430"/>
      <c r="W739" s="430"/>
      <c r="X739" s="449"/>
      <c r="Y739" s="449"/>
      <c r="Z739" s="450"/>
      <c r="AA739" s="449"/>
      <c r="AB739" s="451"/>
      <c r="AC739" s="450"/>
      <c r="AD739" s="449"/>
      <c r="AE739" s="451"/>
      <c r="AF739" s="450"/>
      <c r="AG739" s="449"/>
      <c r="AH739" s="451"/>
      <c r="AI739" s="450"/>
      <c r="AJ739" s="449"/>
      <c r="AK739" s="451"/>
      <c r="AL739" s="450"/>
      <c r="AM739" s="449"/>
      <c r="AN739" s="451"/>
      <c r="AO739" s="450"/>
      <c r="AP739" s="449"/>
      <c r="AQ739" s="451"/>
      <c r="AR739" s="449"/>
      <c r="AS739" s="449"/>
      <c r="AT739" s="451"/>
      <c r="AU739" s="449"/>
      <c r="AV739" s="451"/>
      <c r="AW739" s="449"/>
      <c r="AX739" s="449"/>
      <c r="AY739" s="449"/>
      <c r="AZ739" s="449"/>
      <c r="BA739" s="449"/>
      <c r="BB739" s="449"/>
      <c r="BC739" s="449"/>
      <c r="BD739" s="449"/>
      <c r="BE739" s="449"/>
      <c r="BF739" s="449"/>
      <c r="BG739" s="449"/>
      <c r="BH739" s="449"/>
      <c r="BI739" s="449"/>
      <c r="BJ739" s="449"/>
      <c r="BK739" s="449"/>
      <c r="BL739" s="449"/>
      <c r="BM739" s="449"/>
      <c r="BN739" s="449"/>
    </row>
    <row r="740" spans="1:66" ht="13.15" x14ac:dyDescent="0.4">
      <c r="A740" s="430"/>
      <c r="B740" s="430"/>
      <c r="C740" s="430"/>
      <c r="D740" s="430"/>
      <c r="E740" s="430"/>
      <c r="F740" s="430"/>
      <c r="G740" s="430"/>
      <c r="H740" s="461"/>
      <c r="I740" s="438"/>
      <c r="J740" s="438"/>
      <c r="K740" s="438"/>
      <c r="L740" s="430"/>
      <c r="M740" s="430"/>
      <c r="N740" s="461"/>
      <c r="O740" s="461"/>
      <c r="P740" s="430"/>
      <c r="Q740" s="430"/>
      <c r="R740" s="430"/>
      <c r="S740" s="430"/>
      <c r="T740" s="430"/>
      <c r="U740" s="430"/>
      <c r="V740" s="430"/>
      <c r="W740" s="430"/>
      <c r="X740" s="449"/>
      <c r="Y740" s="449"/>
      <c r="Z740" s="450"/>
      <c r="AA740" s="449"/>
      <c r="AB740" s="451"/>
      <c r="AC740" s="450"/>
      <c r="AD740" s="449"/>
      <c r="AE740" s="451"/>
      <c r="AF740" s="450"/>
      <c r="AG740" s="449"/>
      <c r="AH740" s="451"/>
      <c r="AI740" s="450"/>
      <c r="AJ740" s="449"/>
      <c r="AK740" s="451"/>
      <c r="AL740" s="450"/>
      <c r="AM740" s="449"/>
      <c r="AN740" s="451"/>
      <c r="AO740" s="450"/>
      <c r="AP740" s="449"/>
      <c r="AQ740" s="451"/>
      <c r="AR740" s="449"/>
      <c r="AS740" s="449"/>
      <c r="AT740" s="451"/>
      <c r="AU740" s="449"/>
      <c r="AV740" s="451"/>
      <c r="AW740" s="449"/>
      <c r="AX740" s="449"/>
      <c r="AY740" s="449"/>
      <c r="AZ740" s="449"/>
      <c r="BA740" s="449"/>
      <c r="BB740" s="449"/>
      <c r="BC740" s="449"/>
      <c r="BD740" s="449"/>
      <c r="BE740" s="449"/>
      <c r="BF740" s="449"/>
      <c r="BG740" s="449"/>
      <c r="BH740" s="449"/>
      <c r="BI740" s="449"/>
      <c r="BJ740" s="449"/>
      <c r="BK740" s="449"/>
      <c r="BL740" s="449"/>
      <c r="BM740" s="449"/>
      <c r="BN740" s="449"/>
    </row>
    <row r="741" spans="1:66" ht="13.15" x14ac:dyDescent="0.4">
      <c r="A741" s="430"/>
      <c r="B741" s="430"/>
      <c r="C741" s="430"/>
      <c r="D741" s="430"/>
      <c r="E741" s="430"/>
      <c r="F741" s="430"/>
      <c r="G741" s="430"/>
      <c r="H741" s="461"/>
      <c r="I741" s="438"/>
      <c r="J741" s="438"/>
      <c r="K741" s="438"/>
      <c r="L741" s="430"/>
      <c r="M741" s="430"/>
      <c r="N741" s="461"/>
      <c r="O741" s="461"/>
      <c r="P741" s="430"/>
      <c r="Q741" s="430"/>
      <c r="R741" s="430"/>
      <c r="S741" s="430"/>
      <c r="T741" s="430"/>
      <c r="U741" s="430"/>
      <c r="V741" s="430"/>
      <c r="W741" s="430"/>
      <c r="X741" s="449"/>
      <c r="Y741" s="449"/>
      <c r="Z741" s="450"/>
      <c r="AA741" s="449"/>
      <c r="AB741" s="451"/>
      <c r="AC741" s="450"/>
      <c r="AD741" s="449"/>
      <c r="AE741" s="451"/>
      <c r="AF741" s="450"/>
      <c r="AG741" s="449"/>
      <c r="AH741" s="451"/>
      <c r="AI741" s="450"/>
      <c r="AJ741" s="449"/>
      <c r="AK741" s="451"/>
      <c r="AL741" s="450"/>
      <c r="AM741" s="449"/>
      <c r="AN741" s="451"/>
      <c r="AO741" s="450"/>
      <c r="AP741" s="449"/>
      <c r="AQ741" s="451"/>
      <c r="AR741" s="449"/>
      <c r="AS741" s="449"/>
      <c r="AT741" s="451"/>
      <c r="AU741" s="449"/>
      <c r="AV741" s="451"/>
      <c r="AW741" s="449"/>
      <c r="AX741" s="449"/>
      <c r="AY741" s="449"/>
      <c r="AZ741" s="449"/>
      <c r="BA741" s="449"/>
      <c r="BB741" s="449"/>
      <c r="BC741" s="449"/>
      <c r="BD741" s="449"/>
      <c r="BE741" s="449"/>
      <c r="BF741" s="449"/>
      <c r="BG741" s="449"/>
      <c r="BH741" s="449"/>
      <c r="BI741" s="449"/>
      <c r="BJ741" s="449"/>
      <c r="BK741" s="449"/>
      <c r="BL741" s="449"/>
      <c r="BM741" s="449"/>
      <c r="BN741" s="449"/>
    </row>
    <row r="742" spans="1:66" ht="13.15" x14ac:dyDescent="0.4">
      <c r="A742" s="430"/>
      <c r="B742" s="430"/>
      <c r="C742" s="430"/>
      <c r="D742" s="430"/>
      <c r="E742" s="430"/>
      <c r="F742" s="430"/>
      <c r="G742" s="430"/>
      <c r="H742" s="461"/>
      <c r="I742" s="438"/>
      <c r="J742" s="438"/>
      <c r="K742" s="438"/>
      <c r="L742" s="430"/>
      <c r="M742" s="430"/>
      <c r="N742" s="461"/>
      <c r="O742" s="461"/>
      <c r="P742" s="430"/>
      <c r="Q742" s="430"/>
      <c r="R742" s="430"/>
      <c r="S742" s="430"/>
      <c r="T742" s="430"/>
      <c r="U742" s="430"/>
      <c r="V742" s="430"/>
      <c r="W742" s="430"/>
      <c r="X742" s="449"/>
      <c r="Y742" s="449"/>
      <c r="Z742" s="450"/>
      <c r="AA742" s="449"/>
      <c r="AB742" s="451"/>
      <c r="AC742" s="450"/>
      <c r="AD742" s="449"/>
      <c r="AE742" s="451"/>
      <c r="AF742" s="450"/>
      <c r="AG742" s="449"/>
      <c r="AH742" s="451"/>
      <c r="AI742" s="450"/>
      <c r="AJ742" s="449"/>
      <c r="AK742" s="451"/>
      <c r="AL742" s="450"/>
      <c r="AM742" s="449"/>
      <c r="AN742" s="451"/>
      <c r="AO742" s="450"/>
      <c r="AP742" s="449"/>
      <c r="AQ742" s="451"/>
      <c r="AR742" s="449"/>
      <c r="AS742" s="449"/>
      <c r="AT742" s="451"/>
      <c r="AU742" s="449"/>
      <c r="AV742" s="451"/>
      <c r="AW742" s="449"/>
      <c r="AX742" s="449"/>
      <c r="AY742" s="449"/>
      <c r="AZ742" s="449"/>
      <c r="BA742" s="449"/>
      <c r="BB742" s="449"/>
      <c r="BC742" s="449"/>
      <c r="BD742" s="449"/>
      <c r="BE742" s="449"/>
      <c r="BF742" s="449"/>
      <c r="BG742" s="449"/>
      <c r="BH742" s="449"/>
      <c r="BI742" s="449"/>
      <c r="BJ742" s="449"/>
      <c r="BK742" s="449"/>
      <c r="BL742" s="449"/>
      <c r="BM742" s="449"/>
      <c r="BN742" s="449"/>
    </row>
    <row r="743" spans="1:66" ht="13.15" x14ac:dyDescent="0.4">
      <c r="A743" s="430"/>
      <c r="B743" s="430"/>
      <c r="C743" s="430"/>
      <c r="D743" s="430"/>
      <c r="E743" s="430"/>
      <c r="F743" s="430"/>
      <c r="G743" s="430"/>
      <c r="H743" s="461"/>
      <c r="I743" s="438"/>
      <c r="J743" s="438"/>
      <c r="K743" s="438"/>
      <c r="L743" s="430"/>
      <c r="M743" s="430"/>
      <c r="N743" s="461"/>
      <c r="O743" s="461"/>
      <c r="P743" s="430"/>
      <c r="Q743" s="430"/>
      <c r="R743" s="430"/>
      <c r="S743" s="430"/>
      <c r="T743" s="430"/>
      <c r="U743" s="430"/>
      <c r="V743" s="430"/>
      <c r="W743" s="430"/>
      <c r="X743" s="449"/>
      <c r="Y743" s="449"/>
      <c r="Z743" s="450"/>
      <c r="AA743" s="449"/>
      <c r="AB743" s="451"/>
      <c r="AC743" s="450"/>
      <c r="AD743" s="449"/>
      <c r="AE743" s="451"/>
      <c r="AF743" s="450"/>
      <c r="AG743" s="449"/>
      <c r="AH743" s="451"/>
      <c r="AI743" s="450"/>
      <c r="AJ743" s="449"/>
      <c r="AK743" s="451"/>
      <c r="AL743" s="450"/>
      <c r="AM743" s="449"/>
      <c r="AN743" s="451"/>
      <c r="AO743" s="450"/>
      <c r="AP743" s="449"/>
      <c r="AQ743" s="451"/>
      <c r="AR743" s="449"/>
      <c r="AS743" s="449"/>
      <c r="AT743" s="451"/>
      <c r="AU743" s="449"/>
      <c r="AV743" s="451"/>
      <c r="AW743" s="449"/>
      <c r="AX743" s="449"/>
      <c r="AY743" s="449"/>
      <c r="AZ743" s="449"/>
      <c r="BA743" s="449"/>
      <c r="BB743" s="449"/>
      <c r="BC743" s="449"/>
      <c r="BD743" s="449"/>
      <c r="BE743" s="449"/>
      <c r="BF743" s="449"/>
      <c r="BG743" s="449"/>
      <c r="BH743" s="449"/>
      <c r="BI743" s="449"/>
      <c r="BJ743" s="449"/>
      <c r="BK743" s="449"/>
      <c r="BL743" s="449"/>
      <c r="BM743" s="449"/>
      <c r="BN743" s="449"/>
    </row>
    <row r="744" spans="1:66" ht="13.15" x14ac:dyDescent="0.4">
      <c r="A744" s="430"/>
      <c r="B744" s="430"/>
      <c r="C744" s="430"/>
      <c r="D744" s="430"/>
      <c r="E744" s="430"/>
      <c r="F744" s="430"/>
      <c r="G744" s="430"/>
      <c r="H744" s="461"/>
      <c r="I744" s="438"/>
      <c r="J744" s="438"/>
      <c r="K744" s="438"/>
      <c r="L744" s="430"/>
      <c r="M744" s="430"/>
      <c r="N744" s="461"/>
      <c r="O744" s="461"/>
      <c r="P744" s="430"/>
      <c r="Q744" s="430"/>
      <c r="R744" s="430"/>
      <c r="S744" s="430"/>
      <c r="T744" s="430"/>
      <c r="U744" s="430"/>
      <c r="V744" s="430"/>
      <c r="W744" s="430"/>
      <c r="X744" s="449"/>
      <c r="Y744" s="449"/>
      <c r="Z744" s="450"/>
      <c r="AA744" s="449"/>
      <c r="AB744" s="451"/>
      <c r="AC744" s="450"/>
      <c r="AD744" s="449"/>
      <c r="AE744" s="451"/>
      <c r="AF744" s="450"/>
      <c r="AG744" s="449"/>
      <c r="AH744" s="451"/>
      <c r="AI744" s="450"/>
      <c r="AJ744" s="449"/>
      <c r="AK744" s="451"/>
      <c r="AL744" s="450"/>
      <c r="AM744" s="449"/>
      <c r="AN744" s="451"/>
      <c r="AO744" s="450"/>
      <c r="AP744" s="449"/>
      <c r="AQ744" s="451"/>
      <c r="AR744" s="449"/>
      <c r="AS744" s="449"/>
      <c r="AT744" s="451"/>
      <c r="AU744" s="449"/>
      <c r="AV744" s="451"/>
      <c r="AW744" s="449"/>
      <c r="AX744" s="449"/>
      <c r="AY744" s="449"/>
      <c r="AZ744" s="449"/>
      <c r="BA744" s="449"/>
      <c r="BB744" s="449"/>
      <c r="BC744" s="449"/>
      <c r="BD744" s="449"/>
      <c r="BE744" s="449"/>
      <c r="BF744" s="449"/>
      <c r="BG744" s="449"/>
      <c r="BH744" s="449"/>
      <c r="BI744" s="449"/>
      <c r="BJ744" s="449"/>
      <c r="BK744" s="449"/>
      <c r="BL744" s="449"/>
      <c r="BM744" s="449"/>
      <c r="BN744" s="449"/>
    </row>
    <row r="745" spans="1:66" ht="13.15" x14ac:dyDescent="0.4">
      <c r="A745" s="430"/>
      <c r="B745" s="430"/>
      <c r="C745" s="430"/>
      <c r="D745" s="430"/>
      <c r="E745" s="430"/>
      <c r="F745" s="430"/>
      <c r="G745" s="430"/>
      <c r="H745" s="461"/>
      <c r="I745" s="438"/>
      <c r="J745" s="438"/>
      <c r="K745" s="438"/>
      <c r="L745" s="430"/>
      <c r="M745" s="430"/>
      <c r="N745" s="461"/>
      <c r="O745" s="461"/>
      <c r="P745" s="430"/>
      <c r="Q745" s="430"/>
      <c r="R745" s="430"/>
      <c r="S745" s="430"/>
      <c r="T745" s="430"/>
      <c r="U745" s="430"/>
      <c r="V745" s="430"/>
      <c r="W745" s="430"/>
      <c r="X745" s="449"/>
      <c r="Y745" s="449"/>
      <c r="Z745" s="450"/>
      <c r="AA745" s="449"/>
      <c r="AB745" s="451"/>
      <c r="AC745" s="450"/>
      <c r="AD745" s="449"/>
      <c r="AE745" s="451"/>
      <c r="AF745" s="450"/>
      <c r="AG745" s="449"/>
      <c r="AH745" s="451"/>
      <c r="AI745" s="450"/>
      <c r="AJ745" s="449"/>
      <c r="AK745" s="451"/>
      <c r="AL745" s="450"/>
      <c r="AM745" s="449"/>
      <c r="AN745" s="451"/>
      <c r="AO745" s="450"/>
      <c r="AP745" s="449"/>
      <c r="AQ745" s="451"/>
      <c r="AR745" s="449"/>
      <c r="AS745" s="449"/>
      <c r="AT745" s="451"/>
      <c r="AU745" s="449"/>
      <c r="AV745" s="451"/>
      <c r="AW745" s="449"/>
      <c r="AX745" s="449"/>
      <c r="AY745" s="449"/>
      <c r="AZ745" s="449"/>
      <c r="BA745" s="449"/>
      <c r="BB745" s="449"/>
      <c r="BC745" s="449"/>
      <c r="BD745" s="449"/>
      <c r="BE745" s="449"/>
      <c r="BF745" s="449"/>
      <c r="BG745" s="449"/>
      <c r="BH745" s="449"/>
      <c r="BI745" s="449"/>
      <c r="BJ745" s="449"/>
      <c r="BK745" s="449"/>
      <c r="BL745" s="449"/>
      <c r="BM745" s="449"/>
      <c r="BN745" s="449"/>
    </row>
    <row r="746" spans="1:66" ht="13.15" x14ac:dyDescent="0.4">
      <c r="A746" s="430"/>
      <c r="B746" s="430"/>
      <c r="C746" s="430"/>
      <c r="D746" s="430"/>
      <c r="E746" s="430"/>
      <c r="F746" s="430"/>
      <c r="G746" s="430"/>
      <c r="H746" s="461"/>
      <c r="I746" s="438"/>
      <c r="J746" s="438"/>
      <c r="K746" s="438"/>
      <c r="L746" s="430"/>
      <c r="M746" s="430"/>
      <c r="N746" s="461"/>
      <c r="O746" s="461"/>
      <c r="P746" s="430"/>
      <c r="Q746" s="430"/>
      <c r="R746" s="430"/>
      <c r="S746" s="430"/>
      <c r="T746" s="430"/>
      <c r="U746" s="430"/>
      <c r="V746" s="430"/>
      <c r="W746" s="430"/>
      <c r="X746" s="449"/>
      <c r="Y746" s="449"/>
      <c r="Z746" s="450"/>
      <c r="AA746" s="449"/>
      <c r="AB746" s="451"/>
      <c r="AC746" s="450"/>
      <c r="AD746" s="449"/>
      <c r="AE746" s="451"/>
      <c r="AF746" s="450"/>
      <c r="AG746" s="449"/>
      <c r="AH746" s="451"/>
      <c r="AI746" s="450"/>
      <c r="AJ746" s="449"/>
      <c r="AK746" s="451"/>
      <c r="AL746" s="450"/>
      <c r="AM746" s="449"/>
      <c r="AN746" s="451"/>
      <c r="AO746" s="450"/>
      <c r="AP746" s="449"/>
      <c r="AQ746" s="451"/>
      <c r="AR746" s="449"/>
      <c r="AS746" s="449"/>
      <c r="AT746" s="451"/>
      <c r="AU746" s="449"/>
      <c r="AV746" s="451"/>
      <c r="AW746" s="449"/>
      <c r="AX746" s="449"/>
      <c r="AY746" s="449"/>
      <c r="AZ746" s="449"/>
      <c r="BA746" s="449"/>
      <c r="BB746" s="449"/>
      <c r="BC746" s="449"/>
      <c r="BD746" s="449"/>
      <c r="BE746" s="449"/>
      <c r="BF746" s="449"/>
      <c r="BG746" s="449"/>
      <c r="BH746" s="449"/>
      <c r="BI746" s="449"/>
      <c r="BJ746" s="449"/>
      <c r="BK746" s="449"/>
      <c r="BL746" s="449"/>
      <c r="BM746" s="449"/>
      <c r="BN746" s="449"/>
    </row>
    <row r="747" spans="1:66" ht="13.15" x14ac:dyDescent="0.4">
      <c r="A747" s="430"/>
      <c r="B747" s="430"/>
      <c r="C747" s="430"/>
      <c r="D747" s="430"/>
      <c r="E747" s="430"/>
      <c r="F747" s="430"/>
      <c r="G747" s="430"/>
      <c r="H747" s="461"/>
      <c r="I747" s="438"/>
      <c r="J747" s="438"/>
      <c r="K747" s="438"/>
      <c r="L747" s="430"/>
      <c r="M747" s="430"/>
      <c r="N747" s="461"/>
      <c r="O747" s="461"/>
      <c r="P747" s="430"/>
      <c r="Q747" s="430"/>
      <c r="R747" s="430"/>
      <c r="S747" s="430"/>
      <c r="T747" s="430"/>
      <c r="U747" s="430"/>
      <c r="V747" s="430"/>
      <c r="W747" s="430"/>
      <c r="X747" s="449"/>
      <c r="Y747" s="449"/>
      <c r="Z747" s="450"/>
      <c r="AA747" s="449"/>
      <c r="AB747" s="451"/>
      <c r="AC747" s="450"/>
      <c r="AD747" s="449"/>
      <c r="AE747" s="451"/>
      <c r="AF747" s="450"/>
      <c r="AG747" s="449"/>
      <c r="AH747" s="451"/>
      <c r="AI747" s="450"/>
      <c r="AJ747" s="449"/>
      <c r="AK747" s="451"/>
      <c r="AL747" s="450"/>
      <c r="AM747" s="449"/>
      <c r="AN747" s="451"/>
      <c r="AO747" s="450"/>
      <c r="AP747" s="449"/>
      <c r="AQ747" s="451"/>
      <c r="AR747" s="449"/>
      <c r="AS747" s="449"/>
      <c r="AT747" s="451"/>
      <c r="AU747" s="449"/>
      <c r="AV747" s="451"/>
      <c r="AW747" s="449"/>
      <c r="AX747" s="449"/>
      <c r="AY747" s="449"/>
      <c r="AZ747" s="449"/>
      <c r="BA747" s="449"/>
      <c r="BB747" s="449"/>
      <c r="BC747" s="449"/>
      <c r="BD747" s="449"/>
      <c r="BE747" s="449"/>
      <c r="BF747" s="449"/>
      <c r="BG747" s="449"/>
      <c r="BH747" s="449"/>
      <c r="BI747" s="449"/>
      <c r="BJ747" s="449"/>
      <c r="BK747" s="449"/>
      <c r="BL747" s="449"/>
      <c r="BM747" s="449"/>
      <c r="BN747" s="449"/>
    </row>
    <row r="748" spans="1:66" ht="13.15" x14ac:dyDescent="0.4">
      <c r="A748" s="430"/>
      <c r="B748" s="430"/>
      <c r="C748" s="430"/>
      <c r="D748" s="430"/>
      <c r="E748" s="430"/>
      <c r="F748" s="430"/>
      <c r="G748" s="430"/>
      <c r="H748" s="461"/>
      <c r="I748" s="438"/>
      <c r="J748" s="438"/>
      <c r="K748" s="438"/>
      <c r="L748" s="430"/>
      <c r="M748" s="430"/>
      <c r="N748" s="461"/>
      <c r="O748" s="461"/>
      <c r="P748" s="430"/>
      <c r="Q748" s="430"/>
      <c r="R748" s="430"/>
      <c r="S748" s="430"/>
      <c r="T748" s="430"/>
      <c r="U748" s="430"/>
      <c r="V748" s="430"/>
      <c r="W748" s="430"/>
      <c r="X748" s="449"/>
      <c r="Y748" s="449"/>
      <c r="Z748" s="450"/>
      <c r="AA748" s="449"/>
      <c r="AB748" s="451"/>
      <c r="AC748" s="450"/>
      <c r="AD748" s="449"/>
      <c r="AE748" s="451"/>
      <c r="AF748" s="450"/>
      <c r="AG748" s="449"/>
      <c r="AH748" s="451"/>
      <c r="AI748" s="450"/>
      <c r="AJ748" s="449"/>
      <c r="AK748" s="451"/>
      <c r="AL748" s="450"/>
      <c r="AM748" s="449"/>
      <c r="AN748" s="451"/>
      <c r="AO748" s="450"/>
      <c r="AP748" s="449"/>
      <c r="AQ748" s="451"/>
      <c r="AR748" s="449"/>
      <c r="AS748" s="449"/>
      <c r="AT748" s="451"/>
      <c r="AU748" s="449"/>
      <c r="AV748" s="451"/>
      <c r="AW748" s="449"/>
      <c r="AX748" s="449"/>
      <c r="AY748" s="449"/>
      <c r="AZ748" s="449"/>
      <c r="BA748" s="449"/>
      <c r="BB748" s="449"/>
      <c r="BC748" s="449"/>
      <c r="BD748" s="449"/>
      <c r="BE748" s="449"/>
      <c r="BF748" s="449"/>
      <c r="BG748" s="449"/>
      <c r="BH748" s="449"/>
      <c r="BI748" s="449"/>
      <c r="BJ748" s="449"/>
      <c r="BK748" s="449"/>
      <c r="BL748" s="449"/>
      <c r="BM748" s="449"/>
      <c r="BN748" s="449"/>
    </row>
    <row r="749" spans="1:66" ht="13.15" x14ac:dyDescent="0.4">
      <c r="A749" s="430"/>
      <c r="B749" s="430"/>
      <c r="C749" s="430"/>
      <c r="D749" s="430"/>
      <c r="E749" s="430"/>
      <c r="F749" s="430"/>
      <c r="G749" s="430"/>
      <c r="H749" s="461"/>
      <c r="I749" s="438"/>
      <c r="J749" s="438"/>
      <c r="K749" s="438"/>
      <c r="L749" s="430"/>
      <c r="M749" s="430"/>
      <c r="N749" s="461"/>
      <c r="O749" s="461"/>
      <c r="P749" s="430"/>
      <c r="Q749" s="430"/>
      <c r="R749" s="430"/>
      <c r="S749" s="430"/>
      <c r="T749" s="430"/>
      <c r="U749" s="430"/>
      <c r="V749" s="430"/>
      <c r="W749" s="430"/>
      <c r="X749" s="449"/>
      <c r="Y749" s="449"/>
      <c r="Z749" s="450"/>
      <c r="AA749" s="449"/>
      <c r="AB749" s="451"/>
      <c r="AC749" s="450"/>
      <c r="AD749" s="449"/>
      <c r="AE749" s="451"/>
      <c r="AF749" s="450"/>
      <c r="AG749" s="449"/>
      <c r="AH749" s="451"/>
      <c r="AI749" s="450"/>
      <c r="AJ749" s="449"/>
      <c r="AK749" s="451"/>
      <c r="AL749" s="450"/>
      <c r="AM749" s="449"/>
      <c r="AN749" s="451"/>
      <c r="AO749" s="450"/>
      <c r="AP749" s="449"/>
      <c r="AQ749" s="451"/>
      <c r="AR749" s="449"/>
      <c r="AS749" s="449"/>
      <c r="AT749" s="451"/>
      <c r="AU749" s="449"/>
      <c r="AV749" s="451"/>
      <c r="AW749" s="449"/>
      <c r="AX749" s="449"/>
      <c r="AY749" s="449"/>
      <c r="AZ749" s="449"/>
      <c r="BA749" s="449"/>
      <c r="BB749" s="449"/>
      <c r="BC749" s="449"/>
      <c r="BD749" s="449"/>
      <c r="BE749" s="449"/>
      <c r="BF749" s="449"/>
      <c r="BG749" s="449"/>
      <c r="BH749" s="449"/>
      <c r="BI749" s="449"/>
      <c r="BJ749" s="449"/>
      <c r="BK749" s="449"/>
      <c r="BL749" s="449"/>
      <c r="BM749" s="449"/>
      <c r="BN749" s="449"/>
    </row>
    <row r="750" spans="1:66" ht="13.15" x14ac:dyDescent="0.4">
      <c r="A750" s="430"/>
      <c r="B750" s="430"/>
      <c r="C750" s="430"/>
      <c r="D750" s="430"/>
      <c r="E750" s="430"/>
      <c r="F750" s="430"/>
      <c r="G750" s="430"/>
      <c r="H750" s="461"/>
      <c r="I750" s="438"/>
      <c r="J750" s="438"/>
      <c r="K750" s="438"/>
      <c r="L750" s="430"/>
      <c r="M750" s="430"/>
      <c r="N750" s="461"/>
      <c r="O750" s="461"/>
      <c r="P750" s="430"/>
      <c r="Q750" s="430"/>
      <c r="R750" s="430"/>
      <c r="S750" s="430"/>
      <c r="T750" s="430"/>
      <c r="U750" s="430"/>
      <c r="V750" s="430"/>
      <c r="W750" s="430"/>
      <c r="X750" s="449"/>
      <c r="Y750" s="449"/>
      <c r="Z750" s="450"/>
      <c r="AA750" s="449"/>
      <c r="AB750" s="451"/>
      <c r="AC750" s="450"/>
      <c r="AD750" s="449"/>
      <c r="AE750" s="451"/>
      <c r="AF750" s="450"/>
      <c r="AG750" s="449"/>
      <c r="AH750" s="451"/>
      <c r="AI750" s="450"/>
      <c r="AJ750" s="449"/>
      <c r="AK750" s="451"/>
      <c r="AL750" s="450"/>
      <c r="AM750" s="449"/>
      <c r="AN750" s="451"/>
      <c r="AO750" s="450"/>
      <c r="AP750" s="449"/>
      <c r="AQ750" s="451"/>
      <c r="AR750" s="449"/>
      <c r="AS750" s="449"/>
      <c r="AT750" s="451"/>
      <c r="AU750" s="449"/>
      <c r="AV750" s="451"/>
      <c r="AW750" s="449"/>
      <c r="AX750" s="449"/>
      <c r="AY750" s="449"/>
      <c r="AZ750" s="449"/>
      <c r="BA750" s="449"/>
      <c r="BB750" s="449"/>
      <c r="BC750" s="449"/>
      <c r="BD750" s="449"/>
      <c r="BE750" s="449"/>
      <c r="BF750" s="449"/>
      <c r="BG750" s="449"/>
      <c r="BH750" s="449"/>
      <c r="BI750" s="449"/>
      <c r="BJ750" s="449"/>
      <c r="BK750" s="449"/>
      <c r="BL750" s="449"/>
      <c r="BM750" s="449"/>
      <c r="BN750" s="449"/>
    </row>
    <row r="751" spans="1:66" ht="13.15" x14ac:dyDescent="0.4">
      <c r="A751" s="430"/>
      <c r="B751" s="430"/>
      <c r="C751" s="430"/>
      <c r="D751" s="430"/>
      <c r="E751" s="430"/>
      <c r="F751" s="430"/>
      <c r="G751" s="430"/>
      <c r="H751" s="461"/>
      <c r="I751" s="438"/>
      <c r="J751" s="438"/>
      <c r="K751" s="438"/>
      <c r="L751" s="430"/>
      <c r="M751" s="430"/>
      <c r="N751" s="461"/>
      <c r="O751" s="461"/>
      <c r="P751" s="430"/>
      <c r="Q751" s="430"/>
      <c r="R751" s="430"/>
      <c r="S751" s="430"/>
      <c r="T751" s="430"/>
      <c r="U751" s="430"/>
      <c r="V751" s="430"/>
      <c r="W751" s="430"/>
      <c r="X751" s="449"/>
      <c r="Y751" s="449"/>
      <c r="Z751" s="450"/>
      <c r="AA751" s="449"/>
      <c r="AB751" s="451"/>
      <c r="AC751" s="450"/>
      <c r="AD751" s="449"/>
      <c r="AE751" s="451"/>
      <c r="AF751" s="450"/>
      <c r="AG751" s="449"/>
      <c r="AH751" s="451"/>
      <c r="AI751" s="450"/>
      <c r="AJ751" s="449"/>
      <c r="AK751" s="451"/>
      <c r="AL751" s="450"/>
      <c r="AM751" s="449"/>
      <c r="AN751" s="451"/>
      <c r="AO751" s="450"/>
      <c r="AP751" s="449"/>
      <c r="AQ751" s="451"/>
      <c r="AR751" s="449"/>
      <c r="AS751" s="449"/>
      <c r="AT751" s="451"/>
      <c r="AU751" s="449"/>
      <c r="AV751" s="451"/>
      <c r="AW751" s="449"/>
      <c r="AX751" s="449"/>
      <c r="AY751" s="449"/>
      <c r="AZ751" s="449"/>
      <c r="BA751" s="449"/>
      <c r="BB751" s="449"/>
      <c r="BC751" s="449"/>
      <c r="BD751" s="449"/>
      <c r="BE751" s="449"/>
      <c r="BF751" s="449"/>
      <c r="BG751" s="449"/>
      <c r="BH751" s="449"/>
      <c r="BI751" s="449"/>
      <c r="BJ751" s="449"/>
      <c r="BK751" s="449"/>
      <c r="BL751" s="449"/>
      <c r="BM751" s="449"/>
      <c r="BN751" s="449"/>
    </row>
    <row r="752" spans="1:66" ht="13.15" x14ac:dyDescent="0.4">
      <c r="A752" s="430"/>
      <c r="B752" s="430"/>
      <c r="C752" s="430"/>
      <c r="D752" s="430"/>
      <c r="E752" s="430"/>
      <c r="F752" s="430"/>
      <c r="G752" s="430"/>
      <c r="H752" s="461"/>
      <c r="I752" s="438"/>
      <c r="J752" s="438"/>
      <c r="K752" s="438"/>
      <c r="L752" s="430"/>
      <c r="M752" s="430"/>
      <c r="N752" s="461"/>
      <c r="O752" s="461"/>
      <c r="P752" s="430"/>
      <c r="Q752" s="430"/>
      <c r="R752" s="430"/>
      <c r="S752" s="430"/>
      <c r="T752" s="430"/>
      <c r="U752" s="430"/>
      <c r="V752" s="430"/>
      <c r="W752" s="430"/>
      <c r="X752" s="449"/>
      <c r="Y752" s="449"/>
      <c r="Z752" s="450"/>
      <c r="AA752" s="449"/>
      <c r="AB752" s="451"/>
      <c r="AC752" s="450"/>
      <c r="AD752" s="449"/>
      <c r="AE752" s="451"/>
      <c r="AF752" s="450"/>
      <c r="AG752" s="449"/>
      <c r="AH752" s="451"/>
      <c r="AI752" s="450"/>
      <c r="AJ752" s="449"/>
      <c r="AK752" s="451"/>
      <c r="AL752" s="450"/>
      <c r="AM752" s="449"/>
      <c r="AN752" s="451"/>
      <c r="AO752" s="450"/>
      <c r="AP752" s="449"/>
      <c r="AQ752" s="451"/>
      <c r="AR752" s="449"/>
      <c r="AS752" s="449"/>
      <c r="AT752" s="451"/>
      <c r="AU752" s="449"/>
      <c r="AV752" s="451"/>
      <c r="AW752" s="449"/>
      <c r="AX752" s="449"/>
      <c r="AY752" s="449"/>
      <c r="AZ752" s="449"/>
      <c r="BA752" s="449"/>
      <c r="BB752" s="449"/>
      <c r="BC752" s="449"/>
      <c r="BD752" s="449"/>
      <c r="BE752" s="449"/>
      <c r="BF752" s="449"/>
      <c r="BG752" s="449"/>
      <c r="BH752" s="449"/>
      <c r="BI752" s="449"/>
      <c r="BJ752" s="449"/>
      <c r="BK752" s="449"/>
      <c r="BL752" s="449"/>
      <c r="BM752" s="449"/>
      <c r="BN752" s="449"/>
    </row>
    <row r="753" spans="1:66" ht="13.15" x14ac:dyDescent="0.4">
      <c r="A753" s="430"/>
      <c r="B753" s="430"/>
      <c r="C753" s="430"/>
      <c r="D753" s="430"/>
      <c r="E753" s="430"/>
      <c r="F753" s="430"/>
      <c r="G753" s="430"/>
      <c r="H753" s="461"/>
      <c r="I753" s="438"/>
      <c r="J753" s="438"/>
      <c r="K753" s="438"/>
      <c r="L753" s="430"/>
      <c r="M753" s="430"/>
      <c r="N753" s="461"/>
      <c r="O753" s="461"/>
      <c r="P753" s="430"/>
      <c r="Q753" s="430"/>
      <c r="R753" s="430"/>
      <c r="S753" s="430"/>
      <c r="T753" s="430"/>
      <c r="U753" s="430"/>
      <c r="V753" s="430"/>
      <c r="W753" s="430"/>
      <c r="X753" s="449"/>
      <c r="Y753" s="449"/>
      <c r="Z753" s="450"/>
      <c r="AA753" s="449"/>
      <c r="AB753" s="451"/>
      <c r="AC753" s="450"/>
      <c r="AD753" s="449"/>
      <c r="AE753" s="451"/>
      <c r="AF753" s="450"/>
      <c r="AG753" s="449"/>
      <c r="AH753" s="451"/>
      <c r="AI753" s="450"/>
      <c r="AJ753" s="449"/>
      <c r="AK753" s="451"/>
      <c r="AL753" s="450"/>
      <c r="AM753" s="449"/>
      <c r="AN753" s="451"/>
      <c r="AO753" s="450"/>
      <c r="AP753" s="449"/>
      <c r="AQ753" s="451"/>
      <c r="AR753" s="449"/>
      <c r="AS753" s="449"/>
      <c r="AT753" s="451"/>
      <c r="AU753" s="449"/>
      <c r="AV753" s="451"/>
      <c r="AW753" s="449"/>
      <c r="AX753" s="449"/>
      <c r="AY753" s="449"/>
      <c r="AZ753" s="449"/>
      <c r="BA753" s="449"/>
      <c r="BB753" s="449"/>
      <c r="BC753" s="449"/>
      <c r="BD753" s="449"/>
      <c r="BE753" s="449"/>
      <c r="BF753" s="449"/>
      <c r="BG753" s="449"/>
      <c r="BH753" s="449"/>
      <c r="BI753" s="449"/>
      <c r="BJ753" s="449"/>
      <c r="BK753" s="449"/>
      <c r="BL753" s="449"/>
      <c r="BM753" s="449"/>
      <c r="BN753" s="449"/>
    </row>
    <row r="754" spans="1:66" ht="13.15" x14ac:dyDescent="0.4">
      <c r="A754" s="430"/>
      <c r="B754" s="430"/>
      <c r="C754" s="430"/>
      <c r="D754" s="430"/>
      <c r="E754" s="430"/>
      <c r="F754" s="430"/>
      <c r="G754" s="430"/>
      <c r="H754" s="461"/>
      <c r="I754" s="438"/>
      <c r="J754" s="438"/>
      <c r="K754" s="438"/>
      <c r="L754" s="430"/>
      <c r="M754" s="430"/>
      <c r="N754" s="461"/>
      <c r="O754" s="461"/>
      <c r="P754" s="430"/>
      <c r="Q754" s="430"/>
      <c r="R754" s="430"/>
      <c r="S754" s="430"/>
      <c r="T754" s="430"/>
      <c r="U754" s="430"/>
      <c r="V754" s="430"/>
      <c r="W754" s="430"/>
      <c r="X754" s="449"/>
      <c r="Y754" s="449"/>
      <c r="Z754" s="450"/>
      <c r="AA754" s="449"/>
      <c r="AB754" s="451"/>
      <c r="AC754" s="450"/>
      <c r="AD754" s="449"/>
      <c r="AE754" s="451"/>
      <c r="AF754" s="450"/>
      <c r="AG754" s="449"/>
      <c r="AH754" s="451"/>
      <c r="AI754" s="450"/>
      <c r="AJ754" s="449"/>
      <c r="AK754" s="451"/>
      <c r="AL754" s="450"/>
      <c r="AM754" s="449"/>
      <c r="AN754" s="451"/>
      <c r="AO754" s="450"/>
      <c r="AP754" s="449"/>
      <c r="AQ754" s="451"/>
      <c r="AR754" s="449"/>
      <c r="AS754" s="449"/>
      <c r="AT754" s="451"/>
      <c r="AU754" s="449"/>
      <c r="AV754" s="451"/>
      <c r="AW754" s="449"/>
      <c r="AX754" s="449"/>
      <c r="AY754" s="449"/>
      <c r="AZ754" s="449"/>
      <c r="BA754" s="449"/>
      <c r="BB754" s="449"/>
      <c r="BC754" s="449"/>
      <c r="BD754" s="449"/>
      <c r="BE754" s="449"/>
      <c r="BF754" s="449"/>
      <c r="BG754" s="449"/>
      <c r="BH754" s="449"/>
      <c r="BI754" s="449"/>
      <c r="BJ754" s="449"/>
      <c r="BK754" s="449"/>
      <c r="BL754" s="449"/>
      <c r="BM754" s="449"/>
      <c r="BN754" s="449"/>
    </row>
    <row r="755" spans="1:66" ht="13.15" x14ac:dyDescent="0.4">
      <c r="A755" s="430"/>
      <c r="B755" s="430"/>
      <c r="C755" s="430"/>
      <c r="D755" s="430"/>
      <c r="E755" s="430"/>
      <c r="F755" s="430"/>
      <c r="G755" s="430"/>
      <c r="H755" s="461"/>
      <c r="I755" s="438"/>
      <c r="J755" s="438"/>
      <c r="K755" s="438"/>
      <c r="L755" s="430"/>
      <c r="M755" s="430"/>
      <c r="N755" s="461"/>
      <c r="O755" s="461"/>
      <c r="P755" s="430"/>
      <c r="Q755" s="430"/>
      <c r="R755" s="430"/>
      <c r="S755" s="430"/>
      <c r="T755" s="430"/>
      <c r="U755" s="430"/>
      <c r="V755" s="430"/>
      <c r="W755" s="430"/>
      <c r="X755" s="449"/>
      <c r="Y755" s="449"/>
      <c r="Z755" s="450"/>
      <c r="AA755" s="449"/>
      <c r="AB755" s="451"/>
      <c r="AC755" s="450"/>
      <c r="AD755" s="449"/>
      <c r="AE755" s="451"/>
      <c r="AF755" s="450"/>
      <c r="AG755" s="449"/>
      <c r="AH755" s="451"/>
      <c r="AI755" s="450"/>
      <c r="AJ755" s="449"/>
      <c r="AK755" s="451"/>
      <c r="AL755" s="450"/>
      <c r="AM755" s="449"/>
      <c r="AN755" s="451"/>
      <c r="AO755" s="450"/>
      <c r="AP755" s="449"/>
      <c r="AQ755" s="451"/>
      <c r="AR755" s="449"/>
      <c r="AS755" s="449"/>
      <c r="AT755" s="451"/>
      <c r="AU755" s="449"/>
      <c r="AV755" s="451"/>
      <c r="AW755" s="449"/>
      <c r="AX755" s="449"/>
      <c r="AY755" s="449"/>
      <c r="AZ755" s="449"/>
      <c r="BA755" s="449"/>
      <c r="BB755" s="449"/>
      <c r="BC755" s="449"/>
      <c r="BD755" s="449"/>
      <c r="BE755" s="449"/>
      <c r="BF755" s="449"/>
      <c r="BG755" s="449"/>
      <c r="BH755" s="449"/>
      <c r="BI755" s="449"/>
      <c r="BJ755" s="449"/>
      <c r="BK755" s="449"/>
      <c r="BL755" s="449"/>
      <c r="BM755" s="449"/>
      <c r="BN755" s="449"/>
    </row>
    <row r="756" spans="1:66" ht="13.15" x14ac:dyDescent="0.4">
      <c r="A756" s="430"/>
      <c r="B756" s="430"/>
      <c r="C756" s="430"/>
      <c r="D756" s="430"/>
      <c r="E756" s="430"/>
      <c r="F756" s="430"/>
      <c r="G756" s="430"/>
      <c r="H756" s="461"/>
      <c r="I756" s="438"/>
      <c r="J756" s="438"/>
      <c r="K756" s="438"/>
      <c r="L756" s="430"/>
      <c r="M756" s="430"/>
      <c r="N756" s="461"/>
      <c r="O756" s="461"/>
      <c r="P756" s="430"/>
      <c r="Q756" s="430"/>
      <c r="R756" s="430"/>
      <c r="S756" s="430"/>
      <c r="T756" s="430"/>
      <c r="U756" s="430"/>
      <c r="V756" s="430"/>
      <c r="W756" s="430"/>
      <c r="X756" s="449"/>
      <c r="Y756" s="449"/>
      <c r="Z756" s="450"/>
      <c r="AA756" s="449"/>
      <c r="AB756" s="451"/>
      <c r="AC756" s="450"/>
      <c r="AD756" s="449"/>
      <c r="AE756" s="451"/>
      <c r="AF756" s="450"/>
      <c r="AG756" s="449"/>
      <c r="AH756" s="451"/>
      <c r="AI756" s="450"/>
      <c r="AJ756" s="449"/>
      <c r="AK756" s="451"/>
      <c r="AL756" s="450"/>
      <c r="AM756" s="449"/>
      <c r="AN756" s="451"/>
      <c r="AO756" s="450"/>
      <c r="AP756" s="449"/>
      <c r="AQ756" s="451"/>
      <c r="AR756" s="449"/>
      <c r="AS756" s="449"/>
      <c r="AT756" s="451"/>
      <c r="AU756" s="449"/>
      <c r="AV756" s="451"/>
      <c r="AW756" s="449"/>
      <c r="AX756" s="449"/>
      <c r="AY756" s="449"/>
      <c r="AZ756" s="449"/>
      <c r="BA756" s="449"/>
      <c r="BB756" s="449"/>
      <c r="BC756" s="449"/>
      <c r="BD756" s="449"/>
      <c r="BE756" s="449"/>
      <c r="BF756" s="449"/>
      <c r="BG756" s="449"/>
      <c r="BH756" s="449"/>
      <c r="BI756" s="449"/>
      <c r="BJ756" s="449"/>
      <c r="BK756" s="449"/>
      <c r="BL756" s="449"/>
      <c r="BM756" s="449"/>
      <c r="BN756" s="449"/>
    </row>
    <row r="757" spans="1:66" ht="13.15" x14ac:dyDescent="0.4">
      <c r="A757" s="430"/>
      <c r="B757" s="430"/>
      <c r="C757" s="430"/>
      <c r="D757" s="430"/>
      <c r="E757" s="430"/>
      <c r="F757" s="430"/>
      <c r="G757" s="430"/>
      <c r="H757" s="461"/>
      <c r="I757" s="438"/>
      <c r="J757" s="438"/>
      <c r="K757" s="438"/>
      <c r="L757" s="430"/>
      <c r="M757" s="430"/>
      <c r="N757" s="461"/>
      <c r="O757" s="461"/>
      <c r="P757" s="430"/>
      <c r="Q757" s="430"/>
      <c r="R757" s="430"/>
      <c r="S757" s="430"/>
      <c r="T757" s="430"/>
      <c r="U757" s="430"/>
      <c r="V757" s="430"/>
      <c r="W757" s="430"/>
      <c r="X757" s="449"/>
      <c r="Y757" s="449"/>
      <c r="Z757" s="450"/>
      <c r="AA757" s="449"/>
      <c r="AB757" s="451"/>
      <c r="AC757" s="450"/>
      <c r="AD757" s="449"/>
      <c r="AE757" s="451"/>
      <c r="AF757" s="450"/>
      <c r="AG757" s="449"/>
      <c r="AH757" s="451"/>
      <c r="AI757" s="450"/>
      <c r="AJ757" s="449"/>
      <c r="AK757" s="451"/>
      <c r="AL757" s="450"/>
      <c r="AM757" s="449"/>
      <c r="AN757" s="451"/>
      <c r="AO757" s="450"/>
      <c r="AP757" s="449"/>
      <c r="AQ757" s="451"/>
      <c r="AR757" s="449"/>
      <c r="AS757" s="449"/>
      <c r="AT757" s="451"/>
      <c r="AU757" s="449"/>
      <c r="AV757" s="451"/>
      <c r="AW757" s="449"/>
      <c r="AX757" s="449"/>
      <c r="AY757" s="449"/>
      <c r="AZ757" s="449"/>
      <c r="BA757" s="449"/>
      <c r="BB757" s="449"/>
      <c r="BC757" s="449"/>
      <c r="BD757" s="449"/>
      <c r="BE757" s="449"/>
      <c r="BF757" s="449"/>
      <c r="BG757" s="449"/>
      <c r="BH757" s="449"/>
      <c r="BI757" s="449"/>
      <c r="BJ757" s="449"/>
      <c r="BK757" s="449"/>
      <c r="BL757" s="449"/>
      <c r="BM757" s="449"/>
      <c r="BN757" s="449"/>
    </row>
    <row r="758" spans="1:66" ht="13.15" x14ac:dyDescent="0.4">
      <c r="A758" s="430"/>
      <c r="B758" s="430"/>
      <c r="C758" s="430"/>
      <c r="D758" s="430"/>
      <c r="E758" s="430"/>
      <c r="F758" s="430"/>
      <c r="G758" s="430"/>
      <c r="H758" s="461"/>
      <c r="I758" s="438"/>
      <c r="J758" s="438"/>
      <c r="K758" s="438"/>
      <c r="L758" s="430"/>
      <c r="M758" s="430"/>
      <c r="N758" s="461"/>
      <c r="O758" s="461"/>
      <c r="P758" s="430"/>
      <c r="Q758" s="430"/>
      <c r="R758" s="430"/>
      <c r="S758" s="430"/>
      <c r="T758" s="430"/>
      <c r="U758" s="430"/>
      <c r="V758" s="430"/>
      <c r="W758" s="430"/>
      <c r="X758" s="449"/>
      <c r="Y758" s="449"/>
      <c r="Z758" s="450"/>
      <c r="AA758" s="449"/>
      <c r="AB758" s="451"/>
      <c r="AC758" s="450"/>
      <c r="AD758" s="449"/>
      <c r="AE758" s="451"/>
      <c r="AF758" s="450"/>
      <c r="AG758" s="449"/>
      <c r="AH758" s="451"/>
      <c r="AI758" s="450"/>
      <c r="AJ758" s="449"/>
      <c r="AK758" s="451"/>
      <c r="AL758" s="450"/>
      <c r="AM758" s="449"/>
      <c r="AN758" s="451"/>
      <c r="AO758" s="450"/>
      <c r="AP758" s="449"/>
      <c r="AQ758" s="451"/>
      <c r="AR758" s="449"/>
      <c r="AS758" s="449"/>
      <c r="AT758" s="451"/>
      <c r="AU758" s="449"/>
      <c r="AV758" s="451"/>
      <c r="AW758" s="449"/>
      <c r="AX758" s="449"/>
      <c r="AY758" s="449"/>
      <c r="AZ758" s="449"/>
      <c r="BA758" s="449"/>
      <c r="BB758" s="449"/>
      <c r="BC758" s="449"/>
      <c r="BD758" s="449"/>
      <c r="BE758" s="449"/>
      <c r="BF758" s="449"/>
      <c r="BG758" s="449"/>
      <c r="BH758" s="449"/>
      <c r="BI758" s="449"/>
      <c r="BJ758" s="449"/>
      <c r="BK758" s="449"/>
      <c r="BL758" s="449"/>
      <c r="BM758" s="449"/>
      <c r="BN758" s="449"/>
    </row>
    <row r="759" spans="1:66" ht="13.15" x14ac:dyDescent="0.4">
      <c r="A759" s="430"/>
      <c r="B759" s="430"/>
      <c r="C759" s="430"/>
      <c r="D759" s="430"/>
      <c r="E759" s="430"/>
      <c r="F759" s="430"/>
      <c r="G759" s="430"/>
      <c r="H759" s="461"/>
      <c r="I759" s="438"/>
      <c r="J759" s="438"/>
      <c r="K759" s="438"/>
      <c r="L759" s="430"/>
      <c r="M759" s="430"/>
      <c r="N759" s="461"/>
      <c r="O759" s="461"/>
      <c r="P759" s="430"/>
      <c r="Q759" s="430"/>
      <c r="R759" s="430"/>
      <c r="S759" s="430"/>
      <c r="T759" s="430"/>
      <c r="U759" s="430"/>
      <c r="V759" s="430"/>
      <c r="W759" s="430"/>
      <c r="X759" s="449"/>
      <c r="Y759" s="449"/>
      <c r="Z759" s="450"/>
      <c r="AA759" s="449"/>
      <c r="AB759" s="451"/>
      <c r="AC759" s="450"/>
      <c r="AD759" s="449"/>
      <c r="AE759" s="451"/>
      <c r="AF759" s="450"/>
      <c r="AG759" s="449"/>
      <c r="AH759" s="451"/>
      <c r="AI759" s="450"/>
      <c r="AJ759" s="449"/>
      <c r="AK759" s="451"/>
      <c r="AL759" s="450"/>
      <c r="AM759" s="449"/>
      <c r="AN759" s="451"/>
      <c r="AO759" s="450"/>
      <c r="AP759" s="449"/>
      <c r="AQ759" s="451"/>
      <c r="AR759" s="449"/>
      <c r="AS759" s="449"/>
      <c r="AT759" s="451"/>
      <c r="AU759" s="449"/>
      <c r="AV759" s="451"/>
      <c r="AW759" s="449"/>
      <c r="AX759" s="449"/>
      <c r="AY759" s="449"/>
      <c r="AZ759" s="449"/>
      <c r="BA759" s="449"/>
      <c r="BB759" s="449"/>
      <c r="BC759" s="449"/>
      <c r="BD759" s="449"/>
      <c r="BE759" s="449"/>
      <c r="BF759" s="449"/>
      <c r="BG759" s="449"/>
      <c r="BH759" s="449"/>
      <c r="BI759" s="449"/>
      <c r="BJ759" s="449"/>
      <c r="BK759" s="449"/>
      <c r="BL759" s="449"/>
      <c r="BM759" s="449"/>
      <c r="BN759" s="449"/>
    </row>
    <row r="760" spans="1:66" ht="13.15" x14ac:dyDescent="0.4">
      <c r="A760" s="430"/>
      <c r="B760" s="430"/>
      <c r="C760" s="430"/>
      <c r="D760" s="430"/>
      <c r="E760" s="430"/>
      <c r="F760" s="430"/>
      <c r="G760" s="430"/>
      <c r="H760" s="461"/>
      <c r="I760" s="438"/>
      <c r="J760" s="438"/>
      <c r="K760" s="438"/>
      <c r="L760" s="430"/>
      <c r="M760" s="430"/>
      <c r="N760" s="461"/>
      <c r="O760" s="461"/>
      <c r="P760" s="430"/>
      <c r="Q760" s="430"/>
      <c r="R760" s="430"/>
      <c r="S760" s="430"/>
      <c r="T760" s="430"/>
      <c r="U760" s="430"/>
      <c r="V760" s="430"/>
      <c r="W760" s="430"/>
      <c r="X760" s="449"/>
      <c r="Y760" s="449"/>
      <c r="Z760" s="450"/>
      <c r="AA760" s="449"/>
      <c r="AB760" s="451"/>
      <c r="AC760" s="450"/>
      <c r="AD760" s="449"/>
      <c r="AE760" s="451"/>
      <c r="AF760" s="450"/>
      <c r="AG760" s="449"/>
      <c r="AH760" s="451"/>
      <c r="AI760" s="450"/>
      <c r="AJ760" s="449"/>
      <c r="AK760" s="451"/>
      <c r="AL760" s="450"/>
      <c r="AM760" s="449"/>
      <c r="AN760" s="451"/>
      <c r="AO760" s="450"/>
      <c r="AP760" s="449"/>
      <c r="AQ760" s="451"/>
      <c r="AR760" s="449"/>
      <c r="AS760" s="449"/>
      <c r="AT760" s="451"/>
      <c r="AU760" s="449"/>
      <c r="AV760" s="451"/>
      <c r="AW760" s="449"/>
      <c r="AX760" s="449"/>
      <c r="AY760" s="449"/>
      <c r="AZ760" s="449"/>
      <c r="BA760" s="449"/>
      <c r="BB760" s="449"/>
      <c r="BC760" s="449"/>
      <c r="BD760" s="449"/>
      <c r="BE760" s="449"/>
      <c r="BF760" s="449"/>
      <c r="BG760" s="449"/>
      <c r="BH760" s="449"/>
      <c r="BI760" s="449"/>
      <c r="BJ760" s="449"/>
      <c r="BK760" s="449"/>
      <c r="BL760" s="449"/>
      <c r="BM760" s="449"/>
      <c r="BN760" s="449"/>
    </row>
    <row r="761" spans="1:66" ht="13.15" x14ac:dyDescent="0.4">
      <c r="A761" s="430"/>
      <c r="B761" s="430"/>
      <c r="C761" s="430"/>
      <c r="D761" s="430"/>
      <c r="E761" s="430"/>
      <c r="F761" s="430"/>
      <c r="G761" s="430"/>
      <c r="H761" s="461"/>
      <c r="I761" s="438"/>
      <c r="J761" s="438"/>
      <c r="K761" s="438"/>
      <c r="L761" s="430"/>
      <c r="M761" s="430"/>
      <c r="N761" s="461"/>
      <c r="O761" s="461"/>
      <c r="P761" s="430"/>
      <c r="Q761" s="430"/>
      <c r="R761" s="430"/>
      <c r="S761" s="430"/>
      <c r="T761" s="430"/>
      <c r="U761" s="430"/>
      <c r="V761" s="430"/>
      <c r="W761" s="430"/>
      <c r="X761" s="449"/>
      <c r="Y761" s="449"/>
      <c r="Z761" s="450"/>
      <c r="AA761" s="449"/>
      <c r="AB761" s="451"/>
      <c r="AC761" s="450"/>
      <c r="AD761" s="449"/>
      <c r="AE761" s="451"/>
      <c r="AF761" s="450"/>
      <c r="AG761" s="449"/>
      <c r="AH761" s="451"/>
      <c r="AI761" s="450"/>
      <c r="AJ761" s="449"/>
      <c r="AK761" s="451"/>
      <c r="AL761" s="450"/>
      <c r="AM761" s="449"/>
      <c r="AN761" s="451"/>
      <c r="AO761" s="450"/>
      <c r="AP761" s="449"/>
      <c r="AQ761" s="451"/>
      <c r="AR761" s="449"/>
      <c r="AS761" s="449"/>
      <c r="AT761" s="451"/>
      <c r="AU761" s="449"/>
      <c r="AV761" s="451"/>
      <c r="AW761" s="449"/>
      <c r="AX761" s="449"/>
      <c r="AY761" s="449"/>
      <c r="AZ761" s="449"/>
      <c r="BA761" s="449"/>
      <c r="BB761" s="449"/>
      <c r="BC761" s="449"/>
      <c r="BD761" s="449"/>
      <c r="BE761" s="449"/>
      <c r="BF761" s="449"/>
      <c r="BG761" s="449"/>
      <c r="BH761" s="449"/>
      <c r="BI761" s="449"/>
      <c r="BJ761" s="449"/>
      <c r="BK761" s="449"/>
      <c r="BL761" s="449"/>
      <c r="BM761" s="449"/>
      <c r="BN761" s="449"/>
    </row>
    <row r="762" spans="1:66" ht="13.15" x14ac:dyDescent="0.4">
      <c r="A762" s="430"/>
      <c r="B762" s="430"/>
      <c r="C762" s="430"/>
      <c r="D762" s="430"/>
      <c r="E762" s="430"/>
      <c r="F762" s="430"/>
      <c r="G762" s="430"/>
      <c r="H762" s="461"/>
      <c r="I762" s="438"/>
      <c r="J762" s="438"/>
      <c r="K762" s="438"/>
      <c r="L762" s="430"/>
      <c r="M762" s="430"/>
      <c r="N762" s="461"/>
      <c r="O762" s="461"/>
      <c r="P762" s="430"/>
      <c r="Q762" s="430"/>
      <c r="R762" s="430"/>
      <c r="S762" s="430"/>
      <c r="T762" s="430"/>
      <c r="U762" s="430"/>
      <c r="V762" s="430"/>
      <c r="W762" s="430"/>
      <c r="X762" s="449"/>
      <c r="Y762" s="449"/>
      <c r="Z762" s="450"/>
      <c r="AA762" s="449"/>
      <c r="AB762" s="451"/>
      <c r="AC762" s="450"/>
      <c r="AD762" s="449"/>
      <c r="AE762" s="451"/>
      <c r="AF762" s="450"/>
      <c r="AG762" s="449"/>
      <c r="AH762" s="451"/>
      <c r="AI762" s="450"/>
      <c r="AJ762" s="449"/>
      <c r="AK762" s="451"/>
      <c r="AL762" s="450"/>
      <c r="AM762" s="449"/>
      <c r="AN762" s="451"/>
      <c r="AO762" s="450"/>
      <c r="AP762" s="449"/>
      <c r="AQ762" s="451"/>
      <c r="AR762" s="449"/>
      <c r="AS762" s="449"/>
      <c r="AT762" s="451"/>
      <c r="AU762" s="449"/>
      <c r="AV762" s="451"/>
      <c r="AW762" s="449"/>
      <c r="AX762" s="449"/>
      <c r="AY762" s="449"/>
      <c r="AZ762" s="449"/>
      <c r="BA762" s="449"/>
      <c r="BB762" s="449"/>
      <c r="BC762" s="449"/>
      <c r="BD762" s="449"/>
      <c r="BE762" s="449"/>
      <c r="BF762" s="449"/>
      <c r="BG762" s="449"/>
      <c r="BH762" s="449"/>
      <c r="BI762" s="449"/>
      <c r="BJ762" s="449"/>
      <c r="BK762" s="449"/>
      <c r="BL762" s="449"/>
      <c r="BM762" s="449"/>
      <c r="BN762" s="449"/>
    </row>
    <row r="763" spans="1:66" ht="13.15" x14ac:dyDescent="0.4">
      <c r="A763" s="430"/>
      <c r="B763" s="430"/>
      <c r="C763" s="430"/>
      <c r="D763" s="430"/>
      <c r="E763" s="430"/>
      <c r="F763" s="430"/>
      <c r="G763" s="430"/>
      <c r="H763" s="461"/>
      <c r="I763" s="438"/>
      <c r="J763" s="438"/>
      <c r="K763" s="438"/>
      <c r="L763" s="430"/>
      <c r="M763" s="430"/>
      <c r="N763" s="461"/>
      <c r="O763" s="461"/>
      <c r="P763" s="430"/>
      <c r="Q763" s="430"/>
      <c r="R763" s="430"/>
      <c r="S763" s="430"/>
      <c r="T763" s="430"/>
      <c r="U763" s="430"/>
      <c r="V763" s="430"/>
      <c r="W763" s="430"/>
      <c r="X763" s="449"/>
      <c r="Y763" s="449"/>
      <c r="Z763" s="450"/>
      <c r="AA763" s="449"/>
      <c r="AB763" s="451"/>
      <c r="AC763" s="450"/>
      <c r="AD763" s="449"/>
      <c r="AE763" s="451"/>
      <c r="AF763" s="450"/>
      <c r="AG763" s="449"/>
      <c r="AH763" s="451"/>
      <c r="AI763" s="450"/>
      <c r="AJ763" s="449"/>
      <c r="AK763" s="451"/>
      <c r="AL763" s="450"/>
      <c r="AM763" s="449"/>
      <c r="AN763" s="451"/>
      <c r="AO763" s="450"/>
      <c r="AP763" s="449"/>
      <c r="AQ763" s="451"/>
      <c r="AR763" s="449"/>
      <c r="AS763" s="449"/>
      <c r="AT763" s="451"/>
      <c r="AU763" s="449"/>
      <c r="AV763" s="451"/>
      <c r="AW763" s="449"/>
      <c r="AX763" s="449"/>
      <c r="AY763" s="449"/>
      <c r="AZ763" s="449"/>
      <c r="BA763" s="449"/>
      <c r="BB763" s="449"/>
      <c r="BC763" s="449"/>
      <c r="BD763" s="449"/>
      <c r="BE763" s="449"/>
      <c r="BF763" s="449"/>
      <c r="BG763" s="449"/>
      <c r="BH763" s="449"/>
      <c r="BI763" s="449"/>
      <c r="BJ763" s="449"/>
      <c r="BK763" s="449"/>
      <c r="BL763" s="449"/>
      <c r="BM763" s="449"/>
      <c r="BN763" s="449"/>
    </row>
    <row r="764" spans="1:66" ht="13.15" x14ac:dyDescent="0.4">
      <c r="A764" s="430"/>
      <c r="B764" s="430"/>
      <c r="C764" s="430"/>
      <c r="D764" s="430"/>
      <c r="E764" s="430"/>
      <c r="F764" s="430"/>
      <c r="G764" s="430"/>
      <c r="H764" s="461"/>
      <c r="I764" s="438"/>
      <c r="J764" s="438"/>
      <c r="K764" s="438"/>
      <c r="L764" s="430"/>
      <c r="M764" s="430"/>
      <c r="N764" s="461"/>
      <c r="O764" s="461"/>
      <c r="P764" s="430"/>
      <c r="Q764" s="430"/>
      <c r="R764" s="430"/>
      <c r="S764" s="430"/>
      <c r="T764" s="430"/>
      <c r="U764" s="430"/>
      <c r="V764" s="430"/>
      <c r="W764" s="430"/>
      <c r="X764" s="449"/>
      <c r="Y764" s="449"/>
      <c r="Z764" s="450"/>
      <c r="AA764" s="449"/>
      <c r="AB764" s="451"/>
      <c r="AC764" s="450"/>
      <c r="AD764" s="449"/>
      <c r="AE764" s="451"/>
      <c r="AF764" s="450"/>
      <c r="AG764" s="449"/>
      <c r="AH764" s="451"/>
      <c r="AI764" s="450"/>
      <c r="AJ764" s="449"/>
      <c r="AK764" s="451"/>
      <c r="AL764" s="450"/>
      <c r="AM764" s="449"/>
      <c r="AN764" s="451"/>
      <c r="AO764" s="450"/>
      <c r="AP764" s="449"/>
      <c r="AQ764" s="451"/>
      <c r="AR764" s="449"/>
      <c r="AS764" s="449"/>
      <c r="AT764" s="451"/>
      <c r="AU764" s="449"/>
      <c r="AV764" s="451"/>
      <c r="AW764" s="449"/>
      <c r="AX764" s="449"/>
      <c r="AY764" s="449"/>
      <c r="AZ764" s="449"/>
      <c r="BA764" s="449"/>
      <c r="BB764" s="449"/>
      <c r="BC764" s="449"/>
      <c r="BD764" s="449"/>
      <c r="BE764" s="449"/>
      <c r="BF764" s="449"/>
      <c r="BG764" s="449"/>
      <c r="BH764" s="449"/>
      <c r="BI764" s="449"/>
      <c r="BJ764" s="449"/>
      <c r="BK764" s="449"/>
      <c r="BL764" s="449"/>
      <c r="BM764" s="449"/>
      <c r="BN764" s="449"/>
    </row>
    <row r="765" spans="1:66" ht="13.15" x14ac:dyDescent="0.4">
      <c r="A765" s="430"/>
      <c r="B765" s="430"/>
      <c r="C765" s="430"/>
      <c r="D765" s="430"/>
      <c r="E765" s="430"/>
      <c r="F765" s="430"/>
      <c r="G765" s="430"/>
      <c r="H765" s="461"/>
      <c r="I765" s="438"/>
      <c r="J765" s="438"/>
      <c r="K765" s="438"/>
      <c r="L765" s="430"/>
      <c r="M765" s="430"/>
      <c r="N765" s="461"/>
      <c r="O765" s="461"/>
      <c r="P765" s="430"/>
      <c r="Q765" s="430"/>
      <c r="R765" s="430"/>
      <c r="S765" s="430"/>
      <c r="T765" s="430"/>
      <c r="U765" s="430"/>
      <c r="V765" s="430"/>
      <c r="W765" s="430"/>
      <c r="X765" s="449"/>
      <c r="Y765" s="449"/>
      <c r="Z765" s="450"/>
      <c r="AA765" s="449"/>
      <c r="AB765" s="451"/>
      <c r="AC765" s="450"/>
      <c r="AD765" s="449"/>
      <c r="AE765" s="451"/>
      <c r="AF765" s="450"/>
      <c r="AG765" s="449"/>
      <c r="AH765" s="451"/>
      <c r="AI765" s="450"/>
      <c r="AJ765" s="449"/>
      <c r="AK765" s="451"/>
      <c r="AL765" s="450"/>
      <c r="AM765" s="449"/>
      <c r="AN765" s="451"/>
      <c r="AO765" s="450"/>
      <c r="AP765" s="449"/>
      <c r="AQ765" s="451"/>
      <c r="AR765" s="449"/>
      <c r="AS765" s="449"/>
      <c r="AT765" s="451"/>
      <c r="AU765" s="449"/>
      <c r="AV765" s="451"/>
      <c r="AW765" s="449"/>
      <c r="AX765" s="449"/>
      <c r="AY765" s="449"/>
      <c r="AZ765" s="449"/>
      <c r="BA765" s="449"/>
      <c r="BB765" s="449"/>
      <c r="BC765" s="449"/>
      <c r="BD765" s="449"/>
      <c r="BE765" s="449"/>
      <c r="BF765" s="449"/>
      <c r="BG765" s="449"/>
      <c r="BH765" s="449"/>
      <c r="BI765" s="449"/>
      <c r="BJ765" s="449"/>
      <c r="BK765" s="449"/>
      <c r="BL765" s="449"/>
      <c r="BM765" s="449"/>
      <c r="BN765" s="449"/>
    </row>
    <row r="766" spans="1:66" ht="13.15" x14ac:dyDescent="0.4">
      <c r="A766" s="430"/>
      <c r="B766" s="430"/>
      <c r="C766" s="430"/>
      <c r="D766" s="430"/>
      <c r="E766" s="430"/>
      <c r="F766" s="430"/>
      <c r="G766" s="430"/>
      <c r="H766" s="461"/>
      <c r="I766" s="438"/>
      <c r="J766" s="438"/>
      <c r="K766" s="438"/>
      <c r="L766" s="430"/>
      <c r="M766" s="430"/>
      <c r="N766" s="461"/>
      <c r="O766" s="461"/>
      <c r="P766" s="430"/>
      <c r="Q766" s="430"/>
      <c r="R766" s="430"/>
      <c r="S766" s="430"/>
      <c r="T766" s="430"/>
      <c r="U766" s="430"/>
      <c r="V766" s="430"/>
      <c r="W766" s="430"/>
      <c r="X766" s="449"/>
      <c r="Y766" s="449"/>
      <c r="Z766" s="450"/>
      <c r="AA766" s="449"/>
      <c r="AB766" s="451"/>
      <c r="AC766" s="450"/>
      <c r="AD766" s="449"/>
      <c r="AE766" s="451"/>
      <c r="AF766" s="450"/>
      <c r="AG766" s="449"/>
      <c r="AH766" s="451"/>
      <c r="AI766" s="450"/>
      <c r="AJ766" s="449"/>
      <c r="AK766" s="451"/>
      <c r="AL766" s="450"/>
      <c r="AM766" s="449"/>
      <c r="AN766" s="451"/>
      <c r="AO766" s="450"/>
      <c r="AP766" s="449"/>
      <c r="AQ766" s="451"/>
      <c r="AR766" s="449"/>
      <c r="AS766" s="449"/>
      <c r="AT766" s="451"/>
      <c r="AU766" s="449"/>
      <c r="AV766" s="451"/>
      <c r="AW766" s="449"/>
      <c r="AX766" s="449"/>
      <c r="AY766" s="449"/>
      <c r="AZ766" s="449"/>
      <c r="BA766" s="449"/>
      <c r="BB766" s="449"/>
      <c r="BC766" s="449"/>
      <c r="BD766" s="449"/>
      <c r="BE766" s="449"/>
      <c r="BF766" s="449"/>
      <c r="BG766" s="449"/>
      <c r="BH766" s="449"/>
      <c r="BI766" s="449"/>
      <c r="BJ766" s="449"/>
      <c r="BK766" s="449"/>
      <c r="BL766" s="449"/>
      <c r="BM766" s="449"/>
      <c r="BN766" s="449"/>
    </row>
    <row r="767" spans="1:66" ht="13.15" x14ac:dyDescent="0.4">
      <c r="A767" s="430"/>
      <c r="B767" s="430"/>
      <c r="C767" s="430"/>
      <c r="D767" s="430"/>
      <c r="E767" s="430"/>
      <c r="F767" s="430"/>
      <c r="G767" s="430"/>
      <c r="H767" s="461"/>
      <c r="I767" s="438"/>
      <c r="J767" s="438"/>
      <c r="K767" s="438"/>
      <c r="L767" s="430"/>
      <c r="M767" s="430"/>
      <c r="N767" s="461"/>
      <c r="O767" s="461"/>
      <c r="P767" s="430"/>
      <c r="Q767" s="430"/>
      <c r="R767" s="430"/>
      <c r="S767" s="430"/>
      <c r="T767" s="430"/>
      <c r="U767" s="430"/>
      <c r="V767" s="430"/>
      <c r="W767" s="430"/>
      <c r="X767" s="449"/>
      <c r="Y767" s="449"/>
      <c r="Z767" s="450"/>
      <c r="AA767" s="449"/>
      <c r="AB767" s="451"/>
      <c r="AC767" s="450"/>
      <c r="AD767" s="449"/>
      <c r="AE767" s="451"/>
      <c r="AF767" s="450"/>
      <c r="AG767" s="449"/>
      <c r="AH767" s="451"/>
      <c r="AI767" s="450"/>
      <c r="AJ767" s="449"/>
      <c r="AK767" s="451"/>
      <c r="AL767" s="450"/>
      <c r="AM767" s="449"/>
      <c r="AN767" s="451"/>
      <c r="AO767" s="450"/>
      <c r="AP767" s="449"/>
      <c r="AQ767" s="451"/>
      <c r="AR767" s="449"/>
      <c r="AS767" s="449"/>
      <c r="AT767" s="451"/>
      <c r="AU767" s="449"/>
      <c r="AV767" s="451"/>
      <c r="AW767" s="449"/>
      <c r="AX767" s="449"/>
      <c r="AY767" s="449"/>
      <c r="AZ767" s="449"/>
      <c r="BA767" s="449"/>
      <c r="BB767" s="449"/>
      <c r="BC767" s="449"/>
      <c r="BD767" s="449"/>
      <c r="BE767" s="449"/>
      <c r="BF767" s="449"/>
      <c r="BG767" s="449"/>
      <c r="BH767" s="449"/>
      <c r="BI767" s="449"/>
      <c r="BJ767" s="449"/>
      <c r="BK767" s="449"/>
      <c r="BL767" s="449"/>
      <c r="BM767" s="449"/>
      <c r="BN767" s="449"/>
    </row>
    <row r="768" spans="1:66" ht="13.15" x14ac:dyDescent="0.4">
      <c r="A768" s="430"/>
      <c r="B768" s="430"/>
      <c r="C768" s="430"/>
      <c r="D768" s="430"/>
      <c r="E768" s="430"/>
      <c r="F768" s="430"/>
      <c r="G768" s="430"/>
      <c r="H768" s="461"/>
      <c r="I768" s="438"/>
      <c r="J768" s="438"/>
      <c r="K768" s="438"/>
      <c r="L768" s="430"/>
      <c r="M768" s="430"/>
      <c r="N768" s="461"/>
      <c r="O768" s="461"/>
      <c r="P768" s="430"/>
      <c r="Q768" s="430"/>
      <c r="R768" s="430"/>
      <c r="S768" s="430"/>
      <c r="T768" s="430"/>
      <c r="U768" s="430"/>
      <c r="V768" s="430"/>
      <c r="W768" s="430"/>
      <c r="X768" s="449"/>
      <c r="Y768" s="449"/>
      <c r="Z768" s="450"/>
      <c r="AA768" s="449"/>
      <c r="AB768" s="451"/>
      <c r="AC768" s="450"/>
      <c r="AD768" s="449"/>
      <c r="AE768" s="451"/>
      <c r="AF768" s="450"/>
      <c r="AG768" s="449"/>
      <c r="AH768" s="451"/>
      <c r="AI768" s="450"/>
      <c r="AJ768" s="449"/>
      <c r="AK768" s="451"/>
      <c r="AL768" s="450"/>
      <c r="AM768" s="449"/>
      <c r="AN768" s="451"/>
      <c r="AO768" s="450"/>
      <c r="AP768" s="449"/>
      <c r="AQ768" s="451"/>
      <c r="AR768" s="449"/>
      <c r="AS768" s="449"/>
      <c r="AT768" s="451"/>
      <c r="AU768" s="449"/>
      <c r="AV768" s="451"/>
      <c r="AW768" s="449"/>
      <c r="AX768" s="449"/>
      <c r="AY768" s="449"/>
      <c r="AZ768" s="449"/>
      <c r="BA768" s="449"/>
      <c r="BB768" s="449"/>
      <c r="BC768" s="449"/>
      <c r="BD768" s="449"/>
      <c r="BE768" s="449"/>
      <c r="BF768" s="449"/>
      <c r="BG768" s="449"/>
      <c r="BH768" s="449"/>
      <c r="BI768" s="449"/>
      <c r="BJ768" s="449"/>
      <c r="BK768" s="449"/>
      <c r="BL768" s="449"/>
      <c r="BM768" s="449"/>
      <c r="BN768" s="449"/>
    </row>
    <row r="769" spans="1:66" ht="13.15" x14ac:dyDescent="0.4">
      <c r="A769" s="430"/>
      <c r="B769" s="430"/>
      <c r="C769" s="430"/>
      <c r="D769" s="430"/>
      <c r="E769" s="430"/>
      <c r="F769" s="430"/>
      <c r="G769" s="430"/>
      <c r="H769" s="461"/>
      <c r="I769" s="438"/>
      <c r="J769" s="438"/>
      <c r="K769" s="438"/>
      <c r="L769" s="430"/>
      <c r="M769" s="430"/>
      <c r="N769" s="461"/>
      <c r="O769" s="461"/>
      <c r="P769" s="430"/>
      <c r="Q769" s="430"/>
      <c r="R769" s="430"/>
      <c r="S769" s="430"/>
      <c r="T769" s="430"/>
      <c r="U769" s="430"/>
      <c r="V769" s="430"/>
      <c r="W769" s="430"/>
      <c r="X769" s="449"/>
      <c r="Y769" s="449"/>
      <c r="Z769" s="450"/>
      <c r="AA769" s="449"/>
      <c r="AB769" s="451"/>
      <c r="AC769" s="450"/>
      <c r="AD769" s="449"/>
      <c r="AE769" s="451"/>
      <c r="AF769" s="450"/>
      <c r="AG769" s="449"/>
      <c r="AH769" s="451"/>
      <c r="AI769" s="450"/>
      <c r="AJ769" s="449"/>
      <c r="AK769" s="451"/>
      <c r="AL769" s="450"/>
      <c r="AM769" s="449"/>
      <c r="AN769" s="451"/>
      <c r="AO769" s="450"/>
      <c r="AP769" s="449"/>
      <c r="AQ769" s="451"/>
      <c r="AR769" s="449"/>
      <c r="AS769" s="449"/>
      <c r="AT769" s="451"/>
      <c r="AU769" s="449"/>
      <c r="AV769" s="451"/>
      <c r="AW769" s="449"/>
      <c r="AX769" s="449"/>
      <c r="AY769" s="449"/>
      <c r="AZ769" s="449"/>
      <c r="BA769" s="449"/>
      <c r="BB769" s="449"/>
      <c r="BC769" s="449"/>
      <c r="BD769" s="449"/>
      <c r="BE769" s="449"/>
      <c r="BF769" s="449"/>
      <c r="BG769" s="449"/>
      <c r="BH769" s="449"/>
      <c r="BI769" s="449"/>
      <c r="BJ769" s="449"/>
      <c r="BK769" s="449"/>
      <c r="BL769" s="449"/>
      <c r="BM769" s="449"/>
      <c r="BN769" s="449"/>
    </row>
    <row r="770" spans="1:66" ht="13.15" x14ac:dyDescent="0.4">
      <c r="A770" s="430"/>
      <c r="B770" s="430"/>
      <c r="C770" s="430"/>
      <c r="D770" s="430"/>
      <c r="E770" s="430"/>
      <c r="F770" s="430"/>
      <c r="G770" s="430"/>
      <c r="H770" s="461"/>
      <c r="I770" s="438"/>
      <c r="J770" s="438"/>
      <c r="K770" s="438"/>
      <c r="L770" s="430"/>
      <c r="M770" s="430"/>
      <c r="N770" s="461"/>
      <c r="O770" s="461"/>
      <c r="P770" s="430"/>
      <c r="Q770" s="430"/>
      <c r="R770" s="430"/>
      <c r="S770" s="430"/>
      <c r="T770" s="430"/>
      <c r="U770" s="430"/>
      <c r="V770" s="430"/>
      <c r="W770" s="430"/>
      <c r="X770" s="449"/>
      <c r="Y770" s="449"/>
      <c r="Z770" s="450"/>
      <c r="AA770" s="449"/>
      <c r="AB770" s="451"/>
      <c r="AC770" s="450"/>
      <c r="AD770" s="449"/>
      <c r="AE770" s="451"/>
      <c r="AF770" s="450"/>
      <c r="AG770" s="449"/>
      <c r="AH770" s="451"/>
      <c r="AI770" s="450"/>
      <c r="AJ770" s="449"/>
      <c r="AK770" s="451"/>
      <c r="AL770" s="450"/>
      <c r="AM770" s="449"/>
      <c r="AN770" s="451"/>
      <c r="AO770" s="450"/>
      <c r="AP770" s="449"/>
      <c r="AQ770" s="451"/>
      <c r="AR770" s="449"/>
      <c r="AS770" s="449"/>
      <c r="AT770" s="451"/>
      <c r="AU770" s="449"/>
      <c r="AV770" s="451"/>
      <c r="AW770" s="449"/>
      <c r="AX770" s="449"/>
      <c r="AY770" s="449"/>
      <c r="AZ770" s="449"/>
      <c r="BA770" s="449"/>
      <c r="BB770" s="449"/>
      <c r="BC770" s="449"/>
      <c r="BD770" s="449"/>
      <c r="BE770" s="449"/>
      <c r="BF770" s="449"/>
      <c r="BG770" s="449"/>
      <c r="BH770" s="449"/>
      <c r="BI770" s="449"/>
      <c r="BJ770" s="449"/>
      <c r="BK770" s="449"/>
      <c r="BL770" s="449"/>
      <c r="BM770" s="449"/>
      <c r="BN770" s="449"/>
    </row>
    <row r="771" spans="1:66" ht="13.15" x14ac:dyDescent="0.4">
      <c r="A771" s="430"/>
      <c r="B771" s="430"/>
      <c r="C771" s="430"/>
      <c r="D771" s="430"/>
      <c r="E771" s="430"/>
      <c r="F771" s="430"/>
      <c r="G771" s="430"/>
      <c r="H771" s="461"/>
      <c r="I771" s="438"/>
      <c r="J771" s="438"/>
      <c r="K771" s="438"/>
      <c r="L771" s="430"/>
      <c r="M771" s="430"/>
      <c r="N771" s="461"/>
      <c r="O771" s="461"/>
      <c r="P771" s="430"/>
      <c r="Q771" s="430"/>
      <c r="R771" s="430"/>
      <c r="S771" s="430"/>
      <c r="T771" s="430"/>
      <c r="U771" s="430"/>
      <c r="V771" s="430"/>
      <c r="W771" s="430"/>
      <c r="X771" s="449"/>
      <c r="Y771" s="449"/>
      <c r="Z771" s="450"/>
      <c r="AA771" s="449"/>
      <c r="AB771" s="451"/>
      <c r="AC771" s="450"/>
      <c r="AD771" s="449"/>
      <c r="AE771" s="451"/>
      <c r="AF771" s="450"/>
      <c r="AG771" s="449"/>
      <c r="AH771" s="451"/>
      <c r="AI771" s="450"/>
      <c r="AJ771" s="449"/>
      <c r="AK771" s="451"/>
      <c r="AL771" s="450"/>
      <c r="AM771" s="449"/>
      <c r="AN771" s="451"/>
      <c r="AO771" s="450"/>
      <c r="AP771" s="449"/>
      <c r="AQ771" s="451"/>
      <c r="AR771" s="449"/>
      <c r="AS771" s="449"/>
      <c r="AT771" s="451"/>
      <c r="AU771" s="449"/>
      <c r="AV771" s="451"/>
      <c r="AW771" s="449"/>
      <c r="AX771" s="449"/>
      <c r="AY771" s="449"/>
      <c r="AZ771" s="449"/>
      <c r="BA771" s="449"/>
      <c r="BB771" s="449"/>
      <c r="BC771" s="449"/>
      <c r="BD771" s="449"/>
      <c r="BE771" s="449"/>
      <c r="BF771" s="449"/>
      <c r="BG771" s="449"/>
      <c r="BH771" s="449"/>
      <c r="BI771" s="449"/>
      <c r="BJ771" s="449"/>
      <c r="BK771" s="449"/>
      <c r="BL771" s="449"/>
      <c r="BM771" s="449"/>
      <c r="BN771" s="449"/>
    </row>
    <row r="772" spans="1:66" ht="13.15" x14ac:dyDescent="0.4">
      <c r="A772" s="430"/>
      <c r="B772" s="430"/>
      <c r="C772" s="430"/>
      <c r="D772" s="430"/>
      <c r="E772" s="430"/>
      <c r="F772" s="430"/>
      <c r="G772" s="430"/>
      <c r="H772" s="461"/>
      <c r="I772" s="438"/>
      <c r="J772" s="438"/>
      <c r="K772" s="438"/>
      <c r="L772" s="430"/>
      <c r="M772" s="430"/>
      <c r="N772" s="461"/>
      <c r="O772" s="461"/>
      <c r="P772" s="430"/>
      <c r="Q772" s="430"/>
      <c r="R772" s="430"/>
      <c r="S772" s="430"/>
      <c r="T772" s="430"/>
      <c r="U772" s="430"/>
      <c r="V772" s="430"/>
      <c r="W772" s="430"/>
      <c r="X772" s="449"/>
      <c r="Y772" s="449"/>
      <c r="Z772" s="450"/>
      <c r="AA772" s="449"/>
      <c r="AB772" s="451"/>
      <c r="AC772" s="450"/>
      <c r="AD772" s="449"/>
      <c r="AE772" s="451"/>
      <c r="AF772" s="450"/>
      <c r="AG772" s="449"/>
      <c r="AH772" s="451"/>
      <c r="AI772" s="450"/>
      <c r="AJ772" s="449"/>
      <c r="AK772" s="451"/>
      <c r="AL772" s="450"/>
      <c r="AM772" s="449"/>
      <c r="AN772" s="451"/>
      <c r="AO772" s="450"/>
      <c r="AP772" s="449"/>
      <c r="AQ772" s="451"/>
      <c r="AR772" s="449"/>
      <c r="AS772" s="449"/>
      <c r="AT772" s="451"/>
      <c r="AU772" s="449"/>
      <c r="AV772" s="451"/>
      <c r="AW772" s="449"/>
      <c r="AX772" s="449"/>
      <c r="AY772" s="449"/>
      <c r="AZ772" s="449"/>
      <c r="BA772" s="449"/>
      <c r="BB772" s="449"/>
      <c r="BC772" s="449"/>
      <c r="BD772" s="449"/>
      <c r="BE772" s="449"/>
      <c r="BF772" s="449"/>
      <c r="BG772" s="449"/>
      <c r="BH772" s="449"/>
      <c r="BI772" s="449"/>
      <c r="BJ772" s="449"/>
      <c r="BK772" s="449"/>
      <c r="BL772" s="449"/>
      <c r="BM772" s="449"/>
      <c r="BN772" s="449"/>
    </row>
    <row r="773" spans="1:66" ht="13.15" x14ac:dyDescent="0.4">
      <c r="A773" s="430"/>
      <c r="B773" s="430"/>
      <c r="C773" s="430"/>
      <c r="D773" s="430"/>
      <c r="E773" s="430"/>
      <c r="F773" s="430"/>
      <c r="G773" s="430"/>
      <c r="H773" s="461"/>
      <c r="I773" s="438"/>
      <c r="J773" s="438"/>
      <c r="K773" s="438"/>
      <c r="L773" s="430"/>
      <c r="M773" s="430"/>
      <c r="N773" s="461"/>
      <c r="O773" s="461"/>
      <c r="P773" s="430"/>
      <c r="Q773" s="430"/>
      <c r="R773" s="430"/>
      <c r="S773" s="430"/>
      <c r="T773" s="430"/>
      <c r="U773" s="430"/>
      <c r="V773" s="430"/>
      <c r="W773" s="430"/>
      <c r="X773" s="449"/>
      <c r="Y773" s="449"/>
      <c r="Z773" s="450"/>
      <c r="AA773" s="449"/>
      <c r="AB773" s="451"/>
      <c r="AC773" s="450"/>
      <c r="AD773" s="449"/>
      <c r="AE773" s="451"/>
      <c r="AF773" s="450"/>
      <c r="AG773" s="449"/>
      <c r="AH773" s="451"/>
      <c r="AI773" s="450"/>
      <c r="AJ773" s="449"/>
      <c r="AK773" s="451"/>
      <c r="AL773" s="450"/>
      <c r="AM773" s="449"/>
      <c r="AN773" s="451"/>
      <c r="AO773" s="450"/>
      <c r="AP773" s="449"/>
      <c r="AQ773" s="451"/>
      <c r="AR773" s="449"/>
      <c r="AS773" s="449"/>
      <c r="AT773" s="451"/>
      <c r="AU773" s="449"/>
      <c r="AV773" s="451"/>
      <c r="AW773" s="449"/>
      <c r="AX773" s="449"/>
      <c r="AY773" s="449"/>
      <c r="AZ773" s="449"/>
      <c r="BA773" s="449"/>
      <c r="BB773" s="449"/>
      <c r="BC773" s="449"/>
      <c r="BD773" s="449"/>
      <c r="BE773" s="449"/>
      <c r="BF773" s="449"/>
      <c r="BG773" s="449"/>
      <c r="BH773" s="449"/>
      <c r="BI773" s="449"/>
      <c r="BJ773" s="449"/>
      <c r="BK773" s="449"/>
      <c r="BL773" s="449"/>
      <c r="BM773" s="449"/>
      <c r="BN773" s="449"/>
    </row>
    <row r="774" spans="1:66" ht="13.15" x14ac:dyDescent="0.4">
      <c r="A774" s="430"/>
      <c r="B774" s="430"/>
      <c r="C774" s="430"/>
      <c r="D774" s="430"/>
      <c r="E774" s="430"/>
      <c r="F774" s="430"/>
      <c r="G774" s="430"/>
      <c r="H774" s="461"/>
      <c r="I774" s="438"/>
      <c r="J774" s="438"/>
      <c r="K774" s="438"/>
      <c r="L774" s="430"/>
      <c r="M774" s="430"/>
      <c r="N774" s="461"/>
      <c r="O774" s="461"/>
      <c r="P774" s="430"/>
      <c r="Q774" s="430"/>
      <c r="R774" s="430"/>
      <c r="S774" s="430"/>
      <c r="T774" s="430"/>
      <c r="U774" s="430"/>
      <c r="V774" s="430"/>
      <c r="W774" s="430"/>
      <c r="X774" s="449"/>
      <c r="Y774" s="449"/>
      <c r="Z774" s="450"/>
      <c r="AA774" s="449"/>
      <c r="AB774" s="451"/>
      <c r="AC774" s="450"/>
      <c r="AD774" s="449"/>
      <c r="AE774" s="451"/>
      <c r="AF774" s="450"/>
      <c r="AG774" s="449"/>
      <c r="AH774" s="451"/>
      <c r="AI774" s="450"/>
      <c r="AJ774" s="449"/>
      <c r="AK774" s="451"/>
      <c r="AL774" s="450"/>
      <c r="AM774" s="449"/>
      <c r="AN774" s="451"/>
      <c r="AO774" s="450"/>
      <c r="AP774" s="449"/>
      <c r="AQ774" s="451"/>
      <c r="AR774" s="449"/>
      <c r="AS774" s="449"/>
      <c r="AT774" s="451"/>
      <c r="AU774" s="449"/>
      <c r="AV774" s="451"/>
      <c r="AW774" s="449"/>
      <c r="AX774" s="449"/>
      <c r="AY774" s="449"/>
      <c r="AZ774" s="449"/>
      <c r="BA774" s="449"/>
      <c r="BB774" s="449"/>
      <c r="BC774" s="449"/>
      <c r="BD774" s="449"/>
      <c r="BE774" s="449"/>
      <c r="BF774" s="449"/>
      <c r="BG774" s="449"/>
      <c r="BH774" s="449"/>
      <c r="BI774" s="449"/>
      <c r="BJ774" s="449"/>
      <c r="BK774" s="449"/>
      <c r="BL774" s="449"/>
      <c r="BM774" s="449"/>
      <c r="BN774" s="449"/>
    </row>
    <row r="775" spans="1:66" ht="13.15" x14ac:dyDescent="0.4">
      <c r="A775" s="430"/>
      <c r="B775" s="430"/>
      <c r="C775" s="430"/>
      <c r="D775" s="430"/>
      <c r="E775" s="430"/>
      <c r="F775" s="430"/>
      <c r="G775" s="430"/>
      <c r="H775" s="461"/>
      <c r="I775" s="438"/>
      <c r="J775" s="438"/>
      <c r="K775" s="438"/>
      <c r="L775" s="430"/>
      <c r="M775" s="430"/>
      <c r="N775" s="461"/>
      <c r="O775" s="461"/>
      <c r="P775" s="430"/>
      <c r="Q775" s="430"/>
      <c r="R775" s="430"/>
      <c r="S775" s="430"/>
      <c r="T775" s="430"/>
      <c r="U775" s="430"/>
      <c r="V775" s="430"/>
      <c r="W775" s="430"/>
      <c r="X775" s="449"/>
      <c r="Y775" s="449"/>
      <c r="Z775" s="450"/>
      <c r="AA775" s="449"/>
      <c r="AB775" s="451"/>
      <c r="AC775" s="450"/>
      <c r="AD775" s="449"/>
      <c r="AE775" s="451"/>
      <c r="AF775" s="450"/>
      <c r="AG775" s="449"/>
      <c r="AH775" s="451"/>
      <c r="AI775" s="450"/>
      <c r="AJ775" s="449"/>
      <c r="AK775" s="451"/>
      <c r="AL775" s="450"/>
      <c r="AM775" s="449"/>
      <c r="AN775" s="451"/>
      <c r="AO775" s="450"/>
      <c r="AP775" s="449"/>
      <c r="AQ775" s="451"/>
      <c r="AR775" s="449"/>
      <c r="AS775" s="449"/>
      <c r="AT775" s="451"/>
      <c r="AU775" s="449"/>
      <c r="AV775" s="451"/>
      <c r="AW775" s="449"/>
      <c r="AX775" s="449"/>
      <c r="AY775" s="449"/>
      <c r="AZ775" s="449"/>
      <c r="BA775" s="449"/>
      <c r="BB775" s="449"/>
      <c r="BC775" s="449"/>
      <c r="BD775" s="449"/>
      <c r="BE775" s="449"/>
      <c r="BF775" s="449"/>
      <c r="BG775" s="449"/>
      <c r="BH775" s="449"/>
      <c r="BI775" s="449"/>
      <c r="BJ775" s="449"/>
      <c r="BK775" s="449"/>
      <c r="BL775" s="449"/>
      <c r="BM775" s="449"/>
      <c r="BN775" s="449"/>
    </row>
    <row r="776" spans="1:66" ht="13.15" x14ac:dyDescent="0.4">
      <c r="A776" s="430"/>
      <c r="B776" s="430"/>
      <c r="C776" s="430"/>
      <c r="D776" s="430"/>
      <c r="E776" s="430"/>
      <c r="F776" s="430"/>
      <c r="G776" s="430"/>
      <c r="H776" s="461"/>
      <c r="I776" s="438"/>
      <c r="J776" s="438"/>
      <c r="K776" s="438"/>
      <c r="L776" s="430"/>
      <c r="M776" s="430"/>
      <c r="N776" s="461"/>
      <c r="O776" s="461"/>
      <c r="P776" s="430"/>
      <c r="Q776" s="430"/>
      <c r="R776" s="430"/>
      <c r="S776" s="430"/>
      <c r="T776" s="430"/>
      <c r="U776" s="430"/>
      <c r="V776" s="430"/>
      <c r="W776" s="430"/>
      <c r="X776" s="449"/>
      <c r="Y776" s="449"/>
      <c r="Z776" s="450"/>
      <c r="AA776" s="449"/>
      <c r="AB776" s="451"/>
      <c r="AC776" s="450"/>
      <c r="AD776" s="449"/>
      <c r="AE776" s="451"/>
      <c r="AF776" s="450"/>
      <c r="AG776" s="449"/>
      <c r="AH776" s="451"/>
      <c r="AI776" s="450"/>
      <c r="AJ776" s="449"/>
      <c r="AK776" s="451"/>
      <c r="AL776" s="450"/>
      <c r="AM776" s="449"/>
      <c r="AN776" s="451"/>
      <c r="AO776" s="450"/>
      <c r="AP776" s="449"/>
      <c r="AQ776" s="451"/>
      <c r="AR776" s="449"/>
      <c r="AS776" s="449"/>
      <c r="AT776" s="451"/>
      <c r="AU776" s="449"/>
      <c r="AV776" s="451"/>
      <c r="AW776" s="449"/>
      <c r="AX776" s="449"/>
      <c r="AY776" s="449"/>
      <c r="AZ776" s="449"/>
      <c r="BA776" s="449"/>
      <c r="BB776" s="449"/>
      <c r="BC776" s="449"/>
      <c r="BD776" s="449"/>
      <c r="BE776" s="449"/>
      <c r="BF776" s="449"/>
      <c r="BG776" s="449"/>
      <c r="BH776" s="449"/>
      <c r="BI776" s="449"/>
      <c r="BJ776" s="449"/>
      <c r="BK776" s="449"/>
      <c r="BL776" s="449"/>
      <c r="BM776" s="449"/>
      <c r="BN776" s="449"/>
    </row>
    <row r="777" spans="1:66" ht="13.15" x14ac:dyDescent="0.4">
      <c r="A777" s="430"/>
      <c r="B777" s="430"/>
      <c r="C777" s="430"/>
      <c r="D777" s="430"/>
      <c r="E777" s="430"/>
      <c r="F777" s="430"/>
      <c r="G777" s="430"/>
      <c r="H777" s="461"/>
      <c r="I777" s="438"/>
      <c r="J777" s="438"/>
      <c r="K777" s="438"/>
      <c r="L777" s="430"/>
      <c r="M777" s="430"/>
      <c r="N777" s="461"/>
      <c r="O777" s="461"/>
      <c r="P777" s="430"/>
      <c r="Q777" s="430"/>
      <c r="R777" s="430"/>
      <c r="S777" s="430"/>
      <c r="T777" s="430"/>
      <c r="U777" s="430"/>
      <c r="V777" s="430"/>
      <c r="W777" s="430"/>
      <c r="X777" s="449"/>
      <c r="Y777" s="449"/>
      <c r="Z777" s="450"/>
      <c r="AA777" s="449"/>
      <c r="AB777" s="451"/>
      <c r="AC777" s="450"/>
      <c r="AD777" s="449"/>
      <c r="AE777" s="451"/>
      <c r="AF777" s="450"/>
      <c r="AG777" s="449"/>
      <c r="AH777" s="451"/>
      <c r="AI777" s="450"/>
      <c r="AJ777" s="449"/>
      <c r="AK777" s="451"/>
      <c r="AL777" s="450"/>
      <c r="AM777" s="449"/>
      <c r="AN777" s="451"/>
      <c r="AO777" s="450"/>
      <c r="AP777" s="449"/>
      <c r="AQ777" s="451"/>
      <c r="AR777" s="449"/>
      <c r="AS777" s="449"/>
      <c r="AT777" s="451"/>
      <c r="AU777" s="449"/>
      <c r="AV777" s="451"/>
      <c r="AW777" s="449"/>
      <c r="AX777" s="449"/>
      <c r="AY777" s="449"/>
      <c r="AZ777" s="449"/>
      <c r="BA777" s="449"/>
      <c r="BB777" s="449"/>
      <c r="BC777" s="449"/>
      <c r="BD777" s="449"/>
      <c r="BE777" s="449"/>
      <c r="BF777" s="449"/>
      <c r="BG777" s="449"/>
      <c r="BH777" s="449"/>
      <c r="BI777" s="449"/>
      <c r="BJ777" s="449"/>
      <c r="BK777" s="449"/>
      <c r="BL777" s="449"/>
      <c r="BM777" s="449"/>
      <c r="BN777" s="449"/>
    </row>
    <row r="778" spans="1:66" ht="13.15" x14ac:dyDescent="0.4">
      <c r="A778" s="430"/>
      <c r="B778" s="430"/>
      <c r="C778" s="430"/>
      <c r="D778" s="430"/>
      <c r="E778" s="430"/>
      <c r="F778" s="430"/>
      <c r="G778" s="430"/>
      <c r="H778" s="461"/>
      <c r="I778" s="438"/>
      <c r="J778" s="438"/>
      <c r="K778" s="438"/>
      <c r="L778" s="430"/>
      <c r="M778" s="430"/>
      <c r="N778" s="461"/>
      <c r="O778" s="461"/>
      <c r="P778" s="430"/>
      <c r="Q778" s="430"/>
      <c r="R778" s="430"/>
      <c r="S778" s="430"/>
      <c r="T778" s="430"/>
      <c r="U778" s="430"/>
      <c r="V778" s="430"/>
      <c r="W778" s="430"/>
      <c r="X778" s="449"/>
      <c r="Y778" s="449"/>
      <c r="Z778" s="450"/>
      <c r="AA778" s="449"/>
      <c r="AB778" s="451"/>
      <c r="AC778" s="450"/>
      <c r="AD778" s="449"/>
      <c r="AE778" s="451"/>
      <c r="AF778" s="450"/>
      <c r="AG778" s="449"/>
      <c r="AH778" s="451"/>
      <c r="AI778" s="450"/>
      <c r="AJ778" s="449"/>
      <c r="AK778" s="451"/>
      <c r="AL778" s="450"/>
      <c r="AM778" s="449"/>
      <c r="AN778" s="451"/>
      <c r="AO778" s="450"/>
      <c r="AP778" s="449"/>
      <c r="AQ778" s="451"/>
      <c r="AR778" s="449"/>
      <c r="AS778" s="449"/>
      <c r="AT778" s="451"/>
      <c r="AU778" s="449"/>
      <c r="AV778" s="451"/>
      <c r="AW778" s="449"/>
      <c r="AX778" s="449"/>
      <c r="AY778" s="449"/>
      <c r="AZ778" s="449"/>
      <c r="BA778" s="449"/>
      <c r="BB778" s="449"/>
      <c r="BC778" s="449"/>
      <c r="BD778" s="449"/>
      <c r="BE778" s="449"/>
      <c r="BF778" s="449"/>
      <c r="BG778" s="449"/>
      <c r="BH778" s="449"/>
      <c r="BI778" s="449"/>
      <c r="BJ778" s="449"/>
      <c r="BK778" s="449"/>
      <c r="BL778" s="449"/>
      <c r="BM778" s="449"/>
      <c r="BN778" s="449"/>
    </row>
    <row r="779" spans="1:66" ht="13.15" x14ac:dyDescent="0.4">
      <c r="A779" s="430"/>
      <c r="B779" s="430"/>
      <c r="C779" s="430"/>
      <c r="D779" s="430"/>
      <c r="E779" s="430"/>
      <c r="F779" s="430"/>
      <c r="G779" s="430"/>
      <c r="H779" s="461"/>
      <c r="I779" s="438"/>
      <c r="J779" s="438"/>
      <c r="K779" s="438"/>
      <c r="L779" s="430"/>
      <c r="M779" s="430"/>
      <c r="N779" s="461"/>
      <c r="O779" s="461"/>
      <c r="P779" s="430"/>
      <c r="Q779" s="430"/>
      <c r="R779" s="430"/>
      <c r="S779" s="430"/>
      <c r="T779" s="430"/>
      <c r="U779" s="430"/>
      <c r="V779" s="430"/>
      <c r="W779" s="430"/>
      <c r="X779" s="449"/>
      <c r="Y779" s="449"/>
      <c r="Z779" s="450"/>
      <c r="AA779" s="449"/>
      <c r="AB779" s="451"/>
      <c r="AC779" s="450"/>
      <c r="AD779" s="449"/>
      <c r="AE779" s="451"/>
      <c r="AF779" s="450"/>
      <c r="AG779" s="449"/>
      <c r="AH779" s="451"/>
      <c r="AI779" s="450"/>
      <c r="AJ779" s="449"/>
      <c r="AK779" s="451"/>
      <c r="AL779" s="450"/>
      <c r="AM779" s="449"/>
      <c r="AN779" s="451"/>
      <c r="AO779" s="450"/>
      <c r="AP779" s="449"/>
      <c r="AQ779" s="451"/>
      <c r="AR779" s="449"/>
      <c r="AS779" s="449"/>
      <c r="AT779" s="451"/>
      <c r="AU779" s="449"/>
      <c r="AV779" s="451"/>
      <c r="AW779" s="449"/>
      <c r="AX779" s="449"/>
      <c r="AY779" s="449"/>
      <c r="AZ779" s="449"/>
      <c r="BA779" s="449"/>
      <c r="BB779" s="449"/>
      <c r="BC779" s="449"/>
      <c r="BD779" s="449"/>
      <c r="BE779" s="449"/>
      <c r="BF779" s="449"/>
      <c r="BG779" s="449"/>
      <c r="BH779" s="449"/>
      <c r="BI779" s="449"/>
      <c r="BJ779" s="449"/>
      <c r="BK779" s="449"/>
      <c r="BL779" s="449"/>
      <c r="BM779" s="449"/>
      <c r="BN779" s="449"/>
    </row>
    <row r="780" spans="1:66" ht="13.15" x14ac:dyDescent="0.4">
      <c r="A780" s="430"/>
      <c r="B780" s="430"/>
      <c r="C780" s="430"/>
      <c r="D780" s="430"/>
      <c r="E780" s="430"/>
      <c r="F780" s="430"/>
      <c r="G780" s="430"/>
      <c r="H780" s="461"/>
      <c r="I780" s="438"/>
      <c r="J780" s="438"/>
      <c r="K780" s="438"/>
      <c r="L780" s="430"/>
      <c r="M780" s="430"/>
      <c r="N780" s="461"/>
      <c r="O780" s="461"/>
      <c r="P780" s="430"/>
      <c r="Q780" s="430"/>
      <c r="R780" s="430"/>
      <c r="S780" s="430"/>
      <c r="T780" s="430"/>
      <c r="U780" s="430"/>
      <c r="V780" s="430"/>
      <c r="W780" s="430"/>
      <c r="X780" s="449"/>
      <c r="Y780" s="449"/>
      <c r="Z780" s="450"/>
      <c r="AA780" s="449"/>
      <c r="AB780" s="451"/>
      <c r="AC780" s="450"/>
      <c r="AD780" s="449"/>
      <c r="AE780" s="451"/>
      <c r="AF780" s="450"/>
      <c r="AG780" s="449"/>
      <c r="AH780" s="451"/>
      <c r="AI780" s="450"/>
      <c r="AJ780" s="449"/>
      <c r="AK780" s="451"/>
      <c r="AL780" s="450"/>
      <c r="AM780" s="449"/>
      <c r="AN780" s="451"/>
      <c r="AO780" s="450"/>
      <c r="AP780" s="449"/>
      <c r="AQ780" s="451"/>
      <c r="AR780" s="449"/>
      <c r="AS780" s="449"/>
      <c r="AT780" s="451"/>
      <c r="AU780" s="449"/>
      <c r="AV780" s="451"/>
      <c r="AW780" s="449"/>
      <c r="AX780" s="449"/>
      <c r="AY780" s="449"/>
      <c r="AZ780" s="449"/>
      <c r="BA780" s="449"/>
      <c r="BB780" s="449"/>
      <c r="BC780" s="449"/>
      <c r="BD780" s="449"/>
      <c r="BE780" s="449"/>
      <c r="BF780" s="449"/>
      <c r="BG780" s="449"/>
      <c r="BH780" s="449"/>
      <c r="BI780" s="449"/>
      <c r="BJ780" s="449"/>
      <c r="BK780" s="449"/>
      <c r="BL780" s="449"/>
      <c r="BM780" s="449"/>
      <c r="BN780" s="449"/>
    </row>
    <row r="781" spans="1:66" ht="13.15" x14ac:dyDescent="0.4">
      <c r="A781" s="430"/>
      <c r="B781" s="430"/>
      <c r="C781" s="430"/>
      <c r="D781" s="430"/>
      <c r="E781" s="430"/>
      <c r="F781" s="430"/>
      <c r="G781" s="430"/>
      <c r="H781" s="461"/>
      <c r="I781" s="438"/>
      <c r="J781" s="438"/>
      <c r="K781" s="438"/>
      <c r="L781" s="430"/>
      <c r="M781" s="430"/>
      <c r="N781" s="461"/>
      <c r="O781" s="461"/>
      <c r="P781" s="430"/>
      <c r="Q781" s="430"/>
      <c r="R781" s="430"/>
      <c r="S781" s="430"/>
      <c r="T781" s="430"/>
      <c r="U781" s="430"/>
      <c r="V781" s="430"/>
      <c r="W781" s="430"/>
      <c r="X781" s="449"/>
      <c r="Y781" s="449"/>
      <c r="Z781" s="450"/>
      <c r="AA781" s="449"/>
      <c r="AB781" s="451"/>
      <c r="AC781" s="450"/>
      <c r="AD781" s="449"/>
      <c r="AE781" s="451"/>
      <c r="AF781" s="450"/>
      <c r="AG781" s="449"/>
      <c r="AH781" s="451"/>
      <c r="AI781" s="450"/>
      <c r="AJ781" s="449"/>
      <c r="AK781" s="451"/>
      <c r="AL781" s="450"/>
      <c r="AM781" s="449"/>
      <c r="AN781" s="451"/>
      <c r="AO781" s="450"/>
      <c r="AP781" s="449"/>
      <c r="AQ781" s="451"/>
      <c r="AR781" s="449"/>
      <c r="AS781" s="449"/>
      <c r="AT781" s="451"/>
      <c r="AU781" s="449"/>
      <c r="AV781" s="451"/>
      <c r="AW781" s="449"/>
      <c r="AX781" s="449"/>
      <c r="AY781" s="449"/>
      <c r="AZ781" s="449"/>
      <c r="BA781" s="449"/>
      <c r="BB781" s="449"/>
      <c r="BC781" s="449"/>
      <c r="BD781" s="449"/>
      <c r="BE781" s="449"/>
      <c r="BF781" s="449"/>
      <c r="BG781" s="449"/>
      <c r="BH781" s="449"/>
      <c r="BI781" s="449"/>
      <c r="BJ781" s="449"/>
      <c r="BK781" s="449"/>
      <c r="BL781" s="449"/>
      <c r="BM781" s="449"/>
      <c r="BN781" s="449"/>
    </row>
    <row r="782" spans="1:66" ht="13.15" x14ac:dyDescent="0.4">
      <c r="A782" s="430"/>
      <c r="B782" s="430"/>
      <c r="C782" s="430"/>
      <c r="D782" s="430"/>
      <c r="E782" s="430"/>
      <c r="F782" s="430"/>
      <c r="G782" s="430"/>
      <c r="H782" s="461"/>
      <c r="I782" s="438"/>
      <c r="J782" s="438"/>
      <c r="K782" s="438"/>
      <c r="L782" s="430"/>
      <c r="M782" s="430"/>
      <c r="N782" s="461"/>
      <c r="O782" s="461"/>
      <c r="P782" s="430"/>
      <c r="Q782" s="430"/>
      <c r="R782" s="430"/>
      <c r="S782" s="430"/>
      <c r="T782" s="430"/>
      <c r="U782" s="430"/>
      <c r="V782" s="430"/>
      <c r="W782" s="430"/>
      <c r="X782" s="449"/>
      <c r="Y782" s="449"/>
      <c r="Z782" s="450"/>
      <c r="AA782" s="449"/>
      <c r="AB782" s="451"/>
      <c r="AC782" s="450"/>
      <c r="AD782" s="449"/>
      <c r="AE782" s="451"/>
      <c r="AF782" s="450"/>
      <c r="AG782" s="449"/>
      <c r="AH782" s="451"/>
      <c r="AI782" s="450"/>
      <c r="AJ782" s="449"/>
      <c r="AK782" s="451"/>
      <c r="AL782" s="450"/>
      <c r="AM782" s="449"/>
      <c r="AN782" s="451"/>
      <c r="AO782" s="450"/>
      <c r="AP782" s="449"/>
      <c r="AQ782" s="451"/>
      <c r="AR782" s="449"/>
      <c r="AS782" s="449"/>
      <c r="AT782" s="451"/>
      <c r="AU782" s="449"/>
      <c r="AV782" s="451"/>
      <c r="AW782" s="449"/>
      <c r="AX782" s="449"/>
      <c r="AY782" s="449"/>
      <c r="AZ782" s="449"/>
      <c r="BA782" s="449"/>
      <c r="BB782" s="449"/>
      <c r="BC782" s="449"/>
      <c r="BD782" s="449"/>
      <c r="BE782" s="449"/>
      <c r="BF782" s="449"/>
      <c r="BG782" s="449"/>
      <c r="BH782" s="449"/>
      <c r="BI782" s="449"/>
      <c r="BJ782" s="449"/>
      <c r="BK782" s="449"/>
      <c r="BL782" s="449"/>
      <c r="BM782" s="449"/>
      <c r="BN782" s="449"/>
    </row>
    <row r="783" spans="1:66" ht="13.15" x14ac:dyDescent="0.4">
      <c r="A783" s="430"/>
      <c r="B783" s="430"/>
      <c r="C783" s="430"/>
      <c r="D783" s="430"/>
      <c r="E783" s="430"/>
      <c r="F783" s="430"/>
      <c r="G783" s="430"/>
      <c r="H783" s="461"/>
      <c r="I783" s="438"/>
      <c r="J783" s="438"/>
      <c r="K783" s="438"/>
      <c r="L783" s="430"/>
      <c r="M783" s="430"/>
      <c r="N783" s="461"/>
      <c r="O783" s="461"/>
      <c r="P783" s="430"/>
      <c r="Q783" s="430"/>
      <c r="R783" s="430"/>
      <c r="S783" s="430"/>
      <c r="T783" s="430"/>
      <c r="U783" s="430"/>
      <c r="V783" s="430"/>
      <c r="W783" s="430"/>
      <c r="X783" s="449"/>
      <c r="Y783" s="449"/>
      <c r="Z783" s="450"/>
      <c r="AA783" s="449"/>
      <c r="AB783" s="451"/>
      <c r="AC783" s="450"/>
      <c r="AD783" s="449"/>
      <c r="AE783" s="451"/>
      <c r="AF783" s="450"/>
      <c r="AG783" s="449"/>
      <c r="AH783" s="451"/>
      <c r="AI783" s="450"/>
      <c r="AJ783" s="449"/>
      <c r="AK783" s="451"/>
      <c r="AL783" s="450"/>
      <c r="AM783" s="449"/>
      <c r="AN783" s="451"/>
      <c r="AO783" s="450"/>
      <c r="AP783" s="449"/>
      <c r="AQ783" s="451"/>
      <c r="AR783" s="449"/>
      <c r="AS783" s="449"/>
      <c r="AT783" s="451"/>
      <c r="AU783" s="449"/>
      <c r="AV783" s="451"/>
      <c r="AW783" s="449"/>
      <c r="AX783" s="449"/>
      <c r="AY783" s="449"/>
      <c r="AZ783" s="449"/>
      <c r="BA783" s="449"/>
      <c r="BB783" s="449"/>
      <c r="BC783" s="449"/>
      <c r="BD783" s="449"/>
      <c r="BE783" s="449"/>
      <c r="BF783" s="449"/>
      <c r="BG783" s="449"/>
      <c r="BH783" s="449"/>
      <c r="BI783" s="449"/>
      <c r="BJ783" s="449"/>
      <c r="BK783" s="449"/>
      <c r="BL783" s="449"/>
      <c r="BM783" s="449"/>
      <c r="BN783" s="449"/>
    </row>
    <row r="784" spans="1:66" ht="13.15" x14ac:dyDescent="0.4">
      <c r="A784" s="430"/>
      <c r="B784" s="430"/>
      <c r="C784" s="430"/>
      <c r="D784" s="430"/>
      <c r="E784" s="430"/>
      <c r="F784" s="430"/>
      <c r="G784" s="430"/>
      <c r="H784" s="461"/>
      <c r="I784" s="438"/>
      <c r="J784" s="438"/>
      <c r="K784" s="438"/>
      <c r="L784" s="430"/>
      <c r="M784" s="430"/>
      <c r="N784" s="461"/>
      <c r="O784" s="461"/>
      <c r="P784" s="430"/>
      <c r="Q784" s="430"/>
      <c r="R784" s="430"/>
      <c r="S784" s="430"/>
      <c r="T784" s="430"/>
      <c r="U784" s="430"/>
      <c r="V784" s="430"/>
      <c r="W784" s="430"/>
      <c r="X784" s="449"/>
      <c r="Y784" s="449"/>
      <c r="Z784" s="450"/>
      <c r="AA784" s="449"/>
      <c r="AB784" s="451"/>
      <c r="AC784" s="450"/>
      <c r="AD784" s="449"/>
      <c r="AE784" s="451"/>
      <c r="AF784" s="450"/>
      <c r="AG784" s="449"/>
      <c r="AH784" s="451"/>
      <c r="AI784" s="450"/>
      <c r="AJ784" s="449"/>
      <c r="AK784" s="451"/>
      <c r="AL784" s="450"/>
      <c r="AM784" s="449"/>
      <c r="AN784" s="451"/>
      <c r="AO784" s="450"/>
      <c r="AP784" s="449"/>
      <c r="AQ784" s="451"/>
      <c r="AR784" s="449"/>
      <c r="AS784" s="449"/>
      <c r="AT784" s="451"/>
      <c r="AU784" s="449"/>
      <c r="AV784" s="451"/>
      <c r="AW784" s="449"/>
      <c r="AX784" s="449"/>
      <c r="AY784" s="449"/>
      <c r="AZ784" s="449"/>
      <c r="BA784" s="449"/>
      <c r="BB784" s="449"/>
      <c r="BC784" s="449"/>
      <c r="BD784" s="449"/>
      <c r="BE784" s="449"/>
      <c r="BF784" s="449"/>
      <c r="BG784" s="449"/>
      <c r="BH784" s="449"/>
      <c r="BI784" s="449"/>
      <c r="BJ784" s="449"/>
      <c r="BK784" s="449"/>
      <c r="BL784" s="449"/>
      <c r="BM784" s="449"/>
      <c r="BN784" s="449"/>
    </row>
    <row r="785" spans="1:66" ht="13.15" x14ac:dyDescent="0.4">
      <c r="A785" s="430"/>
      <c r="B785" s="430"/>
      <c r="C785" s="430"/>
      <c r="D785" s="430"/>
      <c r="E785" s="430"/>
      <c r="F785" s="430"/>
      <c r="G785" s="430"/>
      <c r="H785" s="461"/>
      <c r="I785" s="438"/>
      <c r="J785" s="438"/>
      <c r="K785" s="438"/>
      <c r="L785" s="430"/>
      <c r="M785" s="430"/>
      <c r="N785" s="461"/>
      <c r="O785" s="461"/>
      <c r="P785" s="430"/>
      <c r="Q785" s="430"/>
      <c r="R785" s="430"/>
      <c r="S785" s="430"/>
      <c r="T785" s="430"/>
      <c r="U785" s="430"/>
      <c r="V785" s="430"/>
      <c r="W785" s="430"/>
      <c r="X785" s="449"/>
      <c r="Y785" s="449"/>
      <c r="Z785" s="450"/>
      <c r="AA785" s="449"/>
      <c r="AB785" s="451"/>
      <c r="AC785" s="450"/>
      <c r="AD785" s="449"/>
      <c r="AE785" s="451"/>
      <c r="AF785" s="450"/>
      <c r="AG785" s="449"/>
      <c r="AH785" s="451"/>
      <c r="AI785" s="450"/>
      <c r="AJ785" s="449"/>
      <c r="AK785" s="451"/>
      <c r="AL785" s="450"/>
      <c r="AM785" s="449"/>
      <c r="AN785" s="451"/>
      <c r="AO785" s="450"/>
      <c r="AP785" s="449"/>
      <c r="AQ785" s="451"/>
      <c r="AR785" s="449"/>
      <c r="AS785" s="449"/>
      <c r="AT785" s="451"/>
      <c r="AU785" s="449"/>
      <c r="AV785" s="451"/>
      <c r="AW785" s="449"/>
      <c r="AX785" s="449"/>
      <c r="AY785" s="449"/>
      <c r="AZ785" s="449"/>
      <c r="BA785" s="449"/>
      <c r="BB785" s="449"/>
      <c r="BC785" s="449"/>
      <c r="BD785" s="449"/>
      <c r="BE785" s="449"/>
      <c r="BF785" s="449"/>
      <c r="BG785" s="449"/>
      <c r="BH785" s="449"/>
      <c r="BI785" s="449"/>
      <c r="BJ785" s="449"/>
      <c r="BK785" s="449"/>
      <c r="BL785" s="449"/>
      <c r="BM785" s="449"/>
      <c r="BN785" s="449"/>
    </row>
    <row r="786" spans="1:66" ht="13.15" x14ac:dyDescent="0.4">
      <c r="A786" s="430"/>
      <c r="B786" s="430"/>
      <c r="C786" s="430"/>
      <c r="D786" s="430"/>
      <c r="E786" s="430"/>
      <c r="F786" s="430"/>
      <c r="G786" s="430"/>
      <c r="H786" s="461"/>
      <c r="I786" s="438"/>
      <c r="J786" s="438"/>
      <c r="K786" s="438"/>
      <c r="L786" s="430"/>
      <c r="M786" s="430"/>
      <c r="N786" s="461"/>
      <c r="O786" s="461"/>
      <c r="P786" s="430"/>
      <c r="Q786" s="430"/>
      <c r="R786" s="430"/>
      <c r="S786" s="430"/>
      <c r="T786" s="430"/>
      <c r="U786" s="430"/>
      <c r="V786" s="430"/>
      <c r="W786" s="430"/>
      <c r="X786" s="449"/>
      <c r="Y786" s="449"/>
      <c r="Z786" s="450"/>
      <c r="AA786" s="449"/>
      <c r="AB786" s="451"/>
      <c r="AC786" s="450"/>
      <c r="AD786" s="449"/>
      <c r="AE786" s="451"/>
      <c r="AF786" s="450"/>
      <c r="AG786" s="449"/>
      <c r="AH786" s="451"/>
      <c r="AI786" s="450"/>
      <c r="AJ786" s="449"/>
      <c r="AK786" s="451"/>
      <c r="AL786" s="450"/>
      <c r="AM786" s="449"/>
      <c r="AN786" s="451"/>
      <c r="AO786" s="450"/>
      <c r="AP786" s="449"/>
      <c r="AQ786" s="451"/>
      <c r="AR786" s="449"/>
      <c r="AS786" s="449"/>
      <c r="AT786" s="451"/>
      <c r="AU786" s="449"/>
      <c r="AV786" s="451"/>
      <c r="AW786" s="449"/>
      <c r="AX786" s="449"/>
      <c r="AY786" s="449"/>
      <c r="AZ786" s="449"/>
      <c r="BA786" s="449"/>
      <c r="BB786" s="449"/>
      <c r="BC786" s="449"/>
      <c r="BD786" s="449"/>
      <c r="BE786" s="449"/>
      <c r="BF786" s="449"/>
      <c r="BG786" s="449"/>
      <c r="BH786" s="449"/>
      <c r="BI786" s="449"/>
      <c r="BJ786" s="449"/>
      <c r="BK786" s="449"/>
      <c r="BL786" s="449"/>
      <c r="BM786" s="449"/>
      <c r="BN786" s="449"/>
    </row>
    <row r="787" spans="1:66" ht="13.15" x14ac:dyDescent="0.4">
      <c r="A787" s="430"/>
      <c r="B787" s="430"/>
      <c r="C787" s="430"/>
      <c r="D787" s="430"/>
      <c r="E787" s="430"/>
      <c r="F787" s="430"/>
      <c r="G787" s="430"/>
      <c r="H787" s="461"/>
      <c r="I787" s="438"/>
      <c r="J787" s="438"/>
      <c r="K787" s="438"/>
      <c r="L787" s="430"/>
      <c r="M787" s="430"/>
      <c r="N787" s="461"/>
      <c r="O787" s="461"/>
      <c r="P787" s="430"/>
      <c r="Q787" s="430"/>
      <c r="R787" s="430"/>
      <c r="S787" s="430"/>
      <c r="T787" s="430"/>
      <c r="U787" s="430"/>
      <c r="V787" s="430"/>
      <c r="W787" s="430"/>
      <c r="X787" s="449"/>
      <c r="Y787" s="449"/>
      <c r="Z787" s="450"/>
      <c r="AA787" s="449"/>
      <c r="AB787" s="451"/>
      <c r="AC787" s="450"/>
      <c r="AD787" s="449"/>
      <c r="AE787" s="451"/>
      <c r="AF787" s="450"/>
      <c r="AG787" s="449"/>
      <c r="AH787" s="451"/>
      <c r="AI787" s="450"/>
      <c r="AJ787" s="449"/>
      <c r="AK787" s="451"/>
      <c r="AL787" s="450"/>
      <c r="AM787" s="449"/>
      <c r="AN787" s="451"/>
      <c r="AO787" s="450"/>
      <c r="AP787" s="449"/>
      <c r="AQ787" s="451"/>
      <c r="AR787" s="449"/>
      <c r="AS787" s="449"/>
      <c r="AT787" s="451"/>
      <c r="AU787" s="449"/>
      <c r="AV787" s="451"/>
      <c r="AW787" s="449"/>
      <c r="AX787" s="449"/>
      <c r="AY787" s="449"/>
      <c r="AZ787" s="449"/>
      <c r="BA787" s="449"/>
      <c r="BB787" s="449"/>
      <c r="BC787" s="449"/>
      <c r="BD787" s="449"/>
      <c r="BE787" s="449"/>
      <c r="BF787" s="449"/>
      <c r="BG787" s="449"/>
      <c r="BH787" s="449"/>
      <c r="BI787" s="449"/>
      <c r="BJ787" s="449"/>
      <c r="BK787" s="449"/>
      <c r="BL787" s="449"/>
      <c r="BM787" s="449"/>
      <c r="BN787" s="449"/>
    </row>
    <row r="788" spans="1:66" ht="13.15" x14ac:dyDescent="0.4">
      <c r="A788" s="430"/>
      <c r="B788" s="430"/>
      <c r="C788" s="430"/>
      <c r="D788" s="430"/>
      <c r="E788" s="430"/>
      <c r="F788" s="430"/>
      <c r="G788" s="430"/>
      <c r="H788" s="461"/>
      <c r="I788" s="438"/>
      <c r="J788" s="438"/>
      <c r="K788" s="438"/>
      <c r="L788" s="430"/>
      <c r="M788" s="430"/>
      <c r="N788" s="461"/>
      <c r="O788" s="461"/>
      <c r="P788" s="430"/>
      <c r="Q788" s="430"/>
      <c r="R788" s="430"/>
      <c r="S788" s="430"/>
      <c r="T788" s="430"/>
      <c r="U788" s="430"/>
      <c r="V788" s="430"/>
      <c r="W788" s="430"/>
      <c r="X788" s="449"/>
      <c r="Y788" s="449"/>
      <c r="Z788" s="450"/>
      <c r="AA788" s="449"/>
      <c r="AB788" s="451"/>
      <c r="AC788" s="450"/>
      <c r="AD788" s="449"/>
      <c r="AE788" s="451"/>
      <c r="AF788" s="450"/>
      <c r="AG788" s="449"/>
      <c r="AH788" s="451"/>
      <c r="AI788" s="450"/>
      <c r="AJ788" s="449"/>
      <c r="AK788" s="451"/>
      <c r="AL788" s="450"/>
      <c r="AM788" s="449"/>
      <c r="AN788" s="451"/>
      <c r="AO788" s="450"/>
      <c r="AP788" s="449"/>
      <c r="AQ788" s="451"/>
      <c r="AR788" s="449"/>
      <c r="AS788" s="449"/>
      <c r="AT788" s="451"/>
      <c r="AU788" s="449"/>
      <c r="AV788" s="451"/>
      <c r="AW788" s="449"/>
      <c r="AX788" s="449"/>
      <c r="AY788" s="449"/>
      <c r="AZ788" s="449"/>
      <c r="BA788" s="449"/>
      <c r="BB788" s="449"/>
      <c r="BC788" s="449"/>
      <c r="BD788" s="449"/>
      <c r="BE788" s="449"/>
      <c r="BF788" s="449"/>
      <c r="BG788" s="449"/>
      <c r="BH788" s="449"/>
      <c r="BI788" s="449"/>
      <c r="BJ788" s="449"/>
      <c r="BK788" s="449"/>
      <c r="BL788" s="449"/>
      <c r="BM788" s="449"/>
      <c r="BN788" s="449"/>
    </row>
    <row r="789" spans="1:66" ht="13.15" x14ac:dyDescent="0.4">
      <c r="A789" s="430"/>
      <c r="B789" s="430"/>
      <c r="C789" s="430"/>
      <c r="D789" s="430"/>
      <c r="E789" s="430"/>
      <c r="F789" s="430"/>
      <c r="G789" s="430"/>
      <c r="H789" s="461"/>
      <c r="I789" s="438"/>
      <c r="J789" s="438"/>
      <c r="K789" s="438"/>
      <c r="L789" s="430"/>
      <c r="M789" s="430"/>
      <c r="N789" s="461"/>
      <c r="O789" s="461"/>
      <c r="P789" s="430"/>
      <c r="Q789" s="430"/>
      <c r="R789" s="430"/>
      <c r="S789" s="430"/>
      <c r="T789" s="430"/>
      <c r="U789" s="430"/>
      <c r="V789" s="430"/>
      <c r="W789" s="430"/>
      <c r="X789" s="449"/>
      <c r="Y789" s="449"/>
      <c r="Z789" s="450"/>
      <c r="AA789" s="449"/>
      <c r="AB789" s="451"/>
      <c r="AC789" s="450"/>
      <c r="AD789" s="449"/>
      <c r="AE789" s="451"/>
      <c r="AF789" s="450"/>
      <c r="AG789" s="449"/>
      <c r="AH789" s="451"/>
      <c r="AI789" s="450"/>
      <c r="AJ789" s="449"/>
      <c r="AK789" s="451"/>
      <c r="AL789" s="450"/>
      <c r="AM789" s="449"/>
      <c r="AN789" s="451"/>
      <c r="AO789" s="450"/>
      <c r="AP789" s="449"/>
      <c r="AQ789" s="451"/>
      <c r="AR789" s="449"/>
      <c r="AS789" s="449"/>
      <c r="AT789" s="451"/>
      <c r="AU789" s="449"/>
      <c r="AV789" s="451"/>
      <c r="AW789" s="449"/>
      <c r="AX789" s="449"/>
      <c r="AY789" s="449"/>
      <c r="AZ789" s="449"/>
      <c r="BA789" s="449"/>
      <c r="BB789" s="449"/>
      <c r="BC789" s="449"/>
      <c r="BD789" s="449"/>
      <c r="BE789" s="449"/>
      <c r="BF789" s="449"/>
      <c r="BG789" s="449"/>
      <c r="BH789" s="449"/>
      <c r="BI789" s="449"/>
      <c r="BJ789" s="449"/>
      <c r="BK789" s="449"/>
      <c r="BL789" s="449"/>
      <c r="BM789" s="449"/>
      <c r="BN789" s="449"/>
    </row>
    <row r="790" spans="1:66" ht="13.15" x14ac:dyDescent="0.4">
      <c r="A790" s="430"/>
      <c r="B790" s="430"/>
      <c r="C790" s="430"/>
      <c r="D790" s="430"/>
      <c r="E790" s="430"/>
      <c r="F790" s="430"/>
      <c r="G790" s="430"/>
      <c r="H790" s="461"/>
      <c r="I790" s="438"/>
      <c r="J790" s="438"/>
      <c r="K790" s="438"/>
      <c r="L790" s="430"/>
      <c r="M790" s="430"/>
      <c r="N790" s="461"/>
      <c r="O790" s="461"/>
      <c r="P790" s="430"/>
      <c r="Q790" s="430"/>
      <c r="R790" s="430"/>
      <c r="S790" s="430"/>
      <c r="T790" s="430"/>
      <c r="U790" s="430"/>
      <c r="V790" s="430"/>
      <c r="W790" s="430"/>
      <c r="X790" s="449"/>
      <c r="Y790" s="449"/>
      <c r="Z790" s="450"/>
      <c r="AA790" s="449"/>
      <c r="AB790" s="451"/>
      <c r="AC790" s="450"/>
      <c r="AD790" s="449"/>
      <c r="AE790" s="451"/>
      <c r="AF790" s="450"/>
      <c r="AG790" s="449"/>
      <c r="AH790" s="451"/>
      <c r="AI790" s="450"/>
      <c r="AJ790" s="449"/>
      <c r="AK790" s="451"/>
      <c r="AL790" s="450"/>
      <c r="AM790" s="449"/>
      <c r="AN790" s="451"/>
      <c r="AO790" s="450"/>
      <c r="AP790" s="449"/>
      <c r="AQ790" s="451"/>
      <c r="AR790" s="449"/>
      <c r="AS790" s="449"/>
      <c r="AT790" s="451"/>
      <c r="AU790" s="449"/>
      <c r="AV790" s="451"/>
      <c r="AW790" s="449"/>
      <c r="AX790" s="449"/>
      <c r="AY790" s="449"/>
      <c r="AZ790" s="449"/>
      <c r="BA790" s="449"/>
      <c r="BB790" s="449"/>
      <c r="BC790" s="449"/>
      <c r="BD790" s="449"/>
      <c r="BE790" s="449"/>
      <c r="BF790" s="449"/>
      <c r="BG790" s="449"/>
      <c r="BH790" s="449"/>
      <c r="BI790" s="449"/>
      <c r="BJ790" s="449"/>
      <c r="BK790" s="449"/>
      <c r="BL790" s="449"/>
      <c r="BM790" s="449"/>
      <c r="BN790" s="449"/>
    </row>
    <row r="791" spans="1:66" ht="13.15" x14ac:dyDescent="0.4">
      <c r="A791" s="430"/>
      <c r="B791" s="430"/>
      <c r="C791" s="430"/>
      <c r="D791" s="430"/>
      <c r="E791" s="430"/>
      <c r="F791" s="430"/>
      <c r="G791" s="430"/>
      <c r="H791" s="461"/>
      <c r="I791" s="438"/>
      <c r="J791" s="438"/>
      <c r="K791" s="438"/>
      <c r="L791" s="430"/>
      <c r="M791" s="430"/>
      <c r="N791" s="461"/>
      <c r="O791" s="461"/>
      <c r="P791" s="430"/>
      <c r="Q791" s="430"/>
      <c r="R791" s="430"/>
      <c r="S791" s="430"/>
      <c r="T791" s="430"/>
      <c r="U791" s="430"/>
      <c r="V791" s="430"/>
      <c r="W791" s="430"/>
      <c r="X791" s="449"/>
      <c r="Y791" s="449"/>
      <c r="Z791" s="450"/>
      <c r="AA791" s="449"/>
      <c r="AB791" s="451"/>
      <c r="AC791" s="450"/>
      <c r="AD791" s="449"/>
      <c r="AE791" s="451"/>
      <c r="AF791" s="450"/>
      <c r="AG791" s="449"/>
      <c r="AH791" s="451"/>
      <c r="AI791" s="450"/>
      <c r="AJ791" s="449"/>
      <c r="AK791" s="451"/>
      <c r="AL791" s="450"/>
      <c r="AM791" s="449"/>
      <c r="AN791" s="451"/>
      <c r="AO791" s="450"/>
      <c r="AP791" s="449"/>
      <c r="AQ791" s="451"/>
      <c r="AR791" s="449"/>
      <c r="AS791" s="449"/>
      <c r="AT791" s="451"/>
      <c r="AU791" s="449"/>
      <c r="AV791" s="451"/>
      <c r="AW791" s="449"/>
      <c r="AX791" s="449"/>
      <c r="AY791" s="449"/>
      <c r="AZ791" s="449"/>
      <c r="BA791" s="449"/>
      <c r="BB791" s="449"/>
      <c r="BC791" s="449"/>
      <c r="BD791" s="449"/>
      <c r="BE791" s="449"/>
      <c r="BF791" s="449"/>
      <c r="BG791" s="449"/>
      <c r="BH791" s="449"/>
      <c r="BI791" s="449"/>
      <c r="BJ791" s="449"/>
      <c r="BK791" s="449"/>
      <c r="BL791" s="449"/>
      <c r="BM791" s="449"/>
      <c r="BN791" s="449"/>
    </row>
    <row r="792" spans="1:66" ht="13.15" x14ac:dyDescent="0.4">
      <c r="A792" s="430"/>
      <c r="B792" s="430"/>
      <c r="C792" s="430"/>
      <c r="D792" s="430"/>
      <c r="E792" s="430"/>
      <c r="F792" s="430"/>
      <c r="G792" s="430"/>
      <c r="H792" s="461"/>
      <c r="I792" s="438"/>
      <c r="J792" s="438"/>
      <c r="K792" s="438"/>
      <c r="L792" s="430"/>
      <c r="M792" s="430"/>
      <c r="N792" s="461"/>
      <c r="O792" s="461"/>
      <c r="P792" s="430"/>
      <c r="Q792" s="430"/>
      <c r="R792" s="430"/>
      <c r="S792" s="430"/>
      <c r="T792" s="430"/>
      <c r="U792" s="430"/>
      <c r="V792" s="430"/>
      <c r="W792" s="430"/>
      <c r="X792" s="449"/>
      <c r="Y792" s="449"/>
      <c r="Z792" s="450"/>
      <c r="AA792" s="449"/>
      <c r="AB792" s="451"/>
      <c r="AC792" s="450"/>
      <c r="AD792" s="449"/>
      <c r="AE792" s="451"/>
      <c r="AF792" s="450"/>
      <c r="AG792" s="449"/>
      <c r="AH792" s="451"/>
      <c r="AI792" s="450"/>
      <c r="AJ792" s="449"/>
      <c r="AK792" s="451"/>
      <c r="AL792" s="450"/>
      <c r="AM792" s="449"/>
      <c r="AN792" s="451"/>
      <c r="AO792" s="450"/>
      <c r="AP792" s="449"/>
      <c r="AQ792" s="451"/>
      <c r="AR792" s="449"/>
      <c r="AS792" s="449"/>
      <c r="AT792" s="451"/>
      <c r="AU792" s="449"/>
      <c r="AV792" s="451"/>
      <c r="AW792" s="449"/>
      <c r="AX792" s="449"/>
      <c r="AY792" s="449"/>
      <c r="AZ792" s="449"/>
      <c r="BA792" s="449"/>
      <c r="BB792" s="449"/>
      <c r="BC792" s="449"/>
      <c r="BD792" s="449"/>
      <c r="BE792" s="449"/>
      <c r="BF792" s="449"/>
      <c r="BG792" s="449"/>
      <c r="BH792" s="449"/>
      <c r="BI792" s="449"/>
      <c r="BJ792" s="449"/>
      <c r="BK792" s="449"/>
      <c r="BL792" s="449"/>
      <c r="BM792" s="449"/>
      <c r="BN792" s="449"/>
    </row>
    <row r="793" spans="1:66" ht="13.15" x14ac:dyDescent="0.4">
      <c r="A793" s="430"/>
      <c r="B793" s="430"/>
      <c r="C793" s="430"/>
      <c r="D793" s="430"/>
      <c r="E793" s="430"/>
      <c r="F793" s="430"/>
      <c r="G793" s="430"/>
      <c r="H793" s="461"/>
      <c r="I793" s="438"/>
      <c r="J793" s="438"/>
      <c r="K793" s="438"/>
      <c r="L793" s="430"/>
      <c r="M793" s="430"/>
      <c r="N793" s="461"/>
      <c r="O793" s="461"/>
      <c r="P793" s="430"/>
      <c r="Q793" s="430"/>
      <c r="R793" s="430"/>
      <c r="S793" s="430"/>
      <c r="T793" s="430"/>
      <c r="U793" s="430"/>
      <c r="V793" s="430"/>
      <c r="W793" s="430"/>
      <c r="X793" s="449"/>
      <c r="Y793" s="449"/>
      <c r="Z793" s="450"/>
      <c r="AA793" s="449"/>
      <c r="AB793" s="451"/>
      <c r="AC793" s="450"/>
      <c r="AD793" s="449"/>
      <c r="AE793" s="451"/>
      <c r="AF793" s="450"/>
      <c r="AG793" s="449"/>
      <c r="AH793" s="451"/>
      <c r="AI793" s="450"/>
      <c r="AJ793" s="449"/>
      <c r="AK793" s="451"/>
      <c r="AL793" s="450"/>
      <c r="AM793" s="449"/>
      <c r="AN793" s="451"/>
      <c r="AO793" s="450"/>
      <c r="AP793" s="449"/>
      <c r="AQ793" s="451"/>
      <c r="AR793" s="449"/>
      <c r="AS793" s="449"/>
      <c r="AT793" s="451"/>
      <c r="AU793" s="449"/>
      <c r="AV793" s="451"/>
      <c r="AW793" s="449"/>
      <c r="AX793" s="449"/>
      <c r="AY793" s="449"/>
      <c r="AZ793" s="449"/>
      <c r="BA793" s="449"/>
      <c r="BB793" s="449"/>
      <c r="BC793" s="449"/>
      <c r="BD793" s="449"/>
      <c r="BE793" s="449"/>
      <c r="BF793" s="449"/>
      <c r="BG793" s="449"/>
      <c r="BH793" s="449"/>
      <c r="BI793" s="449"/>
      <c r="BJ793" s="449"/>
      <c r="BK793" s="449"/>
      <c r="BL793" s="449"/>
      <c r="BM793" s="449"/>
      <c r="BN793" s="449"/>
    </row>
    <row r="794" spans="1:66" ht="13.15" x14ac:dyDescent="0.4">
      <c r="A794" s="430"/>
      <c r="B794" s="430"/>
      <c r="C794" s="430"/>
      <c r="D794" s="430"/>
      <c r="E794" s="430"/>
      <c r="F794" s="430"/>
      <c r="G794" s="430"/>
      <c r="H794" s="461"/>
      <c r="I794" s="438"/>
      <c r="J794" s="438"/>
      <c r="K794" s="438"/>
      <c r="L794" s="430"/>
      <c r="M794" s="430"/>
      <c r="N794" s="461"/>
      <c r="O794" s="461"/>
      <c r="P794" s="430"/>
      <c r="Q794" s="430"/>
      <c r="R794" s="430"/>
      <c r="S794" s="430"/>
      <c r="T794" s="430"/>
      <c r="U794" s="430"/>
      <c r="V794" s="430"/>
      <c r="W794" s="430"/>
      <c r="X794" s="449"/>
      <c r="Y794" s="449"/>
      <c r="Z794" s="450"/>
      <c r="AA794" s="449"/>
      <c r="AB794" s="451"/>
      <c r="AC794" s="450"/>
      <c r="AD794" s="449"/>
      <c r="AE794" s="451"/>
      <c r="AF794" s="450"/>
      <c r="AG794" s="449"/>
      <c r="AH794" s="451"/>
      <c r="AI794" s="450"/>
      <c r="AJ794" s="449"/>
      <c r="AK794" s="451"/>
      <c r="AL794" s="450"/>
      <c r="AM794" s="449"/>
      <c r="AN794" s="451"/>
      <c r="AO794" s="450"/>
      <c r="AP794" s="449"/>
      <c r="AQ794" s="451"/>
      <c r="AR794" s="449"/>
      <c r="AS794" s="449"/>
      <c r="AT794" s="451"/>
      <c r="AU794" s="449"/>
      <c r="AV794" s="451"/>
      <c r="AW794" s="449"/>
      <c r="AX794" s="449"/>
      <c r="AY794" s="449"/>
      <c r="AZ794" s="449"/>
      <c r="BA794" s="449"/>
      <c r="BB794" s="449"/>
      <c r="BC794" s="449"/>
      <c r="BD794" s="449"/>
      <c r="BE794" s="449"/>
      <c r="BF794" s="449"/>
      <c r="BG794" s="449"/>
      <c r="BH794" s="449"/>
      <c r="BI794" s="449"/>
      <c r="BJ794" s="449"/>
      <c r="BK794" s="449"/>
      <c r="BL794" s="449"/>
      <c r="BM794" s="449"/>
      <c r="BN794" s="449"/>
    </row>
    <row r="795" spans="1:66" ht="13.15" x14ac:dyDescent="0.4">
      <c r="A795" s="430"/>
      <c r="B795" s="430"/>
      <c r="C795" s="430"/>
      <c r="D795" s="430"/>
      <c r="E795" s="430"/>
      <c r="F795" s="430"/>
      <c r="G795" s="430"/>
      <c r="H795" s="461"/>
      <c r="I795" s="438"/>
      <c r="J795" s="438"/>
      <c r="K795" s="438"/>
      <c r="L795" s="430"/>
      <c r="M795" s="430"/>
      <c r="N795" s="461"/>
      <c r="O795" s="461"/>
      <c r="P795" s="430"/>
      <c r="Q795" s="430"/>
      <c r="R795" s="430"/>
      <c r="S795" s="430"/>
      <c r="T795" s="430"/>
      <c r="U795" s="430"/>
      <c r="V795" s="430"/>
      <c r="W795" s="430"/>
      <c r="X795" s="449"/>
      <c r="Y795" s="449"/>
      <c r="Z795" s="450"/>
      <c r="AA795" s="449"/>
      <c r="AB795" s="451"/>
      <c r="AC795" s="450"/>
      <c r="AD795" s="449"/>
      <c r="AE795" s="451"/>
      <c r="AF795" s="450"/>
      <c r="AG795" s="449"/>
      <c r="AH795" s="451"/>
      <c r="AI795" s="450"/>
      <c r="AJ795" s="449"/>
      <c r="AK795" s="451"/>
      <c r="AL795" s="450"/>
      <c r="AM795" s="449"/>
      <c r="AN795" s="451"/>
      <c r="AO795" s="450"/>
      <c r="AP795" s="449"/>
      <c r="AQ795" s="451"/>
      <c r="AR795" s="449"/>
      <c r="AS795" s="449"/>
      <c r="AT795" s="451"/>
      <c r="AU795" s="449"/>
      <c r="AV795" s="451"/>
      <c r="AW795" s="449"/>
      <c r="AX795" s="449"/>
      <c r="AY795" s="449"/>
      <c r="AZ795" s="449"/>
      <c r="BA795" s="449"/>
      <c r="BB795" s="449"/>
      <c r="BC795" s="449"/>
      <c r="BD795" s="449"/>
      <c r="BE795" s="449"/>
      <c r="BF795" s="449"/>
      <c r="BG795" s="449"/>
      <c r="BH795" s="449"/>
      <c r="BI795" s="449"/>
      <c r="BJ795" s="449"/>
      <c r="BK795" s="449"/>
      <c r="BL795" s="449"/>
      <c r="BM795" s="449"/>
      <c r="BN795" s="449"/>
    </row>
    <row r="796" spans="1:66" ht="13.15" x14ac:dyDescent="0.4">
      <c r="A796" s="430"/>
      <c r="B796" s="430"/>
      <c r="C796" s="430"/>
      <c r="D796" s="430"/>
      <c r="E796" s="430"/>
      <c r="F796" s="430"/>
      <c r="G796" s="430"/>
      <c r="H796" s="461"/>
      <c r="I796" s="438"/>
      <c r="J796" s="438"/>
      <c r="K796" s="438"/>
      <c r="L796" s="430"/>
      <c r="M796" s="430"/>
      <c r="N796" s="461"/>
      <c r="O796" s="461"/>
      <c r="P796" s="430"/>
      <c r="Q796" s="430"/>
      <c r="R796" s="430"/>
      <c r="S796" s="430"/>
      <c r="T796" s="430"/>
      <c r="U796" s="430"/>
      <c r="V796" s="430"/>
      <c r="W796" s="430"/>
      <c r="X796" s="449"/>
      <c r="Y796" s="449"/>
      <c r="Z796" s="450"/>
      <c r="AA796" s="449"/>
      <c r="AB796" s="451"/>
      <c r="AC796" s="450"/>
      <c r="AD796" s="449"/>
      <c r="AE796" s="451"/>
      <c r="AF796" s="450"/>
      <c r="AG796" s="449"/>
      <c r="AH796" s="451"/>
      <c r="AI796" s="450"/>
      <c r="AJ796" s="449"/>
      <c r="AK796" s="451"/>
      <c r="AL796" s="450"/>
      <c r="AM796" s="449"/>
      <c r="AN796" s="451"/>
      <c r="AO796" s="450"/>
      <c r="AP796" s="449"/>
      <c r="AQ796" s="451"/>
      <c r="AR796" s="449"/>
      <c r="AS796" s="449"/>
      <c r="AT796" s="451"/>
      <c r="AU796" s="449"/>
      <c r="AV796" s="451"/>
      <c r="AW796" s="449"/>
      <c r="AX796" s="449"/>
      <c r="AY796" s="449"/>
      <c r="AZ796" s="449"/>
      <c r="BA796" s="449"/>
      <c r="BB796" s="449"/>
      <c r="BC796" s="449"/>
      <c r="BD796" s="449"/>
      <c r="BE796" s="449"/>
      <c r="BF796" s="449"/>
      <c r="BG796" s="449"/>
      <c r="BH796" s="449"/>
      <c r="BI796" s="449"/>
      <c r="BJ796" s="449"/>
      <c r="BK796" s="449"/>
      <c r="BL796" s="449"/>
      <c r="BM796" s="449"/>
      <c r="BN796" s="449"/>
    </row>
    <row r="797" spans="1:66" ht="13.15" x14ac:dyDescent="0.4">
      <c r="A797" s="430"/>
      <c r="B797" s="430"/>
      <c r="C797" s="430"/>
      <c r="D797" s="430"/>
      <c r="E797" s="430"/>
      <c r="F797" s="430"/>
      <c r="G797" s="430"/>
      <c r="H797" s="461"/>
      <c r="I797" s="438"/>
      <c r="J797" s="438"/>
      <c r="K797" s="438"/>
      <c r="L797" s="430"/>
      <c r="M797" s="430"/>
      <c r="N797" s="461"/>
      <c r="O797" s="461"/>
      <c r="P797" s="430"/>
      <c r="Q797" s="430"/>
      <c r="R797" s="430"/>
      <c r="S797" s="430"/>
      <c r="T797" s="430"/>
      <c r="U797" s="430"/>
      <c r="V797" s="430"/>
      <c r="W797" s="430"/>
      <c r="X797" s="449"/>
      <c r="Y797" s="449"/>
      <c r="Z797" s="450"/>
      <c r="AA797" s="449"/>
      <c r="AB797" s="451"/>
      <c r="AC797" s="450"/>
      <c r="AD797" s="449"/>
      <c r="AE797" s="451"/>
      <c r="AF797" s="450"/>
      <c r="AG797" s="449"/>
      <c r="AH797" s="451"/>
      <c r="AI797" s="450"/>
      <c r="AJ797" s="449"/>
      <c r="AK797" s="451"/>
      <c r="AL797" s="450"/>
      <c r="AM797" s="449"/>
      <c r="AN797" s="451"/>
      <c r="AO797" s="450"/>
      <c r="AP797" s="449"/>
      <c r="AQ797" s="451"/>
      <c r="AR797" s="449"/>
      <c r="AS797" s="449"/>
      <c r="AT797" s="451"/>
      <c r="AU797" s="449"/>
      <c r="AV797" s="451"/>
      <c r="AW797" s="449"/>
      <c r="AX797" s="449"/>
      <c r="AY797" s="449"/>
      <c r="AZ797" s="449"/>
      <c r="BA797" s="449"/>
      <c r="BB797" s="449"/>
      <c r="BC797" s="449"/>
      <c r="BD797" s="449"/>
      <c r="BE797" s="449"/>
      <c r="BF797" s="449"/>
      <c r="BG797" s="449"/>
      <c r="BH797" s="449"/>
      <c r="BI797" s="449"/>
      <c r="BJ797" s="449"/>
      <c r="BK797" s="449"/>
      <c r="BL797" s="449"/>
      <c r="BM797" s="449"/>
      <c r="BN797" s="449"/>
    </row>
    <row r="798" spans="1:66" ht="13.15" x14ac:dyDescent="0.4">
      <c r="A798" s="430"/>
      <c r="B798" s="430"/>
      <c r="C798" s="430"/>
      <c r="D798" s="430"/>
      <c r="E798" s="430"/>
      <c r="F798" s="430"/>
      <c r="G798" s="430"/>
      <c r="H798" s="461"/>
      <c r="I798" s="438"/>
      <c r="J798" s="438"/>
      <c r="K798" s="438"/>
      <c r="L798" s="430"/>
      <c r="M798" s="430"/>
      <c r="N798" s="461"/>
      <c r="O798" s="461"/>
      <c r="P798" s="430"/>
      <c r="Q798" s="430"/>
      <c r="R798" s="430"/>
      <c r="S798" s="430"/>
      <c r="T798" s="430"/>
      <c r="U798" s="430"/>
      <c r="V798" s="430"/>
      <c r="W798" s="430"/>
      <c r="X798" s="449"/>
      <c r="Y798" s="449"/>
      <c r="Z798" s="450"/>
      <c r="AA798" s="449"/>
      <c r="AB798" s="451"/>
      <c r="AC798" s="450"/>
      <c r="AD798" s="449"/>
      <c r="AE798" s="451"/>
      <c r="AF798" s="450"/>
      <c r="AG798" s="449"/>
      <c r="AH798" s="451"/>
      <c r="AI798" s="450"/>
      <c r="AJ798" s="449"/>
      <c r="AK798" s="451"/>
      <c r="AL798" s="450"/>
      <c r="AM798" s="449"/>
      <c r="AN798" s="451"/>
      <c r="AO798" s="450"/>
      <c r="AP798" s="449"/>
      <c r="AQ798" s="451"/>
      <c r="AR798" s="449"/>
      <c r="AS798" s="449"/>
      <c r="AT798" s="451"/>
      <c r="AU798" s="449"/>
      <c r="AV798" s="451"/>
      <c r="AW798" s="449"/>
      <c r="AX798" s="449"/>
      <c r="AY798" s="449"/>
      <c r="AZ798" s="449"/>
      <c r="BA798" s="449"/>
      <c r="BB798" s="449"/>
      <c r="BC798" s="449"/>
      <c r="BD798" s="449"/>
      <c r="BE798" s="449"/>
      <c r="BF798" s="449"/>
      <c r="BG798" s="449"/>
      <c r="BH798" s="449"/>
      <c r="BI798" s="449"/>
      <c r="BJ798" s="449"/>
      <c r="BK798" s="449"/>
      <c r="BL798" s="449"/>
      <c r="BM798" s="449"/>
      <c r="BN798" s="449"/>
    </row>
    <row r="799" spans="1:66" ht="13.15" x14ac:dyDescent="0.4">
      <c r="A799" s="430"/>
      <c r="B799" s="430"/>
      <c r="C799" s="430"/>
      <c r="D799" s="430"/>
      <c r="E799" s="430"/>
      <c r="F799" s="430"/>
      <c r="G799" s="430"/>
      <c r="H799" s="461"/>
      <c r="I799" s="438"/>
      <c r="J799" s="438"/>
      <c r="K799" s="438"/>
      <c r="L799" s="430"/>
      <c r="M799" s="430"/>
      <c r="N799" s="461"/>
      <c r="O799" s="461"/>
      <c r="P799" s="430"/>
      <c r="Q799" s="430"/>
      <c r="R799" s="430"/>
      <c r="S799" s="430"/>
      <c r="T799" s="430"/>
      <c r="U799" s="430"/>
      <c r="V799" s="430"/>
      <c r="W799" s="430"/>
      <c r="X799" s="449"/>
      <c r="Y799" s="449"/>
      <c r="Z799" s="450"/>
      <c r="AA799" s="449"/>
      <c r="AB799" s="451"/>
      <c r="AC799" s="450"/>
      <c r="AD799" s="449"/>
      <c r="AE799" s="451"/>
      <c r="AF799" s="450"/>
      <c r="AG799" s="449"/>
      <c r="AH799" s="451"/>
      <c r="AI799" s="450"/>
      <c r="AJ799" s="449"/>
      <c r="AK799" s="451"/>
      <c r="AL799" s="450"/>
      <c r="AM799" s="449"/>
      <c r="AN799" s="451"/>
      <c r="AO799" s="450"/>
      <c r="AP799" s="449"/>
      <c r="AQ799" s="451"/>
      <c r="AR799" s="449"/>
      <c r="AS799" s="449"/>
      <c r="AT799" s="451"/>
      <c r="AU799" s="449"/>
      <c r="AV799" s="451"/>
      <c r="AW799" s="449"/>
      <c r="AX799" s="449"/>
      <c r="AY799" s="449"/>
      <c r="AZ799" s="449"/>
      <c r="BA799" s="449"/>
      <c r="BB799" s="449"/>
      <c r="BC799" s="449"/>
      <c r="BD799" s="449"/>
      <c r="BE799" s="449"/>
      <c r="BF799" s="449"/>
      <c r="BG799" s="449"/>
      <c r="BH799" s="449"/>
      <c r="BI799" s="449"/>
      <c r="BJ799" s="449"/>
      <c r="BK799" s="449"/>
      <c r="BL799" s="449"/>
      <c r="BM799" s="449"/>
      <c r="BN799" s="449"/>
    </row>
    <row r="800" spans="1:66" ht="13.15" x14ac:dyDescent="0.4">
      <c r="A800" s="430"/>
      <c r="B800" s="430"/>
      <c r="C800" s="430"/>
      <c r="D800" s="430"/>
      <c r="E800" s="430"/>
      <c r="F800" s="430"/>
      <c r="G800" s="430"/>
      <c r="H800" s="461"/>
      <c r="I800" s="438"/>
      <c r="J800" s="438"/>
      <c r="K800" s="438"/>
      <c r="L800" s="430"/>
      <c r="M800" s="430"/>
      <c r="N800" s="461"/>
      <c r="O800" s="461"/>
      <c r="P800" s="430"/>
      <c r="Q800" s="430"/>
      <c r="R800" s="430"/>
      <c r="S800" s="430"/>
      <c r="T800" s="430"/>
      <c r="U800" s="430"/>
      <c r="V800" s="430"/>
      <c r="W800" s="430"/>
      <c r="X800" s="449"/>
      <c r="Y800" s="449"/>
      <c r="Z800" s="450"/>
      <c r="AA800" s="449"/>
      <c r="AB800" s="451"/>
      <c r="AC800" s="450"/>
      <c r="AD800" s="449"/>
      <c r="AE800" s="451"/>
      <c r="AF800" s="450"/>
      <c r="AG800" s="449"/>
      <c r="AH800" s="451"/>
      <c r="AI800" s="450"/>
      <c r="AJ800" s="449"/>
      <c r="AK800" s="451"/>
      <c r="AL800" s="450"/>
      <c r="AM800" s="449"/>
      <c r="AN800" s="451"/>
      <c r="AO800" s="450"/>
      <c r="AP800" s="449"/>
      <c r="AQ800" s="451"/>
      <c r="AR800" s="449"/>
      <c r="AS800" s="449"/>
      <c r="AT800" s="451"/>
      <c r="AU800" s="449"/>
      <c r="AV800" s="451"/>
      <c r="AW800" s="449"/>
      <c r="AX800" s="449"/>
      <c r="AY800" s="449"/>
      <c r="AZ800" s="449"/>
      <c r="BA800" s="449"/>
      <c r="BB800" s="449"/>
      <c r="BC800" s="449"/>
      <c r="BD800" s="449"/>
      <c r="BE800" s="449"/>
      <c r="BF800" s="449"/>
      <c r="BG800" s="449"/>
      <c r="BH800" s="449"/>
      <c r="BI800" s="449"/>
      <c r="BJ800" s="449"/>
      <c r="BK800" s="449"/>
      <c r="BL800" s="449"/>
      <c r="BM800" s="449"/>
      <c r="BN800" s="449"/>
    </row>
    <row r="801" spans="1:66" ht="13.15" x14ac:dyDescent="0.4">
      <c r="A801" s="430"/>
      <c r="B801" s="430"/>
      <c r="C801" s="430"/>
      <c r="D801" s="430"/>
      <c r="E801" s="430"/>
      <c r="F801" s="430"/>
      <c r="G801" s="430"/>
      <c r="H801" s="461"/>
      <c r="I801" s="438"/>
      <c r="J801" s="438"/>
      <c r="K801" s="438"/>
      <c r="L801" s="430"/>
      <c r="M801" s="430"/>
      <c r="N801" s="461"/>
      <c r="O801" s="461"/>
      <c r="P801" s="430"/>
      <c r="Q801" s="430"/>
      <c r="R801" s="430"/>
      <c r="S801" s="430"/>
      <c r="T801" s="430"/>
      <c r="U801" s="430"/>
      <c r="V801" s="430"/>
      <c r="W801" s="430"/>
      <c r="X801" s="449"/>
      <c r="Y801" s="449"/>
      <c r="Z801" s="450"/>
      <c r="AA801" s="449"/>
      <c r="AB801" s="451"/>
      <c r="AC801" s="450"/>
      <c r="AD801" s="449"/>
      <c r="AE801" s="451"/>
      <c r="AF801" s="450"/>
      <c r="AG801" s="449"/>
      <c r="AH801" s="451"/>
      <c r="AI801" s="450"/>
      <c r="AJ801" s="449"/>
      <c r="AK801" s="451"/>
      <c r="AL801" s="450"/>
      <c r="AM801" s="449"/>
      <c r="AN801" s="451"/>
      <c r="AO801" s="450"/>
      <c r="AP801" s="449"/>
      <c r="AQ801" s="451"/>
      <c r="AR801" s="449"/>
      <c r="AS801" s="449"/>
      <c r="AT801" s="451"/>
      <c r="AU801" s="449"/>
      <c r="AV801" s="451"/>
      <c r="AW801" s="449"/>
      <c r="AX801" s="449"/>
      <c r="AY801" s="449"/>
      <c r="AZ801" s="449"/>
      <c r="BA801" s="449"/>
      <c r="BB801" s="449"/>
      <c r="BC801" s="449"/>
      <c r="BD801" s="449"/>
      <c r="BE801" s="449"/>
      <c r="BF801" s="449"/>
      <c r="BG801" s="449"/>
      <c r="BH801" s="449"/>
      <c r="BI801" s="449"/>
      <c r="BJ801" s="449"/>
      <c r="BK801" s="449"/>
      <c r="BL801" s="449"/>
      <c r="BM801" s="449"/>
      <c r="BN801" s="449"/>
    </row>
    <row r="802" spans="1:66" ht="13.15" x14ac:dyDescent="0.4">
      <c r="A802" s="430"/>
      <c r="B802" s="430"/>
      <c r="C802" s="430"/>
      <c r="D802" s="430"/>
      <c r="E802" s="430"/>
      <c r="F802" s="430"/>
      <c r="G802" s="430"/>
      <c r="H802" s="461"/>
      <c r="I802" s="438"/>
      <c r="J802" s="438"/>
      <c r="K802" s="438"/>
      <c r="L802" s="430"/>
      <c r="M802" s="430"/>
      <c r="N802" s="461"/>
      <c r="O802" s="461"/>
      <c r="P802" s="430"/>
      <c r="Q802" s="430"/>
      <c r="R802" s="430"/>
      <c r="S802" s="430"/>
      <c r="T802" s="430"/>
      <c r="U802" s="430"/>
      <c r="V802" s="430"/>
      <c r="W802" s="430"/>
      <c r="X802" s="449"/>
      <c r="Y802" s="449"/>
      <c r="Z802" s="450"/>
      <c r="AA802" s="449"/>
      <c r="AB802" s="451"/>
      <c r="AC802" s="450"/>
      <c r="AD802" s="449"/>
      <c r="AE802" s="451"/>
      <c r="AF802" s="450"/>
      <c r="AG802" s="449"/>
      <c r="AH802" s="451"/>
      <c r="AI802" s="450"/>
      <c r="AJ802" s="449"/>
      <c r="AK802" s="451"/>
      <c r="AL802" s="450"/>
      <c r="AM802" s="449"/>
      <c r="AN802" s="451"/>
      <c r="AO802" s="450"/>
      <c r="AP802" s="449"/>
      <c r="AQ802" s="451"/>
      <c r="AR802" s="449"/>
      <c r="AS802" s="449"/>
      <c r="AT802" s="451"/>
      <c r="AU802" s="449"/>
      <c r="AV802" s="451"/>
      <c r="AW802" s="449"/>
      <c r="AX802" s="449"/>
      <c r="AY802" s="449"/>
      <c r="AZ802" s="449"/>
      <c r="BA802" s="449"/>
      <c r="BB802" s="449"/>
      <c r="BC802" s="449"/>
      <c r="BD802" s="449"/>
      <c r="BE802" s="449"/>
      <c r="BF802" s="449"/>
      <c r="BG802" s="449"/>
      <c r="BH802" s="449"/>
      <c r="BI802" s="449"/>
      <c r="BJ802" s="449"/>
      <c r="BK802" s="449"/>
      <c r="BL802" s="449"/>
      <c r="BM802" s="449"/>
      <c r="BN802" s="449"/>
    </row>
    <row r="803" spans="1:66" ht="13.15" x14ac:dyDescent="0.4">
      <c r="A803" s="430"/>
      <c r="B803" s="430"/>
      <c r="C803" s="430"/>
      <c r="D803" s="430"/>
      <c r="E803" s="430"/>
      <c r="F803" s="430"/>
      <c r="G803" s="430"/>
      <c r="H803" s="461"/>
      <c r="I803" s="438"/>
      <c r="J803" s="438"/>
      <c r="K803" s="438"/>
      <c r="L803" s="430"/>
      <c r="M803" s="430"/>
      <c r="N803" s="461"/>
      <c r="O803" s="461"/>
      <c r="P803" s="430"/>
      <c r="Q803" s="430"/>
      <c r="R803" s="430"/>
      <c r="S803" s="430"/>
      <c r="T803" s="430"/>
      <c r="U803" s="430"/>
      <c r="V803" s="430"/>
      <c r="W803" s="430"/>
      <c r="X803" s="449"/>
      <c r="Y803" s="449"/>
      <c r="Z803" s="450"/>
      <c r="AA803" s="449"/>
      <c r="AB803" s="451"/>
      <c r="AC803" s="450"/>
      <c r="AD803" s="449"/>
      <c r="AE803" s="451"/>
      <c r="AF803" s="450"/>
      <c r="AG803" s="449"/>
      <c r="AH803" s="451"/>
      <c r="AI803" s="450"/>
      <c r="AJ803" s="449"/>
      <c r="AK803" s="451"/>
      <c r="AL803" s="450"/>
      <c r="AM803" s="449"/>
      <c r="AN803" s="451"/>
      <c r="AO803" s="450"/>
      <c r="AP803" s="449"/>
      <c r="AQ803" s="451"/>
      <c r="AR803" s="449"/>
      <c r="AS803" s="449"/>
      <c r="AT803" s="451"/>
      <c r="AU803" s="449"/>
      <c r="AV803" s="451"/>
      <c r="AW803" s="449"/>
      <c r="AX803" s="449"/>
      <c r="AY803" s="449"/>
      <c r="AZ803" s="449"/>
      <c r="BA803" s="449"/>
      <c r="BB803" s="449"/>
      <c r="BC803" s="449"/>
      <c r="BD803" s="449"/>
      <c r="BE803" s="449"/>
      <c r="BF803" s="449"/>
      <c r="BG803" s="449"/>
      <c r="BH803" s="449"/>
      <c r="BI803" s="449"/>
      <c r="BJ803" s="449"/>
      <c r="BK803" s="449"/>
      <c r="BL803" s="449"/>
      <c r="BM803" s="449"/>
      <c r="BN803" s="449"/>
    </row>
    <row r="804" spans="1:66" ht="13.15" x14ac:dyDescent="0.4">
      <c r="A804" s="430"/>
      <c r="B804" s="430"/>
      <c r="C804" s="430"/>
      <c r="D804" s="430"/>
      <c r="E804" s="430"/>
      <c r="F804" s="430"/>
      <c r="G804" s="430"/>
      <c r="H804" s="461"/>
      <c r="I804" s="438"/>
      <c r="J804" s="438"/>
      <c r="K804" s="438"/>
      <c r="L804" s="430"/>
      <c r="M804" s="430"/>
      <c r="N804" s="461"/>
      <c r="O804" s="461"/>
      <c r="P804" s="430"/>
      <c r="Q804" s="430"/>
      <c r="R804" s="430"/>
      <c r="S804" s="430"/>
      <c r="T804" s="430"/>
      <c r="U804" s="430"/>
      <c r="V804" s="430"/>
      <c r="W804" s="430"/>
      <c r="X804" s="449"/>
      <c r="Y804" s="449"/>
      <c r="Z804" s="450"/>
      <c r="AA804" s="449"/>
      <c r="AB804" s="451"/>
      <c r="AC804" s="450"/>
      <c r="AD804" s="449"/>
      <c r="AE804" s="451"/>
      <c r="AF804" s="450"/>
      <c r="AG804" s="449"/>
      <c r="AH804" s="451"/>
      <c r="AI804" s="450"/>
      <c r="AJ804" s="449"/>
      <c r="AK804" s="451"/>
      <c r="AL804" s="450"/>
      <c r="AM804" s="449"/>
      <c r="AN804" s="451"/>
      <c r="AO804" s="450"/>
      <c r="AP804" s="449"/>
      <c r="AQ804" s="451"/>
      <c r="AR804" s="449"/>
      <c r="AS804" s="449"/>
      <c r="AT804" s="451"/>
      <c r="AU804" s="449"/>
      <c r="AV804" s="451"/>
      <c r="AW804" s="449"/>
      <c r="AX804" s="449"/>
      <c r="AY804" s="449"/>
      <c r="AZ804" s="449"/>
      <c r="BA804" s="449"/>
      <c r="BB804" s="449"/>
      <c r="BC804" s="449"/>
      <c r="BD804" s="449"/>
      <c r="BE804" s="449"/>
      <c r="BF804" s="449"/>
      <c r="BG804" s="449"/>
      <c r="BH804" s="449"/>
      <c r="BI804" s="449"/>
      <c r="BJ804" s="449"/>
      <c r="BK804" s="449"/>
      <c r="BL804" s="449"/>
      <c r="BM804" s="449"/>
      <c r="BN804" s="449"/>
    </row>
    <row r="805" spans="1:66" ht="13.15" x14ac:dyDescent="0.4">
      <c r="A805" s="430"/>
      <c r="B805" s="430"/>
      <c r="C805" s="430"/>
      <c r="D805" s="430"/>
      <c r="E805" s="430"/>
      <c r="F805" s="430"/>
      <c r="G805" s="430"/>
      <c r="H805" s="461"/>
      <c r="I805" s="438"/>
      <c r="J805" s="438"/>
      <c r="K805" s="438"/>
      <c r="L805" s="430"/>
      <c r="M805" s="430"/>
      <c r="N805" s="461"/>
      <c r="O805" s="461"/>
      <c r="P805" s="430"/>
      <c r="Q805" s="430"/>
      <c r="R805" s="430"/>
      <c r="S805" s="430"/>
      <c r="T805" s="430"/>
      <c r="U805" s="430"/>
      <c r="V805" s="430"/>
      <c r="W805" s="430"/>
      <c r="X805" s="449"/>
      <c r="Y805" s="449"/>
      <c r="Z805" s="450"/>
      <c r="AA805" s="449"/>
      <c r="AB805" s="451"/>
      <c r="AC805" s="450"/>
      <c r="AD805" s="449"/>
      <c r="AE805" s="451"/>
      <c r="AF805" s="450"/>
      <c r="AG805" s="449"/>
      <c r="AH805" s="451"/>
      <c r="AI805" s="450"/>
      <c r="AJ805" s="449"/>
      <c r="AK805" s="451"/>
      <c r="AL805" s="450"/>
      <c r="AM805" s="449"/>
      <c r="AN805" s="451"/>
      <c r="AO805" s="450"/>
      <c r="AP805" s="449"/>
      <c r="AQ805" s="451"/>
      <c r="AR805" s="449"/>
      <c r="AS805" s="449"/>
      <c r="AT805" s="451"/>
      <c r="AU805" s="449"/>
      <c r="AV805" s="451"/>
      <c r="AW805" s="449"/>
      <c r="AX805" s="449"/>
      <c r="AY805" s="449"/>
      <c r="AZ805" s="449"/>
      <c r="BA805" s="449"/>
      <c r="BB805" s="449"/>
      <c r="BC805" s="449"/>
      <c r="BD805" s="449"/>
      <c r="BE805" s="449"/>
      <c r="BF805" s="449"/>
      <c r="BG805" s="449"/>
      <c r="BH805" s="449"/>
      <c r="BI805" s="449"/>
      <c r="BJ805" s="449"/>
      <c r="BK805" s="449"/>
      <c r="BL805" s="449"/>
      <c r="BM805" s="449"/>
      <c r="BN805" s="449"/>
    </row>
    <row r="806" spans="1:66" ht="13.15" x14ac:dyDescent="0.4">
      <c r="A806" s="430"/>
      <c r="B806" s="430"/>
      <c r="C806" s="430"/>
      <c r="D806" s="430"/>
      <c r="E806" s="430"/>
      <c r="F806" s="430"/>
      <c r="G806" s="430"/>
      <c r="H806" s="461"/>
      <c r="I806" s="438"/>
      <c r="J806" s="438"/>
      <c r="K806" s="438"/>
      <c r="L806" s="430"/>
      <c r="M806" s="430"/>
      <c r="N806" s="461"/>
      <c r="O806" s="461"/>
      <c r="P806" s="430"/>
      <c r="Q806" s="430"/>
      <c r="R806" s="430"/>
      <c r="S806" s="430"/>
      <c r="T806" s="430"/>
      <c r="U806" s="430"/>
      <c r="V806" s="430"/>
      <c r="W806" s="430"/>
      <c r="X806" s="449"/>
      <c r="Y806" s="449"/>
      <c r="Z806" s="450"/>
      <c r="AA806" s="449"/>
      <c r="AB806" s="451"/>
      <c r="AC806" s="450"/>
      <c r="AD806" s="449"/>
      <c r="AE806" s="451"/>
      <c r="AF806" s="450"/>
      <c r="AG806" s="449"/>
      <c r="AH806" s="451"/>
      <c r="AI806" s="450"/>
      <c r="AJ806" s="449"/>
      <c r="AK806" s="451"/>
      <c r="AL806" s="450"/>
      <c r="AM806" s="449"/>
      <c r="AN806" s="451"/>
      <c r="AO806" s="450"/>
      <c r="AP806" s="449"/>
      <c r="AQ806" s="451"/>
      <c r="AR806" s="449"/>
      <c r="AS806" s="449"/>
      <c r="AT806" s="451"/>
      <c r="AU806" s="449"/>
      <c r="AV806" s="451"/>
      <c r="AW806" s="449"/>
      <c r="AX806" s="449"/>
      <c r="AY806" s="449"/>
      <c r="AZ806" s="449"/>
      <c r="BA806" s="449"/>
      <c r="BB806" s="449"/>
      <c r="BC806" s="449"/>
      <c r="BD806" s="449"/>
      <c r="BE806" s="449"/>
      <c r="BF806" s="449"/>
      <c r="BG806" s="449"/>
      <c r="BH806" s="449"/>
      <c r="BI806" s="449"/>
      <c r="BJ806" s="449"/>
      <c r="BK806" s="449"/>
      <c r="BL806" s="449"/>
      <c r="BM806" s="449"/>
      <c r="BN806" s="449"/>
    </row>
    <row r="807" spans="1:66" ht="13.15" x14ac:dyDescent="0.4">
      <c r="A807" s="430"/>
      <c r="B807" s="430"/>
      <c r="C807" s="430"/>
      <c r="D807" s="430"/>
      <c r="E807" s="430"/>
      <c r="F807" s="430"/>
      <c r="G807" s="430"/>
      <c r="H807" s="461"/>
      <c r="I807" s="438"/>
      <c r="J807" s="438"/>
      <c r="K807" s="438"/>
      <c r="L807" s="430"/>
      <c r="M807" s="430"/>
      <c r="N807" s="461"/>
      <c r="O807" s="461"/>
      <c r="P807" s="430"/>
      <c r="Q807" s="430"/>
      <c r="R807" s="430"/>
      <c r="S807" s="430"/>
      <c r="T807" s="430"/>
      <c r="U807" s="430"/>
      <c r="V807" s="430"/>
      <c r="W807" s="430"/>
      <c r="X807" s="449"/>
      <c r="Y807" s="449"/>
      <c r="Z807" s="450"/>
      <c r="AA807" s="449"/>
      <c r="AB807" s="451"/>
      <c r="AC807" s="450"/>
      <c r="AD807" s="449"/>
      <c r="AE807" s="451"/>
      <c r="AF807" s="450"/>
      <c r="AG807" s="449"/>
      <c r="AH807" s="451"/>
      <c r="AI807" s="450"/>
      <c r="AJ807" s="449"/>
      <c r="AK807" s="451"/>
      <c r="AL807" s="450"/>
      <c r="AM807" s="449"/>
      <c r="AN807" s="451"/>
      <c r="AO807" s="450"/>
      <c r="AP807" s="449"/>
      <c r="AQ807" s="451"/>
      <c r="AR807" s="449"/>
      <c r="AS807" s="449"/>
      <c r="AT807" s="451"/>
      <c r="AU807" s="449"/>
      <c r="AV807" s="451"/>
      <c r="AW807" s="449"/>
      <c r="AX807" s="449"/>
      <c r="AY807" s="449"/>
      <c r="AZ807" s="449"/>
      <c r="BA807" s="449"/>
      <c r="BB807" s="449"/>
      <c r="BC807" s="449"/>
      <c r="BD807" s="449"/>
      <c r="BE807" s="449"/>
      <c r="BF807" s="449"/>
      <c r="BG807" s="449"/>
      <c r="BH807" s="449"/>
      <c r="BI807" s="449"/>
      <c r="BJ807" s="449"/>
      <c r="BK807" s="449"/>
      <c r="BL807" s="449"/>
      <c r="BM807" s="449"/>
      <c r="BN807" s="449"/>
    </row>
    <row r="808" spans="1:66" ht="13.15" x14ac:dyDescent="0.4">
      <c r="A808" s="430"/>
      <c r="B808" s="430"/>
      <c r="C808" s="430"/>
      <c r="D808" s="430"/>
      <c r="E808" s="430"/>
      <c r="F808" s="430"/>
      <c r="G808" s="430"/>
      <c r="H808" s="461"/>
      <c r="I808" s="438"/>
      <c r="J808" s="438"/>
      <c r="K808" s="438"/>
      <c r="L808" s="430"/>
      <c r="M808" s="430"/>
      <c r="N808" s="461"/>
      <c r="O808" s="461"/>
      <c r="P808" s="430"/>
      <c r="Q808" s="430"/>
      <c r="R808" s="430"/>
      <c r="S808" s="430"/>
      <c r="T808" s="430"/>
      <c r="U808" s="430"/>
      <c r="V808" s="430"/>
      <c r="W808" s="430"/>
      <c r="X808" s="449"/>
      <c r="Y808" s="449"/>
      <c r="Z808" s="450"/>
      <c r="AA808" s="449"/>
      <c r="AB808" s="451"/>
      <c r="AC808" s="450"/>
      <c r="AD808" s="449"/>
      <c r="AE808" s="451"/>
      <c r="AF808" s="450"/>
      <c r="AG808" s="449"/>
      <c r="AH808" s="451"/>
      <c r="AI808" s="450"/>
      <c r="AJ808" s="449"/>
      <c r="AK808" s="451"/>
      <c r="AL808" s="450"/>
      <c r="AM808" s="449"/>
      <c r="AN808" s="451"/>
      <c r="AO808" s="450"/>
      <c r="AP808" s="449"/>
      <c r="AQ808" s="451"/>
      <c r="AR808" s="449"/>
      <c r="AS808" s="449"/>
      <c r="AT808" s="451"/>
      <c r="AU808" s="449"/>
      <c r="AV808" s="451"/>
      <c r="AW808" s="449"/>
      <c r="AX808" s="449"/>
      <c r="AY808" s="449"/>
      <c r="AZ808" s="449"/>
      <c r="BA808" s="449"/>
      <c r="BB808" s="449"/>
      <c r="BC808" s="449"/>
      <c r="BD808" s="449"/>
      <c r="BE808" s="449"/>
      <c r="BF808" s="449"/>
      <c r="BG808" s="449"/>
      <c r="BH808" s="449"/>
      <c r="BI808" s="449"/>
      <c r="BJ808" s="449"/>
      <c r="BK808" s="449"/>
      <c r="BL808" s="449"/>
      <c r="BM808" s="449"/>
      <c r="BN808" s="449"/>
    </row>
    <row r="809" spans="1:66" ht="13.15" x14ac:dyDescent="0.4">
      <c r="A809" s="430"/>
      <c r="B809" s="430"/>
      <c r="C809" s="430"/>
      <c r="D809" s="430"/>
      <c r="E809" s="430"/>
      <c r="F809" s="430"/>
      <c r="G809" s="430"/>
      <c r="H809" s="461"/>
      <c r="I809" s="438"/>
      <c r="J809" s="438"/>
      <c r="K809" s="438"/>
      <c r="L809" s="430"/>
      <c r="M809" s="430"/>
      <c r="N809" s="461"/>
      <c r="O809" s="461"/>
      <c r="P809" s="430"/>
      <c r="Q809" s="430"/>
      <c r="R809" s="430"/>
      <c r="S809" s="430"/>
      <c r="T809" s="430"/>
      <c r="U809" s="430"/>
      <c r="V809" s="430"/>
      <c r="W809" s="430"/>
      <c r="X809" s="449"/>
      <c r="Y809" s="449"/>
      <c r="Z809" s="450"/>
      <c r="AA809" s="449"/>
      <c r="AB809" s="451"/>
      <c r="AC809" s="450"/>
      <c r="AD809" s="449"/>
      <c r="AE809" s="451"/>
      <c r="AF809" s="450"/>
      <c r="AG809" s="449"/>
      <c r="AH809" s="451"/>
      <c r="AI809" s="450"/>
      <c r="AJ809" s="449"/>
      <c r="AK809" s="451"/>
      <c r="AL809" s="450"/>
      <c r="AM809" s="449"/>
      <c r="AN809" s="451"/>
      <c r="AO809" s="450"/>
      <c r="AP809" s="449"/>
      <c r="AQ809" s="451"/>
      <c r="AR809" s="449"/>
      <c r="AS809" s="449"/>
      <c r="AT809" s="451"/>
      <c r="AU809" s="449"/>
      <c r="AV809" s="451"/>
      <c r="AW809" s="449"/>
      <c r="AX809" s="449"/>
      <c r="AY809" s="449"/>
      <c r="AZ809" s="449"/>
      <c r="BA809" s="449"/>
      <c r="BB809" s="449"/>
      <c r="BC809" s="449"/>
      <c r="BD809" s="449"/>
      <c r="BE809" s="449"/>
      <c r="BF809" s="449"/>
      <c r="BG809" s="449"/>
      <c r="BH809" s="449"/>
      <c r="BI809" s="449"/>
      <c r="BJ809" s="449"/>
      <c r="BK809" s="449"/>
      <c r="BL809" s="449"/>
      <c r="BM809" s="449"/>
      <c r="BN809" s="449"/>
    </row>
    <row r="810" spans="1:66" ht="13.15" x14ac:dyDescent="0.4">
      <c r="A810" s="430"/>
      <c r="B810" s="430"/>
      <c r="C810" s="430"/>
      <c r="D810" s="430"/>
      <c r="E810" s="430"/>
      <c r="F810" s="430"/>
      <c r="G810" s="430"/>
      <c r="H810" s="461"/>
      <c r="I810" s="438"/>
      <c r="J810" s="438"/>
      <c r="K810" s="438"/>
      <c r="L810" s="430"/>
      <c r="M810" s="430"/>
      <c r="N810" s="461"/>
      <c r="O810" s="461"/>
      <c r="P810" s="430"/>
      <c r="Q810" s="430"/>
      <c r="R810" s="430"/>
      <c r="S810" s="430"/>
      <c r="T810" s="430"/>
      <c r="U810" s="430"/>
      <c r="V810" s="430"/>
      <c r="W810" s="430"/>
      <c r="X810" s="449"/>
      <c r="Y810" s="449"/>
      <c r="Z810" s="450"/>
      <c r="AA810" s="449"/>
      <c r="AB810" s="451"/>
      <c r="AC810" s="450"/>
      <c r="AD810" s="449"/>
      <c r="AE810" s="451"/>
      <c r="AF810" s="450"/>
      <c r="AG810" s="449"/>
      <c r="AH810" s="451"/>
      <c r="AI810" s="450"/>
      <c r="AJ810" s="449"/>
      <c r="AK810" s="451"/>
      <c r="AL810" s="450"/>
      <c r="AM810" s="449"/>
      <c r="AN810" s="451"/>
      <c r="AO810" s="450"/>
      <c r="AP810" s="449"/>
      <c r="AQ810" s="451"/>
      <c r="AR810" s="449"/>
      <c r="AS810" s="449"/>
      <c r="AT810" s="451"/>
      <c r="AU810" s="449"/>
      <c r="AV810" s="451"/>
      <c r="AW810" s="449"/>
      <c r="AX810" s="449"/>
      <c r="AY810" s="449"/>
      <c r="AZ810" s="449"/>
      <c r="BA810" s="449"/>
      <c r="BB810" s="449"/>
      <c r="BC810" s="449"/>
      <c r="BD810" s="449"/>
      <c r="BE810" s="449"/>
      <c r="BF810" s="449"/>
      <c r="BG810" s="449"/>
      <c r="BH810" s="449"/>
      <c r="BI810" s="449"/>
      <c r="BJ810" s="449"/>
      <c r="BK810" s="449"/>
      <c r="BL810" s="449"/>
      <c r="BM810" s="449"/>
      <c r="BN810" s="449"/>
    </row>
    <row r="811" spans="1:66" ht="13.15" x14ac:dyDescent="0.4">
      <c r="A811" s="430"/>
      <c r="B811" s="430"/>
      <c r="C811" s="430"/>
      <c r="D811" s="430"/>
      <c r="E811" s="430"/>
      <c r="F811" s="430"/>
      <c r="G811" s="430"/>
      <c r="H811" s="461"/>
      <c r="I811" s="438"/>
      <c r="J811" s="438"/>
      <c r="K811" s="438"/>
      <c r="L811" s="430"/>
      <c r="M811" s="430"/>
      <c r="N811" s="461"/>
      <c r="O811" s="461"/>
      <c r="P811" s="430"/>
      <c r="Q811" s="430"/>
      <c r="R811" s="430"/>
      <c r="S811" s="430"/>
      <c r="T811" s="430"/>
      <c r="U811" s="430"/>
      <c r="V811" s="430"/>
      <c r="W811" s="430"/>
      <c r="X811" s="449"/>
      <c r="Y811" s="449"/>
      <c r="Z811" s="450"/>
      <c r="AA811" s="449"/>
      <c r="AB811" s="451"/>
      <c r="AC811" s="450"/>
      <c r="AD811" s="449"/>
      <c r="AE811" s="451"/>
      <c r="AF811" s="450"/>
      <c r="AG811" s="449"/>
      <c r="AH811" s="451"/>
      <c r="AI811" s="450"/>
      <c r="AJ811" s="449"/>
      <c r="AK811" s="451"/>
      <c r="AL811" s="450"/>
      <c r="AM811" s="449"/>
      <c r="AN811" s="451"/>
      <c r="AO811" s="450"/>
      <c r="AP811" s="449"/>
      <c r="AQ811" s="451"/>
      <c r="AR811" s="449"/>
      <c r="AS811" s="449"/>
      <c r="AT811" s="451"/>
      <c r="AU811" s="449"/>
      <c r="AV811" s="451"/>
      <c r="AW811" s="449"/>
      <c r="AX811" s="449"/>
      <c r="AY811" s="449"/>
      <c r="AZ811" s="449"/>
      <c r="BA811" s="449"/>
      <c r="BB811" s="449"/>
      <c r="BC811" s="449"/>
      <c r="BD811" s="449"/>
      <c r="BE811" s="449"/>
      <c r="BF811" s="449"/>
      <c r="BG811" s="449"/>
      <c r="BH811" s="449"/>
      <c r="BI811" s="449"/>
      <c r="BJ811" s="449"/>
      <c r="BK811" s="449"/>
      <c r="BL811" s="449"/>
      <c r="BM811" s="449"/>
      <c r="BN811" s="449"/>
    </row>
    <row r="812" spans="1:66" ht="13.15" x14ac:dyDescent="0.4">
      <c r="A812" s="430"/>
      <c r="B812" s="430"/>
      <c r="C812" s="430"/>
      <c r="D812" s="430"/>
      <c r="E812" s="430"/>
      <c r="F812" s="430"/>
      <c r="G812" s="430"/>
      <c r="H812" s="461"/>
      <c r="I812" s="438"/>
      <c r="J812" s="438"/>
      <c r="K812" s="438"/>
      <c r="L812" s="430"/>
      <c r="M812" s="430"/>
      <c r="N812" s="461"/>
      <c r="O812" s="461"/>
      <c r="P812" s="430"/>
      <c r="Q812" s="430"/>
      <c r="R812" s="430"/>
      <c r="S812" s="430"/>
      <c r="T812" s="430"/>
      <c r="U812" s="430"/>
      <c r="V812" s="430"/>
      <c r="W812" s="430"/>
      <c r="X812" s="449"/>
      <c r="Y812" s="449"/>
      <c r="Z812" s="450"/>
      <c r="AA812" s="449"/>
      <c r="AB812" s="451"/>
      <c r="AC812" s="450"/>
      <c r="AD812" s="449"/>
      <c r="AE812" s="451"/>
      <c r="AF812" s="450"/>
      <c r="AG812" s="449"/>
      <c r="AH812" s="451"/>
      <c r="AI812" s="450"/>
      <c r="AJ812" s="449"/>
      <c r="AK812" s="451"/>
      <c r="AL812" s="450"/>
      <c r="AM812" s="449"/>
      <c r="AN812" s="451"/>
      <c r="AO812" s="450"/>
      <c r="AP812" s="449"/>
      <c r="AQ812" s="451"/>
      <c r="AR812" s="449"/>
      <c r="AS812" s="449"/>
      <c r="AT812" s="451"/>
      <c r="AU812" s="449"/>
      <c r="AV812" s="451"/>
      <c r="AW812" s="449"/>
      <c r="AX812" s="449"/>
      <c r="AY812" s="449"/>
      <c r="AZ812" s="449"/>
      <c r="BA812" s="449"/>
      <c r="BB812" s="449"/>
      <c r="BC812" s="449"/>
      <c r="BD812" s="449"/>
      <c r="BE812" s="449"/>
      <c r="BF812" s="449"/>
      <c r="BG812" s="449"/>
      <c r="BH812" s="449"/>
      <c r="BI812" s="449"/>
      <c r="BJ812" s="449"/>
      <c r="BK812" s="449"/>
      <c r="BL812" s="449"/>
      <c r="BM812" s="449"/>
      <c r="BN812" s="449"/>
    </row>
    <row r="813" spans="1:66" ht="13.15" x14ac:dyDescent="0.4">
      <c r="A813" s="430"/>
      <c r="B813" s="430"/>
      <c r="C813" s="430"/>
      <c r="D813" s="430"/>
      <c r="E813" s="430"/>
      <c r="F813" s="430"/>
      <c r="G813" s="430"/>
      <c r="H813" s="461"/>
      <c r="I813" s="438"/>
      <c r="J813" s="438"/>
      <c r="K813" s="438"/>
      <c r="L813" s="430"/>
      <c r="M813" s="430"/>
      <c r="N813" s="461"/>
      <c r="O813" s="461"/>
      <c r="P813" s="430"/>
      <c r="Q813" s="430"/>
      <c r="R813" s="430"/>
      <c r="S813" s="430"/>
      <c r="T813" s="430"/>
      <c r="U813" s="430"/>
      <c r="V813" s="430"/>
      <c r="W813" s="430"/>
      <c r="X813" s="449"/>
      <c r="Y813" s="449"/>
      <c r="Z813" s="450"/>
      <c r="AA813" s="449"/>
      <c r="AB813" s="451"/>
      <c r="AC813" s="450"/>
      <c r="AD813" s="449"/>
      <c r="AE813" s="451"/>
      <c r="AF813" s="450"/>
      <c r="AG813" s="449"/>
      <c r="AH813" s="451"/>
      <c r="AI813" s="450"/>
      <c r="AJ813" s="449"/>
      <c r="AK813" s="451"/>
      <c r="AL813" s="450"/>
      <c r="AM813" s="449"/>
      <c r="AN813" s="451"/>
      <c r="AO813" s="450"/>
      <c r="AP813" s="449"/>
      <c r="AQ813" s="451"/>
      <c r="AR813" s="449"/>
      <c r="AS813" s="449"/>
      <c r="AT813" s="451"/>
      <c r="AU813" s="449"/>
      <c r="AV813" s="451"/>
      <c r="AW813" s="449"/>
      <c r="AX813" s="449"/>
      <c r="AY813" s="449"/>
      <c r="AZ813" s="449"/>
      <c r="BA813" s="449"/>
      <c r="BB813" s="449"/>
      <c r="BC813" s="449"/>
      <c r="BD813" s="449"/>
      <c r="BE813" s="449"/>
      <c r="BF813" s="449"/>
      <c r="BG813" s="449"/>
      <c r="BH813" s="449"/>
      <c r="BI813" s="449"/>
      <c r="BJ813" s="449"/>
      <c r="BK813" s="449"/>
      <c r="BL813" s="449"/>
      <c r="BM813" s="449"/>
      <c r="BN813" s="449"/>
    </row>
    <row r="814" spans="1:66" ht="13.15" x14ac:dyDescent="0.4">
      <c r="A814" s="430"/>
      <c r="B814" s="430"/>
      <c r="C814" s="430"/>
      <c r="D814" s="430"/>
      <c r="E814" s="430"/>
      <c r="F814" s="430"/>
      <c r="G814" s="430"/>
      <c r="H814" s="461"/>
      <c r="I814" s="438"/>
      <c r="J814" s="438"/>
      <c r="K814" s="438"/>
      <c r="L814" s="430"/>
      <c r="M814" s="430"/>
      <c r="N814" s="461"/>
      <c r="O814" s="461"/>
      <c r="P814" s="430"/>
      <c r="Q814" s="430"/>
      <c r="R814" s="430"/>
      <c r="S814" s="430"/>
      <c r="T814" s="430"/>
      <c r="U814" s="430"/>
      <c r="V814" s="430"/>
      <c r="W814" s="430"/>
      <c r="X814" s="449"/>
      <c r="Y814" s="449"/>
      <c r="Z814" s="450"/>
      <c r="AA814" s="449"/>
      <c r="AB814" s="451"/>
      <c r="AC814" s="450"/>
      <c r="AD814" s="449"/>
      <c r="AE814" s="451"/>
      <c r="AF814" s="450"/>
      <c r="AG814" s="449"/>
      <c r="AH814" s="451"/>
      <c r="AI814" s="450"/>
      <c r="AJ814" s="449"/>
      <c r="AK814" s="451"/>
      <c r="AL814" s="450"/>
      <c r="AM814" s="449"/>
      <c r="AN814" s="451"/>
      <c r="AO814" s="450"/>
      <c r="AP814" s="449"/>
      <c r="AQ814" s="451"/>
      <c r="AR814" s="449"/>
      <c r="AS814" s="449"/>
      <c r="AT814" s="451"/>
      <c r="AU814" s="449"/>
      <c r="AV814" s="451"/>
      <c r="AW814" s="449"/>
      <c r="AX814" s="449"/>
      <c r="AY814" s="449"/>
      <c r="AZ814" s="449"/>
      <c r="BA814" s="449"/>
      <c r="BB814" s="449"/>
      <c r="BC814" s="449"/>
      <c r="BD814" s="449"/>
      <c r="BE814" s="449"/>
      <c r="BF814" s="449"/>
      <c r="BG814" s="449"/>
      <c r="BH814" s="449"/>
      <c r="BI814" s="449"/>
      <c r="BJ814" s="449"/>
      <c r="BK814" s="449"/>
      <c r="BL814" s="449"/>
      <c r="BM814" s="449"/>
      <c r="BN814" s="449"/>
    </row>
    <row r="815" spans="1:66" ht="13.15" x14ac:dyDescent="0.4">
      <c r="A815" s="430"/>
      <c r="B815" s="430"/>
      <c r="C815" s="430"/>
      <c r="D815" s="430"/>
      <c r="E815" s="430"/>
      <c r="F815" s="430"/>
      <c r="G815" s="430"/>
      <c r="H815" s="461"/>
      <c r="I815" s="438"/>
      <c r="J815" s="438"/>
      <c r="K815" s="438"/>
      <c r="L815" s="430"/>
      <c r="M815" s="430"/>
      <c r="N815" s="461"/>
      <c r="O815" s="461"/>
      <c r="P815" s="430"/>
      <c r="Q815" s="430"/>
      <c r="R815" s="430"/>
      <c r="S815" s="430"/>
      <c r="T815" s="430"/>
      <c r="U815" s="430"/>
      <c r="V815" s="430"/>
      <c r="W815" s="430"/>
      <c r="X815" s="449"/>
      <c r="Y815" s="449"/>
      <c r="Z815" s="450"/>
      <c r="AA815" s="449"/>
      <c r="AB815" s="451"/>
      <c r="AC815" s="450"/>
      <c r="AD815" s="449"/>
      <c r="AE815" s="451"/>
      <c r="AF815" s="450"/>
      <c r="AG815" s="449"/>
      <c r="AH815" s="451"/>
      <c r="AI815" s="450"/>
      <c r="AJ815" s="449"/>
      <c r="AK815" s="451"/>
      <c r="AL815" s="450"/>
      <c r="AM815" s="449"/>
      <c r="AN815" s="451"/>
      <c r="AO815" s="450"/>
      <c r="AP815" s="449"/>
      <c r="AQ815" s="451"/>
      <c r="AR815" s="449"/>
      <c r="AS815" s="449"/>
      <c r="AT815" s="451"/>
      <c r="AU815" s="449"/>
      <c r="AV815" s="451"/>
      <c r="AW815" s="449"/>
      <c r="AX815" s="449"/>
      <c r="AY815" s="449"/>
      <c r="AZ815" s="449"/>
      <c r="BA815" s="449"/>
      <c r="BB815" s="449"/>
      <c r="BC815" s="449"/>
      <c r="BD815" s="449"/>
      <c r="BE815" s="449"/>
      <c r="BF815" s="449"/>
      <c r="BG815" s="449"/>
      <c r="BH815" s="449"/>
      <c r="BI815" s="449"/>
      <c r="BJ815" s="449"/>
      <c r="BK815" s="449"/>
      <c r="BL815" s="449"/>
      <c r="BM815" s="449"/>
      <c r="BN815" s="449"/>
    </row>
    <row r="816" spans="1:66" ht="13.15" x14ac:dyDescent="0.4">
      <c r="A816" s="430"/>
      <c r="B816" s="430"/>
      <c r="C816" s="430"/>
      <c r="D816" s="430"/>
      <c r="E816" s="430"/>
      <c r="F816" s="430"/>
      <c r="G816" s="430"/>
      <c r="H816" s="461"/>
      <c r="I816" s="438"/>
      <c r="J816" s="438"/>
      <c r="K816" s="438"/>
      <c r="L816" s="430"/>
      <c r="M816" s="430"/>
      <c r="N816" s="461"/>
      <c r="O816" s="461"/>
      <c r="P816" s="430"/>
      <c r="Q816" s="430"/>
      <c r="R816" s="430"/>
      <c r="S816" s="430"/>
      <c r="T816" s="430"/>
      <c r="U816" s="430"/>
      <c r="V816" s="430"/>
      <c r="W816" s="430"/>
      <c r="X816" s="449"/>
      <c r="Y816" s="449"/>
      <c r="Z816" s="450"/>
      <c r="AA816" s="449"/>
      <c r="AB816" s="451"/>
      <c r="AC816" s="450"/>
      <c r="AD816" s="449"/>
      <c r="AE816" s="451"/>
      <c r="AF816" s="450"/>
      <c r="AG816" s="449"/>
      <c r="AH816" s="451"/>
      <c r="AI816" s="450"/>
      <c r="AJ816" s="449"/>
      <c r="AK816" s="451"/>
      <c r="AL816" s="450"/>
      <c r="AM816" s="449"/>
      <c r="AN816" s="451"/>
      <c r="AO816" s="450"/>
      <c r="AP816" s="449"/>
      <c r="AQ816" s="451"/>
      <c r="AR816" s="449"/>
      <c r="AS816" s="449"/>
      <c r="AT816" s="451"/>
      <c r="AU816" s="449"/>
      <c r="AV816" s="451"/>
      <c r="AW816" s="449"/>
      <c r="AX816" s="449"/>
      <c r="AY816" s="449"/>
      <c r="AZ816" s="449"/>
      <c r="BA816" s="449"/>
      <c r="BB816" s="449"/>
      <c r="BC816" s="449"/>
      <c r="BD816" s="449"/>
      <c r="BE816" s="449"/>
      <c r="BF816" s="449"/>
      <c r="BG816" s="449"/>
      <c r="BH816" s="449"/>
      <c r="BI816" s="449"/>
      <c r="BJ816" s="449"/>
      <c r="BK816" s="449"/>
      <c r="BL816" s="449"/>
      <c r="BM816" s="449"/>
      <c r="BN816" s="449"/>
    </row>
    <row r="817" spans="1:66" ht="13.15" x14ac:dyDescent="0.4">
      <c r="A817" s="430"/>
      <c r="B817" s="430"/>
      <c r="C817" s="430"/>
      <c r="D817" s="430"/>
      <c r="E817" s="430"/>
      <c r="F817" s="430"/>
      <c r="G817" s="430"/>
      <c r="H817" s="461"/>
      <c r="I817" s="438"/>
      <c r="J817" s="438"/>
      <c r="K817" s="438"/>
      <c r="L817" s="430"/>
      <c r="M817" s="430"/>
      <c r="N817" s="461"/>
      <c r="O817" s="461"/>
      <c r="P817" s="430"/>
      <c r="Q817" s="430"/>
      <c r="R817" s="430"/>
      <c r="S817" s="430"/>
      <c r="T817" s="430"/>
      <c r="U817" s="430"/>
      <c r="V817" s="430"/>
      <c r="W817" s="430"/>
      <c r="X817" s="449"/>
      <c r="Y817" s="449"/>
      <c r="Z817" s="450"/>
      <c r="AA817" s="449"/>
      <c r="AB817" s="451"/>
      <c r="AC817" s="450"/>
      <c r="AD817" s="449"/>
      <c r="AE817" s="451"/>
      <c r="AF817" s="450"/>
      <c r="AG817" s="449"/>
      <c r="AH817" s="451"/>
      <c r="AI817" s="450"/>
      <c r="AJ817" s="449"/>
      <c r="AK817" s="451"/>
      <c r="AL817" s="450"/>
      <c r="AM817" s="449"/>
      <c r="AN817" s="451"/>
      <c r="AO817" s="450"/>
      <c r="AP817" s="449"/>
      <c r="AQ817" s="451"/>
      <c r="AR817" s="449"/>
      <c r="AS817" s="449"/>
      <c r="AT817" s="451"/>
      <c r="AU817" s="449"/>
      <c r="AV817" s="451"/>
      <c r="AW817" s="449"/>
      <c r="AX817" s="449"/>
      <c r="AY817" s="449"/>
      <c r="AZ817" s="449"/>
      <c r="BA817" s="449"/>
      <c r="BB817" s="449"/>
      <c r="BC817" s="449"/>
      <c r="BD817" s="449"/>
      <c r="BE817" s="449"/>
      <c r="BF817" s="449"/>
      <c r="BG817" s="449"/>
      <c r="BH817" s="449"/>
      <c r="BI817" s="449"/>
      <c r="BJ817" s="449"/>
      <c r="BK817" s="449"/>
      <c r="BL817" s="449"/>
      <c r="BM817" s="449"/>
      <c r="BN817" s="449"/>
    </row>
    <row r="818" spans="1:66" ht="13.15" x14ac:dyDescent="0.4">
      <c r="A818" s="430"/>
      <c r="B818" s="430"/>
      <c r="C818" s="430"/>
      <c r="D818" s="430"/>
      <c r="E818" s="430"/>
      <c r="F818" s="430"/>
      <c r="G818" s="430"/>
      <c r="H818" s="461"/>
      <c r="I818" s="438"/>
      <c r="J818" s="438"/>
      <c r="K818" s="438"/>
      <c r="L818" s="430"/>
      <c r="M818" s="430"/>
      <c r="N818" s="461"/>
      <c r="O818" s="461"/>
      <c r="P818" s="430"/>
      <c r="Q818" s="430"/>
      <c r="R818" s="430"/>
      <c r="S818" s="430"/>
      <c r="T818" s="430"/>
      <c r="U818" s="430"/>
      <c r="V818" s="430"/>
      <c r="W818" s="430"/>
      <c r="X818" s="449"/>
      <c r="Y818" s="449"/>
      <c r="Z818" s="450"/>
      <c r="AA818" s="449"/>
      <c r="AB818" s="451"/>
      <c r="AC818" s="450"/>
      <c r="AD818" s="449"/>
      <c r="AE818" s="451"/>
      <c r="AF818" s="450"/>
      <c r="AG818" s="449"/>
      <c r="AH818" s="451"/>
      <c r="AI818" s="450"/>
      <c r="AJ818" s="449"/>
      <c r="AK818" s="451"/>
      <c r="AL818" s="450"/>
      <c r="AM818" s="449"/>
      <c r="AN818" s="451"/>
      <c r="AO818" s="450"/>
      <c r="AP818" s="449"/>
      <c r="AQ818" s="451"/>
      <c r="AR818" s="449"/>
      <c r="AS818" s="449"/>
      <c r="AT818" s="451"/>
      <c r="AU818" s="449"/>
      <c r="AV818" s="451"/>
      <c r="AW818" s="449"/>
      <c r="AX818" s="449"/>
      <c r="AY818" s="449"/>
      <c r="AZ818" s="449"/>
      <c r="BA818" s="449"/>
      <c r="BB818" s="449"/>
      <c r="BC818" s="449"/>
      <c r="BD818" s="449"/>
      <c r="BE818" s="449"/>
      <c r="BF818" s="449"/>
      <c r="BG818" s="449"/>
      <c r="BH818" s="449"/>
      <c r="BI818" s="449"/>
      <c r="BJ818" s="449"/>
      <c r="BK818" s="449"/>
      <c r="BL818" s="449"/>
      <c r="BM818" s="449"/>
      <c r="BN818" s="449"/>
    </row>
    <row r="819" spans="1:66" ht="13.15" x14ac:dyDescent="0.4">
      <c r="A819" s="430"/>
      <c r="B819" s="430"/>
      <c r="C819" s="430"/>
      <c r="D819" s="430"/>
      <c r="E819" s="430"/>
      <c r="F819" s="430"/>
      <c r="G819" s="430"/>
      <c r="H819" s="461"/>
      <c r="I819" s="438"/>
      <c r="J819" s="438"/>
      <c r="K819" s="438"/>
      <c r="L819" s="430"/>
      <c r="M819" s="430"/>
      <c r="N819" s="461"/>
      <c r="O819" s="461"/>
      <c r="P819" s="430"/>
      <c r="Q819" s="430"/>
      <c r="R819" s="430"/>
      <c r="S819" s="430"/>
      <c r="T819" s="430"/>
      <c r="U819" s="430"/>
      <c r="V819" s="430"/>
      <c r="W819" s="430"/>
      <c r="X819" s="449"/>
      <c r="Y819" s="449"/>
      <c r="Z819" s="450"/>
      <c r="AA819" s="449"/>
      <c r="AB819" s="451"/>
      <c r="AC819" s="450"/>
      <c r="AD819" s="449"/>
      <c r="AE819" s="451"/>
      <c r="AF819" s="450"/>
      <c r="AG819" s="449"/>
      <c r="AH819" s="451"/>
      <c r="AI819" s="450"/>
      <c r="AJ819" s="449"/>
      <c r="AK819" s="451"/>
      <c r="AL819" s="450"/>
      <c r="AM819" s="449"/>
      <c r="AN819" s="451"/>
      <c r="AO819" s="450"/>
      <c r="AP819" s="449"/>
      <c r="AQ819" s="451"/>
      <c r="AR819" s="449"/>
      <c r="AS819" s="449"/>
      <c r="AT819" s="451"/>
      <c r="AU819" s="449"/>
      <c r="AV819" s="451"/>
      <c r="AW819" s="449"/>
      <c r="AX819" s="449"/>
      <c r="AY819" s="449"/>
      <c r="AZ819" s="449"/>
      <c r="BA819" s="449"/>
      <c r="BB819" s="449"/>
      <c r="BC819" s="449"/>
      <c r="BD819" s="449"/>
      <c r="BE819" s="449"/>
      <c r="BF819" s="449"/>
      <c r="BG819" s="449"/>
      <c r="BH819" s="449"/>
      <c r="BI819" s="449"/>
      <c r="BJ819" s="449"/>
      <c r="BK819" s="449"/>
      <c r="BL819" s="449"/>
      <c r="BM819" s="449"/>
      <c r="BN819" s="449"/>
    </row>
    <row r="820" spans="1:66" ht="13.15" x14ac:dyDescent="0.4">
      <c r="A820" s="430"/>
      <c r="B820" s="430"/>
      <c r="C820" s="430"/>
      <c r="D820" s="430"/>
      <c r="E820" s="430"/>
      <c r="F820" s="430"/>
      <c r="G820" s="430"/>
      <c r="H820" s="461"/>
      <c r="I820" s="438"/>
      <c r="J820" s="438"/>
      <c r="K820" s="438"/>
      <c r="L820" s="430"/>
      <c r="M820" s="430"/>
      <c r="N820" s="461"/>
      <c r="O820" s="461"/>
      <c r="P820" s="430"/>
      <c r="Q820" s="430"/>
      <c r="R820" s="430"/>
      <c r="S820" s="430"/>
      <c r="T820" s="430"/>
      <c r="U820" s="430"/>
      <c r="V820" s="430"/>
      <c r="W820" s="430"/>
      <c r="X820" s="449"/>
      <c r="Y820" s="449"/>
      <c r="Z820" s="450"/>
      <c r="AA820" s="449"/>
      <c r="AB820" s="451"/>
      <c r="AC820" s="450"/>
      <c r="AD820" s="449"/>
      <c r="AE820" s="451"/>
      <c r="AF820" s="450"/>
      <c r="AG820" s="449"/>
      <c r="AH820" s="451"/>
      <c r="AI820" s="450"/>
      <c r="AJ820" s="449"/>
      <c r="AK820" s="451"/>
      <c r="AL820" s="450"/>
      <c r="AM820" s="449"/>
      <c r="AN820" s="451"/>
      <c r="AO820" s="450"/>
      <c r="AP820" s="449"/>
      <c r="AQ820" s="451"/>
      <c r="AR820" s="449"/>
      <c r="AS820" s="449"/>
      <c r="AT820" s="451"/>
      <c r="AU820" s="449"/>
      <c r="AV820" s="451"/>
      <c r="AW820" s="449"/>
      <c r="AX820" s="449"/>
      <c r="AY820" s="449"/>
      <c r="AZ820" s="449"/>
      <c r="BA820" s="449"/>
      <c r="BB820" s="449"/>
      <c r="BC820" s="449"/>
      <c r="BD820" s="449"/>
      <c r="BE820" s="449"/>
      <c r="BF820" s="449"/>
      <c r="BG820" s="449"/>
      <c r="BH820" s="449"/>
      <c r="BI820" s="449"/>
      <c r="BJ820" s="449"/>
      <c r="BK820" s="449"/>
      <c r="BL820" s="449"/>
      <c r="BM820" s="449"/>
      <c r="BN820" s="449"/>
    </row>
    <row r="821" spans="1:66" ht="13.15" x14ac:dyDescent="0.4">
      <c r="A821" s="430"/>
      <c r="B821" s="430"/>
      <c r="C821" s="430"/>
      <c r="D821" s="430"/>
      <c r="E821" s="430"/>
      <c r="F821" s="430"/>
      <c r="G821" s="430"/>
      <c r="H821" s="461"/>
      <c r="I821" s="438"/>
      <c r="J821" s="438"/>
      <c r="K821" s="438"/>
      <c r="L821" s="430"/>
      <c r="M821" s="430"/>
      <c r="N821" s="461"/>
      <c r="O821" s="461"/>
      <c r="P821" s="430"/>
      <c r="Q821" s="430"/>
      <c r="R821" s="430"/>
      <c r="S821" s="430"/>
      <c r="T821" s="430"/>
      <c r="U821" s="430"/>
      <c r="V821" s="430"/>
      <c r="W821" s="430"/>
      <c r="X821" s="449"/>
      <c r="Y821" s="449"/>
      <c r="Z821" s="450"/>
      <c r="AA821" s="449"/>
      <c r="AB821" s="451"/>
      <c r="AC821" s="450"/>
      <c r="AD821" s="449"/>
      <c r="AE821" s="451"/>
      <c r="AF821" s="450"/>
      <c r="AG821" s="449"/>
      <c r="AH821" s="451"/>
      <c r="AI821" s="450"/>
      <c r="AJ821" s="449"/>
      <c r="AK821" s="451"/>
      <c r="AL821" s="450"/>
      <c r="AM821" s="449"/>
      <c r="AN821" s="451"/>
      <c r="AO821" s="450"/>
      <c r="AP821" s="449"/>
      <c r="AQ821" s="451"/>
      <c r="AR821" s="449"/>
      <c r="AS821" s="449"/>
      <c r="AT821" s="451"/>
      <c r="AU821" s="449"/>
      <c r="AV821" s="451"/>
      <c r="AW821" s="449"/>
      <c r="AX821" s="449"/>
      <c r="AY821" s="449"/>
      <c r="AZ821" s="449"/>
      <c r="BA821" s="449"/>
      <c r="BB821" s="449"/>
      <c r="BC821" s="449"/>
      <c r="BD821" s="449"/>
      <c r="BE821" s="449"/>
      <c r="BF821" s="449"/>
      <c r="BG821" s="449"/>
      <c r="BH821" s="449"/>
      <c r="BI821" s="449"/>
      <c r="BJ821" s="449"/>
      <c r="BK821" s="449"/>
      <c r="BL821" s="449"/>
      <c r="BM821" s="449"/>
      <c r="BN821" s="449"/>
    </row>
    <row r="822" spans="1:66" ht="13.15" x14ac:dyDescent="0.4">
      <c r="A822" s="430"/>
      <c r="B822" s="430"/>
      <c r="C822" s="430"/>
      <c r="D822" s="430"/>
      <c r="E822" s="430"/>
      <c r="F822" s="430"/>
      <c r="G822" s="430"/>
      <c r="H822" s="461"/>
      <c r="I822" s="438"/>
      <c r="J822" s="438"/>
      <c r="K822" s="438"/>
      <c r="L822" s="430"/>
      <c r="M822" s="430"/>
      <c r="N822" s="461"/>
      <c r="O822" s="461"/>
      <c r="P822" s="430"/>
      <c r="Q822" s="430"/>
      <c r="R822" s="430"/>
      <c r="S822" s="430"/>
      <c r="T822" s="430"/>
      <c r="U822" s="430"/>
      <c r="V822" s="430"/>
      <c r="W822" s="430"/>
      <c r="X822" s="449"/>
      <c r="Y822" s="449"/>
      <c r="Z822" s="450"/>
      <c r="AA822" s="449"/>
      <c r="AB822" s="451"/>
      <c r="AC822" s="450"/>
      <c r="AD822" s="449"/>
      <c r="AE822" s="451"/>
      <c r="AF822" s="450"/>
      <c r="AG822" s="449"/>
      <c r="AH822" s="451"/>
      <c r="AI822" s="450"/>
      <c r="AJ822" s="449"/>
      <c r="AK822" s="451"/>
      <c r="AL822" s="450"/>
      <c r="AM822" s="449"/>
      <c r="AN822" s="451"/>
      <c r="AO822" s="450"/>
      <c r="AP822" s="449"/>
      <c r="AQ822" s="451"/>
      <c r="AR822" s="449"/>
      <c r="AS822" s="449"/>
      <c r="AT822" s="451"/>
      <c r="AU822" s="449"/>
      <c r="AV822" s="451"/>
      <c r="AW822" s="449"/>
      <c r="AX822" s="449"/>
      <c r="AY822" s="449"/>
      <c r="AZ822" s="449"/>
      <c r="BA822" s="449"/>
      <c r="BB822" s="449"/>
      <c r="BC822" s="449"/>
      <c r="BD822" s="449"/>
      <c r="BE822" s="449"/>
      <c r="BF822" s="449"/>
      <c r="BG822" s="449"/>
      <c r="BH822" s="449"/>
      <c r="BI822" s="449"/>
      <c r="BJ822" s="449"/>
      <c r="BK822" s="449"/>
      <c r="BL822" s="449"/>
      <c r="BM822" s="449"/>
      <c r="BN822" s="449"/>
    </row>
    <row r="823" spans="1:66" ht="13.15" x14ac:dyDescent="0.4">
      <c r="A823" s="430"/>
      <c r="B823" s="430"/>
      <c r="C823" s="430"/>
      <c r="D823" s="430"/>
      <c r="E823" s="430"/>
      <c r="F823" s="430"/>
      <c r="G823" s="430"/>
      <c r="H823" s="461"/>
      <c r="I823" s="438"/>
      <c r="J823" s="438"/>
      <c r="K823" s="438"/>
      <c r="L823" s="430"/>
      <c r="M823" s="430"/>
      <c r="N823" s="461"/>
      <c r="O823" s="461"/>
      <c r="P823" s="430"/>
      <c r="Q823" s="430"/>
      <c r="R823" s="430"/>
      <c r="S823" s="430"/>
      <c r="T823" s="430"/>
      <c r="U823" s="430"/>
      <c r="V823" s="430"/>
      <c r="W823" s="430"/>
      <c r="X823" s="449"/>
      <c r="Y823" s="449"/>
      <c r="Z823" s="450"/>
      <c r="AA823" s="449"/>
      <c r="AB823" s="451"/>
      <c r="AC823" s="450"/>
      <c r="AD823" s="449"/>
      <c r="AE823" s="451"/>
      <c r="AF823" s="450"/>
      <c r="AG823" s="449"/>
      <c r="AH823" s="451"/>
      <c r="AI823" s="450"/>
      <c r="AJ823" s="449"/>
      <c r="AK823" s="451"/>
      <c r="AL823" s="450"/>
      <c r="AM823" s="449"/>
      <c r="AN823" s="451"/>
      <c r="AO823" s="450"/>
      <c r="AP823" s="449"/>
      <c r="AQ823" s="451"/>
      <c r="AR823" s="449"/>
      <c r="AS823" s="449"/>
      <c r="AT823" s="451"/>
      <c r="AU823" s="449"/>
      <c r="AV823" s="451"/>
      <c r="AW823" s="449"/>
      <c r="AX823" s="449"/>
      <c r="AY823" s="449"/>
      <c r="AZ823" s="449"/>
      <c r="BA823" s="449"/>
      <c r="BB823" s="449"/>
      <c r="BC823" s="449"/>
      <c r="BD823" s="449"/>
      <c r="BE823" s="449"/>
      <c r="BF823" s="449"/>
      <c r="BG823" s="449"/>
      <c r="BH823" s="449"/>
      <c r="BI823" s="449"/>
      <c r="BJ823" s="449"/>
      <c r="BK823" s="449"/>
      <c r="BL823" s="449"/>
      <c r="BM823" s="449"/>
      <c r="BN823" s="449"/>
    </row>
    <row r="824" spans="1:66" ht="13.15" x14ac:dyDescent="0.4">
      <c r="A824" s="430"/>
      <c r="B824" s="430"/>
      <c r="C824" s="430"/>
      <c r="D824" s="430"/>
      <c r="E824" s="430"/>
      <c r="F824" s="430"/>
      <c r="G824" s="430"/>
      <c r="H824" s="461"/>
      <c r="I824" s="438"/>
      <c r="J824" s="438"/>
      <c r="K824" s="438"/>
      <c r="L824" s="430"/>
      <c r="M824" s="430"/>
      <c r="N824" s="461"/>
      <c r="O824" s="461"/>
      <c r="P824" s="430"/>
      <c r="Q824" s="430"/>
      <c r="R824" s="430"/>
      <c r="S824" s="430"/>
      <c r="T824" s="430"/>
      <c r="U824" s="430"/>
      <c r="V824" s="430"/>
      <c r="W824" s="430"/>
      <c r="X824" s="449"/>
      <c r="Y824" s="449"/>
      <c r="Z824" s="450"/>
      <c r="AA824" s="449"/>
      <c r="AB824" s="451"/>
      <c r="AC824" s="450"/>
      <c r="AD824" s="449"/>
      <c r="AE824" s="451"/>
      <c r="AF824" s="450"/>
      <c r="AG824" s="449"/>
      <c r="AH824" s="451"/>
      <c r="AI824" s="450"/>
      <c r="AJ824" s="449"/>
      <c r="AK824" s="451"/>
      <c r="AL824" s="450"/>
      <c r="AM824" s="449"/>
      <c r="AN824" s="451"/>
      <c r="AO824" s="450"/>
      <c r="AP824" s="449"/>
      <c r="AQ824" s="451"/>
      <c r="AR824" s="449"/>
      <c r="AS824" s="449"/>
      <c r="AT824" s="451"/>
      <c r="AU824" s="449"/>
      <c r="AV824" s="451"/>
      <c r="AW824" s="449"/>
      <c r="AX824" s="449"/>
      <c r="AY824" s="449"/>
      <c r="AZ824" s="449"/>
      <c r="BA824" s="449"/>
      <c r="BB824" s="449"/>
      <c r="BC824" s="449"/>
      <c r="BD824" s="449"/>
      <c r="BE824" s="449"/>
      <c r="BF824" s="449"/>
      <c r="BG824" s="449"/>
      <c r="BH824" s="449"/>
      <c r="BI824" s="449"/>
      <c r="BJ824" s="449"/>
      <c r="BK824" s="449"/>
      <c r="BL824" s="449"/>
      <c r="BM824" s="449"/>
      <c r="BN824" s="449"/>
    </row>
    <row r="825" spans="1:66" ht="13.15" x14ac:dyDescent="0.4">
      <c r="A825" s="430"/>
      <c r="B825" s="430"/>
      <c r="C825" s="430"/>
      <c r="D825" s="430"/>
      <c r="E825" s="430"/>
      <c r="F825" s="430"/>
      <c r="G825" s="430"/>
      <c r="H825" s="461"/>
      <c r="I825" s="438"/>
      <c r="J825" s="438"/>
      <c r="K825" s="438"/>
      <c r="L825" s="430"/>
      <c r="M825" s="430"/>
      <c r="N825" s="461"/>
      <c r="O825" s="461"/>
      <c r="P825" s="430"/>
      <c r="Q825" s="430"/>
      <c r="R825" s="430"/>
      <c r="S825" s="430"/>
      <c r="T825" s="430"/>
      <c r="U825" s="430"/>
      <c r="V825" s="430"/>
      <c r="W825" s="430"/>
      <c r="X825" s="449"/>
      <c r="Y825" s="449"/>
      <c r="Z825" s="450"/>
      <c r="AA825" s="449"/>
      <c r="AB825" s="451"/>
      <c r="AC825" s="450"/>
      <c r="AD825" s="449"/>
      <c r="AE825" s="451"/>
      <c r="AF825" s="450"/>
      <c r="AG825" s="449"/>
      <c r="AH825" s="451"/>
      <c r="AI825" s="450"/>
      <c r="AJ825" s="449"/>
      <c r="AK825" s="451"/>
      <c r="AL825" s="450"/>
      <c r="AM825" s="449"/>
      <c r="AN825" s="451"/>
      <c r="AO825" s="450"/>
      <c r="AP825" s="449"/>
      <c r="AQ825" s="451"/>
      <c r="AR825" s="449"/>
      <c r="AS825" s="449"/>
      <c r="AT825" s="451"/>
      <c r="AU825" s="449"/>
      <c r="AV825" s="451"/>
      <c r="AW825" s="449"/>
      <c r="AX825" s="449"/>
      <c r="AY825" s="449"/>
      <c r="AZ825" s="449"/>
      <c r="BA825" s="449"/>
      <c r="BB825" s="449"/>
      <c r="BC825" s="449"/>
      <c r="BD825" s="449"/>
      <c r="BE825" s="449"/>
      <c r="BF825" s="449"/>
      <c r="BG825" s="449"/>
      <c r="BH825" s="449"/>
      <c r="BI825" s="449"/>
      <c r="BJ825" s="449"/>
      <c r="BK825" s="449"/>
      <c r="BL825" s="449"/>
      <c r="BM825" s="449"/>
      <c r="BN825" s="449"/>
    </row>
    <row r="826" spans="1:66" ht="13.15" x14ac:dyDescent="0.4">
      <c r="A826" s="430"/>
      <c r="B826" s="430"/>
      <c r="C826" s="430"/>
      <c r="D826" s="430"/>
      <c r="E826" s="430"/>
      <c r="F826" s="430"/>
      <c r="G826" s="430"/>
      <c r="H826" s="461"/>
      <c r="I826" s="438"/>
      <c r="J826" s="438"/>
      <c r="K826" s="438"/>
      <c r="L826" s="430"/>
      <c r="M826" s="430"/>
      <c r="N826" s="461"/>
      <c r="O826" s="461"/>
      <c r="P826" s="430"/>
      <c r="Q826" s="430"/>
      <c r="R826" s="430"/>
      <c r="S826" s="430"/>
      <c r="T826" s="430"/>
      <c r="U826" s="430"/>
      <c r="V826" s="430"/>
      <c r="W826" s="430"/>
      <c r="X826" s="449"/>
      <c r="Y826" s="449"/>
      <c r="Z826" s="450"/>
      <c r="AA826" s="449"/>
      <c r="AB826" s="451"/>
      <c r="AC826" s="450"/>
      <c r="AD826" s="449"/>
      <c r="AE826" s="451"/>
      <c r="AF826" s="450"/>
      <c r="AG826" s="449"/>
      <c r="AH826" s="451"/>
      <c r="AI826" s="450"/>
      <c r="AJ826" s="449"/>
      <c r="AK826" s="451"/>
      <c r="AL826" s="450"/>
      <c r="AM826" s="449"/>
      <c r="AN826" s="451"/>
      <c r="AO826" s="450"/>
      <c r="AP826" s="449"/>
      <c r="AQ826" s="451"/>
      <c r="AR826" s="449"/>
      <c r="AS826" s="449"/>
      <c r="AT826" s="451"/>
      <c r="AU826" s="449"/>
      <c r="AV826" s="451"/>
      <c r="AW826" s="449"/>
      <c r="AX826" s="449"/>
      <c r="AY826" s="449"/>
      <c r="AZ826" s="449"/>
      <c r="BA826" s="449"/>
      <c r="BB826" s="449"/>
      <c r="BC826" s="449"/>
      <c r="BD826" s="449"/>
      <c r="BE826" s="449"/>
      <c r="BF826" s="449"/>
      <c r="BG826" s="449"/>
      <c r="BH826" s="449"/>
      <c r="BI826" s="449"/>
      <c r="BJ826" s="449"/>
      <c r="BK826" s="449"/>
      <c r="BL826" s="449"/>
      <c r="BM826" s="449"/>
      <c r="BN826" s="449"/>
    </row>
    <row r="827" spans="1:66" ht="13.15" x14ac:dyDescent="0.4">
      <c r="A827" s="430"/>
      <c r="B827" s="430"/>
      <c r="C827" s="430"/>
      <c r="D827" s="430"/>
      <c r="E827" s="430"/>
      <c r="F827" s="430"/>
      <c r="G827" s="430"/>
      <c r="H827" s="461"/>
      <c r="I827" s="438"/>
      <c r="J827" s="438"/>
      <c r="K827" s="438"/>
      <c r="L827" s="430"/>
      <c r="M827" s="430"/>
      <c r="N827" s="461"/>
      <c r="O827" s="461"/>
      <c r="P827" s="430"/>
      <c r="Q827" s="430"/>
      <c r="R827" s="430"/>
      <c r="S827" s="430"/>
      <c r="T827" s="430"/>
      <c r="U827" s="430"/>
      <c r="V827" s="430"/>
      <c r="W827" s="430"/>
      <c r="X827" s="449"/>
      <c r="Y827" s="449"/>
      <c r="Z827" s="450"/>
      <c r="AA827" s="449"/>
      <c r="AB827" s="451"/>
      <c r="AC827" s="450"/>
      <c r="AD827" s="449"/>
      <c r="AE827" s="451"/>
      <c r="AF827" s="450"/>
      <c r="AG827" s="449"/>
      <c r="AH827" s="451"/>
      <c r="AI827" s="450"/>
      <c r="AJ827" s="449"/>
      <c r="AK827" s="451"/>
      <c r="AL827" s="450"/>
      <c r="AM827" s="449"/>
      <c r="AN827" s="451"/>
      <c r="AO827" s="450"/>
      <c r="AP827" s="449"/>
      <c r="AQ827" s="451"/>
      <c r="AR827" s="449"/>
      <c r="AS827" s="449"/>
      <c r="AT827" s="451"/>
      <c r="AU827" s="449"/>
      <c r="AV827" s="451"/>
      <c r="AW827" s="449"/>
      <c r="AX827" s="449"/>
      <c r="AY827" s="449"/>
      <c r="AZ827" s="449"/>
      <c r="BA827" s="449"/>
      <c r="BB827" s="449"/>
      <c r="BC827" s="449"/>
      <c r="BD827" s="449"/>
      <c r="BE827" s="449"/>
      <c r="BF827" s="449"/>
      <c r="BG827" s="449"/>
      <c r="BH827" s="449"/>
      <c r="BI827" s="449"/>
      <c r="BJ827" s="449"/>
      <c r="BK827" s="449"/>
      <c r="BL827" s="449"/>
      <c r="BM827" s="449"/>
      <c r="BN827" s="449"/>
    </row>
    <row r="828" spans="1:66" ht="13.15" x14ac:dyDescent="0.4">
      <c r="A828" s="430"/>
      <c r="B828" s="430"/>
      <c r="C828" s="430"/>
      <c r="D828" s="430"/>
      <c r="E828" s="430"/>
      <c r="F828" s="430"/>
      <c r="G828" s="430"/>
      <c r="H828" s="461"/>
      <c r="I828" s="438"/>
      <c r="J828" s="438"/>
      <c r="K828" s="438"/>
      <c r="L828" s="430"/>
      <c r="M828" s="430"/>
      <c r="N828" s="461"/>
      <c r="O828" s="461"/>
      <c r="P828" s="430"/>
      <c r="Q828" s="430"/>
      <c r="R828" s="430"/>
      <c r="S828" s="430"/>
      <c r="T828" s="430"/>
      <c r="U828" s="430"/>
      <c r="V828" s="430"/>
      <c r="W828" s="430"/>
      <c r="X828" s="449"/>
      <c r="Y828" s="449"/>
      <c r="Z828" s="450"/>
      <c r="AA828" s="449"/>
      <c r="AB828" s="451"/>
      <c r="AC828" s="450"/>
      <c r="AD828" s="449"/>
      <c r="AE828" s="451"/>
      <c r="AF828" s="450"/>
      <c r="AG828" s="449"/>
      <c r="AH828" s="451"/>
      <c r="AI828" s="450"/>
      <c r="AJ828" s="449"/>
      <c r="AK828" s="451"/>
      <c r="AL828" s="450"/>
      <c r="AM828" s="449"/>
      <c r="AN828" s="451"/>
      <c r="AO828" s="450"/>
      <c r="AP828" s="449"/>
      <c r="AQ828" s="451"/>
      <c r="AR828" s="449"/>
      <c r="AS828" s="449"/>
      <c r="AT828" s="451"/>
      <c r="AU828" s="449"/>
      <c r="AV828" s="451"/>
      <c r="AW828" s="449"/>
      <c r="AX828" s="449"/>
      <c r="AY828" s="449"/>
      <c r="AZ828" s="449"/>
      <c r="BA828" s="449"/>
      <c r="BB828" s="449"/>
      <c r="BC828" s="449"/>
      <c r="BD828" s="449"/>
      <c r="BE828" s="449"/>
      <c r="BF828" s="449"/>
      <c r="BG828" s="449"/>
      <c r="BH828" s="449"/>
      <c r="BI828" s="449"/>
      <c r="BJ828" s="449"/>
      <c r="BK828" s="449"/>
      <c r="BL828" s="449"/>
      <c r="BM828" s="449"/>
      <c r="BN828" s="449"/>
    </row>
    <row r="829" spans="1:66" ht="13.15" x14ac:dyDescent="0.4">
      <c r="A829" s="430"/>
      <c r="B829" s="430"/>
      <c r="C829" s="430"/>
      <c r="D829" s="430"/>
      <c r="E829" s="430"/>
      <c r="F829" s="430"/>
      <c r="G829" s="430"/>
      <c r="H829" s="461"/>
      <c r="I829" s="438"/>
      <c r="J829" s="438"/>
      <c r="K829" s="438"/>
      <c r="L829" s="430"/>
      <c r="M829" s="430"/>
      <c r="N829" s="461"/>
      <c r="O829" s="461"/>
      <c r="P829" s="430"/>
      <c r="Q829" s="430"/>
      <c r="R829" s="430"/>
      <c r="S829" s="430"/>
      <c r="T829" s="430"/>
      <c r="U829" s="430"/>
      <c r="V829" s="430"/>
      <c r="W829" s="430"/>
      <c r="X829" s="449"/>
      <c r="Y829" s="449"/>
      <c r="Z829" s="450"/>
      <c r="AA829" s="449"/>
      <c r="AB829" s="451"/>
      <c r="AC829" s="450"/>
      <c r="AD829" s="449"/>
      <c r="AE829" s="451"/>
      <c r="AF829" s="450"/>
      <c r="AG829" s="449"/>
      <c r="AH829" s="451"/>
      <c r="AI829" s="450"/>
      <c r="AJ829" s="449"/>
      <c r="AK829" s="451"/>
      <c r="AL829" s="450"/>
      <c r="AM829" s="449"/>
      <c r="AN829" s="451"/>
      <c r="AO829" s="450"/>
      <c r="AP829" s="449"/>
      <c r="AQ829" s="451"/>
      <c r="AR829" s="449"/>
      <c r="AS829" s="449"/>
      <c r="AT829" s="451"/>
      <c r="AU829" s="449"/>
      <c r="AV829" s="451"/>
      <c r="AW829" s="449"/>
      <c r="AX829" s="449"/>
      <c r="AY829" s="449"/>
      <c r="AZ829" s="449"/>
      <c r="BA829" s="449"/>
      <c r="BB829" s="449"/>
      <c r="BC829" s="449"/>
      <c r="BD829" s="449"/>
      <c r="BE829" s="449"/>
      <c r="BF829" s="449"/>
      <c r="BG829" s="449"/>
      <c r="BH829" s="449"/>
      <c r="BI829" s="449"/>
      <c r="BJ829" s="449"/>
      <c r="BK829" s="449"/>
      <c r="BL829" s="449"/>
      <c r="BM829" s="449"/>
      <c r="BN829" s="449"/>
    </row>
    <row r="830" spans="1:66" ht="13.15" x14ac:dyDescent="0.4">
      <c r="A830" s="430"/>
      <c r="B830" s="430"/>
      <c r="C830" s="430"/>
      <c r="D830" s="430"/>
      <c r="E830" s="430"/>
      <c r="F830" s="430"/>
      <c r="G830" s="430"/>
      <c r="H830" s="461"/>
      <c r="I830" s="438"/>
      <c r="J830" s="438"/>
      <c r="K830" s="438"/>
      <c r="L830" s="430"/>
      <c r="M830" s="430"/>
      <c r="N830" s="461"/>
      <c r="O830" s="461"/>
      <c r="P830" s="430"/>
      <c r="Q830" s="430"/>
      <c r="R830" s="430"/>
      <c r="S830" s="430"/>
      <c r="T830" s="430"/>
      <c r="U830" s="430"/>
      <c r="V830" s="430"/>
      <c r="W830" s="430"/>
      <c r="X830" s="449"/>
      <c r="Y830" s="449"/>
      <c r="Z830" s="450"/>
      <c r="AA830" s="449"/>
      <c r="AB830" s="451"/>
      <c r="AC830" s="450"/>
      <c r="AD830" s="449"/>
      <c r="AE830" s="451"/>
      <c r="AF830" s="450"/>
      <c r="AG830" s="449"/>
      <c r="AH830" s="451"/>
      <c r="AI830" s="450"/>
      <c r="AJ830" s="449"/>
      <c r="AK830" s="451"/>
      <c r="AL830" s="450"/>
      <c r="AM830" s="449"/>
      <c r="AN830" s="451"/>
      <c r="AO830" s="450"/>
      <c r="AP830" s="449"/>
      <c r="AQ830" s="451"/>
      <c r="AR830" s="449"/>
      <c r="AS830" s="449"/>
      <c r="AT830" s="451"/>
      <c r="AU830" s="449"/>
      <c r="AV830" s="451"/>
      <c r="AW830" s="449"/>
      <c r="AX830" s="449"/>
      <c r="AY830" s="449"/>
      <c r="AZ830" s="449"/>
      <c r="BA830" s="449"/>
      <c r="BB830" s="449"/>
      <c r="BC830" s="449"/>
      <c r="BD830" s="449"/>
      <c r="BE830" s="449"/>
      <c r="BF830" s="449"/>
      <c r="BG830" s="449"/>
      <c r="BH830" s="449"/>
      <c r="BI830" s="449"/>
      <c r="BJ830" s="449"/>
      <c r="BK830" s="449"/>
      <c r="BL830" s="449"/>
      <c r="BM830" s="449"/>
      <c r="BN830" s="449"/>
    </row>
    <row r="831" spans="1:66" ht="13.15" x14ac:dyDescent="0.4">
      <c r="A831" s="430"/>
      <c r="B831" s="430"/>
      <c r="C831" s="430"/>
      <c r="D831" s="430"/>
      <c r="E831" s="430"/>
      <c r="F831" s="430"/>
      <c r="G831" s="430"/>
      <c r="H831" s="461"/>
      <c r="I831" s="438"/>
      <c r="J831" s="438"/>
      <c r="K831" s="438"/>
      <c r="L831" s="430"/>
      <c r="M831" s="430"/>
      <c r="N831" s="461"/>
      <c r="O831" s="461"/>
      <c r="P831" s="430"/>
      <c r="Q831" s="430"/>
      <c r="R831" s="430"/>
      <c r="S831" s="430"/>
      <c r="T831" s="430"/>
      <c r="U831" s="430"/>
      <c r="V831" s="430"/>
      <c r="W831" s="430"/>
      <c r="X831" s="449"/>
      <c r="Y831" s="449"/>
      <c r="Z831" s="450"/>
      <c r="AA831" s="449"/>
      <c r="AB831" s="451"/>
      <c r="AC831" s="450"/>
      <c r="AD831" s="449"/>
      <c r="AE831" s="451"/>
      <c r="AF831" s="450"/>
      <c r="AG831" s="449"/>
      <c r="AH831" s="451"/>
      <c r="AI831" s="450"/>
      <c r="AJ831" s="449"/>
      <c r="AK831" s="451"/>
      <c r="AL831" s="450"/>
      <c r="AM831" s="449"/>
      <c r="AN831" s="451"/>
      <c r="AO831" s="450"/>
      <c r="AP831" s="449"/>
      <c r="AQ831" s="451"/>
      <c r="AR831" s="449"/>
      <c r="AS831" s="449"/>
      <c r="AT831" s="451"/>
      <c r="AU831" s="449"/>
      <c r="AV831" s="451"/>
      <c r="AW831" s="449"/>
      <c r="AX831" s="449"/>
      <c r="AY831" s="449"/>
      <c r="AZ831" s="449"/>
      <c r="BA831" s="449"/>
      <c r="BB831" s="449"/>
      <c r="BC831" s="449"/>
      <c r="BD831" s="449"/>
      <c r="BE831" s="449"/>
      <c r="BF831" s="449"/>
      <c r="BG831" s="449"/>
      <c r="BH831" s="449"/>
      <c r="BI831" s="449"/>
      <c r="BJ831" s="449"/>
      <c r="BK831" s="449"/>
      <c r="BL831" s="449"/>
      <c r="BM831" s="449"/>
      <c r="BN831" s="449"/>
    </row>
    <row r="832" spans="1:66" ht="13.15" x14ac:dyDescent="0.4">
      <c r="A832" s="430"/>
      <c r="B832" s="430"/>
      <c r="C832" s="430"/>
      <c r="D832" s="430"/>
      <c r="E832" s="430"/>
      <c r="F832" s="430"/>
      <c r="G832" s="430"/>
      <c r="H832" s="461"/>
      <c r="I832" s="438"/>
      <c r="J832" s="438"/>
      <c r="K832" s="438"/>
      <c r="L832" s="430"/>
      <c r="M832" s="430"/>
      <c r="N832" s="461"/>
      <c r="O832" s="461"/>
      <c r="P832" s="430"/>
      <c r="Q832" s="430"/>
      <c r="R832" s="430"/>
      <c r="S832" s="430"/>
      <c r="T832" s="430"/>
      <c r="U832" s="430"/>
      <c r="V832" s="430"/>
      <c r="W832" s="430"/>
      <c r="X832" s="449"/>
      <c r="Y832" s="449"/>
      <c r="Z832" s="450"/>
      <c r="AA832" s="449"/>
      <c r="AB832" s="451"/>
      <c r="AC832" s="450"/>
      <c r="AD832" s="449"/>
      <c r="AE832" s="451"/>
      <c r="AF832" s="450"/>
      <c r="AG832" s="449"/>
      <c r="AH832" s="451"/>
      <c r="AI832" s="450"/>
      <c r="AJ832" s="449"/>
      <c r="AK832" s="451"/>
      <c r="AL832" s="450"/>
      <c r="AM832" s="449"/>
      <c r="AN832" s="451"/>
      <c r="AO832" s="450"/>
      <c r="AP832" s="449"/>
      <c r="AQ832" s="451"/>
      <c r="AR832" s="449"/>
      <c r="AS832" s="449"/>
      <c r="AT832" s="451"/>
      <c r="AU832" s="449"/>
      <c r="AV832" s="451"/>
      <c r="AW832" s="449"/>
      <c r="AX832" s="449"/>
      <c r="AY832" s="449"/>
      <c r="AZ832" s="449"/>
      <c r="BA832" s="449"/>
      <c r="BB832" s="449"/>
      <c r="BC832" s="449"/>
      <c r="BD832" s="449"/>
      <c r="BE832" s="449"/>
      <c r="BF832" s="449"/>
      <c r="BG832" s="449"/>
      <c r="BH832" s="449"/>
      <c r="BI832" s="449"/>
      <c r="BJ832" s="449"/>
      <c r="BK832" s="449"/>
      <c r="BL832" s="449"/>
      <c r="BM832" s="449"/>
      <c r="BN832" s="449"/>
    </row>
    <row r="833" spans="1:66" ht="13.15" x14ac:dyDescent="0.4">
      <c r="A833" s="430"/>
      <c r="B833" s="430"/>
      <c r="C833" s="430"/>
      <c r="D833" s="430"/>
      <c r="E833" s="430"/>
      <c r="F833" s="430"/>
      <c r="G833" s="430"/>
      <c r="H833" s="461"/>
      <c r="I833" s="438"/>
      <c r="J833" s="438"/>
      <c r="K833" s="438"/>
      <c r="L833" s="430"/>
      <c r="M833" s="430"/>
      <c r="N833" s="461"/>
      <c r="O833" s="461"/>
      <c r="P833" s="430"/>
      <c r="Q833" s="430"/>
      <c r="R833" s="430"/>
      <c r="S833" s="430"/>
      <c r="T833" s="430"/>
      <c r="U833" s="430"/>
      <c r="V833" s="430"/>
      <c r="W833" s="430"/>
      <c r="X833" s="449"/>
      <c r="Y833" s="449"/>
      <c r="Z833" s="450"/>
      <c r="AA833" s="449"/>
      <c r="AB833" s="451"/>
      <c r="AC833" s="450"/>
      <c r="AD833" s="449"/>
      <c r="AE833" s="451"/>
      <c r="AF833" s="450"/>
      <c r="AG833" s="449"/>
      <c r="AH833" s="451"/>
      <c r="AI833" s="450"/>
      <c r="AJ833" s="449"/>
      <c r="AK833" s="451"/>
      <c r="AL833" s="450"/>
      <c r="AM833" s="449"/>
      <c r="AN833" s="451"/>
      <c r="AO833" s="450"/>
      <c r="AP833" s="449"/>
      <c r="AQ833" s="451"/>
      <c r="AR833" s="449"/>
      <c r="AS833" s="449"/>
      <c r="AT833" s="451"/>
      <c r="AU833" s="449"/>
      <c r="AV833" s="451"/>
      <c r="AW833" s="449"/>
      <c r="AX833" s="449"/>
      <c r="AY833" s="449"/>
      <c r="AZ833" s="449"/>
      <c r="BA833" s="449"/>
      <c r="BB833" s="449"/>
      <c r="BC833" s="449"/>
      <c r="BD833" s="449"/>
      <c r="BE833" s="449"/>
      <c r="BF833" s="449"/>
      <c r="BG833" s="449"/>
      <c r="BH833" s="449"/>
      <c r="BI833" s="449"/>
      <c r="BJ833" s="449"/>
      <c r="BK833" s="449"/>
      <c r="BL833" s="449"/>
      <c r="BM833" s="449"/>
      <c r="BN833" s="449"/>
    </row>
    <row r="834" spans="1:66" ht="13.15" x14ac:dyDescent="0.4">
      <c r="A834" s="430"/>
      <c r="B834" s="430"/>
      <c r="C834" s="430"/>
      <c r="D834" s="430"/>
      <c r="E834" s="430"/>
      <c r="F834" s="430"/>
      <c r="G834" s="430"/>
      <c r="H834" s="461"/>
      <c r="I834" s="438"/>
      <c r="J834" s="438"/>
      <c r="K834" s="438"/>
      <c r="L834" s="430"/>
      <c r="M834" s="430"/>
      <c r="N834" s="461"/>
      <c r="O834" s="461"/>
      <c r="P834" s="430"/>
      <c r="Q834" s="430"/>
      <c r="R834" s="430"/>
      <c r="S834" s="430"/>
      <c r="T834" s="430"/>
      <c r="U834" s="430"/>
      <c r="V834" s="430"/>
      <c r="W834" s="430"/>
      <c r="X834" s="449"/>
      <c r="Y834" s="449"/>
      <c r="Z834" s="450"/>
      <c r="AA834" s="449"/>
      <c r="AB834" s="451"/>
      <c r="AC834" s="450"/>
      <c r="AD834" s="449"/>
      <c r="AE834" s="451"/>
      <c r="AF834" s="450"/>
      <c r="AG834" s="449"/>
      <c r="AH834" s="451"/>
      <c r="AI834" s="450"/>
      <c r="AJ834" s="449"/>
      <c r="AK834" s="451"/>
      <c r="AL834" s="450"/>
      <c r="AM834" s="449"/>
      <c r="AN834" s="451"/>
      <c r="AO834" s="450"/>
      <c r="AP834" s="449"/>
      <c r="AQ834" s="451"/>
      <c r="AR834" s="449"/>
      <c r="AS834" s="449"/>
      <c r="AT834" s="451"/>
      <c r="AU834" s="449"/>
      <c r="AV834" s="451"/>
      <c r="AW834" s="449"/>
      <c r="AX834" s="449"/>
      <c r="AY834" s="449"/>
      <c r="AZ834" s="449"/>
      <c r="BA834" s="449"/>
      <c r="BB834" s="449"/>
      <c r="BC834" s="449"/>
      <c r="BD834" s="449"/>
      <c r="BE834" s="449"/>
      <c r="BF834" s="449"/>
      <c r="BG834" s="449"/>
      <c r="BH834" s="449"/>
      <c r="BI834" s="449"/>
      <c r="BJ834" s="449"/>
      <c r="BK834" s="449"/>
      <c r="BL834" s="449"/>
      <c r="BM834" s="449"/>
      <c r="BN834" s="449"/>
    </row>
    <row r="835" spans="1:66" ht="13.15" x14ac:dyDescent="0.4">
      <c r="A835" s="430"/>
      <c r="B835" s="430"/>
      <c r="C835" s="430"/>
      <c r="D835" s="430"/>
      <c r="E835" s="430"/>
      <c r="F835" s="430"/>
      <c r="G835" s="430"/>
      <c r="H835" s="461"/>
      <c r="I835" s="438"/>
      <c r="J835" s="438"/>
      <c r="K835" s="438"/>
      <c r="L835" s="430"/>
      <c r="M835" s="430"/>
      <c r="N835" s="461"/>
      <c r="O835" s="461"/>
      <c r="P835" s="430"/>
      <c r="Q835" s="430"/>
      <c r="R835" s="430"/>
      <c r="S835" s="430"/>
      <c r="T835" s="430"/>
      <c r="U835" s="430"/>
      <c r="V835" s="430"/>
      <c r="W835" s="430"/>
      <c r="X835" s="449"/>
      <c r="Y835" s="449"/>
      <c r="Z835" s="450"/>
      <c r="AA835" s="449"/>
      <c r="AB835" s="451"/>
      <c r="AC835" s="450"/>
      <c r="AD835" s="449"/>
      <c r="AE835" s="451"/>
      <c r="AF835" s="450"/>
      <c r="AG835" s="449"/>
      <c r="AH835" s="451"/>
      <c r="AI835" s="450"/>
      <c r="AJ835" s="449"/>
      <c r="AK835" s="451"/>
      <c r="AL835" s="450"/>
      <c r="AM835" s="449"/>
      <c r="AN835" s="451"/>
      <c r="AO835" s="450"/>
      <c r="AP835" s="449"/>
      <c r="AQ835" s="451"/>
      <c r="AR835" s="449"/>
      <c r="AS835" s="449"/>
      <c r="AT835" s="451"/>
      <c r="AU835" s="449"/>
      <c r="AV835" s="451"/>
      <c r="AW835" s="449"/>
      <c r="AX835" s="449"/>
      <c r="AY835" s="449"/>
      <c r="AZ835" s="449"/>
      <c r="BA835" s="449"/>
      <c r="BB835" s="449"/>
      <c r="BC835" s="449"/>
      <c r="BD835" s="449"/>
      <c r="BE835" s="449"/>
      <c r="BF835" s="449"/>
      <c r="BG835" s="449"/>
      <c r="BH835" s="449"/>
      <c r="BI835" s="449"/>
      <c r="BJ835" s="449"/>
      <c r="BK835" s="449"/>
      <c r="BL835" s="449"/>
      <c r="BM835" s="449"/>
      <c r="BN835" s="449"/>
    </row>
    <row r="836" spans="1:66" ht="13.15" x14ac:dyDescent="0.4">
      <c r="A836" s="430"/>
      <c r="B836" s="430"/>
      <c r="C836" s="430"/>
      <c r="D836" s="430"/>
      <c r="E836" s="430"/>
      <c r="F836" s="430"/>
      <c r="G836" s="430"/>
      <c r="H836" s="461"/>
      <c r="I836" s="438"/>
      <c r="J836" s="438"/>
      <c r="K836" s="438"/>
      <c r="L836" s="430"/>
      <c r="M836" s="430"/>
      <c r="N836" s="461"/>
      <c r="O836" s="461"/>
      <c r="P836" s="430"/>
      <c r="Q836" s="430"/>
      <c r="R836" s="430"/>
      <c r="S836" s="430"/>
      <c r="T836" s="430"/>
      <c r="U836" s="430"/>
      <c r="V836" s="430"/>
      <c r="W836" s="430"/>
      <c r="X836" s="449"/>
      <c r="Y836" s="449"/>
      <c r="Z836" s="450"/>
      <c r="AA836" s="449"/>
      <c r="AB836" s="451"/>
      <c r="AC836" s="450"/>
      <c r="AD836" s="449"/>
      <c r="AE836" s="451"/>
      <c r="AF836" s="450"/>
      <c r="AG836" s="449"/>
      <c r="AH836" s="451"/>
      <c r="AI836" s="450"/>
      <c r="AJ836" s="449"/>
      <c r="AK836" s="451"/>
      <c r="AL836" s="450"/>
      <c r="AM836" s="449"/>
      <c r="AN836" s="451"/>
      <c r="AO836" s="450"/>
      <c r="AP836" s="449"/>
      <c r="AQ836" s="451"/>
      <c r="AR836" s="449"/>
      <c r="AS836" s="449"/>
      <c r="AT836" s="451"/>
      <c r="AU836" s="449"/>
      <c r="AV836" s="451"/>
      <c r="AW836" s="449"/>
      <c r="AX836" s="449"/>
      <c r="AY836" s="449"/>
      <c r="AZ836" s="449"/>
      <c r="BA836" s="449"/>
      <c r="BB836" s="449"/>
      <c r="BC836" s="449"/>
      <c r="BD836" s="449"/>
      <c r="BE836" s="449"/>
      <c r="BF836" s="449"/>
      <c r="BG836" s="449"/>
      <c r="BH836" s="449"/>
      <c r="BI836" s="449"/>
      <c r="BJ836" s="449"/>
      <c r="BK836" s="449"/>
      <c r="BL836" s="449"/>
      <c r="BM836" s="449"/>
      <c r="BN836" s="449"/>
    </row>
    <row r="837" spans="1:66" ht="13.15" x14ac:dyDescent="0.4">
      <c r="A837" s="430"/>
      <c r="B837" s="430"/>
      <c r="C837" s="430"/>
      <c r="D837" s="430"/>
      <c r="E837" s="430"/>
      <c r="F837" s="430"/>
      <c r="G837" s="430"/>
      <c r="H837" s="461"/>
      <c r="I837" s="438"/>
      <c r="J837" s="438"/>
      <c r="K837" s="438"/>
      <c r="L837" s="430"/>
      <c r="M837" s="430"/>
      <c r="N837" s="461"/>
      <c r="O837" s="461"/>
      <c r="P837" s="430"/>
      <c r="Q837" s="430"/>
      <c r="R837" s="430"/>
      <c r="S837" s="430"/>
      <c r="T837" s="430"/>
      <c r="U837" s="430"/>
      <c r="V837" s="430"/>
      <c r="W837" s="430"/>
      <c r="X837" s="449"/>
      <c r="Y837" s="449"/>
      <c r="Z837" s="450"/>
      <c r="AA837" s="449"/>
      <c r="AB837" s="451"/>
      <c r="AC837" s="450"/>
      <c r="AD837" s="449"/>
      <c r="AE837" s="451"/>
      <c r="AF837" s="450"/>
      <c r="AG837" s="449"/>
      <c r="AH837" s="451"/>
      <c r="AI837" s="450"/>
      <c r="AJ837" s="449"/>
      <c r="AK837" s="451"/>
      <c r="AL837" s="450"/>
      <c r="AM837" s="449"/>
      <c r="AN837" s="451"/>
      <c r="AO837" s="450"/>
      <c r="AP837" s="449"/>
      <c r="AQ837" s="451"/>
      <c r="AR837" s="449"/>
      <c r="AS837" s="449"/>
      <c r="AT837" s="451"/>
      <c r="AU837" s="449"/>
      <c r="AV837" s="451"/>
      <c r="AW837" s="449"/>
      <c r="AX837" s="449"/>
      <c r="AY837" s="449"/>
      <c r="AZ837" s="449"/>
      <c r="BA837" s="449"/>
      <c r="BB837" s="449"/>
      <c r="BC837" s="449"/>
      <c r="BD837" s="449"/>
      <c r="BE837" s="449"/>
      <c r="BF837" s="449"/>
      <c r="BG837" s="449"/>
      <c r="BH837" s="449"/>
      <c r="BI837" s="449"/>
      <c r="BJ837" s="449"/>
      <c r="BK837" s="449"/>
      <c r="BL837" s="449"/>
      <c r="BM837" s="449"/>
      <c r="BN837" s="449"/>
    </row>
    <row r="838" spans="1:66" ht="13.15" x14ac:dyDescent="0.4">
      <c r="A838" s="430"/>
      <c r="B838" s="430"/>
      <c r="C838" s="430"/>
      <c r="D838" s="430"/>
      <c r="E838" s="430"/>
      <c r="F838" s="430"/>
      <c r="G838" s="430"/>
      <c r="H838" s="461"/>
      <c r="I838" s="438"/>
      <c r="J838" s="438"/>
      <c r="K838" s="438"/>
      <c r="L838" s="430"/>
      <c r="M838" s="430"/>
      <c r="N838" s="461"/>
      <c r="O838" s="461"/>
      <c r="P838" s="430"/>
      <c r="Q838" s="430"/>
      <c r="R838" s="430"/>
      <c r="S838" s="430"/>
      <c r="T838" s="430"/>
      <c r="U838" s="430"/>
      <c r="V838" s="430"/>
      <c r="W838" s="430"/>
      <c r="X838" s="449"/>
      <c r="Y838" s="449"/>
      <c r="Z838" s="450"/>
      <c r="AA838" s="449"/>
      <c r="AB838" s="451"/>
      <c r="AC838" s="450"/>
      <c r="AD838" s="449"/>
      <c r="AE838" s="451"/>
      <c r="AF838" s="450"/>
      <c r="AG838" s="449"/>
      <c r="AH838" s="451"/>
      <c r="AI838" s="450"/>
      <c r="AJ838" s="449"/>
      <c r="AK838" s="451"/>
      <c r="AL838" s="450"/>
      <c r="AM838" s="449"/>
      <c r="AN838" s="451"/>
      <c r="AO838" s="450"/>
      <c r="AP838" s="449"/>
      <c r="AQ838" s="451"/>
      <c r="AR838" s="449"/>
      <c r="AS838" s="449"/>
      <c r="AT838" s="451"/>
      <c r="AU838" s="449"/>
      <c r="AV838" s="451"/>
      <c r="AW838" s="449"/>
      <c r="AX838" s="449"/>
      <c r="AY838" s="449"/>
      <c r="AZ838" s="449"/>
      <c r="BA838" s="449"/>
      <c r="BB838" s="449"/>
      <c r="BC838" s="449"/>
      <c r="BD838" s="449"/>
      <c r="BE838" s="449"/>
      <c r="BF838" s="449"/>
      <c r="BG838" s="449"/>
      <c r="BH838" s="449"/>
      <c r="BI838" s="449"/>
      <c r="BJ838" s="449"/>
      <c r="BK838" s="449"/>
      <c r="BL838" s="449"/>
      <c r="BM838" s="449"/>
      <c r="BN838" s="449"/>
    </row>
    <row r="839" spans="1:66" ht="13.15" x14ac:dyDescent="0.4">
      <c r="A839" s="430"/>
      <c r="B839" s="430"/>
      <c r="C839" s="430"/>
      <c r="D839" s="430"/>
      <c r="E839" s="430"/>
      <c r="F839" s="430"/>
      <c r="G839" s="430"/>
      <c r="H839" s="461"/>
      <c r="I839" s="438"/>
      <c r="J839" s="438"/>
      <c r="K839" s="438"/>
      <c r="L839" s="430"/>
      <c r="M839" s="430"/>
      <c r="N839" s="461"/>
      <c r="O839" s="461"/>
      <c r="P839" s="430"/>
      <c r="Q839" s="430"/>
      <c r="R839" s="430"/>
      <c r="S839" s="430"/>
      <c r="T839" s="430"/>
      <c r="U839" s="430"/>
      <c r="V839" s="430"/>
      <c r="W839" s="430"/>
      <c r="X839" s="449"/>
      <c r="Y839" s="449"/>
      <c r="Z839" s="450"/>
      <c r="AA839" s="449"/>
      <c r="AB839" s="451"/>
      <c r="AC839" s="450"/>
      <c r="AD839" s="449"/>
      <c r="AE839" s="451"/>
      <c r="AF839" s="450"/>
      <c r="AG839" s="449"/>
      <c r="AH839" s="451"/>
      <c r="AI839" s="450"/>
      <c r="AJ839" s="449"/>
      <c r="AK839" s="451"/>
      <c r="AL839" s="450"/>
      <c r="AM839" s="449"/>
      <c r="AN839" s="451"/>
      <c r="AO839" s="450"/>
      <c r="AP839" s="449"/>
      <c r="AQ839" s="451"/>
      <c r="AR839" s="449"/>
      <c r="AS839" s="449"/>
      <c r="AT839" s="451"/>
      <c r="AU839" s="449"/>
      <c r="AV839" s="451"/>
      <c r="AW839" s="449"/>
      <c r="AX839" s="449"/>
      <c r="AY839" s="449"/>
      <c r="AZ839" s="449"/>
      <c r="BA839" s="449"/>
      <c r="BB839" s="449"/>
      <c r="BC839" s="449"/>
      <c r="BD839" s="449"/>
      <c r="BE839" s="449"/>
      <c r="BF839" s="449"/>
      <c r="BG839" s="449"/>
      <c r="BH839" s="449"/>
      <c r="BI839" s="449"/>
      <c r="BJ839" s="449"/>
      <c r="BK839" s="449"/>
      <c r="BL839" s="449"/>
      <c r="BM839" s="449"/>
      <c r="BN839" s="449"/>
    </row>
    <row r="840" spans="1:66" ht="13.15" x14ac:dyDescent="0.4">
      <c r="A840" s="430"/>
      <c r="B840" s="430"/>
      <c r="C840" s="430"/>
      <c r="D840" s="430"/>
      <c r="E840" s="430"/>
      <c r="F840" s="430"/>
      <c r="G840" s="430"/>
      <c r="H840" s="461"/>
      <c r="I840" s="438"/>
      <c r="J840" s="438"/>
      <c r="K840" s="438"/>
      <c r="L840" s="430"/>
      <c r="M840" s="430"/>
      <c r="N840" s="461"/>
      <c r="O840" s="461"/>
      <c r="P840" s="430"/>
      <c r="Q840" s="430"/>
      <c r="R840" s="430"/>
      <c r="S840" s="430"/>
      <c r="T840" s="430"/>
      <c r="U840" s="430"/>
      <c r="V840" s="430"/>
      <c r="W840" s="430"/>
      <c r="X840" s="449"/>
      <c r="Y840" s="449"/>
      <c r="Z840" s="450"/>
      <c r="AA840" s="449"/>
      <c r="AB840" s="451"/>
      <c r="AC840" s="450"/>
      <c r="AD840" s="449"/>
      <c r="AE840" s="451"/>
      <c r="AF840" s="450"/>
      <c r="AG840" s="449"/>
      <c r="AH840" s="451"/>
      <c r="AI840" s="450"/>
      <c r="AJ840" s="449"/>
      <c r="AK840" s="451"/>
      <c r="AL840" s="450"/>
      <c r="AM840" s="449"/>
      <c r="AN840" s="451"/>
      <c r="AO840" s="450"/>
      <c r="AP840" s="449"/>
      <c r="AQ840" s="451"/>
      <c r="AR840" s="449"/>
      <c r="AS840" s="449"/>
      <c r="AT840" s="451"/>
      <c r="AU840" s="449"/>
      <c r="AV840" s="451"/>
      <c r="AW840" s="449"/>
      <c r="AX840" s="449"/>
      <c r="AY840" s="449"/>
      <c r="AZ840" s="449"/>
      <c r="BA840" s="449"/>
      <c r="BB840" s="449"/>
      <c r="BC840" s="449"/>
      <c r="BD840" s="449"/>
      <c r="BE840" s="449"/>
      <c r="BF840" s="449"/>
      <c r="BG840" s="449"/>
      <c r="BH840" s="449"/>
      <c r="BI840" s="449"/>
      <c r="BJ840" s="449"/>
      <c r="BK840" s="449"/>
      <c r="BL840" s="449"/>
      <c r="BM840" s="449"/>
      <c r="BN840" s="449"/>
    </row>
    <row r="841" spans="1:66" ht="13.15" x14ac:dyDescent="0.4">
      <c r="A841" s="430"/>
      <c r="B841" s="430"/>
      <c r="C841" s="430"/>
      <c r="D841" s="430"/>
      <c r="E841" s="430"/>
      <c r="F841" s="430"/>
      <c r="G841" s="430"/>
      <c r="H841" s="461"/>
      <c r="I841" s="438"/>
      <c r="J841" s="438"/>
      <c r="K841" s="438"/>
      <c r="L841" s="430"/>
      <c r="M841" s="430"/>
      <c r="N841" s="461"/>
      <c r="O841" s="461"/>
      <c r="P841" s="430"/>
      <c r="Q841" s="430"/>
      <c r="R841" s="430"/>
      <c r="S841" s="430"/>
      <c r="T841" s="430"/>
      <c r="U841" s="430"/>
      <c r="V841" s="430"/>
      <c r="W841" s="430"/>
      <c r="X841" s="449"/>
      <c r="Y841" s="449"/>
      <c r="Z841" s="450"/>
      <c r="AA841" s="449"/>
      <c r="AB841" s="451"/>
      <c r="AC841" s="450"/>
      <c r="AD841" s="449"/>
      <c r="AE841" s="451"/>
      <c r="AF841" s="450"/>
      <c r="AG841" s="449"/>
      <c r="AH841" s="451"/>
      <c r="AI841" s="450"/>
      <c r="AJ841" s="449"/>
      <c r="AK841" s="451"/>
      <c r="AL841" s="450"/>
      <c r="AM841" s="449"/>
      <c r="AN841" s="451"/>
      <c r="AO841" s="450"/>
      <c r="AP841" s="449"/>
      <c r="AQ841" s="451"/>
      <c r="AR841" s="449"/>
      <c r="AS841" s="449"/>
      <c r="AT841" s="451"/>
      <c r="AU841" s="449"/>
      <c r="AV841" s="451"/>
      <c r="AW841" s="449"/>
      <c r="AX841" s="449"/>
      <c r="AY841" s="449"/>
      <c r="AZ841" s="449"/>
      <c r="BA841" s="449"/>
      <c r="BB841" s="449"/>
      <c r="BC841" s="449"/>
      <c r="BD841" s="449"/>
      <c r="BE841" s="449"/>
      <c r="BF841" s="449"/>
      <c r="BG841" s="449"/>
      <c r="BH841" s="449"/>
      <c r="BI841" s="449"/>
      <c r="BJ841" s="449"/>
      <c r="BK841" s="449"/>
      <c r="BL841" s="449"/>
      <c r="BM841" s="449"/>
      <c r="BN841" s="449"/>
    </row>
    <row r="842" spans="1:66" ht="13.15" x14ac:dyDescent="0.4">
      <c r="A842" s="430"/>
      <c r="B842" s="430"/>
      <c r="C842" s="430"/>
      <c r="D842" s="430"/>
      <c r="E842" s="430"/>
      <c r="F842" s="430"/>
      <c r="G842" s="430"/>
      <c r="H842" s="461"/>
      <c r="I842" s="438"/>
      <c r="J842" s="438"/>
      <c r="K842" s="438"/>
      <c r="L842" s="430"/>
      <c r="M842" s="430"/>
      <c r="N842" s="461"/>
      <c r="O842" s="461"/>
      <c r="P842" s="430"/>
      <c r="Q842" s="430"/>
      <c r="R842" s="430"/>
      <c r="S842" s="430"/>
      <c r="T842" s="430"/>
      <c r="U842" s="430"/>
      <c r="V842" s="430"/>
      <c r="W842" s="430"/>
      <c r="X842" s="449"/>
      <c r="Y842" s="449"/>
      <c r="Z842" s="450"/>
      <c r="AA842" s="449"/>
      <c r="AB842" s="451"/>
      <c r="AC842" s="450"/>
      <c r="AD842" s="449"/>
      <c r="AE842" s="451"/>
      <c r="AF842" s="450"/>
      <c r="AG842" s="449"/>
      <c r="AH842" s="451"/>
      <c r="AI842" s="450"/>
      <c r="AJ842" s="449"/>
      <c r="AK842" s="451"/>
      <c r="AL842" s="450"/>
      <c r="AM842" s="449"/>
      <c r="AN842" s="451"/>
      <c r="AO842" s="450"/>
      <c r="AP842" s="449"/>
      <c r="AQ842" s="451"/>
      <c r="AR842" s="449"/>
      <c r="AS842" s="449"/>
      <c r="AT842" s="451"/>
      <c r="AU842" s="449"/>
      <c r="AV842" s="451"/>
      <c r="AW842" s="449"/>
      <c r="AX842" s="449"/>
      <c r="AY842" s="449"/>
      <c r="AZ842" s="449"/>
      <c r="BA842" s="449"/>
      <c r="BB842" s="449"/>
      <c r="BC842" s="449"/>
      <c r="BD842" s="449"/>
      <c r="BE842" s="449"/>
      <c r="BF842" s="449"/>
      <c r="BG842" s="449"/>
      <c r="BH842" s="449"/>
      <c r="BI842" s="449"/>
      <c r="BJ842" s="449"/>
      <c r="BK842" s="449"/>
      <c r="BL842" s="449"/>
      <c r="BM842" s="449"/>
      <c r="BN842" s="449"/>
    </row>
    <row r="843" spans="1:66" ht="13.15" x14ac:dyDescent="0.4">
      <c r="A843" s="430"/>
      <c r="B843" s="430"/>
      <c r="C843" s="430"/>
      <c r="D843" s="430"/>
      <c r="E843" s="430"/>
      <c r="F843" s="430"/>
      <c r="G843" s="430"/>
      <c r="H843" s="461"/>
      <c r="I843" s="438"/>
      <c r="J843" s="438"/>
      <c r="K843" s="438"/>
      <c r="L843" s="430"/>
      <c r="M843" s="430"/>
      <c r="N843" s="461"/>
      <c r="O843" s="461"/>
      <c r="P843" s="430"/>
      <c r="Q843" s="430"/>
      <c r="R843" s="430"/>
      <c r="S843" s="430"/>
      <c r="T843" s="430"/>
      <c r="U843" s="430"/>
      <c r="V843" s="430"/>
      <c r="W843" s="430"/>
      <c r="X843" s="449"/>
      <c r="Y843" s="449"/>
      <c r="Z843" s="450"/>
      <c r="AA843" s="449"/>
      <c r="AB843" s="451"/>
      <c r="AC843" s="450"/>
      <c r="AD843" s="449"/>
      <c r="AE843" s="451"/>
      <c r="AF843" s="450"/>
      <c r="AG843" s="449"/>
      <c r="AH843" s="451"/>
      <c r="AI843" s="450"/>
      <c r="AJ843" s="449"/>
      <c r="AK843" s="451"/>
      <c r="AL843" s="450"/>
      <c r="AM843" s="449"/>
      <c r="AN843" s="451"/>
      <c r="AO843" s="450"/>
      <c r="AP843" s="449"/>
      <c r="AQ843" s="451"/>
      <c r="AR843" s="449"/>
      <c r="AS843" s="449"/>
      <c r="AT843" s="451"/>
      <c r="AU843" s="449"/>
      <c r="AV843" s="451"/>
      <c r="AW843" s="449"/>
      <c r="AX843" s="449"/>
      <c r="AY843" s="449"/>
      <c r="AZ843" s="449"/>
      <c r="BA843" s="449"/>
      <c r="BB843" s="449"/>
      <c r="BC843" s="449"/>
      <c r="BD843" s="449"/>
      <c r="BE843" s="449"/>
      <c r="BF843" s="449"/>
      <c r="BG843" s="449"/>
      <c r="BH843" s="449"/>
      <c r="BI843" s="449"/>
      <c r="BJ843" s="449"/>
      <c r="BK843" s="449"/>
      <c r="BL843" s="449"/>
      <c r="BM843" s="449"/>
      <c r="BN843" s="449"/>
    </row>
    <row r="844" spans="1:66" ht="13.15" x14ac:dyDescent="0.4">
      <c r="A844" s="430"/>
      <c r="B844" s="430"/>
      <c r="C844" s="430"/>
      <c r="D844" s="430"/>
      <c r="E844" s="430"/>
      <c r="F844" s="430"/>
      <c r="G844" s="430"/>
      <c r="H844" s="461"/>
      <c r="I844" s="438"/>
      <c r="J844" s="438"/>
      <c r="K844" s="438"/>
      <c r="L844" s="430"/>
      <c r="M844" s="430"/>
      <c r="N844" s="461"/>
      <c r="O844" s="461"/>
      <c r="P844" s="430"/>
      <c r="Q844" s="430"/>
      <c r="R844" s="430"/>
      <c r="S844" s="430"/>
      <c r="T844" s="430"/>
      <c r="U844" s="430"/>
      <c r="V844" s="430"/>
      <c r="W844" s="430"/>
      <c r="X844" s="449"/>
      <c r="Y844" s="449"/>
      <c r="Z844" s="450"/>
      <c r="AA844" s="449"/>
      <c r="AB844" s="451"/>
      <c r="AC844" s="450"/>
      <c r="AD844" s="449"/>
      <c r="AE844" s="451"/>
      <c r="AF844" s="450"/>
      <c r="AG844" s="449"/>
      <c r="AH844" s="451"/>
      <c r="AI844" s="450"/>
      <c r="AJ844" s="449"/>
      <c r="AK844" s="451"/>
      <c r="AL844" s="450"/>
      <c r="AM844" s="449"/>
      <c r="AN844" s="451"/>
      <c r="AO844" s="450"/>
      <c r="AP844" s="449"/>
      <c r="AQ844" s="451"/>
      <c r="AR844" s="449"/>
      <c r="AS844" s="449"/>
      <c r="AT844" s="451"/>
      <c r="AU844" s="449"/>
      <c r="AV844" s="451"/>
      <c r="AW844" s="449"/>
      <c r="AX844" s="449"/>
      <c r="AY844" s="449"/>
      <c r="AZ844" s="449"/>
      <c r="BA844" s="449"/>
      <c r="BB844" s="449"/>
      <c r="BC844" s="449"/>
      <c r="BD844" s="449"/>
      <c r="BE844" s="449"/>
      <c r="BF844" s="449"/>
      <c r="BG844" s="449"/>
      <c r="BH844" s="449"/>
      <c r="BI844" s="449"/>
      <c r="BJ844" s="449"/>
      <c r="BK844" s="449"/>
      <c r="BL844" s="449"/>
      <c r="BM844" s="449"/>
      <c r="BN844" s="449"/>
    </row>
    <row r="845" spans="1:66" ht="13.15" x14ac:dyDescent="0.4">
      <c r="A845" s="430"/>
      <c r="B845" s="430"/>
      <c r="C845" s="430"/>
      <c r="D845" s="430"/>
      <c r="E845" s="430"/>
      <c r="F845" s="430"/>
      <c r="G845" s="430"/>
      <c r="H845" s="461"/>
      <c r="I845" s="438"/>
      <c r="J845" s="438"/>
      <c r="K845" s="438"/>
      <c r="L845" s="430"/>
      <c r="M845" s="430"/>
      <c r="N845" s="461"/>
      <c r="O845" s="461"/>
      <c r="P845" s="430"/>
      <c r="Q845" s="430"/>
      <c r="R845" s="430"/>
      <c r="S845" s="430"/>
      <c r="T845" s="430"/>
      <c r="U845" s="430"/>
      <c r="V845" s="430"/>
      <c r="W845" s="430"/>
      <c r="X845" s="449"/>
      <c r="Y845" s="449"/>
      <c r="Z845" s="450"/>
      <c r="AA845" s="449"/>
      <c r="AB845" s="451"/>
      <c r="AC845" s="450"/>
      <c r="AD845" s="449"/>
      <c r="AE845" s="451"/>
      <c r="AF845" s="450"/>
      <c r="AG845" s="449"/>
      <c r="AH845" s="451"/>
      <c r="AI845" s="450"/>
      <c r="AJ845" s="449"/>
      <c r="AK845" s="451"/>
      <c r="AL845" s="450"/>
      <c r="AM845" s="449"/>
      <c r="AN845" s="451"/>
      <c r="AO845" s="450"/>
      <c r="AP845" s="449"/>
      <c r="AQ845" s="451"/>
      <c r="AR845" s="449"/>
      <c r="AS845" s="449"/>
      <c r="AT845" s="451"/>
      <c r="AU845" s="449"/>
      <c r="AV845" s="451"/>
      <c r="AW845" s="449"/>
      <c r="AX845" s="449"/>
      <c r="AY845" s="449"/>
      <c r="AZ845" s="449"/>
      <c r="BA845" s="449"/>
      <c r="BB845" s="449"/>
      <c r="BC845" s="449"/>
      <c r="BD845" s="449"/>
      <c r="BE845" s="449"/>
      <c r="BF845" s="449"/>
      <c r="BG845" s="449"/>
      <c r="BH845" s="449"/>
      <c r="BI845" s="449"/>
      <c r="BJ845" s="449"/>
      <c r="BK845" s="449"/>
      <c r="BL845" s="449"/>
      <c r="BM845" s="449"/>
      <c r="BN845" s="449"/>
    </row>
    <row r="846" spans="1:66" ht="13.15" x14ac:dyDescent="0.4">
      <c r="A846" s="430"/>
      <c r="B846" s="430"/>
      <c r="C846" s="430"/>
      <c r="D846" s="430"/>
      <c r="E846" s="430"/>
      <c r="F846" s="430"/>
      <c r="G846" s="430"/>
      <c r="H846" s="461"/>
      <c r="I846" s="438"/>
      <c r="J846" s="438"/>
      <c r="K846" s="438"/>
      <c r="L846" s="430"/>
      <c r="M846" s="430"/>
      <c r="N846" s="461"/>
      <c r="O846" s="461"/>
      <c r="P846" s="430"/>
      <c r="Q846" s="430"/>
      <c r="R846" s="430"/>
      <c r="S846" s="430"/>
      <c r="T846" s="430"/>
      <c r="U846" s="430"/>
      <c r="V846" s="430"/>
      <c r="W846" s="430"/>
      <c r="X846" s="449"/>
      <c r="Y846" s="449"/>
      <c r="Z846" s="450"/>
      <c r="AA846" s="449"/>
      <c r="AB846" s="451"/>
      <c r="AC846" s="450"/>
      <c r="AD846" s="449"/>
      <c r="AE846" s="451"/>
      <c r="AF846" s="450"/>
      <c r="AG846" s="449"/>
      <c r="AH846" s="451"/>
      <c r="AI846" s="450"/>
      <c r="AJ846" s="449"/>
      <c r="AK846" s="451"/>
      <c r="AL846" s="450"/>
      <c r="AM846" s="449"/>
      <c r="AN846" s="451"/>
      <c r="AO846" s="450"/>
      <c r="AP846" s="449"/>
      <c r="AQ846" s="451"/>
      <c r="AR846" s="449"/>
      <c r="AS846" s="449"/>
      <c r="AT846" s="451"/>
      <c r="AU846" s="449"/>
      <c r="AV846" s="451"/>
      <c r="AW846" s="449"/>
      <c r="AX846" s="449"/>
      <c r="AY846" s="449"/>
      <c r="AZ846" s="449"/>
      <c r="BA846" s="449"/>
      <c r="BB846" s="449"/>
      <c r="BC846" s="449"/>
      <c r="BD846" s="449"/>
      <c r="BE846" s="449"/>
      <c r="BF846" s="449"/>
      <c r="BG846" s="449"/>
      <c r="BH846" s="449"/>
      <c r="BI846" s="449"/>
      <c r="BJ846" s="449"/>
      <c r="BK846" s="449"/>
      <c r="BL846" s="449"/>
      <c r="BM846" s="449"/>
      <c r="BN846" s="449"/>
    </row>
    <row r="847" spans="1:66" ht="13.15" x14ac:dyDescent="0.4">
      <c r="A847" s="430"/>
      <c r="B847" s="430"/>
      <c r="C847" s="430"/>
      <c r="D847" s="430"/>
      <c r="E847" s="430"/>
      <c r="F847" s="430"/>
      <c r="G847" s="430"/>
      <c r="H847" s="461"/>
      <c r="I847" s="438"/>
      <c r="J847" s="438"/>
      <c r="K847" s="438"/>
      <c r="L847" s="430"/>
      <c r="M847" s="430"/>
      <c r="N847" s="461"/>
      <c r="O847" s="461"/>
      <c r="P847" s="430"/>
      <c r="Q847" s="430"/>
      <c r="R847" s="430"/>
      <c r="S847" s="430"/>
      <c r="T847" s="430"/>
      <c r="U847" s="430"/>
      <c r="V847" s="430"/>
      <c r="W847" s="430"/>
      <c r="X847" s="449"/>
      <c r="Y847" s="449"/>
      <c r="Z847" s="450"/>
      <c r="AA847" s="449"/>
      <c r="AB847" s="451"/>
      <c r="AC847" s="450"/>
      <c r="AD847" s="449"/>
      <c r="AE847" s="451"/>
      <c r="AF847" s="450"/>
      <c r="AG847" s="449"/>
      <c r="AH847" s="451"/>
      <c r="AI847" s="450"/>
      <c r="AJ847" s="449"/>
      <c r="AK847" s="451"/>
      <c r="AL847" s="450"/>
      <c r="AM847" s="449"/>
      <c r="AN847" s="451"/>
      <c r="AO847" s="450"/>
      <c r="AP847" s="449"/>
      <c r="AQ847" s="451"/>
      <c r="AR847" s="449"/>
      <c r="AS847" s="449"/>
      <c r="AT847" s="451"/>
      <c r="AU847" s="449"/>
      <c r="AV847" s="451"/>
      <c r="AW847" s="449"/>
      <c r="AX847" s="449"/>
      <c r="AY847" s="449"/>
      <c r="AZ847" s="449"/>
      <c r="BA847" s="449"/>
      <c r="BB847" s="449"/>
      <c r="BC847" s="449"/>
      <c r="BD847" s="449"/>
      <c r="BE847" s="449"/>
      <c r="BF847" s="449"/>
      <c r="BG847" s="449"/>
      <c r="BH847" s="449"/>
      <c r="BI847" s="449"/>
      <c r="BJ847" s="449"/>
      <c r="BK847" s="449"/>
      <c r="BL847" s="449"/>
      <c r="BM847" s="449"/>
      <c r="BN847" s="449"/>
    </row>
    <row r="848" spans="1:66" ht="13.15" x14ac:dyDescent="0.4">
      <c r="A848" s="430"/>
      <c r="B848" s="430"/>
      <c r="C848" s="430"/>
      <c r="D848" s="430"/>
      <c r="E848" s="430"/>
      <c r="F848" s="430"/>
      <c r="G848" s="430"/>
      <c r="H848" s="461"/>
      <c r="I848" s="438"/>
      <c r="J848" s="438"/>
      <c r="K848" s="438"/>
      <c r="L848" s="430"/>
      <c r="M848" s="430"/>
      <c r="N848" s="461"/>
      <c r="O848" s="461"/>
      <c r="P848" s="430"/>
      <c r="Q848" s="430"/>
      <c r="R848" s="430"/>
      <c r="S848" s="430"/>
      <c r="T848" s="430"/>
      <c r="U848" s="430"/>
      <c r="V848" s="430"/>
      <c r="W848" s="430"/>
      <c r="X848" s="449"/>
      <c r="Y848" s="449"/>
      <c r="Z848" s="450"/>
      <c r="AA848" s="449"/>
      <c r="AB848" s="451"/>
      <c r="AC848" s="450"/>
      <c r="AD848" s="449"/>
      <c r="AE848" s="451"/>
      <c r="AF848" s="450"/>
      <c r="AG848" s="449"/>
      <c r="AH848" s="451"/>
      <c r="AI848" s="450"/>
      <c r="AJ848" s="449"/>
      <c r="AK848" s="451"/>
      <c r="AL848" s="450"/>
      <c r="AM848" s="449"/>
      <c r="AN848" s="451"/>
      <c r="AO848" s="450"/>
      <c r="AP848" s="449"/>
      <c r="AQ848" s="451"/>
      <c r="AR848" s="449"/>
      <c r="AS848" s="449"/>
      <c r="AT848" s="451"/>
      <c r="AU848" s="449"/>
      <c r="AV848" s="451"/>
      <c r="AW848" s="449"/>
      <c r="AX848" s="449"/>
      <c r="AY848" s="449"/>
      <c r="AZ848" s="449"/>
      <c r="BA848" s="449"/>
      <c r="BB848" s="449"/>
      <c r="BC848" s="449"/>
      <c r="BD848" s="449"/>
      <c r="BE848" s="449"/>
      <c r="BF848" s="449"/>
      <c r="BG848" s="449"/>
      <c r="BH848" s="449"/>
      <c r="BI848" s="449"/>
      <c r="BJ848" s="449"/>
      <c r="BK848" s="449"/>
      <c r="BL848" s="449"/>
      <c r="BM848" s="449"/>
      <c r="BN848" s="449"/>
    </row>
    <row r="849" spans="1:66" ht="13.15" x14ac:dyDescent="0.4">
      <c r="A849" s="430"/>
      <c r="B849" s="430"/>
      <c r="C849" s="430"/>
      <c r="D849" s="430"/>
      <c r="E849" s="430"/>
      <c r="F849" s="430"/>
      <c r="G849" s="430"/>
      <c r="H849" s="461"/>
      <c r="I849" s="438"/>
      <c r="J849" s="438"/>
      <c r="K849" s="438"/>
      <c r="L849" s="430"/>
      <c r="M849" s="430"/>
      <c r="N849" s="461"/>
      <c r="O849" s="461"/>
      <c r="P849" s="430"/>
      <c r="Q849" s="430"/>
      <c r="R849" s="430"/>
      <c r="S849" s="430"/>
      <c r="T849" s="430"/>
      <c r="U849" s="430"/>
      <c r="V849" s="430"/>
      <c r="W849" s="430"/>
      <c r="X849" s="449"/>
      <c r="Y849" s="449"/>
      <c r="Z849" s="450"/>
      <c r="AA849" s="449"/>
      <c r="AB849" s="451"/>
      <c r="AC849" s="450"/>
      <c r="AD849" s="449"/>
      <c r="AE849" s="451"/>
      <c r="AF849" s="450"/>
      <c r="AG849" s="449"/>
      <c r="AH849" s="451"/>
      <c r="AI849" s="450"/>
      <c r="AJ849" s="449"/>
      <c r="AK849" s="451"/>
      <c r="AL849" s="450"/>
      <c r="AM849" s="449"/>
      <c r="AN849" s="451"/>
      <c r="AO849" s="450"/>
      <c r="AP849" s="449"/>
      <c r="AQ849" s="451"/>
      <c r="AR849" s="449"/>
      <c r="AS849" s="449"/>
      <c r="AT849" s="451"/>
      <c r="AU849" s="449"/>
      <c r="AV849" s="451"/>
      <c r="AW849" s="449"/>
      <c r="AX849" s="449"/>
      <c r="AY849" s="449"/>
      <c r="AZ849" s="449"/>
      <c r="BA849" s="449"/>
      <c r="BB849" s="449"/>
      <c r="BC849" s="449"/>
      <c r="BD849" s="449"/>
      <c r="BE849" s="449"/>
      <c r="BF849" s="449"/>
      <c r="BG849" s="449"/>
      <c r="BH849" s="449"/>
      <c r="BI849" s="449"/>
      <c r="BJ849" s="449"/>
      <c r="BK849" s="449"/>
      <c r="BL849" s="449"/>
      <c r="BM849" s="449"/>
      <c r="BN849" s="449"/>
    </row>
    <row r="850" spans="1:66" ht="13.15" x14ac:dyDescent="0.4">
      <c r="A850" s="430"/>
      <c r="B850" s="430"/>
      <c r="C850" s="430"/>
      <c r="D850" s="430"/>
      <c r="E850" s="430"/>
      <c r="F850" s="430"/>
      <c r="G850" s="430"/>
      <c r="H850" s="461"/>
      <c r="I850" s="438"/>
      <c r="J850" s="438"/>
      <c r="K850" s="438"/>
      <c r="L850" s="430"/>
      <c r="M850" s="430"/>
      <c r="N850" s="461"/>
      <c r="O850" s="461"/>
      <c r="P850" s="430"/>
      <c r="Q850" s="430"/>
      <c r="R850" s="430"/>
      <c r="S850" s="430"/>
      <c r="T850" s="430"/>
      <c r="U850" s="430"/>
      <c r="V850" s="430"/>
      <c r="W850" s="430"/>
      <c r="X850" s="449"/>
      <c r="Y850" s="449"/>
      <c r="Z850" s="450"/>
      <c r="AA850" s="449"/>
      <c r="AB850" s="451"/>
      <c r="AC850" s="450"/>
      <c r="AD850" s="449"/>
      <c r="AE850" s="451"/>
      <c r="AF850" s="450"/>
      <c r="AG850" s="449"/>
      <c r="AH850" s="451"/>
      <c r="AI850" s="450"/>
      <c r="AJ850" s="449"/>
      <c r="AK850" s="451"/>
      <c r="AL850" s="450"/>
      <c r="AM850" s="449"/>
      <c r="AN850" s="451"/>
      <c r="AO850" s="450"/>
      <c r="AP850" s="449"/>
      <c r="AQ850" s="451"/>
      <c r="AR850" s="449"/>
      <c r="AS850" s="449"/>
      <c r="AT850" s="451"/>
      <c r="AU850" s="449"/>
      <c r="AV850" s="451"/>
      <c r="AW850" s="449"/>
      <c r="AX850" s="449"/>
      <c r="AY850" s="449"/>
      <c r="AZ850" s="449"/>
      <c r="BA850" s="449"/>
      <c r="BB850" s="449"/>
      <c r="BC850" s="449"/>
      <c r="BD850" s="449"/>
      <c r="BE850" s="449"/>
      <c r="BF850" s="449"/>
      <c r="BG850" s="449"/>
      <c r="BH850" s="449"/>
      <c r="BI850" s="449"/>
      <c r="BJ850" s="449"/>
      <c r="BK850" s="449"/>
      <c r="BL850" s="449"/>
      <c r="BM850" s="449"/>
      <c r="BN850" s="449"/>
    </row>
    <row r="851" spans="1:66" ht="13.15" x14ac:dyDescent="0.4">
      <c r="A851" s="430"/>
      <c r="B851" s="430"/>
      <c r="C851" s="430"/>
      <c r="D851" s="430"/>
      <c r="E851" s="430"/>
      <c r="F851" s="430"/>
      <c r="G851" s="430"/>
      <c r="H851" s="461"/>
      <c r="I851" s="438"/>
      <c r="J851" s="438"/>
      <c r="K851" s="438"/>
      <c r="L851" s="430"/>
      <c r="M851" s="430"/>
      <c r="N851" s="461"/>
      <c r="O851" s="461"/>
      <c r="P851" s="430"/>
      <c r="Q851" s="430"/>
      <c r="R851" s="430"/>
      <c r="S851" s="430"/>
      <c r="T851" s="430"/>
      <c r="U851" s="430"/>
      <c r="V851" s="430"/>
      <c r="W851" s="430"/>
      <c r="X851" s="449"/>
      <c r="Y851" s="449"/>
      <c r="Z851" s="450"/>
      <c r="AA851" s="449"/>
      <c r="AB851" s="451"/>
      <c r="AC851" s="450"/>
      <c r="AD851" s="449"/>
      <c r="AE851" s="451"/>
      <c r="AF851" s="450"/>
      <c r="AG851" s="449"/>
      <c r="AH851" s="451"/>
      <c r="AI851" s="450"/>
      <c r="AJ851" s="449"/>
      <c r="AK851" s="451"/>
      <c r="AL851" s="450"/>
      <c r="AM851" s="449"/>
      <c r="AN851" s="451"/>
      <c r="AO851" s="450"/>
      <c r="AP851" s="449"/>
      <c r="AQ851" s="451"/>
      <c r="AR851" s="449"/>
      <c r="AS851" s="449"/>
      <c r="AT851" s="451"/>
      <c r="AU851" s="449"/>
      <c r="AV851" s="451"/>
      <c r="AW851" s="449"/>
      <c r="AX851" s="449"/>
      <c r="AY851" s="449"/>
      <c r="AZ851" s="449"/>
      <c r="BA851" s="449"/>
      <c r="BB851" s="449"/>
      <c r="BC851" s="449"/>
      <c r="BD851" s="449"/>
      <c r="BE851" s="449"/>
      <c r="BF851" s="449"/>
      <c r="BG851" s="449"/>
      <c r="BH851" s="449"/>
      <c r="BI851" s="449"/>
      <c r="BJ851" s="449"/>
      <c r="BK851" s="449"/>
      <c r="BL851" s="449"/>
      <c r="BM851" s="449"/>
      <c r="BN851" s="449"/>
    </row>
    <row r="852" spans="1:66" ht="13.15" x14ac:dyDescent="0.4">
      <c r="A852" s="430"/>
      <c r="B852" s="430"/>
      <c r="C852" s="430"/>
      <c r="D852" s="430"/>
      <c r="E852" s="430"/>
      <c r="F852" s="430"/>
      <c r="G852" s="430"/>
      <c r="H852" s="461"/>
      <c r="I852" s="438"/>
      <c r="J852" s="438"/>
      <c r="K852" s="438"/>
      <c r="L852" s="430"/>
      <c r="M852" s="430"/>
      <c r="N852" s="461"/>
      <c r="O852" s="461"/>
      <c r="P852" s="430"/>
      <c r="Q852" s="430"/>
      <c r="R852" s="430"/>
      <c r="S852" s="430"/>
      <c r="T852" s="430"/>
      <c r="U852" s="430"/>
      <c r="V852" s="430"/>
      <c r="W852" s="430"/>
      <c r="X852" s="449"/>
      <c r="Y852" s="449"/>
      <c r="Z852" s="450"/>
      <c r="AA852" s="449"/>
      <c r="AB852" s="451"/>
      <c r="AC852" s="450"/>
      <c r="AD852" s="449"/>
      <c r="AE852" s="451"/>
      <c r="AF852" s="450"/>
      <c r="AG852" s="449"/>
      <c r="AH852" s="451"/>
      <c r="AI852" s="450"/>
      <c r="AJ852" s="449"/>
      <c r="AK852" s="451"/>
      <c r="AL852" s="450"/>
      <c r="AM852" s="449"/>
      <c r="AN852" s="451"/>
      <c r="AO852" s="450"/>
      <c r="AP852" s="449"/>
      <c r="AQ852" s="451"/>
      <c r="AR852" s="449"/>
      <c r="AS852" s="449"/>
      <c r="AT852" s="451"/>
      <c r="AU852" s="449"/>
      <c r="AV852" s="451"/>
      <c r="AW852" s="449"/>
      <c r="AX852" s="449"/>
      <c r="AY852" s="449"/>
      <c r="AZ852" s="449"/>
      <c r="BA852" s="449"/>
      <c r="BB852" s="449"/>
      <c r="BC852" s="449"/>
      <c r="BD852" s="449"/>
      <c r="BE852" s="449"/>
      <c r="BF852" s="449"/>
      <c r="BG852" s="449"/>
      <c r="BH852" s="449"/>
      <c r="BI852" s="449"/>
      <c r="BJ852" s="449"/>
      <c r="BK852" s="449"/>
      <c r="BL852" s="449"/>
      <c r="BM852" s="449"/>
      <c r="BN852" s="449"/>
    </row>
    <row r="853" spans="1:66" ht="13.15" x14ac:dyDescent="0.4">
      <c r="A853" s="430"/>
      <c r="B853" s="430"/>
      <c r="C853" s="430"/>
      <c r="D853" s="430"/>
      <c r="E853" s="430"/>
      <c r="F853" s="430"/>
      <c r="G853" s="430"/>
      <c r="H853" s="461"/>
      <c r="I853" s="438"/>
      <c r="J853" s="438"/>
      <c r="K853" s="438"/>
      <c r="L853" s="430"/>
      <c r="M853" s="430"/>
      <c r="N853" s="461"/>
      <c r="O853" s="461"/>
      <c r="P853" s="430"/>
      <c r="Q853" s="430"/>
      <c r="R853" s="430"/>
      <c r="S853" s="430"/>
      <c r="T853" s="430"/>
      <c r="U853" s="430"/>
      <c r="V853" s="430"/>
      <c r="W853" s="430"/>
      <c r="X853" s="449"/>
      <c r="Y853" s="449"/>
      <c r="Z853" s="450"/>
      <c r="AA853" s="449"/>
      <c r="AB853" s="451"/>
      <c r="AC853" s="450"/>
      <c r="AD853" s="449"/>
      <c r="AE853" s="451"/>
      <c r="AF853" s="450"/>
      <c r="AG853" s="449"/>
      <c r="AH853" s="451"/>
      <c r="AI853" s="450"/>
      <c r="AJ853" s="449"/>
      <c r="AK853" s="451"/>
      <c r="AL853" s="450"/>
      <c r="AM853" s="449"/>
      <c r="AN853" s="451"/>
      <c r="AO853" s="450"/>
      <c r="AP853" s="449"/>
      <c r="AQ853" s="451"/>
      <c r="AR853" s="449"/>
      <c r="AS853" s="449"/>
      <c r="AT853" s="451"/>
      <c r="AU853" s="449"/>
      <c r="AV853" s="451"/>
      <c r="AW853" s="449"/>
      <c r="AX853" s="449"/>
      <c r="AY853" s="449"/>
      <c r="AZ853" s="449"/>
      <c r="BA853" s="449"/>
      <c r="BB853" s="449"/>
      <c r="BC853" s="449"/>
      <c r="BD853" s="449"/>
      <c r="BE853" s="449"/>
      <c r="BF853" s="449"/>
      <c r="BG853" s="449"/>
      <c r="BH853" s="449"/>
      <c r="BI853" s="449"/>
      <c r="BJ853" s="449"/>
      <c r="BK853" s="449"/>
      <c r="BL853" s="449"/>
      <c r="BM853" s="449"/>
      <c r="BN853" s="449"/>
    </row>
    <row r="854" spans="1:66" ht="13.15" x14ac:dyDescent="0.4">
      <c r="A854" s="430"/>
      <c r="B854" s="430"/>
      <c r="C854" s="430"/>
      <c r="D854" s="430"/>
      <c r="E854" s="430"/>
      <c r="F854" s="430"/>
      <c r="G854" s="430"/>
      <c r="H854" s="461"/>
      <c r="I854" s="438"/>
      <c r="J854" s="438"/>
      <c r="K854" s="438"/>
      <c r="L854" s="430"/>
      <c r="M854" s="430"/>
      <c r="N854" s="461"/>
      <c r="O854" s="461"/>
      <c r="P854" s="430"/>
      <c r="Q854" s="430"/>
      <c r="R854" s="430"/>
      <c r="S854" s="430"/>
      <c r="T854" s="430"/>
      <c r="U854" s="430"/>
      <c r="V854" s="430"/>
      <c r="W854" s="430"/>
      <c r="X854" s="449"/>
      <c r="Y854" s="449"/>
      <c r="Z854" s="450"/>
      <c r="AA854" s="449"/>
      <c r="AB854" s="451"/>
      <c r="AC854" s="450"/>
      <c r="AD854" s="449"/>
      <c r="AE854" s="451"/>
      <c r="AF854" s="450"/>
      <c r="AG854" s="449"/>
      <c r="AH854" s="451"/>
      <c r="AI854" s="450"/>
      <c r="AJ854" s="449"/>
      <c r="AK854" s="451"/>
      <c r="AL854" s="450"/>
      <c r="AM854" s="449"/>
      <c r="AN854" s="451"/>
      <c r="AO854" s="450"/>
      <c r="AP854" s="449"/>
      <c r="AQ854" s="451"/>
      <c r="AR854" s="449"/>
      <c r="AS854" s="449"/>
      <c r="AT854" s="451"/>
      <c r="AU854" s="449"/>
      <c r="AV854" s="451"/>
      <c r="AW854" s="449"/>
      <c r="AX854" s="449"/>
      <c r="AY854" s="449"/>
      <c r="AZ854" s="449"/>
      <c r="BA854" s="449"/>
      <c r="BB854" s="449"/>
      <c r="BC854" s="449"/>
      <c r="BD854" s="449"/>
      <c r="BE854" s="449"/>
      <c r="BF854" s="449"/>
      <c r="BG854" s="449"/>
      <c r="BH854" s="449"/>
      <c r="BI854" s="449"/>
      <c r="BJ854" s="449"/>
      <c r="BK854" s="449"/>
      <c r="BL854" s="449"/>
      <c r="BM854" s="449"/>
      <c r="BN854" s="449"/>
    </row>
    <row r="855" spans="1:66" ht="13.15" x14ac:dyDescent="0.4">
      <c r="A855" s="430"/>
      <c r="B855" s="430"/>
      <c r="C855" s="430"/>
      <c r="D855" s="430"/>
      <c r="E855" s="430"/>
      <c r="F855" s="430"/>
      <c r="G855" s="430"/>
      <c r="H855" s="461"/>
      <c r="I855" s="438"/>
      <c r="J855" s="438"/>
      <c r="K855" s="438"/>
      <c r="L855" s="430"/>
      <c r="M855" s="430"/>
      <c r="N855" s="461"/>
      <c r="O855" s="461"/>
      <c r="P855" s="430"/>
      <c r="Q855" s="430"/>
      <c r="R855" s="430"/>
      <c r="S855" s="430"/>
      <c r="T855" s="430"/>
      <c r="U855" s="430"/>
      <c r="V855" s="430"/>
      <c r="W855" s="430"/>
      <c r="X855" s="449"/>
      <c r="Y855" s="449"/>
      <c r="Z855" s="450"/>
      <c r="AA855" s="449"/>
      <c r="AB855" s="451"/>
      <c r="AC855" s="450"/>
      <c r="AD855" s="449"/>
      <c r="AE855" s="451"/>
      <c r="AF855" s="450"/>
      <c r="AG855" s="449"/>
      <c r="AH855" s="451"/>
      <c r="AI855" s="450"/>
      <c r="AJ855" s="449"/>
      <c r="AK855" s="451"/>
      <c r="AL855" s="450"/>
      <c r="AM855" s="449"/>
      <c r="AN855" s="451"/>
      <c r="AO855" s="450"/>
      <c r="AP855" s="449"/>
      <c r="AQ855" s="451"/>
      <c r="AR855" s="449"/>
      <c r="AS855" s="449"/>
      <c r="AT855" s="451"/>
      <c r="AU855" s="449"/>
      <c r="AV855" s="451"/>
      <c r="AW855" s="449"/>
      <c r="AX855" s="449"/>
      <c r="AY855" s="449"/>
      <c r="AZ855" s="449"/>
      <c r="BA855" s="449"/>
      <c r="BB855" s="449"/>
      <c r="BC855" s="449"/>
      <c r="BD855" s="449"/>
      <c r="BE855" s="449"/>
      <c r="BF855" s="449"/>
      <c r="BG855" s="449"/>
      <c r="BH855" s="449"/>
      <c r="BI855" s="449"/>
      <c r="BJ855" s="449"/>
      <c r="BK855" s="449"/>
      <c r="BL855" s="449"/>
      <c r="BM855" s="449"/>
      <c r="BN855" s="449"/>
    </row>
    <row r="856" spans="1:66" ht="13.15" x14ac:dyDescent="0.4">
      <c r="A856" s="430"/>
      <c r="B856" s="430"/>
      <c r="C856" s="430"/>
      <c r="D856" s="430"/>
      <c r="E856" s="430"/>
      <c r="F856" s="430"/>
      <c r="G856" s="430"/>
      <c r="H856" s="461"/>
      <c r="I856" s="438"/>
      <c r="J856" s="438"/>
      <c r="K856" s="438"/>
      <c r="L856" s="430"/>
      <c r="M856" s="430"/>
      <c r="N856" s="461"/>
      <c r="O856" s="461"/>
      <c r="P856" s="430"/>
      <c r="Q856" s="430"/>
      <c r="R856" s="430"/>
      <c r="S856" s="430"/>
      <c r="T856" s="430"/>
      <c r="U856" s="430"/>
      <c r="V856" s="430"/>
      <c r="W856" s="430"/>
      <c r="X856" s="449"/>
      <c r="Y856" s="449"/>
      <c r="Z856" s="450"/>
      <c r="AA856" s="449"/>
      <c r="AB856" s="451"/>
      <c r="AC856" s="450"/>
      <c r="AD856" s="449"/>
      <c r="AE856" s="451"/>
      <c r="AF856" s="450"/>
      <c r="AG856" s="449"/>
      <c r="AH856" s="451"/>
      <c r="AI856" s="450"/>
      <c r="AJ856" s="449"/>
      <c r="AK856" s="451"/>
      <c r="AL856" s="450"/>
      <c r="AM856" s="449"/>
      <c r="AN856" s="451"/>
      <c r="AO856" s="450"/>
      <c r="AP856" s="449"/>
      <c r="AQ856" s="451"/>
      <c r="AR856" s="449"/>
      <c r="AS856" s="449"/>
      <c r="AT856" s="451"/>
      <c r="AU856" s="449"/>
      <c r="AV856" s="451"/>
      <c r="AW856" s="449"/>
      <c r="AX856" s="449"/>
      <c r="AY856" s="449"/>
      <c r="AZ856" s="449"/>
      <c r="BA856" s="449"/>
      <c r="BB856" s="449"/>
      <c r="BC856" s="449"/>
      <c r="BD856" s="449"/>
      <c r="BE856" s="449"/>
      <c r="BF856" s="449"/>
      <c r="BG856" s="449"/>
      <c r="BH856" s="449"/>
      <c r="BI856" s="449"/>
      <c r="BJ856" s="449"/>
      <c r="BK856" s="449"/>
      <c r="BL856" s="449"/>
      <c r="BM856" s="449"/>
      <c r="BN856" s="449"/>
    </row>
    <row r="857" spans="1:66" ht="13.15" x14ac:dyDescent="0.4">
      <c r="A857" s="430"/>
      <c r="B857" s="430"/>
      <c r="C857" s="430"/>
      <c r="D857" s="430"/>
      <c r="E857" s="430"/>
      <c r="F857" s="430"/>
      <c r="G857" s="430"/>
      <c r="H857" s="461"/>
      <c r="I857" s="438"/>
      <c r="J857" s="438"/>
      <c r="K857" s="438"/>
      <c r="L857" s="430"/>
      <c r="M857" s="430"/>
      <c r="N857" s="461"/>
      <c r="O857" s="461"/>
      <c r="P857" s="430"/>
      <c r="Q857" s="430"/>
      <c r="R857" s="430"/>
      <c r="S857" s="430"/>
      <c r="T857" s="430"/>
      <c r="U857" s="430"/>
      <c r="V857" s="430"/>
      <c r="W857" s="430"/>
      <c r="X857" s="449"/>
      <c r="Y857" s="449"/>
      <c r="Z857" s="450"/>
      <c r="AA857" s="449"/>
      <c r="AB857" s="451"/>
      <c r="AC857" s="450"/>
      <c r="AD857" s="449"/>
      <c r="AE857" s="451"/>
      <c r="AF857" s="450"/>
      <c r="AG857" s="449"/>
      <c r="AH857" s="451"/>
      <c r="AI857" s="450"/>
      <c r="AJ857" s="449"/>
      <c r="AK857" s="451"/>
      <c r="AL857" s="450"/>
      <c r="AM857" s="449"/>
      <c r="AN857" s="451"/>
      <c r="AO857" s="450"/>
      <c r="AP857" s="449"/>
      <c r="AQ857" s="451"/>
      <c r="AR857" s="449"/>
      <c r="AS857" s="449"/>
      <c r="AT857" s="451"/>
      <c r="AU857" s="449"/>
      <c r="AV857" s="451"/>
      <c r="AW857" s="449"/>
      <c r="AX857" s="449"/>
      <c r="AY857" s="449"/>
      <c r="AZ857" s="449"/>
      <c r="BA857" s="449"/>
      <c r="BB857" s="449"/>
      <c r="BC857" s="449"/>
      <c r="BD857" s="449"/>
      <c r="BE857" s="449"/>
      <c r="BF857" s="449"/>
      <c r="BG857" s="449"/>
      <c r="BH857" s="449"/>
      <c r="BI857" s="449"/>
      <c r="BJ857" s="449"/>
      <c r="BK857" s="449"/>
      <c r="BL857" s="449"/>
      <c r="BM857" s="449"/>
      <c r="BN857" s="449"/>
    </row>
    <row r="858" spans="1:66" ht="13.15" x14ac:dyDescent="0.4">
      <c r="A858" s="430"/>
      <c r="B858" s="430"/>
      <c r="C858" s="430"/>
      <c r="D858" s="430"/>
      <c r="E858" s="430"/>
      <c r="F858" s="430"/>
      <c r="G858" s="430"/>
      <c r="H858" s="461"/>
      <c r="I858" s="438"/>
      <c r="J858" s="438"/>
      <c r="K858" s="438"/>
      <c r="L858" s="430"/>
      <c r="M858" s="430"/>
      <c r="N858" s="461"/>
      <c r="O858" s="461"/>
      <c r="P858" s="430"/>
      <c r="Q858" s="430"/>
      <c r="R858" s="430"/>
      <c r="S858" s="430"/>
      <c r="T858" s="430"/>
      <c r="U858" s="430"/>
      <c r="V858" s="430"/>
      <c r="W858" s="430"/>
      <c r="X858" s="449"/>
      <c r="Y858" s="449"/>
      <c r="Z858" s="450"/>
      <c r="AA858" s="449"/>
      <c r="AB858" s="451"/>
      <c r="AC858" s="450"/>
      <c r="AD858" s="449"/>
      <c r="AE858" s="451"/>
      <c r="AF858" s="450"/>
      <c r="AG858" s="449"/>
      <c r="AH858" s="451"/>
      <c r="AI858" s="450"/>
      <c r="AJ858" s="449"/>
      <c r="AK858" s="451"/>
      <c r="AL858" s="450"/>
      <c r="AM858" s="449"/>
      <c r="AN858" s="451"/>
      <c r="AO858" s="450"/>
      <c r="AP858" s="449"/>
      <c r="AQ858" s="451"/>
      <c r="AR858" s="449"/>
      <c r="AS858" s="449"/>
      <c r="AT858" s="451"/>
      <c r="AU858" s="449"/>
      <c r="AV858" s="451"/>
      <c r="AW858" s="449"/>
      <c r="AX858" s="449"/>
      <c r="AY858" s="449"/>
      <c r="AZ858" s="449"/>
      <c r="BA858" s="449"/>
      <c r="BB858" s="449"/>
      <c r="BC858" s="449"/>
      <c r="BD858" s="449"/>
      <c r="BE858" s="449"/>
      <c r="BF858" s="449"/>
      <c r="BG858" s="449"/>
      <c r="BH858" s="449"/>
      <c r="BI858" s="449"/>
      <c r="BJ858" s="449"/>
      <c r="BK858" s="449"/>
      <c r="BL858" s="449"/>
      <c r="BM858" s="449"/>
      <c r="BN858" s="449"/>
    </row>
    <row r="859" spans="1:66" ht="13.15" x14ac:dyDescent="0.4">
      <c r="A859" s="430"/>
      <c r="B859" s="430"/>
      <c r="C859" s="430"/>
      <c r="D859" s="430"/>
      <c r="E859" s="430"/>
      <c r="F859" s="430"/>
      <c r="G859" s="430"/>
      <c r="H859" s="461"/>
      <c r="I859" s="438"/>
      <c r="J859" s="438"/>
      <c r="K859" s="438"/>
      <c r="L859" s="430"/>
      <c r="M859" s="430"/>
      <c r="N859" s="461"/>
      <c r="O859" s="461"/>
      <c r="P859" s="430"/>
      <c r="Q859" s="430"/>
      <c r="R859" s="430"/>
      <c r="S859" s="430"/>
      <c r="T859" s="430"/>
      <c r="U859" s="430"/>
      <c r="V859" s="430"/>
      <c r="W859" s="430"/>
      <c r="X859" s="449"/>
      <c r="Y859" s="449"/>
      <c r="Z859" s="450"/>
      <c r="AA859" s="449"/>
      <c r="AB859" s="451"/>
      <c r="AC859" s="450"/>
      <c r="AD859" s="449"/>
      <c r="AE859" s="451"/>
      <c r="AF859" s="450"/>
      <c r="AG859" s="449"/>
      <c r="AH859" s="451"/>
      <c r="AI859" s="450"/>
      <c r="AJ859" s="449"/>
      <c r="AK859" s="451"/>
      <c r="AL859" s="450"/>
      <c r="AM859" s="449"/>
      <c r="AN859" s="451"/>
      <c r="AO859" s="450"/>
      <c r="AP859" s="449"/>
      <c r="AQ859" s="451"/>
      <c r="AR859" s="449"/>
      <c r="AS859" s="449"/>
      <c r="AT859" s="451"/>
      <c r="AU859" s="449"/>
      <c r="AV859" s="451"/>
      <c r="AW859" s="449"/>
      <c r="AX859" s="449"/>
      <c r="AY859" s="449"/>
      <c r="AZ859" s="449"/>
      <c r="BA859" s="449"/>
      <c r="BB859" s="449"/>
      <c r="BC859" s="449"/>
      <c r="BD859" s="449"/>
      <c r="BE859" s="449"/>
      <c r="BF859" s="449"/>
      <c r="BG859" s="449"/>
      <c r="BH859" s="449"/>
      <c r="BI859" s="449"/>
      <c r="BJ859" s="449"/>
      <c r="BK859" s="449"/>
      <c r="BL859" s="449"/>
      <c r="BM859" s="449"/>
      <c r="BN859" s="449"/>
    </row>
    <row r="860" spans="1:66" ht="13.15" x14ac:dyDescent="0.4">
      <c r="A860" s="430"/>
      <c r="B860" s="430"/>
      <c r="C860" s="430"/>
      <c r="D860" s="430"/>
      <c r="E860" s="430"/>
      <c r="F860" s="430"/>
      <c r="G860" s="430"/>
      <c r="H860" s="461"/>
      <c r="I860" s="438"/>
      <c r="J860" s="438"/>
      <c r="K860" s="438"/>
      <c r="L860" s="430"/>
      <c r="M860" s="430"/>
      <c r="N860" s="461"/>
      <c r="O860" s="461"/>
      <c r="P860" s="430"/>
      <c r="Q860" s="430"/>
      <c r="R860" s="430"/>
      <c r="S860" s="430"/>
      <c r="T860" s="430"/>
      <c r="U860" s="430"/>
      <c r="V860" s="430"/>
      <c r="W860" s="430"/>
      <c r="X860" s="449"/>
      <c r="Y860" s="449"/>
      <c r="Z860" s="450"/>
      <c r="AA860" s="449"/>
      <c r="AB860" s="451"/>
      <c r="AC860" s="450"/>
      <c r="AD860" s="449"/>
      <c r="AE860" s="451"/>
      <c r="AF860" s="450"/>
      <c r="AG860" s="449"/>
      <c r="AH860" s="451"/>
      <c r="AI860" s="450"/>
      <c r="AJ860" s="449"/>
      <c r="AK860" s="451"/>
      <c r="AL860" s="450"/>
      <c r="AM860" s="449"/>
      <c r="AN860" s="451"/>
      <c r="AO860" s="450"/>
      <c r="AP860" s="449"/>
      <c r="AQ860" s="451"/>
      <c r="AR860" s="449"/>
      <c r="AS860" s="449"/>
      <c r="AT860" s="451"/>
      <c r="AU860" s="449"/>
      <c r="AV860" s="451"/>
      <c r="AW860" s="449"/>
      <c r="AX860" s="449"/>
      <c r="AY860" s="449"/>
      <c r="AZ860" s="449"/>
      <c r="BA860" s="449"/>
      <c r="BB860" s="449"/>
      <c r="BC860" s="449"/>
      <c r="BD860" s="449"/>
      <c r="BE860" s="449"/>
      <c r="BF860" s="449"/>
      <c r="BG860" s="449"/>
      <c r="BH860" s="449"/>
      <c r="BI860" s="449"/>
      <c r="BJ860" s="449"/>
      <c r="BK860" s="449"/>
      <c r="BL860" s="449"/>
      <c r="BM860" s="449"/>
      <c r="BN860" s="449"/>
    </row>
    <row r="861" spans="1:66" ht="13.15" x14ac:dyDescent="0.4">
      <c r="A861" s="430"/>
      <c r="B861" s="430"/>
      <c r="C861" s="430"/>
      <c r="D861" s="430"/>
      <c r="E861" s="430"/>
      <c r="F861" s="430"/>
      <c r="G861" s="430"/>
      <c r="H861" s="461"/>
      <c r="I861" s="438"/>
      <c r="J861" s="438"/>
      <c r="K861" s="438"/>
      <c r="L861" s="430"/>
      <c r="M861" s="430"/>
      <c r="N861" s="461"/>
      <c r="O861" s="461"/>
      <c r="P861" s="430"/>
      <c r="Q861" s="430"/>
      <c r="R861" s="430"/>
      <c r="S861" s="430"/>
      <c r="T861" s="430"/>
      <c r="U861" s="430"/>
      <c r="V861" s="430"/>
      <c r="W861" s="430"/>
      <c r="X861" s="449"/>
      <c r="Y861" s="449"/>
      <c r="Z861" s="450"/>
      <c r="AA861" s="449"/>
      <c r="AB861" s="451"/>
      <c r="AC861" s="450"/>
      <c r="AD861" s="449"/>
      <c r="AE861" s="451"/>
      <c r="AF861" s="450"/>
      <c r="AG861" s="449"/>
      <c r="AH861" s="451"/>
      <c r="AI861" s="450"/>
      <c r="AJ861" s="449"/>
      <c r="AK861" s="451"/>
      <c r="AL861" s="450"/>
      <c r="AM861" s="449"/>
      <c r="AN861" s="451"/>
      <c r="AO861" s="450"/>
      <c r="AP861" s="449"/>
      <c r="AQ861" s="451"/>
      <c r="AR861" s="449"/>
      <c r="AS861" s="449"/>
      <c r="AT861" s="451"/>
      <c r="AU861" s="449"/>
      <c r="AV861" s="451"/>
      <c r="AW861" s="449"/>
      <c r="AX861" s="449"/>
      <c r="AY861" s="449"/>
      <c r="AZ861" s="449"/>
      <c r="BA861" s="449"/>
      <c r="BB861" s="449"/>
      <c r="BC861" s="449"/>
      <c r="BD861" s="449"/>
      <c r="BE861" s="449"/>
      <c r="BF861" s="449"/>
      <c r="BG861" s="449"/>
      <c r="BH861" s="449"/>
      <c r="BI861" s="449"/>
      <c r="BJ861" s="449"/>
      <c r="BK861" s="449"/>
      <c r="BL861" s="449"/>
      <c r="BM861" s="449"/>
      <c r="BN861" s="449"/>
    </row>
    <row r="862" spans="1:66" ht="13.15" x14ac:dyDescent="0.4">
      <c r="A862" s="430"/>
      <c r="B862" s="430"/>
      <c r="C862" s="430"/>
      <c r="D862" s="430"/>
      <c r="E862" s="430"/>
      <c r="F862" s="430"/>
      <c r="G862" s="430"/>
      <c r="H862" s="461"/>
      <c r="I862" s="438"/>
      <c r="J862" s="438"/>
      <c r="K862" s="438"/>
      <c r="L862" s="430"/>
      <c r="M862" s="430"/>
      <c r="N862" s="461"/>
      <c r="O862" s="461"/>
      <c r="P862" s="430"/>
      <c r="Q862" s="430"/>
      <c r="R862" s="430"/>
      <c r="S862" s="430"/>
      <c r="T862" s="430"/>
      <c r="U862" s="430"/>
      <c r="V862" s="430"/>
      <c r="W862" s="430"/>
      <c r="X862" s="449"/>
      <c r="Y862" s="449"/>
      <c r="Z862" s="450"/>
      <c r="AA862" s="449"/>
      <c r="AB862" s="451"/>
      <c r="AC862" s="450"/>
      <c r="AD862" s="449"/>
      <c r="AE862" s="451"/>
      <c r="AF862" s="450"/>
      <c r="AG862" s="449"/>
      <c r="AH862" s="451"/>
      <c r="AI862" s="450"/>
      <c r="AJ862" s="449"/>
      <c r="AK862" s="451"/>
      <c r="AL862" s="450"/>
      <c r="AM862" s="449"/>
      <c r="AN862" s="451"/>
      <c r="AO862" s="450"/>
      <c r="AP862" s="449"/>
      <c r="AQ862" s="451"/>
      <c r="AR862" s="449"/>
      <c r="AS862" s="449"/>
      <c r="AT862" s="451"/>
      <c r="AU862" s="449"/>
      <c r="AV862" s="451"/>
      <c r="AW862" s="449"/>
      <c r="AX862" s="449"/>
      <c r="AY862" s="449"/>
      <c r="AZ862" s="449"/>
      <c r="BA862" s="449"/>
      <c r="BB862" s="449"/>
      <c r="BC862" s="449"/>
      <c r="BD862" s="449"/>
      <c r="BE862" s="449"/>
      <c r="BF862" s="449"/>
      <c r="BG862" s="449"/>
      <c r="BH862" s="449"/>
      <c r="BI862" s="449"/>
      <c r="BJ862" s="449"/>
      <c r="BK862" s="449"/>
      <c r="BL862" s="449"/>
      <c r="BM862" s="449"/>
      <c r="BN862" s="449"/>
    </row>
    <row r="863" spans="1:66" ht="13.15" x14ac:dyDescent="0.4">
      <c r="A863" s="430"/>
      <c r="B863" s="430"/>
      <c r="C863" s="430"/>
      <c r="D863" s="430"/>
      <c r="E863" s="430"/>
      <c r="F863" s="430"/>
      <c r="G863" s="430"/>
      <c r="H863" s="461"/>
      <c r="I863" s="438"/>
      <c r="J863" s="438"/>
      <c r="K863" s="438"/>
      <c r="L863" s="430"/>
      <c r="M863" s="430"/>
      <c r="N863" s="461"/>
      <c r="O863" s="461"/>
      <c r="P863" s="430"/>
      <c r="Q863" s="430"/>
      <c r="R863" s="430"/>
      <c r="S863" s="430"/>
      <c r="T863" s="430"/>
      <c r="U863" s="430"/>
      <c r="V863" s="430"/>
      <c r="W863" s="430"/>
      <c r="X863" s="449"/>
      <c r="Y863" s="449"/>
      <c r="Z863" s="450"/>
      <c r="AA863" s="449"/>
      <c r="AB863" s="451"/>
      <c r="AC863" s="450"/>
      <c r="AD863" s="449"/>
      <c r="AE863" s="451"/>
      <c r="AF863" s="450"/>
      <c r="AG863" s="449"/>
      <c r="AH863" s="451"/>
      <c r="AI863" s="450"/>
      <c r="AJ863" s="449"/>
      <c r="AK863" s="451"/>
      <c r="AL863" s="450"/>
      <c r="AM863" s="449"/>
      <c r="AN863" s="451"/>
      <c r="AO863" s="450"/>
      <c r="AP863" s="449"/>
      <c r="AQ863" s="451"/>
      <c r="AR863" s="449"/>
      <c r="AS863" s="449"/>
      <c r="AT863" s="451"/>
      <c r="AU863" s="449"/>
      <c r="AV863" s="451"/>
      <c r="AW863" s="449"/>
      <c r="AX863" s="449"/>
      <c r="AY863" s="449"/>
      <c r="AZ863" s="449"/>
      <c r="BA863" s="449"/>
      <c r="BB863" s="449"/>
      <c r="BC863" s="449"/>
      <c r="BD863" s="449"/>
      <c r="BE863" s="449"/>
      <c r="BF863" s="449"/>
      <c r="BG863" s="449"/>
      <c r="BH863" s="449"/>
      <c r="BI863" s="449"/>
      <c r="BJ863" s="449"/>
      <c r="BK863" s="449"/>
      <c r="BL863" s="449"/>
      <c r="BM863" s="449"/>
      <c r="BN863" s="449"/>
    </row>
    <row r="864" spans="1:66" ht="13.15" x14ac:dyDescent="0.4">
      <c r="A864" s="430"/>
      <c r="B864" s="430"/>
      <c r="C864" s="430"/>
      <c r="D864" s="430"/>
      <c r="E864" s="430"/>
      <c r="F864" s="430"/>
      <c r="G864" s="430"/>
      <c r="H864" s="461"/>
      <c r="I864" s="438"/>
      <c r="J864" s="438"/>
      <c r="K864" s="438"/>
      <c r="L864" s="430"/>
      <c r="M864" s="430"/>
      <c r="N864" s="461"/>
      <c r="O864" s="461"/>
      <c r="P864" s="430"/>
      <c r="Q864" s="430"/>
      <c r="R864" s="430"/>
      <c r="S864" s="430"/>
      <c r="T864" s="430"/>
      <c r="U864" s="430"/>
      <c r="V864" s="430"/>
      <c r="W864" s="430"/>
      <c r="X864" s="449"/>
      <c r="Y864" s="449"/>
      <c r="Z864" s="450"/>
      <c r="AA864" s="449"/>
      <c r="AB864" s="451"/>
      <c r="AC864" s="450"/>
      <c r="AD864" s="449"/>
      <c r="AE864" s="451"/>
      <c r="AF864" s="450"/>
      <c r="AG864" s="449"/>
      <c r="AH864" s="451"/>
      <c r="AI864" s="450"/>
      <c r="AJ864" s="449"/>
      <c r="AK864" s="451"/>
      <c r="AL864" s="450"/>
      <c r="AM864" s="449"/>
      <c r="AN864" s="451"/>
      <c r="AO864" s="450"/>
      <c r="AP864" s="449"/>
      <c r="AQ864" s="451"/>
      <c r="AR864" s="449"/>
      <c r="AS864" s="449"/>
      <c r="AT864" s="451"/>
      <c r="AU864" s="449"/>
      <c r="AV864" s="451"/>
      <c r="AW864" s="449"/>
      <c r="AX864" s="449"/>
      <c r="AY864" s="449"/>
      <c r="AZ864" s="449"/>
      <c r="BA864" s="449"/>
      <c r="BB864" s="449"/>
      <c r="BC864" s="449"/>
      <c r="BD864" s="449"/>
      <c r="BE864" s="449"/>
      <c r="BF864" s="449"/>
      <c r="BG864" s="449"/>
      <c r="BH864" s="449"/>
      <c r="BI864" s="449"/>
      <c r="BJ864" s="449"/>
      <c r="BK864" s="449"/>
      <c r="BL864" s="449"/>
      <c r="BM864" s="449"/>
      <c r="BN864" s="449"/>
    </row>
    <row r="865" spans="1:66" ht="13.15" x14ac:dyDescent="0.4">
      <c r="A865" s="430"/>
      <c r="B865" s="430"/>
      <c r="C865" s="430"/>
      <c r="D865" s="430"/>
      <c r="E865" s="430"/>
      <c r="F865" s="430"/>
      <c r="G865" s="430"/>
      <c r="H865" s="461"/>
      <c r="I865" s="438"/>
      <c r="J865" s="438"/>
      <c r="K865" s="438"/>
      <c r="L865" s="430"/>
      <c r="M865" s="430"/>
      <c r="N865" s="461"/>
      <c r="O865" s="461"/>
      <c r="P865" s="430"/>
      <c r="Q865" s="430"/>
      <c r="R865" s="430"/>
      <c r="S865" s="430"/>
      <c r="T865" s="430"/>
      <c r="U865" s="430"/>
      <c r="V865" s="430"/>
      <c r="W865" s="430"/>
      <c r="X865" s="449"/>
      <c r="Y865" s="449"/>
      <c r="Z865" s="450"/>
      <c r="AA865" s="449"/>
      <c r="AB865" s="451"/>
      <c r="AC865" s="450"/>
      <c r="AD865" s="449"/>
      <c r="AE865" s="451"/>
      <c r="AF865" s="450"/>
      <c r="AG865" s="449"/>
      <c r="AH865" s="451"/>
      <c r="AI865" s="450"/>
      <c r="AJ865" s="449"/>
      <c r="AK865" s="451"/>
      <c r="AL865" s="450"/>
      <c r="AM865" s="449"/>
      <c r="AN865" s="451"/>
      <c r="AO865" s="450"/>
      <c r="AP865" s="449"/>
      <c r="AQ865" s="451"/>
      <c r="AR865" s="449"/>
      <c r="AS865" s="449"/>
      <c r="AT865" s="451"/>
      <c r="AU865" s="449"/>
      <c r="AV865" s="451"/>
      <c r="AW865" s="449"/>
      <c r="AX865" s="449"/>
      <c r="AY865" s="449"/>
      <c r="AZ865" s="449"/>
      <c r="BA865" s="449"/>
      <c r="BB865" s="449"/>
      <c r="BC865" s="449"/>
      <c r="BD865" s="449"/>
      <c r="BE865" s="449"/>
      <c r="BF865" s="449"/>
      <c r="BG865" s="449"/>
      <c r="BH865" s="449"/>
      <c r="BI865" s="449"/>
      <c r="BJ865" s="449"/>
      <c r="BK865" s="449"/>
      <c r="BL865" s="449"/>
      <c r="BM865" s="449"/>
      <c r="BN865" s="449"/>
    </row>
    <row r="866" spans="1:66" ht="13.15" x14ac:dyDescent="0.4">
      <c r="A866" s="430"/>
      <c r="B866" s="430"/>
      <c r="C866" s="430"/>
      <c r="D866" s="430"/>
      <c r="E866" s="430"/>
      <c r="F866" s="430"/>
      <c r="G866" s="430"/>
      <c r="H866" s="461"/>
      <c r="I866" s="438"/>
      <c r="J866" s="438"/>
      <c r="K866" s="438"/>
      <c r="L866" s="430"/>
      <c r="M866" s="430"/>
      <c r="N866" s="461"/>
      <c r="O866" s="461"/>
      <c r="P866" s="430"/>
      <c r="Q866" s="430"/>
      <c r="R866" s="430"/>
      <c r="S866" s="430"/>
      <c r="T866" s="430"/>
      <c r="U866" s="430"/>
      <c r="V866" s="430"/>
      <c r="W866" s="430"/>
      <c r="X866" s="449"/>
      <c r="Y866" s="449"/>
      <c r="Z866" s="450"/>
      <c r="AA866" s="449"/>
      <c r="AB866" s="451"/>
      <c r="AC866" s="450"/>
      <c r="AD866" s="449"/>
      <c r="AE866" s="451"/>
      <c r="AF866" s="450"/>
      <c r="AG866" s="449"/>
      <c r="AH866" s="451"/>
      <c r="AI866" s="450"/>
      <c r="AJ866" s="449"/>
      <c r="AK866" s="451"/>
      <c r="AL866" s="450"/>
      <c r="AM866" s="449"/>
      <c r="AN866" s="451"/>
      <c r="AO866" s="450"/>
      <c r="AP866" s="449"/>
      <c r="AQ866" s="451"/>
      <c r="AR866" s="449"/>
      <c r="AS866" s="449"/>
      <c r="AT866" s="451"/>
      <c r="AU866" s="449"/>
      <c r="AV866" s="451"/>
      <c r="AW866" s="449"/>
      <c r="AX866" s="449"/>
      <c r="AY866" s="449"/>
      <c r="AZ866" s="449"/>
      <c r="BA866" s="449"/>
      <c r="BB866" s="449"/>
      <c r="BC866" s="449"/>
      <c r="BD866" s="449"/>
      <c r="BE866" s="449"/>
      <c r="BF866" s="449"/>
      <c r="BG866" s="449"/>
      <c r="BH866" s="449"/>
      <c r="BI866" s="449"/>
      <c r="BJ866" s="449"/>
      <c r="BK866" s="449"/>
      <c r="BL866" s="449"/>
      <c r="BM866" s="449"/>
      <c r="BN866" s="449"/>
    </row>
    <row r="867" spans="1:66" ht="13.15" x14ac:dyDescent="0.4">
      <c r="A867" s="430"/>
      <c r="B867" s="430"/>
      <c r="C867" s="430"/>
      <c r="D867" s="430"/>
      <c r="E867" s="430"/>
      <c r="F867" s="430"/>
      <c r="G867" s="430"/>
      <c r="H867" s="461"/>
      <c r="I867" s="438"/>
      <c r="J867" s="438"/>
      <c r="K867" s="438"/>
      <c r="L867" s="430"/>
      <c r="M867" s="430"/>
      <c r="N867" s="461"/>
      <c r="O867" s="461"/>
      <c r="P867" s="430"/>
      <c r="Q867" s="430"/>
      <c r="R867" s="430"/>
      <c r="S867" s="430"/>
      <c r="T867" s="430"/>
      <c r="U867" s="430"/>
      <c r="V867" s="430"/>
      <c r="W867" s="430"/>
      <c r="X867" s="449"/>
      <c r="Y867" s="449"/>
      <c r="Z867" s="450"/>
      <c r="AA867" s="449"/>
      <c r="AB867" s="451"/>
      <c r="AC867" s="450"/>
      <c r="AD867" s="449"/>
      <c r="AE867" s="451"/>
      <c r="AF867" s="450"/>
      <c r="AG867" s="449"/>
      <c r="AH867" s="451"/>
      <c r="AI867" s="450"/>
      <c r="AJ867" s="449"/>
      <c r="AK867" s="451"/>
      <c r="AL867" s="450"/>
      <c r="AM867" s="449"/>
      <c r="AN867" s="451"/>
      <c r="AO867" s="450"/>
      <c r="AP867" s="449"/>
      <c r="AQ867" s="451"/>
      <c r="AR867" s="449"/>
      <c r="AS867" s="449"/>
      <c r="AT867" s="451"/>
      <c r="AU867" s="449"/>
      <c r="AV867" s="451"/>
      <c r="AW867" s="449"/>
      <c r="AX867" s="449"/>
      <c r="AY867" s="449"/>
      <c r="AZ867" s="449"/>
      <c r="BA867" s="449"/>
      <c r="BB867" s="449"/>
      <c r="BC867" s="449"/>
      <c r="BD867" s="449"/>
      <c r="BE867" s="449"/>
      <c r="BF867" s="449"/>
      <c r="BG867" s="449"/>
      <c r="BH867" s="449"/>
      <c r="BI867" s="449"/>
      <c r="BJ867" s="449"/>
      <c r="BK867" s="449"/>
      <c r="BL867" s="449"/>
      <c r="BM867" s="449"/>
      <c r="BN867" s="449"/>
    </row>
    <row r="868" spans="1:66" ht="13.15" x14ac:dyDescent="0.4">
      <c r="A868" s="430"/>
      <c r="B868" s="430"/>
      <c r="C868" s="430"/>
      <c r="D868" s="430"/>
      <c r="E868" s="430"/>
      <c r="F868" s="430"/>
      <c r="G868" s="430"/>
      <c r="H868" s="461"/>
      <c r="I868" s="438"/>
      <c r="J868" s="438"/>
      <c r="K868" s="438"/>
      <c r="L868" s="430"/>
      <c r="M868" s="430"/>
      <c r="N868" s="461"/>
      <c r="O868" s="461"/>
      <c r="P868" s="430"/>
      <c r="Q868" s="430"/>
      <c r="R868" s="430"/>
      <c r="S868" s="430"/>
      <c r="T868" s="430"/>
      <c r="U868" s="430"/>
      <c r="V868" s="430"/>
      <c r="W868" s="430"/>
      <c r="X868" s="449"/>
      <c r="Y868" s="449"/>
      <c r="Z868" s="450"/>
      <c r="AA868" s="449"/>
      <c r="AB868" s="451"/>
      <c r="AC868" s="450"/>
      <c r="AD868" s="449"/>
      <c r="AE868" s="451"/>
      <c r="AF868" s="450"/>
      <c r="AG868" s="449"/>
      <c r="AH868" s="451"/>
      <c r="AI868" s="450"/>
      <c r="AJ868" s="449"/>
      <c r="AK868" s="451"/>
      <c r="AL868" s="450"/>
      <c r="AM868" s="449"/>
      <c r="AN868" s="451"/>
      <c r="AO868" s="450"/>
      <c r="AP868" s="449"/>
      <c r="AQ868" s="451"/>
      <c r="AR868" s="449"/>
      <c r="AS868" s="449"/>
      <c r="AT868" s="451"/>
      <c r="AU868" s="449"/>
      <c r="AV868" s="451"/>
      <c r="AW868" s="449"/>
      <c r="AX868" s="449"/>
      <c r="AY868" s="449"/>
      <c r="AZ868" s="449"/>
      <c r="BA868" s="449"/>
      <c r="BB868" s="449"/>
      <c r="BC868" s="449"/>
      <c r="BD868" s="449"/>
      <c r="BE868" s="449"/>
      <c r="BF868" s="449"/>
      <c r="BG868" s="449"/>
      <c r="BH868" s="449"/>
      <c r="BI868" s="449"/>
      <c r="BJ868" s="449"/>
      <c r="BK868" s="449"/>
      <c r="BL868" s="449"/>
      <c r="BM868" s="449"/>
      <c r="BN868" s="449"/>
    </row>
    <row r="869" spans="1:66" ht="13.15" x14ac:dyDescent="0.4">
      <c r="A869" s="430"/>
      <c r="B869" s="430"/>
      <c r="C869" s="430"/>
      <c r="D869" s="430"/>
      <c r="E869" s="430"/>
      <c r="F869" s="430"/>
      <c r="G869" s="430"/>
      <c r="H869" s="461"/>
      <c r="I869" s="438"/>
      <c r="J869" s="438"/>
      <c r="K869" s="438"/>
      <c r="L869" s="430"/>
      <c r="M869" s="430"/>
      <c r="N869" s="461"/>
      <c r="O869" s="461"/>
      <c r="P869" s="430"/>
      <c r="Q869" s="430"/>
      <c r="R869" s="430"/>
      <c r="S869" s="430"/>
      <c r="T869" s="430"/>
      <c r="U869" s="430"/>
      <c r="V869" s="430"/>
      <c r="W869" s="430"/>
      <c r="X869" s="449"/>
      <c r="Y869" s="449"/>
      <c r="Z869" s="450"/>
      <c r="AA869" s="449"/>
      <c r="AB869" s="451"/>
      <c r="AC869" s="450"/>
      <c r="AD869" s="449"/>
      <c r="AE869" s="451"/>
      <c r="AF869" s="450"/>
      <c r="AG869" s="449"/>
      <c r="AH869" s="451"/>
      <c r="AI869" s="450"/>
      <c r="AJ869" s="449"/>
      <c r="AK869" s="451"/>
      <c r="AL869" s="450"/>
      <c r="AM869" s="449"/>
      <c r="AN869" s="451"/>
      <c r="AO869" s="450"/>
      <c r="AP869" s="449"/>
      <c r="AQ869" s="451"/>
      <c r="AR869" s="449"/>
      <c r="AS869" s="449"/>
      <c r="AT869" s="451"/>
      <c r="AU869" s="449"/>
      <c r="AV869" s="451"/>
      <c r="AW869" s="449"/>
      <c r="AX869" s="449"/>
      <c r="AY869" s="449"/>
      <c r="AZ869" s="449"/>
      <c r="BA869" s="449"/>
      <c r="BB869" s="449"/>
      <c r="BC869" s="449"/>
      <c r="BD869" s="449"/>
      <c r="BE869" s="449"/>
      <c r="BF869" s="449"/>
      <c r="BG869" s="449"/>
      <c r="BH869" s="449"/>
      <c r="BI869" s="449"/>
      <c r="BJ869" s="449"/>
      <c r="BK869" s="449"/>
      <c r="BL869" s="449"/>
      <c r="BM869" s="449"/>
      <c r="BN869" s="449"/>
    </row>
    <row r="870" spans="1:66" ht="13.15" x14ac:dyDescent="0.4">
      <c r="A870" s="430"/>
      <c r="B870" s="430"/>
      <c r="C870" s="430"/>
      <c r="D870" s="430"/>
      <c r="E870" s="430"/>
      <c r="F870" s="430"/>
      <c r="G870" s="430"/>
      <c r="H870" s="461"/>
      <c r="I870" s="438"/>
      <c r="J870" s="438"/>
      <c r="K870" s="438"/>
      <c r="L870" s="430"/>
      <c r="M870" s="430"/>
      <c r="N870" s="461"/>
      <c r="O870" s="461"/>
      <c r="P870" s="430"/>
      <c r="Q870" s="430"/>
      <c r="R870" s="430"/>
      <c r="S870" s="430"/>
      <c r="T870" s="430"/>
      <c r="U870" s="430"/>
      <c r="V870" s="430"/>
      <c r="W870" s="430"/>
      <c r="X870" s="449"/>
      <c r="Y870" s="449"/>
      <c r="Z870" s="450"/>
      <c r="AA870" s="449"/>
      <c r="AB870" s="451"/>
      <c r="AC870" s="450"/>
      <c r="AD870" s="449"/>
      <c r="AE870" s="451"/>
      <c r="AF870" s="450"/>
      <c r="AG870" s="449"/>
      <c r="AH870" s="451"/>
      <c r="AI870" s="450"/>
      <c r="AJ870" s="449"/>
      <c r="AK870" s="451"/>
      <c r="AL870" s="450"/>
      <c r="AM870" s="449"/>
      <c r="AN870" s="451"/>
      <c r="AO870" s="450"/>
      <c r="AP870" s="449"/>
      <c r="AQ870" s="451"/>
      <c r="AR870" s="449"/>
      <c r="AS870" s="449"/>
      <c r="AT870" s="451"/>
      <c r="AU870" s="449"/>
      <c r="AV870" s="451"/>
      <c r="AW870" s="449"/>
      <c r="AX870" s="449"/>
      <c r="AY870" s="449"/>
      <c r="AZ870" s="449"/>
      <c r="BA870" s="449"/>
      <c r="BB870" s="449"/>
      <c r="BC870" s="449"/>
      <c r="BD870" s="449"/>
      <c r="BE870" s="449"/>
      <c r="BF870" s="449"/>
      <c r="BG870" s="449"/>
      <c r="BH870" s="449"/>
      <c r="BI870" s="449"/>
      <c r="BJ870" s="449"/>
      <c r="BK870" s="449"/>
      <c r="BL870" s="449"/>
      <c r="BM870" s="449"/>
      <c r="BN870" s="449"/>
    </row>
    <row r="871" spans="1:66" ht="13.15" x14ac:dyDescent="0.4">
      <c r="A871" s="430"/>
      <c r="B871" s="430"/>
      <c r="C871" s="430"/>
      <c r="D871" s="430"/>
      <c r="E871" s="430"/>
      <c r="F871" s="430"/>
      <c r="G871" s="430"/>
      <c r="H871" s="461"/>
      <c r="I871" s="438"/>
      <c r="J871" s="438"/>
      <c r="K871" s="438"/>
      <c r="L871" s="430"/>
      <c r="M871" s="430"/>
      <c r="N871" s="461"/>
      <c r="O871" s="461"/>
      <c r="P871" s="430"/>
      <c r="Q871" s="430"/>
      <c r="R871" s="430"/>
      <c r="S871" s="430"/>
      <c r="T871" s="430"/>
      <c r="U871" s="430"/>
      <c r="V871" s="430"/>
      <c r="W871" s="430"/>
      <c r="X871" s="449"/>
      <c r="Y871" s="449"/>
      <c r="Z871" s="450"/>
      <c r="AA871" s="449"/>
      <c r="AB871" s="451"/>
      <c r="AC871" s="450"/>
      <c r="AD871" s="449"/>
      <c r="AE871" s="451"/>
      <c r="AF871" s="450"/>
      <c r="AG871" s="449"/>
      <c r="AH871" s="451"/>
      <c r="AI871" s="450"/>
      <c r="AJ871" s="449"/>
      <c r="AK871" s="451"/>
      <c r="AL871" s="450"/>
      <c r="AM871" s="449"/>
      <c r="AN871" s="451"/>
      <c r="AO871" s="450"/>
      <c r="AP871" s="449"/>
      <c r="AQ871" s="451"/>
      <c r="AR871" s="449"/>
      <c r="AS871" s="449"/>
      <c r="AT871" s="451"/>
      <c r="AU871" s="449"/>
      <c r="AV871" s="451"/>
      <c r="AW871" s="449"/>
      <c r="AX871" s="449"/>
      <c r="AY871" s="449"/>
      <c r="AZ871" s="449"/>
      <c r="BA871" s="449"/>
      <c r="BB871" s="449"/>
      <c r="BC871" s="449"/>
      <c r="BD871" s="449"/>
      <c r="BE871" s="449"/>
      <c r="BF871" s="449"/>
      <c r="BG871" s="449"/>
      <c r="BH871" s="449"/>
      <c r="BI871" s="449"/>
      <c r="BJ871" s="449"/>
      <c r="BK871" s="449"/>
      <c r="BL871" s="449"/>
      <c r="BM871" s="449"/>
      <c r="BN871" s="449"/>
    </row>
    <row r="872" spans="1:66" ht="13.15" x14ac:dyDescent="0.4">
      <c r="A872" s="430"/>
      <c r="B872" s="430"/>
      <c r="C872" s="430"/>
      <c r="D872" s="430"/>
      <c r="E872" s="430"/>
      <c r="F872" s="430"/>
      <c r="G872" s="430"/>
      <c r="H872" s="461"/>
      <c r="I872" s="438"/>
      <c r="J872" s="438"/>
      <c r="K872" s="438"/>
      <c r="L872" s="430"/>
      <c r="M872" s="430"/>
      <c r="N872" s="461"/>
      <c r="O872" s="461"/>
      <c r="P872" s="430"/>
      <c r="Q872" s="430"/>
      <c r="R872" s="430"/>
      <c r="S872" s="430"/>
      <c r="T872" s="430"/>
      <c r="U872" s="430"/>
      <c r="V872" s="430"/>
      <c r="W872" s="430"/>
      <c r="X872" s="449"/>
      <c r="Y872" s="449"/>
      <c r="Z872" s="450"/>
      <c r="AA872" s="449"/>
      <c r="AB872" s="451"/>
      <c r="AC872" s="450"/>
      <c r="AD872" s="449"/>
      <c r="AE872" s="451"/>
      <c r="AF872" s="450"/>
      <c r="AG872" s="449"/>
      <c r="AH872" s="451"/>
      <c r="AI872" s="450"/>
      <c r="AJ872" s="449"/>
      <c r="AK872" s="451"/>
      <c r="AL872" s="450"/>
      <c r="AM872" s="449"/>
      <c r="AN872" s="451"/>
      <c r="AO872" s="450"/>
      <c r="AP872" s="449"/>
      <c r="AQ872" s="451"/>
      <c r="AR872" s="449"/>
      <c r="AS872" s="449"/>
      <c r="AT872" s="451"/>
      <c r="AU872" s="449"/>
      <c r="AV872" s="451"/>
      <c r="AW872" s="449"/>
      <c r="AX872" s="449"/>
      <c r="AY872" s="449"/>
      <c r="AZ872" s="449"/>
      <c r="BA872" s="449"/>
      <c r="BB872" s="449"/>
      <c r="BC872" s="449"/>
      <c r="BD872" s="449"/>
      <c r="BE872" s="449"/>
      <c r="BF872" s="449"/>
      <c r="BG872" s="449"/>
      <c r="BH872" s="449"/>
      <c r="BI872" s="449"/>
      <c r="BJ872" s="449"/>
      <c r="BK872" s="449"/>
      <c r="BL872" s="449"/>
      <c r="BM872" s="449"/>
      <c r="BN872" s="449"/>
    </row>
    <row r="873" spans="1:66" ht="13.15" x14ac:dyDescent="0.4">
      <c r="A873" s="430"/>
      <c r="B873" s="430"/>
      <c r="C873" s="430"/>
      <c r="D873" s="430"/>
      <c r="E873" s="430"/>
      <c r="F873" s="430"/>
      <c r="G873" s="430"/>
      <c r="H873" s="461"/>
      <c r="I873" s="438"/>
      <c r="J873" s="438"/>
      <c r="K873" s="438"/>
      <c r="L873" s="430"/>
      <c r="M873" s="430"/>
      <c r="N873" s="461"/>
      <c r="O873" s="461"/>
      <c r="P873" s="430"/>
      <c r="Q873" s="430"/>
      <c r="R873" s="430"/>
      <c r="S873" s="430"/>
      <c r="T873" s="430"/>
      <c r="U873" s="430"/>
      <c r="V873" s="430"/>
      <c r="W873" s="430"/>
      <c r="X873" s="449"/>
      <c r="Y873" s="449"/>
      <c r="Z873" s="450"/>
      <c r="AA873" s="449"/>
      <c r="AB873" s="451"/>
      <c r="AC873" s="450"/>
      <c r="AD873" s="449"/>
      <c r="AE873" s="451"/>
      <c r="AF873" s="450"/>
      <c r="AG873" s="449"/>
      <c r="AH873" s="451"/>
      <c r="AI873" s="450"/>
      <c r="AJ873" s="449"/>
      <c r="AK873" s="451"/>
      <c r="AL873" s="450"/>
      <c r="AM873" s="449"/>
      <c r="AN873" s="451"/>
      <c r="AO873" s="450"/>
      <c r="AP873" s="449"/>
      <c r="AQ873" s="451"/>
      <c r="AR873" s="449"/>
      <c r="AS873" s="449"/>
      <c r="AT873" s="451"/>
      <c r="AU873" s="449"/>
      <c r="AV873" s="451"/>
      <c r="AW873" s="449"/>
      <c r="AX873" s="449"/>
      <c r="AY873" s="449"/>
      <c r="AZ873" s="449"/>
      <c r="BA873" s="449"/>
      <c r="BB873" s="449"/>
      <c r="BC873" s="449"/>
      <c r="BD873" s="449"/>
      <c r="BE873" s="449"/>
      <c r="BF873" s="449"/>
      <c r="BG873" s="449"/>
      <c r="BH873" s="449"/>
      <c r="BI873" s="449"/>
      <c r="BJ873" s="449"/>
      <c r="BK873" s="449"/>
      <c r="BL873" s="449"/>
      <c r="BM873" s="449"/>
      <c r="BN873" s="449"/>
    </row>
    <row r="874" spans="1:66" ht="13.15" x14ac:dyDescent="0.4">
      <c r="A874" s="430"/>
      <c r="B874" s="430"/>
      <c r="C874" s="430"/>
      <c r="D874" s="430"/>
      <c r="E874" s="430"/>
      <c r="F874" s="430"/>
      <c r="G874" s="430"/>
      <c r="H874" s="461"/>
      <c r="I874" s="438"/>
      <c r="J874" s="438"/>
      <c r="K874" s="438"/>
      <c r="L874" s="430"/>
      <c r="M874" s="430"/>
      <c r="N874" s="461"/>
      <c r="O874" s="461"/>
      <c r="P874" s="430"/>
      <c r="Q874" s="430"/>
      <c r="R874" s="430"/>
      <c r="S874" s="430"/>
      <c r="T874" s="430"/>
      <c r="U874" s="430"/>
      <c r="V874" s="430"/>
      <c r="W874" s="430"/>
      <c r="X874" s="449"/>
      <c r="Y874" s="449"/>
      <c r="Z874" s="450"/>
      <c r="AA874" s="449"/>
      <c r="AB874" s="451"/>
      <c r="AC874" s="450"/>
      <c r="AD874" s="449"/>
      <c r="AE874" s="451"/>
      <c r="AF874" s="450"/>
      <c r="AG874" s="449"/>
      <c r="AH874" s="451"/>
      <c r="AI874" s="450"/>
      <c r="AJ874" s="449"/>
      <c r="AK874" s="451"/>
      <c r="AL874" s="450"/>
      <c r="AM874" s="449"/>
      <c r="AN874" s="451"/>
      <c r="AO874" s="450"/>
      <c r="AP874" s="449"/>
      <c r="AQ874" s="451"/>
      <c r="AR874" s="449"/>
      <c r="AS874" s="449"/>
      <c r="AT874" s="451"/>
      <c r="AU874" s="449"/>
      <c r="AV874" s="451"/>
      <c r="AW874" s="449"/>
      <c r="AX874" s="449"/>
      <c r="AY874" s="449"/>
      <c r="AZ874" s="449"/>
      <c r="BA874" s="449"/>
      <c r="BB874" s="449"/>
      <c r="BC874" s="449"/>
      <c r="BD874" s="449"/>
      <c r="BE874" s="449"/>
      <c r="BF874" s="449"/>
      <c r="BG874" s="449"/>
      <c r="BH874" s="449"/>
      <c r="BI874" s="449"/>
      <c r="BJ874" s="449"/>
      <c r="BK874" s="449"/>
      <c r="BL874" s="449"/>
      <c r="BM874" s="449"/>
      <c r="BN874" s="449"/>
    </row>
    <row r="875" spans="1:66" ht="13.15" x14ac:dyDescent="0.4">
      <c r="A875" s="430"/>
      <c r="B875" s="430"/>
      <c r="C875" s="430"/>
      <c r="D875" s="430"/>
      <c r="E875" s="430"/>
      <c r="F875" s="430"/>
      <c r="G875" s="430"/>
      <c r="H875" s="461"/>
      <c r="I875" s="438"/>
      <c r="J875" s="438"/>
      <c r="K875" s="438"/>
      <c r="L875" s="430"/>
      <c r="M875" s="430"/>
      <c r="N875" s="461"/>
      <c r="O875" s="461"/>
      <c r="P875" s="430"/>
      <c r="Q875" s="430"/>
      <c r="R875" s="430"/>
      <c r="S875" s="430"/>
      <c r="T875" s="430"/>
      <c r="U875" s="430"/>
      <c r="V875" s="430"/>
      <c r="W875" s="430"/>
      <c r="X875" s="449"/>
      <c r="Y875" s="449"/>
      <c r="Z875" s="450"/>
      <c r="AA875" s="449"/>
      <c r="AB875" s="451"/>
      <c r="AC875" s="450"/>
      <c r="AD875" s="449"/>
      <c r="AE875" s="451"/>
      <c r="AF875" s="450"/>
      <c r="AG875" s="449"/>
      <c r="AH875" s="451"/>
      <c r="AI875" s="450"/>
      <c r="AJ875" s="449"/>
      <c r="AK875" s="451"/>
      <c r="AL875" s="450"/>
      <c r="AM875" s="449"/>
      <c r="AN875" s="451"/>
      <c r="AO875" s="450"/>
      <c r="AP875" s="449"/>
      <c r="AQ875" s="451"/>
      <c r="AR875" s="449"/>
      <c r="AS875" s="449"/>
      <c r="AT875" s="451"/>
      <c r="AU875" s="449"/>
      <c r="AV875" s="451"/>
      <c r="AW875" s="449"/>
      <c r="AX875" s="449"/>
      <c r="AY875" s="449"/>
      <c r="AZ875" s="449"/>
      <c r="BA875" s="449"/>
      <c r="BB875" s="449"/>
      <c r="BC875" s="449"/>
      <c r="BD875" s="449"/>
      <c r="BE875" s="449"/>
      <c r="BF875" s="449"/>
      <c r="BG875" s="449"/>
      <c r="BH875" s="449"/>
      <c r="BI875" s="449"/>
      <c r="BJ875" s="449"/>
      <c r="BK875" s="449"/>
      <c r="BL875" s="449"/>
      <c r="BM875" s="449"/>
      <c r="BN875" s="449"/>
    </row>
    <row r="876" spans="1:66" ht="13.15" x14ac:dyDescent="0.4">
      <c r="A876" s="430"/>
      <c r="B876" s="430"/>
      <c r="C876" s="430"/>
      <c r="D876" s="430"/>
      <c r="E876" s="430"/>
      <c r="F876" s="430"/>
      <c r="G876" s="430"/>
      <c r="H876" s="461"/>
      <c r="I876" s="438"/>
      <c r="J876" s="438"/>
      <c r="K876" s="438"/>
      <c r="L876" s="430"/>
      <c r="M876" s="430"/>
      <c r="N876" s="461"/>
      <c r="O876" s="461"/>
      <c r="P876" s="430"/>
      <c r="Q876" s="430"/>
      <c r="R876" s="430"/>
      <c r="S876" s="430"/>
      <c r="T876" s="430"/>
      <c r="U876" s="430"/>
      <c r="V876" s="430"/>
      <c r="W876" s="430"/>
      <c r="X876" s="449"/>
      <c r="Y876" s="449"/>
      <c r="Z876" s="450"/>
      <c r="AA876" s="449"/>
      <c r="AB876" s="451"/>
      <c r="AC876" s="450"/>
      <c r="AD876" s="449"/>
      <c r="AE876" s="451"/>
      <c r="AF876" s="450"/>
      <c r="AG876" s="449"/>
      <c r="AH876" s="451"/>
      <c r="AI876" s="450"/>
      <c r="AJ876" s="449"/>
      <c r="AK876" s="451"/>
      <c r="AL876" s="450"/>
      <c r="AM876" s="449"/>
      <c r="AN876" s="451"/>
      <c r="AO876" s="450"/>
      <c r="AP876" s="449"/>
      <c r="AQ876" s="451"/>
      <c r="AR876" s="449"/>
      <c r="AS876" s="449"/>
      <c r="AT876" s="451"/>
      <c r="AU876" s="449"/>
      <c r="AV876" s="451"/>
      <c r="AW876" s="449"/>
      <c r="AX876" s="449"/>
      <c r="AY876" s="449"/>
      <c r="AZ876" s="449"/>
      <c r="BA876" s="449"/>
      <c r="BB876" s="449"/>
      <c r="BC876" s="449"/>
      <c r="BD876" s="449"/>
      <c r="BE876" s="449"/>
      <c r="BF876" s="449"/>
      <c r="BG876" s="449"/>
      <c r="BH876" s="449"/>
      <c r="BI876" s="449"/>
      <c r="BJ876" s="449"/>
      <c r="BK876" s="449"/>
      <c r="BL876" s="449"/>
      <c r="BM876" s="449"/>
      <c r="BN876" s="449"/>
    </row>
    <row r="877" spans="1:66" ht="13.15" x14ac:dyDescent="0.4">
      <c r="A877" s="430"/>
      <c r="B877" s="430"/>
      <c r="C877" s="430"/>
      <c r="D877" s="430"/>
      <c r="E877" s="430"/>
      <c r="F877" s="430"/>
      <c r="G877" s="430"/>
      <c r="H877" s="461"/>
      <c r="I877" s="438"/>
      <c r="J877" s="438"/>
      <c r="K877" s="438"/>
      <c r="L877" s="430"/>
      <c r="M877" s="430"/>
      <c r="N877" s="461"/>
      <c r="O877" s="461"/>
      <c r="P877" s="430"/>
      <c r="Q877" s="430"/>
      <c r="R877" s="430"/>
      <c r="S877" s="430"/>
      <c r="T877" s="430"/>
      <c r="U877" s="430"/>
      <c r="V877" s="430"/>
      <c r="W877" s="430"/>
      <c r="X877" s="449"/>
      <c r="Y877" s="449"/>
      <c r="Z877" s="450"/>
      <c r="AA877" s="449"/>
      <c r="AB877" s="451"/>
      <c r="AC877" s="450"/>
      <c r="AD877" s="449"/>
      <c r="AE877" s="451"/>
      <c r="AF877" s="450"/>
      <c r="AG877" s="449"/>
      <c r="AH877" s="451"/>
      <c r="AI877" s="450"/>
      <c r="AJ877" s="449"/>
      <c r="AK877" s="451"/>
      <c r="AL877" s="450"/>
      <c r="AM877" s="449"/>
      <c r="AN877" s="451"/>
      <c r="AO877" s="450"/>
      <c r="AP877" s="449"/>
      <c r="AQ877" s="451"/>
      <c r="AR877" s="449"/>
      <c r="AS877" s="449"/>
      <c r="AT877" s="451"/>
      <c r="AU877" s="449"/>
      <c r="AV877" s="451"/>
      <c r="AW877" s="449"/>
      <c r="AX877" s="449"/>
      <c r="AY877" s="449"/>
      <c r="AZ877" s="449"/>
      <c r="BA877" s="449"/>
      <c r="BB877" s="449"/>
      <c r="BC877" s="449"/>
      <c r="BD877" s="449"/>
      <c r="BE877" s="449"/>
      <c r="BF877" s="449"/>
      <c r="BG877" s="449"/>
      <c r="BH877" s="449"/>
      <c r="BI877" s="449"/>
      <c r="BJ877" s="449"/>
      <c r="BK877" s="449"/>
      <c r="BL877" s="449"/>
      <c r="BM877" s="449"/>
      <c r="BN877" s="449"/>
    </row>
    <row r="878" spans="1:66" ht="13.15" x14ac:dyDescent="0.4">
      <c r="A878" s="430"/>
      <c r="B878" s="430"/>
      <c r="C878" s="430"/>
      <c r="D878" s="430"/>
      <c r="E878" s="430"/>
      <c r="F878" s="430"/>
      <c r="G878" s="430"/>
      <c r="H878" s="461"/>
      <c r="I878" s="438"/>
      <c r="J878" s="438"/>
      <c r="K878" s="438"/>
      <c r="L878" s="430"/>
      <c r="M878" s="430"/>
      <c r="N878" s="461"/>
      <c r="O878" s="461"/>
      <c r="P878" s="430"/>
      <c r="Q878" s="430"/>
      <c r="R878" s="430"/>
      <c r="S878" s="430"/>
      <c r="T878" s="430"/>
      <c r="U878" s="430"/>
      <c r="V878" s="430"/>
      <c r="W878" s="430"/>
      <c r="X878" s="449"/>
      <c r="Y878" s="449"/>
      <c r="Z878" s="450"/>
      <c r="AA878" s="449"/>
      <c r="AB878" s="451"/>
      <c r="AC878" s="450"/>
      <c r="AD878" s="449"/>
      <c r="AE878" s="451"/>
      <c r="AF878" s="450"/>
      <c r="AG878" s="449"/>
      <c r="AH878" s="451"/>
      <c r="AI878" s="450"/>
      <c r="AJ878" s="449"/>
      <c r="AK878" s="451"/>
      <c r="AL878" s="450"/>
      <c r="AM878" s="449"/>
      <c r="AN878" s="451"/>
      <c r="AO878" s="450"/>
      <c r="AP878" s="449"/>
      <c r="AQ878" s="451"/>
      <c r="AR878" s="449"/>
      <c r="AS878" s="449"/>
      <c r="AT878" s="451"/>
      <c r="AU878" s="449"/>
      <c r="AV878" s="451"/>
      <c r="AW878" s="449"/>
      <c r="AX878" s="449"/>
      <c r="AY878" s="449"/>
      <c r="AZ878" s="449"/>
      <c r="BA878" s="449"/>
      <c r="BB878" s="449"/>
      <c r="BC878" s="449"/>
      <c r="BD878" s="449"/>
      <c r="BE878" s="449"/>
      <c r="BF878" s="449"/>
      <c r="BG878" s="449"/>
      <c r="BH878" s="449"/>
      <c r="BI878" s="449"/>
      <c r="BJ878" s="449"/>
      <c r="BK878" s="449"/>
      <c r="BL878" s="449"/>
      <c r="BM878" s="449"/>
      <c r="BN878" s="449"/>
    </row>
    <row r="879" spans="1:66" ht="13.15" x14ac:dyDescent="0.4">
      <c r="A879" s="430"/>
      <c r="B879" s="430"/>
      <c r="C879" s="430"/>
      <c r="D879" s="430"/>
      <c r="E879" s="430"/>
      <c r="F879" s="430"/>
      <c r="G879" s="430"/>
      <c r="H879" s="461"/>
      <c r="I879" s="438"/>
      <c r="J879" s="438"/>
      <c r="K879" s="438"/>
      <c r="L879" s="430"/>
      <c r="M879" s="430"/>
      <c r="N879" s="461"/>
      <c r="O879" s="461"/>
      <c r="P879" s="430"/>
      <c r="Q879" s="430"/>
      <c r="R879" s="430"/>
      <c r="S879" s="430"/>
      <c r="T879" s="430"/>
      <c r="U879" s="430"/>
      <c r="V879" s="430"/>
      <c r="W879" s="430"/>
      <c r="X879" s="449"/>
      <c r="Y879" s="449"/>
      <c r="Z879" s="450"/>
      <c r="AA879" s="449"/>
      <c r="AB879" s="451"/>
      <c r="AC879" s="450"/>
      <c r="AD879" s="449"/>
      <c r="AE879" s="451"/>
      <c r="AF879" s="450"/>
      <c r="AG879" s="449"/>
      <c r="AH879" s="451"/>
      <c r="AI879" s="450"/>
      <c r="AJ879" s="449"/>
      <c r="AK879" s="451"/>
      <c r="AL879" s="450"/>
      <c r="AM879" s="449"/>
      <c r="AN879" s="451"/>
      <c r="AO879" s="450"/>
      <c r="AP879" s="449"/>
      <c r="AQ879" s="451"/>
      <c r="AR879" s="449"/>
      <c r="AS879" s="449"/>
      <c r="AT879" s="451"/>
      <c r="AU879" s="449"/>
      <c r="AV879" s="451"/>
      <c r="AW879" s="449"/>
      <c r="AX879" s="449"/>
      <c r="AY879" s="449"/>
      <c r="AZ879" s="449"/>
      <c r="BA879" s="449"/>
      <c r="BB879" s="449"/>
      <c r="BC879" s="449"/>
      <c r="BD879" s="449"/>
      <c r="BE879" s="449"/>
      <c r="BF879" s="449"/>
      <c r="BG879" s="449"/>
      <c r="BH879" s="449"/>
      <c r="BI879" s="449"/>
      <c r="BJ879" s="449"/>
      <c r="BK879" s="449"/>
      <c r="BL879" s="449"/>
      <c r="BM879" s="449"/>
      <c r="BN879" s="449"/>
    </row>
    <row r="880" spans="1:66" ht="13.15" x14ac:dyDescent="0.4">
      <c r="A880" s="430"/>
      <c r="B880" s="430"/>
      <c r="C880" s="430"/>
      <c r="D880" s="430"/>
      <c r="E880" s="430"/>
      <c r="F880" s="430"/>
      <c r="G880" s="430"/>
      <c r="H880" s="461"/>
      <c r="I880" s="438"/>
      <c r="J880" s="438"/>
      <c r="K880" s="438"/>
      <c r="L880" s="430"/>
      <c r="M880" s="430"/>
      <c r="N880" s="461"/>
      <c r="O880" s="461"/>
      <c r="P880" s="430"/>
      <c r="Q880" s="430"/>
      <c r="R880" s="430"/>
      <c r="S880" s="430"/>
      <c r="T880" s="430"/>
      <c r="U880" s="430"/>
      <c r="V880" s="430"/>
      <c r="W880" s="430"/>
      <c r="X880" s="449"/>
      <c r="Y880" s="449"/>
      <c r="Z880" s="450"/>
      <c r="AA880" s="449"/>
      <c r="AB880" s="451"/>
      <c r="AC880" s="450"/>
      <c r="AD880" s="449"/>
      <c r="AE880" s="451"/>
      <c r="AF880" s="450"/>
      <c r="AG880" s="449"/>
      <c r="AH880" s="451"/>
      <c r="AI880" s="450"/>
      <c r="AJ880" s="449"/>
      <c r="AK880" s="451"/>
      <c r="AL880" s="450"/>
      <c r="AM880" s="449"/>
      <c r="AN880" s="451"/>
      <c r="AO880" s="450"/>
      <c r="AP880" s="449"/>
      <c r="AQ880" s="451"/>
      <c r="AR880" s="449"/>
      <c r="AS880" s="449"/>
      <c r="AT880" s="451"/>
      <c r="AU880" s="449"/>
      <c r="AV880" s="451"/>
      <c r="AW880" s="449"/>
      <c r="AX880" s="449"/>
      <c r="AY880" s="449"/>
      <c r="AZ880" s="449"/>
      <c r="BA880" s="449"/>
      <c r="BB880" s="449"/>
      <c r="BC880" s="449"/>
      <c r="BD880" s="449"/>
      <c r="BE880" s="449"/>
      <c r="BF880" s="449"/>
      <c r="BG880" s="449"/>
      <c r="BH880" s="449"/>
      <c r="BI880" s="449"/>
      <c r="BJ880" s="449"/>
      <c r="BK880" s="449"/>
      <c r="BL880" s="449"/>
      <c r="BM880" s="449"/>
      <c r="BN880" s="449"/>
    </row>
    <row r="881" spans="1:66" ht="13.15" x14ac:dyDescent="0.4">
      <c r="A881" s="430"/>
      <c r="B881" s="430"/>
      <c r="C881" s="430"/>
      <c r="D881" s="430"/>
      <c r="E881" s="430"/>
      <c r="F881" s="430"/>
      <c r="G881" s="430"/>
      <c r="H881" s="461"/>
      <c r="I881" s="438"/>
      <c r="J881" s="438"/>
      <c r="K881" s="438"/>
      <c r="L881" s="430"/>
      <c r="M881" s="430"/>
      <c r="N881" s="461"/>
      <c r="O881" s="461"/>
      <c r="P881" s="430"/>
      <c r="Q881" s="430"/>
      <c r="R881" s="430"/>
      <c r="S881" s="430"/>
      <c r="T881" s="430"/>
      <c r="U881" s="430"/>
      <c r="V881" s="430"/>
      <c r="W881" s="430"/>
      <c r="X881" s="449"/>
      <c r="Y881" s="449"/>
      <c r="Z881" s="450"/>
      <c r="AA881" s="449"/>
      <c r="AB881" s="451"/>
      <c r="AC881" s="450"/>
      <c r="AD881" s="449"/>
      <c r="AE881" s="451"/>
      <c r="AF881" s="450"/>
      <c r="AG881" s="449"/>
      <c r="AH881" s="451"/>
      <c r="AI881" s="450"/>
      <c r="AJ881" s="449"/>
      <c r="AK881" s="451"/>
      <c r="AL881" s="450"/>
      <c r="AM881" s="449"/>
      <c r="AN881" s="451"/>
      <c r="AO881" s="450"/>
      <c r="AP881" s="449"/>
      <c r="AQ881" s="451"/>
      <c r="AR881" s="449"/>
      <c r="AS881" s="449"/>
      <c r="AT881" s="451"/>
      <c r="AU881" s="449"/>
      <c r="AV881" s="451"/>
      <c r="AW881" s="449"/>
      <c r="AX881" s="449"/>
      <c r="AY881" s="449"/>
      <c r="AZ881" s="449"/>
      <c r="BA881" s="449"/>
      <c r="BB881" s="449"/>
      <c r="BC881" s="449"/>
      <c r="BD881" s="449"/>
      <c r="BE881" s="449"/>
      <c r="BF881" s="449"/>
      <c r="BG881" s="449"/>
      <c r="BH881" s="449"/>
      <c r="BI881" s="449"/>
      <c r="BJ881" s="449"/>
      <c r="BK881" s="449"/>
      <c r="BL881" s="449"/>
      <c r="BM881" s="449"/>
      <c r="BN881" s="449"/>
    </row>
    <row r="882" spans="1:66" ht="13.15" x14ac:dyDescent="0.4">
      <c r="A882" s="430"/>
      <c r="B882" s="430"/>
      <c r="C882" s="430"/>
      <c r="D882" s="430"/>
      <c r="E882" s="430"/>
      <c r="F882" s="430"/>
      <c r="G882" s="430"/>
      <c r="H882" s="461"/>
      <c r="I882" s="438"/>
      <c r="J882" s="438"/>
      <c r="K882" s="438"/>
      <c r="L882" s="430"/>
      <c r="M882" s="430"/>
      <c r="N882" s="461"/>
      <c r="O882" s="461"/>
      <c r="P882" s="430"/>
      <c r="Q882" s="430"/>
      <c r="R882" s="430"/>
      <c r="S882" s="430"/>
      <c r="T882" s="430"/>
      <c r="U882" s="430"/>
      <c r="V882" s="430"/>
      <c r="W882" s="430"/>
      <c r="X882" s="449"/>
      <c r="Y882" s="449"/>
      <c r="Z882" s="450"/>
      <c r="AA882" s="449"/>
      <c r="AB882" s="451"/>
      <c r="AC882" s="450"/>
      <c r="AD882" s="449"/>
      <c r="AE882" s="451"/>
      <c r="AF882" s="450"/>
      <c r="AG882" s="449"/>
      <c r="AH882" s="451"/>
      <c r="AI882" s="450"/>
      <c r="AJ882" s="449"/>
      <c r="AK882" s="451"/>
      <c r="AL882" s="450"/>
      <c r="AM882" s="449"/>
      <c r="AN882" s="451"/>
      <c r="AO882" s="450"/>
      <c r="AP882" s="449"/>
      <c r="AQ882" s="451"/>
      <c r="AR882" s="449"/>
      <c r="AS882" s="449"/>
      <c r="AT882" s="451"/>
      <c r="AU882" s="449"/>
      <c r="AV882" s="451"/>
      <c r="AW882" s="449"/>
      <c r="AX882" s="449"/>
      <c r="AY882" s="449"/>
      <c r="AZ882" s="449"/>
      <c r="BA882" s="449"/>
      <c r="BB882" s="449"/>
      <c r="BC882" s="449"/>
      <c r="BD882" s="449"/>
      <c r="BE882" s="449"/>
      <c r="BF882" s="449"/>
      <c r="BG882" s="449"/>
      <c r="BH882" s="449"/>
      <c r="BI882" s="449"/>
      <c r="BJ882" s="449"/>
      <c r="BK882" s="449"/>
      <c r="BL882" s="449"/>
      <c r="BM882" s="449"/>
      <c r="BN882" s="449"/>
    </row>
    <row r="883" spans="1:66" ht="13.15" x14ac:dyDescent="0.4">
      <c r="A883" s="430"/>
      <c r="B883" s="430"/>
      <c r="C883" s="430"/>
      <c r="D883" s="430"/>
      <c r="E883" s="430"/>
      <c r="F883" s="430"/>
      <c r="G883" s="430"/>
      <c r="H883" s="461"/>
      <c r="I883" s="438"/>
      <c r="J883" s="438"/>
      <c r="K883" s="438"/>
      <c r="L883" s="430"/>
      <c r="M883" s="430"/>
      <c r="N883" s="461"/>
      <c r="O883" s="461"/>
      <c r="P883" s="430"/>
      <c r="Q883" s="430"/>
      <c r="R883" s="430"/>
      <c r="S883" s="430"/>
      <c r="T883" s="430"/>
      <c r="U883" s="430"/>
      <c r="V883" s="430"/>
      <c r="W883" s="430"/>
      <c r="X883" s="449"/>
      <c r="Y883" s="449"/>
      <c r="Z883" s="450"/>
      <c r="AA883" s="449"/>
      <c r="AB883" s="451"/>
      <c r="AC883" s="450"/>
      <c r="AD883" s="449"/>
      <c r="AE883" s="451"/>
      <c r="AF883" s="450"/>
      <c r="AG883" s="449"/>
      <c r="AH883" s="451"/>
      <c r="AI883" s="450"/>
      <c r="AJ883" s="449"/>
      <c r="AK883" s="451"/>
      <c r="AL883" s="450"/>
      <c r="AM883" s="449"/>
      <c r="AN883" s="451"/>
      <c r="AO883" s="450"/>
      <c r="AP883" s="449"/>
      <c r="AQ883" s="451"/>
      <c r="AR883" s="449"/>
      <c r="AS883" s="449"/>
      <c r="AT883" s="451"/>
      <c r="AU883" s="449"/>
      <c r="AV883" s="451"/>
      <c r="AW883" s="449"/>
      <c r="AX883" s="449"/>
      <c r="AY883" s="449"/>
      <c r="AZ883" s="449"/>
      <c r="BA883" s="449"/>
      <c r="BB883" s="449"/>
      <c r="BC883" s="449"/>
      <c r="BD883" s="449"/>
      <c r="BE883" s="449"/>
      <c r="BF883" s="449"/>
      <c r="BG883" s="449"/>
      <c r="BH883" s="449"/>
      <c r="BI883" s="449"/>
      <c r="BJ883" s="449"/>
      <c r="BK883" s="449"/>
      <c r="BL883" s="449"/>
      <c r="BM883" s="449"/>
      <c r="BN883" s="449"/>
    </row>
    <row r="884" spans="1:66" ht="13.15" x14ac:dyDescent="0.4">
      <c r="A884" s="430"/>
      <c r="B884" s="430"/>
      <c r="C884" s="430"/>
      <c r="D884" s="430"/>
      <c r="E884" s="430"/>
      <c r="F884" s="430"/>
      <c r="G884" s="430"/>
      <c r="H884" s="461"/>
      <c r="I884" s="438"/>
      <c r="J884" s="438"/>
      <c r="K884" s="438"/>
      <c r="L884" s="430"/>
      <c r="M884" s="430"/>
      <c r="N884" s="461"/>
      <c r="O884" s="461"/>
      <c r="P884" s="430"/>
      <c r="Q884" s="430"/>
      <c r="R884" s="430"/>
      <c r="S884" s="430"/>
      <c r="T884" s="430"/>
      <c r="U884" s="430"/>
      <c r="V884" s="430"/>
      <c r="W884" s="430"/>
      <c r="X884" s="449"/>
      <c r="Y884" s="449"/>
      <c r="Z884" s="450"/>
      <c r="AA884" s="449"/>
      <c r="AB884" s="451"/>
      <c r="AC884" s="450"/>
      <c r="AD884" s="449"/>
      <c r="AE884" s="451"/>
      <c r="AF884" s="450"/>
      <c r="AG884" s="449"/>
      <c r="AH884" s="451"/>
      <c r="AI884" s="450"/>
      <c r="AJ884" s="449"/>
      <c r="AK884" s="451"/>
      <c r="AL884" s="450"/>
      <c r="AM884" s="449"/>
      <c r="AN884" s="451"/>
      <c r="AO884" s="450"/>
      <c r="AP884" s="449"/>
      <c r="AQ884" s="451"/>
      <c r="AR884" s="449"/>
      <c r="AS884" s="449"/>
      <c r="AT884" s="451"/>
      <c r="AU884" s="449"/>
      <c r="AV884" s="451"/>
      <c r="AW884" s="449"/>
      <c r="AX884" s="449"/>
      <c r="AY884" s="449"/>
      <c r="AZ884" s="449"/>
      <c r="BA884" s="449"/>
      <c r="BB884" s="449"/>
      <c r="BC884" s="449"/>
      <c r="BD884" s="449"/>
      <c r="BE884" s="449"/>
      <c r="BF884" s="449"/>
      <c r="BG884" s="449"/>
      <c r="BH884" s="449"/>
      <c r="BI884" s="449"/>
      <c r="BJ884" s="449"/>
      <c r="BK884" s="449"/>
      <c r="BL884" s="449"/>
      <c r="BM884" s="449"/>
      <c r="BN884" s="449"/>
    </row>
    <row r="885" spans="1:66" ht="13.15" x14ac:dyDescent="0.4">
      <c r="A885" s="430"/>
      <c r="B885" s="430"/>
      <c r="C885" s="430"/>
      <c r="D885" s="430"/>
      <c r="E885" s="430"/>
      <c r="F885" s="430"/>
      <c r="G885" s="430"/>
      <c r="H885" s="461"/>
      <c r="I885" s="438"/>
      <c r="J885" s="438"/>
      <c r="K885" s="438"/>
      <c r="L885" s="430"/>
      <c r="M885" s="430"/>
      <c r="N885" s="461"/>
      <c r="O885" s="461"/>
      <c r="P885" s="430"/>
      <c r="Q885" s="430"/>
      <c r="R885" s="430"/>
      <c r="S885" s="430"/>
      <c r="T885" s="430"/>
      <c r="U885" s="430"/>
      <c r="V885" s="430"/>
      <c r="W885" s="430"/>
      <c r="X885" s="449"/>
      <c r="Y885" s="449"/>
      <c r="Z885" s="450"/>
      <c r="AA885" s="449"/>
      <c r="AB885" s="451"/>
      <c r="AC885" s="450"/>
      <c r="AD885" s="449"/>
      <c r="AE885" s="451"/>
      <c r="AF885" s="450"/>
      <c r="AG885" s="449"/>
      <c r="AH885" s="451"/>
      <c r="AI885" s="450"/>
      <c r="AJ885" s="449"/>
      <c r="AK885" s="451"/>
      <c r="AL885" s="450"/>
      <c r="AM885" s="449"/>
      <c r="AN885" s="451"/>
      <c r="AO885" s="450"/>
      <c r="AP885" s="449"/>
      <c r="AQ885" s="451"/>
      <c r="AR885" s="449"/>
      <c r="AS885" s="449"/>
      <c r="AT885" s="451"/>
      <c r="AU885" s="449"/>
      <c r="AV885" s="451"/>
      <c r="AW885" s="449"/>
      <c r="AX885" s="449"/>
      <c r="AY885" s="449"/>
      <c r="AZ885" s="449"/>
      <c r="BA885" s="449"/>
      <c r="BB885" s="449"/>
      <c r="BC885" s="449"/>
      <c r="BD885" s="449"/>
      <c r="BE885" s="449"/>
      <c r="BF885" s="449"/>
      <c r="BG885" s="449"/>
      <c r="BH885" s="449"/>
      <c r="BI885" s="449"/>
      <c r="BJ885" s="449"/>
      <c r="BK885" s="449"/>
      <c r="BL885" s="449"/>
      <c r="BM885" s="449"/>
      <c r="BN885" s="449"/>
    </row>
    <row r="886" spans="1:66" ht="13.15" x14ac:dyDescent="0.4">
      <c r="A886" s="430"/>
      <c r="B886" s="430"/>
      <c r="C886" s="430"/>
      <c r="D886" s="430"/>
      <c r="E886" s="430"/>
      <c r="F886" s="430"/>
      <c r="G886" s="430"/>
      <c r="H886" s="461"/>
      <c r="I886" s="438"/>
      <c r="J886" s="438"/>
      <c r="K886" s="438"/>
      <c r="L886" s="430"/>
      <c r="M886" s="430"/>
      <c r="N886" s="461"/>
      <c r="O886" s="461"/>
      <c r="P886" s="430"/>
      <c r="Q886" s="430"/>
      <c r="R886" s="430"/>
      <c r="S886" s="430"/>
      <c r="T886" s="430"/>
      <c r="U886" s="430"/>
      <c r="V886" s="430"/>
      <c r="W886" s="430"/>
      <c r="X886" s="449"/>
      <c r="Y886" s="449"/>
      <c r="Z886" s="450"/>
      <c r="AA886" s="449"/>
      <c r="AB886" s="451"/>
      <c r="AC886" s="450"/>
      <c r="AD886" s="449"/>
      <c r="AE886" s="451"/>
      <c r="AF886" s="450"/>
      <c r="AG886" s="449"/>
      <c r="AH886" s="451"/>
      <c r="AI886" s="450"/>
      <c r="AJ886" s="449"/>
      <c r="AK886" s="451"/>
      <c r="AL886" s="450"/>
      <c r="AM886" s="449"/>
      <c r="AN886" s="451"/>
      <c r="AO886" s="450"/>
      <c r="AP886" s="449"/>
      <c r="AQ886" s="451"/>
      <c r="AR886" s="449"/>
      <c r="AS886" s="449"/>
      <c r="AT886" s="451"/>
      <c r="AU886" s="449"/>
      <c r="AV886" s="451"/>
      <c r="AW886" s="449"/>
      <c r="AX886" s="449"/>
      <c r="AY886" s="449"/>
      <c r="AZ886" s="449"/>
      <c r="BA886" s="449"/>
      <c r="BB886" s="449"/>
      <c r="BC886" s="449"/>
      <c r="BD886" s="449"/>
      <c r="BE886" s="449"/>
      <c r="BF886" s="449"/>
      <c r="BG886" s="449"/>
      <c r="BH886" s="449"/>
      <c r="BI886" s="449"/>
      <c r="BJ886" s="449"/>
      <c r="BK886" s="449"/>
      <c r="BL886" s="449"/>
      <c r="BM886" s="449"/>
      <c r="BN886" s="449"/>
    </row>
    <row r="887" spans="1:66" ht="13.15" x14ac:dyDescent="0.4">
      <c r="A887" s="430"/>
      <c r="B887" s="430"/>
      <c r="C887" s="430"/>
      <c r="D887" s="430"/>
      <c r="E887" s="430"/>
      <c r="F887" s="430"/>
      <c r="G887" s="430"/>
      <c r="H887" s="461"/>
      <c r="I887" s="438"/>
      <c r="J887" s="438"/>
      <c r="K887" s="438"/>
      <c r="L887" s="430"/>
      <c r="M887" s="430"/>
      <c r="N887" s="461"/>
      <c r="O887" s="461"/>
      <c r="P887" s="430"/>
      <c r="Q887" s="430"/>
      <c r="R887" s="430"/>
      <c r="S887" s="430"/>
      <c r="T887" s="430"/>
      <c r="U887" s="430"/>
      <c r="V887" s="430"/>
      <c r="W887" s="430"/>
      <c r="X887" s="449"/>
      <c r="Y887" s="449"/>
      <c r="Z887" s="450"/>
      <c r="AA887" s="449"/>
      <c r="AB887" s="451"/>
      <c r="AC887" s="450"/>
      <c r="AD887" s="449"/>
      <c r="AE887" s="451"/>
      <c r="AF887" s="450"/>
      <c r="AG887" s="449"/>
      <c r="AH887" s="451"/>
      <c r="AI887" s="450"/>
      <c r="AJ887" s="449"/>
      <c r="AK887" s="451"/>
      <c r="AL887" s="450"/>
      <c r="AM887" s="449"/>
      <c r="AN887" s="451"/>
      <c r="AO887" s="450"/>
      <c r="AP887" s="449"/>
      <c r="AQ887" s="451"/>
      <c r="AR887" s="449"/>
      <c r="AS887" s="449"/>
      <c r="AT887" s="451"/>
      <c r="AU887" s="449"/>
      <c r="AV887" s="451"/>
      <c r="AW887" s="449"/>
      <c r="AX887" s="449"/>
      <c r="AY887" s="449"/>
      <c r="AZ887" s="449"/>
      <c r="BA887" s="449"/>
      <c r="BB887" s="449"/>
      <c r="BC887" s="449"/>
      <c r="BD887" s="449"/>
      <c r="BE887" s="449"/>
      <c r="BF887" s="449"/>
      <c r="BG887" s="449"/>
      <c r="BH887" s="449"/>
      <c r="BI887" s="449"/>
      <c r="BJ887" s="449"/>
      <c r="BK887" s="449"/>
      <c r="BL887" s="449"/>
      <c r="BM887" s="449"/>
      <c r="BN887" s="449"/>
    </row>
    <row r="888" spans="1:66" ht="13.15" x14ac:dyDescent="0.4">
      <c r="A888" s="430"/>
      <c r="B888" s="430"/>
      <c r="C888" s="430"/>
      <c r="D888" s="430"/>
      <c r="E888" s="430"/>
      <c r="F888" s="430"/>
      <c r="G888" s="430"/>
      <c r="H888" s="461"/>
      <c r="I888" s="438"/>
      <c r="J888" s="438"/>
      <c r="K888" s="438"/>
      <c r="L888" s="430"/>
      <c r="M888" s="430"/>
      <c r="N888" s="461"/>
      <c r="O888" s="461"/>
      <c r="P888" s="430"/>
      <c r="Q888" s="430"/>
      <c r="R888" s="430"/>
      <c r="S888" s="430"/>
      <c r="T888" s="430"/>
      <c r="U888" s="430"/>
      <c r="V888" s="430"/>
      <c r="W888" s="430"/>
      <c r="X888" s="449"/>
      <c r="Y888" s="449"/>
      <c r="Z888" s="450"/>
      <c r="AA888" s="449"/>
      <c r="AB888" s="451"/>
      <c r="AC888" s="450"/>
      <c r="AD888" s="449"/>
      <c r="AE888" s="451"/>
      <c r="AF888" s="450"/>
      <c r="AG888" s="449"/>
      <c r="AH888" s="451"/>
      <c r="AI888" s="450"/>
      <c r="AJ888" s="449"/>
      <c r="AK888" s="451"/>
      <c r="AL888" s="450"/>
      <c r="AM888" s="449"/>
      <c r="AN888" s="451"/>
      <c r="AO888" s="450"/>
      <c r="AP888" s="449"/>
      <c r="AQ888" s="451"/>
      <c r="AR888" s="449"/>
      <c r="AS888" s="449"/>
      <c r="AT888" s="451"/>
      <c r="AU888" s="449"/>
      <c r="AV888" s="451"/>
      <c r="AW888" s="449"/>
      <c r="AX888" s="449"/>
      <c r="AY888" s="449"/>
      <c r="AZ888" s="449"/>
      <c r="BA888" s="449"/>
      <c r="BB888" s="449"/>
      <c r="BC888" s="449"/>
      <c r="BD888" s="449"/>
      <c r="BE888" s="449"/>
      <c r="BF888" s="449"/>
      <c r="BG888" s="449"/>
      <c r="BH888" s="449"/>
      <c r="BI888" s="449"/>
      <c r="BJ888" s="449"/>
      <c r="BK888" s="449"/>
      <c r="BL888" s="449"/>
      <c r="BM888" s="449"/>
      <c r="BN888" s="449"/>
    </row>
    <row r="889" spans="1:66" ht="13.15" x14ac:dyDescent="0.4">
      <c r="A889" s="430"/>
      <c r="B889" s="430"/>
      <c r="C889" s="430"/>
      <c r="D889" s="430"/>
      <c r="E889" s="430"/>
      <c r="F889" s="430"/>
      <c r="G889" s="430"/>
      <c r="H889" s="461"/>
      <c r="I889" s="438"/>
      <c r="J889" s="438"/>
      <c r="K889" s="438"/>
      <c r="L889" s="430"/>
      <c r="M889" s="430"/>
      <c r="N889" s="461"/>
      <c r="O889" s="461"/>
      <c r="P889" s="430"/>
      <c r="Q889" s="430"/>
      <c r="R889" s="430"/>
      <c r="S889" s="430"/>
      <c r="T889" s="430"/>
      <c r="U889" s="430"/>
      <c r="V889" s="430"/>
      <c r="W889" s="430"/>
      <c r="X889" s="449"/>
      <c r="Y889" s="449"/>
      <c r="Z889" s="450"/>
      <c r="AA889" s="449"/>
      <c r="AB889" s="451"/>
      <c r="AC889" s="450"/>
      <c r="AD889" s="449"/>
      <c r="AE889" s="451"/>
      <c r="AF889" s="450"/>
      <c r="AG889" s="449"/>
      <c r="AH889" s="451"/>
      <c r="AI889" s="450"/>
      <c r="AJ889" s="449"/>
      <c r="AK889" s="451"/>
      <c r="AL889" s="450"/>
      <c r="AM889" s="449"/>
      <c r="AN889" s="451"/>
      <c r="AO889" s="450"/>
      <c r="AP889" s="449"/>
      <c r="AQ889" s="451"/>
      <c r="AR889" s="449"/>
      <c r="AS889" s="449"/>
      <c r="AT889" s="451"/>
      <c r="AU889" s="449"/>
      <c r="AV889" s="451"/>
      <c r="AW889" s="449"/>
      <c r="AX889" s="449"/>
      <c r="AY889" s="449"/>
      <c r="AZ889" s="449"/>
      <c r="BA889" s="449"/>
      <c r="BB889" s="449"/>
      <c r="BC889" s="449"/>
      <c r="BD889" s="449"/>
      <c r="BE889" s="449"/>
      <c r="BF889" s="449"/>
      <c r="BG889" s="449"/>
      <c r="BH889" s="449"/>
      <c r="BI889" s="449"/>
      <c r="BJ889" s="449"/>
      <c r="BK889" s="449"/>
      <c r="BL889" s="449"/>
      <c r="BM889" s="449"/>
      <c r="BN889" s="449"/>
    </row>
    <row r="890" spans="1:66" ht="13.15" x14ac:dyDescent="0.4">
      <c r="A890" s="430"/>
      <c r="B890" s="430"/>
      <c r="C890" s="430"/>
      <c r="D890" s="430"/>
      <c r="E890" s="430"/>
      <c r="F890" s="430"/>
      <c r="G890" s="430"/>
      <c r="H890" s="461"/>
      <c r="I890" s="438"/>
      <c r="J890" s="438"/>
      <c r="K890" s="438"/>
      <c r="L890" s="430"/>
      <c r="M890" s="430"/>
      <c r="N890" s="461"/>
      <c r="O890" s="461"/>
      <c r="P890" s="430"/>
      <c r="Q890" s="430"/>
      <c r="R890" s="430"/>
      <c r="S890" s="430"/>
      <c r="T890" s="430"/>
      <c r="U890" s="430"/>
      <c r="V890" s="430"/>
      <c r="W890" s="430"/>
      <c r="X890" s="449"/>
      <c r="Y890" s="449"/>
      <c r="Z890" s="450"/>
      <c r="AA890" s="449"/>
      <c r="AB890" s="451"/>
      <c r="AC890" s="450"/>
      <c r="AD890" s="449"/>
      <c r="AE890" s="451"/>
      <c r="AF890" s="450"/>
      <c r="AG890" s="449"/>
      <c r="AH890" s="451"/>
      <c r="AI890" s="450"/>
      <c r="AJ890" s="449"/>
      <c r="AK890" s="451"/>
      <c r="AL890" s="450"/>
      <c r="AM890" s="449"/>
      <c r="AN890" s="451"/>
      <c r="AO890" s="450"/>
      <c r="AP890" s="449"/>
      <c r="AQ890" s="451"/>
      <c r="AR890" s="449"/>
      <c r="AS890" s="449"/>
      <c r="AT890" s="451"/>
      <c r="AU890" s="449"/>
      <c r="AV890" s="451"/>
      <c r="AW890" s="449"/>
      <c r="AX890" s="449"/>
      <c r="AY890" s="449"/>
      <c r="AZ890" s="449"/>
      <c r="BA890" s="449"/>
      <c r="BB890" s="449"/>
      <c r="BC890" s="449"/>
      <c r="BD890" s="449"/>
      <c r="BE890" s="449"/>
      <c r="BF890" s="449"/>
      <c r="BG890" s="449"/>
      <c r="BH890" s="449"/>
      <c r="BI890" s="449"/>
      <c r="BJ890" s="449"/>
      <c r="BK890" s="449"/>
      <c r="BL890" s="449"/>
      <c r="BM890" s="449"/>
      <c r="BN890" s="449"/>
    </row>
    <row r="891" spans="1:66" ht="13.15" x14ac:dyDescent="0.4">
      <c r="A891" s="430"/>
      <c r="B891" s="430"/>
      <c r="C891" s="430"/>
      <c r="D891" s="430"/>
      <c r="E891" s="430"/>
      <c r="F891" s="430"/>
      <c r="G891" s="430"/>
      <c r="H891" s="461"/>
      <c r="I891" s="438"/>
      <c r="J891" s="438"/>
      <c r="K891" s="438"/>
      <c r="L891" s="430"/>
      <c r="M891" s="430"/>
      <c r="N891" s="461"/>
      <c r="O891" s="461"/>
      <c r="P891" s="430"/>
      <c r="Q891" s="430"/>
      <c r="R891" s="430"/>
      <c r="S891" s="430"/>
      <c r="T891" s="430"/>
      <c r="U891" s="430"/>
      <c r="V891" s="430"/>
      <c r="W891" s="430"/>
      <c r="X891" s="449"/>
      <c r="Y891" s="449"/>
      <c r="Z891" s="450"/>
      <c r="AA891" s="449"/>
      <c r="AB891" s="451"/>
      <c r="AC891" s="450"/>
      <c r="AD891" s="449"/>
      <c r="AE891" s="451"/>
      <c r="AF891" s="450"/>
      <c r="AG891" s="449"/>
      <c r="AH891" s="451"/>
      <c r="AI891" s="450"/>
      <c r="AJ891" s="449"/>
      <c r="AK891" s="451"/>
      <c r="AL891" s="450"/>
      <c r="AM891" s="449"/>
      <c r="AN891" s="451"/>
      <c r="AO891" s="450"/>
      <c r="AP891" s="449"/>
      <c r="AQ891" s="451"/>
      <c r="AR891" s="449"/>
      <c r="AS891" s="449"/>
      <c r="AT891" s="451"/>
      <c r="AU891" s="449"/>
      <c r="AV891" s="451"/>
      <c r="AW891" s="449"/>
      <c r="AX891" s="449"/>
      <c r="AY891" s="449"/>
      <c r="AZ891" s="449"/>
      <c r="BA891" s="449"/>
      <c r="BB891" s="449"/>
      <c r="BC891" s="449"/>
      <c r="BD891" s="449"/>
      <c r="BE891" s="449"/>
      <c r="BF891" s="449"/>
      <c r="BG891" s="449"/>
      <c r="BH891" s="449"/>
      <c r="BI891" s="449"/>
      <c r="BJ891" s="449"/>
      <c r="BK891" s="449"/>
      <c r="BL891" s="449"/>
      <c r="BM891" s="449"/>
      <c r="BN891" s="449"/>
    </row>
    <row r="892" spans="1:66" ht="13.15" x14ac:dyDescent="0.4">
      <c r="A892" s="430"/>
      <c r="B892" s="430"/>
      <c r="C892" s="430"/>
      <c r="D892" s="430"/>
      <c r="E892" s="430"/>
      <c r="F892" s="430"/>
      <c r="G892" s="430"/>
      <c r="H892" s="461"/>
      <c r="I892" s="438"/>
      <c r="J892" s="438"/>
      <c r="K892" s="438"/>
      <c r="L892" s="430"/>
      <c r="M892" s="430"/>
      <c r="N892" s="461"/>
      <c r="O892" s="461"/>
      <c r="P892" s="430"/>
      <c r="Q892" s="430"/>
      <c r="R892" s="430"/>
      <c r="S892" s="430"/>
      <c r="T892" s="430"/>
      <c r="U892" s="430"/>
      <c r="V892" s="430"/>
      <c r="W892" s="430"/>
      <c r="X892" s="449"/>
      <c r="Y892" s="449"/>
      <c r="Z892" s="450"/>
      <c r="AA892" s="449"/>
      <c r="AB892" s="451"/>
      <c r="AC892" s="450"/>
      <c r="AD892" s="449"/>
      <c r="AE892" s="451"/>
      <c r="AF892" s="450"/>
      <c r="AG892" s="449"/>
      <c r="AH892" s="451"/>
      <c r="AI892" s="450"/>
      <c r="AJ892" s="449"/>
      <c r="AK892" s="451"/>
      <c r="AL892" s="450"/>
      <c r="AM892" s="449"/>
      <c r="AN892" s="451"/>
      <c r="AO892" s="450"/>
      <c r="AP892" s="449"/>
      <c r="AQ892" s="451"/>
      <c r="AR892" s="449"/>
      <c r="AS892" s="449"/>
      <c r="AT892" s="451"/>
      <c r="AU892" s="449"/>
      <c r="AV892" s="451"/>
      <c r="AW892" s="449"/>
      <c r="AX892" s="449"/>
      <c r="AY892" s="449"/>
      <c r="AZ892" s="449"/>
      <c r="BA892" s="449"/>
      <c r="BB892" s="449"/>
      <c r="BC892" s="449"/>
      <c r="BD892" s="449"/>
      <c r="BE892" s="449"/>
      <c r="BF892" s="449"/>
      <c r="BG892" s="449"/>
      <c r="BH892" s="449"/>
      <c r="BI892" s="449"/>
      <c r="BJ892" s="449"/>
      <c r="BK892" s="449"/>
      <c r="BL892" s="449"/>
      <c r="BM892" s="449"/>
      <c r="BN892" s="449"/>
    </row>
    <row r="893" spans="1:66" ht="13.15" x14ac:dyDescent="0.4">
      <c r="A893" s="430"/>
      <c r="B893" s="430"/>
      <c r="C893" s="430"/>
      <c r="D893" s="430"/>
      <c r="E893" s="430"/>
      <c r="F893" s="430"/>
      <c r="G893" s="430"/>
      <c r="H893" s="461"/>
      <c r="I893" s="438"/>
      <c r="J893" s="438"/>
      <c r="K893" s="438"/>
      <c r="L893" s="430"/>
      <c r="M893" s="430"/>
      <c r="N893" s="461"/>
      <c r="O893" s="461"/>
      <c r="P893" s="430"/>
      <c r="Q893" s="430"/>
      <c r="R893" s="430"/>
      <c r="S893" s="430"/>
      <c r="T893" s="430"/>
      <c r="U893" s="430"/>
      <c r="V893" s="430"/>
      <c r="W893" s="430"/>
      <c r="X893" s="449"/>
      <c r="Y893" s="449"/>
      <c r="Z893" s="450"/>
      <c r="AA893" s="449"/>
      <c r="AB893" s="451"/>
      <c r="AC893" s="450"/>
      <c r="AD893" s="449"/>
      <c r="AE893" s="451"/>
      <c r="AF893" s="450"/>
      <c r="AG893" s="449"/>
      <c r="AH893" s="451"/>
      <c r="AI893" s="450"/>
      <c r="AJ893" s="449"/>
      <c r="AK893" s="451"/>
      <c r="AL893" s="450"/>
      <c r="AM893" s="449"/>
      <c r="AN893" s="451"/>
      <c r="AO893" s="450"/>
      <c r="AP893" s="449"/>
      <c r="AQ893" s="451"/>
      <c r="AR893" s="449"/>
      <c r="AS893" s="449"/>
      <c r="AT893" s="451"/>
      <c r="AU893" s="449"/>
      <c r="AV893" s="451"/>
      <c r="AW893" s="449"/>
      <c r="AX893" s="449"/>
      <c r="AY893" s="449"/>
      <c r="AZ893" s="449"/>
      <c r="BA893" s="449"/>
      <c r="BB893" s="449"/>
      <c r="BC893" s="449"/>
      <c r="BD893" s="449"/>
      <c r="BE893" s="449"/>
      <c r="BF893" s="449"/>
      <c r="BG893" s="449"/>
      <c r="BH893" s="449"/>
      <c r="BI893" s="449"/>
      <c r="BJ893" s="449"/>
      <c r="BK893" s="449"/>
      <c r="BL893" s="449"/>
      <c r="BM893" s="449"/>
      <c r="BN893" s="449"/>
    </row>
    <row r="894" spans="1:66" ht="13.15" x14ac:dyDescent="0.4">
      <c r="A894" s="430"/>
      <c r="B894" s="430"/>
      <c r="C894" s="430"/>
      <c r="D894" s="430"/>
      <c r="E894" s="430"/>
      <c r="F894" s="430"/>
      <c r="G894" s="430"/>
      <c r="H894" s="461"/>
      <c r="I894" s="438"/>
      <c r="J894" s="438"/>
      <c r="K894" s="438"/>
      <c r="L894" s="430"/>
      <c r="M894" s="430"/>
      <c r="N894" s="461"/>
      <c r="O894" s="461"/>
      <c r="P894" s="430"/>
      <c r="Q894" s="430"/>
      <c r="R894" s="430"/>
      <c r="S894" s="430"/>
      <c r="T894" s="430"/>
      <c r="U894" s="430"/>
      <c r="V894" s="430"/>
      <c r="W894" s="430"/>
      <c r="X894" s="449"/>
      <c r="Y894" s="449"/>
      <c r="Z894" s="450"/>
      <c r="AA894" s="449"/>
      <c r="AB894" s="451"/>
      <c r="AC894" s="450"/>
      <c r="AD894" s="449"/>
      <c r="AE894" s="451"/>
      <c r="AF894" s="450"/>
      <c r="AG894" s="449"/>
      <c r="AH894" s="451"/>
      <c r="AI894" s="450"/>
      <c r="AJ894" s="449"/>
      <c r="AK894" s="451"/>
      <c r="AL894" s="450"/>
      <c r="AM894" s="449"/>
      <c r="AN894" s="451"/>
      <c r="AO894" s="450"/>
      <c r="AP894" s="449"/>
      <c r="AQ894" s="451"/>
      <c r="AR894" s="449"/>
      <c r="AS894" s="449"/>
      <c r="AT894" s="451"/>
      <c r="AU894" s="449"/>
      <c r="AV894" s="451"/>
      <c r="AW894" s="449"/>
      <c r="AX894" s="449"/>
      <c r="AY894" s="449"/>
      <c r="AZ894" s="449"/>
      <c r="BA894" s="449"/>
      <c r="BB894" s="449"/>
      <c r="BC894" s="449"/>
      <c r="BD894" s="449"/>
      <c r="BE894" s="449"/>
      <c r="BF894" s="449"/>
      <c r="BG894" s="449"/>
      <c r="BH894" s="449"/>
      <c r="BI894" s="449"/>
      <c r="BJ894" s="449"/>
      <c r="BK894" s="449"/>
      <c r="BL894" s="449"/>
      <c r="BM894" s="449"/>
      <c r="BN894" s="449"/>
    </row>
    <row r="895" spans="1:66" ht="13.15" x14ac:dyDescent="0.4">
      <c r="A895" s="430"/>
      <c r="B895" s="430"/>
      <c r="C895" s="430"/>
      <c r="D895" s="430"/>
      <c r="E895" s="430"/>
      <c r="F895" s="430"/>
      <c r="G895" s="430"/>
      <c r="H895" s="461"/>
      <c r="I895" s="438"/>
      <c r="J895" s="438"/>
      <c r="K895" s="438"/>
      <c r="L895" s="430"/>
      <c r="M895" s="430"/>
      <c r="N895" s="461"/>
      <c r="O895" s="461"/>
      <c r="P895" s="430"/>
      <c r="Q895" s="430"/>
      <c r="R895" s="430"/>
      <c r="S895" s="430"/>
      <c r="T895" s="430"/>
      <c r="U895" s="430"/>
      <c r="V895" s="430"/>
      <c r="W895" s="430"/>
      <c r="X895" s="449"/>
      <c r="Y895" s="449"/>
      <c r="Z895" s="450"/>
      <c r="AA895" s="449"/>
      <c r="AB895" s="451"/>
      <c r="AC895" s="450"/>
      <c r="AD895" s="449"/>
      <c r="AE895" s="451"/>
      <c r="AF895" s="450"/>
      <c r="AG895" s="449"/>
      <c r="AH895" s="451"/>
      <c r="AI895" s="450"/>
      <c r="AJ895" s="449"/>
      <c r="AK895" s="451"/>
      <c r="AL895" s="450"/>
      <c r="AM895" s="449"/>
      <c r="AN895" s="451"/>
      <c r="AO895" s="450"/>
      <c r="AP895" s="449"/>
      <c r="AQ895" s="451"/>
      <c r="AR895" s="449"/>
      <c r="AS895" s="449"/>
      <c r="AT895" s="451"/>
      <c r="AU895" s="449"/>
      <c r="AV895" s="451"/>
      <c r="AW895" s="449"/>
      <c r="AX895" s="449"/>
      <c r="AY895" s="449"/>
      <c r="AZ895" s="449"/>
      <c r="BA895" s="449"/>
      <c r="BB895" s="449"/>
      <c r="BC895" s="449"/>
      <c r="BD895" s="449"/>
      <c r="BE895" s="449"/>
      <c r="BF895" s="449"/>
      <c r="BG895" s="449"/>
      <c r="BH895" s="449"/>
      <c r="BI895" s="449"/>
      <c r="BJ895" s="449"/>
      <c r="BK895" s="449"/>
      <c r="BL895" s="449"/>
      <c r="BM895" s="449"/>
      <c r="BN895" s="449"/>
    </row>
    <row r="896" spans="1:66" ht="13.15" x14ac:dyDescent="0.4">
      <c r="A896" s="430"/>
      <c r="B896" s="430"/>
      <c r="C896" s="430"/>
      <c r="D896" s="430"/>
      <c r="E896" s="430"/>
      <c r="F896" s="430"/>
      <c r="G896" s="430"/>
      <c r="H896" s="461"/>
      <c r="I896" s="438"/>
      <c r="J896" s="438"/>
      <c r="K896" s="438"/>
      <c r="L896" s="430"/>
      <c r="M896" s="430"/>
      <c r="N896" s="461"/>
      <c r="O896" s="461"/>
      <c r="P896" s="430"/>
      <c r="Q896" s="430"/>
      <c r="R896" s="430"/>
      <c r="S896" s="430"/>
      <c r="T896" s="430"/>
      <c r="U896" s="430"/>
      <c r="V896" s="430"/>
      <c r="W896" s="430"/>
      <c r="X896" s="449"/>
      <c r="Y896" s="449"/>
      <c r="Z896" s="450"/>
      <c r="AA896" s="449"/>
      <c r="AB896" s="451"/>
      <c r="AC896" s="450"/>
      <c r="AD896" s="449"/>
      <c r="AE896" s="451"/>
      <c r="AF896" s="450"/>
      <c r="AG896" s="449"/>
      <c r="AH896" s="451"/>
      <c r="AI896" s="450"/>
      <c r="AJ896" s="449"/>
      <c r="AK896" s="451"/>
      <c r="AL896" s="450"/>
      <c r="AM896" s="449"/>
      <c r="AN896" s="451"/>
      <c r="AO896" s="450"/>
      <c r="AP896" s="449"/>
      <c r="AQ896" s="451"/>
      <c r="AR896" s="449"/>
      <c r="AS896" s="449"/>
      <c r="AT896" s="451"/>
      <c r="AU896" s="449"/>
      <c r="AV896" s="451"/>
      <c r="AW896" s="449"/>
      <c r="AX896" s="449"/>
      <c r="AY896" s="449"/>
      <c r="AZ896" s="449"/>
      <c r="BA896" s="449"/>
      <c r="BB896" s="449"/>
      <c r="BC896" s="449"/>
      <c r="BD896" s="449"/>
      <c r="BE896" s="449"/>
      <c r="BF896" s="449"/>
      <c r="BG896" s="449"/>
      <c r="BH896" s="449"/>
      <c r="BI896" s="449"/>
      <c r="BJ896" s="449"/>
      <c r="BK896" s="449"/>
      <c r="BL896" s="449"/>
      <c r="BM896" s="449"/>
      <c r="BN896" s="449"/>
    </row>
    <row r="897" spans="1:66" ht="13.15" x14ac:dyDescent="0.4">
      <c r="A897" s="430"/>
      <c r="B897" s="430"/>
      <c r="C897" s="430"/>
      <c r="D897" s="430"/>
      <c r="E897" s="430"/>
      <c r="F897" s="430"/>
      <c r="G897" s="430"/>
      <c r="H897" s="461"/>
      <c r="I897" s="438"/>
      <c r="J897" s="438"/>
      <c r="K897" s="438"/>
      <c r="L897" s="430"/>
      <c r="M897" s="430"/>
      <c r="N897" s="461"/>
      <c r="O897" s="461"/>
      <c r="P897" s="430"/>
      <c r="Q897" s="430"/>
      <c r="R897" s="430"/>
      <c r="S897" s="430"/>
      <c r="T897" s="430"/>
      <c r="U897" s="430"/>
      <c r="V897" s="430"/>
      <c r="W897" s="430"/>
      <c r="X897" s="449"/>
      <c r="Y897" s="449"/>
      <c r="Z897" s="450"/>
      <c r="AA897" s="449"/>
      <c r="AB897" s="451"/>
      <c r="AC897" s="450"/>
      <c r="AD897" s="449"/>
      <c r="AE897" s="451"/>
      <c r="AF897" s="450"/>
      <c r="AG897" s="449"/>
      <c r="AH897" s="451"/>
      <c r="AI897" s="450"/>
      <c r="AJ897" s="449"/>
      <c r="AK897" s="451"/>
      <c r="AL897" s="450"/>
      <c r="AM897" s="449"/>
      <c r="AN897" s="451"/>
      <c r="AO897" s="450"/>
      <c r="AP897" s="449"/>
      <c r="AQ897" s="451"/>
      <c r="AR897" s="449"/>
      <c r="AS897" s="449"/>
      <c r="AT897" s="451"/>
      <c r="AU897" s="449"/>
      <c r="AV897" s="451"/>
      <c r="AW897" s="449"/>
      <c r="AX897" s="449"/>
      <c r="AY897" s="449"/>
      <c r="AZ897" s="449"/>
      <c r="BA897" s="449"/>
      <c r="BB897" s="449"/>
      <c r="BC897" s="449"/>
      <c r="BD897" s="449"/>
      <c r="BE897" s="449"/>
      <c r="BF897" s="449"/>
      <c r="BG897" s="449"/>
      <c r="BH897" s="449"/>
      <c r="BI897" s="449"/>
      <c r="BJ897" s="449"/>
      <c r="BK897" s="449"/>
      <c r="BL897" s="449"/>
      <c r="BM897" s="449"/>
      <c r="BN897" s="449"/>
    </row>
    <row r="898" spans="1:66" ht="13.15" x14ac:dyDescent="0.4">
      <c r="A898" s="430"/>
      <c r="B898" s="430"/>
      <c r="C898" s="430"/>
      <c r="D898" s="430"/>
      <c r="E898" s="430"/>
      <c r="F898" s="430"/>
      <c r="G898" s="430"/>
      <c r="H898" s="461"/>
      <c r="I898" s="438"/>
      <c r="J898" s="438"/>
      <c r="K898" s="438"/>
      <c r="L898" s="430"/>
      <c r="M898" s="430"/>
      <c r="N898" s="461"/>
      <c r="O898" s="461"/>
      <c r="P898" s="430"/>
      <c r="Q898" s="430"/>
      <c r="R898" s="430"/>
      <c r="S898" s="430"/>
      <c r="T898" s="430"/>
      <c r="U898" s="430"/>
      <c r="V898" s="430"/>
      <c r="W898" s="430"/>
      <c r="X898" s="449"/>
      <c r="Y898" s="449"/>
      <c r="Z898" s="450"/>
      <c r="AA898" s="449"/>
      <c r="AB898" s="451"/>
      <c r="AC898" s="450"/>
      <c r="AD898" s="449"/>
      <c r="AE898" s="451"/>
      <c r="AF898" s="450"/>
      <c r="AG898" s="449"/>
      <c r="AH898" s="451"/>
      <c r="AI898" s="450"/>
      <c r="AJ898" s="449"/>
      <c r="AK898" s="451"/>
      <c r="AL898" s="450"/>
      <c r="AM898" s="449"/>
      <c r="AN898" s="451"/>
      <c r="AO898" s="450"/>
      <c r="AP898" s="449"/>
      <c r="AQ898" s="451"/>
      <c r="AR898" s="449"/>
      <c r="AS898" s="449"/>
      <c r="AT898" s="451"/>
      <c r="AU898" s="449"/>
      <c r="AV898" s="451"/>
      <c r="AW898" s="449"/>
      <c r="AX898" s="449"/>
      <c r="AY898" s="449"/>
      <c r="AZ898" s="449"/>
      <c r="BA898" s="449"/>
      <c r="BB898" s="449"/>
      <c r="BC898" s="449"/>
      <c r="BD898" s="449"/>
      <c r="BE898" s="449"/>
      <c r="BF898" s="449"/>
      <c r="BG898" s="449"/>
      <c r="BH898" s="449"/>
      <c r="BI898" s="449"/>
      <c r="BJ898" s="449"/>
      <c r="BK898" s="449"/>
      <c r="BL898" s="449"/>
      <c r="BM898" s="449"/>
      <c r="BN898" s="449"/>
    </row>
    <row r="899" spans="1:66" ht="13.15" x14ac:dyDescent="0.4">
      <c r="A899" s="430"/>
      <c r="B899" s="430"/>
      <c r="C899" s="430"/>
      <c r="D899" s="430"/>
      <c r="E899" s="430"/>
      <c r="F899" s="430"/>
      <c r="G899" s="430"/>
      <c r="H899" s="461"/>
      <c r="I899" s="438"/>
      <c r="J899" s="438"/>
      <c r="K899" s="438"/>
      <c r="L899" s="430"/>
      <c r="M899" s="430"/>
      <c r="N899" s="461"/>
      <c r="O899" s="461"/>
      <c r="P899" s="430"/>
      <c r="Q899" s="430"/>
      <c r="R899" s="430"/>
      <c r="S899" s="430"/>
      <c r="T899" s="430"/>
      <c r="U899" s="430"/>
      <c r="V899" s="430"/>
      <c r="W899" s="430"/>
      <c r="X899" s="449"/>
      <c r="Y899" s="449"/>
      <c r="Z899" s="450"/>
      <c r="AA899" s="449"/>
      <c r="AB899" s="451"/>
      <c r="AC899" s="450"/>
      <c r="AD899" s="449"/>
      <c r="AE899" s="451"/>
      <c r="AF899" s="450"/>
      <c r="AG899" s="449"/>
      <c r="AH899" s="451"/>
      <c r="AI899" s="450"/>
      <c r="AJ899" s="449"/>
      <c r="AK899" s="451"/>
      <c r="AL899" s="450"/>
      <c r="AM899" s="449"/>
      <c r="AN899" s="451"/>
      <c r="AO899" s="450"/>
      <c r="AP899" s="449"/>
      <c r="AQ899" s="451"/>
      <c r="AR899" s="449"/>
      <c r="AS899" s="449"/>
      <c r="AT899" s="451"/>
      <c r="AU899" s="449"/>
      <c r="AV899" s="451"/>
      <c r="AW899" s="449"/>
      <c r="AX899" s="449"/>
      <c r="AY899" s="449"/>
      <c r="AZ899" s="449"/>
      <c r="BA899" s="449"/>
      <c r="BB899" s="449"/>
      <c r="BC899" s="449"/>
      <c r="BD899" s="449"/>
      <c r="BE899" s="449"/>
      <c r="BF899" s="449"/>
      <c r="BG899" s="449"/>
      <c r="BH899" s="449"/>
      <c r="BI899" s="449"/>
      <c r="BJ899" s="449"/>
      <c r="BK899" s="449"/>
      <c r="BL899" s="449"/>
      <c r="BM899" s="449"/>
      <c r="BN899" s="449"/>
    </row>
    <row r="900" spans="1:66" ht="13.15" x14ac:dyDescent="0.4">
      <c r="A900" s="430"/>
      <c r="B900" s="430"/>
      <c r="C900" s="430"/>
      <c r="D900" s="430"/>
      <c r="E900" s="430"/>
      <c r="F900" s="430"/>
      <c r="G900" s="430"/>
      <c r="H900" s="461"/>
      <c r="I900" s="438"/>
      <c r="J900" s="438"/>
      <c r="K900" s="438"/>
      <c r="L900" s="430"/>
      <c r="M900" s="430"/>
      <c r="N900" s="461"/>
      <c r="O900" s="461"/>
      <c r="P900" s="430"/>
      <c r="Q900" s="430"/>
      <c r="R900" s="430"/>
      <c r="S900" s="430"/>
      <c r="T900" s="430"/>
      <c r="U900" s="430"/>
      <c r="V900" s="430"/>
      <c r="W900" s="430"/>
      <c r="X900" s="449"/>
      <c r="Y900" s="449"/>
      <c r="Z900" s="450"/>
      <c r="AA900" s="449"/>
      <c r="AB900" s="451"/>
      <c r="AC900" s="450"/>
      <c r="AD900" s="449"/>
      <c r="AE900" s="451"/>
      <c r="AF900" s="450"/>
      <c r="AG900" s="449"/>
      <c r="AH900" s="451"/>
      <c r="AI900" s="450"/>
      <c r="AJ900" s="449"/>
      <c r="AK900" s="451"/>
      <c r="AL900" s="450"/>
      <c r="AM900" s="449"/>
      <c r="AN900" s="451"/>
      <c r="AO900" s="450"/>
      <c r="AP900" s="449"/>
      <c r="AQ900" s="451"/>
      <c r="AR900" s="449"/>
      <c r="AS900" s="449"/>
      <c r="AT900" s="451"/>
      <c r="AU900" s="449"/>
      <c r="AV900" s="451"/>
      <c r="AW900" s="449"/>
      <c r="AX900" s="449"/>
      <c r="AY900" s="449"/>
      <c r="AZ900" s="449"/>
      <c r="BA900" s="449"/>
      <c r="BB900" s="449"/>
      <c r="BC900" s="449"/>
      <c r="BD900" s="449"/>
      <c r="BE900" s="449"/>
      <c r="BF900" s="449"/>
      <c r="BG900" s="449"/>
      <c r="BH900" s="449"/>
      <c r="BI900" s="449"/>
      <c r="BJ900" s="449"/>
      <c r="BK900" s="449"/>
      <c r="BL900" s="449"/>
      <c r="BM900" s="449"/>
      <c r="BN900" s="449"/>
    </row>
    <row r="901" spans="1:66" ht="13.15" x14ac:dyDescent="0.4">
      <c r="A901" s="430"/>
      <c r="B901" s="430"/>
      <c r="C901" s="430"/>
      <c r="D901" s="430"/>
      <c r="E901" s="430"/>
      <c r="F901" s="430"/>
      <c r="G901" s="430"/>
      <c r="H901" s="461"/>
      <c r="I901" s="438"/>
      <c r="J901" s="438"/>
      <c r="K901" s="438"/>
      <c r="L901" s="430"/>
      <c r="M901" s="430"/>
      <c r="N901" s="461"/>
      <c r="O901" s="461"/>
      <c r="P901" s="430"/>
      <c r="Q901" s="430"/>
      <c r="R901" s="430"/>
      <c r="S901" s="430"/>
      <c r="T901" s="430"/>
      <c r="U901" s="430"/>
      <c r="V901" s="430"/>
      <c r="W901" s="430"/>
      <c r="X901" s="449"/>
      <c r="Y901" s="449"/>
      <c r="Z901" s="450"/>
      <c r="AA901" s="449"/>
      <c r="AB901" s="451"/>
      <c r="AC901" s="450"/>
      <c r="AD901" s="449"/>
      <c r="AE901" s="451"/>
      <c r="AF901" s="450"/>
      <c r="AG901" s="449"/>
      <c r="AH901" s="451"/>
      <c r="AI901" s="450"/>
      <c r="AJ901" s="449"/>
      <c r="AK901" s="451"/>
      <c r="AL901" s="450"/>
      <c r="AM901" s="449"/>
      <c r="AN901" s="451"/>
      <c r="AO901" s="450"/>
      <c r="AP901" s="449"/>
      <c r="AQ901" s="451"/>
      <c r="AR901" s="449"/>
      <c r="AS901" s="449"/>
      <c r="AT901" s="451"/>
      <c r="AU901" s="449"/>
      <c r="AV901" s="451"/>
      <c r="AW901" s="449"/>
      <c r="AX901" s="449"/>
      <c r="AY901" s="449"/>
      <c r="AZ901" s="449"/>
      <c r="BA901" s="449"/>
      <c r="BB901" s="449"/>
      <c r="BC901" s="449"/>
      <c r="BD901" s="449"/>
      <c r="BE901" s="449"/>
      <c r="BF901" s="449"/>
      <c r="BG901" s="449"/>
      <c r="BH901" s="449"/>
      <c r="BI901" s="449"/>
      <c r="BJ901" s="449"/>
      <c r="BK901" s="449"/>
      <c r="BL901" s="449"/>
      <c r="BM901" s="449"/>
      <c r="BN901" s="449"/>
    </row>
    <row r="902" spans="1:66" ht="13.15" x14ac:dyDescent="0.4">
      <c r="A902" s="430"/>
      <c r="B902" s="430"/>
      <c r="C902" s="430"/>
      <c r="D902" s="430"/>
      <c r="E902" s="430"/>
      <c r="F902" s="430"/>
      <c r="G902" s="430"/>
      <c r="H902" s="461"/>
      <c r="I902" s="438"/>
      <c r="J902" s="438"/>
      <c r="K902" s="438"/>
      <c r="L902" s="430"/>
      <c r="M902" s="430"/>
      <c r="N902" s="461"/>
      <c r="O902" s="461"/>
      <c r="P902" s="430"/>
      <c r="Q902" s="430"/>
      <c r="R902" s="430"/>
      <c r="S902" s="430"/>
      <c r="T902" s="430"/>
      <c r="U902" s="430"/>
      <c r="V902" s="430"/>
      <c r="W902" s="430"/>
      <c r="X902" s="449"/>
      <c r="Y902" s="449"/>
      <c r="Z902" s="450"/>
      <c r="AA902" s="449"/>
      <c r="AB902" s="451"/>
      <c r="AC902" s="450"/>
      <c r="AD902" s="449"/>
      <c r="AE902" s="451"/>
      <c r="AF902" s="450"/>
      <c r="AG902" s="449"/>
      <c r="AH902" s="451"/>
      <c r="AI902" s="450"/>
      <c r="AJ902" s="449"/>
      <c r="AK902" s="451"/>
      <c r="AL902" s="450"/>
      <c r="AM902" s="449"/>
      <c r="AN902" s="451"/>
      <c r="AO902" s="450"/>
      <c r="AP902" s="449"/>
      <c r="AQ902" s="451"/>
      <c r="AR902" s="449"/>
      <c r="AS902" s="449"/>
      <c r="AT902" s="451"/>
      <c r="AU902" s="449"/>
      <c r="AV902" s="451"/>
      <c r="AW902" s="449"/>
      <c r="AX902" s="449"/>
      <c r="AY902" s="449"/>
      <c r="AZ902" s="449"/>
      <c r="BA902" s="449"/>
      <c r="BB902" s="449"/>
      <c r="BC902" s="449"/>
      <c r="BD902" s="449"/>
      <c r="BE902" s="449"/>
      <c r="BF902" s="449"/>
      <c r="BG902" s="449"/>
      <c r="BH902" s="449"/>
      <c r="BI902" s="449"/>
      <c r="BJ902" s="449"/>
      <c r="BK902" s="449"/>
      <c r="BL902" s="449"/>
      <c r="BM902" s="449"/>
      <c r="BN902" s="449"/>
    </row>
    <row r="903" spans="1:66" ht="13.15" x14ac:dyDescent="0.4">
      <c r="A903" s="430"/>
      <c r="B903" s="430"/>
      <c r="C903" s="430"/>
      <c r="D903" s="430"/>
      <c r="E903" s="430"/>
      <c r="F903" s="430"/>
      <c r="G903" s="430"/>
      <c r="H903" s="461"/>
      <c r="I903" s="438"/>
      <c r="J903" s="438"/>
      <c r="K903" s="438"/>
      <c r="L903" s="430"/>
      <c r="M903" s="430"/>
      <c r="N903" s="461"/>
      <c r="O903" s="461"/>
      <c r="P903" s="430"/>
      <c r="Q903" s="430"/>
      <c r="R903" s="430"/>
      <c r="S903" s="430"/>
      <c r="T903" s="430"/>
      <c r="U903" s="430"/>
      <c r="V903" s="430"/>
      <c r="W903" s="430"/>
      <c r="X903" s="449"/>
      <c r="Y903" s="449"/>
      <c r="Z903" s="450"/>
      <c r="AA903" s="449"/>
      <c r="AB903" s="451"/>
      <c r="AC903" s="450"/>
      <c r="AD903" s="449"/>
      <c r="AE903" s="451"/>
      <c r="AF903" s="450"/>
      <c r="AG903" s="449"/>
      <c r="AH903" s="451"/>
      <c r="AI903" s="450"/>
      <c r="AJ903" s="449"/>
      <c r="AK903" s="451"/>
      <c r="AL903" s="450"/>
      <c r="AM903" s="449"/>
      <c r="AN903" s="451"/>
      <c r="AO903" s="450"/>
      <c r="AP903" s="449"/>
      <c r="AQ903" s="451"/>
      <c r="AR903" s="449"/>
      <c r="AS903" s="449"/>
      <c r="AT903" s="451"/>
      <c r="AU903" s="449"/>
      <c r="AV903" s="451"/>
      <c r="AW903" s="449"/>
      <c r="AX903" s="449"/>
      <c r="AY903" s="449"/>
      <c r="AZ903" s="449"/>
      <c r="BA903" s="449"/>
      <c r="BB903" s="449"/>
      <c r="BC903" s="449"/>
      <c r="BD903" s="449"/>
      <c r="BE903" s="449"/>
      <c r="BF903" s="449"/>
      <c r="BG903" s="449"/>
      <c r="BH903" s="449"/>
      <c r="BI903" s="449"/>
      <c r="BJ903" s="449"/>
      <c r="BK903" s="449"/>
      <c r="BL903" s="449"/>
      <c r="BM903" s="449"/>
      <c r="BN903" s="449"/>
    </row>
    <row r="904" spans="1:66" ht="13.15" x14ac:dyDescent="0.4">
      <c r="A904" s="430"/>
      <c r="B904" s="430"/>
      <c r="C904" s="430"/>
      <c r="D904" s="430"/>
      <c r="E904" s="430"/>
      <c r="F904" s="430"/>
      <c r="G904" s="430"/>
      <c r="H904" s="461"/>
      <c r="I904" s="438"/>
      <c r="J904" s="438"/>
      <c r="K904" s="438"/>
      <c r="L904" s="430"/>
      <c r="M904" s="430"/>
      <c r="N904" s="461"/>
      <c r="O904" s="461"/>
      <c r="P904" s="430"/>
      <c r="Q904" s="430"/>
      <c r="R904" s="430"/>
      <c r="S904" s="430"/>
      <c r="T904" s="430"/>
      <c r="U904" s="430"/>
      <c r="V904" s="430"/>
      <c r="W904" s="430"/>
      <c r="X904" s="449"/>
      <c r="Y904" s="449"/>
      <c r="Z904" s="450"/>
      <c r="AA904" s="449"/>
      <c r="AB904" s="451"/>
      <c r="AC904" s="450"/>
      <c r="AD904" s="449"/>
      <c r="AE904" s="451"/>
      <c r="AF904" s="450"/>
      <c r="AG904" s="449"/>
      <c r="AH904" s="451"/>
      <c r="AI904" s="450"/>
      <c r="AJ904" s="449"/>
      <c r="AK904" s="451"/>
      <c r="AL904" s="450"/>
      <c r="AM904" s="449"/>
      <c r="AN904" s="451"/>
      <c r="AO904" s="450"/>
      <c r="AP904" s="449"/>
      <c r="AQ904" s="451"/>
      <c r="AR904" s="449"/>
      <c r="AS904" s="449"/>
      <c r="AT904" s="451"/>
      <c r="AU904" s="449"/>
      <c r="AV904" s="451"/>
      <c r="AW904" s="449"/>
      <c r="AX904" s="449"/>
      <c r="AY904" s="449"/>
      <c r="AZ904" s="449"/>
      <c r="BA904" s="449"/>
      <c r="BB904" s="449"/>
      <c r="BC904" s="449"/>
      <c r="BD904" s="449"/>
      <c r="BE904" s="449"/>
      <c r="BF904" s="449"/>
      <c r="BG904" s="449"/>
      <c r="BH904" s="449"/>
      <c r="BI904" s="449"/>
      <c r="BJ904" s="449"/>
      <c r="BK904" s="449"/>
      <c r="BL904" s="449"/>
      <c r="BM904" s="449"/>
      <c r="BN904" s="449"/>
    </row>
    <row r="905" spans="1:66" ht="13.15" x14ac:dyDescent="0.4">
      <c r="A905" s="430"/>
      <c r="B905" s="430"/>
      <c r="C905" s="430"/>
      <c r="D905" s="430"/>
      <c r="E905" s="430"/>
      <c r="F905" s="430"/>
      <c r="G905" s="430"/>
      <c r="H905" s="461"/>
      <c r="I905" s="438"/>
      <c r="J905" s="438"/>
      <c r="K905" s="438"/>
      <c r="L905" s="430"/>
      <c r="M905" s="430"/>
      <c r="N905" s="461"/>
      <c r="O905" s="461"/>
      <c r="P905" s="430"/>
      <c r="Q905" s="430"/>
      <c r="R905" s="430"/>
      <c r="S905" s="430"/>
      <c r="T905" s="430"/>
      <c r="U905" s="430"/>
      <c r="V905" s="430"/>
      <c r="W905" s="430"/>
      <c r="X905" s="449"/>
      <c r="Y905" s="449"/>
      <c r="Z905" s="450"/>
      <c r="AA905" s="449"/>
      <c r="AB905" s="451"/>
      <c r="AC905" s="450"/>
      <c r="AD905" s="449"/>
      <c r="AE905" s="451"/>
      <c r="AF905" s="450"/>
      <c r="AG905" s="449"/>
      <c r="AH905" s="451"/>
      <c r="AI905" s="450"/>
      <c r="AJ905" s="449"/>
      <c r="AK905" s="451"/>
      <c r="AL905" s="450"/>
      <c r="AM905" s="449"/>
      <c r="AN905" s="451"/>
      <c r="AO905" s="450"/>
      <c r="AP905" s="449"/>
      <c r="AQ905" s="451"/>
      <c r="AR905" s="449"/>
      <c r="AS905" s="449"/>
      <c r="AT905" s="451"/>
      <c r="AU905" s="449"/>
      <c r="AV905" s="451"/>
      <c r="AW905" s="449"/>
      <c r="AX905" s="449"/>
      <c r="AY905" s="449"/>
      <c r="AZ905" s="449"/>
      <c r="BA905" s="449"/>
      <c r="BB905" s="449"/>
      <c r="BC905" s="449"/>
      <c r="BD905" s="449"/>
      <c r="BE905" s="449"/>
      <c r="BF905" s="449"/>
      <c r="BG905" s="449"/>
      <c r="BH905" s="449"/>
      <c r="BI905" s="449"/>
      <c r="BJ905" s="449"/>
      <c r="BK905" s="449"/>
      <c r="BL905" s="449"/>
      <c r="BM905" s="449"/>
      <c r="BN905" s="449"/>
    </row>
    <row r="906" spans="1:66" ht="13.15" x14ac:dyDescent="0.4">
      <c r="A906" s="430"/>
      <c r="B906" s="430"/>
      <c r="C906" s="430"/>
      <c r="D906" s="430"/>
      <c r="E906" s="430"/>
      <c r="F906" s="430"/>
      <c r="G906" s="430"/>
      <c r="H906" s="461"/>
      <c r="I906" s="438"/>
      <c r="J906" s="438"/>
      <c r="K906" s="438"/>
      <c r="L906" s="430"/>
      <c r="M906" s="430"/>
      <c r="N906" s="461"/>
      <c r="O906" s="461"/>
      <c r="P906" s="430"/>
      <c r="Q906" s="430"/>
      <c r="R906" s="430"/>
      <c r="S906" s="430"/>
      <c r="T906" s="430"/>
      <c r="U906" s="430"/>
      <c r="V906" s="430"/>
      <c r="W906" s="430"/>
      <c r="X906" s="449"/>
      <c r="Y906" s="449"/>
      <c r="Z906" s="450"/>
      <c r="AA906" s="449"/>
      <c r="AB906" s="451"/>
      <c r="AC906" s="450"/>
      <c r="AD906" s="449"/>
      <c r="AE906" s="451"/>
      <c r="AF906" s="450"/>
      <c r="AG906" s="449"/>
      <c r="AH906" s="451"/>
      <c r="AI906" s="450"/>
      <c r="AJ906" s="449"/>
      <c r="AK906" s="451"/>
      <c r="AL906" s="450"/>
      <c r="AM906" s="449"/>
      <c r="AN906" s="451"/>
      <c r="AO906" s="450"/>
      <c r="AP906" s="449"/>
      <c r="AQ906" s="451"/>
      <c r="AR906" s="449"/>
      <c r="AS906" s="449"/>
      <c r="AT906" s="451"/>
      <c r="AU906" s="449"/>
      <c r="AV906" s="451"/>
      <c r="AW906" s="449"/>
      <c r="AX906" s="449"/>
      <c r="AY906" s="449"/>
      <c r="AZ906" s="449"/>
      <c r="BA906" s="449"/>
      <c r="BB906" s="449"/>
      <c r="BC906" s="449"/>
      <c r="BD906" s="449"/>
      <c r="BE906" s="449"/>
      <c r="BF906" s="449"/>
      <c r="BG906" s="449"/>
      <c r="BH906" s="449"/>
      <c r="BI906" s="449"/>
      <c r="BJ906" s="449"/>
      <c r="BK906" s="449"/>
      <c r="BL906" s="449"/>
      <c r="BM906" s="449"/>
      <c r="BN906" s="449"/>
    </row>
    <row r="907" spans="1:66" ht="13.15" x14ac:dyDescent="0.4">
      <c r="A907" s="430"/>
      <c r="B907" s="430"/>
      <c r="C907" s="430"/>
      <c r="D907" s="430"/>
      <c r="E907" s="430"/>
      <c r="F907" s="430"/>
      <c r="G907" s="430"/>
      <c r="H907" s="461"/>
      <c r="I907" s="438"/>
      <c r="J907" s="438"/>
      <c r="K907" s="438"/>
      <c r="L907" s="430"/>
      <c r="M907" s="430"/>
      <c r="N907" s="461"/>
      <c r="O907" s="461"/>
      <c r="P907" s="430"/>
      <c r="Q907" s="430"/>
      <c r="R907" s="430"/>
      <c r="S907" s="430"/>
      <c r="T907" s="430"/>
      <c r="U907" s="430"/>
      <c r="V907" s="430"/>
      <c r="W907" s="430"/>
      <c r="X907" s="449"/>
      <c r="Y907" s="449"/>
      <c r="Z907" s="450"/>
      <c r="AA907" s="449"/>
      <c r="AB907" s="451"/>
      <c r="AC907" s="450"/>
      <c r="AD907" s="449"/>
      <c r="AE907" s="451"/>
      <c r="AF907" s="450"/>
      <c r="AG907" s="449"/>
      <c r="AH907" s="451"/>
      <c r="AI907" s="450"/>
      <c r="AJ907" s="449"/>
      <c r="AK907" s="451"/>
      <c r="AL907" s="450"/>
      <c r="AM907" s="449"/>
      <c r="AN907" s="451"/>
      <c r="AO907" s="450"/>
      <c r="AP907" s="449"/>
      <c r="AQ907" s="451"/>
      <c r="AR907" s="449"/>
      <c r="AS907" s="449"/>
      <c r="AT907" s="451"/>
      <c r="AU907" s="449"/>
      <c r="AV907" s="451"/>
      <c r="AW907" s="449"/>
      <c r="AX907" s="449"/>
      <c r="AY907" s="449"/>
      <c r="AZ907" s="449"/>
      <c r="BA907" s="449"/>
      <c r="BB907" s="449"/>
      <c r="BC907" s="449"/>
      <c r="BD907" s="449"/>
      <c r="BE907" s="449"/>
      <c r="BF907" s="449"/>
      <c r="BG907" s="449"/>
      <c r="BH907" s="449"/>
      <c r="BI907" s="449"/>
      <c r="BJ907" s="449"/>
      <c r="BK907" s="449"/>
      <c r="BL907" s="449"/>
      <c r="BM907" s="449"/>
      <c r="BN907" s="449"/>
    </row>
    <row r="908" spans="1:66" ht="13.15" x14ac:dyDescent="0.4">
      <c r="A908" s="430"/>
      <c r="B908" s="430"/>
      <c r="C908" s="430"/>
      <c r="D908" s="430"/>
      <c r="E908" s="430"/>
      <c r="F908" s="430"/>
      <c r="G908" s="430"/>
      <c r="H908" s="461"/>
      <c r="I908" s="438"/>
      <c r="J908" s="438"/>
      <c r="K908" s="438"/>
      <c r="L908" s="430"/>
      <c r="M908" s="430"/>
      <c r="N908" s="461"/>
      <c r="O908" s="461"/>
      <c r="P908" s="430"/>
      <c r="Q908" s="430"/>
      <c r="R908" s="430"/>
      <c r="S908" s="430"/>
      <c r="T908" s="430"/>
      <c r="U908" s="430"/>
      <c r="V908" s="430"/>
      <c r="W908" s="430"/>
      <c r="X908" s="449"/>
      <c r="Y908" s="449"/>
      <c r="Z908" s="450"/>
      <c r="AA908" s="449"/>
      <c r="AB908" s="451"/>
      <c r="AC908" s="450"/>
      <c r="AD908" s="449"/>
      <c r="AE908" s="451"/>
      <c r="AF908" s="450"/>
      <c r="AG908" s="449"/>
      <c r="AH908" s="451"/>
      <c r="AI908" s="450"/>
      <c r="AJ908" s="449"/>
      <c r="AK908" s="451"/>
      <c r="AL908" s="450"/>
      <c r="AM908" s="449"/>
      <c r="AN908" s="451"/>
      <c r="AO908" s="450"/>
      <c r="AP908" s="449"/>
      <c r="AQ908" s="451"/>
      <c r="AR908" s="449"/>
      <c r="AS908" s="449"/>
      <c r="AT908" s="451"/>
      <c r="AU908" s="449"/>
      <c r="AV908" s="451"/>
      <c r="AW908" s="449"/>
      <c r="AX908" s="449"/>
      <c r="AY908" s="449"/>
      <c r="AZ908" s="449"/>
      <c r="BA908" s="449"/>
      <c r="BB908" s="449"/>
      <c r="BC908" s="449"/>
      <c r="BD908" s="449"/>
      <c r="BE908" s="449"/>
      <c r="BF908" s="449"/>
      <c r="BG908" s="449"/>
      <c r="BH908" s="449"/>
      <c r="BI908" s="449"/>
      <c r="BJ908" s="449"/>
      <c r="BK908" s="449"/>
      <c r="BL908" s="449"/>
      <c r="BM908" s="449"/>
      <c r="BN908" s="449"/>
    </row>
    <row r="909" spans="1:66" ht="13.15" x14ac:dyDescent="0.4">
      <c r="A909" s="430"/>
      <c r="B909" s="430"/>
      <c r="C909" s="430"/>
      <c r="D909" s="430"/>
      <c r="E909" s="430"/>
      <c r="F909" s="430"/>
      <c r="G909" s="430"/>
      <c r="H909" s="461"/>
      <c r="I909" s="438"/>
      <c r="J909" s="438"/>
      <c r="K909" s="438"/>
      <c r="L909" s="430"/>
      <c r="M909" s="430"/>
      <c r="N909" s="461"/>
      <c r="O909" s="461"/>
      <c r="P909" s="430"/>
      <c r="Q909" s="430"/>
      <c r="R909" s="430"/>
      <c r="S909" s="430"/>
      <c r="T909" s="430"/>
      <c r="U909" s="430"/>
      <c r="V909" s="430"/>
      <c r="W909" s="430"/>
      <c r="X909" s="449"/>
      <c r="Y909" s="449"/>
      <c r="Z909" s="450"/>
      <c r="AA909" s="449"/>
      <c r="AB909" s="451"/>
      <c r="AC909" s="450"/>
      <c r="AD909" s="449"/>
      <c r="AE909" s="451"/>
      <c r="AF909" s="450"/>
      <c r="AG909" s="449"/>
      <c r="AH909" s="451"/>
      <c r="AI909" s="450"/>
      <c r="AJ909" s="449"/>
      <c r="AK909" s="451"/>
      <c r="AL909" s="450"/>
      <c r="AM909" s="449"/>
      <c r="AN909" s="451"/>
      <c r="AO909" s="450"/>
      <c r="AP909" s="449"/>
      <c r="AQ909" s="451"/>
      <c r="AR909" s="449"/>
      <c r="AS909" s="449"/>
      <c r="AT909" s="451"/>
      <c r="AU909" s="449"/>
      <c r="AV909" s="451"/>
      <c r="AW909" s="449"/>
      <c r="AX909" s="449"/>
      <c r="AY909" s="449"/>
      <c r="AZ909" s="449"/>
      <c r="BA909" s="449"/>
      <c r="BB909" s="449"/>
      <c r="BC909" s="449"/>
      <c r="BD909" s="449"/>
      <c r="BE909" s="449"/>
      <c r="BF909" s="449"/>
      <c r="BG909" s="449"/>
      <c r="BH909" s="449"/>
      <c r="BI909" s="449"/>
      <c r="BJ909" s="449"/>
      <c r="BK909" s="449"/>
      <c r="BL909" s="449"/>
      <c r="BM909" s="449"/>
      <c r="BN909" s="449"/>
    </row>
    <row r="910" spans="1:66" ht="13.15" x14ac:dyDescent="0.4">
      <c r="A910" s="430"/>
      <c r="B910" s="430"/>
      <c r="C910" s="430"/>
      <c r="D910" s="430"/>
      <c r="E910" s="430"/>
      <c r="F910" s="430"/>
      <c r="G910" s="430"/>
      <c r="H910" s="461"/>
      <c r="I910" s="438"/>
      <c r="J910" s="438"/>
      <c r="K910" s="438"/>
      <c r="L910" s="430"/>
      <c r="M910" s="430"/>
      <c r="N910" s="461"/>
      <c r="O910" s="461"/>
      <c r="P910" s="430"/>
      <c r="Q910" s="430"/>
      <c r="R910" s="430"/>
      <c r="S910" s="430"/>
      <c r="T910" s="430"/>
      <c r="U910" s="430"/>
      <c r="V910" s="430"/>
      <c r="W910" s="430"/>
      <c r="X910" s="449"/>
      <c r="Y910" s="449"/>
      <c r="Z910" s="450"/>
      <c r="AA910" s="449"/>
      <c r="AB910" s="451"/>
      <c r="AC910" s="450"/>
      <c r="AD910" s="449"/>
      <c r="AE910" s="451"/>
      <c r="AF910" s="450"/>
      <c r="AG910" s="449"/>
      <c r="AH910" s="451"/>
      <c r="AI910" s="450"/>
      <c r="AJ910" s="449"/>
      <c r="AK910" s="451"/>
      <c r="AL910" s="450"/>
      <c r="AM910" s="449"/>
      <c r="AN910" s="451"/>
      <c r="AO910" s="450"/>
      <c r="AP910" s="449"/>
      <c r="AQ910" s="451"/>
      <c r="AR910" s="449"/>
      <c r="AS910" s="449"/>
      <c r="AT910" s="451"/>
      <c r="AU910" s="449"/>
      <c r="AV910" s="451"/>
      <c r="AW910" s="449"/>
      <c r="AX910" s="449"/>
      <c r="AY910" s="449"/>
      <c r="AZ910" s="449"/>
      <c r="BA910" s="449"/>
      <c r="BB910" s="449"/>
      <c r="BC910" s="449"/>
      <c r="BD910" s="449"/>
      <c r="BE910" s="449"/>
      <c r="BF910" s="449"/>
      <c r="BG910" s="449"/>
      <c r="BH910" s="449"/>
      <c r="BI910" s="449"/>
      <c r="BJ910" s="449"/>
      <c r="BK910" s="449"/>
      <c r="BL910" s="449"/>
      <c r="BM910" s="449"/>
      <c r="BN910" s="449"/>
    </row>
    <row r="911" spans="1:66" ht="13.15" x14ac:dyDescent="0.4">
      <c r="A911" s="430"/>
      <c r="B911" s="430"/>
      <c r="C911" s="430"/>
      <c r="D911" s="430"/>
      <c r="E911" s="430"/>
      <c r="F911" s="430"/>
      <c r="G911" s="430"/>
      <c r="H911" s="461"/>
      <c r="I911" s="438"/>
      <c r="J911" s="438"/>
      <c r="K911" s="438"/>
      <c r="L911" s="430"/>
      <c r="M911" s="430"/>
      <c r="N911" s="461"/>
      <c r="O911" s="461"/>
      <c r="P911" s="430"/>
      <c r="Q911" s="430"/>
      <c r="R911" s="430"/>
      <c r="S911" s="430"/>
      <c r="T911" s="430"/>
      <c r="U911" s="430"/>
      <c r="V911" s="430"/>
      <c r="W911" s="430"/>
      <c r="X911" s="449"/>
      <c r="Y911" s="449"/>
      <c r="Z911" s="450"/>
      <c r="AA911" s="449"/>
      <c r="AB911" s="451"/>
      <c r="AC911" s="450"/>
      <c r="AD911" s="449"/>
      <c r="AE911" s="451"/>
      <c r="AF911" s="450"/>
      <c r="AG911" s="449"/>
      <c r="AH911" s="451"/>
      <c r="AI911" s="450"/>
      <c r="AJ911" s="449"/>
      <c r="AK911" s="451"/>
      <c r="AL911" s="450"/>
      <c r="AM911" s="449"/>
      <c r="AN911" s="451"/>
      <c r="AO911" s="450"/>
      <c r="AP911" s="449"/>
      <c r="AQ911" s="451"/>
      <c r="AR911" s="449"/>
      <c r="AS911" s="449"/>
      <c r="AT911" s="451"/>
      <c r="AU911" s="449"/>
      <c r="AV911" s="451"/>
      <c r="AW911" s="449"/>
      <c r="AX911" s="449"/>
      <c r="AY911" s="449"/>
      <c r="AZ911" s="449"/>
      <c r="BA911" s="449"/>
      <c r="BB911" s="449"/>
      <c r="BC911" s="449"/>
      <c r="BD911" s="449"/>
      <c r="BE911" s="449"/>
      <c r="BF911" s="449"/>
      <c r="BG911" s="449"/>
      <c r="BH911" s="449"/>
      <c r="BI911" s="449"/>
      <c r="BJ911" s="449"/>
      <c r="BK911" s="449"/>
      <c r="BL911" s="449"/>
      <c r="BM911" s="449"/>
      <c r="BN911" s="449"/>
    </row>
    <row r="912" spans="1:66" ht="13.15" x14ac:dyDescent="0.4">
      <c r="A912" s="430"/>
      <c r="B912" s="430"/>
      <c r="C912" s="430"/>
      <c r="D912" s="430"/>
      <c r="E912" s="430"/>
      <c r="F912" s="430"/>
      <c r="G912" s="430"/>
      <c r="H912" s="461"/>
      <c r="I912" s="438"/>
      <c r="J912" s="438"/>
      <c r="K912" s="438"/>
      <c r="L912" s="430"/>
      <c r="M912" s="430"/>
      <c r="N912" s="461"/>
      <c r="O912" s="461"/>
      <c r="P912" s="430"/>
      <c r="Q912" s="430"/>
      <c r="R912" s="430"/>
      <c r="S912" s="430"/>
      <c r="T912" s="430"/>
      <c r="U912" s="430"/>
      <c r="V912" s="430"/>
      <c r="W912" s="430"/>
      <c r="X912" s="449"/>
      <c r="Y912" s="449"/>
      <c r="Z912" s="450"/>
      <c r="AA912" s="449"/>
      <c r="AB912" s="451"/>
      <c r="AC912" s="450"/>
      <c r="AD912" s="449"/>
      <c r="AE912" s="451"/>
      <c r="AF912" s="450"/>
      <c r="AG912" s="449"/>
      <c r="AH912" s="451"/>
      <c r="AI912" s="450"/>
      <c r="AJ912" s="449"/>
      <c r="AK912" s="451"/>
      <c r="AL912" s="450"/>
      <c r="AM912" s="449"/>
      <c r="AN912" s="451"/>
      <c r="AO912" s="450"/>
      <c r="AP912" s="449"/>
      <c r="AQ912" s="451"/>
      <c r="AR912" s="449"/>
      <c r="AS912" s="449"/>
      <c r="AT912" s="451"/>
      <c r="AU912" s="449"/>
      <c r="AV912" s="451"/>
      <c r="AW912" s="449"/>
      <c r="AX912" s="449"/>
      <c r="AY912" s="449"/>
      <c r="AZ912" s="449"/>
      <c r="BA912" s="449"/>
      <c r="BB912" s="449"/>
      <c r="BC912" s="449"/>
      <c r="BD912" s="449"/>
      <c r="BE912" s="449"/>
      <c r="BF912" s="449"/>
      <c r="BG912" s="449"/>
      <c r="BH912" s="449"/>
      <c r="BI912" s="449"/>
      <c r="BJ912" s="449"/>
      <c r="BK912" s="449"/>
      <c r="BL912" s="449"/>
      <c r="BM912" s="449"/>
      <c r="BN912" s="449"/>
    </row>
    <row r="913" spans="1:66" ht="13.15" x14ac:dyDescent="0.4">
      <c r="A913" s="430"/>
      <c r="B913" s="430"/>
      <c r="C913" s="430"/>
      <c r="D913" s="430"/>
      <c r="E913" s="430"/>
      <c r="F913" s="430"/>
      <c r="G913" s="430"/>
      <c r="H913" s="461"/>
      <c r="I913" s="438"/>
      <c r="J913" s="438"/>
      <c r="K913" s="438"/>
      <c r="L913" s="430"/>
      <c r="M913" s="430"/>
      <c r="N913" s="461"/>
      <c r="O913" s="461"/>
      <c r="P913" s="430"/>
      <c r="Q913" s="430"/>
      <c r="R913" s="430"/>
      <c r="S913" s="430"/>
      <c r="T913" s="430"/>
      <c r="U913" s="430"/>
      <c r="V913" s="430"/>
      <c r="W913" s="430"/>
      <c r="X913" s="449"/>
      <c r="Y913" s="449"/>
      <c r="Z913" s="450"/>
      <c r="AA913" s="449"/>
      <c r="AB913" s="451"/>
      <c r="AC913" s="450"/>
      <c r="AD913" s="449"/>
      <c r="AE913" s="451"/>
      <c r="AF913" s="450"/>
      <c r="AG913" s="449"/>
      <c r="AH913" s="451"/>
      <c r="AI913" s="450"/>
      <c r="AJ913" s="449"/>
      <c r="AK913" s="451"/>
      <c r="AL913" s="450"/>
      <c r="AM913" s="449"/>
      <c r="AN913" s="451"/>
      <c r="AO913" s="450"/>
      <c r="AP913" s="449"/>
      <c r="AQ913" s="451"/>
      <c r="AR913" s="449"/>
      <c r="AS913" s="449"/>
      <c r="AT913" s="451"/>
      <c r="AU913" s="449"/>
      <c r="AV913" s="451"/>
      <c r="AW913" s="449"/>
      <c r="AX913" s="449"/>
      <c r="AY913" s="449"/>
      <c r="AZ913" s="449"/>
      <c r="BA913" s="449"/>
      <c r="BB913" s="449"/>
      <c r="BC913" s="449"/>
      <c r="BD913" s="449"/>
      <c r="BE913" s="449"/>
      <c r="BF913" s="449"/>
      <c r="BG913" s="449"/>
      <c r="BH913" s="449"/>
      <c r="BI913" s="449"/>
      <c r="BJ913" s="449"/>
      <c r="BK913" s="449"/>
      <c r="BL913" s="449"/>
      <c r="BM913" s="449"/>
      <c r="BN913" s="449"/>
    </row>
    <row r="914" spans="1:66" ht="13.15" x14ac:dyDescent="0.4">
      <c r="A914" s="430"/>
      <c r="B914" s="430"/>
      <c r="C914" s="430"/>
      <c r="D914" s="430"/>
      <c r="E914" s="430"/>
      <c r="F914" s="430"/>
      <c r="G914" s="430"/>
      <c r="H914" s="461"/>
      <c r="I914" s="438"/>
      <c r="J914" s="438"/>
      <c r="K914" s="438"/>
      <c r="L914" s="430"/>
      <c r="M914" s="430"/>
      <c r="N914" s="461"/>
      <c r="O914" s="461"/>
      <c r="P914" s="430"/>
      <c r="Q914" s="430"/>
      <c r="R914" s="430"/>
      <c r="S914" s="430"/>
      <c r="T914" s="430"/>
      <c r="U914" s="430"/>
      <c r="V914" s="430"/>
      <c r="W914" s="430"/>
      <c r="X914" s="449"/>
      <c r="Y914" s="449"/>
      <c r="Z914" s="450"/>
      <c r="AA914" s="449"/>
      <c r="AB914" s="451"/>
      <c r="AC914" s="450"/>
      <c r="AD914" s="449"/>
      <c r="AE914" s="451"/>
      <c r="AF914" s="450"/>
      <c r="AG914" s="449"/>
      <c r="AH914" s="451"/>
      <c r="AI914" s="450"/>
      <c r="AJ914" s="449"/>
      <c r="AK914" s="451"/>
      <c r="AL914" s="450"/>
      <c r="AM914" s="449"/>
      <c r="AN914" s="451"/>
      <c r="AO914" s="450"/>
      <c r="AP914" s="449"/>
      <c r="AQ914" s="451"/>
      <c r="AR914" s="449"/>
      <c r="AS914" s="449"/>
      <c r="AT914" s="451"/>
      <c r="AU914" s="449"/>
      <c r="AV914" s="451"/>
      <c r="AW914" s="449"/>
      <c r="AX914" s="449"/>
      <c r="AY914" s="449"/>
      <c r="AZ914" s="449"/>
      <c r="BA914" s="449"/>
      <c r="BB914" s="449"/>
      <c r="BC914" s="449"/>
      <c r="BD914" s="449"/>
      <c r="BE914" s="449"/>
      <c r="BF914" s="449"/>
      <c r="BG914" s="449"/>
      <c r="BH914" s="449"/>
      <c r="BI914" s="449"/>
      <c r="BJ914" s="449"/>
      <c r="BK914" s="449"/>
      <c r="BL914" s="449"/>
      <c r="BM914" s="449"/>
      <c r="BN914" s="449"/>
    </row>
    <row r="915" spans="1:66" ht="13.15" x14ac:dyDescent="0.4">
      <c r="A915" s="430"/>
      <c r="B915" s="430"/>
      <c r="C915" s="430"/>
      <c r="D915" s="430"/>
      <c r="E915" s="430"/>
      <c r="F915" s="430"/>
      <c r="G915" s="430"/>
      <c r="H915" s="461"/>
      <c r="I915" s="438"/>
      <c r="J915" s="438"/>
      <c r="K915" s="438"/>
      <c r="L915" s="430"/>
      <c r="M915" s="430"/>
      <c r="N915" s="461"/>
      <c r="O915" s="461"/>
      <c r="P915" s="430"/>
      <c r="Q915" s="430"/>
      <c r="R915" s="430"/>
      <c r="S915" s="430"/>
      <c r="T915" s="430"/>
      <c r="U915" s="430"/>
      <c r="V915" s="430"/>
      <c r="W915" s="430"/>
      <c r="X915" s="449"/>
      <c r="Y915" s="449"/>
      <c r="Z915" s="450"/>
      <c r="AA915" s="449"/>
      <c r="AB915" s="451"/>
      <c r="AC915" s="450"/>
      <c r="AD915" s="449"/>
      <c r="AE915" s="451"/>
      <c r="AF915" s="450"/>
      <c r="AG915" s="449"/>
      <c r="AH915" s="451"/>
      <c r="AI915" s="450"/>
      <c r="AJ915" s="449"/>
      <c r="AK915" s="451"/>
      <c r="AL915" s="450"/>
      <c r="AM915" s="449"/>
      <c r="AN915" s="451"/>
      <c r="AO915" s="450"/>
      <c r="AP915" s="449"/>
      <c r="AQ915" s="451"/>
      <c r="AR915" s="449"/>
      <c r="AS915" s="449"/>
      <c r="AT915" s="451"/>
      <c r="AU915" s="449"/>
      <c r="AV915" s="451"/>
      <c r="AW915" s="449"/>
      <c r="AX915" s="449"/>
      <c r="AY915" s="449"/>
      <c r="AZ915" s="449"/>
      <c r="BA915" s="449"/>
      <c r="BB915" s="449"/>
      <c r="BC915" s="449"/>
      <c r="BD915" s="449"/>
      <c r="BE915" s="449"/>
      <c r="BF915" s="449"/>
      <c r="BG915" s="449"/>
      <c r="BH915" s="449"/>
      <c r="BI915" s="449"/>
      <c r="BJ915" s="449"/>
      <c r="BK915" s="449"/>
      <c r="BL915" s="449"/>
      <c r="BM915" s="449"/>
      <c r="BN915" s="449"/>
    </row>
    <row r="916" spans="1:66" ht="13.15" x14ac:dyDescent="0.4">
      <c r="A916" s="430"/>
      <c r="B916" s="430"/>
      <c r="C916" s="430"/>
      <c r="D916" s="430"/>
      <c r="E916" s="430"/>
      <c r="F916" s="430"/>
      <c r="G916" s="430"/>
      <c r="H916" s="461"/>
      <c r="I916" s="438"/>
      <c r="J916" s="438"/>
      <c r="K916" s="438"/>
      <c r="L916" s="430"/>
      <c r="M916" s="430"/>
      <c r="N916" s="461"/>
      <c r="O916" s="461"/>
      <c r="P916" s="430"/>
      <c r="Q916" s="430"/>
      <c r="R916" s="430"/>
      <c r="S916" s="430"/>
      <c r="T916" s="430"/>
      <c r="U916" s="430"/>
      <c r="V916" s="430"/>
      <c r="W916" s="430"/>
      <c r="X916" s="449"/>
      <c r="Y916" s="449"/>
      <c r="Z916" s="450"/>
      <c r="AA916" s="449"/>
      <c r="AB916" s="451"/>
      <c r="AC916" s="450"/>
      <c r="AD916" s="449"/>
      <c r="AE916" s="451"/>
      <c r="AF916" s="450"/>
      <c r="AG916" s="449"/>
      <c r="AH916" s="451"/>
      <c r="AI916" s="450"/>
      <c r="AJ916" s="449"/>
      <c r="AK916" s="451"/>
      <c r="AL916" s="450"/>
      <c r="AM916" s="449"/>
      <c r="AN916" s="451"/>
      <c r="AO916" s="450"/>
      <c r="AP916" s="449"/>
      <c r="AQ916" s="451"/>
      <c r="AR916" s="449"/>
      <c r="AS916" s="449"/>
      <c r="AT916" s="451"/>
      <c r="AU916" s="449"/>
      <c r="AV916" s="451"/>
      <c r="AW916" s="449"/>
      <c r="AX916" s="449"/>
      <c r="AY916" s="449"/>
      <c r="AZ916" s="449"/>
      <c r="BA916" s="449"/>
      <c r="BB916" s="449"/>
      <c r="BC916" s="449"/>
      <c r="BD916" s="449"/>
      <c r="BE916" s="449"/>
      <c r="BF916" s="449"/>
      <c r="BG916" s="449"/>
      <c r="BH916" s="449"/>
      <c r="BI916" s="449"/>
      <c r="BJ916" s="449"/>
      <c r="BK916" s="449"/>
      <c r="BL916" s="449"/>
      <c r="BM916" s="449"/>
      <c r="BN916" s="449"/>
    </row>
    <row r="917" spans="1:66" ht="13.15" x14ac:dyDescent="0.4">
      <c r="A917" s="430"/>
      <c r="B917" s="430"/>
      <c r="C917" s="430"/>
      <c r="D917" s="430"/>
      <c r="E917" s="430"/>
      <c r="F917" s="430"/>
      <c r="G917" s="430"/>
      <c r="H917" s="461"/>
      <c r="I917" s="438"/>
      <c r="J917" s="438"/>
      <c r="K917" s="438"/>
      <c r="L917" s="430"/>
      <c r="M917" s="430"/>
      <c r="N917" s="461"/>
      <c r="O917" s="461"/>
      <c r="P917" s="430"/>
      <c r="Q917" s="430"/>
      <c r="R917" s="430"/>
      <c r="S917" s="430"/>
      <c r="T917" s="430"/>
      <c r="U917" s="430"/>
      <c r="V917" s="430"/>
      <c r="W917" s="430"/>
      <c r="X917" s="449"/>
      <c r="Y917" s="449"/>
      <c r="Z917" s="450"/>
      <c r="AA917" s="449"/>
      <c r="AB917" s="451"/>
      <c r="AC917" s="450"/>
      <c r="AD917" s="449"/>
      <c r="AE917" s="451"/>
      <c r="AF917" s="450"/>
      <c r="AG917" s="449"/>
      <c r="AH917" s="451"/>
      <c r="AI917" s="450"/>
      <c r="AJ917" s="449"/>
      <c r="AK917" s="451"/>
      <c r="AL917" s="450"/>
      <c r="AM917" s="449"/>
      <c r="AN917" s="451"/>
      <c r="AO917" s="450"/>
      <c r="AP917" s="449"/>
      <c r="AQ917" s="451"/>
      <c r="AR917" s="449"/>
      <c r="AS917" s="449"/>
      <c r="AT917" s="451"/>
      <c r="AU917" s="449"/>
      <c r="AV917" s="451"/>
      <c r="AW917" s="449"/>
      <c r="AX917" s="449"/>
      <c r="AY917" s="449"/>
      <c r="AZ917" s="449"/>
      <c r="BA917" s="449"/>
      <c r="BB917" s="449"/>
      <c r="BC917" s="449"/>
      <c r="BD917" s="449"/>
      <c r="BE917" s="449"/>
      <c r="BF917" s="449"/>
      <c r="BG917" s="449"/>
      <c r="BH917" s="449"/>
      <c r="BI917" s="449"/>
      <c r="BJ917" s="449"/>
      <c r="BK917" s="449"/>
      <c r="BL917" s="449"/>
      <c r="BM917" s="449"/>
      <c r="BN917" s="449"/>
    </row>
    <row r="918" spans="1:66" ht="13.15" x14ac:dyDescent="0.4">
      <c r="A918" s="430"/>
      <c r="B918" s="430"/>
      <c r="C918" s="430"/>
      <c r="D918" s="430"/>
      <c r="E918" s="430"/>
      <c r="F918" s="430"/>
      <c r="G918" s="430"/>
      <c r="H918" s="461"/>
      <c r="I918" s="438"/>
      <c r="J918" s="438"/>
      <c r="K918" s="438"/>
      <c r="L918" s="430"/>
      <c r="M918" s="430"/>
      <c r="N918" s="461"/>
      <c r="O918" s="461"/>
      <c r="P918" s="430"/>
      <c r="Q918" s="430"/>
      <c r="R918" s="430"/>
      <c r="S918" s="430"/>
      <c r="T918" s="430"/>
      <c r="U918" s="430"/>
      <c r="V918" s="430"/>
      <c r="W918" s="430"/>
      <c r="X918" s="449"/>
      <c r="Y918" s="449"/>
      <c r="Z918" s="450"/>
      <c r="AA918" s="449"/>
      <c r="AB918" s="451"/>
      <c r="AC918" s="450"/>
      <c r="AD918" s="449"/>
      <c r="AE918" s="451"/>
      <c r="AF918" s="450"/>
      <c r="AG918" s="449"/>
      <c r="AH918" s="451"/>
      <c r="AI918" s="450"/>
      <c r="AJ918" s="449"/>
      <c r="AK918" s="451"/>
      <c r="AL918" s="450"/>
      <c r="AM918" s="449"/>
      <c r="AN918" s="451"/>
      <c r="AO918" s="450"/>
      <c r="AP918" s="449"/>
      <c r="AQ918" s="451"/>
      <c r="AR918" s="449"/>
      <c r="AS918" s="449"/>
      <c r="AT918" s="451"/>
      <c r="AU918" s="449"/>
      <c r="AV918" s="451"/>
      <c r="AW918" s="449"/>
      <c r="AX918" s="449"/>
      <c r="AY918" s="449"/>
      <c r="AZ918" s="449"/>
      <c r="BA918" s="449"/>
      <c r="BB918" s="449"/>
      <c r="BC918" s="449"/>
      <c r="BD918" s="449"/>
      <c r="BE918" s="449"/>
      <c r="BF918" s="449"/>
      <c r="BG918" s="449"/>
      <c r="BH918" s="449"/>
      <c r="BI918" s="449"/>
      <c r="BJ918" s="449"/>
      <c r="BK918" s="449"/>
      <c r="BL918" s="449"/>
      <c r="BM918" s="449"/>
      <c r="BN918" s="449"/>
    </row>
    <row r="919" spans="1:66" ht="13.15" x14ac:dyDescent="0.4">
      <c r="A919" s="430"/>
      <c r="B919" s="430"/>
      <c r="C919" s="430"/>
      <c r="D919" s="430"/>
      <c r="E919" s="430"/>
      <c r="F919" s="430"/>
      <c r="G919" s="430"/>
      <c r="H919" s="461"/>
      <c r="I919" s="438"/>
      <c r="J919" s="438"/>
      <c r="K919" s="438"/>
      <c r="L919" s="430"/>
      <c r="M919" s="430"/>
      <c r="N919" s="461"/>
      <c r="O919" s="461"/>
      <c r="P919" s="430"/>
      <c r="Q919" s="430"/>
      <c r="R919" s="430"/>
      <c r="S919" s="430"/>
      <c r="T919" s="430"/>
      <c r="U919" s="430"/>
      <c r="V919" s="430"/>
      <c r="W919" s="430"/>
      <c r="X919" s="449"/>
      <c r="Y919" s="449"/>
      <c r="Z919" s="450"/>
      <c r="AA919" s="449"/>
      <c r="AB919" s="451"/>
      <c r="AC919" s="450"/>
      <c r="AD919" s="449"/>
      <c r="AE919" s="451"/>
      <c r="AF919" s="450"/>
      <c r="AG919" s="449"/>
      <c r="AH919" s="451"/>
      <c r="AI919" s="450"/>
      <c r="AJ919" s="449"/>
      <c r="AK919" s="451"/>
      <c r="AL919" s="450"/>
      <c r="AM919" s="449"/>
      <c r="AN919" s="451"/>
      <c r="AO919" s="450"/>
      <c r="AP919" s="449"/>
      <c r="AQ919" s="451"/>
      <c r="AR919" s="449"/>
      <c r="AS919" s="449"/>
      <c r="AT919" s="451"/>
      <c r="AU919" s="449"/>
      <c r="AV919" s="451"/>
      <c r="AW919" s="449"/>
      <c r="AX919" s="449"/>
      <c r="AY919" s="449"/>
      <c r="AZ919" s="449"/>
      <c r="BA919" s="449"/>
      <c r="BB919" s="449"/>
      <c r="BC919" s="449"/>
      <c r="BD919" s="449"/>
      <c r="BE919" s="449"/>
      <c r="BF919" s="449"/>
      <c r="BG919" s="449"/>
      <c r="BH919" s="449"/>
      <c r="BI919" s="449"/>
      <c r="BJ919" s="449"/>
      <c r="BK919" s="449"/>
      <c r="BL919" s="449"/>
      <c r="BM919" s="449"/>
      <c r="BN919" s="449"/>
    </row>
    <row r="920" spans="1:66" ht="13.15" x14ac:dyDescent="0.4">
      <c r="A920" s="430"/>
      <c r="B920" s="430"/>
      <c r="C920" s="430"/>
      <c r="D920" s="430"/>
      <c r="E920" s="430"/>
      <c r="F920" s="430"/>
      <c r="G920" s="430"/>
      <c r="H920" s="461"/>
      <c r="I920" s="438"/>
      <c r="J920" s="438"/>
      <c r="K920" s="438"/>
      <c r="L920" s="430"/>
      <c r="M920" s="430"/>
      <c r="N920" s="461"/>
      <c r="O920" s="461"/>
      <c r="P920" s="430"/>
      <c r="Q920" s="430"/>
      <c r="R920" s="430"/>
      <c r="S920" s="430"/>
      <c r="T920" s="430"/>
      <c r="U920" s="430"/>
      <c r="V920" s="430"/>
      <c r="W920" s="430"/>
      <c r="X920" s="449"/>
      <c r="Y920" s="449"/>
      <c r="Z920" s="450"/>
      <c r="AA920" s="449"/>
      <c r="AB920" s="451"/>
      <c r="AC920" s="450"/>
      <c r="AD920" s="449"/>
      <c r="AE920" s="451"/>
      <c r="AF920" s="450"/>
      <c r="AG920" s="449"/>
      <c r="AH920" s="451"/>
      <c r="AI920" s="450"/>
      <c r="AJ920" s="449"/>
      <c r="AK920" s="451"/>
      <c r="AL920" s="450"/>
      <c r="AM920" s="449"/>
      <c r="AN920" s="451"/>
      <c r="AO920" s="450"/>
      <c r="AP920" s="449"/>
      <c r="AQ920" s="451"/>
      <c r="AR920" s="449"/>
      <c r="AS920" s="449"/>
      <c r="AT920" s="451"/>
      <c r="AU920" s="449"/>
      <c r="AV920" s="451"/>
      <c r="AW920" s="449"/>
      <c r="AX920" s="449"/>
      <c r="AY920" s="449"/>
      <c r="AZ920" s="449"/>
      <c r="BA920" s="449"/>
      <c r="BB920" s="449"/>
      <c r="BC920" s="449"/>
      <c r="BD920" s="449"/>
      <c r="BE920" s="449"/>
      <c r="BF920" s="449"/>
      <c r="BG920" s="449"/>
      <c r="BH920" s="449"/>
      <c r="BI920" s="449"/>
      <c r="BJ920" s="449"/>
      <c r="BK920" s="449"/>
      <c r="BL920" s="449"/>
      <c r="BM920" s="449"/>
      <c r="BN920" s="449"/>
    </row>
    <row r="921" spans="1:66" ht="13.15" x14ac:dyDescent="0.4">
      <c r="A921" s="430"/>
      <c r="B921" s="430"/>
      <c r="C921" s="430"/>
      <c r="D921" s="430"/>
      <c r="E921" s="430"/>
      <c r="F921" s="430"/>
      <c r="G921" s="430"/>
      <c r="H921" s="461"/>
      <c r="I921" s="438"/>
      <c r="J921" s="438"/>
      <c r="K921" s="438"/>
      <c r="L921" s="430"/>
      <c r="M921" s="430"/>
      <c r="N921" s="461"/>
      <c r="O921" s="461"/>
      <c r="P921" s="430"/>
      <c r="Q921" s="430"/>
      <c r="R921" s="430"/>
      <c r="S921" s="430"/>
      <c r="T921" s="430"/>
      <c r="U921" s="430"/>
      <c r="V921" s="430"/>
      <c r="W921" s="430"/>
      <c r="X921" s="449"/>
      <c r="Y921" s="449"/>
      <c r="Z921" s="450"/>
      <c r="AA921" s="449"/>
      <c r="AB921" s="451"/>
      <c r="AC921" s="450"/>
      <c r="AD921" s="449"/>
      <c r="AE921" s="451"/>
      <c r="AF921" s="450"/>
      <c r="AG921" s="449"/>
      <c r="AH921" s="451"/>
      <c r="AI921" s="450"/>
      <c r="AJ921" s="449"/>
      <c r="AK921" s="451"/>
      <c r="AL921" s="450"/>
      <c r="AM921" s="449"/>
      <c r="AN921" s="451"/>
      <c r="AO921" s="450"/>
      <c r="AP921" s="449"/>
      <c r="AQ921" s="451"/>
      <c r="AR921" s="449"/>
      <c r="AS921" s="449"/>
      <c r="AT921" s="451"/>
      <c r="AU921" s="449"/>
      <c r="AV921" s="451"/>
      <c r="AW921" s="449"/>
      <c r="AX921" s="449"/>
      <c r="AY921" s="449"/>
      <c r="AZ921" s="449"/>
      <c r="BA921" s="449"/>
      <c r="BB921" s="449"/>
      <c r="BC921" s="449"/>
      <c r="BD921" s="449"/>
      <c r="BE921" s="449"/>
      <c r="BF921" s="449"/>
      <c r="BG921" s="449"/>
      <c r="BH921" s="449"/>
      <c r="BI921" s="449"/>
      <c r="BJ921" s="449"/>
      <c r="BK921" s="449"/>
      <c r="BL921" s="449"/>
      <c r="BM921" s="449"/>
      <c r="BN921" s="449"/>
    </row>
    <row r="922" spans="1:66" ht="13.15" x14ac:dyDescent="0.4">
      <c r="A922" s="430"/>
      <c r="B922" s="430"/>
      <c r="C922" s="430"/>
      <c r="D922" s="430"/>
      <c r="E922" s="430"/>
      <c r="F922" s="430"/>
      <c r="G922" s="430"/>
      <c r="H922" s="461"/>
      <c r="I922" s="438"/>
      <c r="J922" s="438"/>
      <c r="K922" s="438"/>
      <c r="L922" s="430"/>
      <c r="M922" s="430"/>
      <c r="N922" s="461"/>
      <c r="O922" s="461"/>
      <c r="P922" s="430"/>
      <c r="Q922" s="430"/>
      <c r="R922" s="430"/>
      <c r="S922" s="430"/>
      <c r="T922" s="430"/>
      <c r="U922" s="430"/>
      <c r="V922" s="430"/>
      <c r="W922" s="430"/>
      <c r="X922" s="449"/>
      <c r="Y922" s="449"/>
      <c r="Z922" s="450"/>
      <c r="AA922" s="449"/>
      <c r="AB922" s="451"/>
      <c r="AC922" s="450"/>
      <c r="AD922" s="449"/>
      <c r="AE922" s="451"/>
      <c r="AF922" s="450"/>
      <c r="AG922" s="449"/>
      <c r="AH922" s="451"/>
      <c r="AI922" s="450"/>
      <c r="AJ922" s="449"/>
      <c r="AK922" s="451"/>
      <c r="AL922" s="450"/>
      <c r="AM922" s="449"/>
      <c r="AN922" s="451"/>
      <c r="AO922" s="450"/>
      <c r="AP922" s="449"/>
      <c r="AQ922" s="451"/>
      <c r="AR922" s="449"/>
      <c r="AS922" s="449"/>
      <c r="AT922" s="451"/>
      <c r="AU922" s="449"/>
      <c r="AV922" s="451"/>
      <c r="AW922" s="449"/>
      <c r="AX922" s="449"/>
      <c r="AY922" s="449"/>
      <c r="AZ922" s="449"/>
      <c r="BA922" s="449"/>
      <c r="BB922" s="449"/>
      <c r="BC922" s="449"/>
      <c r="BD922" s="449"/>
      <c r="BE922" s="449"/>
      <c r="BF922" s="449"/>
      <c r="BG922" s="449"/>
      <c r="BH922" s="449"/>
      <c r="BI922" s="449"/>
      <c r="BJ922" s="449"/>
      <c r="BK922" s="449"/>
      <c r="BL922" s="449"/>
      <c r="BM922" s="449"/>
      <c r="BN922" s="449"/>
    </row>
    <row r="923" spans="1:66" ht="13.15" x14ac:dyDescent="0.4">
      <c r="A923" s="430"/>
      <c r="B923" s="430"/>
      <c r="C923" s="430"/>
      <c r="D923" s="430"/>
      <c r="E923" s="430"/>
      <c r="F923" s="430"/>
      <c r="G923" s="430"/>
      <c r="H923" s="461"/>
      <c r="I923" s="438"/>
      <c r="J923" s="438"/>
      <c r="K923" s="438"/>
      <c r="L923" s="430"/>
      <c r="M923" s="430"/>
      <c r="N923" s="461"/>
      <c r="O923" s="461"/>
      <c r="P923" s="430"/>
      <c r="Q923" s="430"/>
      <c r="R923" s="430"/>
      <c r="S923" s="430"/>
      <c r="T923" s="430"/>
      <c r="U923" s="430"/>
      <c r="V923" s="430"/>
      <c r="W923" s="430"/>
      <c r="X923" s="449"/>
      <c r="Y923" s="449"/>
      <c r="Z923" s="450"/>
      <c r="AA923" s="449"/>
      <c r="AB923" s="451"/>
      <c r="AC923" s="450"/>
      <c r="AD923" s="449"/>
      <c r="AE923" s="451"/>
      <c r="AF923" s="450"/>
      <c r="AG923" s="449"/>
      <c r="AH923" s="451"/>
      <c r="AI923" s="450"/>
      <c r="AJ923" s="449"/>
      <c r="AK923" s="451"/>
      <c r="AL923" s="450"/>
      <c r="AM923" s="449"/>
      <c r="AN923" s="451"/>
      <c r="AO923" s="450"/>
      <c r="AP923" s="449"/>
      <c r="AQ923" s="451"/>
      <c r="AR923" s="449"/>
      <c r="AS923" s="449"/>
      <c r="AT923" s="451"/>
      <c r="AU923" s="449"/>
      <c r="AV923" s="451"/>
      <c r="AW923" s="449"/>
      <c r="AX923" s="449"/>
      <c r="AY923" s="449"/>
      <c r="AZ923" s="449"/>
      <c r="BA923" s="449"/>
      <c r="BB923" s="449"/>
      <c r="BC923" s="449"/>
      <c r="BD923" s="449"/>
      <c r="BE923" s="449"/>
      <c r="BF923" s="449"/>
      <c r="BG923" s="449"/>
      <c r="BH923" s="449"/>
      <c r="BI923" s="449"/>
      <c r="BJ923" s="449"/>
      <c r="BK923" s="449"/>
      <c r="BL923" s="449"/>
      <c r="BM923" s="449"/>
      <c r="BN923" s="449"/>
    </row>
    <row r="924" spans="1:66" ht="13.15" x14ac:dyDescent="0.4">
      <c r="A924" s="430"/>
      <c r="B924" s="430"/>
      <c r="C924" s="430"/>
      <c r="D924" s="430"/>
      <c r="E924" s="430"/>
      <c r="F924" s="430"/>
      <c r="G924" s="430"/>
      <c r="H924" s="461"/>
      <c r="I924" s="438"/>
      <c r="J924" s="438"/>
      <c r="K924" s="438"/>
      <c r="L924" s="430"/>
      <c r="M924" s="430"/>
      <c r="N924" s="461"/>
      <c r="O924" s="461"/>
      <c r="P924" s="430"/>
      <c r="Q924" s="430"/>
      <c r="R924" s="430"/>
      <c r="S924" s="430"/>
      <c r="T924" s="430"/>
      <c r="U924" s="430"/>
      <c r="V924" s="430"/>
      <c r="W924" s="430"/>
      <c r="X924" s="449"/>
      <c r="Y924" s="449"/>
      <c r="Z924" s="450"/>
      <c r="AA924" s="449"/>
      <c r="AB924" s="451"/>
      <c r="AC924" s="450"/>
      <c r="AD924" s="449"/>
      <c r="AE924" s="451"/>
      <c r="AF924" s="450"/>
      <c r="AG924" s="449"/>
      <c r="AH924" s="451"/>
      <c r="AI924" s="450"/>
      <c r="AJ924" s="449"/>
      <c r="AK924" s="451"/>
      <c r="AL924" s="450"/>
      <c r="AM924" s="449"/>
      <c r="AN924" s="451"/>
      <c r="AO924" s="450"/>
      <c r="AP924" s="449"/>
      <c r="AQ924" s="451"/>
      <c r="AR924" s="449"/>
      <c r="AS924" s="449"/>
      <c r="AT924" s="451"/>
      <c r="AU924" s="449"/>
      <c r="AV924" s="451"/>
      <c r="AW924" s="449"/>
      <c r="AX924" s="449"/>
      <c r="AY924" s="449"/>
      <c r="AZ924" s="449"/>
      <c r="BA924" s="449"/>
      <c r="BB924" s="449"/>
      <c r="BC924" s="449"/>
      <c r="BD924" s="449"/>
      <c r="BE924" s="449"/>
      <c r="BF924" s="449"/>
      <c r="BG924" s="449"/>
      <c r="BH924" s="449"/>
      <c r="BI924" s="449"/>
      <c r="BJ924" s="449"/>
      <c r="BK924" s="449"/>
      <c r="BL924" s="449"/>
      <c r="BM924" s="449"/>
      <c r="BN924" s="449"/>
    </row>
    <row r="925" spans="1:66" ht="13.15" x14ac:dyDescent="0.4">
      <c r="A925" s="430"/>
      <c r="B925" s="430"/>
      <c r="C925" s="430"/>
      <c r="D925" s="430"/>
      <c r="E925" s="430"/>
      <c r="F925" s="430"/>
      <c r="G925" s="430"/>
      <c r="H925" s="461"/>
      <c r="I925" s="438"/>
      <c r="J925" s="438"/>
      <c r="K925" s="438"/>
      <c r="L925" s="430"/>
      <c r="M925" s="430"/>
      <c r="N925" s="461"/>
      <c r="O925" s="461"/>
      <c r="P925" s="430"/>
      <c r="Q925" s="430"/>
      <c r="R925" s="430"/>
      <c r="S925" s="430"/>
      <c r="T925" s="430"/>
      <c r="U925" s="430"/>
      <c r="V925" s="430"/>
      <c r="W925" s="430"/>
      <c r="X925" s="449"/>
      <c r="Y925" s="449"/>
      <c r="Z925" s="450"/>
      <c r="AA925" s="449"/>
      <c r="AB925" s="451"/>
      <c r="AC925" s="450"/>
      <c r="AD925" s="449"/>
      <c r="AE925" s="451"/>
      <c r="AF925" s="450"/>
      <c r="AG925" s="449"/>
      <c r="AH925" s="451"/>
      <c r="AI925" s="450"/>
      <c r="AJ925" s="449"/>
      <c r="AK925" s="451"/>
      <c r="AL925" s="450"/>
      <c r="AM925" s="449"/>
      <c r="AN925" s="451"/>
      <c r="AO925" s="450"/>
      <c r="AP925" s="449"/>
      <c r="AQ925" s="451"/>
      <c r="AR925" s="449"/>
      <c r="AS925" s="449"/>
      <c r="AT925" s="451"/>
      <c r="AU925" s="449"/>
      <c r="AV925" s="451"/>
      <c r="AW925" s="449"/>
      <c r="AX925" s="449"/>
      <c r="AY925" s="449"/>
      <c r="AZ925" s="449"/>
      <c r="BA925" s="449"/>
      <c r="BB925" s="449"/>
      <c r="BC925" s="449"/>
      <c r="BD925" s="449"/>
      <c r="BE925" s="449"/>
      <c r="BF925" s="449"/>
      <c r="BG925" s="449"/>
      <c r="BH925" s="449"/>
      <c r="BI925" s="449"/>
      <c r="BJ925" s="449"/>
      <c r="BK925" s="449"/>
      <c r="BL925" s="449"/>
      <c r="BM925" s="449"/>
      <c r="BN925" s="449"/>
    </row>
    <row r="926" spans="1:66" ht="13.15" x14ac:dyDescent="0.4">
      <c r="A926" s="430"/>
      <c r="B926" s="430"/>
      <c r="C926" s="430"/>
      <c r="D926" s="430"/>
      <c r="E926" s="430"/>
      <c r="F926" s="430"/>
      <c r="G926" s="430"/>
      <c r="H926" s="461"/>
      <c r="I926" s="438"/>
      <c r="J926" s="438"/>
      <c r="K926" s="438"/>
      <c r="L926" s="430"/>
      <c r="M926" s="430"/>
      <c r="N926" s="461"/>
      <c r="O926" s="461"/>
      <c r="P926" s="430"/>
      <c r="Q926" s="430"/>
      <c r="R926" s="430"/>
      <c r="S926" s="430"/>
      <c r="T926" s="430"/>
      <c r="U926" s="430"/>
      <c r="V926" s="430"/>
      <c r="W926" s="430"/>
      <c r="X926" s="449"/>
      <c r="Y926" s="449"/>
      <c r="Z926" s="450"/>
      <c r="AA926" s="449"/>
      <c r="AB926" s="451"/>
      <c r="AC926" s="450"/>
      <c r="AD926" s="449"/>
      <c r="AE926" s="451"/>
      <c r="AF926" s="450"/>
      <c r="AG926" s="449"/>
      <c r="AH926" s="451"/>
      <c r="AI926" s="450"/>
      <c r="AJ926" s="449"/>
      <c r="AK926" s="451"/>
      <c r="AL926" s="450"/>
      <c r="AM926" s="449"/>
      <c r="AN926" s="451"/>
      <c r="AO926" s="450"/>
      <c r="AP926" s="449"/>
      <c r="AQ926" s="451"/>
      <c r="AR926" s="449"/>
      <c r="AS926" s="449"/>
      <c r="AT926" s="451"/>
      <c r="AU926" s="449"/>
      <c r="AV926" s="451"/>
      <c r="AW926" s="449"/>
      <c r="AX926" s="449"/>
      <c r="AY926" s="449"/>
      <c r="AZ926" s="449"/>
      <c r="BA926" s="449"/>
      <c r="BB926" s="449"/>
      <c r="BC926" s="449"/>
      <c r="BD926" s="449"/>
      <c r="BE926" s="449"/>
      <c r="BF926" s="449"/>
      <c r="BG926" s="449"/>
      <c r="BH926" s="449"/>
      <c r="BI926" s="449"/>
      <c r="BJ926" s="449"/>
      <c r="BK926" s="449"/>
      <c r="BL926" s="449"/>
      <c r="BM926" s="449"/>
      <c r="BN926" s="449"/>
    </row>
    <row r="927" spans="1:66" ht="13.15" x14ac:dyDescent="0.4">
      <c r="A927" s="430"/>
      <c r="B927" s="430"/>
      <c r="C927" s="430"/>
      <c r="D927" s="430"/>
      <c r="E927" s="430"/>
      <c r="F927" s="430"/>
      <c r="G927" s="430"/>
      <c r="H927" s="461"/>
      <c r="I927" s="438"/>
      <c r="J927" s="438"/>
      <c r="K927" s="438"/>
      <c r="L927" s="430"/>
      <c r="M927" s="430"/>
      <c r="N927" s="461"/>
      <c r="O927" s="461"/>
      <c r="P927" s="430"/>
      <c r="Q927" s="430"/>
      <c r="R927" s="430"/>
      <c r="S927" s="430"/>
      <c r="T927" s="430"/>
      <c r="U927" s="430"/>
      <c r="V927" s="430"/>
      <c r="W927" s="430"/>
      <c r="X927" s="449"/>
      <c r="Y927" s="449"/>
      <c r="Z927" s="450"/>
      <c r="AA927" s="449"/>
      <c r="AB927" s="451"/>
      <c r="AC927" s="450"/>
      <c r="AD927" s="449"/>
      <c r="AE927" s="451"/>
      <c r="AF927" s="450"/>
      <c r="AG927" s="449"/>
      <c r="AH927" s="451"/>
      <c r="AI927" s="450"/>
      <c r="AJ927" s="449"/>
      <c r="AK927" s="451"/>
      <c r="AL927" s="450"/>
      <c r="AM927" s="449"/>
      <c r="AN927" s="451"/>
      <c r="AO927" s="450"/>
      <c r="AP927" s="449"/>
      <c r="AQ927" s="451"/>
      <c r="AR927" s="449"/>
      <c r="AS927" s="449"/>
      <c r="AT927" s="451"/>
      <c r="AU927" s="449"/>
      <c r="AV927" s="451"/>
      <c r="AW927" s="449"/>
      <c r="AX927" s="449"/>
      <c r="AY927" s="449"/>
      <c r="AZ927" s="449"/>
      <c r="BA927" s="449"/>
      <c r="BB927" s="449"/>
      <c r="BC927" s="449"/>
      <c r="BD927" s="449"/>
      <c r="BE927" s="449"/>
      <c r="BF927" s="449"/>
      <c r="BG927" s="449"/>
      <c r="BH927" s="449"/>
      <c r="BI927" s="449"/>
      <c r="BJ927" s="449"/>
      <c r="BK927" s="449"/>
      <c r="BL927" s="449"/>
      <c r="BM927" s="449"/>
      <c r="BN927" s="449"/>
    </row>
    <row r="928" spans="1:66" ht="13.15" x14ac:dyDescent="0.4">
      <c r="A928" s="430"/>
      <c r="B928" s="430"/>
      <c r="C928" s="430"/>
      <c r="D928" s="430"/>
      <c r="E928" s="430"/>
      <c r="F928" s="430"/>
      <c r="G928" s="430"/>
      <c r="H928" s="461"/>
      <c r="I928" s="438"/>
      <c r="J928" s="438"/>
      <c r="K928" s="438"/>
      <c r="L928" s="430"/>
      <c r="M928" s="430"/>
      <c r="N928" s="461"/>
      <c r="O928" s="461"/>
      <c r="P928" s="430"/>
      <c r="Q928" s="430"/>
      <c r="R928" s="430"/>
      <c r="S928" s="430"/>
      <c r="T928" s="430"/>
      <c r="U928" s="430"/>
      <c r="V928" s="430"/>
      <c r="W928" s="430"/>
      <c r="X928" s="449"/>
      <c r="Y928" s="449"/>
      <c r="Z928" s="450"/>
      <c r="AA928" s="449"/>
      <c r="AB928" s="451"/>
      <c r="AC928" s="450"/>
      <c r="AD928" s="449"/>
      <c r="AE928" s="451"/>
      <c r="AF928" s="450"/>
      <c r="AG928" s="449"/>
      <c r="AH928" s="451"/>
      <c r="AI928" s="450"/>
      <c r="AJ928" s="449"/>
      <c r="AK928" s="451"/>
      <c r="AL928" s="450"/>
      <c r="AM928" s="449"/>
      <c r="AN928" s="451"/>
      <c r="AO928" s="450"/>
      <c r="AP928" s="449"/>
      <c r="AQ928" s="451"/>
      <c r="AR928" s="449"/>
      <c r="AS928" s="449"/>
      <c r="AT928" s="451"/>
      <c r="AU928" s="449"/>
      <c r="AV928" s="451"/>
      <c r="AW928" s="449"/>
      <c r="AX928" s="449"/>
      <c r="AY928" s="449"/>
      <c r="AZ928" s="449"/>
      <c r="BA928" s="449"/>
      <c r="BB928" s="449"/>
      <c r="BC928" s="449"/>
      <c r="BD928" s="449"/>
      <c r="BE928" s="449"/>
      <c r="BF928" s="449"/>
      <c r="BG928" s="449"/>
      <c r="BH928" s="449"/>
      <c r="BI928" s="449"/>
      <c r="BJ928" s="449"/>
      <c r="BK928" s="449"/>
      <c r="BL928" s="449"/>
      <c r="BM928" s="449"/>
      <c r="BN928" s="449"/>
    </row>
    <row r="929" spans="1:66" ht="13.15" x14ac:dyDescent="0.4">
      <c r="A929" s="430"/>
      <c r="B929" s="430"/>
      <c r="C929" s="430"/>
      <c r="D929" s="430"/>
      <c r="E929" s="430"/>
      <c r="F929" s="430"/>
      <c r="G929" s="430"/>
      <c r="H929" s="461"/>
      <c r="I929" s="438"/>
      <c r="J929" s="438"/>
      <c r="K929" s="438"/>
      <c r="L929" s="430"/>
      <c r="M929" s="430"/>
      <c r="N929" s="461"/>
      <c r="O929" s="461"/>
      <c r="P929" s="430"/>
      <c r="Q929" s="430"/>
      <c r="R929" s="430"/>
      <c r="S929" s="430"/>
      <c r="T929" s="430"/>
      <c r="U929" s="430"/>
      <c r="V929" s="430"/>
      <c r="W929" s="430"/>
      <c r="X929" s="449"/>
      <c r="Y929" s="449"/>
      <c r="Z929" s="450"/>
      <c r="AA929" s="449"/>
      <c r="AB929" s="451"/>
      <c r="AC929" s="450"/>
      <c r="AD929" s="449"/>
      <c r="AE929" s="451"/>
      <c r="AF929" s="450"/>
      <c r="AG929" s="449"/>
      <c r="AH929" s="451"/>
      <c r="AI929" s="450"/>
      <c r="AJ929" s="449"/>
      <c r="AK929" s="451"/>
      <c r="AL929" s="450"/>
      <c r="AM929" s="449"/>
      <c r="AN929" s="451"/>
      <c r="AO929" s="450"/>
      <c r="AP929" s="449"/>
      <c r="AQ929" s="451"/>
      <c r="AR929" s="449"/>
      <c r="AS929" s="449"/>
      <c r="AT929" s="451"/>
      <c r="AU929" s="449"/>
      <c r="AV929" s="451"/>
      <c r="AW929" s="449"/>
      <c r="AX929" s="449"/>
      <c r="AY929" s="449"/>
      <c r="AZ929" s="449"/>
      <c r="BA929" s="449"/>
      <c r="BB929" s="449"/>
      <c r="BC929" s="449"/>
      <c r="BD929" s="449"/>
      <c r="BE929" s="449"/>
      <c r="BF929" s="449"/>
      <c r="BG929" s="449"/>
      <c r="BH929" s="449"/>
      <c r="BI929" s="449"/>
      <c r="BJ929" s="449"/>
      <c r="BK929" s="449"/>
      <c r="BL929" s="449"/>
      <c r="BM929" s="449"/>
      <c r="BN929" s="449"/>
    </row>
    <row r="930" spans="1:66" ht="13.15" x14ac:dyDescent="0.4">
      <c r="A930" s="430"/>
      <c r="B930" s="430"/>
      <c r="C930" s="430"/>
      <c r="D930" s="430"/>
      <c r="E930" s="430"/>
      <c r="F930" s="430"/>
      <c r="G930" s="430"/>
      <c r="H930" s="461"/>
      <c r="I930" s="438"/>
      <c r="J930" s="438"/>
      <c r="K930" s="438"/>
      <c r="L930" s="430"/>
      <c r="M930" s="430"/>
      <c r="N930" s="461"/>
      <c r="O930" s="461"/>
      <c r="P930" s="430"/>
      <c r="Q930" s="430"/>
      <c r="R930" s="430"/>
      <c r="S930" s="430"/>
      <c r="T930" s="430"/>
      <c r="U930" s="430"/>
      <c r="V930" s="430"/>
      <c r="W930" s="430"/>
      <c r="X930" s="449"/>
      <c r="Y930" s="449"/>
      <c r="Z930" s="450"/>
      <c r="AA930" s="449"/>
      <c r="AB930" s="451"/>
      <c r="AC930" s="450"/>
      <c r="AD930" s="449"/>
      <c r="AE930" s="451"/>
      <c r="AF930" s="450"/>
      <c r="AG930" s="449"/>
      <c r="AH930" s="451"/>
      <c r="AI930" s="450"/>
      <c r="AJ930" s="449"/>
      <c r="AK930" s="451"/>
      <c r="AL930" s="450"/>
      <c r="AM930" s="449"/>
      <c r="AN930" s="451"/>
      <c r="AO930" s="450"/>
      <c r="AP930" s="449"/>
      <c r="AQ930" s="451"/>
      <c r="AR930" s="449"/>
      <c r="AS930" s="449"/>
      <c r="AT930" s="451"/>
      <c r="AU930" s="449"/>
      <c r="AV930" s="451"/>
      <c r="AW930" s="449"/>
      <c r="AX930" s="449"/>
      <c r="AY930" s="449"/>
      <c r="AZ930" s="449"/>
      <c r="BA930" s="449"/>
      <c r="BB930" s="449"/>
      <c r="BC930" s="449"/>
      <c r="BD930" s="449"/>
      <c r="BE930" s="449"/>
      <c r="BF930" s="449"/>
      <c r="BG930" s="449"/>
      <c r="BH930" s="449"/>
      <c r="BI930" s="449"/>
      <c r="BJ930" s="449"/>
      <c r="BK930" s="449"/>
      <c r="BL930" s="449"/>
      <c r="BM930" s="449"/>
      <c r="BN930" s="449"/>
    </row>
    <row r="931" spans="1:66" ht="13.15" x14ac:dyDescent="0.4">
      <c r="A931" s="430"/>
      <c r="B931" s="430"/>
      <c r="C931" s="430"/>
      <c r="D931" s="430"/>
      <c r="E931" s="430"/>
      <c r="F931" s="430"/>
      <c r="G931" s="430"/>
      <c r="H931" s="461"/>
      <c r="I931" s="438"/>
      <c r="J931" s="438"/>
      <c r="K931" s="438"/>
      <c r="L931" s="430"/>
      <c r="M931" s="430"/>
      <c r="N931" s="461"/>
      <c r="O931" s="461"/>
      <c r="P931" s="430"/>
      <c r="Q931" s="430"/>
      <c r="R931" s="430"/>
      <c r="S931" s="430"/>
      <c r="T931" s="430"/>
      <c r="U931" s="430"/>
      <c r="V931" s="430"/>
      <c r="W931" s="430"/>
      <c r="X931" s="449"/>
      <c r="Y931" s="449"/>
      <c r="Z931" s="450"/>
      <c r="AA931" s="449"/>
      <c r="AB931" s="451"/>
      <c r="AC931" s="450"/>
      <c r="AD931" s="449"/>
      <c r="AE931" s="451"/>
      <c r="AF931" s="450"/>
      <c r="AG931" s="449"/>
      <c r="AH931" s="451"/>
      <c r="AI931" s="450"/>
      <c r="AJ931" s="449"/>
      <c r="AK931" s="451"/>
      <c r="AL931" s="450"/>
      <c r="AM931" s="449"/>
      <c r="AN931" s="451"/>
      <c r="AO931" s="450"/>
      <c r="AP931" s="449"/>
      <c r="AQ931" s="451"/>
      <c r="AR931" s="449"/>
      <c r="AS931" s="449"/>
      <c r="AT931" s="451"/>
      <c r="AU931" s="449"/>
      <c r="AV931" s="451"/>
      <c r="AW931" s="449"/>
      <c r="AX931" s="449"/>
      <c r="AY931" s="449"/>
      <c r="AZ931" s="449"/>
      <c r="BA931" s="449"/>
      <c r="BB931" s="449"/>
      <c r="BC931" s="449"/>
      <c r="BD931" s="449"/>
      <c r="BE931" s="449"/>
      <c r="BF931" s="449"/>
      <c r="BG931" s="449"/>
      <c r="BH931" s="449"/>
      <c r="BI931" s="449"/>
      <c r="BJ931" s="449"/>
      <c r="BK931" s="449"/>
      <c r="BL931" s="449"/>
      <c r="BM931" s="449"/>
      <c r="BN931" s="449"/>
    </row>
    <row r="932" spans="1:66" ht="13.15" x14ac:dyDescent="0.4">
      <c r="A932" s="430"/>
      <c r="B932" s="430"/>
      <c r="C932" s="430"/>
      <c r="D932" s="430"/>
      <c r="E932" s="430"/>
      <c r="F932" s="430"/>
      <c r="G932" s="430"/>
      <c r="H932" s="461"/>
      <c r="I932" s="438"/>
      <c r="J932" s="438"/>
      <c r="K932" s="438"/>
      <c r="L932" s="430"/>
      <c r="M932" s="430"/>
      <c r="N932" s="461"/>
      <c r="O932" s="461"/>
      <c r="P932" s="430"/>
      <c r="Q932" s="430"/>
      <c r="R932" s="430"/>
      <c r="S932" s="430"/>
      <c r="T932" s="430"/>
      <c r="U932" s="430"/>
      <c r="V932" s="430"/>
      <c r="W932" s="430"/>
      <c r="X932" s="449"/>
      <c r="Y932" s="449"/>
      <c r="Z932" s="450"/>
      <c r="AA932" s="449"/>
      <c r="AB932" s="451"/>
      <c r="AC932" s="450"/>
      <c r="AD932" s="449"/>
      <c r="AE932" s="451"/>
      <c r="AF932" s="450"/>
      <c r="AG932" s="449"/>
      <c r="AH932" s="451"/>
      <c r="AI932" s="450"/>
      <c r="AJ932" s="449"/>
      <c r="AK932" s="451"/>
      <c r="AL932" s="450"/>
      <c r="AM932" s="449"/>
      <c r="AN932" s="451"/>
      <c r="AO932" s="450"/>
      <c r="AP932" s="449"/>
      <c r="AQ932" s="451"/>
      <c r="AR932" s="449"/>
      <c r="AS932" s="449"/>
      <c r="AT932" s="451"/>
      <c r="AU932" s="449"/>
      <c r="AV932" s="451"/>
      <c r="AW932" s="449"/>
      <c r="AX932" s="449"/>
      <c r="AY932" s="449"/>
      <c r="AZ932" s="449"/>
      <c r="BA932" s="449"/>
      <c r="BB932" s="449"/>
      <c r="BC932" s="449"/>
      <c r="BD932" s="449"/>
      <c r="BE932" s="449"/>
      <c r="BF932" s="449"/>
      <c r="BG932" s="449"/>
      <c r="BH932" s="449"/>
      <c r="BI932" s="449"/>
      <c r="BJ932" s="449"/>
      <c r="BK932" s="449"/>
      <c r="BL932" s="449"/>
      <c r="BM932" s="449"/>
      <c r="BN932" s="449"/>
    </row>
    <row r="933" spans="1:66" ht="13.15" x14ac:dyDescent="0.4">
      <c r="A933" s="430"/>
      <c r="B933" s="430"/>
      <c r="C933" s="430"/>
      <c r="D933" s="430"/>
      <c r="E933" s="430"/>
      <c r="F933" s="430"/>
      <c r="G933" s="430"/>
      <c r="H933" s="461"/>
      <c r="I933" s="438"/>
      <c r="J933" s="438"/>
      <c r="K933" s="438"/>
      <c r="L933" s="430"/>
      <c r="M933" s="430"/>
      <c r="N933" s="461"/>
      <c r="O933" s="461"/>
      <c r="P933" s="430"/>
      <c r="Q933" s="430"/>
      <c r="R933" s="430"/>
      <c r="S933" s="430"/>
      <c r="T933" s="430"/>
      <c r="U933" s="430"/>
      <c r="V933" s="430"/>
      <c r="W933" s="430"/>
      <c r="X933" s="449"/>
      <c r="Y933" s="449"/>
      <c r="Z933" s="450"/>
      <c r="AA933" s="449"/>
      <c r="AB933" s="451"/>
      <c r="AC933" s="450"/>
      <c r="AD933" s="449"/>
      <c r="AE933" s="451"/>
      <c r="AF933" s="450"/>
      <c r="AG933" s="449"/>
      <c r="AH933" s="451"/>
      <c r="AI933" s="450"/>
      <c r="AJ933" s="449"/>
      <c r="AK933" s="451"/>
      <c r="AL933" s="450"/>
      <c r="AM933" s="449"/>
      <c r="AN933" s="451"/>
      <c r="AO933" s="450"/>
      <c r="AP933" s="449"/>
      <c r="AQ933" s="451"/>
      <c r="AR933" s="449"/>
      <c r="AS933" s="449"/>
      <c r="AT933" s="451"/>
      <c r="AU933" s="449"/>
      <c r="AV933" s="451"/>
      <c r="AW933" s="449"/>
      <c r="AX933" s="449"/>
      <c r="AY933" s="449"/>
      <c r="AZ933" s="449"/>
      <c r="BA933" s="449"/>
      <c r="BB933" s="449"/>
      <c r="BC933" s="449"/>
      <c r="BD933" s="449"/>
      <c r="BE933" s="449"/>
      <c r="BF933" s="449"/>
      <c r="BG933" s="449"/>
      <c r="BH933" s="449"/>
      <c r="BI933" s="449"/>
      <c r="BJ933" s="449"/>
      <c r="BK933" s="449"/>
      <c r="BL933" s="449"/>
      <c r="BM933" s="449"/>
      <c r="BN933" s="449"/>
    </row>
    <row r="934" spans="1:66" ht="13.15" x14ac:dyDescent="0.4">
      <c r="A934" s="430"/>
      <c r="B934" s="430"/>
      <c r="C934" s="430"/>
      <c r="D934" s="430"/>
      <c r="E934" s="430"/>
      <c r="F934" s="430"/>
      <c r="G934" s="430"/>
      <c r="H934" s="461"/>
      <c r="I934" s="438"/>
      <c r="J934" s="438"/>
      <c r="K934" s="438"/>
      <c r="L934" s="430"/>
      <c r="M934" s="430"/>
      <c r="N934" s="461"/>
      <c r="O934" s="461"/>
      <c r="P934" s="430"/>
      <c r="Q934" s="430"/>
      <c r="R934" s="430"/>
      <c r="S934" s="430"/>
      <c r="T934" s="430"/>
      <c r="U934" s="430"/>
      <c r="V934" s="430"/>
      <c r="W934" s="430"/>
      <c r="X934" s="449"/>
      <c r="Y934" s="449"/>
      <c r="Z934" s="450"/>
      <c r="AA934" s="449"/>
      <c r="AB934" s="451"/>
      <c r="AC934" s="450"/>
      <c r="AD934" s="449"/>
      <c r="AE934" s="451"/>
      <c r="AF934" s="450"/>
      <c r="AG934" s="449"/>
      <c r="AH934" s="451"/>
      <c r="AI934" s="450"/>
      <c r="AJ934" s="449"/>
      <c r="AK934" s="451"/>
      <c r="AL934" s="450"/>
      <c r="AM934" s="449"/>
      <c r="AN934" s="451"/>
      <c r="AO934" s="450"/>
      <c r="AP934" s="449"/>
      <c r="AQ934" s="451"/>
      <c r="AR934" s="449"/>
      <c r="AS934" s="449"/>
      <c r="AT934" s="451"/>
      <c r="AU934" s="449"/>
      <c r="AV934" s="451"/>
      <c r="AW934" s="449"/>
      <c r="AX934" s="449"/>
      <c r="AY934" s="449"/>
      <c r="AZ934" s="449"/>
      <c r="BA934" s="449"/>
      <c r="BB934" s="449"/>
      <c r="BC934" s="449"/>
      <c r="BD934" s="449"/>
      <c r="BE934" s="449"/>
      <c r="BF934" s="449"/>
      <c r="BG934" s="449"/>
      <c r="BH934" s="449"/>
      <c r="BI934" s="449"/>
      <c r="BJ934" s="449"/>
      <c r="BK934" s="449"/>
      <c r="BL934" s="449"/>
      <c r="BM934" s="449"/>
      <c r="BN934" s="449"/>
    </row>
    <row r="935" spans="1:66" ht="13.15" x14ac:dyDescent="0.4">
      <c r="A935" s="430"/>
      <c r="B935" s="430"/>
      <c r="C935" s="430"/>
      <c r="D935" s="430"/>
      <c r="E935" s="430"/>
      <c r="F935" s="430"/>
      <c r="G935" s="430"/>
      <c r="H935" s="461"/>
      <c r="I935" s="438"/>
      <c r="J935" s="438"/>
      <c r="K935" s="438"/>
      <c r="L935" s="430"/>
      <c r="M935" s="430"/>
      <c r="N935" s="461"/>
      <c r="O935" s="461"/>
      <c r="P935" s="430"/>
      <c r="Q935" s="430"/>
      <c r="R935" s="430"/>
      <c r="S935" s="430"/>
      <c r="T935" s="430"/>
      <c r="U935" s="430"/>
      <c r="V935" s="430"/>
      <c r="W935" s="430"/>
      <c r="X935" s="449"/>
      <c r="Y935" s="449"/>
      <c r="Z935" s="450"/>
      <c r="AA935" s="449"/>
      <c r="AB935" s="451"/>
      <c r="AC935" s="450"/>
      <c r="AD935" s="449"/>
      <c r="AE935" s="451"/>
      <c r="AF935" s="450"/>
      <c r="AG935" s="449"/>
      <c r="AH935" s="451"/>
      <c r="AI935" s="450"/>
      <c r="AJ935" s="449"/>
      <c r="AK935" s="451"/>
      <c r="AL935" s="450"/>
      <c r="AM935" s="449"/>
      <c r="AN935" s="451"/>
      <c r="AO935" s="450"/>
      <c r="AP935" s="449"/>
      <c r="AQ935" s="451"/>
      <c r="AR935" s="449"/>
      <c r="AS935" s="449"/>
      <c r="AT935" s="451"/>
      <c r="AU935" s="449"/>
      <c r="AV935" s="451"/>
      <c r="AW935" s="449"/>
      <c r="AX935" s="449"/>
      <c r="AY935" s="449"/>
      <c r="AZ935" s="449"/>
      <c r="BA935" s="449"/>
      <c r="BB935" s="449"/>
      <c r="BC935" s="449"/>
      <c r="BD935" s="449"/>
      <c r="BE935" s="449"/>
      <c r="BF935" s="449"/>
      <c r="BG935" s="449"/>
      <c r="BH935" s="449"/>
      <c r="BI935" s="449"/>
      <c r="BJ935" s="449"/>
      <c r="BK935" s="449"/>
      <c r="BL935" s="449"/>
      <c r="BM935" s="449"/>
      <c r="BN935" s="449"/>
    </row>
    <row r="936" spans="1:66" ht="13.15" x14ac:dyDescent="0.4">
      <c r="A936" s="430"/>
      <c r="B936" s="430"/>
      <c r="C936" s="430"/>
      <c r="D936" s="430"/>
      <c r="E936" s="430"/>
      <c r="F936" s="430"/>
      <c r="G936" s="430"/>
      <c r="H936" s="461"/>
      <c r="I936" s="438"/>
      <c r="J936" s="438"/>
      <c r="K936" s="438"/>
      <c r="L936" s="430"/>
      <c r="M936" s="430"/>
      <c r="N936" s="461"/>
      <c r="O936" s="461"/>
      <c r="P936" s="430"/>
      <c r="Q936" s="430"/>
      <c r="R936" s="430"/>
      <c r="S936" s="430"/>
      <c r="T936" s="430"/>
      <c r="U936" s="430"/>
      <c r="V936" s="430"/>
      <c r="W936" s="430"/>
      <c r="X936" s="449"/>
      <c r="Y936" s="449"/>
      <c r="Z936" s="450"/>
      <c r="AA936" s="449"/>
      <c r="AB936" s="451"/>
      <c r="AC936" s="450"/>
      <c r="AD936" s="449"/>
      <c r="AE936" s="451"/>
      <c r="AF936" s="450"/>
      <c r="AG936" s="449"/>
      <c r="AH936" s="451"/>
      <c r="AI936" s="450"/>
      <c r="AJ936" s="449"/>
      <c r="AK936" s="451"/>
      <c r="AL936" s="450"/>
      <c r="AM936" s="449"/>
      <c r="AN936" s="451"/>
      <c r="AO936" s="450"/>
      <c r="AP936" s="449"/>
      <c r="AQ936" s="451"/>
      <c r="AR936" s="449"/>
      <c r="AS936" s="449"/>
      <c r="AT936" s="451"/>
      <c r="AU936" s="449"/>
      <c r="AV936" s="451"/>
      <c r="AW936" s="449"/>
      <c r="AX936" s="449"/>
      <c r="AY936" s="449"/>
      <c r="AZ936" s="449"/>
      <c r="BA936" s="449"/>
      <c r="BB936" s="449"/>
      <c r="BC936" s="449"/>
      <c r="BD936" s="449"/>
      <c r="BE936" s="449"/>
      <c r="BF936" s="449"/>
      <c r="BG936" s="449"/>
      <c r="BH936" s="449"/>
      <c r="BI936" s="449"/>
      <c r="BJ936" s="449"/>
      <c r="BK936" s="449"/>
      <c r="BL936" s="449"/>
      <c r="BM936" s="449"/>
      <c r="BN936" s="449"/>
    </row>
    <row r="937" spans="1:66" ht="13.15" x14ac:dyDescent="0.4">
      <c r="A937" s="430"/>
      <c r="B937" s="430"/>
      <c r="C937" s="430"/>
      <c r="D937" s="430"/>
      <c r="E937" s="430"/>
      <c r="F937" s="430"/>
      <c r="G937" s="430"/>
      <c r="H937" s="461"/>
      <c r="I937" s="438"/>
      <c r="J937" s="438"/>
      <c r="K937" s="438"/>
      <c r="L937" s="430"/>
      <c r="M937" s="430"/>
      <c r="N937" s="461"/>
      <c r="O937" s="461"/>
      <c r="P937" s="430"/>
      <c r="Q937" s="430"/>
      <c r="R937" s="430"/>
      <c r="S937" s="430"/>
      <c r="T937" s="430"/>
      <c r="U937" s="430"/>
      <c r="V937" s="430"/>
      <c r="W937" s="430"/>
      <c r="X937" s="449"/>
      <c r="Y937" s="449"/>
      <c r="Z937" s="450"/>
      <c r="AA937" s="449"/>
      <c r="AB937" s="451"/>
      <c r="AC937" s="450"/>
      <c r="AD937" s="449"/>
      <c r="AE937" s="451"/>
      <c r="AF937" s="450"/>
      <c r="AG937" s="449"/>
      <c r="AH937" s="451"/>
      <c r="AI937" s="450"/>
      <c r="AJ937" s="449"/>
      <c r="AK937" s="451"/>
      <c r="AL937" s="450"/>
      <c r="AM937" s="449"/>
      <c r="AN937" s="451"/>
      <c r="AO937" s="450"/>
      <c r="AP937" s="449"/>
      <c r="AQ937" s="451"/>
      <c r="AR937" s="449"/>
      <c r="AS937" s="449"/>
      <c r="AT937" s="451"/>
      <c r="AU937" s="449"/>
      <c r="AV937" s="451"/>
      <c r="AW937" s="449"/>
      <c r="AX937" s="449"/>
      <c r="AY937" s="449"/>
      <c r="AZ937" s="449"/>
      <c r="BA937" s="449"/>
      <c r="BB937" s="449"/>
      <c r="BC937" s="449"/>
      <c r="BD937" s="449"/>
      <c r="BE937" s="449"/>
      <c r="BF937" s="449"/>
      <c r="BG937" s="449"/>
      <c r="BH937" s="449"/>
      <c r="BI937" s="449"/>
      <c r="BJ937" s="449"/>
      <c r="BK937" s="449"/>
      <c r="BL937" s="449"/>
      <c r="BM937" s="449"/>
      <c r="BN937" s="449"/>
    </row>
    <row r="938" spans="1:66" ht="13.15" x14ac:dyDescent="0.4">
      <c r="A938" s="430"/>
      <c r="B938" s="430"/>
      <c r="C938" s="430"/>
      <c r="D938" s="430"/>
      <c r="E938" s="430"/>
      <c r="F938" s="430"/>
      <c r="G938" s="430"/>
      <c r="H938" s="461"/>
      <c r="I938" s="438"/>
      <c r="J938" s="438"/>
      <c r="K938" s="438"/>
      <c r="L938" s="430"/>
      <c r="M938" s="430"/>
      <c r="N938" s="461"/>
      <c r="O938" s="461"/>
      <c r="P938" s="430"/>
      <c r="Q938" s="430"/>
      <c r="R938" s="430"/>
      <c r="S938" s="430"/>
      <c r="T938" s="430"/>
      <c r="U938" s="430"/>
      <c r="V938" s="430"/>
      <c r="W938" s="430"/>
      <c r="X938" s="449"/>
      <c r="Y938" s="449"/>
      <c r="Z938" s="450"/>
      <c r="AA938" s="449"/>
      <c r="AB938" s="451"/>
      <c r="AC938" s="450"/>
      <c r="AD938" s="449"/>
      <c r="AE938" s="451"/>
      <c r="AF938" s="450"/>
      <c r="AG938" s="449"/>
      <c r="AH938" s="451"/>
      <c r="AI938" s="450"/>
      <c r="AJ938" s="449"/>
      <c r="AK938" s="451"/>
      <c r="AL938" s="450"/>
      <c r="AM938" s="449"/>
      <c r="AN938" s="451"/>
      <c r="AO938" s="450"/>
      <c r="AP938" s="449"/>
      <c r="AQ938" s="451"/>
      <c r="AR938" s="449"/>
      <c r="AS938" s="449"/>
      <c r="AT938" s="451"/>
      <c r="AU938" s="449"/>
      <c r="AV938" s="451"/>
      <c r="AW938" s="449"/>
      <c r="AX938" s="449"/>
      <c r="AY938" s="449"/>
      <c r="AZ938" s="449"/>
      <c r="BA938" s="449"/>
      <c r="BB938" s="449"/>
      <c r="BC938" s="449"/>
      <c r="BD938" s="449"/>
      <c r="BE938" s="449"/>
      <c r="BF938" s="449"/>
      <c r="BG938" s="449"/>
      <c r="BH938" s="449"/>
      <c r="BI938" s="449"/>
      <c r="BJ938" s="449"/>
      <c r="BK938" s="449"/>
      <c r="BL938" s="449"/>
      <c r="BM938" s="449"/>
      <c r="BN938" s="449"/>
    </row>
    <row r="939" spans="1:66" ht="13.15" x14ac:dyDescent="0.4">
      <c r="A939" s="430"/>
      <c r="B939" s="430"/>
      <c r="C939" s="430"/>
      <c r="D939" s="430"/>
      <c r="E939" s="430"/>
      <c r="F939" s="430"/>
      <c r="G939" s="430"/>
      <c r="H939" s="461"/>
      <c r="I939" s="438"/>
      <c r="J939" s="438"/>
      <c r="K939" s="438"/>
      <c r="L939" s="430"/>
      <c r="M939" s="430"/>
      <c r="N939" s="461"/>
      <c r="O939" s="461"/>
      <c r="P939" s="430"/>
      <c r="Q939" s="430"/>
      <c r="R939" s="430"/>
      <c r="S939" s="430"/>
      <c r="T939" s="430"/>
      <c r="U939" s="430"/>
      <c r="V939" s="430"/>
      <c r="W939" s="430"/>
      <c r="X939" s="449"/>
      <c r="Y939" s="449"/>
      <c r="Z939" s="450"/>
      <c r="AA939" s="449"/>
      <c r="AB939" s="451"/>
      <c r="AC939" s="450"/>
      <c r="AD939" s="449"/>
      <c r="AE939" s="451"/>
      <c r="AF939" s="450"/>
      <c r="AG939" s="449"/>
      <c r="AH939" s="451"/>
      <c r="AI939" s="450"/>
      <c r="AJ939" s="449"/>
      <c r="AK939" s="451"/>
      <c r="AL939" s="450"/>
      <c r="AM939" s="449"/>
      <c r="AN939" s="451"/>
      <c r="AO939" s="450"/>
      <c r="AP939" s="449"/>
      <c r="AQ939" s="451"/>
      <c r="AR939" s="449"/>
      <c r="AS939" s="449"/>
      <c r="AT939" s="451"/>
      <c r="AU939" s="449"/>
      <c r="AV939" s="451"/>
      <c r="AW939" s="449"/>
      <c r="AX939" s="449"/>
      <c r="AY939" s="449"/>
      <c r="AZ939" s="449"/>
      <c r="BA939" s="449"/>
      <c r="BB939" s="449"/>
      <c r="BC939" s="449"/>
      <c r="BD939" s="449"/>
      <c r="BE939" s="449"/>
      <c r="BF939" s="449"/>
      <c r="BG939" s="449"/>
      <c r="BH939" s="449"/>
      <c r="BI939" s="449"/>
      <c r="BJ939" s="449"/>
      <c r="BK939" s="449"/>
      <c r="BL939" s="449"/>
      <c r="BM939" s="449"/>
      <c r="BN939" s="449"/>
    </row>
    <row r="940" spans="1:66" ht="13.15" x14ac:dyDescent="0.4">
      <c r="A940" s="430"/>
      <c r="B940" s="430"/>
      <c r="C940" s="430"/>
      <c r="D940" s="430"/>
      <c r="E940" s="430"/>
      <c r="F940" s="430"/>
      <c r="G940" s="430"/>
      <c r="H940" s="461"/>
      <c r="I940" s="438"/>
      <c r="J940" s="438"/>
      <c r="K940" s="438"/>
      <c r="L940" s="430"/>
      <c r="M940" s="430"/>
      <c r="N940" s="461"/>
      <c r="O940" s="461"/>
      <c r="P940" s="430"/>
      <c r="Q940" s="430"/>
      <c r="R940" s="430"/>
      <c r="S940" s="430"/>
      <c r="T940" s="430"/>
      <c r="U940" s="430"/>
      <c r="V940" s="430"/>
      <c r="W940" s="430"/>
      <c r="X940" s="449"/>
      <c r="Y940" s="449"/>
      <c r="Z940" s="450"/>
      <c r="AA940" s="449"/>
      <c r="AB940" s="451"/>
      <c r="AC940" s="450"/>
      <c r="AD940" s="449"/>
      <c r="AE940" s="451"/>
      <c r="AF940" s="450"/>
      <c r="AG940" s="449"/>
      <c r="AH940" s="451"/>
      <c r="AI940" s="450"/>
      <c r="AJ940" s="449"/>
      <c r="AK940" s="451"/>
      <c r="AL940" s="450"/>
      <c r="AM940" s="449"/>
      <c r="AN940" s="451"/>
      <c r="AO940" s="450"/>
      <c r="AP940" s="449"/>
      <c r="AQ940" s="451"/>
      <c r="AR940" s="449"/>
      <c r="AS940" s="449"/>
      <c r="AT940" s="451"/>
      <c r="AU940" s="449"/>
      <c r="AV940" s="451"/>
      <c r="AW940" s="449"/>
      <c r="AX940" s="449"/>
      <c r="AY940" s="449"/>
      <c r="AZ940" s="449"/>
      <c r="BA940" s="449"/>
      <c r="BB940" s="449"/>
      <c r="BC940" s="449"/>
      <c r="BD940" s="449"/>
      <c r="BE940" s="449"/>
      <c r="BF940" s="449"/>
      <c r="BG940" s="449"/>
      <c r="BH940" s="449"/>
      <c r="BI940" s="449"/>
      <c r="BJ940" s="449"/>
      <c r="BK940" s="449"/>
      <c r="BL940" s="449"/>
      <c r="BM940" s="449"/>
      <c r="BN940" s="449"/>
    </row>
    <row r="941" spans="1:66" ht="13.15" x14ac:dyDescent="0.4">
      <c r="A941" s="430"/>
      <c r="B941" s="430"/>
      <c r="C941" s="430"/>
      <c r="D941" s="430"/>
      <c r="E941" s="430"/>
      <c r="F941" s="430"/>
      <c r="G941" s="430"/>
      <c r="H941" s="461"/>
      <c r="I941" s="438"/>
      <c r="J941" s="438"/>
      <c r="K941" s="438"/>
      <c r="L941" s="430"/>
      <c r="M941" s="430"/>
      <c r="N941" s="461"/>
      <c r="O941" s="461"/>
      <c r="P941" s="430"/>
      <c r="Q941" s="430"/>
      <c r="R941" s="430"/>
      <c r="S941" s="430"/>
      <c r="T941" s="430"/>
      <c r="U941" s="430"/>
      <c r="V941" s="430"/>
      <c r="W941" s="430"/>
      <c r="X941" s="449"/>
      <c r="Y941" s="449"/>
      <c r="Z941" s="450"/>
      <c r="AA941" s="449"/>
      <c r="AB941" s="451"/>
      <c r="AC941" s="450"/>
      <c r="AD941" s="449"/>
      <c r="AE941" s="451"/>
      <c r="AF941" s="450"/>
      <c r="AG941" s="449"/>
      <c r="AH941" s="451"/>
      <c r="AI941" s="450"/>
      <c r="AJ941" s="449"/>
      <c r="AK941" s="451"/>
      <c r="AL941" s="450"/>
      <c r="AM941" s="449"/>
      <c r="AN941" s="451"/>
      <c r="AO941" s="450"/>
      <c r="AP941" s="449"/>
      <c r="AQ941" s="451"/>
      <c r="AR941" s="449"/>
      <c r="AS941" s="449"/>
      <c r="AT941" s="451"/>
      <c r="AU941" s="449"/>
      <c r="AV941" s="451"/>
      <c r="AW941" s="449"/>
      <c r="AX941" s="449"/>
      <c r="AY941" s="449"/>
      <c r="AZ941" s="449"/>
      <c r="BA941" s="449"/>
      <c r="BB941" s="449"/>
      <c r="BC941" s="449"/>
      <c r="BD941" s="449"/>
      <c r="BE941" s="449"/>
      <c r="BF941" s="449"/>
      <c r="BG941" s="449"/>
      <c r="BH941" s="449"/>
      <c r="BI941" s="449"/>
      <c r="BJ941" s="449"/>
      <c r="BK941" s="449"/>
      <c r="BL941" s="449"/>
      <c r="BM941" s="449"/>
      <c r="BN941" s="449"/>
    </row>
    <row r="942" spans="1:66" ht="13.15" x14ac:dyDescent="0.4">
      <c r="A942" s="430"/>
      <c r="B942" s="430"/>
      <c r="C942" s="430"/>
      <c r="D942" s="430"/>
      <c r="E942" s="430"/>
      <c r="F942" s="430"/>
      <c r="G942" s="430"/>
      <c r="H942" s="461"/>
      <c r="I942" s="438"/>
      <c r="J942" s="438"/>
      <c r="K942" s="438"/>
      <c r="L942" s="430"/>
      <c r="M942" s="430"/>
      <c r="N942" s="461"/>
      <c r="O942" s="461"/>
      <c r="P942" s="430"/>
      <c r="Q942" s="430"/>
      <c r="R942" s="430"/>
      <c r="S942" s="430"/>
      <c r="T942" s="430"/>
      <c r="U942" s="430"/>
      <c r="V942" s="430"/>
      <c r="W942" s="430"/>
      <c r="X942" s="449"/>
      <c r="Y942" s="449"/>
      <c r="Z942" s="450"/>
      <c r="AA942" s="449"/>
      <c r="AB942" s="451"/>
      <c r="AC942" s="450"/>
      <c r="AD942" s="449"/>
      <c r="AE942" s="451"/>
      <c r="AF942" s="450"/>
      <c r="AG942" s="449"/>
      <c r="AH942" s="451"/>
      <c r="AI942" s="450"/>
      <c r="AJ942" s="449"/>
      <c r="AK942" s="451"/>
      <c r="AL942" s="450"/>
      <c r="AM942" s="449"/>
      <c r="AN942" s="451"/>
      <c r="AO942" s="450"/>
      <c r="AP942" s="449"/>
      <c r="AQ942" s="451"/>
      <c r="AR942" s="449"/>
      <c r="AS942" s="449"/>
      <c r="AT942" s="451"/>
      <c r="AU942" s="449"/>
      <c r="AV942" s="451"/>
      <c r="AW942" s="449"/>
      <c r="AX942" s="449"/>
      <c r="AY942" s="449"/>
      <c r="AZ942" s="449"/>
      <c r="BA942" s="449"/>
      <c r="BB942" s="449"/>
      <c r="BC942" s="449"/>
      <c r="BD942" s="449"/>
      <c r="BE942" s="449"/>
      <c r="BF942" s="449"/>
      <c r="BG942" s="449"/>
      <c r="BH942" s="449"/>
      <c r="BI942" s="449"/>
      <c r="BJ942" s="449"/>
      <c r="BK942" s="449"/>
      <c r="BL942" s="449"/>
      <c r="BM942" s="449"/>
      <c r="BN942" s="449"/>
    </row>
    <row r="943" spans="1:66" ht="13.15" x14ac:dyDescent="0.4">
      <c r="A943" s="430"/>
      <c r="B943" s="430"/>
      <c r="C943" s="430"/>
      <c r="D943" s="430"/>
      <c r="E943" s="430"/>
      <c r="F943" s="430"/>
      <c r="G943" s="430"/>
      <c r="H943" s="461"/>
      <c r="I943" s="438"/>
      <c r="J943" s="438"/>
      <c r="K943" s="438"/>
      <c r="L943" s="430"/>
      <c r="M943" s="430"/>
      <c r="N943" s="461"/>
      <c r="O943" s="461"/>
      <c r="P943" s="430"/>
      <c r="Q943" s="430"/>
      <c r="R943" s="430"/>
      <c r="S943" s="430"/>
      <c r="T943" s="430"/>
      <c r="U943" s="430"/>
      <c r="V943" s="430"/>
      <c r="W943" s="430"/>
      <c r="X943" s="449"/>
      <c r="Y943" s="449"/>
      <c r="Z943" s="450"/>
      <c r="AA943" s="449"/>
      <c r="AB943" s="451"/>
      <c r="AC943" s="450"/>
      <c r="AD943" s="449"/>
      <c r="AE943" s="451"/>
      <c r="AF943" s="450"/>
      <c r="AG943" s="449"/>
      <c r="AH943" s="451"/>
      <c r="AI943" s="450"/>
      <c r="AJ943" s="449"/>
      <c r="AK943" s="451"/>
      <c r="AL943" s="450"/>
      <c r="AM943" s="449"/>
      <c r="AN943" s="451"/>
      <c r="AO943" s="450"/>
      <c r="AP943" s="449"/>
      <c r="AQ943" s="451"/>
      <c r="AR943" s="449"/>
      <c r="AS943" s="449"/>
      <c r="AT943" s="451"/>
      <c r="AU943" s="449"/>
      <c r="AV943" s="451"/>
      <c r="AW943" s="449"/>
      <c r="AX943" s="449"/>
      <c r="AY943" s="449"/>
      <c r="AZ943" s="449"/>
      <c r="BA943" s="449"/>
      <c r="BB943" s="449"/>
      <c r="BC943" s="449"/>
      <c r="BD943" s="449"/>
      <c r="BE943" s="449"/>
      <c r="BF943" s="449"/>
      <c r="BG943" s="449"/>
      <c r="BH943" s="449"/>
      <c r="BI943" s="449"/>
      <c r="BJ943" s="449"/>
      <c r="BK943" s="449"/>
      <c r="BL943" s="449"/>
      <c r="BM943" s="449"/>
      <c r="BN943" s="449"/>
    </row>
    <row r="944" spans="1:66" ht="13.15" x14ac:dyDescent="0.4">
      <c r="A944" s="430"/>
      <c r="B944" s="430"/>
      <c r="C944" s="430"/>
      <c r="D944" s="430"/>
      <c r="E944" s="430"/>
      <c r="F944" s="430"/>
      <c r="G944" s="430"/>
      <c r="H944" s="461"/>
      <c r="I944" s="438"/>
      <c r="J944" s="438"/>
      <c r="K944" s="438"/>
      <c r="L944" s="430"/>
      <c r="M944" s="430"/>
      <c r="N944" s="461"/>
      <c r="O944" s="461"/>
      <c r="P944" s="430"/>
      <c r="Q944" s="430"/>
      <c r="R944" s="430"/>
      <c r="S944" s="430"/>
      <c r="T944" s="430"/>
      <c r="U944" s="430"/>
      <c r="V944" s="430"/>
      <c r="W944" s="430"/>
      <c r="X944" s="449"/>
      <c r="Y944" s="449"/>
      <c r="Z944" s="450"/>
      <c r="AA944" s="449"/>
      <c r="AB944" s="451"/>
      <c r="AC944" s="450"/>
      <c r="AD944" s="449"/>
      <c r="AE944" s="451"/>
      <c r="AF944" s="450"/>
      <c r="AG944" s="449"/>
      <c r="AH944" s="451"/>
      <c r="AI944" s="450"/>
      <c r="AJ944" s="449"/>
      <c r="AK944" s="451"/>
      <c r="AL944" s="450"/>
      <c r="AM944" s="449"/>
      <c r="AN944" s="451"/>
      <c r="AO944" s="450"/>
      <c r="AP944" s="449"/>
      <c r="AQ944" s="451"/>
      <c r="AR944" s="449"/>
      <c r="AS944" s="449"/>
      <c r="AT944" s="451"/>
      <c r="AU944" s="449"/>
      <c r="AV944" s="451"/>
      <c r="AW944" s="449"/>
      <c r="AX944" s="449"/>
      <c r="AY944" s="449"/>
      <c r="AZ944" s="449"/>
      <c r="BA944" s="449"/>
      <c r="BB944" s="449"/>
      <c r="BC944" s="449"/>
      <c r="BD944" s="449"/>
      <c r="BE944" s="449"/>
      <c r="BF944" s="449"/>
      <c r="BG944" s="449"/>
      <c r="BH944" s="449"/>
      <c r="BI944" s="449"/>
      <c r="BJ944" s="449"/>
      <c r="BK944" s="449"/>
      <c r="BL944" s="449"/>
      <c r="BM944" s="449"/>
      <c r="BN944" s="449"/>
    </row>
    <row r="945" spans="1:66" ht="13.15" x14ac:dyDescent="0.4">
      <c r="A945" s="430"/>
      <c r="B945" s="430"/>
      <c r="C945" s="430"/>
      <c r="D945" s="430"/>
      <c r="E945" s="430"/>
      <c r="F945" s="430"/>
      <c r="G945" s="430"/>
      <c r="H945" s="461"/>
      <c r="I945" s="438"/>
      <c r="J945" s="438"/>
      <c r="K945" s="438"/>
      <c r="L945" s="430"/>
      <c r="M945" s="430"/>
      <c r="N945" s="461"/>
      <c r="O945" s="461"/>
      <c r="P945" s="430"/>
      <c r="Q945" s="430"/>
      <c r="R945" s="430"/>
      <c r="S945" s="430"/>
      <c r="T945" s="430"/>
      <c r="U945" s="430"/>
      <c r="V945" s="430"/>
      <c r="W945" s="430"/>
      <c r="X945" s="449"/>
      <c r="Y945" s="449"/>
      <c r="Z945" s="450"/>
      <c r="AA945" s="449"/>
      <c r="AB945" s="451"/>
      <c r="AC945" s="450"/>
      <c r="AD945" s="449"/>
      <c r="AE945" s="451"/>
      <c r="AF945" s="450"/>
      <c r="AG945" s="449"/>
      <c r="AH945" s="451"/>
      <c r="AI945" s="450"/>
      <c r="AJ945" s="449"/>
      <c r="AK945" s="451"/>
      <c r="AL945" s="450"/>
      <c r="AM945" s="449"/>
      <c r="AN945" s="451"/>
      <c r="AO945" s="450"/>
      <c r="AP945" s="449"/>
      <c r="AQ945" s="451"/>
      <c r="AR945" s="449"/>
      <c r="AS945" s="449"/>
      <c r="AT945" s="451"/>
      <c r="AU945" s="449"/>
      <c r="AV945" s="451"/>
      <c r="AW945" s="449"/>
      <c r="AX945" s="449"/>
      <c r="AY945" s="449"/>
      <c r="AZ945" s="449"/>
      <c r="BA945" s="449"/>
      <c r="BB945" s="449"/>
      <c r="BC945" s="449"/>
      <c r="BD945" s="449"/>
      <c r="BE945" s="449"/>
      <c r="BF945" s="449"/>
      <c r="BG945" s="449"/>
      <c r="BH945" s="449"/>
      <c r="BI945" s="449"/>
      <c r="BJ945" s="449"/>
      <c r="BK945" s="449"/>
      <c r="BL945" s="449"/>
      <c r="BM945" s="449"/>
      <c r="BN945" s="449"/>
    </row>
    <row r="946" spans="1:66" ht="13.15" x14ac:dyDescent="0.4">
      <c r="A946" s="430"/>
      <c r="B946" s="430"/>
      <c r="C946" s="430"/>
      <c r="D946" s="430"/>
      <c r="E946" s="430"/>
      <c r="F946" s="430"/>
      <c r="G946" s="430"/>
      <c r="H946" s="461"/>
      <c r="I946" s="438"/>
      <c r="J946" s="438"/>
      <c r="K946" s="438"/>
      <c r="L946" s="430"/>
      <c r="M946" s="430"/>
      <c r="N946" s="461"/>
      <c r="O946" s="461"/>
      <c r="P946" s="430"/>
      <c r="Q946" s="430"/>
      <c r="R946" s="430"/>
      <c r="S946" s="430"/>
      <c r="T946" s="430"/>
      <c r="U946" s="430"/>
      <c r="V946" s="430"/>
      <c r="W946" s="430"/>
      <c r="X946" s="449"/>
      <c r="Y946" s="449"/>
      <c r="Z946" s="450"/>
      <c r="AA946" s="449"/>
      <c r="AB946" s="451"/>
      <c r="AC946" s="450"/>
      <c r="AD946" s="449"/>
      <c r="AE946" s="451"/>
      <c r="AF946" s="450"/>
      <c r="AG946" s="449"/>
      <c r="AH946" s="451"/>
      <c r="AI946" s="450"/>
      <c r="AJ946" s="449"/>
      <c r="AK946" s="451"/>
      <c r="AL946" s="450"/>
      <c r="AM946" s="449"/>
      <c r="AN946" s="451"/>
      <c r="AO946" s="450"/>
      <c r="AP946" s="449"/>
      <c r="AQ946" s="451"/>
      <c r="AR946" s="449"/>
      <c r="AS946" s="449"/>
      <c r="AT946" s="451"/>
      <c r="AU946" s="449"/>
      <c r="AV946" s="451"/>
      <c r="AW946" s="449"/>
      <c r="AX946" s="449"/>
      <c r="AY946" s="449"/>
      <c r="AZ946" s="449"/>
      <c r="BA946" s="449"/>
      <c r="BB946" s="449"/>
      <c r="BC946" s="449"/>
      <c r="BD946" s="449"/>
      <c r="BE946" s="449"/>
      <c r="BF946" s="449"/>
      <c r="BG946" s="449"/>
      <c r="BH946" s="449"/>
      <c r="BI946" s="449"/>
      <c r="BJ946" s="449"/>
      <c r="BK946" s="449"/>
      <c r="BL946" s="449"/>
      <c r="BM946" s="449"/>
      <c r="BN946" s="449"/>
    </row>
    <row r="947" spans="1:66" ht="13.15" x14ac:dyDescent="0.4">
      <c r="A947" s="430"/>
      <c r="B947" s="430"/>
      <c r="C947" s="430"/>
      <c r="D947" s="430"/>
      <c r="E947" s="430"/>
      <c r="F947" s="430"/>
      <c r="G947" s="430"/>
      <c r="H947" s="461"/>
      <c r="I947" s="438"/>
      <c r="J947" s="438"/>
      <c r="K947" s="438"/>
      <c r="L947" s="430"/>
      <c r="M947" s="430"/>
      <c r="N947" s="461"/>
      <c r="O947" s="461"/>
      <c r="P947" s="430"/>
      <c r="Q947" s="430"/>
      <c r="R947" s="430"/>
      <c r="S947" s="430"/>
      <c r="T947" s="430"/>
      <c r="U947" s="430"/>
      <c r="V947" s="430"/>
      <c r="W947" s="430"/>
      <c r="X947" s="449"/>
      <c r="Y947" s="449"/>
      <c r="Z947" s="450"/>
      <c r="AA947" s="449"/>
      <c r="AB947" s="451"/>
      <c r="AC947" s="450"/>
      <c r="AD947" s="449"/>
      <c r="AE947" s="451"/>
      <c r="AF947" s="450"/>
      <c r="AG947" s="449"/>
      <c r="AH947" s="451"/>
      <c r="AI947" s="450"/>
      <c r="AJ947" s="449"/>
      <c r="AK947" s="451"/>
      <c r="AL947" s="450"/>
      <c r="AM947" s="449"/>
      <c r="AN947" s="451"/>
      <c r="AO947" s="450"/>
      <c r="AP947" s="449"/>
      <c r="AQ947" s="451"/>
      <c r="AR947" s="449"/>
      <c r="AS947" s="449"/>
      <c r="AT947" s="451"/>
      <c r="AU947" s="449"/>
      <c r="AV947" s="451"/>
      <c r="AW947" s="449"/>
      <c r="AX947" s="449"/>
      <c r="AY947" s="449"/>
      <c r="AZ947" s="449"/>
      <c r="BA947" s="449"/>
      <c r="BB947" s="449"/>
      <c r="BC947" s="449"/>
      <c r="BD947" s="449"/>
      <c r="BE947" s="449"/>
      <c r="BF947" s="449"/>
      <c r="BG947" s="449"/>
      <c r="BH947" s="449"/>
      <c r="BI947" s="449"/>
      <c r="BJ947" s="449"/>
      <c r="BK947" s="449"/>
      <c r="BL947" s="449"/>
      <c r="BM947" s="449"/>
      <c r="BN947" s="449"/>
    </row>
    <row r="948" spans="1:66" ht="13.15" x14ac:dyDescent="0.4">
      <c r="A948" s="430"/>
      <c r="B948" s="430"/>
      <c r="C948" s="430"/>
      <c r="D948" s="430"/>
      <c r="E948" s="430"/>
      <c r="F948" s="430"/>
      <c r="G948" s="430"/>
      <c r="H948" s="461"/>
      <c r="I948" s="438"/>
      <c r="J948" s="438"/>
      <c r="K948" s="438"/>
      <c r="L948" s="430"/>
      <c r="M948" s="430"/>
      <c r="N948" s="461"/>
      <c r="O948" s="461"/>
      <c r="P948" s="430"/>
      <c r="Q948" s="430"/>
      <c r="R948" s="430"/>
      <c r="S948" s="430"/>
      <c r="T948" s="430"/>
      <c r="U948" s="430"/>
      <c r="V948" s="430"/>
      <c r="W948" s="430"/>
      <c r="X948" s="449"/>
      <c r="Y948" s="449"/>
      <c r="Z948" s="450"/>
      <c r="AA948" s="449"/>
      <c r="AB948" s="451"/>
      <c r="AC948" s="450"/>
      <c r="AD948" s="449"/>
      <c r="AE948" s="451"/>
      <c r="AF948" s="450"/>
      <c r="AG948" s="449"/>
      <c r="AH948" s="451"/>
      <c r="AI948" s="450"/>
      <c r="AJ948" s="449"/>
      <c r="AK948" s="451"/>
      <c r="AL948" s="450"/>
      <c r="AM948" s="449"/>
      <c r="AN948" s="451"/>
      <c r="AO948" s="450"/>
      <c r="AP948" s="449"/>
      <c r="AQ948" s="451"/>
      <c r="AR948" s="449"/>
      <c r="AS948" s="449"/>
      <c r="AT948" s="451"/>
      <c r="AU948" s="449"/>
      <c r="AV948" s="451"/>
      <c r="AW948" s="449"/>
      <c r="AX948" s="449"/>
      <c r="AY948" s="449"/>
      <c r="AZ948" s="449"/>
      <c r="BA948" s="449"/>
      <c r="BB948" s="449"/>
      <c r="BC948" s="449"/>
      <c r="BD948" s="449"/>
      <c r="BE948" s="449"/>
      <c r="BF948" s="449"/>
      <c r="BG948" s="449"/>
      <c r="BH948" s="449"/>
      <c r="BI948" s="449"/>
      <c r="BJ948" s="449"/>
      <c r="BK948" s="449"/>
      <c r="BL948" s="449"/>
      <c r="BM948" s="449"/>
      <c r="BN948" s="449"/>
    </row>
    <row r="949" spans="1:66" ht="13.15" x14ac:dyDescent="0.4">
      <c r="A949" s="430"/>
      <c r="B949" s="430"/>
      <c r="C949" s="430"/>
      <c r="D949" s="430"/>
      <c r="E949" s="430"/>
      <c r="F949" s="430"/>
      <c r="G949" s="430"/>
      <c r="H949" s="461"/>
      <c r="I949" s="438"/>
      <c r="J949" s="438"/>
      <c r="K949" s="438"/>
      <c r="L949" s="430"/>
      <c r="M949" s="430"/>
      <c r="N949" s="461"/>
      <c r="O949" s="461"/>
      <c r="P949" s="430"/>
      <c r="Q949" s="430"/>
      <c r="R949" s="430"/>
      <c r="S949" s="430"/>
      <c r="T949" s="430"/>
      <c r="U949" s="430"/>
      <c r="V949" s="430"/>
      <c r="W949" s="430"/>
      <c r="X949" s="449"/>
      <c r="Y949" s="449"/>
      <c r="Z949" s="450"/>
      <c r="AA949" s="449"/>
      <c r="AB949" s="451"/>
      <c r="AC949" s="450"/>
      <c r="AD949" s="449"/>
      <c r="AE949" s="451"/>
      <c r="AF949" s="450"/>
      <c r="AG949" s="449"/>
      <c r="AH949" s="451"/>
      <c r="AI949" s="450"/>
      <c r="AJ949" s="449"/>
      <c r="AK949" s="451"/>
      <c r="AL949" s="450"/>
      <c r="AM949" s="449"/>
      <c r="AN949" s="451"/>
      <c r="AO949" s="450"/>
      <c r="AP949" s="449"/>
      <c r="AQ949" s="451"/>
      <c r="AR949" s="449"/>
      <c r="AS949" s="449"/>
      <c r="AT949" s="451"/>
      <c r="AU949" s="449"/>
      <c r="AV949" s="451"/>
      <c r="AW949" s="449"/>
      <c r="AX949" s="449"/>
      <c r="AY949" s="449"/>
      <c r="AZ949" s="449"/>
      <c r="BA949" s="449"/>
      <c r="BB949" s="449"/>
      <c r="BC949" s="449"/>
      <c r="BD949" s="449"/>
      <c r="BE949" s="449"/>
      <c r="BF949" s="449"/>
      <c r="BG949" s="449"/>
      <c r="BH949" s="449"/>
      <c r="BI949" s="449"/>
      <c r="BJ949" s="449"/>
      <c r="BK949" s="449"/>
      <c r="BL949" s="449"/>
      <c r="BM949" s="449"/>
      <c r="BN949" s="449"/>
    </row>
    <row r="950" spans="1:66" ht="13.15" x14ac:dyDescent="0.4">
      <c r="A950" s="430"/>
      <c r="B950" s="430"/>
      <c r="C950" s="430"/>
      <c r="D950" s="430"/>
      <c r="E950" s="430"/>
      <c r="F950" s="430"/>
      <c r="G950" s="430"/>
      <c r="H950" s="461"/>
      <c r="I950" s="438"/>
      <c r="J950" s="438"/>
      <c r="K950" s="438"/>
      <c r="L950" s="430"/>
      <c r="M950" s="430"/>
      <c r="N950" s="461"/>
      <c r="O950" s="461"/>
      <c r="P950" s="430"/>
      <c r="Q950" s="430"/>
      <c r="R950" s="430"/>
      <c r="S950" s="430"/>
      <c r="T950" s="430"/>
      <c r="U950" s="430"/>
      <c r="V950" s="430"/>
      <c r="W950" s="430"/>
      <c r="X950" s="449"/>
      <c r="Y950" s="449"/>
      <c r="Z950" s="450"/>
      <c r="AA950" s="449"/>
      <c r="AB950" s="451"/>
      <c r="AC950" s="450"/>
      <c r="AD950" s="449"/>
      <c r="AE950" s="451"/>
      <c r="AF950" s="450"/>
      <c r="AG950" s="449"/>
      <c r="AH950" s="451"/>
      <c r="AI950" s="450"/>
      <c r="AJ950" s="449"/>
      <c r="AK950" s="451"/>
      <c r="AL950" s="450"/>
      <c r="AM950" s="449"/>
      <c r="AN950" s="451"/>
      <c r="AO950" s="450"/>
      <c r="AP950" s="449"/>
      <c r="AQ950" s="451"/>
      <c r="AR950" s="449"/>
      <c r="AS950" s="449"/>
      <c r="AT950" s="451"/>
      <c r="AU950" s="449"/>
      <c r="AV950" s="451"/>
      <c r="AW950" s="449"/>
      <c r="AX950" s="449"/>
      <c r="AY950" s="449"/>
      <c r="AZ950" s="449"/>
      <c r="BA950" s="449"/>
      <c r="BB950" s="449"/>
      <c r="BC950" s="449"/>
      <c r="BD950" s="449"/>
      <c r="BE950" s="449"/>
      <c r="BF950" s="449"/>
      <c r="BG950" s="449"/>
      <c r="BH950" s="449"/>
      <c r="BI950" s="449"/>
      <c r="BJ950" s="449"/>
      <c r="BK950" s="449"/>
      <c r="BL950" s="449"/>
      <c r="BM950" s="449"/>
      <c r="BN950" s="449"/>
    </row>
    <row r="951" spans="1:66" ht="13.15" x14ac:dyDescent="0.4">
      <c r="A951" s="430"/>
      <c r="B951" s="430"/>
      <c r="C951" s="430"/>
      <c r="D951" s="430"/>
      <c r="E951" s="430"/>
      <c r="F951" s="430"/>
      <c r="G951" s="430"/>
      <c r="H951" s="461"/>
      <c r="I951" s="438"/>
      <c r="J951" s="438"/>
      <c r="K951" s="438"/>
      <c r="L951" s="430"/>
      <c r="M951" s="430"/>
      <c r="N951" s="461"/>
      <c r="O951" s="461"/>
      <c r="P951" s="430"/>
      <c r="Q951" s="430"/>
      <c r="R951" s="430"/>
      <c r="S951" s="430"/>
      <c r="T951" s="430"/>
      <c r="U951" s="430"/>
      <c r="V951" s="430"/>
      <c r="W951" s="430"/>
      <c r="X951" s="449"/>
      <c r="Y951" s="449"/>
      <c r="Z951" s="450"/>
      <c r="AA951" s="449"/>
      <c r="AB951" s="451"/>
      <c r="AC951" s="450"/>
      <c r="AD951" s="449"/>
      <c r="AE951" s="451"/>
      <c r="AF951" s="450"/>
      <c r="AG951" s="449"/>
      <c r="AH951" s="451"/>
      <c r="AI951" s="450"/>
      <c r="AJ951" s="449"/>
      <c r="AK951" s="451"/>
      <c r="AL951" s="450"/>
      <c r="AM951" s="449"/>
      <c r="AN951" s="451"/>
      <c r="AO951" s="450"/>
      <c r="AP951" s="449"/>
      <c r="AQ951" s="451"/>
      <c r="AR951" s="449"/>
      <c r="AS951" s="449"/>
      <c r="AT951" s="451"/>
      <c r="AU951" s="449"/>
      <c r="AV951" s="451"/>
      <c r="AW951" s="449"/>
      <c r="AX951" s="449"/>
      <c r="AY951" s="449"/>
      <c r="AZ951" s="449"/>
      <c r="BA951" s="449"/>
      <c r="BB951" s="449"/>
      <c r="BC951" s="449"/>
      <c r="BD951" s="449"/>
      <c r="BE951" s="449"/>
      <c r="BF951" s="449"/>
      <c r="BG951" s="449"/>
      <c r="BH951" s="449"/>
      <c r="BI951" s="449"/>
      <c r="BJ951" s="449"/>
      <c r="BK951" s="449"/>
      <c r="BL951" s="449"/>
      <c r="BM951" s="449"/>
      <c r="BN951" s="449"/>
    </row>
    <row r="952" spans="1:66" ht="13.15" x14ac:dyDescent="0.4">
      <c r="A952" s="430"/>
      <c r="B952" s="430"/>
      <c r="C952" s="430"/>
      <c r="D952" s="430"/>
      <c r="E952" s="430"/>
      <c r="F952" s="430"/>
      <c r="G952" s="430"/>
      <c r="H952" s="461"/>
      <c r="I952" s="438"/>
      <c r="J952" s="438"/>
      <c r="K952" s="438"/>
      <c r="L952" s="430"/>
      <c r="M952" s="430"/>
      <c r="N952" s="461"/>
      <c r="O952" s="461"/>
      <c r="P952" s="430"/>
      <c r="Q952" s="430"/>
      <c r="R952" s="430"/>
      <c r="S952" s="430"/>
      <c r="T952" s="430"/>
      <c r="U952" s="430"/>
      <c r="V952" s="430"/>
      <c r="W952" s="430"/>
      <c r="X952" s="449"/>
      <c r="Y952" s="449"/>
      <c r="Z952" s="450"/>
      <c r="AA952" s="449"/>
      <c r="AB952" s="451"/>
      <c r="AC952" s="450"/>
      <c r="AD952" s="449"/>
      <c r="AE952" s="451"/>
      <c r="AF952" s="450"/>
      <c r="AG952" s="449"/>
      <c r="AH952" s="451"/>
      <c r="AI952" s="450"/>
      <c r="AJ952" s="449"/>
      <c r="AK952" s="451"/>
      <c r="AL952" s="450"/>
      <c r="AM952" s="449"/>
      <c r="AN952" s="451"/>
      <c r="AO952" s="450"/>
      <c r="AP952" s="449"/>
      <c r="AQ952" s="451"/>
      <c r="AR952" s="449"/>
      <c r="AS952" s="449"/>
      <c r="AT952" s="451"/>
      <c r="AU952" s="449"/>
      <c r="AV952" s="451"/>
      <c r="AW952" s="449"/>
      <c r="AX952" s="449"/>
      <c r="AY952" s="449"/>
      <c r="AZ952" s="449"/>
      <c r="BA952" s="449"/>
      <c r="BB952" s="449"/>
      <c r="BC952" s="449"/>
      <c r="BD952" s="449"/>
      <c r="BE952" s="449"/>
      <c r="BF952" s="449"/>
      <c r="BG952" s="449"/>
      <c r="BH952" s="449"/>
      <c r="BI952" s="449"/>
      <c r="BJ952" s="449"/>
      <c r="BK952" s="449"/>
      <c r="BL952" s="449"/>
      <c r="BM952" s="449"/>
      <c r="BN952" s="449"/>
    </row>
    <row r="953" spans="1:66" ht="13.15" x14ac:dyDescent="0.4">
      <c r="A953" s="430"/>
      <c r="B953" s="430"/>
      <c r="C953" s="430"/>
      <c r="D953" s="430"/>
      <c r="E953" s="430"/>
      <c r="F953" s="430"/>
      <c r="G953" s="430"/>
      <c r="H953" s="461"/>
      <c r="I953" s="438"/>
      <c r="J953" s="438"/>
      <c r="K953" s="438"/>
      <c r="L953" s="430"/>
      <c r="M953" s="430"/>
      <c r="N953" s="461"/>
      <c r="O953" s="461"/>
      <c r="P953" s="430"/>
      <c r="Q953" s="430"/>
      <c r="R953" s="430"/>
      <c r="S953" s="430"/>
      <c r="T953" s="430"/>
      <c r="U953" s="430"/>
      <c r="V953" s="430"/>
      <c r="W953" s="430"/>
      <c r="X953" s="449"/>
      <c r="Y953" s="449"/>
      <c r="Z953" s="450"/>
      <c r="AA953" s="449"/>
      <c r="AB953" s="451"/>
      <c r="AC953" s="450"/>
      <c r="AD953" s="449"/>
      <c r="AE953" s="451"/>
      <c r="AF953" s="450"/>
      <c r="AG953" s="449"/>
      <c r="AH953" s="451"/>
      <c r="AI953" s="450"/>
      <c r="AJ953" s="449"/>
      <c r="AK953" s="451"/>
      <c r="AL953" s="450"/>
      <c r="AM953" s="449"/>
      <c r="AN953" s="451"/>
      <c r="AO953" s="450"/>
      <c r="AP953" s="449"/>
      <c r="AQ953" s="451"/>
      <c r="AR953" s="449"/>
      <c r="AS953" s="449"/>
      <c r="AT953" s="451"/>
      <c r="AU953" s="449"/>
      <c r="AV953" s="451"/>
      <c r="AW953" s="449"/>
      <c r="AX953" s="449"/>
      <c r="AY953" s="449"/>
      <c r="AZ953" s="449"/>
      <c r="BA953" s="449"/>
      <c r="BB953" s="449"/>
      <c r="BC953" s="449"/>
      <c r="BD953" s="449"/>
      <c r="BE953" s="449"/>
      <c r="BF953" s="449"/>
      <c r="BG953" s="449"/>
      <c r="BH953" s="449"/>
      <c r="BI953" s="449"/>
      <c r="BJ953" s="449"/>
      <c r="BK953" s="449"/>
      <c r="BL953" s="449"/>
      <c r="BM953" s="449"/>
      <c r="BN953" s="449"/>
    </row>
    <row r="954" spans="1:66" ht="13.15" x14ac:dyDescent="0.4">
      <c r="A954" s="430"/>
      <c r="B954" s="430"/>
      <c r="C954" s="430"/>
      <c r="D954" s="430"/>
      <c r="E954" s="430"/>
      <c r="F954" s="430"/>
      <c r="G954" s="430"/>
      <c r="H954" s="461"/>
      <c r="I954" s="438"/>
      <c r="J954" s="438"/>
      <c r="K954" s="438"/>
      <c r="L954" s="430"/>
      <c r="M954" s="430"/>
      <c r="N954" s="461"/>
      <c r="O954" s="461"/>
      <c r="P954" s="430"/>
      <c r="Q954" s="430"/>
      <c r="R954" s="430"/>
      <c r="S954" s="430"/>
      <c r="T954" s="430"/>
      <c r="U954" s="430"/>
      <c r="V954" s="430"/>
      <c r="W954" s="430"/>
      <c r="X954" s="449"/>
      <c r="Y954" s="449"/>
      <c r="Z954" s="450"/>
      <c r="AA954" s="449"/>
      <c r="AB954" s="451"/>
      <c r="AC954" s="450"/>
      <c r="AD954" s="449"/>
      <c r="AE954" s="451"/>
      <c r="AF954" s="450"/>
      <c r="AG954" s="449"/>
      <c r="AH954" s="451"/>
      <c r="AI954" s="450"/>
      <c r="AJ954" s="449"/>
      <c r="AK954" s="451"/>
      <c r="AL954" s="450"/>
      <c r="AM954" s="449"/>
      <c r="AN954" s="451"/>
      <c r="AO954" s="450"/>
      <c r="AP954" s="449"/>
      <c r="AQ954" s="451"/>
      <c r="AR954" s="449"/>
      <c r="AS954" s="449"/>
      <c r="AT954" s="451"/>
      <c r="AU954" s="449"/>
      <c r="AV954" s="451"/>
      <c r="AW954" s="449"/>
      <c r="AX954" s="449"/>
      <c r="AY954" s="449"/>
      <c r="AZ954" s="449"/>
      <c r="BA954" s="449"/>
      <c r="BB954" s="449"/>
      <c r="BC954" s="449"/>
      <c r="BD954" s="449"/>
      <c r="BE954" s="449"/>
      <c r="BF954" s="449"/>
      <c r="BG954" s="449"/>
      <c r="BH954" s="449"/>
      <c r="BI954" s="449"/>
      <c r="BJ954" s="449"/>
      <c r="BK954" s="449"/>
      <c r="BL954" s="449"/>
      <c r="BM954" s="449"/>
      <c r="BN954" s="449"/>
    </row>
    <row r="955" spans="1:66" ht="13.15" x14ac:dyDescent="0.4">
      <c r="A955" s="430"/>
      <c r="B955" s="430"/>
      <c r="C955" s="430"/>
      <c r="D955" s="430"/>
      <c r="E955" s="430"/>
      <c r="F955" s="430"/>
      <c r="G955" s="430"/>
      <c r="H955" s="461"/>
      <c r="I955" s="438"/>
      <c r="J955" s="438"/>
      <c r="K955" s="438"/>
      <c r="L955" s="430"/>
      <c r="M955" s="430"/>
      <c r="N955" s="461"/>
      <c r="O955" s="461"/>
      <c r="P955" s="430"/>
      <c r="Q955" s="430"/>
      <c r="R955" s="430"/>
      <c r="S955" s="430"/>
      <c r="T955" s="430"/>
      <c r="U955" s="430"/>
      <c r="V955" s="430"/>
      <c r="W955" s="430"/>
      <c r="X955" s="449"/>
      <c r="Y955" s="449"/>
      <c r="Z955" s="450"/>
      <c r="AA955" s="449"/>
      <c r="AB955" s="451"/>
      <c r="AC955" s="450"/>
      <c r="AD955" s="449"/>
      <c r="AE955" s="451"/>
      <c r="AF955" s="450"/>
      <c r="AG955" s="449"/>
      <c r="AH955" s="451"/>
      <c r="AI955" s="450"/>
      <c r="AJ955" s="449"/>
      <c r="AK955" s="451"/>
      <c r="AL955" s="450"/>
      <c r="AM955" s="449"/>
      <c r="AN955" s="451"/>
      <c r="AO955" s="450"/>
      <c r="AP955" s="449"/>
      <c r="AQ955" s="451"/>
      <c r="AR955" s="449"/>
      <c r="AS955" s="449"/>
      <c r="AT955" s="451"/>
      <c r="AU955" s="449"/>
      <c r="AV955" s="451"/>
      <c r="AW955" s="449"/>
      <c r="AX955" s="449"/>
      <c r="AY955" s="449"/>
      <c r="AZ955" s="449"/>
      <c r="BA955" s="449"/>
      <c r="BB955" s="449"/>
      <c r="BC955" s="449"/>
      <c r="BD955" s="449"/>
      <c r="BE955" s="449"/>
      <c r="BF955" s="449"/>
      <c r="BG955" s="449"/>
      <c r="BH955" s="449"/>
      <c r="BI955" s="449"/>
      <c r="BJ955" s="449"/>
      <c r="BK955" s="449"/>
      <c r="BL955" s="449"/>
      <c r="BM955" s="449"/>
      <c r="BN955" s="449"/>
    </row>
    <row r="956" spans="1:66" ht="13.15" x14ac:dyDescent="0.4">
      <c r="A956" s="430"/>
      <c r="B956" s="430"/>
      <c r="C956" s="430"/>
      <c r="D956" s="430"/>
      <c r="E956" s="430"/>
      <c r="F956" s="430"/>
      <c r="G956" s="430"/>
      <c r="H956" s="461"/>
      <c r="I956" s="438"/>
      <c r="J956" s="438"/>
      <c r="K956" s="438"/>
      <c r="L956" s="430"/>
      <c r="M956" s="430"/>
      <c r="N956" s="461"/>
      <c r="O956" s="461"/>
      <c r="P956" s="430"/>
      <c r="Q956" s="430"/>
      <c r="R956" s="430"/>
      <c r="S956" s="430"/>
      <c r="T956" s="430"/>
      <c r="U956" s="430"/>
      <c r="V956" s="430"/>
      <c r="W956" s="430"/>
      <c r="X956" s="449"/>
      <c r="Y956" s="449"/>
      <c r="Z956" s="450"/>
      <c r="AA956" s="449"/>
      <c r="AB956" s="451"/>
      <c r="AC956" s="450"/>
      <c r="AD956" s="449"/>
      <c r="AE956" s="451"/>
      <c r="AF956" s="450"/>
      <c r="AG956" s="449"/>
      <c r="AH956" s="451"/>
      <c r="AI956" s="450"/>
      <c r="AJ956" s="449"/>
      <c r="AK956" s="451"/>
      <c r="AL956" s="450"/>
      <c r="AM956" s="449"/>
      <c r="AN956" s="451"/>
      <c r="AO956" s="450"/>
      <c r="AP956" s="449"/>
      <c r="AQ956" s="451"/>
      <c r="AR956" s="449"/>
      <c r="AS956" s="449"/>
      <c r="AT956" s="451"/>
      <c r="AU956" s="449"/>
      <c r="AV956" s="451"/>
      <c r="AW956" s="449"/>
      <c r="AX956" s="449"/>
      <c r="AY956" s="449"/>
      <c r="AZ956" s="449"/>
      <c r="BA956" s="449"/>
      <c r="BB956" s="449"/>
      <c r="BC956" s="449"/>
      <c r="BD956" s="449"/>
      <c r="BE956" s="449"/>
      <c r="BF956" s="449"/>
      <c r="BG956" s="449"/>
      <c r="BH956" s="449"/>
      <c r="BI956" s="449"/>
      <c r="BJ956" s="449"/>
      <c r="BK956" s="449"/>
      <c r="BL956" s="449"/>
      <c r="BM956" s="449"/>
      <c r="BN956" s="449"/>
    </row>
    <row r="957" spans="1:66" ht="13.15" x14ac:dyDescent="0.4">
      <c r="A957" s="430"/>
      <c r="B957" s="430"/>
      <c r="C957" s="430"/>
      <c r="D957" s="430"/>
      <c r="E957" s="430"/>
      <c r="F957" s="430"/>
      <c r="G957" s="430"/>
      <c r="H957" s="461"/>
      <c r="I957" s="438"/>
      <c r="J957" s="438"/>
      <c r="K957" s="438"/>
      <c r="L957" s="430"/>
      <c r="M957" s="430"/>
      <c r="N957" s="461"/>
      <c r="O957" s="461"/>
      <c r="P957" s="430"/>
      <c r="Q957" s="430"/>
      <c r="R957" s="430"/>
      <c r="S957" s="430"/>
      <c r="T957" s="430"/>
      <c r="U957" s="430"/>
      <c r="V957" s="430"/>
      <c r="W957" s="430"/>
      <c r="X957" s="449"/>
      <c r="Y957" s="449"/>
      <c r="Z957" s="450"/>
      <c r="AA957" s="449"/>
      <c r="AB957" s="451"/>
      <c r="AC957" s="450"/>
      <c r="AD957" s="449"/>
      <c r="AE957" s="451"/>
      <c r="AF957" s="450"/>
      <c r="AG957" s="449"/>
      <c r="AH957" s="451"/>
      <c r="AI957" s="450"/>
      <c r="AJ957" s="449"/>
      <c r="AK957" s="451"/>
      <c r="AL957" s="450"/>
      <c r="AM957" s="449"/>
      <c r="AN957" s="451"/>
      <c r="AO957" s="450"/>
      <c r="AP957" s="449"/>
      <c r="AQ957" s="451"/>
      <c r="AR957" s="449"/>
      <c r="AS957" s="449"/>
      <c r="AT957" s="451"/>
      <c r="AU957" s="449"/>
      <c r="AV957" s="451"/>
      <c r="AW957" s="449"/>
      <c r="AX957" s="449"/>
      <c r="AY957" s="449"/>
      <c r="AZ957" s="449"/>
      <c r="BA957" s="449"/>
      <c r="BB957" s="449"/>
      <c r="BC957" s="449"/>
      <c r="BD957" s="449"/>
      <c r="BE957" s="449"/>
      <c r="BF957" s="449"/>
      <c r="BG957" s="449"/>
      <c r="BH957" s="449"/>
      <c r="BI957" s="449"/>
      <c r="BJ957" s="449"/>
      <c r="BK957" s="449"/>
      <c r="BL957" s="449"/>
      <c r="BM957" s="449"/>
      <c r="BN957" s="449"/>
    </row>
    <row r="958" spans="1:66" ht="13.15" x14ac:dyDescent="0.4">
      <c r="A958" s="430"/>
      <c r="B958" s="430"/>
      <c r="C958" s="430"/>
      <c r="D958" s="430"/>
      <c r="E958" s="430"/>
      <c r="F958" s="430"/>
      <c r="G958" s="430"/>
      <c r="H958" s="461"/>
      <c r="I958" s="438"/>
      <c r="J958" s="438"/>
      <c r="K958" s="438"/>
      <c r="L958" s="430"/>
      <c r="M958" s="430"/>
      <c r="N958" s="461"/>
      <c r="O958" s="461"/>
      <c r="P958" s="430"/>
      <c r="Q958" s="430"/>
      <c r="R958" s="430"/>
      <c r="S958" s="430"/>
      <c r="T958" s="430"/>
      <c r="U958" s="430"/>
      <c r="V958" s="430"/>
      <c r="W958" s="430"/>
      <c r="X958" s="449"/>
      <c r="Y958" s="449"/>
      <c r="Z958" s="450"/>
      <c r="AA958" s="449"/>
      <c r="AB958" s="451"/>
      <c r="AC958" s="450"/>
      <c r="AD958" s="449"/>
      <c r="AE958" s="451"/>
      <c r="AF958" s="450"/>
      <c r="AG958" s="449"/>
      <c r="AH958" s="451"/>
      <c r="AI958" s="450"/>
      <c r="AJ958" s="449"/>
      <c r="AK958" s="451"/>
      <c r="AL958" s="450"/>
      <c r="AM958" s="449"/>
      <c r="AN958" s="451"/>
      <c r="AO958" s="450"/>
      <c r="AP958" s="449"/>
      <c r="AQ958" s="451"/>
      <c r="AR958" s="449"/>
      <c r="AS958" s="449"/>
      <c r="AT958" s="451"/>
      <c r="AU958" s="449"/>
      <c r="AV958" s="451"/>
      <c r="AW958" s="449"/>
      <c r="AX958" s="449"/>
      <c r="AY958" s="449"/>
      <c r="AZ958" s="449"/>
      <c r="BA958" s="449"/>
      <c r="BB958" s="449"/>
      <c r="BC958" s="449"/>
      <c r="BD958" s="449"/>
      <c r="BE958" s="449"/>
      <c r="BF958" s="449"/>
      <c r="BG958" s="449"/>
      <c r="BH958" s="449"/>
      <c r="BI958" s="449"/>
      <c r="BJ958" s="449"/>
      <c r="BK958" s="449"/>
      <c r="BL958" s="449"/>
      <c r="BM958" s="449"/>
      <c r="BN958" s="449"/>
    </row>
    <row r="959" spans="1:66" ht="13.15" x14ac:dyDescent="0.4">
      <c r="A959" s="430"/>
      <c r="B959" s="430"/>
      <c r="C959" s="430"/>
      <c r="D959" s="430"/>
      <c r="E959" s="430"/>
      <c r="F959" s="430"/>
      <c r="G959" s="430"/>
      <c r="H959" s="461"/>
      <c r="I959" s="438"/>
      <c r="J959" s="438"/>
      <c r="K959" s="438"/>
      <c r="L959" s="430"/>
      <c r="M959" s="430"/>
      <c r="N959" s="461"/>
      <c r="O959" s="461"/>
      <c r="Z959" s="303"/>
      <c r="AB959" s="31"/>
      <c r="AC959" s="303"/>
      <c r="AE959" s="31"/>
      <c r="AF959" s="303"/>
      <c r="AH959" s="31"/>
      <c r="AI959" s="303"/>
      <c r="AK959" s="31"/>
      <c r="AL959" s="303"/>
      <c r="AN959" s="31"/>
      <c r="AO959" s="303"/>
      <c r="AQ959" s="31"/>
      <c r="AT959" s="31"/>
      <c r="AV959" s="31"/>
    </row>
    <row r="960" spans="1:66" ht="13.15" x14ac:dyDescent="0.4">
      <c r="A960" s="430"/>
      <c r="B960" s="430"/>
      <c r="C960" s="430"/>
      <c r="D960" s="430"/>
      <c r="E960" s="430"/>
      <c r="F960" s="430"/>
      <c r="G960" s="430"/>
      <c r="H960" s="461"/>
      <c r="I960" s="438"/>
      <c r="J960" s="438"/>
      <c r="K960" s="438"/>
      <c r="L960" s="430"/>
      <c r="M960" s="430"/>
      <c r="N960" s="461"/>
      <c r="O960" s="461"/>
      <c r="Z960" s="303"/>
      <c r="AB960" s="31"/>
      <c r="AC960" s="303"/>
      <c r="AE960" s="31"/>
      <c r="AF960" s="303"/>
      <c r="AH960" s="31"/>
      <c r="AI960" s="303"/>
      <c r="AK960" s="31"/>
      <c r="AL960" s="303"/>
      <c r="AN960" s="31"/>
      <c r="AO960" s="303"/>
      <c r="AQ960" s="31"/>
      <c r="AT960" s="31"/>
      <c r="AV960" s="31"/>
    </row>
    <row r="961" spans="1:48" ht="13.15" x14ac:dyDescent="0.4">
      <c r="A961" s="430"/>
      <c r="B961" s="430"/>
      <c r="C961" s="430"/>
      <c r="D961" s="430"/>
      <c r="E961" s="430"/>
      <c r="F961" s="430"/>
      <c r="G961" s="430"/>
      <c r="H961" s="461"/>
      <c r="I961" s="438"/>
      <c r="J961" s="438"/>
      <c r="K961" s="438"/>
      <c r="L961" s="430"/>
      <c r="M961" s="430"/>
      <c r="N961" s="461"/>
      <c r="O961" s="461"/>
      <c r="Z961" s="303"/>
      <c r="AB961" s="31"/>
      <c r="AC961" s="303"/>
      <c r="AE961" s="31"/>
      <c r="AF961" s="303"/>
      <c r="AH961" s="31"/>
      <c r="AI961" s="303"/>
      <c r="AK961" s="31"/>
      <c r="AL961" s="303"/>
      <c r="AN961" s="31"/>
      <c r="AO961" s="303"/>
      <c r="AQ961" s="31"/>
      <c r="AT961" s="31"/>
      <c r="AV961" s="31"/>
    </row>
    <row r="962" spans="1:48" ht="13.15" x14ac:dyDescent="0.4">
      <c r="A962" s="430"/>
      <c r="B962" s="430"/>
      <c r="C962" s="430"/>
      <c r="D962" s="430"/>
      <c r="E962" s="430"/>
      <c r="F962" s="430"/>
      <c r="G962" s="430"/>
      <c r="H962" s="461"/>
      <c r="I962" s="438"/>
      <c r="J962" s="438"/>
      <c r="K962" s="438"/>
      <c r="L962" s="430"/>
      <c r="M962" s="430"/>
      <c r="N962" s="461"/>
      <c r="O962" s="461"/>
      <c r="Z962" s="303"/>
      <c r="AB962" s="31"/>
      <c r="AC962" s="303"/>
      <c r="AE962" s="31"/>
      <c r="AF962" s="303"/>
      <c r="AH962" s="31"/>
      <c r="AI962" s="303"/>
      <c r="AK962" s="31"/>
      <c r="AL962" s="303"/>
      <c r="AN962" s="31"/>
      <c r="AO962" s="303"/>
      <c r="AQ962" s="31"/>
      <c r="AT962" s="31"/>
      <c r="AV962" s="31"/>
    </row>
    <row r="963" spans="1:48" ht="13.15" x14ac:dyDescent="0.4">
      <c r="A963" s="430"/>
      <c r="B963" s="430"/>
      <c r="C963" s="430"/>
      <c r="D963" s="430"/>
      <c r="E963" s="430"/>
      <c r="F963" s="430"/>
      <c r="G963" s="430"/>
      <c r="H963" s="461"/>
      <c r="I963" s="438"/>
      <c r="J963" s="438"/>
      <c r="K963" s="438"/>
      <c r="L963" s="430"/>
      <c r="M963" s="430"/>
      <c r="N963" s="461"/>
      <c r="O963" s="461"/>
      <c r="Z963" s="303"/>
      <c r="AB963" s="31"/>
      <c r="AC963" s="303"/>
      <c r="AE963" s="31"/>
      <c r="AF963" s="303"/>
      <c r="AH963" s="31"/>
      <c r="AI963" s="303"/>
      <c r="AK963" s="31"/>
      <c r="AL963" s="303"/>
      <c r="AN963" s="31"/>
      <c r="AO963" s="303"/>
      <c r="AQ963" s="31"/>
      <c r="AT963" s="31"/>
      <c r="AV963" s="31"/>
    </row>
    <row r="964" spans="1:48" ht="13.15" x14ac:dyDescent="0.4">
      <c r="A964" s="430"/>
      <c r="B964" s="430"/>
      <c r="C964" s="430"/>
      <c r="D964" s="430"/>
      <c r="E964" s="430"/>
      <c r="F964" s="430"/>
      <c r="G964" s="430"/>
      <c r="H964" s="461"/>
      <c r="I964" s="438"/>
      <c r="J964" s="438"/>
      <c r="K964" s="438"/>
      <c r="L964" s="430"/>
      <c r="M964" s="430"/>
      <c r="N964" s="461"/>
      <c r="O964" s="461"/>
      <c r="Z964" s="303"/>
      <c r="AB964" s="31"/>
      <c r="AC964" s="303"/>
      <c r="AE964" s="31"/>
      <c r="AF964" s="303"/>
      <c r="AH964" s="31"/>
      <c r="AI964" s="303"/>
      <c r="AK964" s="31"/>
      <c r="AL964" s="303"/>
      <c r="AN964" s="31"/>
      <c r="AO964" s="303"/>
      <c r="AQ964" s="31"/>
      <c r="AT964" s="31"/>
      <c r="AV964" s="31"/>
    </row>
    <row r="965" spans="1:48" ht="13.15" x14ac:dyDescent="0.4">
      <c r="A965" s="430"/>
      <c r="B965" s="430"/>
      <c r="C965" s="430"/>
      <c r="D965" s="430"/>
      <c r="E965" s="430"/>
      <c r="F965" s="430"/>
      <c r="G965" s="430"/>
      <c r="H965" s="461"/>
      <c r="I965" s="438"/>
      <c r="J965" s="438"/>
      <c r="K965" s="438"/>
      <c r="L965" s="430"/>
      <c r="M965" s="430"/>
      <c r="N965" s="461"/>
      <c r="O965" s="461"/>
      <c r="Z965" s="303"/>
      <c r="AB965" s="31"/>
      <c r="AC965" s="303"/>
      <c r="AE965" s="31"/>
      <c r="AF965" s="303"/>
      <c r="AH965" s="31"/>
      <c r="AI965" s="303"/>
      <c r="AK965" s="31"/>
      <c r="AL965" s="303"/>
      <c r="AN965" s="31"/>
      <c r="AO965" s="303"/>
      <c r="AQ965" s="31"/>
      <c r="AT965" s="31"/>
      <c r="AV965" s="31"/>
    </row>
    <row r="966" spans="1:48" ht="13.15" x14ac:dyDescent="0.4">
      <c r="A966" s="430"/>
      <c r="B966" s="430"/>
      <c r="C966" s="430"/>
      <c r="D966" s="430"/>
      <c r="E966" s="430"/>
      <c r="F966" s="430"/>
      <c r="G966" s="430"/>
      <c r="H966" s="461"/>
      <c r="I966" s="438"/>
      <c r="J966" s="438"/>
      <c r="K966" s="438"/>
      <c r="L966" s="430"/>
      <c r="M966" s="430"/>
      <c r="N966" s="461"/>
      <c r="O966" s="461"/>
      <c r="Z966" s="303"/>
      <c r="AB966" s="31"/>
      <c r="AC966" s="303"/>
      <c r="AE966" s="31"/>
      <c r="AF966" s="303"/>
      <c r="AH966" s="31"/>
      <c r="AI966" s="303"/>
      <c r="AK966" s="31"/>
      <c r="AL966" s="303"/>
      <c r="AN966" s="31"/>
      <c r="AO966" s="303"/>
      <c r="AQ966" s="31"/>
      <c r="AT966" s="31"/>
      <c r="AV966" s="31"/>
    </row>
    <row r="967" spans="1:48" ht="13.15" x14ac:dyDescent="0.4">
      <c r="A967" s="430"/>
      <c r="B967" s="430"/>
      <c r="C967" s="430"/>
      <c r="D967" s="430"/>
      <c r="E967" s="430"/>
      <c r="F967" s="430"/>
      <c r="G967" s="430"/>
      <c r="H967" s="461"/>
      <c r="I967" s="438"/>
      <c r="J967" s="438"/>
      <c r="K967" s="438"/>
      <c r="L967" s="430"/>
      <c r="M967" s="430"/>
      <c r="N967" s="461"/>
      <c r="O967" s="461"/>
      <c r="Z967" s="303"/>
      <c r="AB967" s="31"/>
      <c r="AC967" s="303"/>
      <c r="AE967" s="31"/>
      <c r="AF967" s="303"/>
      <c r="AH967" s="31"/>
      <c r="AI967" s="303"/>
      <c r="AK967" s="31"/>
      <c r="AL967" s="303"/>
      <c r="AN967" s="31"/>
      <c r="AO967" s="303"/>
      <c r="AQ967" s="31"/>
      <c r="AT967" s="31"/>
      <c r="AV967" s="31"/>
    </row>
    <row r="968" spans="1:48" ht="13.15" x14ac:dyDescent="0.4">
      <c r="A968" s="430"/>
      <c r="B968" s="430"/>
      <c r="C968" s="430"/>
      <c r="D968" s="430"/>
      <c r="E968" s="430"/>
      <c r="F968" s="430"/>
      <c r="G968" s="430"/>
      <c r="H968" s="461"/>
      <c r="I968" s="438"/>
      <c r="J968" s="438"/>
      <c r="K968" s="438"/>
      <c r="L968" s="430"/>
      <c r="M968" s="430"/>
      <c r="N968" s="461"/>
      <c r="O968" s="461"/>
      <c r="Z968" s="303"/>
      <c r="AB968" s="31"/>
      <c r="AC968" s="303"/>
      <c r="AE968" s="31"/>
      <c r="AF968" s="303"/>
      <c r="AH968" s="31"/>
      <c r="AI968" s="303"/>
      <c r="AK968" s="31"/>
      <c r="AL968" s="303"/>
      <c r="AN968" s="31"/>
      <c r="AO968" s="303"/>
      <c r="AQ968" s="31"/>
      <c r="AT968" s="31"/>
      <c r="AV968" s="31"/>
    </row>
    <row r="969" spans="1:48" ht="13.15" x14ac:dyDescent="0.4">
      <c r="A969" s="430"/>
      <c r="B969" s="430"/>
      <c r="C969" s="430"/>
      <c r="D969" s="430"/>
      <c r="E969" s="430"/>
      <c r="F969" s="430"/>
      <c r="G969" s="430"/>
      <c r="H969" s="461"/>
      <c r="I969" s="438"/>
      <c r="J969" s="438"/>
      <c r="K969" s="438"/>
      <c r="L969" s="430"/>
      <c r="M969" s="430"/>
      <c r="N969" s="461"/>
      <c r="O969" s="461"/>
      <c r="Z969" s="303"/>
      <c r="AB969" s="31"/>
      <c r="AC969" s="303"/>
      <c r="AE969" s="31"/>
      <c r="AF969" s="303"/>
      <c r="AH969" s="31"/>
      <c r="AI969" s="303"/>
      <c r="AK969" s="31"/>
      <c r="AL969" s="303"/>
      <c r="AN969" s="31"/>
      <c r="AO969" s="303"/>
      <c r="AQ969" s="31"/>
      <c r="AT969" s="31"/>
      <c r="AV969" s="31"/>
    </row>
    <row r="970" spans="1:48" ht="13.15" x14ac:dyDescent="0.4">
      <c r="A970" s="430"/>
      <c r="B970" s="430"/>
      <c r="C970" s="430"/>
      <c r="D970" s="430"/>
      <c r="E970" s="430"/>
      <c r="F970" s="430"/>
      <c r="G970" s="430"/>
      <c r="H970" s="461"/>
      <c r="I970" s="438"/>
      <c r="J970" s="438"/>
      <c r="K970" s="438"/>
      <c r="L970" s="430"/>
      <c r="M970" s="430"/>
      <c r="N970" s="461"/>
      <c r="O970" s="461"/>
      <c r="Z970" s="303"/>
      <c r="AB970" s="31"/>
      <c r="AC970" s="303"/>
      <c r="AE970" s="31"/>
      <c r="AF970" s="303"/>
      <c r="AH970" s="31"/>
      <c r="AI970" s="303"/>
      <c r="AK970" s="31"/>
      <c r="AL970" s="303"/>
      <c r="AN970" s="31"/>
      <c r="AO970" s="303"/>
      <c r="AQ970" s="31"/>
      <c r="AT970" s="31"/>
      <c r="AV970" s="31"/>
    </row>
    <row r="971" spans="1:48" ht="13.15" x14ac:dyDescent="0.4">
      <c r="A971" s="430"/>
      <c r="B971" s="430"/>
      <c r="C971" s="430"/>
      <c r="D971" s="430"/>
      <c r="E971" s="430"/>
      <c r="F971" s="430"/>
      <c r="G971" s="430"/>
      <c r="H971" s="461"/>
      <c r="I971" s="438"/>
      <c r="J971" s="438"/>
      <c r="K971" s="438"/>
      <c r="L971" s="430"/>
      <c r="M971" s="430"/>
      <c r="N971" s="461"/>
      <c r="O971" s="461"/>
      <c r="Z971" s="303"/>
      <c r="AB971" s="31"/>
      <c r="AC971" s="303"/>
      <c r="AE971" s="31"/>
      <c r="AF971" s="303"/>
      <c r="AH971" s="31"/>
      <c r="AI971" s="303"/>
      <c r="AK971" s="31"/>
      <c r="AL971" s="303"/>
      <c r="AN971" s="31"/>
      <c r="AO971" s="303"/>
      <c r="AQ971" s="31"/>
      <c r="AT971" s="31"/>
      <c r="AV971" s="31"/>
    </row>
    <row r="972" spans="1:48" ht="13.15" x14ac:dyDescent="0.4">
      <c r="A972" s="430"/>
      <c r="B972" s="430"/>
      <c r="C972" s="430"/>
      <c r="D972" s="430"/>
      <c r="E972" s="430"/>
      <c r="F972" s="430"/>
      <c r="G972" s="430"/>
      <c r="H972" s="461"/>
      <c r="I972" s="438"/>
      <c r="J972" s="438"/>
      <c r="K972" s="438"/>
      <c r="L972" s="430"/>
      <c r="M972" s="430"/>
      <c r="N972" s="461"/>
      <c r="O972" s="461"/>
      <c r="Z972" s="303"/>
      <c r="AB972" s="31"/>
      <c r="AC972" s="303"/>
      <c r="AE972" s="31"/>
      <c r="AF972" s="303"/>
      <c r="AH972" s="31"/>
      <c r="AI972" s="303"/>
      <c r="AK972" s="31"/>
      <c r="AL972" s="303"/>
      <c r="AN972" s="31"/>
      <c r="AO972" s="303"/>
      <c r="AQ972" s="31"/>
      <c r="AT972" s="31"/>
      <c r="AV972" s="31"/>
    </row>
    <row r="973" spans="1:48" ht="13.15" x14ac:dyDescent="0.4">
      <c r="A973" s="430"/>
      <c r="B973" s="430"/>
      <c r="C973" s="430"/>
      <c r="D973" s="430"/>
      <c r="E973" s="430"/>
      <c r="F973" s="430"/>
      <c r="G973" s="430"/>
      <c r="H973" s="461"/>
      <c r="I973" s="438"/>
      <c r="J973" s="438"/>
      <c r="K973" s="438"/>
      <c r="L973" s="430"/>
      <c r="M973" s="430"/>
      <c r="N973" s="461"/>
      <c r="O973" s="461"/>
      <c r="Z973" s="303"/>
      <c r="AB973" s="31"/>
      <c r="AC973" s="303"/>
      <c r="AE973" s="31"/>
      <c r="AF973" s="303"/>
      <c r="AH973" s="31"/>
      <c r="AI973" s="303"/>
      <c r="AK973" s="31"/>
      <c r="AL973" s="303"/>
      <c r="AN973" s="31"/>
      <c r="AO973" s="303"/>
      <c r="AQ973" s="31"/>
      <c r="AT973" s="31"/>
      <c r="AV973" s="31"/>
    </row>
    <row r="974" spans="1:48" ht="13.15" x14ac:dyDescent="0.4">
      <c r="A974" s="430"/>
      <c r="B974" s="430"/>
      <c r="C974" s="430"/>
      <c r="D974" s="430"/>
      <c r="E974" s="430"/>
      <c r="F974" s="430"/>
      <c r="G974" s="430"/>
      <c r="H974" s="461"/>
      <c r="I974" s="438"/>
      <c r="J974" s="438"/>
      <c r="K974" s="438"/>
      <c r="L974" s="430"/>
      <c r="M974" s="430"/>
      <c r="N974" s="461"/>
      <c r="O974" s="461"/>
      <c r="Z974" s="303"/>
      <c r="AB974" s="31"/>
      <c r="AC974" s="303"/>
      <c r="AE974" s="31"/>
      <c r="AF974" s="303"/>
      <c r="AH974" s="31"/>
      <c r="AI974" s="303"/>
      <c r="AK974" s="31"/>
      <c r="AL974" s="303"/>
      <c r="AN974" s="31"/>
      <c r="AO974" s="303"/>
      <c r="AQ974" s="31"/>
      <c r="AT974" s="31"/>
      <c r="AV974" s="31"/>
    </row>
    <row r="975" spans="1:48" ht="13.15" x14ac:dyDescent="0.4">
      <c r="A975" s="430"/>
      <c r="B975" s="430"/>
      <c r="C975" s="430"/>
      <c r="D975" s="430"/>
      <c r="E975" s="430"/>
      <c r="F975" s="430"/>
      <c r="G975" s="430"/>
      <c r="H975" s="461"/>
      <c r="I975" s="438"/>
      <c r="J975" s="438"/>
      <c r="K975" s="438"/>
      <c r="L975" s="430"/>
      <c r="M975" s="430"/>
      <c r="N975" s="461"/>
      <c r="O975" s="461"/>
      <c r="Z975" s="303"/>
      <c r="AB975" s="31"/>
      <c r="AC975" s="303"/>
      <c r="AE975" s="31"/>
      <c r="AF975" s="303"/>
      <c r="AH975" s="31"/>
      <c r="AI975" s="303"/>
      <c r="AK975" s="31"/>
      <c r="AL975" s="303"/>
      <c r="AN975" s="31"/>
      <c r="AO975" s="303"/>
      <c r="AQ975" s="31"/>
      <c r="AT975" s="31"/>
      <c r="AV975" s="31"/>
    </row>
    <row r="976" spans="1:48" ht="13.15" x14ac:dyDescent="0.4">
      <c r="A976" s="430"/>
      <c r="B976" s="430"/>
      <c r="C976" s="430"/>
      <c r="D976" s="430"/>
      <c r="E976" s="430"/>
      <c r="F976" s="430"/>
      <c r="G976" s="430"/>
      <c r="H976" s="461"/>
      <c r="I976" s="438"/>
      <c r="J976" s="438"/>
      <c r="K976" s="438"/>
      <c r="L976" s="430"/>
      <c r="M976" s="430"/>
      <c r="N976" s="461"/>
      <c r="O976" s="461"/>
      <c r="Z976" s="303"/>
      <c r="AB976" s="31"/>
      <c r="AC976" s="303"/>
      <c r="AE976" s="31"/>
      <c r="AF976" s="303"/>
      <c r="AH976" s="31"/>
      <c r="AI976" s="303"/>
      <c r="AK976" s="31"/>
      <c r="AL976" s="303"/>
      <c r="AN976" s="31"/>
      <c r="AO976" s="303"/>
      <c r="AQ976" s="31"/>
      <c r="AT976" s="31"/>
      <c r="AV976" s="31"/>
    </row>
    <row r="977" spans="1:48" ht="13.15" x14ac:dyDescent="0.4">
      <c r="A977" s="430"/>
      <c r="B977" s="430"/>
      <c r="C977" s="430"/>
      <c r="D977" s="430"/>
      <c r="E977" s="430"/>
      <c r="F977" s="430"/>
      <c r="G977" s="430"/>
      <c r="H977" s="461"/>
      <c r="I977" s="438"/>
      <c r="J977" s="438"/>
      <c r="K977" s="438"/>
      <c r="L977" s="430"/>
      <c r="M977" s="430"/>
      <c r="N977" s="461"/>
      <c r="O977" s="461"/>
      <c r="Z977" s="303"/>
      <c r="AB977" s="31"/>
      <c r="AC977" s="303"/>
      <c r="AE977" s="31"/>
      <c r="AF977" s="303"/>
      <c r="AH977" s="31"/>
      <c r="AI977" s="303"/>
      <c r="AK977" s="31"/>
      <c r="AL977" s="303"/>
      <c r="AN977" s="31"/>
      <c r="AO977" s="303"/>
      <c r="AQ977" s="31"/>
      <c r="AT977" s="31"/>
      <c r="AV977" s="31"/>
    </row>
    <row r="978" spans="1:48" ht="13.15" x14ac:dyDescent="0.4">
      <c r="A978" s="430"/>
      <c r="B978" s="430"/>
      <c r="C978" s="430"/>
      <c r="D978" s="430"/>
      <c r="E978" s="430"/>
      <c r="F978" s="430"/>
      <c r="G978" s="430"/>
      <c r="H978" s="461"/>
      <c r="I978" s="438"/>
      <c r="J978" s="438"/>
      <c r="K978" s="438"/>
      <c r="L978" s="430"/>
      <c r="M978" s="430"/>
      <c r="N978" s="461"/>
      <c r="O978" s="461"/>
      <c r="Z978" s="303"/>
      <c r="AB978" s="31"/>
      <c r="AC978" s="303"/>
      <c r="AE978" s="31"/>
      <c r="AF978" s="303"/>
      <c r="AH978" s="31"/>
      <c r="AI978" s="303"/>
      <c r="AK978" s="31"/>
      <c r="AL978" s="303"/>
      <c r="AN978" s="31"/>
      <c r="AO978" s="303"/>
      <c r="AQ978" s="31"/>
      <c r="AT978" s="31"/>
      <c r="AV978" s="31"/>
    </row>
    <row r="979" spans="1:48" ht="13.15" x14ac:dyDescent="0.4">
      <c r="A979" s="430"/>
      <c r="B979" s="430"/>
      <c r="C979" s="430"/>
      <c r="D979" s="430"/>
      <c r="E979" s="430"/>
      <c r="F979" s="430"/>
      <c r="G979" s="430"/>
      <c r="H979" s="461"/>
      <c r="I979" s="438"/>
      <c r="J979" s="438"/>
      <c r="K979" s="438"/>
      <c r="L979" s="430"/>
      <c r="M979" s="430"/>
      <c r="N979" s="461"/>
      <c r="O979" s="461"/>
      <c r="Z979" s="303"/>
      <c r="AB979" s="31"/>
      <c r="AC979" s="303"/>
      <c r="AE979" s="31"/>
      <c r="AF979" s="303"/>
      <c r="AH979" s="31"/>
      <c r="AI979" s="303"/>
      <c r="AK979" s="31"/>
      <c r="AL979" s="303"/>
      <c r="AN979" s="31"/>
      <c r="AO979" s="303"/>
      <c r="AQ979" s="31"/>
      <c r="AT979" s="31"/>
      <c r="AV979" s="31"/>
    </row>
    <row r="980" spans="1:48" ht="13.15" x14ac:dyDescent="0.4">
      <c r="A980" s="430"/>
      <c r="B980" s="430"/>
      <c r="C980" s="430"/>
      <c r="D980" s="430"/>
      <c r="E980" s="430"/>
      <c r="F980" s="430"/>
      <c r="G980" s="430"/>
      <c r="H980" s="461"/>
      <c r="I980" s="438"/>
      <c r="J980" s="438"/>
      <c r="K980" s="438"/>
      <c r="L980" s="430"/>
      <c r="M980" s="430"/>
      <c r="N980" s="461"/>
      <c r="O980" s="461"/>
      <c r="Z980" s="303"/>
      <c r="AB980" s="31"/>
      <c r="AC980" s="303"/>
      <c r="AE980" s="31"/>
      <c r="AF980" s="303"/>
      <c r="AH980" s="31"/>
      <c r="AI980" s="303"/>
      <c r="AK980" s="31"/>
      <c r="AL980" s="303"/>
      <c r="AN980" s="31"/>
      <c r="AO980" s="303"/>
      <c r="AQ980" s="31"/>
      <c r="AT980" s="31"/>
      <c r="AV980" s="31"/>
    </row>
    <row r="981" spans="1:48" ht="13.15" x14ac:dyDescent="0.4">
      <c r="A981" s="430"/>
      <c r="B981" s="430"/>
      <c r="C981" s="430"/>
      <c r="D981" s="430"/>
      <c r="E981" s="430"/>
      <c r="F981" s="430"/>
      <c r="G981" s="430"/>
      <c r="H981" s="461"/>
      <c r="I981" s="438"/>
      <c r="J981" s="438"/>
      <c r="K981" s="438"/>
      <c r="L981" s="430"/>
      <c r="M981" s="430"/>
      <c r="N981" s="461"/>
      <c r="O981" s="461"/>
      <c r="Z981" s="303"/>
      <c r="AB981" s="31"/>
      <c r="AC981" s="303"/>
      <c r="AE981" s="31"/>
      <c r="AF981" s="303"/>
      <c r="AH981" s="31"/>
      <c r="AI981" s="303"/>
      <c r="AK981" s="31"/>
      <c r="AL981" s="303"/>
      <c r="AN981" s="31"/>
      <c r="AO981" s="303"/>
      <c r="AQ981" s="31"/>
      <c r="AT981" s="31"/>
      <c r="AV981" s="31"/>
    </row>
    <row r="982" spans="1:48" ht="13.15" x14ac:dyDescent="0.4">
      <c r="A982" s="430"/>
      <c r="B982" s="430"/>
      <c r="C982" s="430"/>
      <c r="D982" s="430"/>
      <c r="E982" s="430"/>
      <c r="F982" s="430"/>
      <c r="G982" s="430"/>
      <c r="H982" s="461"/>
      <c r="I982" s="438"/>
      <c r="J982" s="438"/>
      <c r="K982" s="438"/>
      <c r="L982" s="430"/>
      <c r="M982" s="430"/>
      <c r="N982" s="461"/>
      <c r="O982" s="461"/>
      <c r="Z982" s="303"/>
      <c r="AB982" s="31"/>
      <c r="AC982" s="303"/>
      <c r="AE982" s="31"/>
      <c r="AF982" s="303"/>
      <c r="AH982" s="31"/>
      <c r="AI982" s="303"/>
      <c r="AK982" s="31"/>
      <c r="AL982" s="303"/>
      <c r="AN982" s="31"/>
      <c r="AO982" s="303"/>
      <c r="AQ982" s="31"/>
      <c r="AT982" s="31"/>
      <c r="AV982" s="31"/>
    </row>
    <row r="983" spans="1:48" ht="13.15" x14ac:dyDescent="0.4">
      <c r="A983" s="430"/>
      <c r="B983" s="430"/>
      <c r="C983" s="430"/>
      <c r="D983" s="430"/>
      <c r="E983" s="430"/>
      <c r="F983" s="430"/>
      <c r="G983" s="430"/>
      <c r="H983" s="461"/>
      <c r="I983" s="438"/>
      <c r="J983" s="438"/>
      <c r="K983" s="438"/>
      <c r="L983" s="430"/>
      <c r="M983" s="430"/>
      <c r="N983" s="461"/>
      <c r="O983" s="461"/>
      <c r="Z983" s="303"/>
      <c r="AB983" s="31"/>
      <c r="AC983" s="303"/>
      <c r="AE983" s="31"/>
      <c r="AF983" s="303"/>
      <c r="AH983" s="31"/>
      <c r="AI983" s="303"/>
      <c r="AK983" s="31"/>
      <c r="AL983" s="303"/>
      <c r="AN983" s="31"/>
      <c r="AO983" s="303"/>
      <c r="AQ983" s="31"/>
      <c r="AT983" s="31"/>
      <c r="AV983" s="31"/>
    </row>
    <row r="984" spans="1:48" ht="13.15" x14ac:dyDescent="0.4">
      <c r="A984" s="430"/>
      <c r="B984" s="430"/>
      <c r="C984" s="430"/>
      <c r="D984" s="430"/>
      <c r="E984" s="430"/>
      <c r="F984" s="430"/>
      <c r="G984" s="430"/>
      <c r="H984" s="461"/>
      <c r="I984" s="438"/>
      <c r="J984" s="438"/>
      <c r="K984" s="438"/>
      <c r="L984" s="430"/>
      <c r="M984" s="430"/>
      <c r="N984" s="461"/>
      <c r="O984" s="461"/>
      <c r="Z984" s="303"/>
      <c r="AB984" s="31"/>
      <c r="AC984" s="303"/>
      <c r="AE984" s="31"/>
      <c r="AF984" s="303"/>
      <c r="AH984" s="31"/>
      <c r="AI984" s="303"/>
      <c r="AK984" s="31"/>
      <c r="AL984" s="303"/>
      <c r="AN984" s="31"/>
      <c r="AO984" s="303"/>
      <c r="AQ984" s="31"/>
      <c r="AT984" s="31"/>
      <c r="AV984" s="31"/>
    </row>
    <row r="985" spans="1:48" ht="13.15" x14ac:dyDescent="0.4">
      <c r="A985" s="430"/>
      <c r="B985" s="430"/>
      <c r="C985" s="430"/>
      <c r="D985" s="430"/>
      <c r="E985" s="430"/>
      <c r="F985" s="430"/>
      <c r="G985" s="430"/>
      <c r="H985" s="461"/>
      <c r="I985" s="438"/>
      <c r="J985" s="438"/>
      <c r="K985" s="438"/>
      <c r="L985" s="430"/>
      <c r="M985" s="430"/>
      <c r="N985" s="461"/>
      <c r="O985" s="461"/>
      <c r="Z985" s="303"/>
      <c r="AB985" s="31"/>
      <c r="AC985" s="303"/>
      <c r="AE985" s="31"/>
      <c r="AF985" s="303"/>
      <c r="AH985" s="31"/>
      <c r="AI985" s="303"/>
      <c r="AK985" s="31"/>
      <c r="AL985" s="303"/>
      <c r="AN985" s="31"/>
      <c r="AO985" s="303"/>
      <c r="AQ985" s="31"/>
      <c r="AT985" s="31"/>
      <c r="AV985" s="31"/>
    </row>
    <row r="986" spans="1:48" ht="13.15" x14ac:dyDescent="0.4">
      <c r="A986" s="430"/>
      <c r="B986" s="430"/>
      <c r="C986" s="430"/>
      <c r="D986" s="430"/>
      <c r="E986" s="430"/>
      <c r="F986" s="430"/>
      <c r="G986" s="430"/>
      <c r="H986" s="461"/>
      <c r="I986" s="438"/>
      <c r="J986" s="438"/>
      <c r="K986" s="438"/>
      <c r="L986" s="430"/>
      <c r="M986" s="430"/>
      <c r="N986" s="461"/>
      <c r="O986" s="461"/>
      <c r="Z986" s="303"/>
      <c r="AB986" s="31"/>
      <c r="AC986" s="303"/>
      <c r="AE986" s="31"/>
      <c r="AF986" s="303"/>
      <c r="AH986" s="31"/>
      <c r="AI986" s="303"/>
      <c r="AK986" s="31"/>
      <c r="AL986" s="303"/>
      <c r="AN986" s="31"/>
      <c r="AO986" s="303"/>
      <c r="AQ986" s="31"/>
      <c r="AT986" s="31"/>
      <c r="AV986" s="31"/>
    </row>
    <row r="987" spans="1:48" ht="13.15" x14ac:dyDescent="0.4">
      <c r="A987" s="430"/>
      <c r="B987" s="430"/>
      <c r="C987" s="430"/>
      <c r="D987" s="430"/>
      <c r="E987" s="430"/>
      <c r="F987" s="430"/>
      <c r="G987" s="430"/>
      <c r="H987" s="461"/>
      <c r="I987" s="438"/>
      <c r="J987" s="438"/>
      <c r="K987" s="438"/>
      <c r="L987" s="430"/>
      <c r="M987" s="430"/>
      <c r="N987" s="461"/>
      <c r="O987" s="461"/>
      <c r="Z987" s="303"/>
      <c r="AB987" s="31"/>
      <c r="AC987" s="303"/>
      <c r="AE987" s="31"/>
      <c r="AF987" s="303"/>
      <c r="AH987" s="31"/>
      <c r="AI987" s="303"/>
      <c r="AK987" s="31"/>
      <c r="AL987" s="303"/>
      <c r="AN987" s="31"/>
      <c r="AO987" s="303"/>
      <c r="AQ987" s="31"/>
      <c r="AT987" s="31"/>
      <c r="AV987" s="31"/>
    </row>
    <row r="988" spans="1:48" ht="13.15" x14ac:dyDescent="0.4">
      <c r="A988" s="430"/>
      <c r="B988" s="430"/>
      <c r="C988" s="430"/>
      <c r="D988" s="430"/>
      <c r="E988" s="430"/>
      <c r="F988" s="430"/>
      <c r="G988" s="430"/>
      <c r="H988" s="461"/>
      <c r="I988" s="438"/>
      <c r="J988" s="438"/>
      <c r="K988" s="438"/>
      <c r="L988" s="430"/>
      <c r="M988" s="430"/>
      <c r="N988" s="461"/>
      <c r="O988" s="461"/>
      <c r="Z988" s="303"/>
      <c r="AB988" s="31"/>
      <c r="AC988" s="303"/>
      <c r="AE988" s="31"/>
      <c r="AF988" s="303"/>
      <c r="AH988" s="31"/>
      <c r="AI988" s="303"/>
      <c r="AK988" s="31"/>
      <c r="AL988" s="303"/>
      <c r="AN988" s="31"/>
      <c r="AO988" s="303"/>
      <c r="AQ988" s="31"/>
      <c r="AT988" s="31"/>
      <c r="AV988" s="31"/>
    </row>
    <row r="989" spans="1:48" ht="13.15" x14ac:dyDescent="0.4">
      <c r="A989" s="430"/>
      <c r="B989" s="430"/>
      <c r="C989" s="430"/>
      <c r="D989" s="430"/>
      <c r="E989" s="430"/>
      <c r="F989" s="430"/>
      <c r="G989" s="430"/>
      <c r="H989" s="461"/>
      <c r="I989" s="438"/>
      <c r="J989" s="438"/>
      <c r="K989" s="438"/>
      <c r="L989" s="430"/>
      <c r="M989" s="430"/>
      <c r="N989" s="461"/>
      <c r="O989" s="461"/>
      <c r="Z989" s="303"/>
      <c r="AB989" s="31"/>
      <c r="AC989" s="303"/>
      <c r="AE989" s="31"/>
      <c r="AF989" s="303"/>
      <c r="AH989" s="31"/>
      <c r="AI989" s="303"/>
      <c r="AK989" s="31"/>
      <c r="AL989" s="303"/>
      <c r="AN989" s="31"/>
      <c r="AO989" s="303"/>
      <c r="AQ989" s="31"/>
      <c r="AT989" s="31"/>
      <c r="AV989" s="31"/>
    </row>
    <row r="990" spans="1:48" ht="13.15" x14ac:dyDescent="0.4">
      <c r="A990" s="430"/>
      <c r="B990" s="430"/>
      <c r="C990" s="430"/>
      <c r="D990" s="430"/>
      <c r="E990" s="430"/>
      <c r="F990" s="430"/>
      <c r="G990" s="430"/>
      <c r="H990" s="461"/>
      <c r="I990" s="438"/>
      <c r="J990" s="438"/>
      <c r="K990" s="438"/>
      <c r="L990" s="430"/>
      <c r="M990" s="430"/>
      <c r="N990" s="461"/>
      <c r="O990" s="461"/>
      <c r="Z990" s="303"/>
      <c r="AB990" s="31"/>
      <c r="AC990" s="303"/>
      <c r="AE990" s="31"/>
      <c r="AF990" s="303"/>
      <c r="AH990" s="31"/>
      <c r="AI990" s="303"/>
      <c r="AK990" s="31"/>
      <c r="AL990" s="303"/>
      <c r="AN990" s="31"/>
      <c r="AO990" s="303"/>
      <c r="AQ990" s="31"/>
      <c r="AT990" s="31"/>
      <c r="AV990" s="31"/>
    </row>
    <row r="991" spans="1:48" ht="13.15" x14ac:dyDescent="0.4">
      <c r="A991" s="430"/>
      <c r="B991" s="430"/>
      <c r="C991" s="430"/>
      <c r="D991" s="430"/>
      <c r="E991" s="430"/>
      <c r="F991" s="430"/>
      <c r="G991" s="430"/>
      <c r="H991" s="461"/>
      <c r="I991" s="438"/>
      <c r="J991" s="438"/>
      <c r="K991" s="438"/>
      <c r="L991" s="430"/>
      <c r="M991" s="430"/>
      <c r="N991" s="461"/>
      <c r="O991" s="461"/>
      <c r="Z991" s="303"/>
      <c r="AB991" s="31"/>
      <c r="AC991" s="303"/>
      <c r="AE991" s="31"/>
      <c r="AF991" s="303"/>
      <c r="AH991" s="31"/>
      <c r="AI991" s="303"/>
      <c r="AK991" s="31"/>
      <c r="AL991" s="303"/>
      <c r="AN991" s="31"/>
      <c r="AO991" s="303"/>
      <c r="AQ991" s="31"/>
      <c r="AT991" s="31"/>
      <c r="AV991" s="31"/>
    </row>
    <row r="992" spans="1:48" ht="13.15" x14ac:dyDescent="0.4">
      <c r="A992" s="430"/>
      <c r="B992" s="430"/>
      <c r="C992" s="430"/>
      <c r="D992" s="430"/>
      <c r="E992" s="430"/>
      <c r="F992" s="430"/>
      <c r="G992" s="430"/>
      <c r="H992" s="461"/>
      <c r="I992" s="438"/>
      <c r="J992" s="438"/>
      <c r="K992" s="438"/>
      <c r="L992" s="430"/>
      <c r="M992" s="430"/>
      <c r="N992" s="461"/>
      <c r="O992" s="461"/>
      <c r="Z992" s="303"/>
      <c r="AB992" s="31"/>
      <c r="AC992" s="303"/>
      <c r="AE992" s="31"/>
      <c r="AF992" s="303"/>
      <c r="AH992" s="31"/>
      <c r="AI992" s="303"/>
      <c r="AK992" s="31"/>
      <c r="AL992" s="303"/>
      <c r="AN992" s="31"/>
      <c r="AO992" s="303"/>
      <c r="AQ992" s="31"/>
      <c r="AT992" s="31"/>
      <c r="AV992" s="31"/>
    </row>
    <row r="993" spans="1:48" ht="13.15" x14ac:dyDescent="0.4">
      <c r="A993" s="430"/>
      <c r="B993" s="430"/>
      <c r="C993" s="430"/>
      <c r="D993" s="430"/>
      <c r="E993" s="430"/>
      <c r="F993" s="430"/>
      <c r="G993" s="430"/>
      <c r="H993" s="461"/>
      <c r="I993" s="438"/>
      <c r="J993" s="438"/>
      <c r="K993" s="438"/>
      <c r="L993" s="430"/>
      <c r="M993" s="430"/>
      <c r="N993" s="461"/>
      <c r="O993" s="461"/>
      <c r="Z993" s="303"/>
      <c r="AB993" s="31"/>
      <c r="AC993" s="303"/>
      <c r="AE993" s="31"/>
      <c r="AF993" s="303"/>
      <c r="AH993" s="31"/>
      <c r="AI993" s="303"/>
      <c r="AK993" s="31"/>
      <c r="AL993" s="303"/>
      <c r="AN993" s="31"/>
      <c r="AO993" s="303"/>
      <c r="AQ993" s="31"/>
      <c r="AT993" s="31"/>
      <c r="AV993" s="31"/>
    </row>
    <row r="994" spans="1:48" ht="13.15" x14ac:dyDescent="0.4">
      <c r="A994" s="430"/>
      <c r="B994" s="430"/>
      <c r="C994" s="430"/>
      <c r="D994" s="430"/>
      <c r="E994" s="430"/>
      <c r="F994" s="430"/>
      <c r="G994" s="430"/>
      <c r="H994" s="461"/>
      <c r="I994" s="438"/>
      <c r="J994" s="438"/>
      <c r="K994" s="438"/>
      <c r="L994" s="430"/>
      <c r="M994" s="430"/>
      <c r="N994" s="461"/>
      <c r="O994" s="461"/>
      <c r="Z994" s="303"/>
      <c r="AB994" s="31"/>
      <c r="AC994" s="303"/>
      <c r="AE994" s="31"/>
      <c r="AF994" s="303"/>
      <c r="AH994" s="31"/>
      <c r="AI994" s="303"/>
      <c r="AK994" s="31"/>
      <c r="AL994" s="303"/>
      <c r="AN994" s="31"/>
      <c r="AO994" s="303"/>
      <c r="AQ994" s="31"/>
      <c r="AT994" s="31"/>
      <c r="AV994" s="31"/>
    </row>
    <row r="995" spans="1:48" ht="13.15" x14ac:dyDescent="0.4">
      <c r="A995" s="430"/>
      <c r="B995" s="430"/>
      <c r="C995" s="430"/>
      <c r="D995" s="430"/>
      <c r="E995" s="430"/>
      <c r="F995" s="430"/>
      <c r="G995" s="430"/>
      <c r="H995" s="461"/>
      <c r="I995" s="438"/>
      <c r="J995" s="438"/>
      <c r="K995" s="438"/>
      <c r="L995" s="430"/>
      <c r="M995" s="430"/>
      <c r="N995" s="461"/>
      <c r="O995" s="461"/>
      <c r="Z995" s="303"/>
      <c r="AB995" s="31"/>
      <c r="AC995" s="303"/>
      <c r="AE995" s="31"/>
      <c r="AF995" s="303"/>
      <c r="AH995" s="31"/>
      <c r="AI995" s="303"/>
      <c r="AK995" s="31"/>
      <c r="AL995" s="303"/>
      <c r="AN995" s="31"/>
      <c r="AO995" s="303"/>
      <c r="AQ995" s="31"/>
      <c r="AT995" s="31"/>
      <c r="AV995" s="31"/>
    </row>
    <row r="996" spans="1:48" ht="13.15" x14ac:dyDescent="0.4">
      <c r="A996" s="430"/>
      <c r="B996" s="430"/>
      <c r="C996" s="430"/>
      <c r="D996" s="430"/>
      <c r="E996" s="430"/>
      <c r="F996" s="430"/>
      <c r="G996" s="430"/>
      <c r="H996" s="461"/>
      <c r="I996" s="438"/>
      <c r="J996" s="438"/>
      <c r="K996" s="438"/>
      <c r="L996" s="430"/>
      <c r="M996" s="430"/>
      <c r="N996" s="461"/>
      <c r="O996" s="461"/>
      <c r="Z996" s="303"/>
      <c r="AB996" s="31"/>
      <c r="AC996" s="303"/>
      <c r="AE996" s="31"/>
      <c r="AF996" s="303"/>
      <c r="AH996" s="31"/>
      <c r="AI996" s="303"/>
      <c r="AK996" s="31"/>
      <c r="AL996" s="303"/>
      <c r="AN996" s="31"/>
      <c r="AO996" s="303"/>
      <c r="AQ996" s="31"/>
      <c r="AT996" s="31"/>
      <c r="AV996" s="31"/>
    </row>
    <row r="997" spans="1:48" ht="13.15" x14ac:dyDescent="0.4">
      <c r="A997" s="430"/>
      <c r="B997" s="430"/>
      <c r="C997" s="430"/>
      <c r="D997" s="430"/>
      <c r="E997" s="430"/>
      <c r="F997" s="430"/>
      <c r="G997" s="430"/>
      <c r="H997" s="461"/>
      <c r="I997" s="438"/>
      <c r="J997" s="438"/>
      <c r="K997" s="438"/>
      <c r="L997" s="430"/>
      <c r="M997" s="430"/>
      <c r="N997" s="461"/>
      <c r="O997" s="461"/>
      <c r="Z997" s="303"/>
      <c r="AB997" s="31"/>
      <c r="AC997" s="303"/>
      <c r="AE997" s="31"/>
      <c r="AF997" s="303"/>
      <c r="AH997" s="31"/>
      <c r="AI997" s="303"/>
      <c r="AK997" s="31"/>
      <c r="AL997" s="303"/>
      <c r="AN997" s="31"/>
      <c r="AO997" s="303"/>
      <c r="AQ997" s="31"/>
      <c r="AT997" s="31"/>
      <c r="AV997" s="31"/>
    </row>
    <row r="998" spans="1:48" ht="13.15" x14ac:dyDescent="0.4">
      <c r="A998" s="430"/>
      <c r="B998" s="430"/>
      <c r="C998" s="430"/>
      <c r="D998" s="430"/>
      <c r="E998" s="430"/>
      <c r="F998" s="430"/>
      <c r="G998" s="430"/>
      <c r="H998" s="461"/>
      <c r="I998" s="438"/>
      <c r="J998" s="438"/>
      <c r="K998" s="438"/>
      <c r="L998" s="430"/>
      <c r="M998" s="430"/>
      <c r="N998" s="461"/>
      <c r="O998" s="461"/>
      <c r="Z998" s="303"/>
      <c r="AB998" s="31"/>
      <c r="AC998" s="303"/>
      <c r="AE998" s="31"/>
      <c r="AF998" s="303"/>
      <c r="AH998" s="31"/>
      <c r="AI998" s="303"/>
      <c r="AK998" s="31"/>
      <c r="AL998" s="303"/>
      <c r="AN998" s="31"/>
      <c r="AO998" s="303"/>
      <c r="AQ998" s="31"/>
      <c r="AT998" s="31"/>
      <c r="AV998" s="31"/>
    </row>
    <row r="999" spans="1:48" ht="13.15" x14ac:dyDescent="0.4">
      <c r="A999" s="430"/>
      <c r="B999" s="430"/>
      <c r="C999" s="430"/>
      <c r="D999" s="430"/>
      <c r="E999" s="430"/>
      <c r="F999" s="430"/>
      <c r="G999" s="430"/>
      <c r="H999" s="461"/>
      <c r="I999" s="438"/>
      <c r="J999" s="438"/>
      <c r="K999" s="438"/>
      <c r="L999" s="430"/>
      <c r="M999" s="430"/>
      <c r="N999" s="461"/>
      <c r="O999" s="461"/>
      <c r="Z999" s="303"/>
      <c r="AB999" s="31"/>
      <c r="AC999" s="303"/>
      <c r="AE999" s="31"/>
      <c r="AF999" s="303"/>
      <c r="AH999" s="31"/>
      <c r="AI999" s="303"/>
      <c r="AK999" s="31"/>
      <c r="AL999" s="303"/>
      <c r="AN999" s="31"/>
      <c r="AO999" s="303"/>
      <c r="AQ999" s="31"/>
      <c r="AT999" s="31"/>
      <c r="AV999" s="31"/>
    </row>
    <row r="1000" spans="1:48" ht="13.15" x14ac:dyDescent="0.4">
      <c r="A1000" s="430"/>
      <c r="B1000" s="430"/>
      <c r="C1000" s="430"/>
      <c r="D1000" s="430"/>
      <c r="E1000" s="430"/>
      <c r="F1000" s="430"/>
      <c r="G1000" s="430"/>
      <c r="H1000" s="461"/>
      <c r="I1000" s="438"/>
      <c r="J1000" s="438"/>
      <c r="K1000" s="438"/>
      <c r="L1000" s="430"/>
      <c r="M1000" s="430"/>
      <c r="N1000" s="461"/>
      <c r="O1000" s="461"/>
      <c r="Z1000" s="303"/>
      <c r="AB1000" s="31"/>
      <c r="AC1000" s="303"/>
      <c r="AE1000" s="31"/>
      <c r="AF1000" s="303"/>
      <c r="AH1000" s="31"/>
      <c r="AI1000" s="303"/>
      <c r="AK1000" s="31"/>
      <c r="AL1000" s="303"/>
      <c r="AN1000" s="31"/>
      <c r="AO1000" s="303"/>
      <c r="AQ1000" s="31"/>
      <c r="AT1000" s="31"/>
      <c r="AV1000" s="31"/>
    </row>
    <row r="1001" spans="1:48" ht="13.15" x14ac:dyDescent="0.4">
      <c r="A1001" s="430"/>
      <c r="B1001" s="430"/>
      <c r="C1001" s="430"/>
      <c r="D1001" s="430"/>
      <c r="E1001" s="430"/>
      <c r="F1001" s="430"/>
      <c r="G1001" s="430"/>
      <c r="H1001" s="461"/>
      <c r="I1001" s="438"/>
      <c r="J1001" s="438"/>
      <c r="K1001" s="438"/>
      <c r="L1001" s="430"/>
      <c r="M1001" s="430"/>
      <c r="N1001" s="461"/>
      <c r="O1001" s="461"/>
      <c r="Z1001" s="303"/>
      <c r="AB1001" s="31"/>
      <c r="AC1001" s="303"/>
      <c r="AE1001" s="31"/>
      <c r="AF1001" s="303"/>
      <c r="AH1001" s="31"/>
      <c r="AI1001" s="303"/>
      <c r="AK1001" s="31"/>
      <c r="AL1001" s="303"/>
      <c r="AN1001" s="31"/>
      <c r="AO1001" s="303"/>
      <c r="AQ1001" s="31"/>
      <c r="AT1001" s="31"/>
      <c r="AV1001" s="31"/>
    </row>
    <row r="1002" spans="1:48" ht="13.15" x14ac:dyDescent="0.4">
      <c r="A1002" s="430"/>
      <c r="B1002" s="430"/>
      <c r="C1002" s="430"/>
      <c r="D1002" s="430"/>
      <c r="E1002" s="430"/>
      <c r="F1002" s="430"/>
      <c r="G1002" s="430"/>
      <c r="H1002" s="461"/>
      <c r="I1002" s="438"/>
      <c r="J1002" s="438"/>
      <c r="K1002" s="438"/>
      <c r="L1002" s="430"/>
      <c r="M1002" s="430"/>
      <c r="N1002" s="461"/>
      <c r="O1002" s="461"/>
      <c r="Z1002" s="303"/>
      <c r="AB1002" s="31"/>
      <c r="AC1002" s="303"/>
      <c r="AE1002" s="31"/>
      <c r="AF1002" s="303"/>
      <c r="AH1002" s="31"/>
      <c r="AI1002" s="303"/>
      <c r="AK1002" s="31"/>
      <c r="AL1002" s="303"/>
      <c r="AN1002" s="31"/>
      <c r="AO1002" s="303"/>
      <c r="AQ1002" s="31"/>
      <c r="AT1002" s="31"/>
      <c r="AV1002" s="31"/>
    </row>
    <row r="1003" spans="1:48" ht="13.15" x14ac:dyDescent="0.4">
      <c r="A1003" s="430"/>
      <c r="B1003" s="430"/>
      <c r="C1003" s="430"/>
      <c r="D1003" s="430"/>
      <c r="E1003" s="430"/>
      <c r="F1003" s="430"/>
      <c r="G1003" s="430"/>
      <c r="H1003" s="461"/>
      <c r="I1003" s="438"/>
      <c r="J1003" s="438"/>
      <c r="K1003" s="438"/>
      <c r="L1003" s="430"/>
      <c r="M1003" s="430"/>
      <c r="N1003" s="461"/>
      <c r="O1003" s="461"/>
      <c r="Z1003" s="303"/>
      <c r="AB1003" s="31"/>
      <c r="AC1003" s="303"/>
      <c r="AE1003" s="31"/>
      <c r="AF1003" s="303"/>
      <c r="AH1003" s="31"/>
      <c r="AI1003" s="303"/>
      <c r="AK1003" s="31"/>
      <c r="AL1003" s="303"/>
      <c r="AN1003" s="31"/>
      <c r="AO1003" s="303"/>
      <c r="AQ1003" s="31"/>
      <c r="AT1003" s="31"/>
      <c r="AV1003" s="31"/>
    </row>
    <row r="1004" spans="1:48" ht="13.15" x14ac:dyDescent="0.4">
      <c r="A1004" s="430"/>
      <c r="B1004" s="430"/>
      <c r="C1004" s="430"/>
      <c r="D1004" s="430"/>
      <c r="E1004" s="430"/>
      <c r="F1004" s="430"/>
      <c r="G1004" s="430"/>
      <c r="H1004" s="461"/>
      <c r="I1004" s="438"/>
      <c r="J1004" s="438"/>
      <c r="K1004" s="438"/>
      <c r="L1004" s="430"/>
      <c r="M1004" s="430"/>
      <c r="N1004" s="461"/>
      <c r="O1004" s="461"/>
      <c r="Z1004" s="303"/>
      <c r="AB1004" s="31"/>
      <c r="AC1004" s="303"/>
      <c r="AE1004" s="31"/>
      <c r="AF1004" s="303"/>
      <c r="AH1004" s="31"/>
      <c r="AI1004" s="303"/>
      <c r="AK1004" s="31"/>
      <c r="AL1004" s="303"/>
      <c r="AN1004" s="31"/>
      <c r="AO1004" s="303"/>
      <c r="AQ1004" s="31"/>
      <c r="AT1004" s="31"/>
      <c r="AV1004" s="31"/>
    </row>
    <row r="1005" spans="1:48" ht="13.15" x14ac:dyDescent="0.4">
      <c r="A1005" s="430"/>
      <c r="B1005" s="430"/>
      <c r="C1005" s="430"/>
      <c r="D1005" s="430"/>
      <c r="E1005" s="430"/>
      <c r="F1005" s="430"/>
      <c r="G1005" s="430"/>
      <c r="H1005" s="461"/>
      <c r="I1005" s="438"/>
      <c r="J1005" s="438"/>
      <c r="K1005" s="438"/>
      <c r="L1005" s="430"/>
      <c r="M1005" s="430"/>
      <c r="N1005" s="461"/>
      <c r="O1005" s="461"/>
      <c r="Z1005" s="303"/>
      <c r="AB1005" s="31"/>
      <c r="AC1005" s="303"/>
      <c r="AE1005" s="31"/>
      <c r="AF1005" s="303"/>
      <c r="AH1005" s="31"/>
      <c r="AI1005" s="303"/>
      <c r="AK1005" s="31"/>
      <c r="AL1005" s="303"/>
      <c r="AN1005" s="31"/>
      <c r="AO1005" s="303"/>
      <c r="AQ1005" s="31"/>
      <c r="AT1005" s="31"/>
      <c r="AV1005" s="31"/>
    </row>
    <row r="1006" spans="1:48" ht="13.15" x14ac:dyDescent="0.4">
      <c r="A1006" s="430"/>
      <c r="B1006" s="430"/>
      <c r="C1006" s="430"/>
      <c r="D1006" s="430"/>
      <c r="E1006" s="430"/>
      <c r="F1006" s="430"/>
      <c r="G1006" s="430"/>
      <c r="H1006" s="461"/>
      <c r="I1006" s="438"/>
      <c r="J1006" s="438"/>
      <c r="K1006" s="438"/>
      <c r="L1006" s="430"/>
      <c r="M1006" s="430"/>
      <c r="N1006" s="461"/>
      <c r="O1006" s="461"/>
      <c r="Z1006" s="303"/>
      <c r="AB1006" s="31"/>
      <c r="AC1006" s="303"/>
      <c r="AE1006" s="31"/>
      <c r="AF1006" s="303"/>
      <c r="AH1006" s="31"/>
      <c r="AI1006" s="303"/>
      <c r="AK1006" s="31"/>
      <c r="AL1006" s="303"/>
      <c r="AN1006" s="31"/>
      <c r="AO1006" s="303"/>
      <c r="AQ1006" s="31"/>
      <c r="AT1006" s="31"/>
      <c r="AV1006" s="31"/>
    </row>
    <row r="1007" spans="1:48" ht="13.15" x14ac:dyDescent="0.4">
      <c r="A1007" s="430"/>
      <c r="B1007" s="430"/>
      <c r="C1007" s="430"/>
      <c r="D1007" s="430"/>
      <c r="E1007" s="430"/>
      <c r="F1007" s="430"/>
      <c r="G1007" s="430"/>
      <c r="H1007" s="461"/>
      <c r="I1007" s="438"/>
      <c r="J1007" s="438"/>
      <c r="K1007" s="438"/>
      <c r="L1007" s="430"/>
      <c r="M1007" s="430"/>
      <c r="N1007" s="461"/>
      <c r="O1007" s="461"/>
      <c r="Z1007" s="303"/>
      <c r="AB1007" s="31"/>
      <c r="AC1007" s="303"/>
      <c r="AE1007" s="31"/>
      <c r="AF1007" s="303"/>
      <c r="AH1007" s="31"/>
      <c r="AI1007" s="303"/>
      <c r="AK1007" s="31"/>
      <c r="AL1007" s="303"/>
      <c r="AN1007" s="31"/>
      <c r="AO1007" s="303"/>
      <c r="AQ1007" s="31"/>
      <c r="AT1007" s="31"/>
      <c r="AV1007" s="31"/>
    </row>
    <row r="1008" spans="1:48" ht="13.15" x14ac:dyDescent="0.4">
      <c r="A1008" s="430"/>
      <c r="B1008" s="430"/>
      <c r="C1008" s="430"/>
      <c r="D1008" s="430"/>
      <c r="E1008" s="430"/>
      <c r="F1008" s="430"/>
      <c r="G1008" s="430"/>
      <c r="H1008" s="461"/>
      <c r="I1008" s="438"/>
      <c r="J1008" s="438"/>
      <c r="K1008" s="438"/>
      <c r="L1008" s="430"/>
      <c r="M1008" s="430"/>
      <c r="N1008" s="461"/>
      <c r="O1008" s="461"/>
      <c r="Z1008" s="303"/>
      <c r="AB1008" s="31"/>
      <c r="AC1008" s="303"/>
      <c r="AE1008" s="31"/>
      <c r="AF1008" s="303"/>
      <c r="AH1008" s="31"/>
      <c r="AI1008" s="303"/>
      <c r="AK1008" s="31"/>
      <c r="AL1008" s="303"/>
      <c r="AN1008" s="31"/>
      <c r="AO1008" s="303"/>
      <c r="AQ1008" s="31"/>
      <c r="AT1008" s="31"/>
      <c r="AV1008" s="31"/>
    </row>
    <row r="1009" spans="1:48" ht="13.15" x14ac:dyDescent="0.4">
      <c r="A1009" s="430"/>
      <c r="B1009" s="430"/>
      <c r="C1009" s="430"/>
      <c r="D1009" s="430"/>
      <c r="E1009" s="430"/>
      <c r="F1009" s="430"/>
      <c r="G1009" s="430"/>
      <c r="H1009" s="461"/>
      <c r="I1009" s="438"/>
      <c r="J1009" s="438"/>
      <c r="K1009" s="438"/>
      <c r="L1009" s="430"/>
      <c r="M1009" s="430"/>
      <c r="N1009" s="461"/>
      <c r="O1009" s="461"/>
      <c r="Z1009" s="303"/>
      <c r="AB1009" s="31"/>
      <c r="AC1009" s="303"/>
      <c r="AE1009" s="31"/>
      <c r="AF1009" s="303"/>
      <c r="AH1009" s="31"/>
      <c r="AI1009" s="303"/>
      <c r="AK1009" s="31"/>
      <c r="AL1009" s="303"/>
      <c r="AN1009" s="31"/>
      <c r="AO1009" s="303"/>
      <c r="AQ1009" s="31"/>
      <c r="AT1009" s="31"/>
      <c r="AV1009" s="31"/>
    </row>
    <row r="1010" spans="1:48" ht="13.15" x14ac:dyDescent="0.4">
      <c r="A1010" s="430"/>
      <c r="B1010" s="430"/>
      <c r="C1010" s="430"/>
      <c r="D1010" s="430"/>
      <c r="E1010" s="430"/>
      <c r="F1010" s="430"/>
      <c r="G1010" s="430"/>
      <c r="H1010" s="461"/>
      <c r="I1010" s="438"/>
      <c r="J1010" s="438"/>
      <c r="K1010" s="438"/>
      <c r="L1010" s="430"/>
      <c r="M1010" s="430"/>
      <c r="N1010" s="461"/>
      <c r="O1010" s="461"/>
      <c r="Z1010" s="303"/>
      <c r="AB1010" s="31"/>
      <c r="AC1010" s="303"/>
      <c r="AE1010" s="31"/>
      <c r="AF1010" s="303"/>
      <c r="AH1010" s="31"/>
      <c r="AI1010" s="303"/>
      <c r="AK1010" s="31"/>
      <c r="AL1010" s="303"/>
      <c r="AN1010" s="31"/>
      <c r="AO1010" s="303"/>
      <c r="AQ1010" s="31"/>
      <c r="AT1010" s="31"/>
      <c r="AV1010" s="31"/>
    </row>
    <row r="1011" spans="1:48" ht="13.15" x14ac:dyDescent="0.4">
      <c r="A1011" s="430"/>
      <c r="B1011" s="430"/>
      <c r="C1011" s="430"/>
      <c r="D1011" s="430"/>
      <c r="E1011" s="430"/>
      <c r="F1011" s="430"/>
      <c r="G1011" s="430"/>
      <c r="H1011" s="461"/>
      <c r="I1011" s="438"/>
      <c r="J1011" s="438"/>
      <c r="K1011" s="438"/>
      <c r="L1011" s="430"/>
      <c r="M1011" s="430"/>
      <c r="N1011" s="461"/>
      <c r="O1011" s="461"/>
      <c r="Z1011" s="303"/>
      <c r="AB1011" s="31"/>
      <c r="AC1011" s="303"/>
      <c r="AE1011" s="31"/>
      <c r="AF1011" s="303"/>
      <c r="AH1011" s="31"/>
      <c r="AI1011" s="303"/>
      <c r="AK1011" s="31"/>
      <c r="AL1011" s="303"/>
      <c r="AN1011" s="31"/>
      <c r="AO1011" s="303"/>
      <c r="AQ1011" s="31"/>
      <c r="AT1011" s="31"/>
      <c r="AV1011" s="31"/>
    </row>
    <row r="1012" spans="1:48" ht="13.15" x14ac:dyDescent="0.4">
      <c r="A1012" s="430"/>
      <c r="B1012" s="430"/>
      <c r="C1012" s="430"/>
      <c r="D1012" s="430"/>
      <c r="E1012" s="430"/>
      <c r="F1012" s="430"/>
      <c r="G1012" s="430"/>
      <c r="H1012" s="461"/>
      <c r="I1012" s="438"/>
      <c r="J1012" s="438"/>
      <c r="K1012" s="438"/>
      <c r="L1012" s="430"/>
      <c r="M1012" s="430"/>
      <c r="N1012" s="461"/>
      <c r="O1012" s="461"/>
      <c r="Z1012" s="303"/>
      <c r="AB1012" s="31"/>
      <c r="AC1012" s="303"/>
      <c r="AE1012" s="31"/>
      <c r="AF1012" s="303"/>
      <c r="AH1012" s="31"/>
      <c r="AI1012" s="303"/>
      <c r="AK1012" s="31"/>
      <c r="AL1012" s="303"/>
      <c r="AN1012" s="31"/>
      <c r="AO1012" s="303"/>
      <c r="AQ1012" s="31"/>
      <c r="AT1012" s="31"/>
      <c r="AV1012" s="31"/>
    </row>
    <row r="1013" spans="1:48" ht="13.15" x14ac:dyDescent="0.4">
      <c r="A1013" s="430"/>
      <c r="B1013" s="430"/>
      <c r="C1013" s="430"/>
      <c r="D1013" s="430"/>
      <c r="E1013" s="430"/>
      <c r="F1013" s="430"/>
      <c r="G1013" s="430"/>
      <c r="H1013" s="461"/>
      <c r="I1013" s="438"/>
      <c r="J1013" s="438"/>
      <c r="K1013" s="438"/>
      <c r="L1013" s="430"/>
      <c r="M1013" s="430"/>
      <c r="N1013" s="461"/>
      <c r="O1013" s="461"/>
      <c r="Z1013" s="303"/>
      <c r="AB1013" s="31"/>
      <c r="AC1013" s="303"/>
      <c r="AE1013" s="31"/>
      <c r="AF1013" s="303"/>
      <c r="AH1013" s="31"/>
      <c r="AI1013" s="303"/>
      <c r="AK1013" s="31"/>
      <c r="AL1013" s="303"/>
      <c r="AN1013" s="31"/>
      <c r="AO1013" s="303"/>
      <c r="AQ1013" s="31"/>
      <c r="AT1013" s="31"/>
      <c r="AV1013" s="31"/>
    </row>
    <row r="1014" spans="1:48" ht="13.15" x14ac:dyDescent="0.4">
      <c r="A1014" s="430"/>
      <c r="B1014" s="430"/>
      <c r="C1014" s="430"/>
      <c r="D1014" s="430"/>
      <c r="E1014" s="430"/>
      <c r="F1014" s="430"/>
      <c r="G1014" s="430"/>
      <c r="H1014" s="461"/>
      <c r="I1014" s="438"/>
      <c r="J1014" s="438"/>
      <c r="K1014" s="438"/>
      <c r="L1014" s="430"/>
      <c r="M1014" s="430"/>
      <c r="N1014" s="461"/>
      <c r="O1014" s="461"/>
      <c r="Z1014" s="303"/>
      <c r="AB1014" s="31"/>
      <c r="AC1014" s="303"/>
      <c r="AE1014" s="31"/>
      <c r="AF1014" s="303"/>
      <c r="AH1014" s="31"/>
      <c r="AI1014" s="303"/>
      <c r="AK1014" s="31"/>
      <c r="AL1014" s="303"/>
      <c r="AN1014" s="31"/>
      <c r="AO1014" s="303"/>
      <c r="AQ1014" s="31"/>
      <c r="AT1014" s="31"/>
      <c r="AV1014" s="31"/>
    </row>
    <row r="1015" spans="1:48" ht="13.15" x14ac:dyDescent="0.4">
      <c r="A1015" s="430"/>
      <c r="B1015" s="430"/>
      <c r="C1015" s="430"/>
      <c r="D1015" s="430"/>
      <c r="E1015" s="430"/>
      <c r="F1015" s="430"/>
      <c r="G1015" s="430"/>
      <c r="H1015" s="461"/>
      <c r="I1015" s="438"/>
      <c r="J1015" s="438"/>
      <c r="K1015" s="438"/>
      <c r="L1015" s="430"/>
      <c r="M1015" s="430"/>
      <c r="N1015" s="461"/>
      <c r="O1015" s="461"/>
      <c r="Z1015" s="303"/>
      <c r="AB1015" s="31"/>
      <c r="AC1015" s="303"/>
      <c r="AE1015" s="31"/>
      <c r="AF1015" s="303"/>
      <c r="AH1015" s="31"/>
      <c r="AI1015" s="303"/>
      <c r="AK1015" s="31"/>
      <c r="AL1015" s="303"/>
      <c r="AN1015" s="31"/>
      <c r="AO1015" s="303"/>
      <c r="AQ1015" s="31"/>
      <c r="AT1015" s="31"/>
      <c r="AV1015" s="31"/>
    </row>
    <row r="1016" spans="1:48" ht="13.15" x14ac:dyDescent="0.4">
      <c r="A1016" s="430"/>
      <c r="B1016" s="430"/>
      <c r="C1016" s="430"/>
      <c r="D1016" s="430"/>
      <c r="E1016" s="430"/>
      <c r="F1016" s="430"/>
      <c r="G1016" s="430"/>
      <c r="H1016" s="461"/>
      <c r="I1016" s="438"/>
      <c r="J1016" s="438"/>
      <c r="K1016" s="438"/>
      <c r="L1016" s="430"/>
      <c r="M1016" s="430"/>
      <c r="N1016" s="461"/>
      <c r="O1016" s="461"/>
      <c r="Z1016" s="303"/>
      <c r="AB1016" s="31"/>
      <c r="AC1016" s="303"/>
      <c r="AE1016" s="31"/>
      <c r="AF1016" s="303"/>
      <c r="AH1016" s="31"/>
      <c r="AI1016" s="303"/>
      <c r="AK1016" s="31"/>
      <c r="AL1016" s="303"/>
      <c r="AN1016" s="31"/>
      <c r="AO1016" s="303"/>
      <c r="AQ1016" s="31"/>
      <c r="AT1016" s="31"/>
      <c r="AV1016" s="31"/>
    </row>
    <row r="1017" spans="1:48" ht="13.15" x14ac:dyDescent="0.4">
      <c r="A1017" s="430"/>
      <c r="B1017" s="430"/>
      <c r="C1017" s="430"/>
      <c r="D1017" s="430"/>
      <c r="E1017" s="430"/>
      <c r="F1017" s="430"/>
      <c r="G1017" s="430"/>
      <c r="H1017" s="461"/>
      <c r="I1017" s="438"/>
      <c r="J1017" s="438"/>
      <c r="K1017" s="438"/>
      <c r="L1017" s="430"/>
      <c r="M1017" s="430"/>
      <c r="N1017" s="461"/>
      <c r="O1017" s="461"/>
      <c r="Z1017" s="303"/>
      <c r="AB1017" s="31"/>
      <c r="AC1017" s="303"/>
      <c r="AE1017" s="31"/>
      <c r="AF1017" s="303"/>
      <c r="AH1017" s="31"/>
      <c r="AI1017" s="303"/>
      <c r="AK1017" s="31"/>
      <c r="AL1017" s="303"/>
      <c r="AN1017" s="31"/>
      <c r="AO1017" s="303"/>
      <c r="AQ1017" s="31"/>
      <c r="AT1017" s="31"/>
      <c r="AV1017" s="31"/>
    </row>
    <row r="1018" spans="1:48" ht="13.15" x14ac:dyDescent="0.4">
      <c r="A1018" s="430"/>
      <c r="B1018" s="430"/>
      <c r="C1018" s="430"/>
      <c r="D1018" s="430"/>
      <c r="E1018" s="430"/>
      <c r="F1018" s="430"/>
      <c r="G1018" s="430"/>
      <c r="H1018" s="461"/>
      <c r="I1018" s="438"/>
      <c r="J1018" s="438"/>
      <c r="K1018" s="438"/>
      <c r="L1018" s="430"/>
      <c r="M1018" s="430"/>
      <c r="N1018" s="461"/>
      <c r="O1018" s="461"/>
      <c r="Z1018" s="303"/>
      <c r="AB1018" s="31"/>
      <c r="AC1018" s="303"/>
      <c r="AE1018" s="31"/>
      <c r="AF1018" s="303"/>
      <c r="AH1018" s="31"/>
      <c r="AI1018" s="303"/>
      <c r="AK1018" s="31"/>
      <c r="AL1018" s="303"/>
      <c r="AN1018" s="31"/>
      <c r="AO1018" s="303"/>
      <c r="AQ1018" s="31"/>
      <c r="AT1018" s="31"/>
      <c r="AV1018" s="31"/>
    </row>
    <row r="1019" spans="1:48" ht="13.15" x14ac:dyDescent="0.4">
      <c r="A1019" s="430"/>
      <c r="B1019" s="430"/>
      <c r="C1019" s="430"/>
      <c r="D1019" s="430"/>
      <c r="E1019" s="430"/>
      <c r="F1019" s="430"/>
      <c r="G1019" s="430"/>
      <c r="H1019" s="461"/>
      <c r="I1019" s="438"/>
      <c r="J1019" s="438"/>
      <c r="K1019" s="438"/>
      <c r="L1019" s="430"/>
      <c r="M1019" s="430"/>
      <c r="N1019" s="461"/>
      <c r="O1019" s="461"/>
      <c r="Z1019" s="303"/>
      <c r="AB1019" s="31"/>
      <c r="AC1019" s="303"/>
      <c r="AE1019" s="31"/>
      <c r="AF1019" s="303"/>
      <c r="AH1019" s="31"/>
      <c r="AI1019" s="303"/>
      <c r="AK1019" s="31"/>
      <c r="AL1019" s="303"/>
      <c r="AN1019" s="31"/>
      <c r="AO1019" s="303"/>
      <c r="AQ1019" s="31"/>
      <c r="AT1019" s="31"/>
      <c r="AV1019" s="31"/>
    </row>
    <row r="1020" spans="1:48" ht="13.15" x14ac:dyDescent="0.4">
      <c r="A1020" s="430"/>
      <c r="B1020" s="430"/>
      <c r="C1020" s="430"/>
      <c r="D1020" s="430"/>
      <c r="E1020" s="430"/>
      <c r="F1020" s="430"/>
      <c r="G1020" s="430"/>
      <c r="H1020" s="461"/>
      <c r="I1020" s="438"/>
      <c r="J1020" s="438"/>
      <c r="K1020" s="438"/>
      <c r="L1020" s="430"/>
      <c r="M1020" s="430"/>
      <c r="N1020" s="461"/>
      <c r="O1020" s="461"/>
      <c r="Z1020" s="303"/>
      <c r="AB1020" s="31"/>
      <c r="AC1020" s="303"/>
      <c r="AE1020" s="31"/>
      <c r="AF1020" s="303"/>
      <c r="AH1020" s="31"/>
      <c r="AI1020" s="303"/>
      <c r="AK1020" s="31"/>
      <c r="AL1020" s="303"/>
      <c r="AN1020" s="31"/>
      <c r="AO1020" s="303"/>
      <c r="AQ1020" s="31"/>
      <c r="AT1020" s="31"/>
      <c r="AV1020" s="31"/>
    </row>
    <row r="1021" spans="1:48" ht="13.15" x14ac:dyDescent="0.4">
      <c r="A1021" s="430"/>
      <c r="B1021" s="430"/>
      <c r="C1021" s="430"/>
      <c r="D1021" s="430"/>
      <c r="E1021" s="430"/>
      <c r="F1021" s="430"/>
      <c r="G1021" s="430"/>
      <c r="H1021" s="461"/>
      <c r="I1021" s="438"/>
      <c r="J1021" s="438"/>
      <c r="K1021" s="438"/>
      <c r="L1021" s="430"/>
      <c r="M1021" s="430"/>
      <c r="N1021" s="461"/>
      <c r="O1021" s="461"/>
      <c r="Z1021" s="303"/>
      <c r="AB1021" s="31"/>
      <c r="AC1021" s="303"/>
      <c r="AE1021" s="31"/>
      <c r="AF1021" s="303"/>
      <c r="AH1021" s="31"/>
      <c r="AI1021" s="303"/>
      <c r="AK1021" s="31"/>
      <c r="AL1021" s="303"/>
      <c r="AN1021" s="31"/>
      <c r="AO1021" s="303"/>
      <c r="AQ1021" s="31"/>
      <c r="AT1021" s="31"/>
      <c r="AV1021" s="31"/>
    </row>
    <row r="1022" spans="1:48" ht="13.15" x14ac:dyDescent="0.4">
      <c r="A1022" s="430"/>
      <c r="B1022" s="430"/>
      <c r="C1022" s="430"/>
      <c r="D1022" s="430"/>
      <c r="E1022" s="430"/>
      <c r="F1022" s="430"/>
      <c r="G1022" s="430"/>
      <c r="H1022" s="461"/>
      <c r="I1022" s="438"/>
      <c r="J1022" s="438"/>
      <c r="K1022" s="438"/>
      <c r="L1022" s="430"/>
      <c r="M1022" s="430"/>
      <c r="N1022" s="461"/>
      <c r="O1022" s="461"/>
      <c r="Z1022" s="303"/>
      <c r="AB1022" s="31"/>
      <c r="AC1022" s="303"/>
      <c r="AE1022" s="31"/>
      <c r="AF1022" s="303"/>
      <c r="AH1022" s="31"/>
      <c r="AI1022" s="303"/>
      <c r="AK1022" s="31"/>
      <c r="AL1022" s="303"/>
      <c r="AN1022" s="31"/>
      <c r="AO1022" s="303"/>
      <c r="AQ1022" s="31"/>
      <c r="AT1022" s="31"/>
      <c r="AV1022" s="31"/>
    </row>
    <row r="1023" spans="1:48" ht="13.15" x14ac:dyDescent="0.4">
      <c r="A1023" s="430"/>
      <c r="B1023" s="430"/>
      <c r="C1023" s="430"/>
      <c r="D1023" s="430"/>
      <c r="E1023" s="430"/>
      <c r="F1023" s="430"/>
      <c r="G1023" s="430"/>
      <c r="H1023" s="461"/>
      <c r="I1023" s="438"/>
      <c r="J1023" s="438"/>
      <c r="K1023" s="438"/>
      <c r="L1023" s="430"/>
      <c r="M1023" s="430"/>
      <c r="N1023" s="461"/>
      <c r="O1023" s="461"/>
      <c r="Z1023" s="303"/>
      <c r="AB1023" s="31"/>
      <c r="AC1023" s="303"/>
      <c r="AE1023" s="31"/>
      <c r="AF1023" s="303"/>
      <c r="AH1023" s="31"/>
      <c r="AI1023" s="303"/>
      <c r="AK1023" s="31"/>
      <c r="AL1023" s="303"/>
      <c r="AN1023" s="31"/>
      <c r="AO1023" s="303"/>
      <c r="AQ1023" s="31"/>
      <c r="AT1023" s="31"/>
      <c r="AV1023" s="31"/>
    </row>
    <row r="1024" spans="1:48" ht="13.15" x14ac:dyDescent="0.4">
      <c r="A1024" s="430"/>
      <c r="B1024" s="430"/>
      <c r="C1024" s="430"/>
      <c r="D1024" s="430"/>
      <c r="E1024" s="430"/>
      <c r="F1024" s="430"/>
      <c r="G1024" s="430"/>
      <c r="H1024" s="461"/>
      <c r="I1024" s="438"/>
      <c r="J1024" s="438"/>
      <c r="K1024" s="438"/>
      <c r="L1024" s="430"/>
      <c r="M1024" s="430"/>
      <c r="N1024" s="461"/>
      <c r="O1024" s="461"/>
      <c r="Z1024" s="303"/>
      <c r="AB1024" s="31"/>
      <c r="AC1024" s="303"/>
      <c r="AE1024" s="31"/>
      <c r="AF1024" s="303"/>
      <c r="AH1024" s="31"/>
      <c r="AI1024" s="303"/>
      <c r="AK1024" s="31"/>
      <c r="AL1024" s="303"/>
      <c r="AN1024" s="31"/>
      <c r="AO1024" s="303"/>
      <c r="AQ1024" s="31"/>
      <c r="AT1024" s="31"/>
      <c r="AV1024" s="31"/>
    </row>
    <row r="1025" spans="1:48" ht="13.15" x14ac:dyDescent="0.4">
      <c r="A1025" s="430"/>
      <c r="B1025" s="430"/>
      <c r="C1025" s="430"/>
      <c r="D1025" s="430"/>
      <c r="E1025" s="430"/>
      <c r="F1025" s="430"/>
      <c r="G1025" s="430"/>
      <c r="H1025" s="461"/>
      <c r="I1025" s="438"/>
      <c r="J1025" s="438"/>
      <c r="K1025" s="438"/>
      <c r="L1025" s="430"/>
      <c r="M1025" s="430"/>
      <c r="N1025" s="461"/>
      <c r="O1025" s="461"/>
      <c r="Z1025" s="303"/>
      <c r="AB1025" s="31"/>
      <c r="AC1025" s="303"/>
      <c r="AE1025" s="31"/>
      <c r="AF1025" s="303"/>
      <c r="AH1025" s="31"/>
      <c r="AI1025" s="303"/>
      <c r="AK1025" s="31"/>
      <c r="AL1025" s="303"/>
      <c r="AN1025" s="31"/>
      <c r="AO1025" s="303"/>
      <c r="AQ1025" s="31"/>
      <c r="AT1025" s="31"/>
      <c r="AV1025" s="31"/>
    </row>
    <row r="1026" spans="1:48" ht="13.15" x14ac:dyDescent="0.4">
      <c r="A1026" s="430"/>
      <c r="B1026" s="430"/>
      <c r="C1026" s="430"/>
      <c r="D1026" s="430"/>
      <c r="E1026" s="430"/>
      <c r="F1026" s="430"/>
      <c r="G1026" s="430"/>
      <c r="H1026" s="461"/>
      <c r="I1026" s="438"/>
      <c r="J1026" s="438"/>
      <c r="K1026" s="438"/>
      <c r="L1026" s="430"/>
      <c r="M1026" s="430"/>
      <c r="N1026" s="461"/>
      <c r="O1026" s="461"/>
      <c r="Z1026" s="303"/>
      <c r="AB1026" s="31"/>
      <c r="AC1026" s="303"/>
      <c r="AE1026" s="31"/>
      <c r="AF1026" s="303"/>
      <c r="AH1026" s="31"/>
      <c r="AI1026" s="303"/>
      <c r="AK1026" s="31"/>
      <c r="AL1026" s="303"/>
      <c r="AN1026" s="31"/>
      <c r="AO1026" s="303"/>
      <c r="AQ1026" s="31"/>
      <c r="AT1026" s="31"/>
      <c r="AV1026" s="31"/>
    </row>
    <row r="1027" spans="1:48" ht="13.15" x14ac:dyDescent="0.4">
      <c r="A1027" s="430"/>
      <c r="B1027" s="430"/>
      <c r="C1027" s="430"/>
      <c r="D1027" s="430"/>
      <c r="E1027" s="430"/>
      <c r="F1027" s="430"/>
      <c r="G1027" s="430"/>
      <c r="H1027" s="461"/>
      <c r="I1027" s="438"/>
      <c r="J1027" s="438"/>
      <c r="K1027" s="438"/>
      <c r="L1027" s="430"/>
      <c r="M1027" s="430"/>
      <c r="N1027" s="461"/>
      <c r="O1027" s="461"/>
      <c r="Z1027" s="303"/>
      <c r="AB1027" s="31"/>
      <c r="AC1027" s="303"/>
      <c r="AE1027" s="31"/>
      <c r="AF1027" s="303"/>
      <c r="AH1027" s="31"/>
      <c r="AI1027" s="303"/>
      <c r="AK1027" s="31"/>
      <c r="AL1027" s="303"/>
      <c r="AN1027" s="31"/>
      <c r="AO1027" s="303"/>
      <c r="AQ1027" s="31"/>
      <c r="AT1027" s="31"/>
      <c r="AV1027" s="31"/>
    </row>
    <row r="1028" spans="1:48" ht="13.15" x14ac:dyDescent="0.4">
      <c r="A1028" s="430"/>
      <c r="B1028" s="430"/>
      <c r="C1028" s="430"/>
      <c r="D1028" s="430"/>
      <c r="E1028" s="430"/>
      <c r="F1028" s="430"/>
      <c r="G1028" s="430"/>
      <c r="H1028" s="461"/>
      <c r="I1028" s="438"/>
      <c r="J1028" s="438"/>
      <c r="K1028" s="438"/>
      <c r="L1028" s="430"/>
      <c r="M1028" s="430"/>
      <c r="N1028" s="461"/>
      <c r="O1028" s="461"/>
      <c r="Z1028" s="303"/>
      <c r="AB1028" s="31"/>
      <c r="AC1028" s="303"/>
      <c r="AE1028" s="31"/>
      <c r="AF1028" s="303"/>
      <c r="AH1028" s="31"/>
      <c r="AI1028" s="303"/>
      <c r="AK1028" s="31"/>
      <c r="AL1028" s="303"/>
      <c r="AN1028" s="31"/>
      <c r="AO1028" s="303"/>
      <c r="AQ1028" s="31"/>
      <c r="AT1028" s="31"/>
      <c r="AV1028" s="31"/>
    </row>
    <row r="1029" spans="1:48" ht="13.15" x14ac:dyDescent="0.4">
      <c r="A1029" s="430"/>
      <c r="B1029" s="430"/>
      <c r="C1029" s="430"/>
      <c r="D1029" s="430"/>
      <c r="E1029" s="430"/>
      <c r="F1029" s="430"/>
      <c r="G1029" s="430"/>
      <c r="H1029" s="461"/>
      <c r="I1029" s="438"/>
      <c r="J1029" s="438"/>
      <c r="K1029" s="438"/>
      <c r="L1029" s="430"/>
      <c r="M1029" s="430"/>
      <c r="N1029" s="461"/>
      <c r="O1029" s="461"/>
      <c r="Z1029" s="303"/>
      <c r="AB1029" s="31"/>
      <c r="AC1029" s="303"/>
      <c r="AE1029" s="31"/>
      <c r="AF1029" s="303"/>
      <c r="AH1029" s="31"/>
      <c r="AI1029" s="303"/>
      <c r="AK1029" s="31"/>
      <c r="AL1029" s="303"/>
      <c r="AN1029" s="31"/>
      <c r="AO1029" s="303"/>
      <c r="AQ1029" s="31"/>
      <c r="AT1029" s="31"/>
      <c r="AV1029" s="31"/>
    </row>
    <row r="1030" spans="1:48" ht="13.15" x14ac:dyDescent="0.4">
      <c r="A1030" s="430"/>
      <c r="B1030" s="430"/>
      <c r="C1030" s="430"/>
      <c r="D1030" s="430"/>
      <c r="E1030" s="430"/>
      <c r="F1030" s="430"/>
      <c r="G1030" s="430"/>
      <c r="H1030" s="461"/>
      <c r="I1030" s="438"/>
      <c r="J1030" s="438"/>
      <c r="K1030" s="438"/>
      <c r="L1030" s="430"/>
      <c r="M1030" s="430"/>
      <c r="N1030" s="461"/>
      <c r="O1030" s="461"/>
      <c r="Z1030" s="303"/>
      <c r="AB1030" s="31"/>
      <c r="AC1030" s="303"/>
      <c r="AE1030" s="31"/>
      <c r="AF1030" s="303"/>
      <c r="AH1030" s="31"/>
      <c r="AI1030" s="303"/>
      <c r="AK1030" s="31"/>
      <c r="AL1030" s="303"/>
      <c r="AN1030" s="31"/>
      <c r="AO1030" s="303"/>
      <c r="AQ1030" s="31"/>
      <c r="AT1030" s="31"/>
      <c r="AV1030" s="31"/>
    </row>
    <row r="1031" spans="1:48" ht="13.15" x14ac:dyDescent="0.4">
      <c r="A1031" s="430"/>
      <c r="B1031" s="430"/>
      <c r="C1031" s="430"/>
      <c r="D1031" s="430"/>
      <c r="E1031" s="430"/>
      <c r="F1031" s="430"/>
      <c r="G1031" s="430"/>
      <c r="H1031" s="461"/>
      <c r="I1031" s="438"/>
      <c r="J1031" s="438"/>
      <c r="K1031" s="438"/>
      <c r="L1031" s="430"/>
      <c r="M1031" s="430"/>
      <c r="N1031" s="461"/>
      <c r="O1031" s="461"/>
      <c r="Z1031" s="303"/>
      <c r="AB1031" s="31"/>
      <c r="AC1031" s="303"/>
      <c r="AE1031" s="31"/>
      <c r="AF1031" s="303"/>
      <c r="AH1031" s="31"/>
      <c r="AI1031" s="303"/>
      <c r="AK1031" s="31"/>
      <c r="AL1031" s="303"/>
      <c r="AN1031" s="31"/>
      <c r="AO1031" s="303"/>
      <c r="AQ1031" s="31"/>
      <c r="AT1031" s="31"/>
      <c r="AV1031" s="31"/>
    </row>
    <row r="1032" spans="1:48" ht="13.15" x14ac:dyDescent="0.4">
      <c r="A1032" s="430"/>
      <c r="B1032" s="430"/>
      <c r="C1032" s="430"/>
      <c r="D1032" s="430"/>
      <c r="E1032" s="430"/>
      <c r="F1032" s="430"/>
      <c r="G1032" s="430"/>
      <c r="H1032" s="461"/>
      <c r="I1032" s="438"/>
      <c r="J1032" s="438"/>
      <c r="K1032" s="438"/>
      <c r="L1032" s="430"/>
      <c r="M1032" s="430"/>
      <c r="N1032" s="461"/>
      <c r="O1032" s="461"/>
      <c r="Z1032" s="303"/>
      <c r="AB1032" s="31"/>
      <c r="AC1032" s="303"/>
      <c r="AE1032" s="31"/>
      <c r="AF1032" s="303"/>
      <c r="AH1032" s="31"/>
      <c r="AI1032" s="303"/>
      <c r="AK1032" s="31"/>
      <c r="AL1032" s="303"/>
      <c r="AN1032" s="31"/>
      <c r="AO1032" s="303"/>
      <c r="AQ1032" s="31"/>
      <c r="AT1032" s="31"/>
      <c r="AV1032" s="31"/>
    </row>
  </sheetData>
  <customSheetViews>
    <customSheetView guid="{71E13C1F-9FB8-40E6-BBC6-A305E02BCF5C}" filter="1" showAutoFilter="1">
      <pageMargins left="0.7" right="0.7" top="0.75" bottom="0.75" header="0.3" footer="0.3"/>
      <autoFilter ref="A1:P315" xr:uid="{472705E7-C8B7-4935-BA5E-B30C813A4F68}"/>
    </customSheetView>
    <customSheetView guid="{54A0920C-32A2-46BD-A896-61CC7711F9C5}" filter="1" showAutoFilter="1">
      <pageMargins left="0.7" right="0.7" top="0.75" bottom="0.75" header="0.3" footer="0.3"/>
      <autoFilter ref="A1:P191" xr:uid="{B17611DC-9761-4811-8063-8248E1A4C15F}"/>
    </customSheetView>
  </customSheetViews>
  <hyperlinks>
    <hyperlink ref="A82" r:id="rId1" xr:uid="{00000000-0004-0000-2A00-000000000000}"/>
    <hyperlink ref="A83" r:id="rId2" xr:uid="{00000000-0004-0000-2A00-000001000000}"/>
    <hyperlink ref="A85" r:id="rId3" xr:uid="{00000000-0004-0000-2A00-000002000000}"/>
    <hyperlink ref="A86" r:id="rId4" xr:uid="{00000000-0004-0000-2A00-000003000000}"/>
    <hyperlink ref="A87" r:id="rId5" xr:uid="{00000000-0004-0000-2A00-000004000000}"/>
    <hyperlink ref="A88" r:id="rId6" xr:uid="{00000000-0004-0000-2A00-000005000000}"/>
    <hyperlink ref="A89" r:id="rId7" xr:uid="{00000000-0004-0000-2A00-000006000000}"/>
    <hyperlink ref="A92" r:id="rId8" xr:uid="{00000000-0004-0000-2A00-000007000000}"/>
    <hyperlink ref="A93" r:id="rId9" xr:uid="{00000000-0004-0000-2A00-000008000000}"/>
    <hyperlink ref="A94" r:id="rId10" xr:uid="{00000000-0004-0000-2A00-000009000000}"/>
    <hyperlink ref="A95" r:id="rId11" xr:uid="{00000000-0004-0000-2A00-00000A000000}"/>
    <hyperlink ref="A96" r:id="rId12" xr:uid="{00000000-0004-0000-2A00-00000B000000}"/>
    <hyperlink ref="A97" r:id="rId13" xr:uid="{00000000-0004-0000-2A00-00000C000000}"/>
    <hyperlink ref="A98" r:id="rId14" xr:uid="{00000000-0004-0000-2A00-00000D000000}"/>
    <hyperlink ref="A99" r:id="rId15" xr:uid="{00000000-0004-0000-2A00-00000E000000}"/>
    <hyperlink ref="A100" r:id="rId16" xr:uid="{00000000-0004-0000-2A00-00000F000000}"/>
    <hyperlink ref="A101" r:id="rId17" xr:uid="{00000000-0004-0000-2A00-000010000000}"/>
    <hyperlink ref="A102" r:id="rId18" xr:uid="{00000000-0004-0000-2A00-000011000000}"/>
    <hyperlink ref="A103" r:id="rId19" xr:uid="{00000000-0004-0000-2A00-000012000000}"/>
    <hyperlink ref="A104" r:id="rId20" xr:uid="{00000000-0004-0000-2A00-000013000000}"/>
    <hyperlink ref="A105" r:id="rId21" xr:uid="{00000000-0004-0000-2A00-000014000000}"/>
    <hyperlink ref="A106" r:id="rId22" xr:uid="{00000000-0004-0000-2A00-000015000000}"/>
    <hyperlink ref="A107" r:id="rId23" xr:uid="{00000000-0004-0000-2A00-000016000000}"/>
    <hyperlink ref="A108" r:id="rId24" xr:uid="{00000000-0004-0000-2A00-000017000000}"/>
    <hyperlink ref="A109" r:id="rId25" xr:uid="{00000000-0004-0000-2A00-000018000000}"/>
    <hyperlink ref="A110" r:id="rId26" xr:uid="{00000000-0004-0000-2A00-000019000000}"/>
    <hyperlink ref="A111" r:id="rId27" xr:uid="{00000000-0004-0000-2A00-00001A000000}"/>
    <hyperlink ref="A112" r:id="rId28" xr:uid="{00000000-0004-0000-2A00-00001B000000}"/>
    <hyperlink ref="A113" r:id="rId29" xr:uid="{00000000-0004-0000-2A00-00001C000000}"/>
    <hyperlink ref="A114" r:id="rId30" xr:uid="{00000000-0004-0000-2A00-00001D000000}"/>
    <hyperlink ref="A115" r:id="rId31" xr:uid="{00000000-0004-0000-2A00-00001E000000}"/>
    <hyperlink ref="A116" r:id="rId32" xr:uid="{00000000-0004-0000-2A00-00001F000000}"/>
    <hyperlink ref="A117" r:id="rId33" xr:uid="{00000000-0004-0000-2A00-000020000000}"/>
    <hyperlink ref="A118" r:id="rId34" xr:uid="{00000000-0004-0000-2A00-000021000000}"/>
    <hyperlink ref="A121" r:id="rId35" xr:uid="{00000000-0004-0000-2A00-000022000000}"/>
    <hyperlink ref="A122" r:id="rId36" xr:uid="{00000000-0004-0000-2A00-000023000000}"/>
    <hyperlink ref="A123" r:id="rId37" xr:uid="{00000000-0004-0000-2A00-000024000000}"/>
    <hyperlink ref="A124" r:id="rId38" xr:uid="{00000000-0004-0000-2A00-000025000000}"/>
    <hyperlink ref="A125" r:id="rId39" xr:uid="{00000000-0004-0000-2A00-000026000000}"/>
    <hyperlink ref="A126" r:id="rId40" xr:uid="{00000000-0004-0000-2A00-000027000000}"/>
    <hyperlink ref="A133" r:id="rId41" xr:uid="{00000000-0004-0000-2A00-000028000000}"/>
    <hyperlink ref="A134" r:id="rId42" xr:uid="{00000000-0004-0000-2A00-000029000000}"/>
    <hyperlink ref="A135" r:id="rId43" xr:uid="{00000000-0004-0000-2A00-00002A000000}"/>
    <hyperlink ref="A136" r:id="rId44" xr:uid="{00000000-0004-0000-2A00-00002B000000}"/>
    <hyperlink ref="A137" r:id="rId45" xr:uid="{00000000-0004-0000-2A00-00002C000000}"/>
    <hyperlink ref="A138" r:id="rId46" xr:uid="{00000000-0004-0000-2A00-00002D000000}"/>
    <hyperlink ref="A139" r:id="rId47" xr:uid="{00000000-0004-0000-2A00-00002E000000}"/>
    <hyperlink ref="A141" r:id="rId48" xr:uid="{00000000-0004-0000-2A00-00002F000000}"/>
    <hyperlink ref="A142" r:id="rId49" xr:uid="{00000000-0004-0000-2A00-000030000000}"/>
    <hyperlink ref="A143" r:id="rId50" xr:uid="{00000000-0004-0000-2A00-000031000000}"/>
    <hyperlink ref="A144" r:id="rId51" xr:uid="{00000000-0004-0000-2A00-000032000000}"/>
    <hyperlink ref="A145" r:id="rId52" xr:uid="{00000000-0004-0000-2A00-000033000000}"/>
    <hyperlink ref="A146" r:id="rId53" xr:uid="{00000000-0004-0000-2A00-000034000000}"/>
    <hyperlink ref="A147" r:id="rId54" xr:uid="{00000000-0004-0000-2A00-000035000000}"/>
    <hyperlink ref="A149" r:id="rId55" xr:uid="{00000000-0004-0000-2A00-000036000000}"/>
    <hyperlink ref="A150" r:id="rId56" xr:uid="{00000000-0004-0000-2A00-000037000000}"/>
    <hyperlink ref="A151" r:id="rId57" xr:uid="{00000000-0004-0000-2A00-000038000000}"/>
    <hyperlink ref="A152" r:id="rId58" xr:uid="{00000000-0004-0000-2A00-000039000000}"/>
    <hyperlink ref="A154" r:id="rId59" xr:uid="{00000000-0004-0000-2A00-00003A000000}"/>
    <hyperlink ref="A155" r:id="rId60" xr:uid="{00000000-0004-0000-2A00-00003B000000}"/>
    <hyperlink ref="A156" r:id="rId61" xr:uid="{00000000-0004-0000-2A00-00003C000000}"/>
    <hyperlink ref="A157" r:id="rId62" xr:uid="{00000000-0004-0000-2A00-00003D000000}"/>
    <hyperlink ref="A158" r:id="rId63" xr:uid="{00000000-0004-0000-2A00-00003E000000}"/>
    <hyperlink ref="A159" r:id="rId64" xr:uid="{00000000-0004-0000-2A00-00003F000000}"/>
    <hyperlink ref="A160" r:id="rId65" xr:uid="{00000000-0004-0000-2A00-000040000000}"/>
    <hyperlink ref="A161" r:id="rId66" xr:uid="{00000000-0004-0000-2A00-000041000000}"/>
    <hyperlink ref="A162" r:id="rId67" xr:uid="{00000000-0004-0000-2A00-000042000000}"/>
    <hyperlink ref="A164" r:id="rId68" xr:uid="{00000000-0004-0000-2A00-000043000000}"/>
    <hyperlink ref="A168" r:id="rId69" xr:uid="{00000000-0004-0000-2A00-000044000000}"/>
    <hyperlink ref="A169" r:id="rId70" xr:uid="{00000000-0004-0000-2A00-000045000000}"/>
    <hyperlink ref="A170" r:id="rId71" xr:uid="{00000000-0004-0000-2A00-000046000000}"/>
    <hyperlink ref="A171" r:id="rId72" xr:uid="{00000000-0004-0000-2A00-000047000000}"/>
    <hyperlink ref="A172" r:id="rId73" xr:uid="{00000000-0004-0000-2A00-000048000000}"/>
    <hyperlink ref="A173" r:id="rId74" xr:uid="{00000000-0004-0000-2A00-000049000000}"/>
    <hyperlink ref="A175" r:id="rId75" xr:uid="{00000000-0004-0000-2A00-00004A000000}"/>
    <hyperlink ref="A176" r:id="rId76" xr:uid="{00000000-0004-0000-2A00-00004B000000}"/>
    <hyperlink ref="A177" r:id="rId77" xr:uid="{00000000-0004-0000-2A00-00004C000000}"/>
    <hyperlink ref="A179" r:id="rId78" xr:uid="{00000000-0004-0000-2A00-00004D000000}"/>
    <hyperlink ref="A180" r:id="rId79" xr:uid="{00000000-0004-0000-2A00-00004E000000}"/>
    <hyperlink ref="A181" r:id="rId80" xr:uid="{00000000-0004-0000-2A00-00004F000000}"/>
    <hyperlink ref="A182" r:id="rId81" xr:uid="{00000000-0004-0000-2A00-000050000000}"/>
    <hyperlink ref="A183" r:id="rId82" xr:uid="{00000000-0004-0000-2A00-000051000000}"/>
    <hyperlink ref="A184" r:id="rId83" xr:uid="{00000000-0004-0000-2A00-000052000000}"/>
    <hyperlink ref="A185" r:id="rId84" xr:uid="{00000000-0004-0000-2A00-000053000000}"/>
    <hyperlink ref="A186" r:id="rId85" xr:uid="{00000000-0004-0000-2A00-000054000000}"/>
    <hyperlink ref="A187" r:id="rId86" xr:uid="{00000000-0004-0000-2A00-000055000000}"/>
    <hyperlink ref="A188" r:id="rId87" xr:uid="{00000000-0004-0000-2A00-000056000000}"/>
    <hyperlink ref="A190" r:id="rId88" xr:uid="{00000000-0004-0000-2A00-000057000000}"/>
    <hyperlink ref="A191" r:id="rId89" xr:uid="{00000000-0004-0000-2A00-000058000000}"/>
    <hyperlink ref="A192" r:id="rId90" location="/results?id=3700111446" xr:uid="{00000000-0004-0000-2A00-000059000000}"/>
    <hyperlink ref="A195" r:id="rId91" xr:uid="{00000000-0004-0000-2A00-00005A000000}"/>
    <hyperlink ref="A196" r:id="rId92" xr:uid="{00000000-0004-0000-2A00-00005B000000}"/>
    <hyperlink ref="A197" r:id="rId93" xr:uid="{00000000-0004-0000-2A00-00005C000000}"/>
    <hyperlink ref="A198" r:id="rId94" xr:uid="{00000000-0004-0000-2A00-00005D000000}"/>
    <hyperlink ref="A199" r:id="rId95" xr:uid="{00000000-0004-0000-2A00-00005E000000}"/>
    <hyperlink ref="A200" r:id="rId96" xr:uid="{00000000-0004-0000-2A00-00005F000000}"/>
    <hyperlink ref="A201" r:id="rId97" xr:uid="{00000000-0004-0000-2A00-000060000000}"/>
    <hyperlink ref="A202" r:id="rId98" xr:uid="{00000000-0004-0000-2A00-000061000000}"/>
    <hyperlink ref="A203" r:id="rId99" xr:uid="{00000000-0004-0000-2A00-000062000000}"/>
    <hyperlink ref="A204" r:id="rId100" xr:uid="{00000000-0004-0000-2A00-000063000000}"/>
    <hyperlink ref="A205" r:id="rId101" xr:uid="{00000000-0004-0000-2A00-000064000000}"/>
    <hyperlink ref="A206" r:id="rId102" xr:uid="{00000000-0004-0000-2A00-000065000000}"/>
    <hyperlink ref="A207" r:id="rId103" xr:uid="{00000000-0004-0000-2A00-000066000000}"/>
    <hyperlink ref="A208" r:id="rId104" xr:uid="{00000000-0004-0000-2A00-000067000000}"/>
    <hyperlink ref="A209" r:id="rId105" xr:uid="{00000000-0004-0000-2A00-000068000000}"/>
    <hyperlink ref="A210" r:id="rId106" xr:uid="{00000000-0004-0000-2A00-000069000000}"/>
    <hyperlink ref="A211" r:id="rId107" xr:uid="{00000000-0004-0000-2A00-00006A000000}"/>
    <hyperlink ref="A212" r:id="rId108" xr:uid="{00000000-0004-0000-2A00-00006B000000}"/>
    <hyperlink ref="A213" r:id="rId109" xr:uid="{00000000-0004-0000-2A00-00006C000000}"/>
    <hyperlink ref="A214" r:id="rId110" xr:uid="{00000000-0004-0000-2A00-00006D000000}"/>
    <hyperlink ref="A215" r:id="rId111" xr:uid="{00000000-0004-0000-2A00-00006E000000}"/>
    <hyperlink ref="A216" r:id="rId112" xr:uid="{00000000-0004-0000-2A00-00006F000000}"/>
    <hyperlink ref="A217" r:id="rId113" xr:uid="{00000000-0004-0000-2A00-000070000000}"/>
    <hyperlink ref="A218" r:id="rId114" xr:uid="{00000000-0004-0000-2A00-000071000000}"/>
    <hyperlink ref="A219" r:id="rId115" xr:uid="{00000000-0004-0000-2A00-000072000000}"/>
    <hyperlink ref="A220" r:id="rId116" xr:uid="{00000000-0004-0000-2A00-000073000000}"/>
    <hyperlink ref="A221" r:id="rId117" xr:uid="{00000000-0004-0000-2A00-000074000000}"/>
    <hyperlink ref="A222" r:id="rId118" xr:uid="{00000000-0004-0000-2A00-000075000000}"/>
    <hyperlink ref="A225" r:id="rId119" xr:uid="{00000000-0004-0000-2A00-000076000000}"/>
    <hyperlink ref="A226" r:id="rId120" xr:uid="{00000000-0004-0000-2A00-000077000000}"/>
    <hyperlink ref="A227" r:id="rId121" xr:uid="{00000000-0004-0000-2A00-000078000000}"/>
    <hyperlink ref="A228" r:id="rId122" xr:uid="{00000000-0004-0000-2A00-000079000000}"/>
    <hyperlink ref="A229" r:id="rId123" xr:uid="{00000000-0004-0000-2A00-00007A000000}"/>
    <hyperlink ref="A230" r:id="rId124" xr:uid="{00000000-0004-0000-2A00-00007B000000}"/>
    <hyperlink ref="A231" r:id="rId125" xr:uid="{00000000-0004-0000-2A00-00007C000000}"/>
    <hyperlink ref="A232" r:id="rId126" xr:uid="{00000000-0004-0000-2A00-00007D000000}"/>
    <hyperlink ref="A233" r:id="rId127" xr:uid="{00000000-0004-0000-2A00-00007E000000}"/>
    <hyperlink ref="A234" r:id="rId128" xr:uid="{00000000-0004-0000-2A00-00007F000000}"/>
    <hyperlink ref="A235" r:id="rId129" xr:uid="{00000000-0004-0000-2A00-000080000000}"/>
    <hyperlink ref="A236" r:id="rId130" xr:uid="{00000000-0004-0000-2A00-000081000000}"/>
    <hyperlink ref="A237" r:id="rId131" xr:uid="{00000000-0004-0000-2A00-000082000000}"/>
    <hyperlink ref="A238" r:id="rId132" xr:uid="{00000000-0004-0000-2A00-000083000000}"/>
    <hyperlink ref="A239" r:id="rId133" xr:uid="{00000000-0004-0000-2A00-000084000000}"/>
    <hyperlink ref="A240" r:id="rId134" xr:uid="{00000000-0004-0000-2A00-000085000000}"/>
    <hyperlink ref="A241" r:id="rId135" xr:uid="{00000000-0004-0000-2A00-000086000000}"/>
    <hyperlink ref="A242" r:id="rId136" xr:uid="{00000000-0004-0000-2A00-000087000000}"/>
    <hyperlink ref="A243" r:id="rId137" xr:uid="{00000000-0004-0000-2A00-000088000000}"/>
    <hyperlink ref="A244" r:id="rId138" xr:uid="{00000000-0004-0000-2A00-000089000000}"/>
    <hyperlink ref="A245" r:id="rId139" xr:uid="{00000000-0004-0000-2A00-00008A000000}"/>
    <hyperlink ref="A246" r:id="rId140" xr:uid="{00000000-0004-0000-2A00-00008B000000}"/>
    <hyperlink ref="A247" r:id="rId141" xr:uid="{00000000-0004-0000-2A00-00008C000000}"/>
    <hyperlink ref="A248" r:id="rId142" xr:uid="{00000000-0004-0000-2A00-00008D000000}"/>
    <hyperlink ref="A249" r:id="rId143" xr:uid="{00000000-0004-0000-2A00-00008E000000}"/>
    <hyperlink ref="A250" r:id="rId144" xr:uid="{00000000-0004-0000-2A00-00008F000000}"/>
    <hyperlink ref="A251" r:id="rId145" xr:uid="{00000000-0004-0000-2A00-000090000000}"/>
    <hyperlink ref="A252" r:id="rId146" xr:uid="{00000000-0004-0000-2A00-000091000000}"/>
    <hyperlink ref="A253" r:id="rId147" xr:uid="{00000000-0004-0000-2A00-000092000000}"/>
    <hyperlink ref="A254" r:id="rId148" xr:uid="{00000000-0004-0000-2A00-000093000000}"/>
    <hyperlink ref="A255" r:id="rId149" xr:uid="{00000000-0004-0000-2A00-000094000000}"/>
    <hyperlink ref="A256" r:id="rId150" xr:uid="{00000000-0004-0000-2A00-000095000000}"/>
    <hyperlink ref="A257" r:id="rId151" xr:uid="{00000000-0004-0000-2A00-000096000000}"/>
    <hyperlink ref="A258" r:id="rId152" xr:uid="{00000000-0004-0000-2A00-000097000000}"/>
    <hyperlink ref="A259" r:id="rId153" xr:uid="{00000000-0004-0000-2A00-000098000000}"/>
    <hyperlink ref="A260" r:id="rId154" xr:uid="{00000000-0004-0000-2A00-000099000000}"/>
    <hyperlink ref="A261" r:id="rId155" xr:uid="{00000000-0004-0000-2A00-00009A000000}"/>
    <hyperlink ref="A262" r:id="rId156" xr:uid="{00000000-0004-0000-2A00-00009B000000}"/>
    <hyperlink ref="A263" r:id="rId157" xr:uid="{00000000-0004-0000-2A00-00009C000000}"/>
    <hyperlink ref="A264" r:id="rId158" xr:uid="{00000000-0004-0000-2A00-00009D000000}"/>
    <hyperlink ref="A265" r:id="rId159" xr:uid="{00000000-0004-0000-2A00-00009E000000}"/>
    <hyperlink ref="A266" r:id="rId160" xr:uid="{00000000-0004-0000-2A00-00009F000000}"/>
    <hyperlink ref="A267" r:id="rId161" xr:uid="{00000000-0004-0000-2A00-0000A0000000}"/>
    <hyperlink ref="A268" r:id="rId162" xr:uid="{00000000-0004-0000-2A00-0000A1000000}"/>
    <hyperlink ref="A269" r:id="rId163" xr:uid="{00000000-0004-0000-2A00-0000A2000000}"/>
    <hyperlink ref="A270" r:id="rId164" xr:uid="{00000000-0004-0000-2A00-0000A3000000}"/>
    <hyperlink ref="A271" r:id="rId165" xr:uid="{00000000-0004-0000-2A00-0000A4000000}"/>
    <hyperlink ref="A272" r:id="rId166" xr:uid="{00000000-0004-0000-2A00-0000A5000000}"/>
    <hyperlink ref="A273" r:id="rId167" xr:uid="{00000000-0004-0000-2A00-0000A6000000}"/>
    <hyperlink ref="A274" r:id="rId168" xr:uid="{00000000-0004-0000-2A00-0000A7000000}"/>
    <hyperlink ref="A275" r:id="rId169" xr:uid="{00000000-0004-0000-2A00-0000A8000000}"/>
    <hyperlink ref="A276" r:id="rId170" xr:uid="{00000000-0004-0000-2A00-0000A9000000}"/>
    <hyperlink ref="A277" r:id="rId171" xr:uid="{00000000-0004-0000-2A00-0000AA000000}"/>
    <hyperlink ref="A278" r:id="rId172" xr:uid="{00000000-0004-0000-2A00-0000AB000000}"/>
    <hyperlink ref="A279" r:id="rId173" xr:uid="{00000000-0004-0000-2A00-0000AC000000}"/>
    <hyperlink ref="A280" r:id="rId174" xr:uid="{00000000-0004-0000-2A00-0000AD000000}"/>
    <hyperlink ref="A281" r:id="rId175" xr:uid="{00000000-0004-0000-2A00-0000AE000000}"/>
    <hyperlink ref="A282" r:id="rId176" xr:uid="{00000000-0004-0000-2A00-0000AF000000}"/>
    <hyperlink ref="A283" r:id="rId177" xr:uid="{00000000-0004-0000-2A00-0000B0000000}"/>
    <hyperlink ref="A284" r:id="rId178" xr:uid="{00000000-0004-0000-2A00-0000B1000000}"/>
    <hyperlink ref="A285" r:id="rId179" xr:uid="{00000000-0004-0000-2A00-0000B2000000}"/>
    <hyperlink ref="A289" r:id="rId180" xr:uid="{00000000-0004-0000-2A00-0000B3000000}"/>
    <hyperlink ref="A290" r:id="rId181" xr:uid="{00000000-0004-0000-2A00-0000B4000000}"/>
    <hyperlink ref="A291" r:id="rId182" xr:uid="{00000000-0004-0000-2A00-0000B5000000}"/>
    <hyperlink ref="A292" r:id="rId183" xr:uid="{00000000-0004-0000-2A00-0000B6000000}"/>
    <hyperlink ref="A293" r:id="rId184" xr:uid="{00000000-0004-0000-2A00-0000B7000000}"/>
    <hyperlink ref="A294" r:id="rId185" xr:uid="{00000000-0004-0000-2A00-0000B8000000}"/>
    <hyperlink ref="A295" r:id="rId186" xr:uid="{00000000-0004-0000-2A00-0000B9000000}"/>
    <hyperlink ref="A296" r:id="rId187" xr:uid="{00000000-0004-0000-2A00-0000BA000000}"/>
    <hyperlink ref="A297" r:id="rId188" xr:uid="{00000000-0004-0000-2A00-0000BB000000}"/>
    <hyperlink ref="A298" r:id="rId189" xr:uid="{00000000-0004-0000-2A00-0000BC000000}"/>
    <hyperlink ref="A299" r:id="rId190" xr:uid="{00000000-0004-0000-2A00-0000BD000000}"/>
    <hyperlink ref="A300" r:id="rId191" xr:uid="{00000000-0004-0000-2A00-0000BE000000}"/>
    <hyperlink ref="A301" r:id="rId192" xr:uid="{00000000-0004-0000-2A00-0000BF000000}"/>
    <hyperlink ref="A302" r:id="rId193" xr:uid="{00000000-0004-0000-2A00-0000C0000000}"/>
    <hyperlink ref="A303" r:id="rId194" xr:uid="{00000000-0004-0000-2A00-0000C1000000}"/>
    <hyperlink ref="A304" r:id="rId195" xr:uid="{00000000-0004-0000-2A00-0000C2000000}"/>
    <hyperlink ref="A305" r:id="rId196" xr:uid="{00000000-0004-0000-2A00-0000C3000000}"/>
    <hyperlink ref="A306" r:id="rId197" xr:uid="{00000000-0004-0000-2A00-0000C4000000}"/>
    <hyperlink ref="A307" r:id="rId198" xr:uid="{00000000-0004-0000-2A00-0000C5000000}"/>
    <hyperlink ref="A308" r:id="rId199" xr:uid="{00000000-0004-0000-2A00-0000C6000000}"/>
    <hyperlink ref="A309" r:id="rId200" xr:uid="{00000000-0004-0000-2A00-0000C7000000}"/>
    <hyperlink ref="A310" r:id="rId201" xr:uid="{00000000-0004-0000-2A00-0000C8000000}"/>
    <hyperlink ref="A311" r:id="rId202" xr:uid="{00000000-0004-0000-2A00-0000C9000000}"/>
    <hyperlink ref="A312" r:id="rId203" xr:uid="{00000000-0004-0000-2A00-0000CA000000}"/>
    <hyperlink ref="A313" r:id="rId204" xr:uid="{00000000-0004-0000-2A00-0000CB000000}"/>
    <hyperlink ref="A314" r:id="rId205" xr:uid="{00000000-0004-0000-2A00-0000CC000000}"/>
    <hyperlink ref="A315" r:id="rId206" xr:uid="{00000000-0004-0000-2A00-0000CD000000}"/>
  </hyperlinks>
  <printOptions horizontalCentered="1" gridLines="1"/>
  <pageMargins left="0.7" right="0.7" top="0.75" bottom="0.75" header="0" footer="0"/>
  <pageSetup pageOrder="overThenDown" orientation="portrait" cellComments="atEnd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outlinePr summaryBelow="0" summaryRight="0"/>
    <pageSetUpPr fitToPage="1"/>
  </sheetPr>
  <dimension ref="A1:H1000"/>
  <sheetViews>
    <sheetView workbookViewId="0"/>
  </sheetViews>
  <sheetFormatPr defaultColWidth="14.42578125" defaultRowHeight="15.75" customHeight="1" x14ac:dyDescent="0.4"/>
  <cols>
    <col min="1" max="2" width="12.85546875" customWidth="1"/>
    <col min="4" max="4" width="16.5703125" customWidth="1"/>
    <col min="6" max="7" width="5.85546875" customWidth="1"/>
  </cols>
  <sheetData>
    <row r="1" spans="1:8" ht="15.75" customHeight="1" x14ac:dyDescent="0.4">
      <c r="A1" s="474" t="s">
        <v>12</v>
      </c>
      <c r="B1" s="474" t="s">
        <v>466</v>
      </c>
      <c r="C1" s="475"/>
      <c r="D1" s="474" t="s">
        <v>2761</v>
      </c>
      <c r="E1" s="475"/>
      <c r="F1" s="474" t="s">
        <v>740</v>
      </c>
      <c r="G1" s="474" t="s">
        <v>9</v>
      </c>
      <c r="H1" s="475"/>
    </row>
    <row r="2" spans="1:8" ht="15.75" customHeight="1" x14ac:dyDescent="0.5">
      <c r="A2" s="476">
        <v>44326</v>
      </c>
      <c r="B2" s="477">
        <v>44329</v>
      </c>
      <c r="C2" s="475"/>
      <c r="D2" s="475" t="s">
        <v>153</v>
      </c>
      <c r="E2" s="475"/>
      <c r="F2" s="475">
        <v>15</v>
      </c>
      <c r="G2" s="475">
        <v>10</v>
      </c>
      <c r="H2" s="475"/>
    </row>
    <row r="3" spans="1:8" ht="15.75" customHeight="1" x14ac:dyDescent="0.5">
      <c r="A3" s="478">
        <f t="shared" ref="A3:A257" si="0">A2+1</f>
        <v>44327</v>
      </c>
      <c r="B3" s="477">
        <v>44329</v>
      </c>
      <c r="C3" s="475"/>
      <c r="D3" s="475" t="s">
        <v>153</v>
      </c>
      <c r="E3" s="475"/>
      <c r="F3" s="475">
        <v>16</v>
      </c>
      <c r="G3" s="475">
        <v>2</v>
      </c>
      <c r="H3" s="475"/>
    </row>
    <row r="4" spans="1:8" ht="15.75" customHeight="1" x14ac:dyDescent="0.5">
      <c r="A4" s="478">
        <f t="shared" si="0"/>
        <v>44328</v>
      </c>
      <c r="B4" s="477">
        <v>44329</v>
      </c>
      <c r="C4" s="475"/>
      <c r="D4" s="475" t="s">
        <v>79</v>
      </c>
      <c r="E4" s="475"/>
      <c r="F4" s="475">
        <v>17</v>
      </c>
      <c r="G4" s="475">
        <v>2</v>
      </c>
      <c r="H4" s="475"/>
    </row>
    <row r="5" spans="1:8" ht="15.75" customHeight="1" x14ac:dyDescent="0.5">
      <c r="A5" s="478">
        <f t="shared" si="0"/>
        <v>44329</v>
      </c>
      <c r="B5" s="477">
        <v>44329</v>
      </c>
      <c r="C5" s="475"/>
      <c r="D5" s="475" t="s">
        <v>182</v>
      </c>
      <c r="E5" s="475"/>
      <c r="F5" s="475">
        <v>19</v>
      </c>
      <c r="G5" s="475">
        <v>2</v>
      </c>
      <c r="H5" s="475"/>
    </row>
    <row r="6" spans="1:8" ht="15.75" customHeight="1" x14ac:dyDescent="0.5">
      <c r="A6" s="478">
        <f t="shared" si="0"/>
        <v>44330</v>
      </c>
      <c r="B6" s="477">
        <v>44336</v>
      </c>
      <c r="C6" s="475"/>
      <c r="D6" s="475" t="s">
        <v>196</v>
      </c>
      <c r="E6" s="475"/>
      <c r="F6" s="475">
        <v>21</v>
      </c>
      <c r="G6" s="475">
        <v>2</v>
      </c>
      <c r="H6" s="475"/>
    </row>
    <row r="7" spans="1:8" ht="15.75" customHeight="1" x14ac:dyDescent="0.5">
      <c r="A7" s="478">
        <f t="shared" si="0"/>
        <v>44331</v>
      </c>
      <c r="B7" s="477">
        <v>44336</v>
      </c>
      <c r="C7" s="475"/>
      <c r="D7" s="475" t="s">
        <v>244</v>
      </c>
      <c r="E7" s="475"/>
      <c r="F7" s="475">
        <v>23</v>
      </c>
      <c r="G7" s="475">
        <v>2</v>
      </c>
      <c r="H7" s="475"/>
    </row>
    <row r="8" spans="1:8" ht="15.75" customHeight="1" x14ac:dyDescent="0.5">
      <c r="A8" s="478">
        <f t="shared" si="0"/>
        <v>44332</v>
      </c>
      <c r="B8" s="477">
        <v>44336</v>
      </c>
      <c r="C8" s="475"/>
      <c r="D8" s="475" t="s">
        <v>111</v>
      </c>
      <c r="E8" s="475"/>
      <c r="F8" s="475">
        <v>24</v>
      </c>
      <c r="G8" s="475">
        <v>12</v>
      </c>
      <c r="H8" s="475"/>
    </row>
    <row r="9" spans="1:8" ht="15.75" customHeight="1" x14ac:dyDescent="0.5">
      <c r="A9" s="478">
        <f t="shared" si="0"/>
        <v>44333</v>
      </c>
      <c r="B9" s="477">
        <v>44336</v>
      </c>
      <c r="C9" s="475"/>
      <c r="D9" s="475" t="s">
        <v>116</v>
      </c>
      <c r="E9" s="475"/>
      <c r="F9" s="475">
        <v>25</v>
      </c>
      <c r="G9" s="475">
        <v>6</v>
      </c>
      <c r="H9" s="475"/>
    </row>
    <row r="10" spans="1:8" ht="15.75" customHeight="1" x14ac:dyDescent="0.5">
      <c r="A10" s="478">
        <f t="shared" si="0"/>
        <v>44334</v>
      </c>
      <c r="B10" s="477">
        <v>44336</v>
      </c>
      <c r="C10" s="475"/>
      <c r="D10" s="475" t="s">
        <v>255</v>
      </c>
      <c r="E10" s="475"/>
      <c r="F10" s="475">
        <v>30</v>
      </c>
      <c r="G10" s="475">
        <v>4</v>
      </c>
      <c r="H10" s="475"/>
    </row>
    <row r="11" spans="1:8" ht="15.75" customHeight="1" x14ac:dyDescent="0.5">
      <c r="A11" s="478">
        <f t="shared" si="0"/>
        <v>44335</v>
      </c>
      <c r="B11" s="477">
        <v>44336</v>
      </c>
      <c r="C11" s="475"/>
      <c r="D11" s="475" t="s">
        <v>119</v>
      </c>
      <c r="E11" s="475"/>
      <c r="F11" s="475">
        <v>31</v>
      </c>
      <c r="G11" s="475">
        <v>2</v>
      </c>
      <c r="H11" s="475"/>
    </row>
    <row r="12" spans="1:8" ht="15.75" customHeight="1" x14ac:dyDescent="0.5">
      <c r="A12" s="478">
        <f t="shared" si="0"/>
        <v>44336</v>
      </c>
      <c r="B12" s="477">
        <v>44336</v>
      </c>
      <c r="C12" s="475"/>
      <c r="D12" s="475" t="s">
        <v>247</v>
      </c>
      <c r="E12" s="475"/>
      <c r="F12" s="475">
        <v>32</v>
      </c>
      <c r="G12" s="475">
        <v>4</v>
      </c>
      <c r="H12" s="475"/>
    </row>
    <row r="13" spans="1:8" ht="15.75" customHeight="1" x14ac:dyDescent="0.4">
      <c r="A13" s="478">
        <f t="shared" si="0"/>
        <v>44337</v>
      </c>
      <c r="B13" s="478">
        <f t="shared" ref="B13:B267" si="1">IF(B12=B6,B12+7,B12)</f>
        <v>44343</v>
      </c>
      <c r="C13" s="475"/>
      <c r="D13" s="475" t="s">
        <v>246</v>
      </c>
      <c r="E13" s="475"/>
      <c r="F13" s="475">
        <v>33</v>
      </c>
      <c r="G13" s="475">
        <v>2</v>
      </c>
      <c r="H13" s="475"/>
    </row>
    <row r="14" spans="1:8" ht="15.75" customHeight="1" x14ac:dyDescent="0.4">
      <c r="A14" s="478">
        <f t="shared" si="0"/>
        <v>44338</v>
      </c>
      <c r="B14" s="478">
        <f t="shared" si="1"/>
        <v>44343</v>
      </c>
      <c r="C14" s="475"/>
      <c r="D14" s="475" t="s">
        <v>268</v>
      </c>
      <c r="E14" s="475"/>
      <c r="F14" s="475">
        <v>36</v>
      </c>
      <c r="G14" s="475">
        <v>4</v>
      </c>
      <c r="H14" s="475"/>
    </row>
    <row r="15" spans="1:8" ht="15.75" customHeight="1" x14ac:dyDescent="0.4">
      <c r="A15" s="478">
        <f t="shared" si="0"/>
        <v>44339</v>
      </c>
      <c r="B15" s="478">
        <f t="shared" si="1"/>
        <v>44343</v>
      </c>
      <c r="C15" s="475"/>
      <c r="D15" s="475" t="s">
        <v>257</v>
      </c>
      <c r="E15" s="479"/>
      <c r="F15" s="475">
        <v>40</v>
      </c>
      <c r="G15" s="475">
        <v>2</v>
      </c>
      <c r="H15" s="475"/>
    </row>
    <row r="16" spans="1:8" ht="15.75" customHeight="1" x14ac:dyDescent="0.4">
      <c r="A16" s="478">
        <f t="shared" si="0"/>
        <v>44340</v>
      </c>
      <c r="B16" s="478">
        <f t="shared" si="1"/>
        <v>44343</v>
      </c>
      <c r="C16" s="475"/>
      <c r="D16" s="475" t="s">
        <v>223</v>
      </c>
      <c r="E16" s="475"/>
      <c r="F16" s="475">
        <v>45</v>
      </c>
      <c r="G16" s="475">
        <v>4</v>
      </c>
      <c r="H16" s="475"/>
    </row>
    <row r="17" spans="1:8" ht="15.75" customHeight="1" x14ac:dyDescent="0.4">
      <c r="A17" s="478">
        <f t="shared" si="0"/>
        <v>44341</v>
      </c>
      <c r="B17" s="478">
        <f t="shared" si="1"/>
        <v>44343</v>
      </c>
      <c r="C17" s="475"/>
      <c r="D17" s="475" t="s">
        <v>71</v>
      </c>
      <c r="E17" s="475"/>
      <c r="F17" s="475">
        <v>47</v>
      </c>
      <c r="G17" s="475">
        <v>2</v>
      </c>
      <c r="H17" s="475"/>
    </row>
    <row r="18" spans="1:8" ht="15.75" customHeight="1" x14ac:dyDescent="0.4">
      <c r="A18" s="478">
        <f t="shared" si="0"/>
        <v>44342</v>
      </c>
      <c r="B18" s="478">
        <f t="shared" si="1"/>
        <v>44343</v>
      </c>
      <c r="C18" s="475"/>
      <c r="D18" s="475"/>
      <c r="E18" s="475"/>
      <c r="F18" s="475">
        <v>50</v>
      </c>
      <c r="G18" s="475">
        <v>2</v>
      </c>
      <c r="H18" s="475"/>
    </row>
    <row r="19" spans="1:8" ht="15.75" customHeight="1" x14ac:dyDescent="0.4">
      <c r="A19" s="478">
        <f t="shared" si="0"/>
        <v>44343</v>
      </c>
      <c r="B19" s="478">
        <f t="shared" si="1"/>
        <v>44343</v>
      </c>
      <c r="C19" s="475"/>
      <c r="D19" s="475"/>
      <c r="E19" s="475"/>
      <c r="F19" s="475"/>
      <c r="G19" s="475"/>
      <c r="H19" s="475"/>
    </row>
    <row r="20" spans="1:8" ht="15.75" customHeight="1" x14ac:dyDescent="0.4">
      <c r="A20" s="478">
        <f t="shared" si="0"/>
        <v>44344</v>
      </c>
      <c r="B20" s="478">
        <f t="shared" si="1"/>
        <v>44350</v>
      </c>
      <c r="C20" s="475"/>
      <c r="D20" s="475"/>
      <c r="E20" s="475"/>
      <c r="F20" s="475"/>
      <c r="G20" s="475"/>
      <c r="H20" s="475"/>
    </row>
    <row r="21" spans="1:8" ht="15.75" customHeight="1" x14ac:dyDescent="0.4">
      <c r="A21" s="478">
        <f t="shared" si="0"/>
        <v>44345</v>
      </c>
      <c r="B21" s="478">
        <f t="shared" si="1"/>
        <v>44350</v>
      </c>
      <c r="C21" s="475"/>
      <c r="D21" s="475"/>
      <c r="E21" s="475"/>
      <c r="F21" s="475"/>
      <c r="G21" s="475"/>
      <c r="H21" s="475"/>
    </row>
    <row r="22" spans="1:8" ht="15.75" customHeight="1" x14ac:dyDescent="0.4">
      <c r="A22" s="478">
        <f t="shared" si="0"/>
        <v>44346</v>
      </c>
      <c r="B22" s="478">
        <f t="shared" si="1"/>
        <v>44350</v>
      </c>
      <c r="C22" s="475"/>
      <c r="D22" s="475"/>
      <c r="E22" s="475"/>
      <c r="F22" s="475"/>
      <c r="G22" s="475"/>
      <c r="H22" s="475"/>
    </row>
    <row r="23" spans="1:8" ht="15.75" customHeight="1" x14ac:dyDescent="0.4">
      <c r="A23" s="478">
        <f t="shared" si="0"/>
        <v>44347</v>
      </c>
      <c r="B23" s="478">
        <f t="shared" si="1"/>
        <v>44350</v>
      </c>
      <c r="C23" s="475"/>
      <c r="D23" s="475"/>
      <c r="E23" s="475"/>
      <c r="F23" s="475"/>
      <c r="G23" s="475"/>
      <c r="H23" s="475"/>
    </row>
    <row r="24" spans="1:8" ht="15.75" customHeight="1" x14ac:dyDescent="0.4">
      <c r="A24" s="478">
        <f t="shared" si="0"/>
        <v>44348</v>
      </c>
      <c r="B24" s="478">
        <f t="shared" si="1"/>
        <v>44350</v>
      </c>
      <c r="C24" s="475"/>
      <c r="D24" s="475"/>
      <c r="E24" s="475"/>
      <c r="F24" s="475"/>
      <c r="G24" s="475"/>
      <c r="H24" s="475"/>
    </row>
    <row r="25" spans="1:8" ht="15.75" customHeight="1" x14ac:dyDescent="0.4">
      <c r="A25" s="478">
        <f t="shared" si="0"/>
        <v>44349</v>
      </c>
      <c r="B25" s="478">
        <f t="shared" si="1"/>
        <v>44350</v>
      </c>
      <c r="C25" s="475"/>
      <c r="D25" s="475"/>
      <c r="E25" s="475"/>
      <c r="F25" s="475"/>
      <c r="G25" s="475"/>
      <c r="H25" s="475"/>
    </row>
    <row r="26" spans="1:8" ht="15.75" customHeight="1" x14ac:dyDescent="0.4">
      <c r="A26" s="478">
        <f t="shared" si="0"/>
        <v>44350</v>
      </c>
      <c r="B26" s="478">
        <f t="shared" si="1"/>
        <v>44350</v>
      </c>
      <c r="C26" s="475"/>
      <c r="D26" s="475"/>
      <c r="E26" s="475"/>
      <c r="F26" s="475"/>
      <c r="G26" s="475"/>
      <c r="H26" s="475"/>
    </row>
    <row r="27" spans="1:8" ht="15.75" customHeight="1" x14ac:dyDescent="0.4">
      <c r="A27" s="478">
        <f t="shared" si="0"/>
        <v>44351</v>
      </c>
      <c r="B27" s="478">
        <f t="shared" si="1"/>
        <v>44357</v>
      </c>
      <c r="C27" s="475"/>
      <c r="D27" s="475"/>
      <c r="E27" s="475"/>
      <c r="F27" s="475"/>
      <c r="G27" s="475"/>
      <c r="H27" s="475"/>
    </row>
    <row r="28" spans="1:8" ht="15.75" customHeight="1" x14ac:dyDescent="0.4">
      <c r="A28" s="478">
        <f t="shared" si="0"/>
        <v>44352</v>
      </c>
      <c r="B28" s="478">
        <f t="shared" si="1"/>
        <v>44357</v>
      </c>
      <c r="C28" s="475"/>
      <c r="D28" s="475"/>
      <c r="E28" s="475"/>
      <c r="F28" s="475"/>
      <c r="G28" s="475"/>
      <c r="H28" s="475"/>
    </row>
    <row r="29" spans="1:8" ht="15.75" customHeight="1" x14ac:dyDescent="0.4">
      <c r="A29" s="478">
        <f t="shared" si="0"/>
        <v>44353</v>
      </c>
      <c r="B29" s="478">
        <f t="shared" si="1"/>
        <v>44357</v>
      </c>
      <c r="C29" s="475"/>
      <c r="D29" s="475"/>
      <c r="E29" s="475"/>
      <c r="F29" s="475"/>
      <c r="G29" s="475"/>
      <c r="H29" s="475"/>
    </row>
    <row r="30" spans="1:8" ht="15" x14ac:dyDescent="0.4">
      <c r="A30" s="478">
        <f t="shared" si="0"/>
        <v>44354</v>
      </c>
      <c r="B30" s="478">
        <f t="shared" si="1"/>
        <v>44357</v>
      </c>
      <c r="C30" s="475"/>
      <c r="D30" s="475"/>
      <c r="E30" s="475"/>
      <c r="F30" s="475"/>
      <c r="G30" s="475"/>
      <c r="H30" s="475"/>
    </row>
    <row r="31" spans="1:8" ht="15" x14ac:dyDescent="0.4">
      <c r="A31" s="478">
        <f t="shared" si="0"/>
        <v>44355</v>
      </c>
      <c r="B31" s="478">
        <f t="shared" si="1"/>
        <v>44357</v>
      </c>
      <c r="C31" s="475"/>
      <c r="D31" s="475"/>
      <c r="E31" s="475"/>
      <c r="F31" s="475"/>
      <c r="G31" s="475"/>
      <c r="H31" s="475"/>
    </row>
    <row r="32" spans="1:8" ht="15" x14ac:dyDescent="0.4">
      <c r="A32" s="478">
        <f t="shared" si="0"/>
        <v>44356</v>
      </c>
      <c r="B32" s="478">
        <f t="shared" si="1"/>
        <v>44357</v>
      </c>
      <c r="C32" s="475"/>
      <c r="D32" s="475"/>
      <c r="E32" s="475"/>
      <c r="F32" s="475"/>
      <c r="G32" s="475"/>
      <c r="H32" s="475"/>
    </row>
    <row r="33" spans="1:8" ht="15" x14ac:dyDescent="0.4">
      <c r="A33" s="478">
        <f t="shared" si="0"/>
        <v>44357</v>
      </c>
      <c r="B33" s="478">
        <f t="shared" si="1"/>
        <v>44357</v>
      </c>
      <c r="C33" s="475"/>
      <c r="D33" s="475"/>
      <c r="E33" s="475"/>
      <c r="F33" s="475"/>
      <c r="G33" s="475"/>
      <c r="H33" s="475"/>
    </row>
    <row r="34" spans="1:8" ht="15" x14ac:dyDescent="0.4">
      <c r="A34" s="478">
        <f t="shared" si="0"/>
        <v>44358</v>
      </c>
      <c r="B34" s="478">
        <f t="shared" si="1"/>
        <v>44364</v>
      </c>
      <c r="C34" s="475"/>
      <c r="D34" s="475"/>
      <c r="E34" s="475"/>
      <c r="F34" s="475"/>
      <c r="G34" s="475"/>
      <c r="H34" s="475"/>
    </row>
    <row r="35" spans="1:8" ht="15" x14ac:dyDescent="0.4">
      <c r="A35" s="478">
        <f t="shared" si="0"/>
        <v>44359</v>
      </c>
      <c r="B35" s="478">
        <f t="shared" si="1"/>
        <v>44364</v>
      </c>
      <c r="C35" s="475"/>
      <c r="D35" s="475"/>
      <c r="E35" s="475"/>
      <c r="F35" s="475"/>
      <c r="G35" s="475"/>
      <c r="H35" s="475"/>
    </row>
    <row r="36" spans="1:8" ht="15" x14ac:dyDescent="0.4">
      <c r="A36" s="478">
        <f t="shared" si="0"/>
        <v>44360</v>
      </c>
      <c r="B36" s="478">
        <f t="shared" si="1"/>
        <v>44364</v>
      </c>
      <c r="C36" s="475"/>
      <c r="D36" s="475"/>
      <c r="E36" s="475"/>
      <c r="F36" s="475"/>
      <c r="G36" s="475"/>
      <c r="H36" s="475"/>
    </row>
    <row r="37" spans="1:8" ht="15" x14ac:dyDescent="0.4">
      <c r="A37" s="478">
        <f t="shared" si="0"/>
        <v>44361</v>
      </c>
      <c r="B37" s="478">
        <f t="shared" si="1"/>
        <v>44364</v>
      </c>
      <c r="C37" s="475"/>
      <c r="D37" s="475"/>
      <c r="E37" s="475"/>
      <c r="F37" s="475"/>
      <c r="G37" s="475"/>
      <c r="H37" s="475"/>
    </row>
    <row r="38" spans="1:8" ht="15" x14ac:dyDescent="0.4">
      <c r="A38" s="478">
        <f t="shared" si="0"/>
        <v>44362</v>
      </c>
      <c r="B38" s="478">
        <f t="shared" si="1"/>
        <v>44364</v>
      </c>
      <c r="C38" s="475"/>
      <c r="D38" s="475"/>
      <c r="E38" s="475"/>
      <c r="F38" s="475"/>
      <c r="G38" s="475"/>
      <c r="H38" s="475"/>
    </row>
    <row r="39" spans="1:8" ht="15" x14ac:dyDescent="0.4">
      <c r="A39" s="478">
        <f t="shared" si="0"/>
        <v>44363</v>
      </c>
      <c r="B39" s="478">
        <f t="shared" si="1"/>
        <v>44364</v>
      </c>
      <c r="C39" s="475"/>
      <c r="D39" s="475"/>
      <c r="E39" s="475"/>
      <c r="F39" s="475"/>
      <c r="G39" s="475"/>
      <c r="H39" s="475"/>
    </row>
    <row r="40" spans="1:8" ht="15" x14ac:dyDescent="0.4">
      <c r="A40" s="478">
        <f t="shared" si="0"/>
        <v>44364</v>
      </c>
      <c r="B40" s="478">
        <f t="shared" si="1"/>
        <v>44364</v>
      </c>
      <c r="C40" s="475"/>
      <c r="D40" s="475"/>
      <c r="E40" s="475"/>
      <c r="F40" s="475"/>
      <c r="G40" s="475"/>
      <c r="H40" s="475"/>
    </row>
    <row r="41" spans="1:8" ht="15" x14ac:dyDescent="0.4">
      <c r="A41" s="478">
        <f t="shared" si="0"/>
        <v>44365</v>
      </c>
      <c r="B41" s="478">
        <f t="shared" si="1"/>
        <v>44371</v>
      </c>
      <c r="C41" s="475"/>
      <c r="D41" s="475"/>
      <c r="E41" s="475"/>
      <c r="F41" s="475"/>
      <c r="G41" s="475"/>
      <c r="H41" s="475"/>
    </row>
    <row r="42" spans="1:8" ht="15" x14ac:dyDescent="0.4">
      <c r="A42" s="478">
        <f t="shared" si="0"/>
        <v>44366</v>
      </c>
      <c r="B42" s="478">
        <f t="shared" si="1"/>
        <v>44371</v>
      </c>
      <c r="C42" s="475"/>
      <c r="D42" s="475"/>
      <c r="E42" s="475"/>
      <c r="F42" s="475"/>
      <c r="G42" s="475"/>
      <c r="H42" s="475"/>
    </row>
    <row r="43" spans="1:8" ht="15" x14ac:dyDescent="0.4">
      <c r="A43" s="478">
        <f t="shared" si="0"/>
        <v>44367</v>
      </c>
      <c r="B43" s="478">
        <f t="shared" si="1"/>
        <v>44371</v>
      </c>
      <c r="C43" s="475"/>
      <c r="D43" s="475"/>
      <c r="E43" s="475"/>
      <c r="F43" s="475"/>
      <c r="G43" s="475"/>
      <c r="H43" s="475"/>
    </row>
    <row r="44" spans="1:8" ht="15" x14ac:dyDescent="0.4">
      <c r="A44" s="478">
        <f t="shared" si="0"/>
        <v>44368</v>
      </c>
      <c r="B44" s="478">
        <f t="shared" si="1"/>
        <v>44371</v>
      </c>
      <c r="C44" s="475"/>
      <c r="D44" s="475"/>
      <c r="E44" s="475"/>
      <c r="F44" s="475"/>
      <c r="G44" s="475"/>
      <c r="H44" s="475"/>
    </row>
    <row r="45" spans="1:8" ht="15" x14ac:dyDescent="0.4">
      <c r="A45" s="478">
        <f t="shared" si="0"/>
        <v>44369</v>
      </c>
      <c r="B45" s="478">
        <f t="shared" si="1"/>
        <v>44371</v>
      </c>
      <c r="C45" s="475"/>
      <c r="D45" s="475"/>
      <c r="E45" s="475"/>
      <c r="F45" s="475"/>
      <c r="G45" s="475"/>
      <c r="H45" s="475"/>
    </row>
    <row r="46" spans="1:8" ht="15" x14ac:dyDescent="0.4">
      <c r="A46" s="478">
        <f t="shared" si="0"/>
        <v>44370</v>
      </c>
      <c r="B46" s="478">
        <f t="shared" si="1"/>
        <v>44371</v>
      </c>
      <c r="C46" s="475"/>
      <c r="D46" s="475"/>
      <c r="E46" s="475"/>
      <c r="F46" s="475"/>
      <c r="G46" s="475"/>
      <c r="H46" s="475"/>
    </row>
    <row r="47" spans="1:8" ht="15" x14ac:dyDescent="0.4">
      <c r="A47" s="478">
        <f t="shared" si="0"/>
        <v>44371</v>
      </c>
      <c r="B47" s="478">
        <f t="shared" si="1"/>
        <v>44371</v>
      </c>
      <c r="C47" s="475"/>
      <c r="D47" s="475"/>
      <c r="E47" s="475"/>
      <c r="F47" s="475"/>
      <c r="G47" s="475"/>
      <c r="H47" s="475"/>
    </row>
    <row r="48" spans="1:8" ht="15" x14ac:dyDescent="0.4">
      <c r="A48" s="478">
        <f t="shared" si="0"/>
        <v>44372</v>
      </c>
      <c r="B48" s="478">
        <f t="shared" si="1"/>
        <v>44378</v>
      </c>
      <c r="C48" s="475"/>
      <c r="D48" s="475"/>
      <c r="E48" s="475"/>
      <c r="F48" s="475"/>
      <c r="G48" s="475"/>
      <c r="H48" s="475"/>
    </row>
    <row r="49" spans="1:8" ht="15" x14ac:dyDescent="0.4">
      <c r="A49" s="478">
        <f t="shared" si="0"/>
        <v>44373</v>
      </c>
      <c r="B49" s="478">
        <f t="shared" si="1"/>
        <v>44378</v>
      </c>
      <c r="C49" s="475"/>
      <c r="D49" s="475"/>
      <c r="E49" s="475"/>
      <c r="F49" s="475"/>
      <c r="G49" s="475"/>
      <c r="H49" s="475"/>
    </row>
    <row r="50" spans="1:8" ht="15" x14ac:dyDescent="0.4">
      <c r="A50" s="478">
        <f t="shared" si="0"/>
        <v>44374</v>
      </c>
      <c r="B50" s="478">
        <f t="shared" si="1"/>
        <v>44378</v>
      </c>
      <c r="C50" s="475"/>
      <c r="D50" s="475"/>
      <c r="E50" s="475"/>
      <c r="F50" s="475"/>
      <c r="G50" s="475"/>
      <c r="H50" s="475"/>
    </row>
    <row r="51" spans="1:8" ht="15" x14ac:dyDescent="0.4">
      <c r="A51" s="478">
        <f t="shared" si="0"/>
        <v>44375</v>
      </c>
      <c r="B51" s="478">
        <f t="shared" si="1"/>
        <v>44378</v>
      </c>
      <c r="C51" s="475"/>
      <c r="D51" s="475"/>
      <c r="E51" s="475"/>
      <c r="F51" s="475"/>
      <c r="G51" s="475"/>
      <c r="H51" s="475"/>
    </row>
    <row r="52" spans="1:8" ht="15" x14ac:dyDescent="0.4">
      <c r="A52" s="478">
        <f t="shared" si="0"/>
        <v>44376</v>
      </c>
      <c r="B52" s="478">
        <f t="shared" si="1"/>
        <v>44378</v>
      </c>
      <c r="C52" s="475"/>
      <c r="D52" s="475"/>
      <c r="E52" s="475"/>
      <c r="F52" s="475"/>
      <c r="G52" s="475"/>
      <c r="H52" s="475"/>
    </row>
    <row r="53" spans="1:8" ht="15" x14ac:dyDescent="0.4">
      <c r="A53" s="478">
        <f t="shared" si="0"/>
        <v>44377</v>
      </c>
      <c r="B53" s="478">
        <f t="shared" si="1"/>
        <v>44378</v>
      </c>
      <c r="C53" s="475"/>
      <c r="D53" s="475"/>
      <c r="E53" s="475"/>
      <c r="F53" s="475"/>
      <c r="G53" s="475"/>
      <c r="H53" s="475"/>
    </row>
    <row r="54" spans="1:8" ht="15" x14ac:dyDescent="0.4">
      <c r="A54" s="478">
        <f t="shared" si="0"/>
        <v>44378</v>
      </c>
      <c r="B54" s="478">
        <f t="shared" si="1"/>
        <v>44378</v>
      </c>
      <c r="C54" s="475"/>
      <c r="D54" s="475"/>
      <c r="E54" s="475"/>
      <c r="F54" s="475"/>
      <c r="G54" s="475"/>
      <c r="H54" s="475"/>
    </row>
    <row r="55" spans="1:8" ht="15" x14ac:dyDescent="0.4">
      <c r="A55" s="478">
        <f t="shared" si="0"/>
        <v>44379</v>
      </c>
      <c r="B55" s="478">
        <f t="shared" si="1"/>
        <v>44385</v>
      </c>
      <c r="C55" s="475"/>
      <c r="D55" s="475"/>
      <c r="E55" s="475"/>
      <c r="F55" s="475"/>
      <c r="G55" s="475"/>
      <c r="H55" s="475"/>
    </row>
    <row r="56" spans="1:8" ht="15" x14ac:dyDescent="0.4">
      <c r="A56" s="478">
        <f t="shared" si="0"/>
        <v>44380</v>
      </c>
      <c r="B56" s="478">
        <f t="shared" si="1"/>
        <v>44385</v>
      </c>
      <c r="C56" s="475"/>
      <c r="D56" s="475"/>
      <c r="E56" s="475"/>
      <c r="F56" s="475"/>
      <c r="G56" s="475"/>
      <c r="H56" s="475"/>
    </row>
    <row r="57" spans="1:8" ht="15" x14ac:dyDescent="0.4">
      <c r="A57" s="478">
        <f t="shared" si="0"/>
        <v>44381</v>
      </c>
      <c r="B57" s="478">
        <f t="shared" si="1"/>
        <v>44385</v>
      </c>
      <c r="C57" s="475"/>
      <c r="D57" s="475"/>
      <c r="E57" s="475"/>
      <c r="F57" s="475"/>
      <c r="G57" s="475"/>
      <c r="H57" s="475"/>
    </row>
    <row r="58" spans="1:8" ht="15" x14ac:dyDescent="0.4">
      <c r="A58" s="478">
        <f t="shared" si="0"/>
        <v>44382</v>
      </c>
      <c r="B58" s="478">
        <f t="shared" si="1"/>
        <v>44385</v>
      </c>
      <c r="C58" s="475"/>
      <c r="D58" s="475"/>
      <c r="E58" s="475"/>
      <c r="F58" s="475"/>
      <c r="G58" s="475"/>
      <c r="H58" s="475"/>
    </row>
    <row r="59" spans="1:8" ht="15" x14ac:dyDescent="0.4">
      <c r="A59" s="478">
        <f t="shared" si="0"/>
        <v>44383</v>
      </c>
      <c r="B59" s="478">
        <f t="shared" si="1"/>
        <v>44385</v>
      </c>
      <c r="C59" s="475"/>
      <c r="D59" s="475"/>
      <c r="E59" s="475"/>
      <c r="F59" s="475"/>
      <c r="G59" s="475"/>
      <c r="H59" s="475"/>
    </row>
    <row r="60" spans="1:8" ht="15" x14ac:dyDescent="0.4">
      <c r="A60" s="478">
        <f t="shared" si="0"/>
        <v>44384</v>
      </c>
      <c r="B60" s="478">
        <f t="shared" si="1"/>
        <v>44385</v>
      </c>
      <c r="C60" s="475"/>
      <c r="D60" s="475"/>
      <c r="E60" s="475"/>
      <c r="F60" s="475"/>
      <c r="G60" s="475"/>
      <c r="H60" s="475"/>
    </row>
    <row r="61" spans="1:8" ht="15" x14ac:dyDescent="0.4">
      <c r="A61" s="478">
        <f t="shared" si="0"/>
        <v>44385</v>
      </c>
      <c r="B61" s="478">
        <f t="shared" si="1"/>
        <v>44385</v>
      </c>
      <c r="C61" s="475"/>
      <c r="D61" s="475"/>
      <c r="E61" s="475"/>
      <c r="F61" s="475"/>
      <c r="G61" s="475"/>
      <c r="H61" s="475"/>
    </row>
    <row r="62" spans="1:8" ht="15" x14ac:dyDescent="0.4">
      <c r="A62" s="478">
        <f t="shared" si="0"/>
        <v>44386</v>
      </c>
      <c r="B62" s="478">
        <f t="shared" si="1"/>
        <v>44392</v>
      </c>
      <c r="C62" s="475"/>
      <c r="D62" s="475"/>
      <c r="E62" s="475"/>
      <c r="F62" s="475"/>
      <c r="G62" s="475"/>
      <c r="H62" s="475"/>
    </row>
    <row r="63" spans="1:8" ht="15" x14ac:dyDescent="0.4">
      <c r="A63" s="478">
        <f t="shared" si="0"/>
        <v>44387</v>
      </c>
      <c r="B63" s="478">
        <f t="shared" si="1"/>
        <v>44392</v>
      </c>
      <c r="C63" s="475"/>
      <c r="D63" s="475"/>
      <c r="E63" s="475"/>
      <c r="F63" s="475"/>
      <c r="G63" s="475"/>
      <c r="H63" s="475"/>
    </row>
    <row r="64" spans="1:8" ht="15" x14ac:dyDescent="0.4">
      <c r="A64" s="478">
        <f t="shared" si="0"/>
        <v>44388</v>
      </c>
      <c r="B64" s="478">
        <f t="shared" si="1"/>
        <v>44392</v>
      </c>
      <c r="C64" s="475"/>
      <c r="D64" s="475"/>
      <c r="E64" s="475"/>
      <c r="F64" s="475"/>
      <c r="G64" s="475"/>
      <c r="H64" s="475"/>
    </row>
    <row r="65" spans="1:8" ht="15" x14ac:dyDescent="0.4">
      <c r="A65" s="478">
        <f t="shared" si="0"/>
        <v>44389</v>
      </c>
      <c r="B65" s="478">
        <f t="shared" si="1"/>
        <v>44392</v>
      </c>
      <c r="C65" s="475"/>
      <c r="D65" s="475"/>
      <c r="E65" s="475"/>
      <c r="F65" s="475"/>
      <c r="G65" s="475"/>
      <c r="H65" s="475"/>
    </row>
    <row r="66" spans="1:8" ht="15" x14ac:dyDescent="0.4">
      <c r="A66" s="478">
        <f t="shared" si="0"/>
        <v>44390</v>
      </c>
      <c r="B66" s="478">
        <f t="shared" si="1"/>
        <v>44392</v>
      </c>
      <c r="C66" s="475"/>
      <c r="D66" s="475"/>
      <c r="E66" s="475"/>
      <c r="F66" s="475"/>
      <c r="G66" s="475"/>
      <c r="H66" s="475"/>
    </row>
    <row r="67" spans="1:8" ht="15" x14ac:dyDescent="0.4">
      <c r="A67" s="478">
        <f t="shared" si="0"/>
        <v>44391</v>
      </c>
      <c r="B67" s="478">
        <f t="shared" si="1"/>
        <v>44392</v>
      </c>
      <c r="C67" s="475"/>
      <c r="D67" s="475"/>
      <c r="E67" s="475"/>
      <c r="F67" s="475"/>
      <c r="G67" s="475"/>
      <c r="H67" s="475"/>
    </row>
    <row r="68" spans="1:8" ht="15" x14ac:dyDescent="0.4">
      <c r="A68" s="478">
        <f t="shared" si="0"/>
        <v>44392</v>
      </c>
      <c r="B68" s="478">
        <f t="shared" si="1"/>
        <v>44392</v>
      </c>
      <c r="C68" s="475"/>
      <c r="D68" s="475"/>
      <c r="E68" s="475"/>
      <c r="F68" s="475"/>
      <c r="G68" s="475"/>
      <c r="H68" s="475"/>
    </row>
    <row r="69" spans="1:8" ht="15" x14ac:dyDescent="0.4">
      <c r="A69" s="478">
        <f t="shared" si="0"/>
        <v>44393</v>
      </c>
      <c r="B69" s="478">
        <f t="shared" si="1"/>
        <v>44399</v>
      </c>
      <c r="C69" s="475"/>
      <c r="D69" s="475"/>
      <c r="E69" s="475"/>
      <c r="F69" s="475"/>
      <c r="G69" s="475"/>
      <c r="H69" s="475"/>
    </row>
    <row r="70" spans="1:8" ht="15" x14ac:dyDescent="0.4">
      <c r="A70" s="478">
        <f t="shared" si="0"/>
        <v>44394</v>
      </c>
      <c r="B70" s="478">
        <f t="shared" si="1"/>
        <v>44399</v>
      </c>
      <c r="C70" s="475"/>
      <c r="D70" s="475"/>
      <c r="E70" s="475"/>
      <c r="F70" s="475"/>
      <c r="G70" s="475"/>
      <c r="H70" s="475"/>
    </row>
    <row r="71" spans="1:8" ht="15" x14ac:dyDescent="0.4">
      <c r="A71" s="478">
        <f t="shared" si="0"/>
        <v>44395</v>
      </c>
      <c r="B71" s="478">
        <f t="shared" si="1"/>
        <v>44399</v>
      </c>
      <c r="C71" s="475"/>
      <c r="D71" s="475"/>
      <c r="E71" s="475"/>
      <c r="F71" s="475"/>
      <c r="G71" s="475"/>
      <c r="H71" s="475"/>
    </row>
    <row r="72" spans="1:8" ht="15" x14ac:dyDescent="0.4">
      <c r="A72" s="478">
        <f t="shared" si="0"/>
        <v>44396</v>
      </c>
      <c r="B72" s="478">
        <f t="shared" si="1"/>
        <v>44399</v>
      </c>
      <c r="C72" s="475"/>
      <c r="D72" s="475"/>
      <c r="E72" s="475"/>
      <c r="F72" s="475"/>
      <c r="G72" s="475"/>
      <c r="H72" s="475"/>
    </row>
    <row r="73" spans="1:8" ht="15" x14ac:dyDescent="0.4">
      <c r="A73" s="478">
        <f t="shared" si="0"/>
        <v>44397</v>
      </c>
      <c r="B73" s="478">
        <f t="shared" si="1"/>
        <v>44399</v>
      </c>
      <c r="C73" s="475"/>
      <c r="D73" s="475"/>
      <c r="E73" s="475"/>
      <c r="F73" s="475"/>
      <c r="G73" s="475"/>
      <c r="H73" s="475"/>
    </row>
    <row r="74" spans="1:8" ht="15" x14ac:dyDescent="0.4">
      <c r="A74" s="478">
        <f t="shared" si="0"/>
        <v>44398</v>
      </c>
      <c r="B74" s="478">
        <f t="shared" si="1"/>
        <v>44399</v>
      </c>
      <c r="C74" s="475"/>
      <c r="D74" s="475"/>
      <c r="E74" s="475"/>
      <c r="F74" s="475"/>
      <c r="G74" s="475"/>
      <c r="H74" s="475"/>
    </row>
    <row r="75" spans="1:8" ht="15" x14ac:dyDescent="0.4">
      <c r="A75" s="478">
        <f t="shared" si="0"/>
        <v>44399</v>
      </c>
      <c r="B75" s="478">
        <f t="shared" si="1"/>
        <v>44399</v>
      </c>
      <c r="C75" s="475"/>
      <c r="D75" s="475"/>
      <c r="E75" s="475"/>
      <c r="F75" s="475"/>
      <c r="G75" s="475"/>
      <c r="H75" s="475"/>
    </row>
    <row r="76" spans="1:8" ht="15" x14ac:dyDescent="0.4">
      <c r="A76" s="478">
        <f t="shared" si="0"/>
        <v>44400</v>
      </c>
      <c r="B76" s="478">
        <f t="shared" si="1"/>
        <v>44406</v>
      </c>
      <c r="C76" s="475"/>
      <c r="D76" s="475"/>
      <c r="E76" s="475"/>
      <c r="F76" s="475"/>
      <c r="G76" s="475"/>
      <c r="H76" s="475"/>
    </row>
    <row r="77" spans="1:8" ht="15" x14ac:dyDescent="0.4">
      <c r="A77" s="478">
        <f t="shared" si="0"/>
        <v>44401</v>
      </c>
      <c r="B77" s="478">
        <f t="shared" si="1"/>
        <v>44406</v>
      </c>
      <c r="C77" s="475"/>
      <c r="D77" s="475"/>
      <c r="E77" s="475"/>
      <c r="F77" s="475"/>
      <c r="G77" s="475"/>
      <c r="H77" s="475"/>
    </row>
    <row r="78" spans="1:8" ht="15" x14ac:dyDescent="0.4">
      <c r="A78" s="478">
        <f t="shared" si="0"/>
        <v>44402</v>
      </c>
      <c r="B78" s="478">
        <f t="shared" si="1"/>
        <v>44406</v>
      </c>
      <c r="C78" s="475"/>
      <c r="D78" s="475"/>
      <c r="E78" s="475"/>
      <c r="F78" s="475"/>
      <c r="G78" s="475"/>
      <c r="H78" s="475"/>
    </row>
    <row r="79" spans="1:8" ht="15" x14ac:dyDescent="0.4">
      <c r="A79" s="478">
        <f t="shared" si="0"/>
        <v>44403</v>
      </c>
      <c r="B79" s="478">
        <f t="shared" si="1"/>
        <v>44406</v>
      </c>
      <c r="C79" s="475"/>
      <c r="D79" s="475"/>
      <c r="E79" s="475"/>
      <c r="F79" s="475"/>
      <c r="G79" s="475"/>
      <c r="H79" s="475"/>
    </row>
    <row r="80" spans="1:8" ht="15" x14ac:dyDescent="0.4">
      <c r="A80" s="478">
        <f t="shared" si="0"/>
        <v>44404</v>
      </c>
      <c r="B80" s="478">
        <f t="shared" si="1"/>
        <v>44406</v>
      </c>
      <c r="C80" s="475"/>
      <c r="D80" s="475"/>
      <c r="E80" s="475"/>
      <c r="F80" s="475"/>
      <c r="G80" s="475"/>
      <c r="H80" s="475"/>
    </row>
    <row r="81" spans="1:8" ht="15" x14ac:dyDescent="0.4">
      <c r="A81" s="478">
        <f t="shared" si="0"/>
        <v>44405</v>
      </c>
      <c r="B81" s="478">
        <f t="shared" si="1"/>
        <v>44406</v>
      </c>
      <c r="C81" s="475"/>
      <c r="D81" s="475"/>
      <c r="E81" s="475"/>
      <c r="F81" s="475"/>
      <c r="G81" s="475"/>
      <c r="H81" s="475"/>
    </row>
    <row r="82" spans="1:8" ht="15" x14ac:dyDescent="0.4">
      <c r="A82" s="478">
        <f t="shared" si="0"/>
        <v>44406</v>
      </c>
      <c r="B82" s="478">
        <f t="shared" si="1"/>
        <v>44406</v>
      </c>
      <c r="C82" s="475"/>
      <c r="D82" s="475"/>
      <c r="E82" s="475"/>
      <c r="F82" s="475"/>
      <c r="G82" s="475"/>
      <c r="H82" s="475"/>
    </row>
    <row r="83" spans="1:8" ht="15" x14ac:dyDescent="0.4">
      <c r="A83" s="478">
        <f t="shared" si="0"/>
        <v>44407</v>
      </c>
      <c r="B83" s="478">
        <f t="shared" si="1"/>
        <v>44413</v>
      </c>
      <c r="C83" s="475"/>
      <c r="D83" s="475"/>
      <c r="E83" s="475"/>
      <c r="F83" s="475"/>
      <c r="G83" s="475"/>
      <c r="H83" s="475"/>
    </row>
    <row r="84" spans="1:8" ht="15" x14ac:dyDescent="0.4">
      <c r="A84" s="478">
        <f t="shared" si="0"/>
        <v>44408</v>
      </c>
      <c r="B84" s="478">
        <f t="shared" si="1"/>
        <v>44413</v>
      </c>
      <c r="C84" s="475"/>
      <c r="D84" s="475"/>
      <c r="E84" s="475"/>
      <c r="F84" s="475"/>
      <c r="G84" s="475"/>
      <c r="H84" s="475"/>
    </row>
    <row r="85" spans="1:8" ht="15" x14ac:dyDescent="0.4">
      <c r="A85" s="478">
        <f t="shared" si="0"/>
        <v>44409</v>
      </c>
      <c r="B85" s="478">
        <f t="shared" si="1"/>
        <v>44413</v>
      </c>
      <c r="C85" s="475"/>
      <c r="D85" s="475"/>
      <c r="E85" s="475"/>
      <c r="F85" s="475"/>
      <c r="G85" s="475"/>
      <c r="H85" s="475"/>
    </row>
    <row r="86" spans="1:8" ht="15" x14ac:dyDescent="0.4">
      <c r="A86" s="478">
        <f t="shared" si="0"/>
        <v>44410</v>
      </c>
      <c r="B86" s="478">
        <f t="shared" si="1"/>
        <v>44413</v>
      </c>
      <c r="C86" s="475"/>
      <c r="D86" s="475"/>
      <c r="E86" s="475"/>
      <c r="F86" s="475"/>
      <c r="G86" s="475"/>
      <c r="H86" s="475"/>
    </row>
    <row r="87" spans="1:8" ht="15" x14ac:dyDescent="0.4">
      <c r="A87" s="478">
        <f t="shared" si="0"/>
        <v>44411</v>
      </c>
      <c r="B87" s="478">
        <f t="shared" si="1"/>
        <v>44413</v>
      </c>
      <c r="C87" s="475"/>
      <c r="D87" s="475"/>
      <c r="E87" s="475"/>
      <c r="F87" s="475"/>
      <c r="G87" s="475"/>
      <c r="H87" s="475"/>
    </row>
    <row r="88" spans="1:8" ht="15" x14ac:dyDescent="0.4">
      <c r="A88" s="478">
        <f t="shared" si="0"/>
        <v>44412</v>
      </c>
      <c r="B88" s="478">
        <f t="shared" si="1"/>
        <v>44413</v>
      </c>
      <c r="C88" s="475"/>
      <c r="D88" s="475"/>
      <c r="E88" s="475"/>
      <c r="F88" s="475"/>
      <c r="G88" s="475"/>
      <c r="H88" s="475"/>
    </row>
    <row r="89" spans="1:8" ht="15" x14ac:dyDescent="0.4">
      <c r="A89" s="478">
        <f t="shared" si="0"/>
        <v>44413</v>
      </c>
      <c r="B89" s="478">
        <f t="shared" si="1"/>
        <v>44413</v>
      </c>
      <c r="C89" s="475"/>
      <c r="D89" s="475"/>
      <c r="E89" s="475"/>
      <c r="F89" s="475"/>
      <c r="G89" s="475"/>
      <c r="H89" s="475"/>
    </row>
    <row r="90" spans="1:8" ht="15" x14ac:dyDescent="0.4">
      <c r="A90" s="478">
        <f t="shared" si="0"/>
        <v>44414</v>
      </c>
      <c r="B90" s="478">
        <f t="shared" si="1"/>
        <v>44420</v>
      </c>
      <c r="C90" s="475"/>
      <c r="D90" s="475"/>
      <c r="E90" s="475"/>
      <c r="F90" s="475"/>
      <c r="G90" s="475"/>
      <c r="H90" s="475"/>
    </row>
    <row r="91" spans="1:8" ht="15" x14ac:dyDescent="0.4">
      <c r="A91" s="478">
        <f t="shared" si="0"/>
        <v>44415</v>
      </c>
      <c r="B91" s="478">
        <f t="shared" si="1"/>
        <v>44420</v>
      </c>
      <c r="C91" s="475"/>
      <c r="D91" s="475"/>
      <c r="E91" s="475"/>
      <c r="F91" s="475"/>
      <c r="G91" s="475"/>
      <c r="H91" s="475"/>
    </row>
    <row r="92" spans="1:8" ht="15" x14ac:dyDescent="0.4">
      <c r="A92" s="478">
        <f t="shared" si="0"/>
        <v>44416</v>
      </c>
      <c r="B92" s="478">
        <f t="shared" si="1"/>
        <v>44420</v>
      </c>
      <c r="C92" s="475"/>
      <c r="D92" s="475"/>
      <c r="E92" s="475"/>
      <c r="F92" s="475"/>
      <c r="G92" s="475"/>
      <c r="H92" s="475"/>
    </row>
    <row r="93" spans="1:8" ht="15" x14ac:dyDescent="0.4">
      <c r="A93" s="478">
        <f t="shared" si="0"/>
        <v>44417</v>
      </c>
      <c r="B93" s="478">
        <f t="shared" si="1"/>
        <v>44420</v>
      </c>
      <c r="C93" s="475"/>
      <c r="D93" s="475"/>
      <c r="E93" s="475"/>
      <c r="F93" s="475"/>
      <c r="G93" s="475"/>
      <c r="H93" s="475"/>
    </row>
    <row r="94" spans="1:8" ht="15" x14ac:dyDescent="0.4">
      <c r="A94" s="478">
        <f t="shared" si="0"/>
        <v>44418</v>
      </c>
      <c r="B94" s="478">
        <f t="shared" si="1"/>
        <v>44420</v>
      </c>
      <c r="C94" s="475"/>
      <c r="D94" s="475"/>
      <c r="E94" s="475"/>
      <c r="F94" s="475"/>
      <c r="G94" s="475"/>
      <c r="H94" s="475"/>
    </row>
    <row r="95" spans="1:8" ht="15" x14ac:dyDescent="0.4">
      <c r="A95" s="478">
        <f t="shared" si="0"/>
        <v>44419</v>
      </c>
      <c r="B95" s="478">
        <f t="shared" si="1"/>
        <v>44420</v>
      </c>
      <c r="C95" s="475"/>
      <c r="D95" s="475"/>
      <c r="E95" s="475"/>
      <c r="F95" s="475"/>
      <c r="G95" s="475"/>
      <c r="H95" s="475"/>
    </row>
    <row r="96" spans="1:8" ht="15" x14ac:dyDescent="0.4">
      <c r="A96" s="478">
        <f t="shared" si="0"/>
        <v>44420</v>
      </c>
      <c r="B96" s="478">
        <f t="shared" si="1"/>
        <v>44420</v>
      </c>
      <c r="C96" s="475"/>
      <c r="D96" s="475"/>
      <c r="E96" s="475"/>
      <c r="F96" s="475"/>
      <c r="G96" s="475"/>
      <c r="H96" s="475"/>
    </row>
    <row r="97" spans="1:8" ht="15" x14ac:dyDescent="0.4">
      <c r="A97" s="478">
        <f t="shared" si="0"/>
        <v>44421</v>
      </c>
      <c r="B97" s="478">
        <f t="shared" si="1"/>
        <v>44427</v>
      </c>
      <c r="C97" s="475"/>
      <c r="D97" s="475"/>
      <c r="E97" s="475"/>
      <c r="F97" s="475"/>
      <c r="G97" s="475"/>
      <c r="H97" s="475"/>
    </row>
    <row r="98" spans="1:8" ht="15" x14ac:dyDescent="0.4">
      <c r="A98" s="478">
        <f t="shared" si="0"/>
        <v>44422</v>
      </c>
      <c r="B98" s="478">
        <f t="shared" si="1"/>
        <v>44427</v>
      </c>
      <c r="C98" s="475"/>
      <c r="D98" s="475"/>
      <c r="E98" s="475"/>
      <c r="F98" s="475"/>
      <c r="G98" s="475"/>
      <c r="H98" s="475"/>
    </row>
    <row r="99" spans="1:8" ht="15" x14ac:dyDescent="0.4">
      <c r="A99" s="478">
        <f t="shared" si="0"/>
        <v>44423</v>
      </c>
      <c r="B99" s="478">
        <f t="shared" si="1"/>
        <v>44427</v>
      </c>
      <c r="C99" s="475"/>
      <c r="D99" s="475"/>
      <c r="E99" s="475"/>
      <c r="F99" s="475"/>
      <c r="G99" s="475"/>
      <c r="H99" s="475"/>
    </row>
    <row r="100" spans="1:8" ht="15" x14ac:dyDescent="0.4">
      <c r="A100" s="478">
        <f t="shared" si="0"/>
        <v>44424</v>
      </c>
      <c r="B100" s="478">
        <f t="shared" si="1"/>
        <v>44427</v>
      </c>
      <c r="C100" s="475"/>
      <c r="D100" s="475"/>
      <c r="E100" s="475"/>
      <c r="F100" s="475"/>
      <c r="G100" s="475"/>
      <c r="H100" s="475"/>
    </row>
    <row r="101" spans="1:8" ht="15" x14ac:dyDescent="0.4">
      <c r="A101" s="478">
        <f t="shared" si="0"/>
        <v>44425</v>
      </c>
      <c r="B101" s="478">
        <f t="shared" si="1"/>
        <v>44427</v>
      </c>
      <c r="C101" s="475"/>
      <c r="D101" s="475"/>
      <c r="E101" s="475"/>
      <c r="F101" s="475"/>
      <c r="G101" s="475"/>
      <c r="H101" s="475"/>
    </row>
    <row r="102" spans="1:8" ht="15" x14ac:dyDescent="0.4">
      <c r="A102" s="478">
        <f t="shared" si="0"/>
        <v>44426</v>
      </c>
      <c r="B102" s="478">
        <f t="shared" si="1"/>
        <v>44427</v>
      </c>
      <c r="C102" s="475"/>
      <c r="D102" s="475"/>
      <c r="E102" s="475"/>
      <c r="F102" s="475"/>
      <c r="G102" s="475"/>
      <c r="H102" s="475"/>
    </row>
    <row r="103" spans="1:8" ht="15" x14ac:dyDescent="0.4">
      <c r="A103" s="478">
        <f t="shared" si="0"/>
        <v>44427</v>
      </c>
      <c r="B103" s="478">
        <f t="shared" si="1"/>
        <v>44427</v>
      </c>
      <c r="C103" s="475"/>
      <c r="D103" s="475"/>
      <c r="E103" s="475"/>
      <c r="F103" s="475"/>
      <c r="G103" s="475"/>
      <c r="H103" s="475"/>
    </row>
    <row r="104" spans="1:8" ht="15" x14ac:dyDescent="0.4">
      <c r="A104" s="478">
        <f t="shared" si="0"/>
        <v>44428</v>
      </c>
      <c r="B104" s="478">
        <f t="shared" si="1"/>
        <v>44434</v>
      </c>
      <c r="C104" s="475"/>
      <c r="D104" s="475"/>
      <c r="E104" s="475"/>
      <c r="F104" s="475"/>
      <c r="G104" s="475"/>
      <c r="H104" s="475"/>
    </row>
    <row r="105" spans="1:8" ht="15" x14ac:dyDescent="0.4">
      <c r="A105" s="478">
        <f t="shared" si="0"/>
        <v>44429</v>
      </c>
      <c r="B105" s="478">
        <f t="shared" si="1"/>
        <v>44434</v>
      </c>
      <c r="C105" s="475"/>
      <c r="D105" s="475"/>
      <c r="E105" s="475"/>
      <c r="F105" s="475"/>
      <c r="G105" s="475"/>
      <c r="H105" s="475"/>
    </row>
    <row r="106" spans="1:8" ht="15" x14ac:dyDescent="0.4">
      <c r="A106" s="478">
        <f t="shared" si="0"/>
        <v>44430</v>
      </c>
      <c r="B106" s="478">
        <f t="shared" si="1"/>
        <v>44434</v>
      </c>
      <c r="C106" s="475"/>
      <c r="D106" s="475"/>
      <c r="E106" s="475"/>
      <c r="F106" s="475"/>
      <c r="G106" s="475"/>
      <c r="H106" s="475"/>
    </row>
    <row r="107" spans="1:8" ht="15" x14ac:dyDescent="0.4">
      <c r="A107" s="478">
        <f t="shared" si="0"/>
        <v>44431</v>
      </c>
      <c r="B107" s="478">
        <f t="shared" si="1"/>
        <v>44434</v>
      </c>
      <c r="C107" s="475"/>
      <c r="D107" s="475"/>
      <c r="E107" s="475"/>
      <c r="F107" s="475"/>
      <c r="G107" s="475"/>
      <c r="H107" s="475"/>
    </row>
    <row r="108" spans="1:8" ht="15" x14ac:dyDescent="0.4">
      <c r="A108" s="478">
        <f t="shared" si="0"/>
        <v>44432</v>
      </c>
      <c r="B108" s="478">
        <f t="shared" si="1"/>
        <v>44434</v>
      </c>
      <c r="C108" s="475"/>
      <c r="D108" s="475"/>
      <c r="E108" s="475"/>
      <c r="F108" s="475"/>
      <c r="G108" s="475"/>
      <c r="H108" s="475"/>
    </row>
    <row r="109" spans="1:8" ht="15" x14ac:dyDescent="0.4">
      <c r="A109" s="478">
        <f t="shared" si="0"/>
        <v>44433</v>
      </c>
      <c r="B109" s="478">
        <f t="shared" si="1"/>
        <v>44434</v>
      </c>
      <c r="C109" s="475"/>
      <c r="D109" s="475"/>
      <c r="E109" s="475"/>
      <c r="F109" s="475"/>
      <c r="G109" s="475"/>
      <c r="H109" s="475"/>
    </row>
    <row r="110" spans="1:8" ht="15" x14ac:dyDescent="0.4">
      <c r="A110" s="478">
        <f t="shared" si="0"/>
        <v>44434</v>
      </c>
      <c r="B110" s="478">
        <f t="shared" si="1"/>
        <v>44434</v>
      </c>
      <c r="C110" s="475"/>
      <c r="D110" s="475"/>
      <c r="E110" s="475"/>
      <c r="F110" s="475"/>
      <c r="G110" s="475"/>
      <c r="H110" s="475"/>
    </row>
    <row r="111" spans="1:8" ht="15" x14ac:dyDescent="0.4">
      <c r="A111" s="478">
        <f t="shared" si="0"/>
        <v>44435</v>
      </c>
      <c r="B111" s="478">
        <f t="shared" si="1"/>
        <v>44441</v>
      </c>
      <c r="C111" s="475"/>
      <c r="D111" s="475"/>
      <c r="E111" s="475"/>
      <c r="F111" s="475"/>
      <c r="G111" s="475"/>
      <c r="H111" s="475"/>
    </row>
    <row r="112" spans="1:8" ht="15" x14ac:dyDescent="0.4">
      <c r="A112" s="478">
        <f t="shared" si="0"/>
        <v>44436</v>
      </c>
      <c r="B112" s="478">
        <f t="shared" si="1"/>
        <v>44441</v>
      </c>
      <c r="C112" s="475"/>
      <c r="D112" s="475"/>
      <c r="E112" s="475"/>
      <c r="F112" s="475"/>
      <c r="G112" s="475"/>
      <c r="H112" s="475"/>
    </row>
    <row r="113" spans="1:8" ht="15" x14ac:dyDescent="0.4">
      <c r="A113" s="478">
        <f t="shared" si="0"/>
        <v>44437</v>
      </c>
      <c r="B113" s="478">
        <f t="shared" si="1"/>
        <v>44441</v>
      </c>
      <c r="C113" s="475"/>
      <c r="D113" s="475"/>
      <c r="E113" s="475"/>
      <c r="F113" s="475"/>
      <c r="G113" s="475"/>
      <c r="H113" s="475"/>
    </row>
    <row r="114" spans="1:8" ht="15" x14ac:dyDescent="0.4">
      <c r="A114" s="478">
        <f t="shared" si="0"/>
        <v>44438</v>
      </c>
      <c r="B114" s="478">
        <f t="shared" si="1"/>
        <v>44441</v>
      </c>
      <c r="C114" s="475"/>
      <c r="D114" s="475"/>
      <c r="E114" s="475"/>
      <c r="F114" s="475"/>
      <c r="G114" s="475"/>
      <c r="H114" s="475"/>
    </row>
    <row r="115" spans="1:8" ht="15" x14ac:dyDescent="0.4">
      <c r="A115" s="478">
        <f t="shared" si="0"/>
        <v>44439</v>
      </c>
      <c r="B115" s="478">
        <f t="shared" si="1"/>
        <v>44441</v>
      </c>
      <c r="C115" s="475"/>
      <c r="D115" s="475"/>
      <c r="E115" s="475"/>
      <c r="F115" s="475"/>
      <c r="G115" s="475"/>
      <c r="H115" s="475"/>
    </row>
    <row r="116" spans="1:8" ht="15" x14ac:dyDescent="0.4">
      <c r="A116" s="478">
        <f t="shared" si="0"/>
        <v>44440</v>
      </c>
      <c r="B116" s="478">
        <f t="shared" si="1"/>
        <v>44441</v>
      </c>
      <c r="C116" s="475"/>
      <c r="D116" s="475"/>
      <c r="E116" s="475"/>
      <c r="F116" s="475"/>
      <c r="G116" s="475"/>
      <c r="H116" s="475"/>
    </row>
    <row r="117" spans="1:8" ht="15" x14ac:dyDescent="0.4">
      <c r="A117" s="478">
        <f t="shared" si="0"/>
        <v>44441</v>
      </c>
      <c r="B117" s="478">
        <f t="shared" si="1"/>
        <v>44441</v>
      </c>
      <c r="C117" s="475"/>
      <c r="D117" s="475"/>
      <c r="E117" s="475"/>
      <c r="F117" s="475"/>
      <c r="G117" s="475"/>
      <c r="H117" s="475"/>
    </row>
    <row r="118" spans="1:8" ht="15" x14ac:dyDescent="0.4">
      <c r="A118" s="478">
        <f t="shared" si="0"/>
        <v>44442</v>
      </c>
      <c r="B118" s="478">
        <f t="shared" si="1"/>
        <v>44448</v>
      </c>
      <c r="C118" s="475"/>
      <c r="D118" s="475"/>
      <c r="E118" s="475"/>
      <c r="F118" s="475"/>
      <c r="G118" s="475"/>
      <c r="H118" s="475"/>
    </row>
    <row r="119" spans="1:8" ht="15" x14ac:dyDescent="0.4">
      <c r="A119" s="478">
        <f t="shared" si="0"/>
        <v>44443</v>
      </c>
      <c r="B119" s="478">
        <f t="shared" si="1"/>
        <v>44448</v>
      </c>
      <c r="C119" s="475"/>
      <c r="D119" s="475"/>
      <c r="E119" s="475"/>
      <c r="F119" s="475"/>
      <c r="G119" s="475"/>
      <c r="H119" s="475"/>
    </row>
    <row r="120" spans="1:8" ht="15" x14ac:dyDescent="0.4">
      <c r="A120" s="478">
        <f t="shared" si="0"/>
        <v>44444</v>
      </c>
      <c r="B120" s="478">
        <f t="shared" si="1"/>
        <v>44448</v>
      </c>
      <c r="C120" s="475"/>
      <c r="D120" s="475"/>
      <c r="E120" s="475"/>
      <c r="F120" s="475"/>
      <c r="G120" s="475"/>
      <c r="H120" s="475"/>
    </row>
    <row r="121" spans="1:8" ht="15" x14ac:dyDescent="0.4">
      <c r="A121" s="478">
        <f t="shared" si="0"/>
        <v>44445</v>
      </c>
      <c r="B121" s="478">
        <f t="shared" si="1"/>
        <v>44448</v>
      </c>
      <c r="C121" s="475"/>
      <c r="D121" s="475"/>
      <c r="E121" s="475"/>
      <c r="F121" s="475"/>
      <c r="G121" s="475"/>
      <c r="H121" s="475"/>
    </row>
    <row r="122" spans="1:8" ht="15" x14ac:dyDescent="0.4">
      <c r="A122" s="478">
        <f t="shared" si="0"/>
        <v>44446</v>
      </c>
      <c r="B122" s="478">
        <f t="shared" si="1"/>
        <v>44448</v>
      </c>
      <c r="C122" s="475"/>
      <c r="D122" s="475"/>
      <c r="E122" s="475"/>
      <c r="F122" s="475"/>
      <c r="G122" s="475"/>
      <c r="H122" s="475"/>
    </row>
    <row r="123" spans="1:8" ht="15" x14ac:dyDescent="0.4">
      <c r="A123" s="478">
        <f t="shared" si="0"/>
        <v>44447</v>
      </c>
      <c r="B123" s="478">
        <f t="shared" si="1"/>
        <v>44448</v>
      </c>
      <c r="C123" s="475"/>
      <c r="D123" s="475"/>
      <c r="E123" s="475"/>
      <c r="F123" s="475"/>
      <c r="G123" s="475"/>
      <c r="H123" s="475"/>
    </row>
    <row r="124" spans="1:8" ht="15" x14ac:dyDescent="0.4">
      <c r="A124" s="478">
        <f t="shared" si="0"/>
        <v>44448</v>
      </c>
      <c r="B124" s="478">
        <f t="shared" si="1"/>
        <v>44448</v>
      </c>
      <c r="C124" s="475"/>
      <c r="D124" s="475"/>
      <c r="E124" s="475"/>
      <c r="F124" s="475"/>
      <c r="G124" s="475"/>
      <c r="H124" s="475"/>
    </row>
    <row r="125" spans="1:8" ht="15" x14ac:dyDescent="0.4">
      <c r="A125" s="478">
        <f t="shared" si="0"/>
        <v>44449</v>
      </c>
      <c r="B125" s="478">
        <f t="shared" si="1"/>
        <v>44455</v>
      </c>
      <c r="C125" s="475"/>
      <c r="D125" s="475"/>
      <c r="E125" s="475"/>
      <c r="F125" s="475"/>
      <c r="G125" s="475"/>
      <c r="H125" s="475"/>
    </row>
    <row r="126" spans="1:8" ht="15" x14ac:dyDescent="0.4">
      <c r="A126" s="478">
        <f t="shared" si="0"/>
        <v>44450</v>
      </c>
      <c r="B126" s="478">
        <f t="shared" si="1"/>
        <v>44455</v>
      </c>
      <c r="C126" s="475"/>
      <c r="D126" s="475"/>
      <c r="E126" s="475"/>
      <c r="F126" s="475"/>
      <c r="G126" s="475"/>
      <c r="H126" s="475"/>
    </row>
    <row r="127" spans="1:8" ht="15" x14ac:dyDescent="0.4">
      <c r="A127" s="478">
        <f t="shared" si="0"/>
        <v>44451</v>
      </c>
      <c r="B127" s="478">
        <f t="shared" si="1"/>
        <v>44455</v>
      </c>
      <c r="C127" s="475"/>
      <c r="D127" s="475"/>
      <c r="E127" s="475"/>
      <c r="F127" s="475"/>
      <c r="G127" s="475"/>
      <c r="H127" s="475"/>
    </row>
    <row r="128" spans="1:8" ht="15" x14ac:dyDescent="0.4">
      <c r="A128" s="478">
        <f t="shared" si="0"/>
        <v>44452</v>
      </c>
      <c r="B128" s="478">
        <f t="shared" si="1"/>
        <v>44455</v>
      </c>
      <c r="C128" s="475"/>
      <c r="D128" s="475"/>
      <c r="E128" s="475"/>
      <c r="F128" s="475"/>
      <c r="G128" s="475"/>
      <c r="H128" s="475"/>
    </row>
    <row r="129" spans="1:8" ht="15" x14ac:dyDescent="0.4">
      <c r="A129" s="478">
        <f t="shared" si="0"/>
        <v>44453</v>
      </c>
      <c r="B129" s="478">
        <f t="shared" si="1"/>
        <v>44455</v>
      </c>
      <c r="C129" s="475"/>
      <c r="D129" s="475"/>
      <c r="E129" s="475"/>
      <c r="F129" s="475"/>
      <c r="G129" s="475"/>
      <c r="H129" s="475"/>
    </row>
    <row r="130" spans="1:8" ht="15" x14ac:dyDescent="0.4">
      <c r="A130" s="478">
        <f t="shared" si="0"/>
        <v>44454</v>
      </c>
      <c r="B130" s="478">
        <f t="shared" si="1"/>
        <v>44455</v>
      </c>
      <c r="C130" s="475"/>
      <c r="D130" s="475"/>
      <c r="E130" s="475"/>
      <c r="F130" s="475"/>
      <c r="G130" s="475"/>
      <c r="H130" s="475"/>
    </row>
    <row r="131" spans="1:8" ht="15" x14ac:dyDescent="0.4">
      <c r="A131" s="478">
        <f t="shared" si="0"/>
        <v>44455</v>
      </c>
      <c r="B131" s="478">
        <f t="shared" si="1"/>
        <v>44455</v>
      </c>
      <c r="C131" s="475"/>
      <c r="D131" s="475"/>
      <c r="E131" s="475"/>
      <c r="F131" s="475"/>
      <c r="G131" s="475"/>
      <c r="H131" s="475"/>
    </row>
    <row r="132" spans="1:8" ht="15" x14ac:dyDescent="0.4">
      <c r="A132" s="478">
        <f t="shared" si="0"/>
        <v>44456</v>
      </c>
      <c r="B132" s="478">
        <f t="shared" si="1"/>
        <v>44462</v>
      </c>
      <c r="C132" s="475"/>
      <c r="D132" s="475"/>
      <c r="E132" s="475"/>
      <c r="F132" s="475"/>
      <c r="G132" s="475"/>
      <c r="H132" s="475"/>
    </row>
    <row r="133" spans="1:8" ht="15" x14ac:dyDescent="0.4">
      <c r="A133" s="478">
        <f t="shared" si="0"/>
        <v>44457</v>
      </c>
      <c r="B133" s="478">
        <f t="shared" si="1"/>
        <v>44462</v>
      </c>
      <c r="C133" s="475"/>
      <c r="D133" s="475"/>
      <c r="E133" s="475"/>
      <c r="F133" s="475"/>
      <c r="G133" s="475"/>
      <c r="H133" s="475"/>
    </row>
    <row r="134" spans="1:8" ht="15" x14ac:dyDescent="0.4">
      <c r="A134" s="478">
        <f t="shared" si="0"/>
        <v>44458</v>
      </c>
      <c r="B134" s="478">
        <f t="shared" si="1"/>
        <v>44462</v>
      </c>
      <c r="C134" s="475"/>
      <c r="D134" s="475"/>
      <c r="E134" s="475"/>
      <c r="F134" s="475"/>
      <c r="G134" s="475"/>
      <c r="H134" s="475"/>
    </row>
    <row r="135" spans="1:8" ht="15" x14ac:dyDescent="0.4">
      <c r="A135" s="478">
        <f t="shared" si="0"/>
        <v>44459</v>
      </c>
      <c r="B135" s="478">
        <f t="shared" si="1"/>
        <v>44462</v>
      </c>
      <c r="C135" s="475"/>
      <c r="D135" s="475"/>
      <c r="E135" s="475"/>
      <c r="F135" s="475"/>
      <c r="G135" s="475"/>
      <c r="H135" s="475"/>
    </row>
    <row r="136" spans="1:8" ht="15" x14ac:dyDescent="0.4">
      <c r="A136" s="478">
        <f t="shared" si="0"/>
        <v>44460</v>
      </c>
      <c r="B136" s="478">
        <f t="shared" si="1"/>
        <v>44462</v>
      </c>
      <c r="C136" s="475"/>
      <c r="D136" s="475"/>
      <c r="E136" s="475"/>
      <c r="F136" s="475"/>
      <c r="G136" s="475"/>
      <c r="H136" s="475"/>
    </row>
    <row r="137" spans="1:8" ht="15" x14ac:dyDescent="0.4">
      <c r="A137" s="478">
        <f t="shared" si="0"/>
        <v>44461</v>
      </c>
      <c r="B137" s="478">
        <f t="shared" si="1"/>
        <v>44462</v>
      </c>
      <c r="C137" s="475"/>
      <c r="D137" s="475"/>
      <c r="E137" s="475"/>
      <c r="F137" s="475"/>
      <c r="G137" s="475"/>
      <c r="H137" s="475"/>
    </row>
    <row r="138" spans="1:8" ht="15" x14ac:dyDescent="0.4">
      <c r="A138" s="478">
        <f t="shared" si="0"/>
        <v>44462</v>
      </c>
      <c r="B138" s="478">
        <f t="shared" si="1"/>
        <v>44462</v>
      </c>
      <c r="C138" s="475"/>
      <c r="D138" s="475"/>
      <c r="E138" s="475"/>
      <c r="F138" s="475"/>
      <c r="G138" s="475"/>
      <c r="H138" s="475"/>
    </row>
    <row r="139" spans="1:8" ht="15" x14ac:dyDescent="0.4">
      <c r="A139" s="478">
        <f t="shared" si="0"/>
        <v>44463</v>
      </c>
      <c r="B139" s="478">
        <f t="shared" si="1"/>
        <v>44469</v>
      </c>
      <c r="C139" s="475"/>
      <c r="D139" s="475"/>
      <c r="E139" s="475"/>
      <c r="F139" s="475"/>
      <c r="G139" s="475"/>
      <c r="H139" s="475"/>
    </row>
    <row r="140" spans="1:8" ht="15" x14ac:dyDescent="0.4">
      <c r="A140" s="478">
        <f t="shared" si="0"/>
        <v>44464</v>
      </c>
      <c r="B140" s="478">
        <f t="shared" si="1"/>
        <v>44469</v>
      </c>
      <c r="C140" s="475"/>
      <c r="D140" s="475"/>
      <c r="E140" s="475"/>
      <c r="F140" s="475"/>
      <c r="G140" s="475"/>
      <c r="H140" s="475"/>
    </row>
    <row r="141" spans="1:8" ht="15" x14ac:dyDescent="0.4">
      <c r="A141" s="478">
        <f t="shared" si="0"/>
        <v>44465</v>
      </c>
      <c r="B141" s="478">
        <f t="shared" si="1"/>
        <v>44469</v>
      </c>
      <c r="C141" s="475"/>
      <c r="D141" s="475"/>
      <c r="E141" s="475"/>
      <c r="F141" s="475"/>
      <c r="G141" s="475"/>
      <c r="H141" s="475"/>
    </row>
    <row r="142" spans="1:8" ht="15" x14ac:dyDescent="0.4">
      <c r="A142" s="478">
        <f t="shared" si="0"/>
        <v>44466</v>
      </c>
      <c r="B142" s="478">
        <f t="shared" si="1"/>
        <v>44469</v>
      </c>
      <c r="C142" s="475"/>
      <c r="D142" s="475"/>
      <c r="E142" s="475"/>
      <c r="F142" s="475"/>
      <c r="G142" s="475"/>
      <c r="H142" s="475"/>
    </row>
    <row r="143" spans="1:8" ht="15" x14ac:dyDescent="0.4">
      <c r="A143" s="478">
        <f t="shared" si="0"/>
        <v>44467</v>
      </c>
      <c r="B143" s="478">
        <f t="shared" si="1"/>
        <v>44469</v>
      </c>
      <c r="C143" s="475"/>
      <c r="D143" s="475"/>
      <c r="E143" s="475"/>
      <c r="F143" s="475"/>
      <c r="G143" s="475"/>
      <c r="H143" s="475"/>
    </row>
    <row r="144" spans="1:8" ht="15" x14ac:dyDescent="0.4">
      <c r="A144" s="478">
        <f t="shared" si="0"/>
        <v>44468</v>
      </c>
      <c r="B144" s="478">
        <f t="shared" si="1"/>
        <v>44469</v>
      </c>
      <c r="C144" s="475"/>
      <c r="D144" s="475"/>
      <c r="E144" s="475"/>
      <c r="F144" s="475"/>
      <c r="G144" s="475"/>
      <c r="H144" s="475"/>
    </row>
    <row r="145" spans="1:8" ht="15" x14ac:dyDescent="0.4">
      <c r="A145" s="478">
        <f t="shared" si="0"/>
        <v>44469</v>
      </c>
      <c r="B145" s="478">
        <f t="shared" si="1"/>
        <v>44469</v>
      </c>
      <c r="C145" s="475"/>
      <c r="D145" s="475"/>
      <c r="E145" s="475"/>
      <c r="F145" s="475"/>
      <c r="G145" s="475"/>
      <c r="H145" s="475"/>
    </row>
    <row r="146" spans="1:8" ht="15" x14ac:dyDescent="0.4">
      <c r="A146" s="478">
        <f t="shared" si="0"/>
        <v>44470</v>
      </c>
      <c r="B146" s="478">
        <f t="shared" si="1"/>
        <v>44476</v>
      </c>
      <c r="C146" s="475"/>
      <c r="D146" s="475"/>
      <c r="E146" s="475"/>
      <c r="F146" s="475"/>
      <c r="G146" s="475"/>
      <c r="H146" s="475"/>
    </row>
    <row r="147" spans="1:8" ht="15" x14ac:dyDescent="0.4">
      <c r="A147" s="478">
        <f t="shared" si="0"/>
        <v>44471</v>
      </c>
      <c r="B147" s="478">
        <f t="shared" si="1"/>
        <v>44476</v>
      </c>
      <c r="C147" s="475"/>
      <c r="D147" s="475"/>
      <c r="E147" s="475"/>
      <c r="F147" s="475"/>
      <c r="G147" s="475"/>
      <c r="H147" s="475"/>
    </row>
    <row r="148" spans="1:8" ht="15" x14ac:dyDescent="0.4">
      <c r="A148" s="478">
        <f t="shared" si="0"/>
        <v>44472</v>
      </c>
      <c r="B148" s="478">
        <f t="shared" si="1"/>
        <v>44476</v>
      </c>
      <c r="C148" s="475"/>
      <c r="D148" s="475"/>
      <c r="E148" s="475"/>
      <c r="F148" s="475"/>
      <c r="G148" s="475"/>
      <c r="H148" s="475"/>
    </row>
    <row r="149" spans="1:8" ht="15" x14ac:dyDescent="0.4">
      <c r="A149" s="478">
        <f t="shared" si="0"/>
        <v>44473</v>
      </c>
      <c r="B149" s="478">
        <f t="shared" si="1"/>
        <v>44476</v>
      </c>
      <c r="C149" s="475"/>
      <c r="D149" s="475"/>
      <c r="E149" s="475"/>
      <c r="F149" s="475"/>
      <c r="G149" s="475"/>
      <c r="H149" s="475"/>
    </row>
    <row r="150" spans="1:8" ht="15" x14ac:dyDescent="0.4">
      <c r="A150" s="478">
        <f t="shared" si="0"/>
        <v>44474</v>
      </c>
      <c r="B150" s="478">
        <f t="shared" si="1"/>
        <v>44476</v>
      </c>
      <c r="C150" s="475"/>
      <c r="D150" s="475"/>
      <c r="E150" s="475"/>
      <c r="F150" s="475"/>
      <c r="G150" s="475"/>
      <c r="H150" s="475"/>
    </row>
    <row r="151" spans="1:8" ht="15" x14ac:dyDescent="0.4">
      <c r="A151" s="478">
        <f t="shared" si="0"/>
        <v>44475</v>
      </c>
      <c r="B151" s="478">
        <f t="shared" si="1"/>
        <v>44476</v>
      </c>
      <c r="C151" s="475"/>
      <c r="D151" s="475"/>
      <c r="E151" s="475"/>
      <c r="F151" s="475"/>
      <c r="G151" s="475"/>
      <c r="H151" s="475"/>
    </row>
    <row r="152" spans="1:8" ht="15" x14ac:dyDescent="0.4">
      <c r="A152" s="478">
        <f t="shared" si="0"/>
        <v>44476</v>
      </c>
      <c r="B152" s="478">
        <f t="shared" si="1"/>
        <v>44476</v>
      </c>
      <c r="C152" s="475"/>
      <c r="D152" s="475"/>
      <c r="E152" s="475"/>
      <c r="F152" s="475"/>
      <c r="G152" s="475"/>
      <c r="H152" s="475"/>
    </row>
    <row r="153" spans="1:8" ht="15" x14ac:dyDescent="0.4">
      <c r="A153" s="478">
        <f t="shared" si="0"/>
        <v>44477</v>
      </c>
      <c r="B153" s="478">
        <f t="shared" si="1"/>
        <v>44483</v>
      </c>
      <c r="C153" s="475"/>
      <c r="D153" s="475"/>
      <c r="E153" s="475"/>
      <c r="F153" s="475"/>
      <c r="G153" s="475"/>
      <c r="H153" s="475"/>
    </row>
    <row r="154" spans="1:8" ht="15" x14ac:dyDescent="0.4">
      <c r="A154" s="478">
        <f t="shared" si="0"/>
        <v>44478</v>
      </c>
      <c r="B154" s="478">
        <f t="shared" si="1"/>
        <v>44483</v>
      </c>
      <c r="C154" s="475"/>
      <c r="D154" s="475"/>
      <c r="E154" s="475"/>
      <c r="F154" s="475"/>
      <c r="G154" s="475"/>
      <c r="H154" s="475"/>
    </row>
    <row r="155" spans="1:8" ht="15" x14ac:dyDescent="0.4">
      <c r="A155" s="478">
        <f t="shared" si="0"/>
        <v>44479</v>
      </c>
      <c r="B155" s="478">
        <f t="shared" si="1"/>
        <v>44483</v>
      </c>
      <c r="C155" s="475"/>
      <c r="D155" s="475"/>
      <c r="E155" s="475"/>
      <c r="F155" s="475"/>
      <c r="G155" s="475"/>
      <c r="H155" s="475"/>
    </row>
    <row r="156" spans="1:8" ht="15" x14ac:dyDescent="0.4">
      <c r="A156" s="478">
        <f t="shared" si="0"/>
        <v>44480</v>
      </c>
      <c r="B156" s="478">
        <f t="shared" si="1"/>
        <v>44483</v>
      </c>
      <c r="C156" s="475"/>
      <c r="D156" s="475"/>
      <c r="E156" s="475"/>
      <c r="F156" s="475"/>
      <c r="G156" s="475"/>
      <c r="H156" s="475"/>
    </row>
    <row r="157" spans="1:8" ht="15" x14ac:dyDescent="0.4">
      <c r="A157" s="478">
        <f t="shared" si="0"/>
        <v>44481</v>
      </c>
      <c r="B157" s="478">
        <f t="shared" si="1"/>
        <v>44483</v>
      </c>
      <c r="C157" s="475"/>
      <c r="D157" s="475"/>
      <c r="E157" s="475"/>
      <c r="F157" s="475"/>
      <c r="G157" s="475"/>
      <c r="H157" s="475"/>
    </row>
    <row r="158" spans="1:8" ht="15" x14ac:dyDescent="0.4">
      <c r="A158" s="478">
        <f t="shared" si="0"/>
        <v>44482</v>
      </c>
      <c r="B158" s="478">
        <f t="shared" si="1"/>
        <v>44483</v>
      </c>
      <c r="C158" s="475"/>
      <c r="D158" s="475"/>
      <c r="E158" s="475"/>
      <c r="F158" s="475"/>
      <c r="G158" s="475"/>
      <c r="H158" s="475"/>
    </row>
    <row r="159" spans="1:8" ht="15" x14ac:dyDescent="0.4">
      <c r="A159" s="478">
        <f t="shared" si="0"/>
        <v>44483</v>
      </c>
      <c r="B159" s="478">
        <f t="shared" si="1"/>
        <v>44483</v>
      </c>
      <c r="C159" s="475"/>
      <c r="D159" s="475"/>
      <c r="E159" s="475"/>
      <c r="F159" s="475"/>
      <c r="G159" s="475"/>
      <c r="H159" s="475"/>
    </row>
    <row r="160" spans="1:8" ht="15" x14ac:dyDescent="0.4">
      <c r="A160" s="478">
        <f t="shared" si="0"/>
        <v>44484</v>
      </c>
      <c r="B160" s="478">
        <f t="shared" si="1"/>
        <v>44490</v>
      </c>
      <c r="C160" s="475"/>
      <c r="D160" s="475"/>
      <c r="E160" s="475"/>
      <c r="F160" s="475"/>
      <c r="G160" s="475"/>
      <c r="H160" s="475"/>
    </row>
    <row r="161" spans="1:8" ht="15" x14ac:dyDescent="0.4">
      <c r="A161" s="478">
        <f t="shared" si="0"/>
        <v>44485</v>
      </c>
      <c r="B161" s="478">
        <f t="shared" si="1"/>
        <v>44490</v>
      </c>
      <c r="C161" s="475"/>
      <c r="D161" s="475"/>
      <c r="E161" s="475"/>
      <c r="F161" s="475"/>
      <c r="G161" s="475"/>
      <c r="H161" s="475"/>
    </row>
    <row r="162" spans="1:8" ht="15" x14ac:dyDescent="0.4">
      <c r="A162" s="478">
        <f t="shared" si="0"/>
        <v>44486</v>
      </c>
      <c r="B162" s="478">
        <f t="shared" si="1"/>
        <v>44490</v>
      </c>
      <c r="C162" s="475"/>
      <c r="D162" s="475"/>
      <c r="E162" s="475"/>
      <c r="F162" s="475"/>
      <c r="G162" s="475"/>
      <c r="H162" s="475"/>
    </row>
    <row r="163" spans="1:8" ht="15" x14ac:dyDescent="0.4">
      <c r="A163" s="478">
        <f t="shared" si="0"/>
        <v>44487</v>
      </c>
      <c r="B163" s="478">
        <f t="shared" si="1"/>
        <v>44490</v>
      </c>
      <c r="C163" s="475"/>
      <c r="D163" s="475"/>
      <c r="E163" s="475"/>
      <c r="F163" s="475"/>
      <c r="G163" s="475"/>
      <c r="H163" s="475"/>
    </row>
    <row r="164" spans="1:8" ht="15" x14ac:dyDescent="0.4">
      <c r="A164" s="478">
        <f t="shared" si="0"/>
        <v>44488</v>
      </c>
      <c r="B164" s="478">
        <f t="shared" si="1"/>
        <v>44490</v>
      </c>
      <c r="C164" s="475"/>
      <c r="D164" s="475"/>
      <c r="E164" s="475"/>
      <c r="F164" s="475"/>
      <c r="G164" s="475"/>
      <c r="H164" s="475"/>
    </row>
    <row r="165" spans="1:8" ht="15" x14ac:dyDescent="0.4">
      <c r="A165" s="478">
        <f t="shared" si="0"/>
        <v>44489</v>
      </c>
      <c r="B165" s="478">
        <f t="shared" si="1"/>
        <v>44490</v>
      </c>
      <c r="C165" s="475"/>
      <c r="D165" s="475"/>
      <c r="E165" s="475"/>
      <c r="F165" s="475"/>
      <c r="G165" s="475"/>
      <c r="H165" s="475"/>
    </row>
    <row r="166" spans="1:8" ht="15" x14ac:dyDescent="0.4">
      <c r="A166" s="478">
        <f t="shared" si="0"/>
        <v>44490</v>
      </c>
      <c r="B166" s="478">
        <f t="shared" si="1"/>
        <v>44490</v>
      </c>
      <c r="C166" s="475"/>
      <c r="D166" s="475"/>
      <c r="E166" s="475"/>
      <c r="F166" s="475"/>
      <c r="G166" s="475"/>
      <c r="H166" s="475"/>
    </row>
    <row r="167" spans="1:8" ht="15" x14ac:dyDescent="0.4">
      <c r="A167" s="478">
        <f t="shared" si="0"/>
        <v>44491</v>
      </c>
      <c r="B167" s="478">
        <f t="shared" si="1"/>
        <v>44497</v>
      </c>
      <c r="C167" s="475"/>
      <c r="D167" s="475"/>
      <c r="E167" s="475"/>
      <c r="F167" s="475"/>
      <c r="G167" s="475"/>
      <c r="H167" s="475"/>
    </row>
    <row r="168" spans="1:8" ht="15" x14ac:dyDescent="0.4">
      <c r="A168" s="478">
        <f t="shared" si="0"/>
        <v>44492</v>
      </c>
      <c r="B168" s="478">
        <f t="shared" si="1"/>
        <v>44497</v>
      </c>
      <c r="C168" s="475"/>
      <c r="D168" s="475"/>
      <c r="E168" s="475"/>
      <c r="F168" s="475"/>
      <c r="G168" s="475"/>
      <c r="H168" s="475"/>
    </row>
    <row r="169" spans="1:8" ht="15" x14ac:dyDescent="0.4">
      <c r="A169" s="478">
        <f t="shared" si="0"/>
        <v>44493</v>
      </c>
      <c r="B169" s="478">
        <f t="shared" si="1"/>
        <v>44497</v>
      </c>
      <c r="C169" s="475"/>
      <c r="D169" s="475"/>
      <c r="E169" s="475"/>
      <c r="F169" s="475"/>
      <c r="G169" s="475"/>
      <c r="H169" s="475"/>
    </row>
    <row r="170" spans="1:8" ht="15" x14ac:dyDescent="0.4">
      <c r="A170" s="478">
        <f t="shared" si="0"/>
        <v>44494</v>
      </c>
      <c r="B170" s="478">
        <f t="shared" si="1"/>
        <v>44497</v>
      </c>
      <c r="C170" s="475"/>
      <c r="D170" s="475"/>
      <c r="E170" s="475"/>
      <c r="F170" s="475"/>
      <c r="G170" s="475"/>
      <c r="H170" s="475"/>
    </row>
    <row r="171" spans="1:8" ht="15" x14ac:dyDescent="0.4">
      <c r="A171" s="478">
        <f t="shared" si="0"/>
        <v>44495</v>
      </c>
      <c r="B171" s="478">
        <f t="shared" si="1"/>
        <v>44497</v>
      </c>
      <c r="C171" s="475"/>
      <c r="D171" s="475"/>
      <c r="E171" s="475"/>
      <c r="F171" s="475"/>
      <c r="G171" s="475"/>
      <c r="H171" s="475"/>
    </row>
    <row r="172" spans="1:8" ht="15" x14ac:dyDescent="0.4">
      <c r="A172" s="478">
        <f t="shared" si="0"/>
        <v>44496</v>
      </c>
      <c r="B172" s="478">
        <f t="shared" si="1"/>
        <v>44497</v>
      </c>
      <c r="C172" s="475"/>
      <c r="D172" s="475"/>
      <c r="E172" s="475"/>
      <c r="F172" s="475"/>
      <c r="G172" s="475"/>
      <c r="H172" s="475"/>
    </row>
    <row r="173" spans="1:8" ht="15" x14ac:dyDescent="0.4">
      <c r="A173" s="478">
        <f t="shared" si="0"/>
        <v>44497</v>
      </c>
      <c r="B173" s="478">
        <f t="shared" si="1"/>
        <v>44497</v>
      </c>
      <c r="C173" s="475"/>
      <c r="D173" s="475"/>
      <c r="E173" s="475"/>
      <c r="F173" s="475"/>
      <c r="G173" s="475"/>
      <c r="H173" s="475"/>
    </row>
    <row r="174" spans="1:8" ht="15" x14ac:dyDescent="0.4">
      <c r="A174" s="478">
        <f t="shared" si="0"/>
        <v>44498</v>
      </c>
      <c r="B174" s="478">
        <f t="shared" si="1"/>
        <v>44504</v>
      </c>
      <c r="C174" s="475"/>
      <c r="D174" s="475"/>
      <c r="E174" s="475"/>
      <c r="F174" s="475"/>
      <c r="G174" s="475"/>
      <c r="H174" s="475"/>
    </row>
    <row r="175" spans="1:8" ht="15" x14ac:dyDescent="0.4">
      <c r="A175" s="478">
        <f t="shared" si="0"/>
        <v>44499</v>
      </c>
      <c r="B175" s="478">
        <f t="shared" si="1"/>
        <v>44504</v>
      </c>
      <c r="C175" s="475"/>
      <c r="D175" s="475"/>
      <c r="E175" s="475"/>
      <c r="F175" s="475"/>
      <c r="G175" s="475"/>
      <c r="H175" s="475"/>
    </row>
    <row r="176" spans="1:8" ht="15" x14ac:dyDescent="0.4">
      <c r="A176" s="478">
        <f t="shared" si="0"/>
        <v>44500</v>
      </c>
      <c r="B176" s="478">
        <f t="shared" si="1"/>
        <v>44504</v>
      </c>
      <c r="C176" s="475"/>
      <c r="D176" s="475"/>
      <c r="E176" s="475"/>
      <c r="F176" s="475"/>
      <c r="G176" s="475"/>
      <c r="H176" s="475"/>
    </row>
    <row r="177" spans="1:8" ht="15" x14ac:dyDescent="0.4">
      <c r="A177" s="478">
        <f t="shared" si="0"/>
        <v>44501</v>
      </c>
      <c r="B177" s="478">
        <f t="shared" si="1"/>
        <v>44504</v>
      </c>
      <c r="C177" s="475"/>
      <c r="D177" s="475"/>
      <c r="E177" s="475"/>
      <c r="F177" s="475"/>
      <c r="G177" s="475"/>
      <c r="H177" s="475"/>
    </row>
    <row r="178" spans="1:8" ht="15" x14ac:dyDescent="0.4">
      <c r="A178" s="478">
        <f t="shared" si="0"/>
        <v>44502</v>
      </c>
      <c r="B178" s="478">
        <f t="shared" si="1"/>
        <v>44504</v>
      </c>
      <c r="C178" s="475"/>
      <c r="D178" s="475"/>
      <c r="E178" s="475"/>
      <c r="F178" s="475"/>
      <c r="G178" s="475"/>
      <c r="H178" s="475"/>
    </row>
    <row r="179" spans="1:8" ht="15" x14ac:dyDescent="0.4">
      <c r="A179" s="478">
        <f t="shared" si="0"/>
        <v>44503</v>
      </c>
      <c r="B179" s="478">
        <f t="shared" si="1"/>
        <v>44504</v>
      </c>
      <c r="C179" s="475"/>
      <c r="D179" s="475"/>
      <c r="E179" s="475"/>
      <c r="F179" s="475"/>
      <c r="G179" s="475"/>
      <c r="H179" s="475"/>
    </row>
    <row r="180" spans="1:8" ht="15" x14ac:dyDescent="0.4">
      <c r="A180" s="478">
        <f t="shared" si="0"/>
        <v>44504</v>
      </c>
      <c r="B180" s="478">
        <f t="shared" si="1"/>
        <v>44504</v>
      </c>
      <c r="C180" s="475"/>
      <c r="D180" s="475"/>
      <c r="E180" s="475"/>
      <c r="F180" s="475"/>
      <c r="G180" s="475"/>
      <c r="H180" s="475"/>
    </row>
    <row r="181" spans="1:8" ht="15" x14ac:dyDescent="0.4">
      <c r="A181" s="478">
        <f t="shared" si="0"/>
        <v>44505</v>
      </c>
      <c r="B181" s="478">
        <f t="shared" si="1"/>
        <v>44511</v>
      </c>
      <c r="C181" s="475"/>
      <c r="D181" s="475"/>
      <c r="E181" s="475"/>
      <c r="F181" s="475"/>
      <c r="G181" s="475"/>
      <c r="H181" s="475"/>
    </row>
    <row r="182" spans="1:8" ht="15" x14ac:dyDescent="0.4">
      <c r="A182" s="478">
        <f t="shared" si="0"/>
        <v>44506</v>
      </c>
      <c r="B182" s="478">
        <f t="shared" si="1"/>
        <v>44511</v>
      </c>
      <c r="C182" s="475"/>
      <c r="D182" s="475"/>
      <c r="E182" s="475"/>
      <c r="F182" s="475"/>
      <c r="G182" s="475"/>
      <c r="H182" s="475"/>
    </row>
    <row r="183" spans="1:8" ht="15" x14ac:dyDescent="0.4">
      <c r="A183" s="478">
        <f t="shared" si="0"/>
        <v>44507</v>
      </c>
      <c r="B183" s="478">
        <f t="shared" si="1"/>
        <v>44511</v>
      </c>
      <c r="C183" s="475"/>
      <c r="D183" s="475"/>
      <c r="E183" s="475"/>
      <c r="F183" s="475"/>
      <c r="G183" s="475"/>
      <c r="H183" s="475"/>
    </row>
    <row r="184" spans="1:8" ht="15" x14ac:dyDescent="0.4">
      <c r="A184" s="478">
        <f t="shared" si="0"/>
        <v>44508</v>
      </c>
      <c r="B184" s="478">
        <f t="shared" si="1"/>
        <v>44511</v>
      </c>
      <c r="C184" s="475"/>
      <c r="D184" s="475"/>
      <c r="E184" s="475"/>
      <c r="F184" s="475"/>
      <c r="G184" s="475"/>
      <c r="H184" s="475"/>
    </row>
    <row r="185" spans="1:8" ht="15" x14ac:dyDescent="0.4">
      <c r="A185" s="478">
        <f t="shared" si="0"/>
        <v>44509</v>
      </c>
      <c r="B185" s="478">
        <f t="shared" si="1"/>
        <v>44511</v>
      </c>
      <c r="C185" s="475"/>
      <c r="D185" s="475"/>
      <c r="E185" s="475"/>
      <c r="F185" s="475"/>
      <c r="G185" s="475"/>
      <c r="H185" s="475"/>
    </row>
    <row r="186" spans="1:8" ht="15" x14ac:dyDescent="0.4">
      <c r="A186" s="478">
        <f t="shared" si="0"/>
        <v>44510</v>
      </c>
      <c r="B186" s="478">
        <f t="shared" si="1"/>
        <v>44511</v>
      </c>
      <c r="C186" s="475"/>
      <c r="D186" s="475"/>
      <c r="E186" s="475"/>
      <c r="F186" s="475"/>
      <c r="G186" s="475"/>
      <c r="H186" s="475"/>
    </row>
    <row r="187" spans="1:8" ht="15" x14ac:dyDescent="0.4">
      <c r="A187" s="478">
        <f t="shared" si="0"/>
        <v>44511</v>
      </c>
      <c r="B187" s="478">
        <f t="shared" si="1"/>
        <v>44511</v>
      </c>
      <c r="C187" s="475"/>
      <c r="D187" s="475"/>
      <c r="E187" s="475"/>
      <c r="F187" s="475"/>
      <c r="G187" s="475"/>
      <c r="H187" s="475"/>
    </row>
    <row r="188" spans="1:8" ht="15" x14ac:dyDescent="0.4">
      <c r="A188" s="478">
        <f t="shared" si="0"/>
        <v>44512</v>
      </c>
      <c r="B188" s="478">
        <f t="shared" si="1"/>
        <v>44518</v>
      </c>
      <c r="C188" s="475"/>
      <c r="D188" s="475"/>
      <c r="E188" s="475"/>
      <c r="F188" s="475"/>
      <c r="G188" s="475"/>
      <c r="H188" s="475"/>
    </row>
    <row r="189" spans="1:8" ht="15" x14ac:dyDescent="0.4">
      <c r="A189" s="478">
        <f t="shared" si="0"/>
        <v>44513</v>
      </c>
      <c r="B189" s="478">
        <f t="shared" si="1"/>
        <v>44518</v>
      </c>
      <c r="C189" s="475"/>
      <c r="D189" s="475"/>
      <c r="E189" s="475"/>
      <c r="F189" s="475"/>
      <c r="G189" s="475"/>
      <c r="H189" s="475"/>
    </row>
    <row r="190" spans="1:8" ht="15" x14ac:dyDescent="0.4">
      <c r="A190" s="478">
        <f t="shared" si="0"/>
        <v>44514</v>
      </c>
      <c r="B190" s="478">
        <f t="shared" si="1"/>
        <v>44518</v>
      </c>
      <c r="C190" s="475"/>
      <c r="D190" s="475"/>
      <c r="E190" s="475"/>
      <c r="F190" s="475"/>
      <c r="G190" s="475"/>
      <c r="H190" s="475"/>
    </row>
    <row r="191" spans="1:8" ht="15" x14ac:dyDescent="0.4">
      <c r="A191" s="478">
        <f t="shared" si="0"/>
        <v>44515</v>
      </c>
      <c r="B191" s="478">
        <f t="shared" si="1"/>
        <v>44518</v>
      </c>
      <c r="C191" s="475"/>
      <c r="D191" s="475"/>
      <c r="E191" s="475"/>
      <c r="F191" s="475"/>
      <c r="G191" s="475"/>
      <c r="H191" s="475"/>
    </row>
    <row r="192" spans="1:8" ht="15" x14ac:dyDescent="0.4">
      <c r="A192" s="478">
        <f t="shared" si="0"/>
        <v>44516</v>
      </c>
      <c r="B192" s="478">
        <f t="shared" si="1"/>
        <v>44518</v>
      </c>
      <c r="C192" s="475"/>
      <c r="D192" s="475"/>
      <c r="E192" s="475"/>
      <c r="F192" s="475"/>
      <c r="G192" s="475"/>
      <c r="H192" s="475"/>
    </row>
    <row r="193" spans="1:8" ht="15" x14ac:dyDescent="0.4">
      <c r="A193" s="478">
        <f t="shared" si="0"/>
        <v>44517</v>
      </c>
      <c r="B193" s="478">
        <f t="shared" si="1"/>
        <v>44518</v>
      </c>
      <c r="C193" s="475"/>
      <c r="D193" s="475"/>
      <c r="E193" s="475"/>
      <c r="F193" s="475"/>
      <c r="G193" s="475"/>
      <c r="H193" s="475"/>
    </row>
    <row r="194" spans="1:8" ht="15" x14ac:dyDescent="0.4">
      <c r="A194" s="478">
        <f t="shared" si="0"/>
        <v>44518</v>
      </c>
      <c r="B194" s="478">
        <f t="shared" si="1"/>
        <v>44518</v>
      </c>
      <c r="C194" s="475"/>
      <c r="D194" s="475"/>
      <c r="E194" s="475"/>
      <c r="F194" s="475"/>
      <c r="G194" s="475"/>
      <c r="H194" s="475"/>
    </row>
    <row r="195" spans="1:8" ht="15" x14ac:dyDescent="0.4">
      <c r="A195" s="478">
        <f t="shared" si="0"/>
        <v>44519</v>
      </c>
      <c r="B195" s="478">
        <f t="shared" si="1"/>
        <v>44525</v>
      </c>
      <c r="C195" s="475"/>
      <c r="D195" s="475"/>
      <c r="E195" s="475"/>
      <c r="F195" s="475"/>
      <c r="G195" s="475"/>
      <c r="H195" s="475"/>
    </row>
    <row r="196" spans="1:8" ht="15" x14ac:dyDescent="0.4">
      <c r="A196" s="478">
        <f t="shared" si="0"/>
        <v>44520</v>
      </c>
      <c r="B196" s="478">
        <f t="shared" si="1"/>
        <v>44525</v>
      </c>
      <c r="C196" s="475"/>
      <c r="D196" s="475"/>
      <c r="E196" s="475"/>
      <c r="F196" s="475"/>
      <c r="G196" s="475"/>
      <c r="H196" s="475"/>
    </row>
    <row r="197" spans="1:8" ht="15" x14ac:dyDescent="0.4">
      <c r="A197" s="478">
        <f t="shared" si="0"/>
        <v>44521</v>
      </c>
      <c r="B197" s="478">
        <f t="shared" si="1"/>
        <v>44525</v>
      </c>
      <c r="C197" s="475"/>
      <c r="D197" s="475"/>
      <c r="E197" s="475"/>
      <c r="F197" s="475"/>
      <c r="G197" s="475"/>
      <c r="H197" s="475"/>
    </row>
    <row r="198" spans="1:8" ht="15" x14ac:dyDescent="0.4">
      <c r="A198" s="478">
        <f t="shared" si="0"/>
        <v>44522</v>
      </c>
      <c r="B198" s="478">
        <f t="shared" si="1"/>
        <v>44525</v>
      </c>
      <c r="C198" s="475"/>
      <c r="D198" s="475"/>
      <c r="E198" s="475"/>
      <c r="F198" s="475"/>
      <c r="G198" s="475"/>
      <c r="H198" s="475"/>
    </row>
    <row r="199" spans="1:8" ht="15" x14ac:dyDescent="0.4">
      <c r="A199" s="478">
        <f t="shared" si="0"/>
        <v>44523</v>
      </c>
      <c r="B199" s="478">
        <f t="shared" si="1"/>
        <v>44525</v>
      </c>
      <c r="C199" s="475"/>
      <c r="D199" s="475"/>
      <c r="E199" s="475"/>
      <c r="F199" s="475"/>
      <c r="G199" s="475"/>
      <c r="H199" s="475"/>
    </row>
    <row r="200" spans="1:8" ht="15" x14ac:dyDescent="0.4">
      <c r="A200" s="478">
        <f t="shared" si="0"/>
        <v>44524</v>
      </c>
      <c r="B200" s="478">
        <f t="shared" si="1"/>
        <v>44525</v>
      </c>
      <c r="C200" s="475"/>
      <c r="D200" s="475"/>
      <c r="E200" s="475"/>
      <c r="F200" s="475"/>
      <c r="G200" s="475"/>
      <c r="H200" s="475"/>
    </row>
    <row r="201" spans="1:8" ht="15" x14ac:dyDescent="0.4">
      <c r="A201" s="478">
        <f t="shared" si="0"/>
        <v>44525</v>
      </c>
      <c r="B201" s="478">
        <f t="shared" si="1"/>
        <v>44525</v>
      </c>
      <c r="C201" s="475"/>
      <c r="D201" s="475"/>
      <c r="E201" s="475"/>
      <c r="F201" s="475"/>
      <c r="G201" s="475"/>
      <c r="H201" s="475"/>
    </row>
    <row r="202" spans="1:8" ht="15" x14ac:dyDescent="0.4">
      <c r="A202" s="478">
        <f t="shared" si="0"/>
        <v>44526</v>
      </c>
      <c r="B202" s="478">
        <f t="shared" si="1"/>
        <v>44532</v>
      </c>
      <c r="C202" s="475"/>
      <c r="D202" s="475"/>
      <c r="E202" s="475"/>
      <c r="F202" s="475"/>
      <c r="G202" s="475"/>
      <c r="H202" s="475"/>
    </row>
    <row r="203" spans="1:8" ht="15" x14ac:dyDescent="0.4">
      <c r="A203" s="478">
        <f t="shared" si="0"/>
        <v>44527</v>
      </c>
      <c r="B203" s="478">
        <f t="shared" si="1"/>
        <v>44532</v>
      </c>
      <c r="C203" s="475"/>
      <c r="D203" s="475"/>
      <c r="E203" s="475"/>
      <c r="F203" s="475"/>
      <c r="G203" s="475"/>
      <c r="H203" s="475"/>
    </row>
    <row r="204" spans="1:8" ht="15" x14ac:dyDescent="0.4">
      <c r="A204" s="478">
        <f t="shared" si="0"/>
        <v>44528</v>
      </c>
      <c r="B204" s="478">
        <f t="shared" si="1"/>
        <v>44532</v>
      </c>
      <c r="C204" s="475"/>
      <c r="D204" s="475"/>
      <c r="E204" s="475"/>
      <c r="F204" s="475"/>
      <c r="G204" s="475"/>
      <c r="H204" s="475"/>
    </row>
    <row r="205" spans="1:8" ht="15" x14ac:dyDescent="0.4">
      <c r="A205" s="478">
        <f t="shared" si="0"/>
        <v>44529</v>
      </c>
      <c r="B205" s="478">
        <f t="shared" si="1"/>
        <v>44532</v>
      </c>
      <c r="C205" s="475"/>
      <c r="D205" s="475"/>
      <c r="E205" s="475"/>
      <c r="F205" s="475"/>
      <c r="G205" s="475"/>
      <c r="H205" s="475"/>
    </row>
    <row r="206" spans="1:8" ht="15" x14ac:dyDescent="0.4">
      <c r="A206" s="478">
        <f t="shared" si="0"/>
        <v>44530</v>
      </c>
      <c r="B206" s="478">
        <f t="shared" si="1"/>
        <v>44532</v>
      </c>
      <c r="C206" s="475"/>
      <c r="D206" s="475"/>
      <c r="E206" s="475"/>
      <c r="F206" s="475"/>
      <c r="G206" s="475"/>
      <c r="H206" s="475"/>
    </row>
    <row r="207" spans="1:8" ht="15" x14ac:dyDescent="0.4">
      <c r="A207" s="478">
        <f t="shared" si="0"/>
        <v>44531</v>
      </c>
      <c r="B207" s="478">
        <f t="shared" si="1"/>
        <v>44532</v>
      </c>
      <c r="C207" s="475"/>
      <c r="D207" s="475"/>
      <c r="E207" s="475"/>
      <c r="F207" s="475"/>
      <c r="G207" s="475"/>
      <c r="H207" s="475"/>
    </row>
    <row r="208" spans="1:8" ht="15" x14ac:dyDescent="0.4">
      <c r="A208" s="478">
        <f t="shared" si="0"/>
        <v>44532</v>
      </c>
      <c r="B208" s="478">
        <f t="shared" si="1"/>
        <v>44532</v>
      </c>
      <c r="C208" s="475"/>
      <c r="D208" s="475"/>
      <c r="E208" s="475"/>
      <c r="F208" s="475"/>
      <c r="G208" s="475"/>
      <c r="H208" s="475"/>
    </row>
    <row r="209" spans="1:8" ht="15" x14ac:dyDescent="0.4">
      <c r="A209" s="478">
        <f t="shared" si="0"/>
        <v>44533</v>
      </c>
      <c r="B209" s="478">
        <f t="shared" si="1"/>
        <v>44539</v>
      </c>
      <c r="C209" s="475"/>
      <c r="D209" s="475"/>
      <c r="E209" s="475"/>
      <c r="F209" s="475"/>
      <c r="G209" s="475"/>
      <c r="H209" s="475"/>
    </row>
    <row r="210" spans="1:8" ht="15" x14ac:dyDescent="0.4">
      <c r="A210" s="478">
        <f t="shared" si="0"/>
        <v>44534</v>
      </c>
      <c r="B210" s="478">
        <f t="shared" si="1"/>
        <v>44539</v>
      </c>
      <c r="C210" s="475"/>
      <c r="D210" s="475"/>
      <c r="E210" s="475"/>
      <c r="F210" s="475"/>
      <c r="G210" s="475"/>
      <c r="H210" s="475"/>
    </row>
    <row r="211" spans="1:8" ht="15" x14ac:dyDescent="0.4">
      <c r="A211" s="478">
        <f t="shared" si="0"/>
        <v>44535</v>
      </c>
      <c r="B211" s="478">
        <f t="shared" si="1"/>
        <v>44539</v>
      </c>
      <c r="C211" s="475"/>
      <c r="D211" s="475"/>
      <c r="E211" s="475"/>
      <c r="F211" s="475"/>
      <c r="G211" s="475"/>
      <c r="H211" s="475"/>
    </row>
    <row r="212" spans="1:8" ht="15" x14ac:dyDescent="0.4">
      <c r="A212" s="478">
        <f t="shared" si="0"/>
        <v>44536</v>
      </c>
      <c r="B212" s="478">
        <f t="shared" si="1"/>
        <v>44539</v>
      </c>
      <c r="C212" s="475"/>
      <c r="D212" s="475"/>
      <c r="E212" s="475"/>
      <c r="F212" s="475"/>
      <c r="G212" s="475"/>
      <c r="H212" s="475"/>
    </row>
    <row r="213" spans="1:8" ht="15" x14ac:dyDescent="0.4">
      <c r="A213" s="478">
        <f t="shared" si="0"/>
        <v>44537</v>
      </c>
      <c r="B213" s="478">
        <f t="shared" si="1"/>
        <v>44539</v>
      </c>
      <c r="C213" s="475"/>
      <c r="D213" s="475"/>
      <c r="E213" s="475"/>
      <c r="F213" s="475"/>
      <c r="G213" s="475"/>
      <c r="H213" s="475"/>
    </row>
    <row r="214" spans="1:8" ht="15" x14ac:dyDescent="0.4">
      <c r="A214" s="478">
        <f t="shared" si="0"/>
        <v>44538</v>
      </c>
      <c r="B214" s="478">
        <f t="shared" si="1"/>
        <v>44539</v>
      </c>
      <c r="C214" s="475"/>
      <c r="D214" s="475"/>
      <c r="E214" s="475"/>
      <c r="F214" s="475"/>
      <c r="G214" s="475"/>
      <c r="H214" s="475"/>
    </row>
    <row r="215" spans="1:8" ht="15" x14ac:dyDescent="0.4">
      <c r="A215" s="478">
        <f t="shared" si="0"/>
        <v>44539</v>
      </c>
      <c r="B215" s="478">
        <f t="shared" si="1"/>
        <v>44539</v>
      </c>
      <c r="C215" s="475"/>
      <c r="D215" s="475"/>
      <c r="E215" s="475"/>
      <c r="F215" s="475"/>
      <c r="G215" s="475"/>
      <c r="H215" s="475"/>
    </row>
    <row r="216" spans="1:8" ht="15" x14ac:dyDescent="0.4">
      <c r="A216" s="478">
        <f t="shared" si="0"/>
        <v>44540</v>
      </c>
      <c r="B216" s="478">
        <f t="shared" si="1"/>
        <v>44546</v>
      </c>
      <c r="C216" s="475"/>
      <c r="D216" s="475"/>
      <c r="E216" s="475"/>
      <c r="F216" s="475"/>
      <c r="G216" s="475"/>
      <c r="H216" s="475"/>
    </row>
    <row r="217" spans="1:8" ht="15" x14ac:dyDescent="0.4">
      <c r="A217" s="478">
        <f t="shared" si="0"/>
        <v>44541</v>
      </c>
      <c r="B217" s="478">
        <f t="shared" si="1"/>
        <v>44546</v>
      </c>
      <c r="C217" s="475"/>
      <c r="D217" s="475"/>
      <c r="E217" s="475"/>
      <c r="F217" s="475"/>
      <c r="G217" s="475"/>
      <c r="H217" s="475"/>
    </row>
    <row r="218" spans="1:8" ht="15" x14ac:dyDescent="0.4">
      <c r="A218" s="478">
        <f t="shared" si="0"/>
        <v>44542</v>
      </c>
      <c r="B218" s="478">
        <f t="shared" si="1"/>
        <v>44546</v>
      </c>
      <c r="C218" s="475"/>
      <c r="D218" s="475"/>
      <c r="E218" s="475"/>
      <c r="F218" s="475"/>
      <c r="G218" s="475"/>
      <c r="H218" s="475"/>
    </row>
    <row r="219" spans="1:8" ht="15" x14ac:dyDescent="0.4">
      <c r="A219" s="478">
        <f t="shared" si="0"/>
        <v>44543</v>
      </c>
      <c r="B219" s="478">
        <f t="shared" si="1"/>
        <v>44546</v>
      </c>
      <c r="C219" s="475"/>
      <c r="D219" s="475"/>
      <c r="E219" s="475"/>
      <c r="F219" s="475"/>
      <c r="G219" s="475"/>
      <c r="H219" s="475"/>
    </row>
    <row r="220" spans="1:8" ht="15" x14ac:dyDescent="0.4">
      <c r="A220" s="478">
        <f t="shared" si="0"/>
        <v>44544</v>
      </c>
      <c r="B220" s="478">
        <f t="shared" si="1"/>
        <v>44546</v>
      </c>
      <c r="C220" s="475"/>
      <c r="D220" s="475"/>
      <c r="E220" s="475"/>
      <c r="F220" s="475"/>
      <c r="G220" s="475"/>
      <c r="H220" s="475"/>
    </row>
    <row r="221" spans="1:8" ht="15" x14ac:dyDescent="0.4">
      <c r="A221" s="478">
        <f t="shared" si="0"/>
        <v>44545</v>
      </c>
      <c r="B221" s="478">
        <f t="shared" si="1"/>
        <v>44546</v>
      </c>
      <c r="C221" s="475"/>
      <c r="D221" s="475"/>
      <c r="E221" s="475"/>
      <c r="F221" s="475"/>
      <c r="G221" s="475"/>
      <c r="H221" s="475"/>
    </row>
    <row r="222" spans="1:8" ht="15" x14ac:dyDescent="0.4">
      <c r="A222" s="478">
        <f t="shared" si="0"/>
        <v>44546</v>
      </c>
      <c r="B222" s="478">
        <f t="shared" si="1"/>
        <v>44546</v>
      </c>
      <c r="C222" s="475"/>
      <c r="D222" s="475"/>
      <c r="E222" s="475"/>
      <c r="F222" s="475"/>
      <c r="G222" s="475"/>
      <c r="H222" s="475"/>
    </row>
    <row r="223" spans="1:8" ht="15" x14ac:dyDescent="0.4">
      <c r="A223" s="478">
        <f t="shared" si="0"/>
        <v>44547</v>
      </c>
      <c r="B223" s="478">
        <f t="shared" si="1"/>
        <v>44553</v>
      </c>
      <c r="C223" s="475"/>
      <c r="D223" s="475"/>
      <c r="E223" s="475"/>
      <c r="F223" s="475"/>
      <c r="G223" s="475"/>
      <c r="H223" s="475"/>
    </row>
    <row r="224" spans="1:8" ht="15" x14ac:dyDescent="0.4">
      <c r="A224" s="478">
        <f t="shared" si="0"/>
        <v>44548</v>
      </c>
      <c r="B224" s="478">
        <f t="shared" si="1"/>
        <v>44553</v>
      </c>
      <c r="C224" s="475"/>
      <c r="D224" s="475"/>
      <c r="E224" s="475"/>
      <c r="F224" s="475"/>
      <c r="G224" s="475"/>
      <c r="H224" s="475"/>
    </row>
    <row r="225" spans="1:8" ht="15" x14ac:dyDescent="0.4">
      <c r="A225" s="478">
        <f t="shared" si="0"/>
        <v>44549</v>
      </c>
      <c r="B225" s="478">
        <f t="shared" si="1"/>
        <v>44553</v>
      </c>
      <c r="C225" s="475"/>
      <c r="D225" s="475"/>
      <c r="E225" s="475"/>
      <c r="F225" s="475"/>
      <c r="G225" s="475"/>
      <c r="H225" s="475"/>
    </row>
    <row r="226" spans="1:8" ht="15" x14ac:dyDescent="0.4">
      <c r="A226" s="478">
        <f t="shared" si="0"/>
        <v>44550</v>
      </c>
      <c r="B226" s="478">
        <f t="shared" si="1"/>
        <v>44553</v>
      </c>
      <c r="C226" s="475"/>
      <c r="D226" s="475"/>
      <c r="E226" s="475"/>
      <c r="F226" s="475"/>
      <c r="G226" s="475"/>
      <c r="H226" s="475"/>
    </row>
    <row r="227" spans="1:8" ht="15" x14ac:dyDescent="0.4">
      <c r="A227" s="478">
        <f t="shared" si="0"/>
        <v>44551</v>
      </c>
      <c r="B227" s="478">
        <f t="shared" si="1"/>
        <v>44553</v>
      </c>
      <c r="C227" s="475"/>
      <c r="D227" s="475"/>
      <c r="E227" s="475"/>
      <c r="F227" s="475"/>
      <c r="G227" s="475"/>
      <c r="H227" s="475"/>
    </row>
    <row r="228" spans="1:8" ht="15" x14ac:dyDescent="0.4">
      <c r="A228" s="478">
        <f t="shared" si="0"/>
        <v>44552</v>
      </c>
      <c r="B228" s="478">
        <f t="shared" si="1"/>
        <v>44553</v>
      </c>
      <c r="C228" s="475"/>
      <c r="D228" s="475"/>
      <c r="E228" s="475"/>
      <c r="F228" s="475"/>
      <c r="G228" s="475"/>
      <c r="H228" s="475"/>
    </row>
    <row r="229" spans="1:8" ht="15" x14ac:dyDescent="0.4">
      <c r="A229" s="478">
        <f t="shared" si="0"/>
        <v>44553</v>
      </c>
      <c r="B229" s="478">
        <f t="shared" si="1"/>
        <v>44553</v>
      </c>
      <c r="C229" s="475"/>
      <c r="D229" s="475"/>
      <c r="E229" s="475"/>
      <c r="F229" s="475"/>
      <c r="G229" s="475"/>
      <c r="H229" s="475"/>
    </row>
    <row r="230" spans="1:8" ht="15" x14ac:dyDescent="0.4">
      <c r="A230" s="478">
        <f t="shared" si="0"/>
        <v>44554</v>
      </c>
      <c r="B230" s="478">
        <f t="shared" si="1"/>
        <v>44560</v>
      </c>
      <c r="C230" s="475"/>
      <c r="D230" s="475"/>
      <c r="E230" s="475"/>
      <c r="F230" s="475"/>
      <c r="G230" s="475"/>
      <c r="H230" s="475"/>
    </row>
    <row r="231" spans="1:8" ht="15" x14ac:dyDescent="0.4">
      <c r="A231" s="478">
        <f t="shared" si="0"/>
        <v>44555</v>
      </c>
      <c r="B231" s="478">
        <f t="shared" si="1"/>
        <v>44560</v>
      </c>
      <c r="C231" s="475"/>
      <c r="D231" s="475"/>
      <c r="E231" s="475"/>
      <c r="F231" s="475"/>
      <c r="G231" s="475"/>
      <c r="H231" s="475"/>
    </row>
    <row r="232" spans="1:8" ht="15" x14ac:dyDescent="0.4">
      <c r="A232" s="478">
        <f t="shared" si="0"/>
        <v>44556</v>
      </c>
      <c r="B232" s="478">
        <f t="shared" si="1"/>
        <v>44560</v>
      </c>
      <c r="C232" s="475"/>
      <c r="D232" s="475"/>
      <c r="E232" s="475"/>
      <c r="F232" s="475"/>
      <c r="G232" s="475"/>
      <c r="H232" s="475"/>
    </row>
    <row r="233" spans="1:8" ht="15" x14ac:dyDescent="0.4">
      <c r="A233" s="478">
        <f t="shared" si="0"/>
        <v>44557</v>
      </c>
      <c r="B233" s="478">
        <f t="shared" si="1"/>
        <v>44560</v>
      </c>
      <c r="C233" s="475"/>
      <c r="D233" s="475"/>
      <c r="E233" s="475"/>
      <c r="F233" s="475"/>
      <c r="G233" s="475"/>
      <c r="H233" s="475"/>
    </row>
    <row r="234" spans="1:8" ht="15" x14ac:dyDescent="0.4">
      <c r="A234" s="478">
        <f t="shared" si="0"/>
        <v>44558</v>
      </c>
      <c r="B234" s="478">
        <f t="shared" si="1"/>
        <v>44560</v>
      </c>
      <c r="C234" s="475"/>
      <c r="D234" s="475"/>
      <c r="E234" s="475"/>
      <c r="F234" s="475"/>
      <c r="G234" s="475"/>
      <c r="H234" s="475"/>
    </row>
    <row r="235" spans="1:8" ht="15" x14ac:dyDescent="0.4">
      <c r="A235" s="478">
        <f t="shared" si="0"/>
        <v>44559</v>
      </c>
      <c r="B235" s="478">
        <f t="shared" si="1"/>
        <v>44560</v>
      </c>
      <c r="C235" s="475"/>
      <c r="D235" s="475"/>
      <c r="E235" s="475"/>
      <c r="F235" s="475"/>
      <c r="G235" s="475"/>
      <c r="H235" s="475"/>
    </row>
    <row r="236" spans="1:8" ht="15" x14ac:dyDescent="0.4">
      <c r="A236" s="478">
        <f t="shared" si="0"/>
        <v>44560</v>
      </c>
      <c r="B236" s="478">
        <f t="shared" si="1"/>
        <v>44560</v>
      </c>
      <c r="C236" s="475"/>
      <c r="D236" s="475"/>
      <c r="E236" s="475"/>
      <c r="F236" s="475"/>
      <c r="G236" s="475"/>
      <c r="H236" s="475"/>
    </row>
    <row r="237" spans="1:8" ht="15" x14ac:dyDescent="0.4">
      <c r="A237" s="478">
        <f t="shared" si="0"/>
        <v>44561</v>
      </c>
      <c r="B237" s="478">
        <f t="shared" si="1"/>
        <v>44567</v>
      </c>
      <c r="C237" s="475"/>
      <c r="D237" s="475"/>
      <c r="E237" s="475"/>
      <c r="F237" s="475"/>
      <c r="G237" s="475"/>
      <c r="H237" s="475"/>
    </row>
    <row r="238" spans="1:8" ht="15" x14ac:dyDescent="0.4">
      <c r="A238" s="478">
        <f t="shared" si="0"/>
        <v>44562</v>
      </c>
      <c r="B238" s="478">
        <f t="shared" si="1"/>
        <v>44567</v>
      </c>
      <c r="C238" s="475"/>
      <c r="D238" s="475"/>
      <c r="E238" s="475"/>
      <c r="F238" s="475"/>
      <c r="G238" s="475"/>
      <c r="H238" s="475"/>
    </row>
    <row r="239" spans="1:8" ht="15" x14ac:dyDescent="0.4">
      <c r="A239" s="478">
        <f t="shared" si="0"/>
        <v>44563</v>
      </c>
      <c r="B239" s="478">
        <f t="shared" si="1"/>
        <v>44567</v>
      </c>
      <c r="C239" s="475"/>
      <c r="D239" s="475"/>
      <c r="E239" s="475"/>
      <c r="F239" s="475"/>
      <c r="G239" s="475"/>
      <c r="H239" s="475"/>
    </row>
    <row r="240" spans="1:8" ht="15" x14ac:dyDescent="0.4">
      <c r="A240" s="478">
        <f t="shared" si="0"/>
        <v>44564</v>
      </c>
      <c r="B240" s="478">
        <f t="shared" si="1"/>
        <v>44567</v>
      </c>
      <c r="C240" s="475"/>
      <c r="D240" s="475"/>
      <c r="E240" s="475"/>
      <c r="F240" s="475"/>
      <c r="G240" s="475"/>
      <c r="H240" s="475"/>
    </row>
    <row r="241" spans="1:8" ht="15" x14ac:dyDescent="0.4">
      <c r="A241" s="478">
        <f t="shared" si="0"/>
        <v>44565</v>
      </c>
      <c r="B241" s="478">
        <f t="shared" si="1"/>
        <v>44567</v>
      </c>
      <c r="C241" s="475"/>
      <c r="D241" s="475"/>
      <c r="E241" s="475"/>
      <c r="F241" s="475"/>
      <c r="G241" s="475"/>
      <c r="H241" s="475"/>
    </row>
    <row r="242" spans="1:8" ht="15" x14ac:dyDescent="0.4">
      <c r="A242" s="478">
        <f t="shared" si="0"/>
        <v>44566</v>
      </c>
      <c r="B242" s="478">
        <f t="shared" si="1"/>
        <v>44567</v>
      </c>
      <c r="C242" s="475"/>
      <c r="D242" s="475"/>
      <c r="E242" s="475"/>
      <c r="F242" s="475"/>
      <c r="G242" s="475"/>
      <c r="H242" s="475"/>
    </row>
    <row r="243" spans="1:8" ht="15" x14ac:dyDescent="0.4">
      <c r="A243" s="478">
        <f t="shared" si="0"/>
        <v>44567</v>
      </c>
      <c r="B243" s="478">
        <f t="shared" si="1"/>
        <v>44567</v>
      </c>
      <c r="C243" s="475"/>
      <c r="D243" s="475"/>
      <c r="E243" s="475"/>
      <c r="F243" s="475"/>
      <c r="G243" s="475"/>
      <c r="H243" s="475"/>
    </row>
    <row r="244" spans="1:8" ht="15" x14ac:dyDescent="0.4">
      <c r="A244" s="478">
        <f t="shared" si="0"/>
        <v>44568</v>
      </c>
      <c r="B244" s="478">
        <f t="shared" si="1"/>
        <v>44574</v>
      </c>
      <c r="C244" s="475"/>
      <c r="D244" s="475"/>
      <c r="E244" s="475"/>
      <c r="F244" s="475"/>
      <c r="G244" s="475"/>
      <c r="H244" s="475"/>
    </row>
    <row r="245" spans="1:8" ht="15" x14ac:dyDescent="0.4">
      <c r="A245" s="478">
        <f t="shared" si="0"/>
        <v>44569</v>
      </c>
      <c r="B245" s="478">
        <f t="shared" si="1"/>
        <v>44574</v>
      </c>
      <c r="C245" s="475"/>
      <c r="D245" s="475"/>
      <c r="E245" s="475"/>
      <c r="F245" s="475"/>
      <c r="G245" s="475"/>
      <c r="H245" s="475"/>
    </row>
    <row r="246" spans="1:8" ht="15" x14ac:dyDescent="0.4">
      <c r="A246" s="478">
        <f t="shared" si="0"/>
        <v>44570</v>
      </c>
      <c r="B246" s="478">
        <f t="shared" si="1"/>
        <v>44574</v>
      </c>
      <c r="C246" s="475"/>
      <c r="D246" s="475"/>
      <c r="E246" s="475"/>
      <c r="F246" s="475"/>
      <c r="G246" s="475"/>
      <c r="H246" s="475"/>
    </row>
    <row r="247" spans="1:8" ht="15" x14ac:dyDescent="0.4">
      <c r="A247" s="478">
        <f t="shared" si="0"/>
        <v>44571</v>
      </c>
      <c r="B247" s="478">
        <f t="shared" si="1"/>
        <v>44574</v>
      </c>
      <c r="C247" s="475"/>
      <c r="D247" s="475"/>
      <c r="E247" s="475"/>
      <c r="F247" s="475"/>
      <c r="G247" s="475"/>
      <c r="H247" s="475"/>
    </row>
    <row r="248" spans="1:8" ht="15" x14ac:dyDescent="0.4">
      <c r="A248" s="478">
        <f t="shared" si="0"/>
        <v>44572</v>
      </c>
      <c r="B248" s="478">
        <f t="shared" si="1"/>
        <v>44574</v>
      </c>
      <c r="C248" s="475"/>
      <c r="D248" s="475"/>
      <c r="E248" s="475"/>
      <c r="F248" s="475"/>
      <c r="G248" s="475"/>
      <c r="H248" s="475"/>
    </row>
    <row r="249" spans="1:8" ht="15" x14ac:dyDescent="0.4">
      <c r="A249" s="478">
        <f t="shared" si="0"/>
        <v>44573</v>
      </c>
      <c r="B249" s="478">
        <f t="shared" si="1"/>
        <v>44574</v>
      </c>
      <c r="C249" s="475"/>
      <c r="D249" s="475"/>
      <c r="E249" s="475"/>
      <c r="F249" s="475"/>
      <c r="G249" s="475"/>
      <c r="H249" s="475"/>
    </row>
    <row r="250" spans="1:8" ht="15" x14ac:dyDescent="0.4">
      <c r="A250" s="478">
        <f t="shared" si="0"/>
        <v>44574</v>
      </c>
      <c r="B250" s="478">
        <f t="shared" si="1"/>
        <v>44574</v>
      </c>
      <c r="C250" s="475"/>
      <c r="D250" s="475"/>
      <c r="E250" s="475"/>
      <c r="F250" s="475"/>
      <c r="G250" s="475"/>
      <c r="H250" s="475"/>
    </row>
    <row r="251" spans="1:8" ht="15" x14ac:dyDescent="0.4">
      <c r="A251" s="478">
        <f t="shared" si="0"/>
        <v>44575</v>
      </c>
      <c r="B251" s="478">
        <f t="shared" si="1"/>
        <v>44581</v>
      </c>
      <c r="C251" s="475"/>
      <c r="D251" s="475"/>
      <c r="E251" s="475"/>
      <c r="F251" s="475"/>
      <c r="G251" s="475"/>
      <c r="H251" s="475"/>
    </row>
    <row r="252" spans="1:8" ht="15" x14ac:dyDescent="0.4">
      <c r="A252" s="478">
        <f t="shared" si="0"/>
        <v>44576</v>
      </c>
      <c r="B252" s="478">
        <f t="shared" si="1"/>
        <v>44581</v>
      </c>
      <c r="C252" s="475"/>
      <c r="D252" s="475"/>
      <c r="E252" s="475"/>
      <c r="F252" s="475"/>
      <c r="G252" s="475"/>
      <c r="H252" s="475"/>
    </row>
    <row r="253" spans="1:8" ht="15" x14ac:dyDescent="0.4">
      <c r="A253" s="478">
        <f t="shared" si="0"/>
        <v>44577</v>
      </c>
      <c r="B253" s="478">
        <f t="shared" si="1"/>
        <v>44581</v>
      </c>
      <c r="C253" s="475"/>
      <c r="D253" s="475"/>
      <c r="E253" s="475"/>
      <c r="F253" s="475"/>
      <c r="G253" s="475"/>
      <c r="H253" s="475"/>
    </row>
    <row r="254" spans="1:8" ht="15" x14ac:dyDescent="0.4">
      <c r="A254" s="478">
        <f t="shared" si="0"/>
        <v>44578</v>
      </c>
      <c r="B254" s="478">
        <f t="shared" si="1"/>
        <v>44581</v>
      </c>
      <c r="C254" s="475"/>
      <c r="D254" s="475"/>
      <c r="E254" s="475"/>
      <c r="F254" s="475"/>
      <c r="G254" s="475"/>
      <c r="H254" s="475"/>
    </row>
    <row r="255" spans="1:8" ht="15" x14ac:dyDescent="0.4">
      <c r="A255" s="478">
        <f t="shared" si="0"/>
        <v>44579</v>
      </c>
      <c r="B255" s="478">
        <f t="shared" si="1"/>
        <v>44581</v>
      </c>
      <c r="C255" s="475"/>
      <c r="D255" s="475"/>
      <c r="E255" s="475"/>
      <c r="F255" s="475"/>
      <c r="G255" s="475"/>
      <c r="H255" s="475"/>
    </row>
    <row r="256" spans="1:8" ht="15" x14ac:dyDescent="0.4">
      <c r="A256" s="478">
        <f t="shared" si="0"/>
        <v>44580</v>
      </c>
      <c r="B256" s="478">
        <f t="shared" si="1"/>
        <v>44581</v>
      </c>
      <c r="C256" s="475"/>
      <c r="D256" s="475"/>
      <c r="E256" s="475"/>
      <c r="F256" s="475"/>
      <c r="G256" s="475"/>
      <c r="H256" s="475"/>
    </row>
    <row r="257" spans="1:8" ht="15" x14ac:dyDescent="0.4">
      <c r="A257" s="478">
        <f t="shared" si="0"/>
        <v>44581</v>
      </c>
      <c r="B257" s="478">
        <f t="shared" si="1"/>
        <v>44581</v>
      </c>
      <c r="C257" s="475"/>
      <c r="D257" s="475"/>
      <c r="E257" s="475"/>
      <c r="F257" s="475"/>
      <c r="G257" s="475"/>
      <c r="H257" s="475"/>
    </row>
    <row r="258" spans="1:8" ht="15" x14ac:dyDescent="0.4">
      <c r="A258" s="478">
        <f t="shared" ref="A258:A512" si="2">A257+1</f>
        <v>44582</v>
      </c>
      <c r="B258" s="478">
        <f t="shared" si="1"/>
        <v>44588</v>
      </c>
      <c r="C258" s="475"/>
      <c r="D258" s="475"/>
      <c r="E258" s="475"/>
      <c r="F258" s="475"/>
      <c r="G258" s="475"/>
      <c r="H258" s="475"/>
    </row>
    <row r="259" spans="1:8" ht="15" x14ac:dyDescent="0.4">
      <c r="A259" s="478">
        <f t="shared" si="2"/>
        <v>44583</v>
      </c>
      <c r="B259" s="478">
        <f t="shared" si="1"/>
        <v>44588</v>
      </c>
      <c r="C259" s="475"/>
      <c r="D259" s="475"/>
      <c r="E259" s="475"/>
      <c r="F259" s="475"/>
      <c r="G259" s="475"/>
      <c r="H259" s="475"/>
    </row>
    <row r="260" spans="1:8" ht="15" x14ac:dyDescent="0.4">
      <c r="A260" s="478">
        <f t="shared" si="2"/>
        <v>44584</v>
      </c>
      <c r="B260" s="478">
        <f t="shared" si="1"/>
        <v>44588</v>
      </c>
      <c r="C260" s="475"/>
      <c r="D260" s="475"/>
      <c r="E260" s="475"/>
      <c r="F260" s="475"/>
      <c r="G260" s="475"/>
      <c r="H260" s="475"/>
    </row>
    <row r="261" spans="1:8" ht="15" x14ac:dyDescent="0.4">
      <c r="A261" s="478">
        <f t="shared" si="2"/>
        <v>44585</v>
      </c>
      <c r="B261" s="478">
        <f t="shared" si="1"/>
        <v>44588</v>
      </c>
      <c r="C261" s="475"/>
      <c r="D261" s="475"/>
      <c r="E261" s="475"/>
      <c r="F261" s="475"/>
      <c r="G261" s="475"/>
      <c r="H261" s="475"/>
    </row>
    <row r="262" spans="1:8" ht="15" x14ac:dyDescent="0.4">
      <c r="A262" s="478">
        <f t="shared" si="2"/>
        <v>44586</v>
      </c>
      <c r="B262" s="478">
        <f t="shared" si="1"/>
        <v>44588</v>
      </c>
      <c r="C262" s="475"/>
      <c r="D262" s="475"/>
      <c r="E262" s="475"/>
      <c r="F262" s="475"/>
      <c r="G262" s="475"/>
      <c r="H262" s="475"/>
    </row>
    <row r="263" spans="1:8" ht="15" x14ac:dyDescent="0.4">
      <c r="A263" s="478">
        <f t="shared" si="2"/>
        <v>44587</v>
      </c>
      <c r="B263" s="478">
        <f t="shared" si="1"/>
        <v>44588</v>
      </c>
      <c r="C263" s="475"/>
      <c r="D263" s="475"/>
      <c r="E263" s="475"/>
      <c r="F263" s="475"/>
      <c r="G263" s="475"/>
      <c r="H263" s="475"/>
    </row>
    <row r="264" spans="1:8" ht="15" x14ac:dyDescent="0.4">
      <c r="A264" s="478">
        <f t="shared" si="2"/>
        <v>44588</v>
      </c>
      <c r="B264" s="478">
        <f t="shared" si="1"/>
        <v>44588</v>
      </c>
      <c r="C264" s="475"/>
      <c r="D264" s="475"/>
      <c r="E264" s="475"/>
      <c r="F264" s="475"/>
      <c r="G264" s="475"/>
      <c r="H264" s="475"/>
    </row>
    <row r="265" spans="1:8" ht="15" x14ac:dyDescent="0.4">
      <c r="A265" s="478">
        <f t="shared" si="2"/>
        <v>44589</v>
      </c>
      <c r="B265" s="478">
        <f t="shared" si="1"/>
        <v>44595</v>
      </c>
      <c r="C265" s="475"/>
      <c r="D265" s="475"/>
      <c r="E265" s="475"/>
      <c r="F265" s="475"/>
      <c r="G265" s="475"/>
      <c r="H265" s="475"/>
    </row>
    <row r="266" spans="1:8" ht="15" x14ac:dyDescent="0.4">
      <c r="A266" s="478">
        <f t="shared" si="2"/>
        <v>44590</v>
      </c>
      <c r="B266" s="478">
        <f t="shared" si="1"/>
        <v>44595</v>
      </c>
      <c r="C266" s="475"/>
      <c r="D266" s="475"/>
      <c r="E266" s="475"/>
      <c r="F266" s="475"/>
      <c r="G266" s="475"/>
      <c r="H266" s="475"/>
    </row>
    <row r="267" spans="1:8" ht="15" x14ac:dyDescent="0.4">
      <c r="A267" s="478">
        <f t="shared" si="2"/>
        <v>44591</v>
      </c>
      <c r="B267" s="478">
        <f t="shared" si="1"/>
        <v>44595</v>
      </c>
      <c r="C267" s="475"/>
      <c r="D267" s="475"/>
      <c r="E267" s="475"/>
      <c r="F267" s="475"/>
      <c r="G267" s="475"/>
      <c r="H267" s="475"/>
    </row>
    <row r="268" spans="1:8" ht="15" x14ac:dyDescent="0.4">
      <c r="A268" s="478">
        <f t="shared" si="2"/>
        <v>44592</v>
      </c>
      <c r="B268" s="478">
        <f t="shared" ref="B268:B522" si="3">IF(B267=B261,B267+7,B267)</f>
        <v>44595</v>
      </c>
      <c r="C268" s="475"/>
      <c r="D268" s="475"/>
      <c r="E268" s="475"/>
      <c r="F268" s="475"/>
      <c r="G268" s="475"/>
      <c r="H268" s="475"/>
    </row>
    <row r="269" spans="1:8" ht="15" x14ac:dyDescent="0.4">
      <c r="A269" s="478">
        <f t="shared" si="2"/>
        <v>44593</v>
      </c>
      <c r="B269" s="478">
        <f t="shared" si="3"/>
        <v>44595</v>
      </c>
      <c r="C269" s="475"/>
      <c r="D269" s="475"/>
      <c r="E269" s="475"/>
      <c r="F269" s="475"/>
      <c r="G269" s="475"/>
      <c r="H269" s="475"/>
    </row>
    <row r="270" spans="1:8" ht="15" x14ac:dyDescent="0.4">
      <c r="A270" s="478">
        <f t="shared" si="2"/>
        <v>44594</v>
      </c>
      <c r="B270" s="478">
        <f t="shared" si="3"/>
        <v>44595</v>
      </c>
      <c r="C270" s="475"/>
      <c r="D270" s="475"/>
      <c r="E270" s="475"/>
      <c r="F270" s="475"/>
      <c r="G270" s="475"/>
      <c r="H270" s="475"/>
    </row>
    <row r="271" spans="1:8" ht="15" x14ac:dyDescent="0.4">
      <c r="A271" s="478">
        <f t="shared" si="2"/>
        <v>44595</v>
      </c>
      <c r="B271" s="478">
        <f t="shared" si="3"/>
        <v>44595</v>
      </c>
      <c r="C271" s="475"/>
      <c r="D271" s="475"/>
      <c r="E271" s="475"/>
      <c r="F271" s="475"/>
      <c r="G271" s="475"/>
      <c r="H271" s="475"/>
    </row>
    <row r="272" spans="1:8" ht="15" x14ac:dyDescent="0.4">
      <c r="A272" s="478">
        <f t="shared" si="2"/>
        <v>44596</v>
      </c>
      <c r="B272" s="478">
        <f t="shared" si="3"/>
        <v>44602</v>
      </c>
      <c r="C272" s="475"/>
      <c r="D272" s="475"/>
      <c r="E272" s="475"/>
      <c r="F272" s="475"/>
      <c r="G272" s="475"/>
      <c r="H272" s="475"/>
    </row>
    <row r="273" spans="1:8" ht="15" x14ac:dyDescent="0.4">
      <c r="A273" s="478">
        <f t="shared" si="2"/>
        <v>44597</v>
      </c>
      <c r="B273" s="478">
        <f t="shared" si="3"/>
        <v>44602</v>
      </c>
      <c r="C273" s="475"/>
      <c r="D273" s="475"/>
      <c r="E273" s="475"/>
      <c r="F273" s="475"/>
      <c r="G273" s="475"/>
      <c r="H273" s="475"/>
    </row>
    <row r="274" spans="1:8" ht="15" x14ac:dyDescent="0.4">
      <c r="A274" s="478">
        <f t="shared" si="2"/>
        <v>44598</v>
      </c>
      <c r="B274" s="478">
        <f t="shared" si="3"/>
        <v>44602</v>
      </c>
      <c r="C274" s="475"/>
      <c r="D274" s="475"/>
      <c r="E274" s="475"/>
      <c r="F274" s="475"/>
      <c r="G274" s="475"/>
      <c r="H274" s="475"/>
    </row>
    <row r="275" spans="1:8" ht="15" x14ac:dyDescent="0.4">
      <c r="A275" s="478">
        <f t="shared" si="2"/>
        <v>44599</v>
      </c>
      <c r="B275" s="478">
        <f t="shared" si="3"/>
        <v>44602</v>
      </c>
      <c r="C275" s="475"/>
      <c r="D275" s="475"/>
      <c r="E275" s="475"/>
      <c r="F275" s="475"/>
      <c r="G275" s="475"/>
      <c r="H275" s="475"/>
    </row>
    <row r="276" spans="1:8" ht="15" x14ac:dyDescent="0.4">
      <c r="A276" s="478">
        <f t="shared" si="2"/>
        <v>44600</v>
      </c>
      <c r="B276" s="478">
        <f t="shared" si="3"/>
        <v>44602</v>
      </c>
      <c r="C276" s="475"/>
      <c r="D276" s="475"/>
      <c r="E276" s="475"/>
      <c r="F276" s="475"/>
      <c r="G276" s="475"/>
      <c r="H276" s="475"/>
    </row>
    <row r="277" spans="1:8" ht="15" x14ac:dyDescent="0.4">
      <c r="A277" s="478">
        <f t="shared" si="2"/>
        <v>44601</v>
      </c>
      <c r="B277" s="478">
        <f t="shared" si="3"/>
        <v>44602</v>
      </c>
      <c r="C277" s="475"/>
      <c r="D277" s="475"/>
      <c r="E277" s="475"/>
      <c r="F277" s="475"/>
      <c r="G277" s="475"/>
      <c r="H277" s="475"/>
    </row>
    <row r="278" spans="1:8" ht="15" x14ac:dyDescent="0.4">
      <c r="A278" s="478">
        <f t="shared" si="2"/>
        <v>44602</v>
      </c>
      <c r="B278" s="478">
        <f t="shared" si="3"/>
        <v>44602</v>
      </c>
      <c r="C278" s="475"/>
      <c r="D278" s="475"/>
      <c r="E278" s="475"/>
      <c r="F278" s="475"/>
      <c r="G278" s="475"/>
      <c r="H278" s="475"/>
    </row>
    <row r="279" spans="1:8" ht="15" x14ac:dyDescent="0.4">
      <c r="A279" s="478">
        <f t="shared" si="2"/>
        <v>44603</v>
      </c>
      <c r="B279" s="478">
        <f t="shared" si="3"/>
        <v>44609</v>
      </c>
      <c r="C279" s="475"/>
      <c r="D279" s="475"/>
      <c r="E279" s="475"/>
      <c r="F279" s="475"/>
      <c r="G279" s="475"/>
      <c r="H279" s="475"/>
    </row>
    <row r="280" spans="1:8" ht="15" x14ac:dyDescent="0.4">
      <c r="A280" s="478">
        <f t="shared" si="2"/>
        <v>44604</v>
      </c>
      <c r="B280" s="478">
        <f t="shared" si="3"/>
        <v>44609</v>
      </c>
      <c r="C280" s="475"/>
      <c r="D280" s="475"/>
      <c r="E280" s="475"/>
      <c r="F280" s="475"/>
      <c r="G280" s="475"/>
      <c r="H280" s="475"/>
    </row>
    <row r="281" spans="1:8" ht="15" x14ac:dyDescent="0.4">
      <c r="A281" s="478">
        <f t="shared" si="2"/>
        <v>44605</v>
      </c>
      <c r="B281" s="478">
        <f t="shared" si="3"/>
        <v>44609</v>
      </c>
      <c r="C281" s="475"/>
      <c r="D281" s="475"/>
      <c r="E281" s="475"/>
      <c r="F281" s="475"/>
      <c r="G281" s="475"/>
      <c r="H281" s="475"/>
    </row>
    <row r="282" spans="1:8" ht="15" x14ac:dyDescent="0.4">
      <c r="A282" s="478">
        <f t="shared" si="2"/>
        <v>44606</v>
      </c>
      <c r="B282" s="478">
        <f t="shared" si="3"/>
        <v>44609</v>
      </c>
      <c r="C282" s="475"/>
      <c r="D282" s="475"/>
      <c r="E282" s="475"/>
      <c r="F282" s="475"/>
      <c r="G282" s="475"/>
      <c r="H282" s="475"/>
    </row>
    <row r="283" spans="1:8" ht="15" x14ac:dyDescent="0.4">
      <c r="A283" s="478">
        <f t="shared" si="2"/>
        <v>44607</v>
      </c>
      <c r="B283" s="478">
        <f t="shared" si="3"/>
        <v>44609</v>
      </c>
      <c r="C283" s="475"/>
      <c r="D283" s="475"/>
      <c r="E283" s="475"/>
      <c r="F283" s="475"/>
      <c r="G283" s="475"/>
      <c r="H283" s="475"/>
    </row>
    <row r="284" spans="1:8" ht="15" x14ac:dyDescent="0.4">
      <c r="A284" s="478">
        <f t="shared" si="2"/>
        <v>44608</v>
      </c>
      <c r="B284" s="478">
        <f t="shared" si="3"/>
        <v>44609</v>
      </c>
      <c r="C284" s="475"/>
      <c r="D284" s="475"/>
      <c r="E284" s="475"/>
      <c r="F284" s="475"/>
      <c r="G284" s="475"/>
      <c r="H284" s="475"/>
    </row>
    <row r="285" spans="1:8" ht="15" x14ac:dyDescent="0.4">
      <c r="A285" s="478">
        <f t="shared" si="2"/>
        <v>44609</v>
      </c>
      <c r="B285" s="478">
        <f t="shared" si="3"/>
        <v>44609</v>
      </c>
      <c r="C285" s="475"/>
      <c r="D285" s="475"/>
      <c r="E285" s="475"/>
      <c r="F285" s="475"/>
      <c r="G285" s="475"/>
      <c r="H285" s="475"/>
    </row>
    <row r="286" spans="1:8" ht="15" x14ac:dyDescent="0.4">
      <c r="A286" s="478">
        <f t="shared" si="2"/>
        <v>44610</v>
      </c>
      <c r="B286" s="478">
        <f t="shared" si="3"/>
        <v>44616</v>
      </c>
      <c r="C286" s="475"/>
      <c r="D286" s="475"/>
      <c r="E286" s="475"/>
      <c r="F286" s="475"/>
      <c r="G286" s="475"/>
      <c r="H286" s="475"/>
    </row>
    <row r="287" spans="1:8" ht="15" x14ac:dyDescent="0.4">
      <c r="A287" s="478">
        <f t="shared" si="2"/>
        <v>44611</v>
      </c>
      <c r="B287" s="478">
        <f t="shared" si="3"/>
        <v>44616</v>
      </c>
      <c r="C287" s="475"/>
      <c r="D287" s="475"/>
      <c r="E287" s="475"/>
      <c r="F287" s="475"/>
      <c r="G287" s="475"/>
      <c r="H287" s="475"/>
    </row>
    <row r="288" spans="1:8" ht="15" x14ac:dyDescent="0.4">
      <c r="A288" s="478">
        <f t="shared" si="2"/>
        <v>44612</v>
      </c>
      <c r="B288" s="478">
        <f t="shared" si="3"/>
        <v>44616</v>
      </c>
      <c r="C288" s="475"/>
      <c r="D288" s="475"/>
      <c r="E288" s="475"/>
      <c r="F288" s="475"/>
      <c r="G288" s="475"/>
      <c r="H288" s="475"/>
    </row>
    <row r="289" spans="1:8" ht="15" x14ac:dyDescent="0.4">
      <c r="A289" s="478">
        <f t="shared" si="2"/>
        <v>44613</v>
      </c>
      <c r="B289" s="478">
        <f t="shared" si="3"/>
        <v>44616</v>
      </c>
      <c r="C289" s="475"/>
      <c r="D289" s="475"/>
      <c r="E289" s="475"/>
      <c r="F289" s="475"/>
      <c r="G289" s="475"/>
      <c r="H289" s="475"/>
    </row>
    <row r="290" spans="1:8" ht="15" x14ac:dyDescent="0.4">
      <c r="A290" s="478">
        <f t="shared" si="2"/>
        <v>44614</v>
      </c>
      <c r="B290" s="478">
        <f t="shared" si="3"/>
        <v>44616</v>
      </c>
      <c r="C290" s="475"/>
      <c r="D290" s="475"/>
      <c r="E290" s="475"/>
      <c r="F290" s="475"/>
      <c r="G290" s="475"/>
      <c r="H290" s="475"/>
    </row>
    <row r="291" spans="1:8" ht="15" x14ac:dyDescent="0.4">
      <c r="A291" s="478">
        <f t="shared" si="2"/>
        <v>44615</v>
      </c>
      <c r="B291" s="478">
        <f t="shared" si="3"/>
        <v>44616</v>
      </c>
      <c r="C291" s="475"/>
      <c r="D291" s="475"/>
      <c r="E291" s="475"/>
      <c r="F291" s="475"/>
      <c r="G291" s="475"/>
      <c r="H291" s="475"/>
    </row>
    <row r="292" spans="1:8" ht="15" x14ac:dyDescent="0.4">
      <c r="A292" s="478">
        <f t="shared" si="2"/>
        <v>44616</v>
      </c>
      <c r="B292" s="478">
        <f t="shared" si="3"/>
        <v>44616</v>
      </c>
      <c r="C292" s="475"/>
      <c r="D292" s="475"/>
      <c r="E292" s="475"/>
      <c r="F292" s="475"/>
      <c r="G292" s="475"/>
      <c r="H292" s="475"/>
    </row>
    <row r="293" spans="1:8" ht="15" x14ac:dyDescent="0.4">
      <c r="A293" s="478">
        <f t="shared" si="2"/>
        <v>44617</v>
      </c>
      <c r="B293" s="478">
        <f t="shared" si="3"/>
        <v>44623</v>
      </c>
      <c r="C293" s="475"/>
      <c r="D293" s="475"/>
      <c r="E293" s="475"/>
      <c r="F293" s="475"/>
      <c r="G293" s="475"/>
      <c r="H293" s="475"/>
    </row>
    <row r="294" spans="1:8" ht="15" x14ac:dyDescent="0.4">
      <c r="A294" s="478">
        <f t="shared" si="2"/>
        <v>44618</v>
      </c>
      <c r="B294" s="478">
        <f t="shared" si="3"/>
        <v>44623</v>
      </c>
      <c r="C294" s="475"/>
      <c r="D294" s="475"/>
      <c r="E294" s="475"/>
      <c r="F294" s="475"/>
      <c r="G294" s="475"/>
      <c r="H294" s="475"/>
    </row>
    <row r="295" spans="1:8" ht="15" x14ac:dyDescent="0.4">
      <c r="A295" s="478">
        <f t="shared" si="2"/>
        <v>44619</v>
      </c>
      <c r="B295" s="478">
        <f t="shared" si="3"/>
        <v>44623</v>
      </c>
      <c r="C295" s="475"/>
      <c r="D295" s="475"/>
      <c r="E295" s="475"/>
      <c r="F295" s="475"/>
      <c r="G295" s="475"/>
      <c r="H295" s="475"/>
    </row>
    <row r="296" spans="1:8" ht="15" x14ac:dyDescent="0.4">
      <c r="A296" s="478">
        <f t="shared" si="2"/>
        <v>44620</v>
      </c>
      <c r="B296" s="478">
        <f t="shared" si="3"/>
        <v>44623</v>
      </c>
      <c r="C296" s="475"/>
      <c r="D296" s="475"/>
      <c r="E296" s="475"/>
      <c r="F296" s="475"/>
      <c r="G296" s="475"/>
      <c r="H296" s="475"/>
    </row>
    <row r="297" spans="1:8" ht="15" x14ac:dyDescent="0.4">
      <c r="A297" s="478">
        <f t="shared" si="2"/>
        <v>44621</v>
      </c>
      <c r="B297" s="478">
        <f t="shared" si="3"/>
        <v>44623</v>
      </c>
      <c r="C297" s="475"/>
      <c r="D297" s="475"/>
      <c r="E297" s="475"/>
      <c r="F297" s="475"/>
      <c r="G297" s="475"/>
      <c r="H297" s="475"/>
    </row>
    <row r="298" spans="1:8" ht="15" x14ac:dyDescent="0.4">
      <c r="A298" s="478">
        <f t="shared" si="2"/>
        <v>44622</v>
      </c>
      <c r="B298" s="478">
        <f t="shared" si="3"/>
        <v>44623</v>
      </c>
      <c r="C298" s="475"/>
      <c r="D298" s="475"/>
      <c r="E298" s="475"/>
      <c r="F298" s="475"/>
      <c r="G298" s="475"/>
      <c r="H298" s="475"/>
    </row>
    <row r="299" spans="1:8" ht="15" x14ac:dyDescent="0.4">
      <c r="A299" s="478">
        <f t="shared" si="2"/>
        <v>44623</v>
      </c>
      <c r="B299" s="478">
        <f t="shared" si="3"/>
        <v>44623</v>
      </c>
      <c r="C299" s="475"/>
      <c r="D299" s="475"/>
      <c r="E299" s="475"/>
      <c r="F299" s="475"/>
      <c r="G299" s="475"/>
      <c r="H299" s="475"/>
    </row>
    <row r="300" spans="1:8" ht="15" x14ac:dyDescent="0.4">
      <c r="A300" s="478">
        <f t="shared" si="2"/>
        <v>44624</v>
      </c>
      <c r="B300" s="478">
        <f t="shared" si="3"/>
        <v>44630</v>
      </c>
      <c r="C300" s="475"/>
      <c r="D300" s="475"/>
      <c r="E300" s="475"/>
      <c r="F300" s="475"/>
      <c r="G300" s="475"/>
      <c r="H300" s="475"/>
    </row>
    <row r="301" spans="1:8" ht="15" x14ac:dyDescent="0.4">
      <c r="A301" s="478">
        <f t="shared" si="2"/>
        <v>44625</v>
      </c>
      <c r="B301" s="478">
        <f t="shared" si="3"/>
        <v>44630</v>
      </c>
      <c r="C301" s="475"/>
      <c r="D301" s="475"/>
      <c r="E301" s="475"/>
      <c r="F301" s="475"/>
      <c r="G301" s="475"/>
      <c r="H301" s="475"/>
    </row>
    <row r="302" spans="1:8" ht="15" x14ac:dyDescent="0.4">
      <c r="A302" s="478">
        <f t="shared" si="2"/>
        <v>44626</v>
      </c>
      <c r="B302" s="478">
        <f t="shared" si="3"/>
        <v>44630</v>
      </c>
      <c r="C302" s="475"/>
      <c r="D302" s="475"/>
      <c r="E302" s="475"/>
      <c r="F302" s="475"/>
      <c r="G302" s="475"/>
      <c r="H302" s="475"/>
    </row>
    <row r="303" spans="1:8" ht="15" x14ac:dyDescent="0.4">
      <c r="A303" s="478">
        <f t="shared" si="2"/>
        <v>44627</v>
      </c>
      <c r="B303" s="478">
        <f t="shared" si="3"/>
        <v>44630</v>
      </c>
      <c r="C303" s="475"/>
      <c r="D303" s="475"/>
      <c r="E303" s="475"/>
      <c r="F303" s="475"/>
      <c r="G303" s="475"/>
      <c r="H303" s="475"/>
    </row>
    <row r="304" spans="1:8" ht="15" x14ac:dyDescent="0.4">
      <c r="A304" s="478">
        <f t="shared" si="2"/>
        <v>44628</v>
      </c>
      <c r="B304" s="478">
        <f t="shared" si="3"/>
        <v>44630</v>
      </c>
      <c r="C304" s="475"/>
      <c r="D304" s="475"/>
      <c r="E304" s="475"/>
      <c r="F304" s="475"/>
      <c r="G304" s="475"/>
      <c r="H304" s="475"/>
    </row>
    <row r="305" spans="1:8" ht="15" x14ac:dyDescent="0.4">
      <c r="A305" s="478">
        <f t="shared" si="2"/>
        <v>44629</v>
      </c>
      <c r="B305" s="478">
        <f t="shared" si="3"/>
        <v>44630</v>
      </c>
      <c r="C305" s="475"/>
      <c r="D305" s="475"/>
      <c r="E305" s="475"/>
      <c r="F305" s="475"/>
      <c r="G305" s="475"/>
      <c r="H305" s="475"/>
    </row>
    <row r="306" spans="1:8" ht="15" x14ac:dyDescent="0.4">
      <c r="A306" s="478">
        <f t="shared" si="2"/>
        <v>44630</v>
      </c>
      <c r="B306" s="478">
        <f t="shared" si="3"/>
        <v>44630</v>
      </c>
      <c r="C306" s="475"/>
      <c r="D306" s="475"/>
      <c r="E306" s="475"/>
      <c r="F306" s="475"/>
      <c r="G306" s="475"/>
      <c r="H306" s="475"/>
    </row>
    <row r="307" spans="1:8" ht="15" x14ac:dyDescent="0.4">
      <c r="A307" s="478">
        <f t="shared" si="2"/>
        <v>44631</v>
      </c>
      <c r="B307" s="478">
        <f t="shared" si="3"/>
        <v>44637</v>
      </c>
      <c r="C307" s="475"/>
      <c r="D307" s="475"/>
      <c r="E307" s="475"/>
      <c r="F307" s="475"/>
      <c r="G307" s="475"/>
      <c r="H307" s="475"/>
    </row>
    <row r="308" spans="1:8" ht="15" x14ac:dyDescent="0.4">
      <c r="A308" s="478">
        <f t="shared" si="2"/>
        <v>44632</v>
      </c>
      <c r="B308" s="478">
        <f t="shared" si="3"/>
        <v>44637</v>
      </c>
      <c r="C308" s="475"/>
      <c r="D308" s="475"/>
      <c r="E308" s="475"/>
      <c r="F308" s="475"/>
      <c r="G308" s="475"/>
      <c r="H308" s="475"/>
    </row>
    <row r="309" spans="1:8" ht="15" x14ac:dyDescent="0.4">
      <c r="A309" s="478">
        <f t="shared" si="2"/>
        <v>44633</v>
      </c>
      <c r="B309" s="478">
        <f t="shared" si="3"/>
        <v>44637</v>
      </c>
      <c r="C309" s="475"/>
      <c r="D309" s="475"/>
      <c r="E309" s="475"/>
      <c r="F309" s="475"/>
      <c r="G309" s="475"/>
      <c r="H309" s="475"/>
    </row>
    <row r="310" spans="1:8" ht="15" x14ac:dyDescent="0.4">
      <c r="A310" s="478">
        <f t="shared" si="2"/>
        <v>44634</v>
      </c>
      <c r="B310" s="478">
        <f t="shared" si="3"/>
        <v>44637</v>
      </c>
      <c r="C310" s="475"/>
      <c r="D310" s="475"/>
      <c r="E310" s="475"/>
      <c r="F310" s="475"/>
      <c r="G310" s="475"/>
      <c r="H310" s="475"/>
    </row>
    <row r="311" spans="1:8" ht="15" x14ac:dyDescent="0.4">
      <c r="A311" s="478">
        <f t="shared" si="2"/>
        <v>44635</v>
      </c>
      <c r="B311" s="478">
        <f t="shared" si="3"/>
        <v>44637</v>
      </c>
      <c r="C311" s="475"/>
      <c r="D311" s="475"/>
      <c r="E311" s="475"/>
      <c r="F311" s="475"/>
      <c r="G311" s="475"/>
      <c r="H311" s="475"/>
    </row>
    <row r="312" spans="1:8" ht="15" x14ac:dyDescent="0.4">
      <c r="A312" s="478">
        <f t="shared" si="2"/>
        <v>44636</v>
      </c>
      <c r="B312" s="478">
        <f t="shared" si="3"/>
        <v>44637</v>
      </c>
      <c r="C312" s="475"/>
      <c r="D312" s="475"/>
      <c r="E312" s="475"/>
      <c r="F312" s="475"/>
      <c r="G312" s="475"/>
      <c r="H312" s="475"/>
    </row>
    <row r="313" spans="1:8" ht="15" x14ac:dyDescent="0.4">
      <c r="A313" s="478">
        <f t="shared" si="2"/>
        <v>44637</v>
      </c>
      <c r="B313" s="478">
        <f t="shared" si="3"/>
        <v>44637</v>
      </c>
      <c r="C313" s="475"/>
      <c r="D313" s="475"/>
      <c r="E313" s="475"/>
      <c r="F313" s="475"/>
      <c r="G313" s="475"/>
      <c r="H313" s="475"/>
    </row>
    <row r="314" spans="1:8" ht="15" x14ac:dyDescent="0.4">
      <c r="A314" s="478">
        <f t="shared" si="2"/>
        <v>44638</v>
      </c>
      <c r="B314" s="478">
        <f t="shared" si="3"/>
        <v>44644</v>
      </c>
      <c r="C314" s="475"/>
      <c r="D314" s="475"/>
      <c r="E314" s="475"/>
      <c r="F314" s="475"/>
      <c r="G314" s="475"/>
      <c r="H314" s="475"/>
    </row>
    <row r="315" spans="1:8" ht="15" x14ac:dyDescent="0.4">
      <c r="A315" s="478">
        <f t="shared" si="2"/>
        <v>44639</v>
      </c>
      <c r="B315" s="478">
        <f t="shared" si="3"/>
        <v>44644</v>
      </c>
      <c r="C315" s="475"/>
      <c r="D315" s="475"/>
      <c r="E315" s="475"/>
      <c r="F315" s="475"/>
      <c r="G315" s="475"/>
      <c r="H315" s="475"/>
    </row>
    <row r="316" spans="1:8" ht="15" x14ac:dyDescent="0.4">
      <c r="A316" s="478">
        <f t="shared" si="2"/>
        <v>44640</v>
      </c>
      <c r="B316" s="478">
        <f t="shared" si="3"/>
        <v>44644</v>
      </c>
      <c r="C316" s="475"/>
      <c r="D316" s="475"/>
      <c r="E316" s="475"/>
      <c r="F316" s="475"/>
      <c r="G316" s="475"/>
      <c r="H316" s="475"/>
    </row>
    <row r="317" spans="1:8" ht="15" x14ac:dyDescent="0.4">
      <c r="A317" s="478">
        <f t="shared" si="2"/>
        <v>44641</v>
      </c>
      <c r="B317" s="478">
        <f t="shared" si="3"/>
        <v>44644</v>
      </c>
      <c r="C317" s="475"/>
      <c r="D317" s="475"/>
      <c r="E317" s="475"/>
      <c r="F317" s="475"/>
      <c r="G317" s="475"/>
      <c r="H317" s="475"/>
    </row>
    <row r="318" spans="1:8" ht="15" x14ac:dyDescent="0.4">
      <c r="A318" s="478">
        <f t="shared" si="2"/>
        <v>44642</v>
      </c>
      <c r="B318" s="478">
        <f t="shared" si="3"/>
        <v>44644</v>
      </c>
      <c r="C318" s="475"/>
      <c r="D318" s="475"/>
      <c r="E318" s="475"/>
      <c r="F318" s="475"/>
      <c r="G318" s="475"/>
      <c r="H318" s="475"/>
    </row>
    <row r="319" spans="1:8" ht="15" x14ac:dyDescent="0.4">
      <c r="A319" s="478">
        <f t="shared" si="2"/>
        <v>44643</v>
      </c>
      <c r="B319" s="478">
        <f t="shared" si="3"/>
        <v>44644</v>
      </c>
      <c r="C319" s="475"/>
      <c r="D319" s="475"/>
      <c r="E319" s="475"/>
      <c r="F319" s="475"/>
      <c r="G319" s="475"/>
      <c r="H319" s="475"/>
    </row>
    <row r="320" spans="1:8" ht="15" x14ac:dyDescent="0.4">
      <c r="A320" s="478">
        <f t="shared" si="2"/>
        <v>44644</v>
      </c>
      <c r="B320" s="478">
        <f t="shared" si="3"/>
        <v>44644</v>
      </c>
      <c r="C320" s="475"/>
      <c r="D320" s="475"/>
      <c r="E320" s="475"/>
      <c r="F320" s="475"/>
      <c r="G320" s="475"/>
      <c r="H320" s="475"/>
    </row>
    <row r="321" spans="1:8" ht="15" x14ac:dyDescent="0.4">
      <c r="A321" s="478">
        <f t="shared" si="2"/>
        <v>44645</v>
      </c>
      <c r="B321" s="478">
        <f t="shared" si="3"/>
        <v>44651</v>
      </c>
      <c r="C321" s="475"/>
      <c r="D321" s="475"/>
      <c r="E321" s="475"/>
      <c r="F321" s="475"/>
      <c r="G321" s="475"/>
      <c r="H321" s="475"/>
    </row>
    <row r="322" spans="1:8" ht="15" x14ac:dyDescent="0.4">
      <c r="A322" s="478">
        <f t="shared" si="2"/>
        <v>44646</v>
      </c>
      <c r="B322" s="478">
        <f t="shared" si="3"/>
        <v>44651</v>
      </c>
      <c r="C322" s="475"/>
      <c r="D322" s="475"/>
      <c r="E322" s="475"/>
      <c r="F322" s="475"/>
      <c r="G322" s="475"/>
      <c r="H322" s="475"/>
    </row>
    <row r="323" spans="1:8" ht="15" x14ac:dyDescent="0.4">
      <c r="A323" s="478">
        <f t="shared" si="2"/>
        <v>44647</v>
      </c>
      <c r="B323" s="478">
        <f t="shared" si="3"/>
        <v>44651</v>
      </c>
      <c r="C323" s="475"/>
      <c r="D323" s="475"/>
      <c r="E323" s="475"/>
      <c r="F323" s="475"/>
      <c r="G323" s="475"/>
      <c r="H323" s="475"/>
    </row>
    <row r="324" spans="1:8" ht="15" x14ac:dyDescent="0.4">
      <c r="A324" s="478">
        <f t="shared" si="2"/>
        <v>44648</v>
      </c>
      <c r="B324" s="478">
        <f t="shared" si="3"/>
        <v>44651</v>
      </c>
      <c r="C324" s="475"/>
      <c r="D324" s="475"/>
      <c r="E324" s="475"/>
      <c r="F324" s="475"/>
      <c r="G324" s="475"/>
      <c r="H324" s="475"/>
    </row>
    <row r="325" spans="1:8" ht="15" x14ac:dyDescent="0.4">
      <c r="A325" s="478">
        <f t="shared" si="2"/>
        <v>44649</v>
      </c>
      <c r="B325" s="478">
        <f t="shared" si="3"/>
        <v>44651</v>
      </c>
      <c r="C325" s="475"/>
      <c r="D325" s="475"/>
      <c r="E325" s="475"/>
      <c r="F325" s="475"/>
      <c r="G325" s="475"/>
      <c r="H325" s="475"/>
    </row>
    <row r="326" spans="1:8" ht="15" x14ac:dyDescent="0.4">
      <c r="A326" s="478">
        <f t="shared" si="2"/>
        <v>44650</v>
      </c>
      <c r="B326" s="478">
        <f t="shared" si="3"/>
        <v>44651</v>
      </c>
      <c r="C326" s="475"/>
      <c r="D326" s="475"/>
      <c r="E326" s="475"/>
      <c r="F326" s="475"/>
      <c r="G326" s="475"/>
      <c r="H326" s="475"/>
    </row>
    <row r="327" spans="1:8" ht="15" x14ac:dyDescent="0.4">
      <c r="A327" s="478">
        <f t="shared" si="2"/>
        <v>44651</v>
      </c>
      <c r="B327" s="478">
        <f t="shared" si="3"/>
        <v>44651</v>
      </c>
      <c r="C327" s="475"/>
      <c r="D327" s="475"/>
      <c r="E327" s="475"/>
      <c r="F327" s="475"/>
      <c r="G327" s="475"/>
      <c r="H327" s="475"/>
    </row>
    <row r="328" spans="1:8" ht="15" x14ac:dyDescent="0.4">
      <c r="A328" s="478">
        <f t="shared" si="2"/>
        <v>44652</v>
      </c>
      <c r="B328" s="478">
        <f t="shared" si="3"/>
        <v>44658</v>
      </c>
      <c r="C328" s="475"/>
      <c r="D328" s="475"/>
      <c r="E328" s="475"/>
      <c r="F328" s="475"/>
      <c r="G328" s="475"/>
      <c r="H328" s="475"/>
    </row>
    <row r="329" spans="1:8" ht="15" x14ac:dyDescent="0.4">
      <c r="A329" s="478">
        <f t="shared" si="2"/>
        <v>44653</v>
      </c>
      <c r="B329" s="478">
        <f t="shared" si="3"/>
        <v>44658</v>
      </c>
      <c r="C329" s="475"/>
      <c r="D329" s="475"/>
      <c r="E329" s="475"/>
      <c r="F329" s="475"/>
      <c r="G329" s="475"/>
      <c r="H329" s="475"/>
    </row>
    <row r="330" spans="1:8" ht="15" x14ac:dyDescent="0.4">
      <c r="A330" s="478">
        <f t="shared" si="2"/>
        <v>44654</v>
      </c>
      <c r="B330" s="478">
        <f t="shared" si="3"/>
        <v>44658</v>
      </c>
      <c r="C330" s="475"/>
      <c r="D330" s="475"/>
      <c r="E330" s="475"/>
      <c r="F330" s="475"/>
      <c r="G330" s="475"/>
      <c r="H330" s="475"/>
    </row>
    <row r="331" spans="1:8" ht="15" x14ac:dyDescent="0.4">
      <c r="A331" s="478">
        <f t="shared" si="2"/>
        <v>44655</v>
      </c>
      <c r="B331" s="478">
        <f t="shared" si="3"/>
        <v>44658</v>
      </c>
      <c r="C331" s="475"/>
      <c r="D331" s="475"/>
      <c r="E331" s="475"/>
      <c r="F331" s="475"/>
      <c r="G331" s="475"/>
      <c r="H331" s="475"/>
    </row>
    <row r="332" spans="1:8" ht="15" x14ac:dyDescent="0.4">
      <c r="A332" s="478">
        <f t="shared" si="2"/>
        <v>44656</v>
      </c>
      <c r="B332" s="478">
        <f t="shared" si="3"/>
        <v>44658</v>
      </c>
      <c r="C332" s="475"/>
      <c r="D332" s="475"/>
      <c r="E332" s="475"/>
      <c r="F332" s="475"/>
      <c r="G332" s="475"/>
      <c r="H332" s="475"/>
    </row>
    <row r="333" spans="1:8" ht="15" x14ac:dyDescent="0.4">
      <c r="A333" s="478">
        <f t="shared" si="2"/>
        <v>44657</v>
      </c>
      <c r="B333" s="478">
        <f t="shared" si="3"/>
        <v>44658</v>
      </c>
      <c r="C333" s="475"/>
      <c r="D333" s="475"/>
      <c r="E333" s="475"/>
      <c r="F333" s="475"/>
      <c r="G333" s="475"/>
      <c r="H333" s="475"/>
    </row>
    <row r="334" spans="1:8" ht="15" x14ac:dyDescent="0.4">
      <c r="A334" s="478">
        <f t="shared" si="2"/>
        <v>44658</v>
      </c>
      <c r="B334" s="478">
        <f t="shared" si="3"/>
        <v>44658</v>
      </c>
      <c r="C334" s="475"/>
      <c r="D334" s="475"/>
      <c r="E334" s="475"/>
      <c r="F334" s="475"/>
      <c r="G334" s="475"/>
      <c r="H334" s="475"/>
    </row>
    <row r="335" spans="1:8" ht="15" x14ac:dyDescent="0.4">
      <c r="A335" s="478">
        <f t="shared" si="2"/>
        <v>44659</v>
      </c>
      <c r="B335" s="478">
        <f t="shared" si="3"/>
        <v>44665</v>
      </c>
      <c r="C335" s="475"/>
      <c r="D335" s="475"/>
      <c r="E335" s="475"/>
      <c r="F335" s="475"/>
      <c r="G335" s="475"/>
      <c r="H335" s="475"/>
    </row>
    <row r="336" spans="1:8" ht="15" x14ac:dyDescent="0.4">
      <c r="A336" s="478">
        <f t="shared" si="2"/>
        <v>44660</v>
      </c>
      <c r="B336" s="478">
        <f t="shared" si="3"/>
        <v>44665</v>
      </c>
      <c r="C336" s="475"/>
      <c r="D336" s="475"/>
      <c r="E336" s="475"/>
      <c r="F336" s="475"/>
      <c r="G336" s="475"/>
      <c r="H336" s="475"/>
    </row>
    <row r="337" spans="1:8" ht="15" x14ac:dyDescent="0.4">
      <c r="A337" s="478">
        <f t="shared" si="2"/>
        <v>44661</v>
      </c>
      <c r="B337" s="478">
        <f t="shared" si="3"/>
        <v>44665</v>
      </c>
      <c r="C337" s="475"/>
      <c r="D337" s="475"/>
      <c r="E337" s="475"/>
      <c r="F337" s="475"/>
      <c r="G337" s="475"/>
      <c r="H337" s="475"/>
    </row>
    <row r="338" spans="1:8" ht="15" x14ac:dyDescent="0.4">
      <c r="A338" s="478">
        <f t="shared" si="2"/>
        <v>44662</v>
      </c>
      <c r="B338" s="478">
        <f t="shared" si="3"/>
        <v>44665</v>
      </c>
      <c r="C338" s="475"/>
      <c r="D338" s="475"/>
      <c r="E338" s="475"/>
      <c r="F338" s="475"/>
      <c r="G338" s="475"/>
      <c r="H338" s="475"/>
    </row>
    <row r="339" spans="1:8" ht="15" x14ac:dyDescent="0.4">
      <c r="A339" s="478">
        <f t="shared" si="2"/>
        <v>44663</v>
      </c>
      <c r="B339" s="478">
        <f t="shared" si="3"/>
        <v>44665</v>
      </c>
      <c r="C339" s="475"/>
      <c r="D339" s="475"/>
      <c r="E339" s="475"/>
      <c r="F339" s="475"/>
      <c r="G339" s="475"/>
      <c r="H339" s="475"/>
    </row>
    <row r="340" spans="1:8" ht="15" x14ac:dyDescent="0.4">
      <c r="A340" s="478">
        <f t="shared" si="2"/>
        <v>44664</v>
      </c>
      <c r="B340" s="478">
        <f t="shared" si="3"/>
        <v>44665</v>
      </c>
      <c r="C340" s="475"/>
      <c r="D340" s="475"/>
      <c r="E340" s="475"/>
      <c r="F340" s="475"/>
      <c r="G340" s="475"/>
      <c r="H340" s="475"/>
    </row>
    <row r="341" spans="1:8" ht="15" x14ac:dyDescent="0.4">
      <c r="A341" s="478">
        <f t="shared" si="2"/>
        <v>44665</v>
      </c>
      <c r="B341" s="478">
        <f t="shared" si="3"/>
        <v>44665</v>
      </c>
      <c r="C341" s="475"/>
      <c r="D341" s="475"/>
      <c r="E341" s="475"/>
      <c r="F341" s="475"/>
      <c r="G341" s="475"/>
      <c r="H341" s="475"/>
    </row>
    <row r="342" spans="1:8" ht="15" x14ac:dyDescent="0.4">
      <c r="A342" s="478">
        <f t="shared" si="2"/>
        <v>44666</v>
      </c>
      <c r="B342" s="478">
        <f t="shared" si="3"/>
        <v>44672</v>
      </c>
      <c r="C342" s="475"/>
      <c r="D342" s="475"/>
      <c r="E342" s="475"/>
      <c r="F342" s="475"/>
      <c r="G342" s="475"/>
      <c r="H342" s="475"/>
    </row>
    <row r="343" spans="1:8" ht="15" x14ac:dyDescent="0.4">
      <c r="A343" s="478">
        <f t="shared" si="2"/>
        <v>44667</v>
      </c>
      <c r="B343" s="478">
        <f t="shared" si="3"/>
        <v>44672</v>
      </c>
      <c r="C343" s="475"/>
      <c r="D343" s="475"/>
      <c r="E343" s="475"/>
      <c r="F343" s="475"/>
      <c r="G343" s="475"/>
      <c r="H343" s="475"/>
    </row>
    <row r="344" spans="1:8" ht="15" x14ac:dyDescent="0.4">
      <c r="A344" s="478">
        <f t="shared" si="2"/>
        <v>44668</v>
      </c>
      <c r="B344" s="478">
        <f t="shared" si="3"/>
        <v>44672</v>
      </c>
      <c r="C344" s="475"/>
      <c r="D344" s="475"/>
      <c r="E344" s="475"/>
      <c r="F344" s="475"/>
      <c r="G344" s="475"/>
      <c r="H344" s="475"/>
    </row>
    <row r="345" spans="1:8" ht="15" x14ac:dyDescent="0.4">
      <c r="A345" s="478">
        <f t="shared" si="2"/>
        <v>44669</v>
      </c>
      <c r="B345" s="478">
        <f t="shared" si="3"/>
        <v>44672</v>
      </c>
      <c r="C345" s="475"/>
      <c r="D345" s="475"/>
      <c r="E345" s="475"/>
      <c r="F345" s="475"/>
      <c r="G345" s="475"/>
      <c r="H345" s="475"/>
    </row>
    <row r="346" spans="1:8" ht="15" x14ac:dyDescent="0.4">
      <c r="A346" s="478">
        <f t="shared" si="2"/>
        <v>44670</v>
      </c>
      <c r="B346" s="478">
        <f t="shared" si="3"/>
        <v>44672</v>
      </c>
      <c r="C346" s="475"/>
      <c r="D346" s="475"/>
      <c r="E346" s="475"/>
      <c r="F346" s="475"/>
      <c r="G346" s="475"/>
      <c r="H346" s="475"/>
    </row>
    <row r="347" spans="1:8" ht="15" x14ac:dyDescent="0.4">
      <c r="A347" s="478">
        <f t="shared" si="2"/>
        <v>44671</v>
      </c>
      <c r="B347" s="478">
        <f t="shared" si="3"/>
        <v>44672</v>
      </c>
      <c r="C347" s="475"/>
      <c r="D347" s="475"/>
      <c r="E347" s="475"/>
      <c r="F347" s="475"/>
      <c r="G347" s="475"/>
      <c r="H347" s="475"/>
    </row>
    <row r="348" spans="1:8" ht="15" x14ac:dyDescent="0.4">
      <c r="A348" s="478">
        <f t="shared" si="2"/>
        <v>44672</v>
      </c>
      <c r="B348" s="478">
        <f t="shared" si="3"/>
        <v>44672</v>
      </c>
      <c r="C348" s="475"/>
      <c r="D348" s="475"/>
      <c r="E348" s="475"/>
      <c r="F348" s="475"/>
      <c r="G348" s="475"/>
      <c r="H348" s="475"/>
    </row>
    <row r="349" spans="1:8" ht="15" x14ac:dyDescent="0.4">
      <c r="A349" s="478">
        <f t="shared" si="2"/>
        <v>44673</v>
      </c>
      <c r="B349" s="478">
        <f t="shared" si="3"/>
        <v>44679</v>
      </c>
      <c r="C349" s="475"/>
      <c r="D349" s="475"/>
      <c r="E349" s="475"/>
      <c r="F349" s="475"/>
      <c r="G349" s="475"/>
      <c r="H349" s="475"/>
    </row>
    <row r="350" spans="1:8" ht="15" x14ac:dyDescent="0.4">
      <c r="A350" s="478">
        <f t="shared" si="2"/>
        <v>44674</v>
      </c>
      <c r="B350" s="478">
        <f t="shared" si="3"/>
        <v>44679</v>
      </c>
      <c r="C350" s="475"/>
      <c r="D350" s="475"/>
      <c r="E350" s="475"/>
      <c r="F350" s="475"/>
      <c r="G350" s="475"/>
      <c r="H350" s="475"/>
    </row>
    <row r="351" spans="1:8" ht="15" x14ac:dyDescent="0.4">
      <c r="A351" s="478">
        <f t="shared" si="2"/>
        <v>44675</v>
      </c>
      <c r="B351" s="478">
        <f t="shared" si="3"/>
        <v>44679</v>
      </c>
      <c r="C351" s="475"/>
      <c r="D351" s="475"/>
      <c r="E351" s="475"/>
      <c r="F351" s="475"/>
      <c r="G351" s="475"/>
      <c r="H351" s="475"/>
    </row>
    <row r="352" spans="1:8" ht="15" x14ac:dyDescent="0.4">
      <c r="A352" s="478">
        <f t="shared" si="2"/>
        <v>44676</v>
      </c>
      <c r="B352" s="478">
        <f t="shared" si="3"/>
        <v>44679</v>
      </c>
      <c r="C352" s="475"/>
      <c r="D352" s="475"/>
      <c r="E352" s="475"/>
      <c r="F352" s="475"/>
      <c r="G352" s="475"/>
      <c r="H352" s="475"/>
    </row>
    <row r="353" spans="1:8" ht="15" x14ac:dyDescent="0.4">
      <c r="A353" s="478">
        <f t="shared" si="2"/>
        <v>44677</v>
      </c>
      <c r="B353" s="478">
        <f t="shared" si="3"/>
        <v>44679</v>
      </c>
      <c r="C353" s="475"/>
      <c r="D353" s="475"/>
      <c r="E353" s="475"/>
      <c r="F353" s="475"/>
      <c r="G353" s="475"/>
      <c r="H353" s="475"/>
    </row>
    <row r="354" spans="1:8" ht="15" x14ac:dyDescent="0.4">
      <c r="A354" s="478">
        <f t="shared" si="2"/>
        <v>44678</v>
      </c>
      <c r="B354" s="478">
        <f t="shared" si="3"/>
        <v>44679</v>
      </c>
      <c r="C354" s="475"/>
      <c r="D354" s="475"/>
      <c r="E354" s="475"/>
      <c r="F354" s="475"/>
      <c r="G354" s="475"/>
      <c r="H354" s="475"/>
    </row>
    <row r="355" spans="1:8" ht="15" x14ac:dyDescent="0.4">
      <c r="A355" s="478">
        <f t="shared" si="2"/>
        <v>44679</v>
      </c>
      <c r="B355" s="478">
        <f t="shared" si="3"/>
        <v>44679</v>
      </c>
      <c r="C355" s="475"/>
      <c r="D355" s="475"/>
      <c r="E355" s="475"/>
      <c r="F355" s="475"/>
      <c r="G355" s="475"/>
      <c r="H355" s="475"/>
    </row>
    <row r="356" spans="1:8" ht="15" x14ac:dyDescent="0.4">
      <c r="A356" s="478">
        <f t="shared" si="2"/>
        <v>44680</v>
      </c>
      <c r="B356" s="478">
        <f t="shared" si="3"/>
        <v>44686</v>
      </c>
      <c r="C356" s="475"/>
      <c r="D356" s="475"/>
      <c r="E356" s="475"/>
      <c r="F356" s="475"/>
      <c r="G356" s="475"/>
      <c r="H356" s="475"/>
    </row>
    <row r="357" spans="1:8" ht="15" x14ac:dyDescent="0.4">
      <c r="A357" s="478">
        <f t="shared" si="2"/>
        <v>44681</v>
      </c>
      <c r="B357" s="478">
        <f t="shared" si="3"/>
        <v>44686</v>
      </c>
      <c r="C357" s="475"/>
      <c r="D357" s="475"/>
      <c r="E357" s="475"/>
      <c r="F357" s="475"/>
      <c r="G357" s="475"/>
      <c r="H357" s="475"/>
    </row>
    <row r="358" spans="1:8" ht="15" x14ac:dyDescent="0.4">
      <c r="A358" s="478">
        <f t="shared" si="2"/>
        <v>44682</v>
      </c>
      <c r="B358" s="478">
        <f t="shared" si="3"/>
        <v>44686</v>
      </c>
      <c r="C358" s="475"/>
      <c r="D358" s="475"/>
      <c r="E358" s="475"/>
      <c r="F358" s="475"/>
      <c r="G358" s="475"/>
      <c r="H358" s="475"/>
    </row>
    <row r="359" spans="1:8" ht="15" x14ac:dyDescent="0.4">
      <c r="A359" s="478">
        <f t="shared" si="2"/>
        <v>44683</v>
      </c>
      <c r="B359" s="478">
        <f t="shared" si="3"/>
        <v>44686</v>
      </c>
      <c r="C359" s="475"/>
      <c r="D359" s="475"/>
      <c r="E359" s="475"/>
      <c r="F359" s="475"/>
      <c r="G359" s="475"/>
      <c r="H359" s="475"/>
    </row>
    <row r="360" spans="1:8" ht="15" x14ac:dyDescent="0.4">
      <c r="A360" s="478">
        <f t="shared" si="2"/>
        <v>44684</v>
      </c>
      <c r="B360" s="478">
        <f t="shared" si="3"/>
        <v>44686</v>
      </c>
      <c r="C360" s="475"/>
      <c r="D360" s="475"/>
      <c r="E360" s="475"/>
      <c r="F360" s="475"/>
      <c r="G360" s="475"/>
      <c r="H360" s="475"/>
    </row>
    <row r="361" spans="1:8" ht="15" x14ac:dyDescent="0.4">
      <c r="A361" s="478">
        <f t="shared" si="2"/>
        <v>44685</v>
      </c>
      <c r="B361" s="478">
        <f t="shared" si="3"/>
        <v>44686</v>
      </c>
      <c r="C361" s="475"/>
      <c r="D361" s="475"/>
      <c r="E361" s="475"/>
      <c r="F361" s="475"/>
      <c r="G361" s="475"/>
      <c r="H361" s="475"/>
    </row>
    <row r="362" spans="1:8" ht="15" x14ac:dyDescent="0.4">
      <c r="A362" s="478">
        <f t="shared" si="2"/>
        <v>44686</v>
      </c>
      <c r="B362" s="478">
        <f t="shared" si="3"/>
        <v>44686</v>
      </c>
      <c r="C362" s="475"/>
      <c r="D362" s="475"/>
      <c r="E362" s="475"/>
      <c r="F362" s="475"/>
      <c r="G362" s="475"/>
      <c r="H362" s="475"/>
    </row>
    <row r="363" spans="1:8" ht="15" x14ac:dyDescent="0.4">
      <c r="A363" s="478">
        <f t="shared" si="2"/>
        <v>44687</v>
      </c>
      <c r="B363" s="478">
        <f t="shared" si="3"/>
        <v>44693</v>
      </c>
      <c r="C363" s="475"/>
      <c r="D363" s="475"/>
      <c r="E363" s="475"/>
      <c r="F363" s="475"/>
      <c r="G363" s="475"/>
      <c r="H363" s="475"/>
    </row>
    <row r="364" spans="1:8" ht="15" x14ac:dyDescent="0.4">
      <c r="A364" s="478">
        <f t="shared" si="2"/>
        <v>44688</v>
      </c>
      <c r="B364" s="478">
        <f t="shared" si="3"/>
        <v>44693</v>
      </c>
      <c r="C364" s="475"/>
      <c r="D364" s="475"/>
      <c r="E364" s="475"/>
      <c r="F364" s="475"/>
      <c r="G364" s="475"/>
      <c r="H364" s="475"/>
    </row>
    <row r="365" spans="1:8" ht="15" x14ac:dyDescent="0.4">
      <c r="A365" s="478">
        <f t="shared" si="2"/>
        <v>44689</v>
      </c>
      <c r="B365" s="478">
        <f t="shared" si="3"/>
        <v>44693</v>
      </c>
      <c r="C365" s="475"/>
      <c r="D365" s="475"/>
      <c r="E365" s="475"/>
      <c r="F365" s="475"/>
      <c r="G365" s="475"/>
      <c r="H365" s="475"/>
    </row>
    <row r="366" spans="1:8" ht="15" x14ac:dyDescent="0.4">
      <c r="A366" s="478">
        <f t="shared" si="2"/>
        <v>44690</v>
      </c>
      <c r="B366" s="478">
        <f t="shared" si="3"/>
        <v>44693</v>
      </c>
      <c r="C366" s="475"/>
      <c r="D366" s="475"/>
      <c r="E366" s="475"/>
      <c r="F366" s="475"/>
      <c r="G366" s="475"/>
      <c r="H366" s="475"/>
    </row>
    <row r="367" spans="1:8" ht="15" x14ac:dyDescent="0.4">
      <c r="A367" s="478">
        <f t="shared" si="2"/>
        <v>44691</v>
      </c>
      <c r="B367" s="478">
        <f t="shared" si="3"/>
        <v>44693</v>
      </c>
      <c r="C367" s="475"/>
      <c r="D367" s="475"/>
      <c r="E367" s="475"/>
      <c r="F367" s="475"/>
      <c r="G367" s="475"/>
      <c r="H367" s="475"/>
    </row>
    <row r="368" spans="1:8" ht="15" x14ac:dyDescent="0.4">
      <c r="A368" s="478">
        <f t="shared" si="2"/>
        <v>44692</v>
      </c>
      <c r="B368" s="478">
        <f t="shared" si="3"/>
        <v>44693</v>
      </c>
      <c r="C368" s="475"/>
      <c r="D368" s="475"/>
      <c r="E368" s="475"/>
      <c r="F368" s="475"/>
      <c r="G368" s="475"/>
      <c r="H368" s="475"/>
    </row>
    <row r="369" spans="1:8" ht="15" x14ac:dyDescent="0.4">
      <c r="A369" s="478">
        <f t="shared" si="2"/>
        <v>44693</v>
      </c>
      <c r="B369" s="478">
        <f t="shared" si="3"/>
        <v>44693</v>
      </c>
      <c r="C369" s="475"/>
      <c r="D369" s="475"/>
      <c r="E369" s="475"/>
      <c r="F369" s="475"/>
      <c r="G369" s="475"/>
      <c r="H369" s="475"/>
    </row>
    <row r="370" spans="1:8" ht="15" x14ac:dyDescent="0.4">
      <c r="A370" s="478">
        <f t="shared" si="2"/>
        <v>44694</v>
      </c>
      <c r="B370" s="478">
        <f t="shared" si="3"/>
        <v>44700</v>
      </c>
      <c r="C370" s="475"/>
      <c r="D370" s="475"/>
      <c r="E370" s="475"/>
      <c r="F370" s="475"/>
      <c r="G370" s="475"/>
      <c r="H370" s="475"/>
    </row>
    <row r="371" spans="1:8" ht="15" x14ac:dyDescent="0.4">
      <c r="A371" s="478">
        <f t="shared" si="2"/>
        <v>44695</v>
      </c>
      <c r="B371" s="478">
        <f t="shared" si="3"/>
        <v>44700</v>
      </c>
      <c r="C371" s="475"/>
      <c r="D371" s="475"/>
      <c r="E371" s="475"/>
      <c r="F371" s="475"/>
      <c r="G371" s="475"/>
      <c r="H371" s="475"/>
    </row>
    <row r="372" spans="1:8" ht="15" x14ac:dyDescent="0.4">
      <c r="A372" s="478">
        <f t="shared" si="2"/>
        <v>44696</v>
      </c>
      <c r="B372" s="478">
        <f t="shared" si="3"/>
        <v>44700</v>
      </c>
      <c r="C372" s="475"/>
      <c r="D372" s="475"/>
      <c r="E372" s="475"/>
      <c r="F372" s="475"/>
      <c r="G372" s="475"/>
      <c r="H372" s="475"/>
    </row>
    <row r="373" spans="1:8" ht="15" x14ac:dyDescent="0.4">
      <c r="A373" s="478">
        <f t="shared" si="2"/>
        <v>44697</v>
      </c>
      <c r="B373" s="478">
        <f t="shared" si="3"/>
        <v>44700</v>
      </c>
      <c r="C373" s="475"/>
      <c r="D373" s="475"/>
      <c r="E373" s="475"/>
      <c r="F373" s="475"/>
      <c r="G373" s="475"/>
      <c r="H373" s="475"/>
    </row>
    <row r="374" spans="1:8" ht="15" x14ac:dyDescent="0.4">
      <c r="A374" s="478">
        <f t="shared" si="2"/>
        <v>44698</v>
      </c>
      <c r="B374" s="478">
        <f t="shared" si="3"/>
        <v>44700</v>
      </c>
      <c r="C374" s="475"/>
      <c r="D374" s="475"/>
      <c r="E374" s="475"/>
      <c r="F374" s="475"/>
      <c r="G374" s="475"/>
      <c r="H374" s="475"/>
    </row>
    <row r="375" spans="1:8" ht="15" x14ac:dyDescent="0.4">
      <c r="A375" s="478">
        <f t="shared" si="2"/>
        <v>44699</v>
      </c>
      <c r="B375" s="478">
        <f t="shared" si="3"/>
        <v>44700</v>
      </c>
      <c r="C375" s="475"/>
      <c r="D375" s="475"/>
      <c r="E375" s="475"/>
      <c r="F375" s="475"/>
      <c r="G375" s="475"/>
      <c r="H375" s="475"/>
    </row>
    <row r="376" spans="1:8" ht="15" x14ac:dyDescent="0.4">
      <c r="A376" s="478">
        <f t="shared" si="2"/>
        <v>44700</v>
      </c>
      <c r="B376" s="478">
        <f t="shared" si="3"/>
        <v>44700</v>
      </c>
      <c r="C376" s="475"/>
      <c r="D376" s="475"/>
      <c r="E376" s="475"/>
      <c r="F376" s="475"/>
      <c r="G376" s="475"/>
      <c r="H376" s="475"/>
    </row>
    <row r="377" spans="1:8" ht="15" x14ac:dyDescent="0.4">
      <c r="A377" s="478">
        <f t="shared" si="2"/>
        <v>44701</v>
      </c>
      <c r="B377" s="478">
        <f t="shared" si="3"/>
        <v>44707</v>
      </c>
      <c r="C377" s="475"/>
      <c r="D377" s="475"/>
      <c r="E377" s="475"/>
      <c r="F377" s="475"/>
      <c r="G377" s="475"/>
      <c r="H377" s="475"/>
    </row>
    <row r="378" spans="1:8" ht="15" x14ac:dyDescent="0.4">
      <c r="A378" s="478">
        <f t="shared" si="2"/>
        <v>44702</v>
      </c>
      <c r="B378" s="478">
        <f t="shared" si="3"/>
        <v>44707</v>
      </c>
      <c r="C378" s="475"/>
      <c r="D378" s="475"/>
      <c r="E378" s="475"/>
      <c r="F378" s="475"/>
      <c r="G378" s="475"/>
      <c r="H378" s="475"/>
    </row>
    <row r="379" spans="1:8" ht="15" x14ac:dyDescent="0.4">
      <c r="A379" s="478">
        <f t="shared" si="2"/>
        <v>44703</v>
      </c>
      <c r="B379" s="478">
        <f t="shared" si="3"/>
        <v>44707</v>
      </c>
      <c r="C379" s="475"/>
      <c r="D379" s="475"/>
      <c r="E379" s="475"/>
      <c r="F379" s="475"/>
      <c r="G379" s="475"/>
      <c r="H379" s="475"/>
    </row>
    <row r="380" spans="1:8" ht="15" x14ac:dyDescent="0.4">
      <c r="A380" s="478">
        <f t="shared" si="2"/>
        <v>44704</v>
      </c>
      <c r="B380" s="478">
        <f t="shared" si="3"/>
        <v>44707</v>
      </c>
      <c r="C380" s="475"/>
      <c r="D380" s="475"/>
      <c r="E380" s="475"/>
      <c r="F380" s="475"/>
      <c r="G380" s="475"/>
      <c r="H380" s="475"/>
    </row>
    <row r="381" spans="1:8" ht="15" x14ac:dyDescent="0.4">
      <c r="A381" s="478">
        <f t="shared" si="2"/>
        <v>44705</v>
      </c>
      <c r="B381" s="478">
        <f t="shared" si="3"/>
        <v>44707</v>
      </c>
      <c r="C381" s="475"/>
      <c r="D381" s="475"/>
      <c r="E381" s="475"/>
      <c r="F381" s="475"/>
      <c r="G381" s="475"/>
      <c r="H381" s="475"/>
    </row>
    <row r="382" spans="1:8" ht="15" x14ac:dyDescent="0.4">
      <c r="A382" s="478">
        <f t="shared" si="2"/>
        <v>44706</v>
      </c>
      <c r="B382" s="478">
        <f t="shared" si="3"/>
        <v>44707</v>
      </c>
      <c r="C382" s="475"/>
      <c r="D382" s="475"/>
      <c r="E382" s="475"/>
      <c r="F382" s="475"/>
      <c r="G382" s="475"/>
      <c r="H382" s="475"/>
    </row>
    <row r="383" spans="1:8" ht="15" x14ac:dyDescent="0.4">
      <c r="A383" s="478">
        <f t="shared" si="2"/>
        <v>44707</v>
      </c>
      <c r="B383" s="478">
        <f t="shared" si="3"/>
        <v>44707</v>
      </c>
      <c r="C383" s="475"/>
      <c r="D383" s="475"/>
      <c r="E383" s="475"/>
      <c r="F383" s="475"/>
      <c r="G383" s="475"/>
      <c r="H383" s="475"/>
    </row>
    <row r="384" spans="1:8" ht="15" x14ac:dyDescent="0.4">
      <c r="A384" s="478">
        <f t="shared" si="2"/>
        <v>44708</v>
      </c>
      <c r="B384" s="478">
        <f t="shared" si="3"/>
        <v>44714</v>
      </c>
      <c r="C384" s="475"/>
      <c r="D384" s="475"/>
      <c r="E384" s="475"/>
      <c r="F384" s="475"/>
      <c r="G384" s="475"/>
      <c r="H384" s="475"/>
    </row>
    <row r="385" spans="1:8" ht="15" x14ac:dyDescent="0.4">
      <c r="A385" s="478">
        <f t="shared" si="2"/>
        <v>44709</v>
      </c>
      <c r="B385" s="478">
        <f t="shared" si="3"/>
        <v>44714</v>
      </c>
      <c r="C385" s="475"/>
      <c r="D385" s="475"/>
      <c r="E385" s="475"/>
      <c r="F385" s="475"/>
      <c r="G385" s="475"/>
      <c r="H385" s="475"/>
    </row>
    <row r="386" spans="1:8" ht="15" x14ac:dyDescent="0.4">
      <c r="A386" s="478">
        <f t="shared" si="2"/>
        <v>44710</v>
      </c>
      <c r="B386" s="478">
        <f t="shared" si="3"/>
        <v>44714</v>
      </c>
      <c r="C386" s="475"/>
      <c r="D386" s="475"/>
      <c r="E386" s="475"/>
      <c r="F386" s="475"/>
      <c r="G386" s="475"/>
      <c r="H386" s="475"/>
    </row>
    <row r="387" spans="1:8" ht="15" x14ac:dyDescent="0.4">
      <c r="A387" s="478">
        <f t="shared" si="2"/>
        <v>44711</v>
      </c>
      <c r="B387" s="478">
        <f t="shared" si="3"/>
        <v>44714</v>
      </c>
      <c r="C387" s="475"/>
      <c r="D387" s="475"/>
      <c r="E387" s="475"/>
      <c r="F387" s="475"/>
      <c r="G387" s="475"/>
      <c r="H387" s="475"/>
    </row>
    <row r="388" spans="1:8" ht="15" x14ac:dyDescent="0.4">
      <c r="A388" s="478">
        <f t="shared" si="2"/>
        <v>44712</v>
      </c>
      <c r="B388" s="478">
        <f t="shared" si="3"/>
        <v>44714</v>
      </c>
      <c r="C388" s="475"/>
      <c r="D388" s="475"/>
      <c r="E388" s="475"/>
      <c r="F388" s="475"/>
      <c r="G388" s="475"/>
      <c r="H388" s="475"/>
    </row>
    <row r="389" spans="1:8" ht="15" x14ac:dyDescent="0.4">
      <c r="A389" s="478">
        <f t="shared" si="2"/>
        <v>44713</v>
      </c>
      <c r="B389" s="478">
        <f t="shared" si="3"/>
        <v>44714</v>
      </c>
      <c r="C389" s="475"/>
      <c r="D389" s="475"/>
      <c r="E389" s="475"/>
      <c r="F389" s="475"/>
      <c r="G389" s="475"/>
      <c r="H389" s="475"/>
    </row>
    <row r="390" spans="1:8" ht="15" x14ac:dyDescent="0.4">
      <c r="A390" s="478">
        <f t="shared" si="2"/>
        <v>44714</v>
      </c>
      <c r="B390" s="478">
        <f t="shared" si="3"/>
        <v>44714</v>
      </c>
      <c r="C390" s="475"/>
      <c r="D390" s="475"/>
      <c r="E390" s="475"/>
      <c r="F390" s="475"/>
      <c r="G390" s="475"/>
      <c r="H390" s="475"/>
    </row>
    <row r="391" spans="1:8" ht="15" x14ac:dyDescent="0.4">
      <c r="A391" s="478">
        <f t="shared" si="2"/>
        <v>44715</v>
      </c>
      <c r="B391" s="478">
        <f t="shared" si="3"/>
        <v>44721</v>
      </c>
      <c r="C391" s="475"/>
      <c r="D391" s="475"/>
      <c r="E391" s="475"/>
      <c r="F391" s="475"/>
      <c r="G391" s="475"/>
      <c r="H391" s="475"/>
    </row>
    <row r="392" spans="1:8" ht="15" x14ac:dyDescent="0.4">
      <c r="A392" s="478">
        <f t="shared" si="2"/>
        <v>44716</v>
      </c>
      <c r="B392" s="478">
        <f t="shared" si="3"/>
        <v>44721</v>
      </c>
      <c r="C392" s="475"/>
      <c r="D392" s="475"/>
      <c r="E392" s="475"/>
      <c r="F392" s="475"/>
      <c r="G392" s="475"/>
      <c r="H392" s="475"/>
    </row>
    <row r="393" spans="1:8" ht="15" x14ac:dyDescent="0.4">
      <c r="A393" s="478">
        <f t="shared" si="2"/>
        <v>44717</v>
      </c>
      <c r="B393" s="478">
        <f t="shared" si="3"/>
        <v>44721</v>
      </c>
      <c r="C393" s="475"/>
      <c r="D393" s="475"/>
      <c r="E393" s="475"/>
      <c r="F393" s="475"/>
      <c r="G393" s="475"/>
      <c r="H393" s="475"/>
    </row>
    <row r="394" spans="1:8" ht="15" x14ac:dyDescent="0.4">
      <c r="A394" s="478">
        <f t="shared" si="2"/>
        <v>44718</v>
      </c>
      <c r="B394" s="478">
        <f t="shared" si="3"/>
        <v>44721</v>
      </c>
      <c r="C394" s="475"/>
      <c r="D394" s="475"/>
      <c r="E394" s="475"/>
      <c r="F394" s="475"/>
      <c r="G394" s="475"/>
      <c r="H394" s="475"/>
    </row>
    <row r="395" spans="1:8" ht="15" x14ac:dyDescent="0.4">
      <c r="A395" s="478">
        <f t="shared" si="2"/>
        <v>44719</v>
      </c>
      <c r="B395" s="478">
        <f t="shared" si="3"/>
        <v>44721</v>
      </c>
      <c r="C395" s="475"/>
      <c r="D395" s="475"/>
      <c r="E395" s="475"/>
      <c r="F395" s="475"/>
      <c r="G395" s="475"/>
      <c r="H395" s="475"/>
    </row>
    <row r="396" spans="1:8" ht="15" x14ac:dyDescent="0.4">
      <c r="A396" s="478">
        <f t="shared" si="2"/>
        <v>44720</v>
      </c>
      <c r="B396" s="478">
        <f t="shared" si="3"/>
        <v>44721</v>
      </c>
      <c r="C396" s="475"/>
      <c r="D396" s="475"/>
      <c r="E396" s="475"/>
      <c r="F396" s="475"/>
      <c r="G396" s="475"/>
      <c r="H396" s="475"/>
    </row>
    <row r="397" spans="1:8" ht="15" x14ac:dyDescent="0.4">
      <c r="A397" s="478">
        <f t="shared" si="2"/>
        <v>44721</v>
      </c>
      <c r="B397" s="478">
        <f t="shared" si="3"/>
        <v>44721</v>
      </c>
      <c r="C397" s="475"/>
      <c r="D397" s="475"/>
      <c r="E397" s="475"/>
      <c r="F397" s="475"/>
      <c r="G397" s="475"/>
      <c r="H397" s="475"/>
    </row>
    <row r="398" spans="1:8" ht="15" x14ac:dyDescent="0.4">
      <c r="A398" s="478">
        <f t="shared" si="2"/>
        <v>44722</v>
      </c>
      <c r="B398" s="478">
        <f t="shared" si="3"/>
        <v>44728</v>
      </c>
      <c r="C398" s="475"/>
      <c r="D398" s="475"/>
      <c r="E398" s="475"/>
      <c r="F398" s="475"/>
      <c r="G398" s="475"/>
      <c r="H398" s="475"/>
    </row>
    <row r="399" spans="1:8" ht="15" x14ac:dyDescent="0.4">
      <c r="A399" s="478">
        <f t="shared" si="2"/>
        <v>44723</v>
      </c>
      <c r="B399" s="478">
        <f t="shared" si="3"/>
        <v>44728</v>
      </c>
      <c r="C399" s="475"/>
      <c r="D399" s="475"/>
      <c r="E399" s="475"/>
      <c r="F399" s="475"/>
      <c r="G399" s="475"/>
      <c r="H399" s="475"/>
    </row>
    <row r="400" spans="1:8" ht="15" x14ac:dyDescent="0.4">
      <c r="A400" s="478">
        <f t="shared" si="2"/>
        <v>44724</v>
      </c>
      <c r="B400" s="478">
        <f t="shared" si="3"/>
        <v>44728</v>
      </c>
      <c r="C400" s="475"/>
      <c r="D400" s="475"/>
      <c r="E400" s="475"/>
      <c r="F400" s="475"/>
      <c r="G400" s="475"/>
      <c r="H400" s="475"/>
    </row>
    <row r="401" spans="1:8" ht="15" x14ac:dyDescent="0.4">
      <c r="A401" s="478">
        <f t="shared" si="2"/>
        <v>44725</v>
      </c>
      <c r="B401" s="478">
        <f t="shared" si="3"/>
        <v>44728</v>
      </c>
      <c r="C401" s="475"/>
      <c r="D401" s="475"/>
      <c r="E401" s="475"/>
      <c r="F401" s="475"/>
      <c r="G401" s="475"/>
      <c r="H401" s="475"/>
    </row>
    <row r="402" spans="1:8" ht="15" x14ac:dyDescent="0.4">
      <c r="A402" s="478">
        <f t="shared" si="2"/>
        <v>44726</v>
      </c>
      <c r="B402" s="478">
        <f t="shared" si="3"/>
        <v>44728</v>
      </c>
      <c r="C402" s="475"/>
      <c r="D402" s="475"/>
      <c r="E402" s="475"/>
      <c r="F402" s="475"/>
      <c r="G402" s="475"/>
      <c r="H402" s="475"/>
    </row>
    <row r="403" spans="1:8" ht="15" x14ac:dyDescent="0.4">
      <c r="A403" s="478">
        <f t="shared" si="2"/>
        <v>44727</v>
      </c>
      <c r="B403" s="478">
        <f t="shared" si="3"/>
        <v>44728</v>
      </c>
      <c r="C403" s="475"/>
      <c r="D403" s="475"/>
      <c r="E403" s="475"/>
      <c r="F403" s="475"/>
      <c r="G403" s="475"/>
      <c r="H403" s="475"/>
    </row>
    <row r="404" spans="1:8" ht="15" x14ac:dyDescent="0.4">
      <c r="A404" s="478">
        <f t="shared" si="2"/>
        <v>44728</v>
      </c>
      <c r="B404" s="478">
        <f t="shared" si="3"/>
        <v>44728</v>
      </c>
      <c r="C404" s="475"/>
      <c r="D404" s="475"/>
      <c r="E404" s="475"/>
      <c r="F404" s="475"/>
      <c r="G404" s="475"/>
      <c r="H404" s="475"/>
    </row>
    <row r="405" spans="1:8" ht="15" x14ac:dyDescent="0.4">
      <c r="A405" s="478">
        <f t="shared" si="2"/>
        <v>44729</v>
      </c>
      <c r="B405" s="478">
        <f t="shared" si="3"/>
        <v>44735</v>
      </c>
      <c r="C405" s="475"/>
      <c r="D405" s="475"/>
      <c r="E405" s="475"/>
      <c r="F405" s="475"/>
      <c r="G405" s="475"/>
      <c r="H405" s="475"/>
    </row>
    <row r="406" spans="1:8" ht="15" x14ac:dyDescent="0.4">
      <c r="A406" s="478">
        <f t="shared" si="2"/>
        <v>44730</v>
      </c>
      <c r="B406" s="478">
        <f t="shared" si="3"/>
        <v>44735</v>
      </c>
      <c r="C406" s="475"/>
      <c r="D406" s="475"/>
      <c r="E406" s="475"/>
      <c r="F406" s="475"/>
      <c r="G406" s="475"/>
      <c r="H406" s="475"/>
    </row>
    <row r="407" spans="1:8" ht="15" x14ac:dyDescent="0.4">
      <c r="A407" s="478">
        <f t="shared" si="2"/>
        <v>44731</v>
      </c>
      <c r="B407" s="478">
        <f t="shared" si="3"/>
        <v>44735</v>
      </c>
      <c r="C407" s="475"/>
      <c r="D407" s="475"/>
      <c r="E407" s="475"/>
      <c r="F407" s="475"/>
      <c r="G407" s="475"/>
      <c r="H407" s="475"/>
    </row>
    <row r="408" spans="1:8" ht="15" x14ac:dyDescent="0.4">
      <c r="A408" s="478">
        <f t="shared" si="2"/>
        <v>44732</v>
      </c>
      <c r="B408" s="478">
        <f t="shared" si="3"/>
        <v>44735</v>
      </c>
      <c r="C408" s="475"/>
      <c r="D408" s="475"/>
      <c r="E408" s="475"/>
      <c r="F408" s="475"/>
      <c r="G408" s="475"/>
      <c r="H408" s="475"/>
    </row>
    <row r="409" spans="1:8" ht="15" x14ac:dyDescent="0.4">
      <c r="A409" s="478">
        <f t="shared" si="2"/>
        <v>44733</v>
      </c>
      <c r="B409" s="478">
        <f t="shared" si="3"/>
        <v>44735</v>
      </c>
      <c r="C409" s="475"/>
      <c r="D409" s="475"/>
      <c r="E409" s="475"/>
      <c r="F409" s="475"/>
      <c r="G409" s="475"/>
      <c r="H409" s="475"/>
    </row>
    <row r="410" spans="1:8" ht="15" x14ac:dyDescent="0.4">
      <c r="A410" s="478">
        <f t="shared" si="2"/>
        <v>44734</v>
      </c>
      <c r="B410" s="478">
        <f t="shared" si="3"/>
        <v>44735</v>
      </c>
      <c r="C410" s="475"/>
      <c r="D410" s="475"/>
      <c r="E410" s="475"/>
      <c r="F410" s="475"/>
      <c r="G410" s="475"/>
      <c r="H410" s="475"/>
    </row>
    <row r="411" spans="1:8" ht="15" x14ac:dyDescent="0.4">
      <c r="A411" s="478">
        <f t="shared" si="2"/>
        <v>44735</v>
      </c>
      <c r="B411" s="478">
        <f t="shared" si="3"/>
        <v>44735</v>
      </c>
      <c r="C411" s="475"/>
      <c r="D411" s="475"/>
      <c r="E411" s="475"/>
      <c r="F411" s="475"/>
      <c r="G411" s="475"/>
      <c r="H411" s="475"/>
    </row>
    <row r="412" spans="1:8" ht="15" x14ac:dyDescent="0.4">
      <c r="A412" s="478">
        <f t="shared" si="2"/>
        <v>44736</v>
      </c>
      <c r="B412" s="478">
        <f t="shared" si="3"/>
        <v>44742</v>
      </c>
      <c r="C412" s="475"/>
      <c r="D412" s="475"/>
      <c r="E412" s="475"/>
      <c r="F412" s="475"/>
      <c r="G412" s="475"/>
      <c r="H412" s="475"/>
    </row>
    <row r="413" spans="1:8" ht="15" x14ac:dyDescent="0.4">
      <c r="A413" s="478">
        <f t="shared" si="2"/>
        <v>44737</v>
      </c>
      <c r="B413" s="478">
        <f t="shared" si="3"/>
        <v>44742</v>
      </c>
      <c r="C413" s="475"/>
      <c r="D413" s="475"/>
      <c r="E413" s="475"/>
      <c r="F413" s="475"/>
      <c r="G413" s="475"/>
      <c r="H413" s="475"/>
    </row>
    <row r="414" spans="1:8" ht="15" x14ac:dyDescent="0.4">
      <c r="A414" s="478">
        <f t="shared" si="2"/>
        <v>44738</v>
      </c>
      <c r="B414" s="478">
        <f t="shared" si="3"/>
        <v>44742</v>
      </c>
      <c r="C414" s="475"/>
      <c r="D414" s="475"/>
      <c r="E414" s="475"/>
      <c r="F414" s="475"/>
      <c r="G414" s="475"/>
      <c r="H414" s="475"/>
    </row>
    <row r="415" spans="1:8" ht="15" x14ac:dyDescent="0.4">
      <c r="A415" s="478">
        <f t="shared" si="2"/>
        <v>44739</v>
      </c>
      <c r="B415" s="478">
        <f t="shared" si="3"/>
        <v>44742</v>
      </c>
      <c r="C415" s="475"/>
      <c r="D415" s="475"/>
      <c r="E415" s="475"/>
      <c r="F415" s="475"/>
      <c r="G415" s="475"/>
      <c r="H415" s="475"/>
    </row>
    <row r="416" spans="1:8" ht="15" x14ac:dyDescent="0.4">
      <c r="A416" s="478">
        <f t="shared" si="2"/>
        <v>44740</v>
      </c>
      <c r="B416" s="478">
        <f t="shared" si="3"/>
        <v>44742</v>
      </c>
      <c r="C416" s="475"/>
      <c r="D416" s="475"/>
      <c r="E416" s="475"/>
      <c r="F416" s="475"/>
      <c r="G416" s="475"/>
      <c r="H416" s="475"/>
    </row>
    <row r="417" spans="1:8" ht="15" x14ac:dyDescent="0.4">
      <c r="A417" s="478">
        <f t="shared" si="2"/>
        <v>44741</v>
      </c>
      <c r="B417" s="478">
        <f t="shared" si="3"/>
        <v>44742</v>
      </c>
      <c r="C417" s="475"/>
      <c r="D417" s="475"/>
      <c r="E417" s="475"/>
      <c r="F417" s="475"/>
      <c r="G417" s="475"/>
      <c r="H417" s="475"/>
    </row>
    <row r="418" spans="1:8" ht="15" x14ac:dyDescent="0.4">
      <c r="A418" s="478">
        <f t="shared" si="2"/>
        <v>44742</v>
      </c>
      <c r="B418" s="478">
        <f t="shared" si="3"/>
        <v>44742</v>
      </c>
      <c r="C418" s="475"/>
      <c r="D418" s="475"/>
      <c r="E418" s="475"/>
      <c r="F418" s="475"/>
      <c r="G418" s="475"/>
      <c r="H418" s="475"/>
    </row>
    <row r="419" spans="1:8" ht="15" x14ac:dyDescent="0.4">
      <c r="A419" s="478">
        <f t="shared" si="2"/>
        <v>44743</v>
      </c>
      <c r="B419" s="478">
        <f t="shared" si="3"/>
        <v>44749</v>
      </c>
      <c r="C419" s="475"/>
      <c r="D419" s="475"/>
      <c r="E419" s="475"/>
      <c r="F419" s="475"/>
      <c r="G419" s="475"/>
      <c r="H419" s="475"/>
    </row>
    <row r="420" spans="1:8" ht="15" x14ac:dyDescent="0.4">
      <c r="A420" s="478">
        <f t="shared" si="2"/>
        <v>44744</v>
      </c>
      <c r="B420" s="478">
        <f t="shared" si="3"/>
        <v>44749</v>
      </c>
      <c r="C420" s="475"/>
      <c r="D420" s="475"/>
      <c r="E420" s="475"/>
      <c r="F420" s="475"/>
      <c r="G420" s="475"/>
      <c r="H420" s="475"/>
    </row>
    <row r="421" spans="1:8" ht="15" x14ac:dyDescent="0.4">
      <c r="A421" s="478">
        <f t="shared" si="2"/>
        <v>44745</v>
      </c>
      <c r="B421" s="478">
        <f t="shared" si="3"/>
        <v>44749</v>
      </c>
      <c r="C421" s="475"/>
      <c r="D421" s="475"/>
      <c r="E421" s="475"/>
      <c r="F421" s="475"/>
      <c r="G421" s="475"/>
      <c r="H421" s="475"/>
    </row>
    <row r="422" spans="1:8" ht="15" x14ac:dyDescent="0.4">
      <c r="A422" s="478">
        <f t="shared" si="2"/>
        <v>44746</v>
      </c>
      <c r="B422" s="478">
        <f t="shared" si="3"/>
        <v>44749</v>
      </c>
      <c r="C422" s="475"/>
      <c r="D422" s="475"/>
      <c r="E422" s="475"/>
      <c r="F422" s="475"/>
      <c r="G422" s="475"/>
      <c r="H422" s="475"/>
    </row>
    <row r="423" spans="1:8" ht="15" x14ac:dyDescent="0.4">
      <c r="A423" s="478">
        <f t="shared" si="2"/>
        <v>44747</v>
      </c>
      <c r="B423" s="478">
        <f t="shared" si="3"/>
        <v>44749</v>
      </c>
      <c r="C423" s="475"/>
      <c r="D423" s="475"/>
      <c r="E423" s="475"/>
      <c r="F423" s="475"/>
      <c r="G423" s="475"/>
      <c r="H423" s="475"/>
    </row>
    <row r="424" spans="1:8" ht="15" x14ac:dyDescent="0.4">
      <c r="A424" s="478">
        <f t="shared" si="2"/>
        <v>44748</v>
      </c>
      <c r="B424" s="478">
        <f t="shared" si="3"/>
        <v>44749</v>
      </c>
      <c r="C424" s="475"/>
      <c r="D424" s="475"/>
      <c r="E424" s="475"/>
      <c r="F424" s="475"/>
      <c r="G424" s="475"/>
      <c r="H424" s="475"/>
    </row>
    <row r="425" spans="1:8" ht="15" x14ac:dyDescent="0.4">
      <c r="A425" s="478">
        <f t="shared" si="2"/>
        <v>44749</v>
      </c>
      <c r="B425" s="478">
        <f t="shared" si="3"/>
        <v>44749</v>
      </c>
      <c r="C425" s="475"/>
      <c r="D425" s="475"/>
      <c r="E425" s="475"/>
      <c r="F425" s="475"/>
      <c r="G425" s="475"/>
      <c r="H425" s="475"/>
    </row>
    <row r="426" spans="1:8" ht="15" x14ac:dyDescent="0.4">
      <c r="A426" s="478">
        <f t="shared" si="2"/>
        <v>44750</v>
      </c>
      <c r="B426" s="478">
        <f t="shared" si="3"/>
        <v>44756</v>
      </c>
      <c r="C426" s="475"/>
      <c r="D426" s="475"/>
      <c r="E426" s="475"/>
      <c r="F426" s="475"/>
      <c r="G426" s="475"/>
      <c r="H426" s="475"/>
    </row>
    <row r="427" spans="1:8" ht="15" x14ac:dyDescent="0.4">
      <c r="A427" s="478">
        <f t="shared" si="2"/>
        <v>44751</v>
      </c>
      <c r="B427" s="478">
        <f t="shared" si="3"/>
        <v>44756</v>
      </c>
      <c r="C427" s="475"/>
      <c r="D427" s="475"/>
      <c r="E427" s="475"/>
      <c r="F427" s="475"/>
      <c r="G427" s="475"/>
      <c r="H427" s="475"/>
    </row>
    <row r="428" spans="1:8" ht="15" x14ac:dyDescent="0.4">
      <c r="A428" s="478">
        <f t="shared" si="2"/>
        <v>44752</v>
      </c>
      <c r="B428" s="478">
        <f t="shared" si="3"/>
        <v>44756</v>
      </c>
      <c r="C428" s="475"/>
      <c r="D428" s="475"/>
      <c r="E428" s="475"/>
      <c r="F428" s="475"/>
      <c r="G428" s="475"/>
      <c r="H428" s="475"/>
    </row>
    <row r="429" spans="1:8" ht="15" x14ac:dyDescent="0.4">
      <c r="A429" s="478">
        <f t="shared" si="2"/>
        <v>44753</v>
      </c>
      <c r="B429" s="478">
        <f t="shared" si="3"/>
        <v>44756</v>
      </c>
      <c r="C429" s="475"/>
      <c r="D429" s="475"/>
      <c r="E429" s="475"/>
      <c r="F429" s="475"/>
      <c r="G429" s="475"/>
      <c r="H429" s="475"/>
    </row>
    <row r="430" spans="1:8" ht="15" x14ac:dyDescent="0.4">
      <c r="A430" s="478">
        <f t="shared" si="2"/>
        <v>44754</v>
      </c>
      <c r="B430" s="478">
        <f t="shared" si="3"/>
        <v>44756</v>
      </c>
      <c r="C430" s="475"/>
      <c r="D430" s="475"/>
      <c r="E430" s="475"/>
      <c r="F430" s="475"/>
      <c r="G430" s="475"/>
      <c r="H430" s="475"/>
    </row>
    <row r="431" spans="1:8" ht="15" x14ac:dyDescent="0.4">
      <c r="A431" s="478">
        <f t="shared" si="2"/>
        <v>44755</v>
      </c>
      <c r="B431" s="478">
        <f t="shared" si="3"/>
        <v>44756</v>
      </c>
      <c r="C431" s="475"/>
      <c r="D431" s="475"/>
      <c r="E431" s="475"/>
      <c r="F431" s="475"/>
      <c r="G431" s="475"/>
      <c r="H431" s="475"/>
    </row>
    <row r="432" spans="1:8" ht="15" x14ac:dyDescent="0.4">
      <c r="A432" s="478">
        <f t="shared" si="2"/>
        <v>44756</v>
      </c>
      <c r="B432" s="478">
        <f t="shared" si="3"/>
        <v>44756</v>
      </c>
      <c r="C432" s="475"/>
      <c r="D432" s="475"/>
      <c r="E432" s="475"/>
      <c r="F432" s="475"/>
      <c r="G432" s="475"/>
      <c r="H432" s="475"/>
    </row>
    <row r="433" spans="1:8" ht="15" x14ac:dyDescent="0.4">
      <c r="A433" s="478">
        <f t="shared" si="2"/>
        <v>44757</v>
      </c>
      <c r="B433" s="478">
        <f t="shared" si="3"/>
        <v>44763</v>
      </c>
      <c r="C433" s="475"/>
      <c r="D433" s="475"/>
      <c r="E433" s="475"/>
      <c r="F433" s="475"/>
      <c r="G433" s="475"/>
      <c r="H433" s="475"/>
    </row>
    <row r="434" spans="1:8" ht="15" x14ac:dyDescent="0.4">
      <c r="A434" s="478">
        <f t="shared" si="2"/>
        <v>44758</v>
      </c>
      <c r="B434" s="478">
        <f t="shared" si="3"/>
        <v>44763</v>
      </c>
      <c r="C434" s="475"/>
      <c r="D434" s="475"/>
      <c r="E434" s="475"/>
      <c r="F434" s="475"/>
      <c r="G434" s="475"/>
      <c r="H434" s="475"/>
    </row>
    <row r="435" spans="1:8" ht="15" x14ac:dyDescent="0.4">
      <c r="A435" s="478">
        <f t="shared" si="2"/>
        <v>44759</v>
      </c>
      <c r="B435" s="478">
        <f t="shared" si="3"/>
        <v>44763</v>
      </c>
      <c r="C435" s="475"/>
      <c r="D435" s="475"/>
      <c r="E435" s="475"/>
      <c r="F435" s="475"/>
      <c r="G435" s="475"/>
      <c r="H435" s="475"/>
    </row>
    <row r="436" spans="1:8" ht="15" x14ac:dyDescent="0.4">
      <c r="A436" s="478">
        <f t="shared" si="2"/>
        <v>44760</v>
      </c>
      <c r="B436" s="478">
        <f t="shared" si="3"/>
        <v>44763</v>
      </c>
      <c r="C436" s="475"/>
      <c r="D436" s="475"/>
      <c r="E436" s="475"/>
      <c r="F436" s="475"/>
      <c r="G436" s="475"/>
      <c r="H436" s="475"/>
    </row>
    <row r="437" spans="1:8" ht="15" x14ac:dyDescent="0.4">
      <c r="A437" s="478">
        <f t="shared" si="2"/>
        <v>44761</v>
      </c>
      <c r="B437" s="478">
        <f t="shared" si="3"/>
        <v>44763</v>
      </c>
      <c r="C437" s="475"/>
      <c r="D437" s="475"/>
      <c r="E437" s="475"/>
      <c r="F437" s="475"/>
      <c r="G437" s="475"/>
      <c r="H437" s="475"/>
    </row>
    <row r="438" spans="1:8" ht="15" x14ac:dyDescent="0.4">
      <c r="A438" s="478">
        <f t="shared" si="2"/>
        <v>44762</v>
      </c>
      <c r="B438" s="478">
        <f t="shared" si="3"/>
        <v>44763</v>
      </c>
      <c r="C438" s="475"/>
      <c r="D438" s="475"/>
      <c r="E438" s="475"/>
      <c r="F438" s="475"/>
      <c r="G438" s="475"/>
      <c r="H438" s="475"/>
    </row>
    <row r="439" spans="1:8" ht="15" x14ac:dyDescent="0.4">
      <c r="A439" s="478">
        <f t="shared" si="2"/>
        <v>44763</v>
      </c>
      <c r="B439" s="478">
        <f t="shared" si="3"/>
        <v>44763</v>
      </c>
      <c r="C439" s="475"/>
      <c r="D439" s="475"/>
      <c r="E439" s="475"/>
      <c r="F439" s="475"/>
      <c r="G439" s="475"/>
      <c r="H439" s="475"/>
    </row>
    <row r="440" spans="1:8" ht="15" x14ac:dyDescent="0.4">
      <c r="A440" s="478">
        <f t="shared" si="2"/>
        <v>44764</v>
      </c>
      <c r="B440" s="478">
        <f t="shared" si="3"/>
        <v>44770</v>
      </c>
      <c r="C440" s="475"/>
      <c r="D440" s="475"/>
      <c r="E440" s="475"/>
      <c r="F440" s="475"/>
      <c r="G440" s="475"/>
      <c r="H440" s="475"/>
    </row>
    <row r="441" spans="1:8" ht="15" x14ac:dyDescent="0.4">
      <c r="A441" s="478">
        <f t="shared" si="2"/>
        <v>44765</v>
      </c>
      <c r="B441" s="478">
        <f t="shared" si="3"/>
        <v>44770</v>
      </c>
      <c r="C441" s="475"/>
      <c r="D441" s="475"/>
      <c r="E441" s="475"/>
      <c r="F441" s="475"/>
      <c r="G441" s="475"/>
      <c r="H441" s="475"/>
    </row>
    <row r="442" spans="1:8" ht="15" x14ac:dyDescent="0.4">
      <c r="A442" s="478">
        <f t="shared" si="2"/>
        <v>44766</v>
      </c>
      <c r="B442" s="478">
        <f t="shared" si="3"/>
        <v>44770</v>
      </c>
      <c r="C442" s="475"/>
      <c r="D442" s="475"/>
      <c r="E442" s="475"/>
      <c r="F442" s="475"/>
      <c r="G442" s="475"/>
      <c r="H442" s="475"/>
    </row>
    <row r="443" spans="1:8" ht="15" x14ac:dyDescent="0.4">
      <c r="A443" s="478">
        <f t="shared" si="2"/>
        <v>44767</v>
      </c>
      <c r="B443" s="478">
        <f t="shared" si="3"/>
        <v>44770</v>
      </c>
      <c r="C443" s="475"/>
      <c r="D443" s="475"/>
      <c r="E443" s="475"/>
      <c r="F443" s="475"/>
      <c r="G443" s="475"/>
      <c r="H443" s="475"/>
    </row>
    <row r="444" spans="1:8" ht="15" x14ac:dyDescent="0.4">
      <c r="A444" s="478">
        <f t="shared" si="2"/>
        <v>44768</v>
      </c>
      <c r="B444" s="478">
        <f t="shared" si="3"/>
        <v>44770</v>
      </c>
      <c r="C444" s="475"/>
      <c r="D444" s="475"/>
      <c r="E444" s="475"/>
      <c r="F444" s="475"/>
      <c r="G444" s="475"/>
      <c r="H444" s="475"/>
    </row>
    <row r="445" spans="1:8" ht="15" x14ac:dyDescent="0.4">
      <c r="A445" s="478">
        <f t="shared" si="2"/>
        <v>44769</v>
      </c>
      <c r="B445" s="478">
        <f t="shared" si="3"/>
        <v>44770</v>
      </c>
      <c r="C445" s="475"/>
      <c r="D445" s="475"/>
      <c r="E445" s="475"/>
      <c r="F445" s="475"/>
      <c r="G445" s="475"/>
      <c r="H445" s="475"/>
    </row>
    <row r="446" spans="1:8" ht="15" x14ac:dyDescent="0.4">
      <c r="A446" s="478">
        <f t="shared" si="2"/>
        <v>44770</v>
      </c>
      <c r="B446" s="478">
        <f t="shared" si="3"/>
        <v>44770</v>
      </c>
      <c r="C446" s="475"/>
      <c r="D446" s="475"/>
      <c r="E446" s="475"/>
      <c r="F446" s="475"/>
      <c r="G446" s="475"/>
      <c r="H446" s="475"/>
    </row>
    <row r="447" spans="1:8" ht="15" x14ac:dyDescent="0.4">
      <c r="A447" s="478">
        <f t="shared" si="2"/>
        <v>44771</v>
      </c>
      <c r="B447" s="478">
        <f t="shared" si="3"/>
        <v>44777</v>
      </c>
      <c r="C447" s="475"/>
      <c r="D447" s="475"/>
      <c r="E447" s="475"/>
      <c r="F447" s="475"/>
      <c r="G447" s="475"/>
      <c r="H447" s="475"/>
    </row>
    <row r="448" spans="1:8" ht="15" x14ac:dyDescent="0.4">
      <c r="A448" s="478">
        <f t="shared" si="2"/>
        <v>44772</v>
      </c>
      <c r="B448" s="478">
        <f t="shared" si="3"/>
        <v>44777</v>
      </c>
      <c r="C448" s="475"/>
      <c r="D448" s="475"/>
      <c r="E448" s="475"/>
      <c r="F448" s="475"/>
      <c r="G448" s="475"/>
      <c r="H448" s="475"/>
    </row>
    <row r="449" spans="1:8" ht="15" x14ac:dyDescent="0.4">
      <c r="A449" s="478">
        <f t="shared" si="2"/>
        <v>44773</v>
      </c>
      <c r="B449" s="478">
        <f t="shared" si="3"/>
        <v>44777</v>
      </c>
      <c r="C449" s="475"/>
      <c r="D449" s="475"/>
      <c r="E449" s="475"/>
      <c r="F449" s="475"/>
      <c r="G449" s="475"/>
      <c r="H449" s="475"/>
    </row>
    <row r="450" spans="1:8" ht="15" x14ac:dyDescent="0.4">
      <c r="A450" s="478">
        <f t="shared" si="2"/>
        <v>44774</v>
      </c>
      <c r="B450" s="478">
        <f t="shared" si="3"/>
        <v>44777</v>
      </c>
      <c r="C450" s="475"/>
      <c r="D450" s="475"/>
      <c r="E450" s="475"/>
      <c r="F450" s="475"/>
      <c r="G450" s="475"/>
      <c r="H450" s="475"/>
    </row>
    <row r="451" spans="1:8" ht="15" x14ac:dyDescent="0.4">
      <c r="A451" s="478">
        <f t="shared" si="2"/>
        <v>44775</v>
      </c>
      <c r="B451" s="478">
        <f t="shared" si="3"/>
        <v>44777</v>
      </c>
      <c r="C451" s="475"/>
      <c r="D451" s="475"/>
      <c r="E451" s="475"/>
      <c r="F451" s="475"/>
      <c r="G451" s="475"/>
      <c r="H451" s="475"/>
    </row>
    <row r="452" spans="1:8" ht="15" x14ac:dyDescent="0.4">
      <c r="A452" s="478">
        <f t="shared" si="2"/>
        <v>44776</v>
      </c>
      <c r="B452" s="478">
        <f t="shared" si="3"/>
        <v>44777</v>
      </c>
      <c r="C452" s="475"/>
      <c r="D452" s="475"/>
      <c r="E452" s="475"/>
      <c r="F452" s="475"/>
      <c r="G452" s="475"/>
      <c r="H452" s="475"/>
    </row>
    <row r="453" spans="1:8" ht="15" x14ac:dyDescent="0.4">
      <c r="A453" s="478">
        <f t="shared" si="2"/>
        <v>44777</v>
      </c>
      <c r="B453" s="478">
        <f t="shared" si="3"/>
        <v>44777</v>
      </c>
      <c r="C453" s="475"/>
      <c r="D453" s="475"/>
      <c r="E453" s="475"/>
      <c r="F453" s="475"/>
      <c r="G453" s="475"/>
      <c r="H453" s="475"/>
    </row>
    <row r="454" spans="1:8" ht="15" x14ac:dyDescent="0.4">
      <c r="A454" s="478">
        <f t="shared" si="2"/>
        <v>44778</v>
      </c>
      <c r="B454" s="478">
        <f t="shared" si="3"/>
        <v>44784</v>
      </c>
      <c r="C454" s="475"/>
      <c r="D454" s="475"/>
      <c r="E454" s="475"/>
      <c r="F454" s="475"/>
      <c r="G454" s="475"/>
      <c r="H454" s="475"/>
    </row>
    <row r="455" spans="1:8" ht="15" x14ac:dyDescent="0.4">
      <c r="A455" s="478">
        <f t="shared" si="2"/>
        <v>44779</v>
      </c>
      <c r="B455" s="478">
        <f t="shared" si="3"/>
        <v>44784</v>
      </c>
      <c r="C455" s="475"/>
      <c r="D455" s="475"/>
      <c r="E455" s="475"/>
      <c r="F455" s="475"/>
      <c r="G455" s="475"/>
      <c r="H455" s="475"/>
    </row>
    <row r="456" spans="1:8" ht="15" x14ac:dyDescent="0.4">
      <c r="A456" s="478">
        <f t="shared" si="2"/>
        <v>44780</v>
      </c>
      <c r="B456" s="478">
        <f t="shared" si="3"/>
        <v>44784</v>
      </c>
      <c r="C456" s="475"/>
      <c r="D456" s="475"/>
      <c r="E456" s="475"/>
      <c r="F456" s="475"/>
      <c r="G456" s="475"/>
      <c r="H456" s="475"/>
    </row>
    <row r="457" spans="1:8" ht="15" x14ac:dyDescent="0.4">
      <c r="A457" s="478">
        <f t="shared" si="2"/>
        <v>44781</v>
      </c>
      <c r="B457" s="478">
        <f t="shared" si="3"/>
        <v>44784</v>
      </c>
      <c r="C457" s="475"/>
      <c r="D457" s="475"/>
      <c r="E457" s="475"/>
      <c r="F457" s="475"/>
      <c r="G457" s="475"/>
      <c r="H457" s="475"/>
    </row>
    <row r="458" spans="1:8" ht="15" x14ac:dyDescent="0.4">
      <c r="A458" s="478">
        <f t="shared" si="2"/>
        <v>44782</v>
      </c>
      <c r="B458" s="478">
        <f t="shared" si="3"/>
        <v>44784</v>
      </c>
      <c r="C458" s="475"/>
      <c r="D458" s="475"/>
      <c r="E458" s="475"/>
      <c r="F458" s="475"/>
      <c r="G458" s="475"/>
      <c r="H458" s="475"/>
    </row>
    <row r="459" spans="1:8" ht="15" x14ac:dyDescent="0.4">
      <c r="A459" s="478">
        <f t="shared" si="2"/>
        <v>44783</v>
      </c>
      <c r="B459" s="478">
        <f t="shared" si="3"/>
        <v>44784</v>
      </c>
      <c r="C459" s="475"/>
      <c r="D459" s="475"/>
      <c r="E459" s="475"/>
      <c r="F459" s="475"/>
      <c r="G459" s="475"/>
      <c r="H459" s="475"/>
    </row>
    <row r="460" spans="1:8" ht="15" x14ac:dyDescent="0.4">
      <c r="A460" s="478">
        <f t="shared" si="2"/>
        <v>44784</v>
      </c>
      <c r="B460" s="478">
        <f t="shared" si="3"/>
        <v>44784</v>
      </c>
      <c r="C460" s="475"/>
      <c r="D460" s="475"/>
      <c r="E460" s="475"/>
      <c r="F460" s="475"/>
      <c r="G460" s="475"/>
      <c r="H460" s="475"/>
    </row>
    <row r="461" spans="1:8" ht="15" x14ac:dyDescent="0.4">
      <c r="A461" s="478">
        <f t="shared" si="2"/>
        <v>44785</v>
      </c>
      <c r="B461" s="478">
        <f t="shared" si="3"/>
        <v>44791</v>
      </c>
      <c r="C461" s="475"/>
      <c r="D461" s="475"/>
      <c r="E461" s="475"/>
      <c r="F461" s="475"/>
      <c r="G461" s="475"/>
      <c r="H461" s="475"/>
    </row>
    <row r="462" spans="1:8" ht="15" x14ac:dyDescent="0.4">
      <c r="A462" s="478">
        <f t="shared" si="2"/>
        <v>44786</v>
      </c>
      <c r="B462" s="478">
        <f t="shared" si="3"/>
        <v>44791</v>
      </c>
      <c r="C462" s="475"/>
      <c r="D462" s="475"/>
      <c r="E462" s="475"/>
      <c r="F462" s="475"/>
      <c r="G462" s="475"/>
      <c r="H462" s="475"/>
    </row>
    <row r="463" spans="1:8" ht="15" x14ac:dyDescent="0.4">
      <c r="A463" s="478">
        <f t="shared" si="2"/>
        <v>44787</v>
      </c>
      <c r="B463" s="478">
        <f t="shared" si="3"/>
        <v>44791</v>
      </c>
      <c r="C463" s="475"/>
      <c r="D463" s="475"/>
      <c r="E463" s="475"/>
      <c r="F463" s="475"/>
      <c r="G463" s="475"/>
      <c r="H463" s="475"/>
    </row>
    <row r="464" spans="1:8" ht="15" x14ac:dyDescent="0.4">
      <c r="A464" s="478">
        <f t="shared" si="2"/>
        <v>44788</v>
      </c>
      <c r="B464" s="478">
        <f t="shared" si="3"/>
        <v>44791</v>
      </c>
      <c r="C464" s="475"/>
      <c r="D464" s="475"/>
      <c r="E464" s="475"/>
      <c r="F464" s="475"/>
      <c r="G464" s="475"/>
      <c r="H464" s="475"/>
    </row>
    <row r="465" spans="1:8" ht="15" x14ac:dyDescent="0.4">
      <c r="A465" s="478">
        <f t="shared" si="2"/>
        <v>44789</v>
      </c>
      <c r="B465" s="478">
        <f t="shared" si="3"/>
        <v>44791</v>
      </c>
      <c r="C465" s="475"/>
      <c r="D465" s="475"/>
      <c r="E465" s="475"/>
      <c r="F465" s="475"/>
      <c r="G465" s="475"/>
      <c r="H465" s="475"/>
    </row>
    <row r="466" spans="1:8" ht="15" x14ac:dyDescent="0.4">
      <c r="A466" s="478">
        <f t="shared" si="2"/>
        <v>44790</v>
      </c>
      <c r="B466" s="478">
        <f t="shared" si="3"/>
        <v>44791</v>
      </c>
      <c r="C466" s="475"/>
      <c r="D466" s="475"/>
      <c r="E466" s="475"/>
      <c r="F466" s="475"/>
      <c r="G466" s="475"/>
      <c r="H466" s="475"/>
    </row>
    <row r="467" spans="1:8" ht="15" x14ac:dyDescent="0.4">
      <c r="A467" s="478">
        <f t="shared" si="2"/>
        <v>44791</v>
      </c>
      <c r="B467" s="478">
        <f t="shared" si="3"/>
        <v>44791</v>
      </c>
      <c r="C467" s="475"/>
      <c r="D467" s="475"/>
      <c r="E467" s="475"/>
      <c r="F467" s="475"/>
      <c r="G467" s="475"/>
      <c r="H467" s="475"/>
    </row>
    <row r="468" spans="1:8" ht="15" x14ac:dyDescent="0.4">
      <c r="A468" s="478">
        <f t="shared" si="2"/>
        <v>44792</v>
      </c>
      <c r="B468" s="478">
        <f t="shared" si="3"/>
        <v>44798</v>
      </c>
      <c r="C468" s="475"/>
      <c r="D468" s="475"/>
      <c r="E468" s="475"/>
      <c r="F468" s="475"/>
      <c r="G468" s="475"/>
      <c r="H468" s="475"/>
    </row>
    <row r="469" spans="1:8" ht="15" x14ac:dyDescent="0.4">
      <c r="A469" s="478">
        <f t="shared" si="2"/>
        <v>44793</v>
      </c>
      <c r="B469" s="478">
        <f t="shared" si="3"/>
        <v>44798</v>
      </c>
      <c r="C469" s="475"/>
      <c r="D469" s="475"/>
      <c r="E469" s="475"/>
      <c r="F469" s="475"/>
      <c r="G469" s="475"/>
      <c r="H469" s="475"/>
    </row>
    <row r="470" spans="1:8" ht="15" x14ac:dyDescent="0.4">
      <c r="A470" s="478">
        <f t="shared" si="2"/>
        <v>44794</v>
      </c>
      <c r="B470" s="478">
        <f t="shared" si="3"/>
        <v>44798</v>
      </c>
      <c r="C470" s="475"/>
      <c r="D470" s="475"/>
      <c r="E470" s="475"/>
      <c r="F470" s="475"/>
      <c r="G470" s="475"/>
      <c r="H470" s="475"/>
    </row>
    <row r="471" spans="1:8" ht="15" x14ac:dyDescent="0.4">
      <c r="A471" s="478">
        <f t="shared" si="2"/>
        <v>44795</v>
      </c>
      <c r="B471" s="478">
        <f t="shared" si="3"/>
        <v>44798</v>
      </c>
      <c r="C471" s="475"/>
      <c r="D471" s="475"/>
      <c r="E471" s="475"/>
      <c r="F471" s="475"/>
      <c r="G471" s="475"/>
      <c r="H471" s="475"/>
    </row>
    <row r="472" spans="1:8" ht="15" x14ac:dyDescent="0.4">
      <c r="A472" s="478">
        <f t="shared" si="2"/>
        <v>44796</v>
      </c>
      <c r="B472" s="478">
        <f t="shared" si="3"/>
        <v>44798</v>
      </c>
      <c r="C472" s="475"/>
      <c r="D472" s="475"/>
      <c r="E472" s="475"/>
      <c r="F472" s="475"/>
      <c r="G472" s="475"/>
      <c r="H472" s="475"/>
    </row>
    <row r="473" spans="1:8" ht="15" x14ac:dyDescent="0.4">
      <c r="A473" s="478">
        <f t="shared" si="2"/>
        <v>44797</v>
      </c>
      <c r="B473" s="478">
        <f t="shared" si="3"/>
        <v>44798</v>
      </c>
      <c r="C473" s="475"/>
      <c r="D473" s="475"/>
      <c r="E473" s="475"/>
      <c r="F473" s="475"/>
      <c r="G473" s="475"/>
      <c r="H473" s="475"/>
    </row>
    <row r="474" spans="1:8" ht="15" x14ac:dyDescent="0.4">
      <c r="A474" s="478">
        <f t="shared" si="2"/>
        <v>44798</v>
      </c>
      <c r="B474" s="478">
        <f t="shared" si="3"/>
        <v>44798</v>
      </c>
      <c r="C474" s="475"/>
      <c r="D474" s="475"/>
      <c r="E474" s="475"/>
      <c r="F474" s="475"/>
      <c r="G474" s="475"/>
      <c r="H474" s="475"/>
    </row>
    <row r="475" spans="1:8" ht="15" x14ac:dyDescent="0.4">
      <c r="A475" s="478">
        <f t="shared" si="2"/>
        <v>44799</v>
      </c>
      <c r="B475" s="478">
        <f t="shared" si="3"/>
        <v>44805</v>
      </c>
      <c r="C475" s="475"/>
      <c r="D475" s="475"/>
      <c r="E475" s="475"/>
      <c r="F475" s="475"/>
      <c r="G475" s="475"/>
      <c r="H475" s="475"/>
    </row>
    <row r="476" spans="1:8" ht="15" x14ac:dyDescent="0.4">
      <c r="A476" s="478">
        <f t="shared" si="2"/>
        <v>44800</v>
      </c>
      <c r="B476" s="478">
        <f t="shared" si="3"/>
        <v>44805</v>
      </c>
      <c r="C476" s="475"/>
      <c r="D476" s="475"/>
      <c r="E476" s="475"/>
      <c r="F476" s="475"/>
      <c r="G476" s="475"/>
      <c r="H476" s="475"/>
    </row>
    <row r="477" spans="1:8" ht="15" x14ac:dyDescent="0.4">
      <c r="A477" s="478">
        <f t="shared" si="2"/>
        <v>44801</v>
      </c>
      <c r="B477" s="478">
        <f t="shared" si="3"/>
        <v>44805</v>
      </c>
      <c r="C477" s="475"/>
      <c r="D477" s="475"/>
      <c r="E477" s="475"/>
      <c r="F477" s="475"/>
      <c r="G477" s="475"/>
      <c r="H477" s="475"/>
    </row>
    <row r="478" spans="1:8" ht="15" x14ac:dyDescent="0.4">
      <c r="A478" s="478">
        <f t="shared" si="2"/>
        <v>44802</v>
      </c>
      <c r="B478" s="478">
        <f t="shared" si="3"/>
        <v>44805</v>
      </c>
      <c r="C478" s="475"/>
      <c r="D478" s="475"/>
      <c r="E478" s="475"/>
      <c r="F478" s="475"/>
      <c r="G478" s="475"/>
      <c r="H478" s="475"/>
    </row>
    <row r="479" spans="1:8" ht="15" x14ac:dyDescent="0.4">
      <c r="A479" s="478">
        <f t="shared" si="2"/>
        <v>44803</v>
      </c>
      <c r="B479" s="478">
        <f t="shared" si="3"/>
        <v>44805</v>
      </c>
      <c r="C479" s="475"/>
      <c r="D479" s="475"/>
      <c r="E479" s="475"/>
      <c r="F479" s="475"/>
      <c r="G479" s="475"/>
      <c r="H479" s="475"/>
    </row>
    <row r="480" spans="1:8" ht="15" x14ac:dyDescent="0.4">
      <c r="A480" s="478">
        <f t="shared" si="2"/>
        <v>44804</v>
      </c>
      <c r="B480" s="478">
        <f t="shared" si="3"/>
        <v>44805</v>
      </c>
      <c r="C480" s="475"/>
      <c r="D480" s="475"/>
      <c r="E480" s="475"/>
      <c r="F480" s="475"/>
      <c r="G480" s="475"/>
      <c r="H480" s="475"/>
    </row>
    <row r="481" spans="1:8" ht="15" x14ac:dyDescent="0.4">
      <c r="A481" s="478">
        <f t="shared" si="2"/>
        <v>44805</v>
      </c>
      <c r="B481" s="478">
        <f t="shared" si="3"/>
        <v>44805</v>
      </c>
      <c r="C481" s="475"/>
      <c r="D481" s="475"/>
      <c r="E481" s="475"/>
      <c r="F481" s="475"/>
      <c r="G481" s="475"/>
      <c r="H481" s="475"/>
    </row>
    <row r="482" spans="1:8" ht="15" x14ac:dyDescent="0.4">
      <c r="A482" s="478">
        <f t="shared" si="2"/>
        <v>44806</v>
      </c>
      <c r="B482" s="478">
        <f t="shared" si="3"/>
        <v>44812</v>
      </c>
      <c r="C482" s="475"/>
      <c r="D482" s="475"/>
      <c r="E482" s="475"/>
      <c r="F482" s="475"/>
      <c r="G482" s="475"/>
      <c r="H482" s="475"/>
    </row>
    <row r="483" spans="1:8" ht="15" x14ac:dyDescent="0.4">
      <c r="A483" s="478">
        <f t="shared" si="2"/>
        <v>44807</v>
      </c>
      <c r="B483" s="478">
        <f t="shared" si="3"/>
        <v>44812</v>
      </c>
      <c r="C483" s="475"/>
      <c r="D483" s="475"/>
      <c r="E483" s="475"/>
      <c r="F483" s="475"/>
      <c r="G483" s="475"/>
      <c r="H483" s="475"/>
    </row>
    <row r="484" spans="1:8" ht="15" x14ac:dyDescent="0.4">
      <c r="A484" s="478">
        <f t="shared" si="2"/>
        <v>44808</v>
      </c>
      <c r="B484" s="478">
        <f t="shared" si="3"/>
        <v>44812</v>
      </c>
      <c r="C484" s="475"/>
      <c r="D484" s="475"/>
      <c r="E484" s="475"/>
      <c r="F484" s="475"/>
      <c r="G484" s="475"/>
      <c r="H484" s="475"/>
    </row>
    <row r="485" spans="1:8" ht="15" x14ac:dyDescent="0.4">
      <c r="A485" s="478">
        <f t="shared" si="2"/>
        <v>44809</v>
      </c>
      <c r="B485" s="478">
        <f t="shared" si="3"/>
        <v>44812</v>
      </c>
      <c r="C485" s="475"/>
      <c r="D485" s="475"/>
      <c r="E485" s="475"/>
      <c r="F485" s="475"/>
      <c r="G485" s="475"/>
      <c r="H485" s="475"/>
    </row>
    <row r="486" spans="1:8" ht="15" x14ac:dyDescent="0.4">
      <c r="A486" s="478">
        <f t="shared" si="2"/>
        <v>44810</v>
      </c>
      <c r="B486" s="478">
        <f t="shared" si="3"/>
        <v>44812</v>
      </c>
      <c r="C486" s="475"/>
      <c r="D486" s="475"/>
      <c r="E486" s="475"/>
      <c r="F486" s="475"/>
      <c r="G486" s="475"/>
      <c r="H486" s="475"/>
    </row>
    <row r="487" spans="1:8" ht="15" x14ac:dyDescent="0.4">
      <c r="A487" s="478">
        <f t="shared" si="2"/>
        <v>44811</v>
      </c>
      <c r="B487" s="478">
        <f t="shared" si="3"/>
        <v>44812</v>
      </c>
      <c r="C487" s="475"/>
      <c r="D487" s="475"/>
      <c r="E487" s="475"/>
      <c r="F487" s="475"/>
      <c r="G487" s="475"/>
      <c r="H487" s="475"/>
    </row>
    <row r="488" spans="1:8" ht="15" x14ac:dyDescent="0.4">
      <c r="A488" s="478">
        <f t="shared" si="2"/>
        <v>44812</v>
      </c>
      <c r="B488" s="478">
        <f t="shared" si="3"/>
        <v>44812</v>
      </c>
      <c r="C488" s="475"/>
      <c r="D488" s="475"/>
      <c r="E488" s="475"/>
      <c r="F488" s="475"/>
      <c r="G488" s="475"/>
      <c r="H488" s="475"/>
    </row>
    <row r="489" spans="1:8" ht="15" x14ac:dyDescent="0.4">
      <c r="A489" s="478">
        <f t="shared" si="2"/>
        <v>44813</v>
      </c>
      <c r="B489" s="478">
        <f t="shared" si="3"/>
        <v>44819</v>
      </c>
      <c r="C489" s="475"/>
      <c r="D489" s="475"/>
      <c r="E489" s="475"/>
      <c r="F489" s="475"/>
      <c r="G489" s="475"/>
      <c r="H489" s="475"/>
    </row>
    <row r="490" spans="1:8" ht="15" x14ac:dyDescent="0.4">
      <c r="A490" s="478">
        <f t="shared" si="2"/>
        <v>44814</v>
      </c>
      <c r="B490" s="478">
        <f t="shared" si="3"/>
        <v>44819</v>
      </c>
      <c r="C490" s="475"/>
      <c r="D490" s="475"/>
      <c r="E490" s="475"/>
      <c r="F490" s="475"/>
      <c r="G490" s="475"/>
      <c r="H490" s="475"/>
    </row>
    <row r="491" spans="1:8" ht="15" x14ac:dyDescent="0.4">
      <c r="A491" s="478">
        <f t="shared" si="2"/>
        <v>44815</v>
      </c>
      <c r="B491" s="478">
        <f t="shared" si="3"/>
        <v>44819</v>
      </c>
      <c r="C491" s="475"/>
      <c r="D491" s="475"/>
      <c r="E491" s="475"/>
      <c r="F491" s="475"/>
      <c r="G491" s="475"/>
      <c r="H491" s="475"/>
    </row>
    <row r="492" spans="1:8" ht="15" x14ac:dyDescent="0.4">
      <c r="A492" s="478">
        <f t="shared" si="2"/>
        <v>44816</v>
      </c>
      <c r="B492" s="478">
        <f t="shared" si="3"/>
        <v>44819</v>
      </c>
      <c r="C492" s="475"/>
      <c r="D492" s="475"/>
      <c r="E492" s="475"/>
      <c r="F492" s="475"/>
      <c r="G492" s="475"/>
      <c r="H492" s="475"/>
    </row>
    <row r="493" spans="1:8" ht="15" x14ac:dyDescent="0.4">
      <c r="A493" s="478">
        <f t="shared" si="2"/>
        <v>44817</v>
      </c>
      <c r="B493" s="478">
        <f t="shared" si="3"/>
        <v>44819</v>
      </c>
      <c r="C493" s="475"/>
      <c r="D493" s="475"/>
      <c r="E493" s="475"/>
      <c r="F493" s="475"/>
      <c r="G493" s="475"/>
      <c r="H493" s="475"/>
    </row>
    <row r="494" spans="1:8" ht="15" x14ac:dyDescent="0.4">
      <c r="A494" s="478">
        <f t="shared" si="2"/>
        <v>44818</v>
      </c>
      <c r="B494" s="478">
        <f t="shared" si="3"/>
        <v>44819</v>
      </c>
      <c r="C494" s="475"/>
      <c r="D494" s="475"/>
      <c r="E494" s="475"/>
      <c r="F494" s="475"/>
      <c r="G494" s="475"/>
      <c r="H494" s="475"/>
    </row>
    <row r="495" spans="1:8" ht="15" x14ac:dyDescent="0.4">
      <c r="A495" s="478">
        <f t="shared" si="2"/>
        <v>44819</v>
      </c>
      <c r="B495" s="478">
        <f t="shared" si="3"/>
        <v>44819</v>
      </c>
      <c r="C495" s="475"/>
      <c r="D495" s="475"/>
      <c r="E495" s="475"/>
      <c r="F495" s="475"/>
      <c r="G495" s="475"/>
      <c r="H495" s="475"/>
    </row>
    <row r="496" spans="1:8" ht="15" x14ac:dyDescent="0.4">
      <c r="A496" s="478">
        <f t="shared" si="2"/>
        <v>44820</v>
      </c>
      <c r="B496" s="478">
        <f t="shared" si="3"/>
        <v>44826</v>
      </c>
      <c r="C496" s="475"/>
      <c r="D496" s="475"/>
      <c r="E496" s="475"/>
      <c r="F496" s="475"/>
      <c r="G496" s="475"/>
      <c r="H496" s="475"/>
    </row>
    <row r="497" spans="1:8" ht="15" x14ac:dyDescent="0.4">
      <c r="A497" s="478">
        <f t="shared" si="2"/>
        <v>44821</v>
      </c>
      <c r="B497" s="478">
        <f t="shared" si="3"/>
        <v>44826</v>
      </c>
      <c r="C497" s="475"/>
      <c r="D497" s="475"/>
      <c r="E497" s="475"/>
      <c r="F497" s="475"/>
      <c r="G497" s="475"/>
      <c r="H497" s="475"/>
    </row>
    <row r="498" spans="1:8" ht="15" x14ac:dyDescent="0.4">
      <c r="A498" s="478">
        <f t="shared" si="2"/>
        <v>44822</v>
      </c>
      <c r="B498" s="478">
        <f t="shared" si="3"/>
        <v>44826</v>
      </c>
      <c r="C498" s="475"/>
      <c r="D498" s="475"/>
      <c r="E498" s="475"/>
      <c r="F498" s="475"/>
      <c r="G498" s="475"/>
      <c r="H498" s="475"/>
    </row>
    <row r="499" spans="1:8" ht="15" x14ac:dyDescent="0.4">
      <c r="A499" s="478">
        <f t="shared" si="2"/>
        <v>44823</v>
      </c>
      <c r="B499" s="478">
        <f t="shared" si="3"/>
        <v>44826</v>
      </c>
      <c r="C499" s="475"/>
      <c r="D499" s="475"/>
      <c r="E499" s="475"/>
      <c r="F499" s="475"/>
      <c r="G499" s="475"/>
      <c r="H499" s="475"/>
    </row>
    <row r="500" spans="1:8" ht="15" x14ac:dyDescent="0.4">
      <c r="A500" s="478">
        <f t="shared" si="2"/>
        <v>44824</v>
      </c>
      <c r="B500" s="478">
        <f t="shared" si="3"/>
        <v>44826</v>
      </c>
      <c r="C500" s="475"/>
      <c r="D500" s="475"/>
      <c r="E500" s="475"/>
      <c r="F500" s="475"/>
      <c r="G500" s="475"/>
      <c r="H500" s="475"/>
    </row>
    <row r="501" spans="1:8" ht="15" x14ac:dyDescent="0.4">
      <c r="A501" s="478">
        <f t="shared" si="2"/>
        <v>44825</v>
      </c>
      <c r="B501" s="478">
        <f t="shared" si="3"/>
        <v>44826</v>
      </c>
      <c r="C501" s="475"/>
      <c r="D501" s="475"/>
      <c r="E501" s="475"/>
      <c r="F501" s="475"/>
      <c r="G501" s="475"/>
      <c r="H501" s="475"/>
    </row>
    <row r="502" spans="1:8" ht="15" x14ac:dyDescent="0.4">
      <c r="A502" s="478">
        <f t="shared" si="2"/>
        <v>44826</v>
      </c>
      <c r="B502" s="478">
        <f t="shared" si="3"/>
        <v>44826</v>
      </c>
      <c r="C502" s="475"/>
      <c r="D502" s="475"/>
      <c r="E502" s="475"/>
      <c r="F502" s="475"/>
      <c r="G502" s="475"/>
      <c r="H502" s="475"/>
    </row>
    <row r="503" spans="1:8" ht="15" x14ac:dyDescent="0.4">
      <c r="A503" s="478">
        <f t="shared" si="2"/>
        <v>44827</v>
      </c>
      <c r="B503" s="478">
        <f t="shared" si="3"/>
        <v>44833</v>
      </c>
      <c r="C503" s="475"/>
      <c r="D503" s="475"/>
      <c r="E503" s="475"/>
      <c r="F503" s="475"/>
      <c r="G503" s="475"/>
      <c r="H503" s="475"/>
    </row>
    <row r="504" spans="1:8" ht="15" x14ac:dyDescent="0.4">
      <c r="A504" s="478">
        <f t="shared" si="2"/>
        <v>44828</v>
      </c>
      <c r="B504" s="478">
        <f t="shared" si="3"/>
        <v>44833</v>
      </c>
      <c r="C504" s="475"/>
      <c r="D504" s="475"/>
      <c r="E504" s="475"/>
      <c r="F504" s="475"/>
      <c r="G504" s="475"/>
      <c r="H504" s="475"/>
    </row>
    <row r="505" spans="1:8" ht="15" x14ac:dyDescent="0.4">
      <c r="A505" s="478">
        <f t="shared" si="2"/>
        <v>44829</v>
      </c>
      <c r="B505" s="478">
        <f t="shared" si="3"/>
        <v>44833</v>
      </c>
      <c r="C505" s="475"/>
      <c r="D505" s="475"/>
      <c r="E505" s="475"/>
      <c r="F505" s="475"/>
      <c r="G505" s="475"/>
      <c r="H505" s="475"/>
    </row>
    <row r="506" spans="1:8" ht="15" x14ac:dyDescent="0.4">
      <c r="A506" s="478">
        <f t="shared" si="2"/>
        <v>44830</v>
      </c>
      <c r="B506" s="478">
        <f t="shared" si="3"/>
        <v>44833</v>
      </c>
      <c r="C506" s="475"/>
      <c r="D506" s="475"/>
      <c r="E506" s="475"/>
      <c r="F506" s="475"/>
      <c r="G506" s="475"/>
      <c r="H506" s="475"/>
    </row>
    <row r="507" spans="1:8" ht="15" x14ac:dyDescent="0.4">
      <c r="A507" s="478">
        <f t="shared" si="2"/>
        <v>44831</v>
      </c>
      <c r="B507" s="478">
        <f t="shared" si="3"/>
        <v>44833</v>
      </c>
      <c r="C507" s="475"/>
      <c r="D507" s="475"/>
      <c r="E507" s="475"/>
      <c r="F507" s="475"/>
      <c r="G507" s="475"/>
      <c r="H507" s="475"/>
    </row>
    <row r="508" spans="1:8" ht="15" x14ac:dyDescent="0.4">
      <c r="A508" s="478">
        <f t="shared" si="2"/>
        <v>44832</v>
      </c>
      <c r="B508" s="478">
        <f t="shared" si="3"/>
        <v>44833</v>
      </c>
      <c r="C508" s="475"/>
      <c r="D508" s="475"/>
      <c r="E508" s="475"/>
      <c r="F508" s="475"/>
      <c r="G508" s="475"/>
      <c r="H508" s="475"/>
    </row>
    <row r="509" spans="1:8" ht="15" x14ac:dyDescent="0.4">
      <c r="A509" s="478">
        <f t="shared" si="2"/>
        <v>44833</v>
      </c>
      <c r="B509" s="478">
        <f t="shared" si="3"/>
        <v>44833</v>
      </c>
      <c r="C509" s="475"/>
      <c r="D509" s="475"/>
      <c r="E509" s="475"/>
      <c r="F509" s="475"/>
      <c r="G509" s="475"/>
      <c r="H509" s="475"/>
    </row>
    <row r="510" spans="1:8" ht="15" x14ac:dyDescent="0.4">
      <c r="A510" s="478">
        <f t="shared" si="2"/>
        <v>44834</v>
      </c>
      <c r="B510" s="478">
        <f t="shared" si="3"/>
        <v>44840</v>
      </c>
      <c r="C510" s="475"/>
      <c r="D510" s="475"/>
      <c r="E510" s="475"/>
      <c r="F510" s="475"/>
      <c r="G510" s="475"/>
      <c r="H510" s="475"/>
    </row>
    <row r="511" spans="1:8" ht="15" x14ac:dyDescent="0.4">
      <c r="A511" s="478">
        <f t="shared" si="2"/>
        <v>44835</v>
      </c>
      <c r="B511" s="478">
        <f t="shared" si="3"/>
        <v>44840</v>
      </c>
      <c r="C511" s="475"/>
      <c r="D511" s="475"/>
      <c r="E511" s="475"/>
      <c r="F511" s="475"/>
      <c r="G511" s="475"/>
      <c r="H511" s="475"/>
    </row>
    <row r="512" spans="1:8" ht="15" x14ac:dyDescent="0.4">
      <c r="A512" s="478">
        <f t="shared" si="2"/>
        <v>44836</v>
      </c>
      <c r="B512" s="478">
        <f t="shared" si="3"/>
        <v>44840</v>
      </c>
      <c r="C512" s="475"/>
      <c r="D512" s="475"/>
      <c r="E512" s="475"/>
      <c r="F512" s="475"/>
      <c r="G512" s="475"/>
      <c r="H512" s="475"/>
    </row>
    <row r="513" spans="1:8" ht="15" x14ac:dyDescent="0.4">
      <c r="A513" s="478">
        <f t="shared" ref="A513:A767" si="4">A512+1</f>
        <v>44837</v>
      </c>
      <c r="B513" s="478">
        <f t="shared" si="3"/>
        <v>44840</v>
      </c>
      <c r="C513" s="475"/>
      <c r="D513" s="475"/>
      <c r="E513" s="475"/>
      <c r="F513" s="475"/>
      <c r="G513" s="475"/>
      <c r="H513" s="475"/>
    </row>
    <row r="514" spans="1:8" ht="15" x14ac:dyDescent="0.4">
      <c r="A514" s="478">
        <f t="shared" si="4"/>
        <v>44838</v>
      </c>
      <c r="B514" s="478">
        <f t="shared" si="3"/>
        <v>44840</v>
      </c>
      <c r="C514" s="475"/>
      <c r="D514" s="475"/>
      <c r="E514" s="475"/>
      <c r="F514" s="475"/>
      <c r="G514" s="475"/>
      <c r="H514" s="475"/>
    </row>
    <row r="515" spans="1:8" ht="15" x14ac:dyDescent="0.4">
      <c r="A515" s="478">
        <f t="shared" si="4"/>
        <v>44839</v>
      </c>
      <c r="B515" s="478">
        <f t="shared" si="3"/>
        <v>44840</v>
      </c>
      <c r="C515" s="475"/>
      <c r="D515" s="475"/>
      <c r="E515" s="475"/>
      <c r="F515" s="475"/>
      <c r="G515" s="475"/>
      <c r="H515" s="475"/>
    </row>
    <row r="516" spans="1:8" ht="15" x14ac:dyDescent="0.4">
      <c r="A516" s="478">
        <f t="shared" si="4"/>
        <v>44840</v>
      </c>
      <c r="B516" s="478">
        <f t="shared" si="3"/>
        <v>44840</v>
      </c>
      <c r="C516" s="475"/>
      <c r="D516" s="475"/>
      <c r="E516" s="475"/>
      <c r="F516" s="475"/>
      <c r="G516" s="475"/>
      <c r="H516" s="475"/>
    </row>
    <row r="517" spans="1:8" ht="15" x14ac:dyDescent="0.4">
      <c r="A517" s="478">
        <f t="shared" si="4"/>
        <v>44841</v>
      </c>
      <c r="B517" s="478">
        <f t="shared" si="3"/>
        <v>44847</v>
      </c>
      <c r="C517" s="475"/>
      <c r="D517" s="475"/>
      <c r="E517" s="475"/>
      <c r="F517" s="475"/>
      <c r="G517" s="475"/>
      <c r="H517" s="475"/>
    </row>
    <row r="518" spans="1:8" ht="15" x14ac:dyDescent="0.4">
      <c r="A518" s="478">
        <f t="shared" si="4"/>
        <v>44842</v>
      </c>
      <c r="B518" s="478">
        <f t="shared" si="3"/>
        <v>44847</v>
      </c>
      <c r="C518" s="475"/>
      <c r="D518" s="475"/>
      <c r="E518" s="475"/>
      <c r="F518" s="475"/>
      <c r="G518" s="475"/>
      <c r="H518" s="475"/>
    </row>
    <row r="519" spans="1:8" ht="15" x14ac:dyDescent="0.4">
      <c r="A519" s="478">
        <f t="shared" si="4"/>
        <v>44843</v>
      </c>
      <c r="B519" s="478">
        <f t="shared" si="3"/>
        <v>44847</v>
      </c>
      <c r="C519" s="475"/>
      <c r="D519" s="475"/>
      <c r="E519" s="475"/>
      <c r="F519" s="475"/>
      <c r="G519" s="475"/>
      <c r="H519" s="475"/>
    </row>
    <row r="520" spans="1:8" ht="15" x14ac:dyDescent="0.4">
      <c r="A520" s="478">
        <f t="shared" si="4"/>
        <v>44844</v>
      </c>
      <c r="B520" s="478">
        <f t="shared" si="3"/>
        <v>44847</v>
      </c>
      <c r="C520" s="475"/>
      <c r="D520" s="475"/>
      <c r="E520" s="475"/>
      <c r="F520" s="475"/>
      <c r="G520" s="475"/>
      <c r="H520" s="475"/>
    </row>
    <row r="521" spans="1:8" ht="15" x14ac:dyDescent="0.4">
      <c r="A521" s="478">
        <f t="shared" si="4"/>
        <v>44845</v>
      </c>
      <c r="B521" s="478">
        <f t="shared" si="3"/>
        <v>44847</v>
      </c>
      <c r="C521" s="475"/>
      <c r="D521" s="475"/>
      <c r="E521" s="475"/>
      <c r="F521" s="475"/>
      <c r="G521" s="475"/>
      <c r="H521" s="475"/>
    </row>
    <row r="522" spans="1:8" ht="15" x14ac:dyDescent="0.4">
      <c r="A522" s="478">
        <f t="shared" si="4"/>
        <v>44846</v>
      </c>
      <c r="B522" s="478">
        <f t="shared" si="3"/>
        <v>44847</v>
      </c>
      <c r="C522" s="475"/>
      <c r="D522" s="475"/>
      <c r="E522" s="475"/>
      <c r="F522" s="475"/>
      <c r="G522" s="475"/>
      <c r="H522" s="475"/>
    </row>
    <row r="523" spans="1:8" ht="15" x14ac:dyDescent="0.4">
      <c r="A523" s="478">
        <f t="shared" si="4"/>
        <v>44847</v>
      </c>
      <c r="B523" s="478">
        <f t="shared" ref="B523:B777" si="5">IF(B522=B516,B522+7,B522)</f>
        <v>44847</v>
      </c>
      <c r="C523" s="475"/>
      <c r="D523" s="475"/>
      <c r="E523" s="475"/>
      <c r="F523" s="475"/>
      <c r="G523" s="475"/>
      <c r="H523" s="475"/>
    </row>
    <row r="524" spans="1:8" ht="15" x14ac:dyDescent="0.4">
      <c r="A524" s="478">
        <f t="shared" si="4"/>
        <v>44848</v>
      </c>
      <c r="B524" s="478">
        <f t="shared" si="5"/>
        <v>44854</v>
      </c>
      <c r="C524" s="475"/>
      <c r="D524" s="475"/>
      <c r="E524" s="475"/>
      <c r="F524" s="475"/>
      <c r="G524" s="475"/>
      <c r="H524" s="475"/>
    </row>
    <row r="525" spans="1:8" ht="15" x14ac:dyDescent="0.4">
      <c r="A525" s="478">
        <f t="shared" si="4"/>
        <v>44849</v>
      </c>
      <c r="B525" s="478">
        <f t="shared" si="5"/>
        <v>44854</v>
      </c>
      <c r="C525" s="475"/>
      <c r="D525" s="475"/>
      <c r="E525" s="475"/>
      <c r="F525" s="475"/>
      <c r="G525" s="475"/>
      <c r="H525" s="475"/>
    </row>
    <row r="526" spans="1:8" ht="15" x14ac:dyDescent="0.4">
      <c r="A526" s="478">
        <f t="shared" si="4"/>
        <v>44850</v>
      </c>
      <c r="B526" s="478">
        <f t="shared" si="5"/>
        <v>44854</v>
      </c>
      <c r="C526" s="475"/>
      <c r="D526" s="475"/>
      <c r="E526" s="475"/>
      <c r="F526" s="475"/>
      <c r="G526" s="475"/>
      <c r="H526" s="475"/>
    </row>
    <row r="527" spans="1:8" ht="15" x14ac:dyDescent="0.4">
      <c r="A527" s="478">
        <f t="shared" si="4"/>
        <v>44851</v>
      </c>
      <c r="B527" s="478">
        <f t="shared" si="5"/>
        <v>44854</v>
      </c>
      <c r="C527" s="475"/>
      <c r="D527" s="475"/>
      <c r="E527" s="475"/>
      <c r="F527" s="475"/>
      <c r="G527" s="475"/>
      <c r="H527" s="475"/>
    </row>
    <row r="528" spans="1:8" ht="15" x14ac:dyDescent="0.4">
      <c r="A528" s="478">
        <f t="shared" si="4"/>
        <v>44852</v>
      </c>
      <c r="B528" s="478">
        <f t="shared" si="5"/>
        <v>44854</v>
      </c>
      <c r="C528" s="475"/>
      <c r="D528" s="475"/>
      <c r="E528" s="475"/>
      <c r="F528" s="475"/>
      <c r="G528" s="475"/>
      <c r="H528" s="475"/>
    </row>
    <row r="529" spans="1:8" ht="15" x14ac:dyDescent="0.4">
      <c r="A529" s="478">
        <f t="shared" si="4"/>
        <v>44853</v>
      </c>
      <c r="B529" s="478">
        <f t="shared" si="5"/>
        <v>44854</v>
      </c>
      <c r="C529" s="475"/>
      <c r="D529" s="475"/>
      <c r="E529" s="475"/>
      <c r="F529" s="475"/>
      <c r="G529" s="475"/>
      <c r="H529" s="475"/>
    </row>
    <row r="530" spans="1:8" ht="15" x14ac:dyDescent="0.4">
      <c r="A530" s="478">
        <f t="shared" si="4"/>
        <v>44854</v>
      </c>
      <c r="B530" s="478">
        <f t="shared" si="5"/>
        <v>44854</v>
      </c>
      <c r="C530" s="475"/>
      <c r="D530" s="475"/>
      <c r="E530" s="475"/>
      <c r="F530" s="475"/>
      <c r="G530" s="475"/>
      <c r="H530" s="475"/>
    </row>
    <row r="531" spans="1:8" ht="15" x14ac:dyDescent="0.4">
      <c r="A531" s="478">
        <f t="shared" si="4"/>
        <v>44855</v>
      </c>
      <c r="B531" s="478">
        <f t="shared" si="5"/>
        <v>44861</v>
      </c>
      <c r="C531" s="475"/>
      <c r="D531" s="475"/>
      <c r="E531" s="475"/>
      <c r="F531" s="475"/>
      <c r="G531" s="475"/>
      <c r="H531" s="475"/>
    </row>
    <row r="532" spans="1:8" ht="15" x14ac:dyDescent="0.4">
      <c r="A532" s="478">
        <f t="shared" si="4"/>
        <v>44856</v>
      </c>
      <c r="B532" s="478">
        <f t="shared" si="5"/>
        <v>44861</v>
      </c>
      <c r="C532" s="475"/>
      <c r="D532" s="475"/>
      <c r="E532" s="475"/>
      <c r="F532" s="475"/>
      <c r="G532" s="475"/>
      <c r="H532" s="475"/>
    </row>
    <row r="533" spans="1:8" ht="15" x14ac:dyDescent="0.4">
      <c r="A533" s="478">
        <f t="shared" si="4"/>
        <v>44857</v>
      </c>
      <c r="B533" s="478">
        <f t="shared" si="5"/>
        <v>44861</v>
      </c>
      <c r="C533" s="475"/>
      <c r="D533" s="475"/>
      <c r="E533" s="475"/>
      <c r="F533" s="475"/>
      <c r="G533" s="475"/>
      <c r="H533" s="475"/>
    </row>
    <row r="534" spans="1:8" ht="15" x14ac:dyDescent="0.4">
      <c r="A534" s="478">
        <f t="shared" si="4"/>
        <v>44858</v>
      </c>
      <c r="B534" s="478">
        <f t="shared" si="5"/>
        <v>44861</v>
      </c>
      <c r="C534" s="475"/>
      <c r="D534" s="475"/>
      <c r="E534" s="475"/>
      <c r="F534" s="475"/>
      <c r="G534" s="475"/>
      <c r="H534" s="475"/>
    </row>
    <row r="535" spans="1:8" ht="15" x14ac:dyDescent="0.4">
      <c r="A535" s="478">
        <f t="shared" si="4"/>
        <v>44859</v>
      </c>
      <c r="B535" s="478">
        <f t="shared" si="5"/>
        <v>44861</v>
      </c>
      <c r="C535" s="475"/>
      <c r="D535" s="475"/>
      <c r="E535" s="475"/>
      <c r="F535" s="475"/>
      <c r="G535" s="475"/>
      <c r="H535" s="475"/>
    </row>
    <row r="536" spans="1:8" ht="15" x14ac:dyDescent="0.4">
      <c r="A536" s="478">
        <f t="shared" si="4"/>
        <v>44860</v>
      </c>
      <c r="B536" s="478">
        <f t="shared" si="5"/>
        <v>44861</v>
      </c>
      <c r="C536" s="475"/>
      <c r="D536" s="475"/>
      <c r="E536" s="475"/>
      <c r="F536" s="475"/>
      <c r="G536" s="475"/>
      <c r="H536" s="475"/>
    </row>
    <row r="537" spans="1:8" ht="15" x14ac:dyDescent="0.4">
      <c r="A537" s="478">
        <f t="shared" si="4"/>
        <v>44861</v>
      </c>
      <c r="B537" s="478">
        <f t="shared" si="5"/>
        <v>44861</v>
      </c>
      <c r="C537" s="475"/>
      <c r="D537" s="475"/>
      <c r="E537" s="475"/>
      <c r="F537" s="475"/>
      <c r="G537" s="475"/>
      <c r="H537" s="475"/>
    </row>
    <row r="538" spans="1:8" ht="15" x14ac:dyDescent="0.4">
      <c r="A538" s="478">
        <f t="shared" si="4"/>
        <v>44862</v>
      </c>
      <c r="B538" s="478">
        <f t="shared" si="5"/>
        <v>44868</v>
      </c>
      <c r="C538" s="475"/>
      <c r="D538" s="475"/>
      <c r="E538" s="475"/>
      <c r="F538" s="475"/>
      <c r="G538" s="475"/>
      <c r="H538" s="475"/>
    </row>
    <row r="539" spans="1:8" ht="15" x14ac:dyDescent="0.4">
      <c r="A539" s="478">
        <f t="shared" si="4"/>
        <v>44863</v>
      </c>
      <c r="B539" s="478">
        <f t="shared" si="5"/>
        <v>44868</v>
      </c>
      <c r="C539" s="475"/>
      <c r="D539" s="475"/>
      <c r="E539" s="475"/>
      <c r="F539" s="475"/>
      <c r="G539" s="475"/>
      <c r="H539" s="475"/>
    </row>
    <row r="540" spans="1:8" ht="15" x14ac:dyDescent="0.4">
      <c r="A540" s="478">
        <f t="shared" si="4"/>
        <v>44864</v>
      </c>
      <c r="B540" s="478">
        <f t="shared" si="5"/>
        <v>44868</v>
      </c>
      <c r="C540" s="475"/>
      <c r="D540" s="475"/>
      <c r="E540" s="475"/>
      <c r="F540" s="475"/>
      <c r="G540" s="475"/>
      <c r="H540" s="475"/>
    </row>
    <row r="541" spans="1:8" ht="15" x14ac:dyDescent="0.4">
      <c r="A541" s="478">
        <f t="shared" si="4"/>
        <v>44865</v>
      </c>
      <c r="B541" s="478">
        <f t="shared" si="5"/>
        <v>44868</v>
      </c>
      <c r="C541" s="475"/>
      <c r="D541" s="475"/>
      <c r="E541" s="475"/>
      <c r="F541" s="475"/>
      <c r="G541" s="475"/>
      <c r="H541" s="475"/>
    </row>
    <row r="542" spans="1:8" ht="15" x14ac:dyDescent="0.4">
      <c r="A542" s="478">
        <f t="shared" si="4"/>
        <v>44866</v>
      </c>
      <c r="B542" s="478">
        <f t="shared" si="5"/>
        <v>44868</v>
      </c>
      <c r="C542" s="475"/>
      <c r="D542" s="475"/>
      <c r="E542" s="475"/>
      <c r="F542" s="475"/>
      <c r="G542" s="475"/>
      <c r="H542" s="475"/>
    </row>
    <row r="543" spans="1:8" ht="15" x14ac:dyDescent="0.4">
      <c r="A543" s="478">
        <f t="shared" si="4"/>
        <v>44867</v>
      </c>
      <c r="B543" s="478">
        <f t="shared" si="5"/>
        <v>44868</v>
      </c>
      <c r="C543" s="475"/>
      <c r="D543" s="475"/>
      <c r="E543" s="475"/>
      <c r="F543" s="475"/>
      <c r="G543" s="475"/>
      <c r="H543" s="475"/>
    </row>
    <row r="544" spans="1:8" ht="15" x14ac:dyDescent="0.4">
      <c r="A544" s="478">
        <f t="shared" si="4"/>
        <v>44868</v>
      </c>
      <c r="B544" s="478">
        <f t="shared" si="5"/>
        <v>44868</v>
      </c>
      <c r="C544" s="475"/>
      <c r="D544" s="475"/>
      <c r="E544" s="475"/>
      <c r="F544" s="475"/>
      <c r="G544" s="475"/>
      <c r="H544" s="475"/>
    </row>
    <row r="545" spans="1:8" ht="15" x14ac:dyDescent="0.4">
      <c r="A545" s="478">
        <f t="shared" si="4"/>
        <v>44869</v>
      </c>
      <c r="B545" s="478">
        <f t="shared" si="5"/>
        <v>44875</v>
      </c>
      <c r="C545" s="475"/>
      <c r="D545" s="475"/>
      <c r="E545" s="475"/>
      <c r="F545" s="475"/>
      <c r="G545" s="475"/>
      <c r="H545" s="475"/>
    </row>
    <row r="546" spans="1:8" ht="15" x14ac:dyDescent="0.4">
      <c r="A546" s="478">
        <f t="shared" si="4"/>
        <v>44870</v>
      </c>
      <c r="B546" s="478">
        <f t="shared" si="5"/>
        <v>44875</v>
      </c>
      <c r="C546" s="475"/>
      <c r="D546" s="475"/>
      <c r="E546" s="475"/>
      <c r="F546" s="475"/>
      <c r="G546" s="475"/>
      <c r="H546" s="475"/>
    </row>
    <row r="547" spans="1:8" ht="15" x14ac:dyDescent="0.4">
      <c r="A547" s="478">
        <f t="shared" si="4"/>
        <v>44871</v>
      </c>
      <c r="B547" s="478">
        <f t="shared" si="5"/>
        <v>44875</v>
      </c>
      <c r="C547" s="475"/>
      <c r="D547" s="475"/>
      <c r="E547" s="475"/>
      <c r="F547" s="475"/>
      <c r="G547" s="475"/>
      <c r="H547" s="475"/>
    </row>
    <row r="548" spans="1:8" ht="15" x14ac:dyDescent="0.4">
      <c r="A548" s="478">
        <f t="shared" si="4"/>
        <v>44872</v>
      </c>
      <c r="B548" s="478">
        <f t="shared" si="5"/>
        <v>44875</v>
      </c>
      <c r="C548" s="475"/>
      <c r="D548" s="475"/>
      <c r="E548" s="475"/>
      <c r="F548" s="475"/>
      <c r="G548" s="475"/>
      <c r="H548" s="475"/>
    </row>
    <row r="549" spans="1:8" ht="15" x14ac:dyDescent="0.4">
      <c r="A549" s="478">
        <f t="shared" si="4"/>
        <v>44873</v>
      </c>
      <c r="B549" s="478">
        <f t="shared" si="5"/>
        <v>44875</v>
      </c>
      <c r="C549" s="475"/>
      <c r="D549" s="475"/>
      <c r="E549" s="475"/>
      <c r="F549" s="475"/>
      <c r="G549" s="475"/>
      <c r="H549" s="475"/>
    </row>
    <row r="550" spans="1:8" ht="15" x14ac:dyDescent="0.4">
      <c r="A550" s="478">
        <f t="shared" si="4"/>
        <v>44874</v>
      </c>
      <c r="B550" s="478">
        <f t="shared" si="5"/>
        <v>44875</v>
      </c>
      <c r="C550" s="475"/>
      <c r="D550" s="475"/>
      <c r="E550" s="475"/>
      <c r="F550" s="475"/>
      <c r="G550" s="475"/>
      <c r="H550" s="475"/>
    </row>
    <row r="551" spans="1:8" ht="15" x14ac:dyDescent="0.4">
      <c r="A551" s="478">
        <f t="shared" si="4"/>
        <v>44875</v>
      </c>
      <c r="B551" s="478">
        <f t="shared" si="5"/>
        <v>44875</v>
      </c>
      <c r="C551" s="475"/>
      <c r="D551" s="475"/>
      <c r="E551" s="475"/>
      <c r="F551" s="475"/>
      <c r="G551" s="475"/>
      <c r="H551" s="475"/>
    </row>
    <row r="552" spans="1:8" ht="15" x14ac:dyDescent="0.4">
      <c r="A552" s="478">
        <f t="shared" si="4"/>
        <v>44876</v>
      </c>
      <c r="B552" s="478">
        <f t="shared" si="5"/>
        <v>44882</v>
      </c>
      <c r="C552" s="475"/>
      <c r="D552" s="475"/>
      <c r="E552" s="475"/>
      <c r="F552" s="475"/>
      <c r="G552" s="475"/>
      <c r="H552" s="475"/>
    </row>
    <row r="553" spans="1:8" ht="15" x14ac:dyDescent="0.4">
      <c r="A553" s="478">
        <f t="shared" si="4"/>
        <v>44877</v>
      </c>
      <c r="B553" s="478">
        <f t="shared" si="5"/>
        <v>44882</v>
      </c>
      <c r="C553" s="475"/>
      <c r="D553" s="475"/>
      <c r="E553" s="475"/>
      <c r="F553" s="475"/>
      <c r="G553" s="475"/>
      <c r="H553" s="475"/>
    </row>
    <row r="554" spans="1:8" ht="15" x14ac:dyDescent="0.4">
      <c r="A554" s="478">
        <f t="shared" si="4"/>
        <v>44878</v>
      </c>
      <c r="B554" s="478">
        <f t="shared" si="5"/>
        <v>44882</v>
      </c>
      <c r="C554" s="475"/>
      <c r="D554" s="475"/>
      <c r="E554" s="475"/>
      <c r="F554" s="475"/>
      <c r="G554" s="475"/>
      <c r="H554" s="475"/>
    </row>
    <row r="555" spans="1:8" ht="15" x14ac:dyDescent="0.4">
      <c r="A555" s="478">
        <f t="shared" si="4"/>
        <v>44879</v>
      </c>
      <c r="B555" s="478">
        <f t="shared" si="5"/>
        <v>44882</v>
      </c>
      <c r="C555" s="475"/>
      <c r="D555" s="475"/>
      <c r="E555" s="475"/>
      <c r="F555" s="475"/>
      <c r="G555" s="475"/>
      <c r="H555" s="475"/>
    </row>
    <row r="556" spans="1:8" ht="15" x14ac:dyDescent="0.4">
      <c r="A556" s="478">
        <f t="shared" si="4"/>
        <v>44880</v>
      </c>
      <c r="B556" s="478">
        <f t="shared" si="5"/>
        <v>44882</v>
      </c>
      <c r="C556" s="475"/>
      <c r="D556" s="475"/>
      <c r="E556" s="475"/>
      <c r="F556" s="475"/>
      <c r="G556" s="475"/>
      <c r="H556" s="475"/>
    </row>
    <row r="557" spans="1:8" ht="15" x14ac:dyDescent="0.4">
      <c r="A557" s="478">
        <f t="shared" si="4"/>
        <v>44881</v>
      </c>
      <c r="B557" s="478">
        <f t="shared" si="5"/>
        <v>44882</v>
      </c>
      <c r="C557" s="475"/>
      <c r="D557" s="475"/>
      <c r="E557" s="475"/>
      <c r="F557" s="475"/>
      <c r="G557" s="475"/>
      <c r="H557" s="475"/>
    </row>
    <row r="558" spans="1:8" ht="15" x14ac:dyDescent="0.4">
      <c r="A558" s="478">
        <f t="shared" si="4"/>
        <v>44882</v>
      </c>
      <c r="B558" s="478">
        <f t="shared" si="5"/>
        <v>44882</v>
      </c>
      <c r="C558" s="475"/>
      <c r="D558" s="475"/>
      <c r="E558" s="475"/>
      <c r="F558" s="475"/>
      <c r="G558" s="475"/>
      <c r="H558" s="475"/>
    </row>
    <row r="559" spans="1:8" ht="15" x14ac:dyDescent="0.4">
      <c r="A559" s="478">
        <f t="shared" si="4"/>
        <v>44883</v>
      </c>
      <c r="B559" s="478">
        <f t="shared" si="5"/>
        <v>44889</v>
      </c>
      <c r="C559" s="475"/>
      <c r="D559" s="475"/>
      <c r="E559" s="475"/>
      <c r="F559" s="475"/>
      <c r="G559" s="475"/>
      <c r="H559" s="475"/>
    </row>
    <row r="560" spans="1:8" ht="15" x14ac:dyDescent="0.4">
      <c r="A560" s="478">
        <f t="shared" si="4"/>
        <v>44884</v>
      </c>
      <c r="B560" s="478">
        <f t="shared" si="5"/>
        <v>44889</v>
      </c>
      <c r="C560" s="475"/>
      <c r="D560" s="475"/>
      <c r="E560" s="475"/>
      <c r="F560" s="475"/>
      <c r="G560" s="475"/>
      <c r="H560" s="475"/>
    </row>
    <row r="561" spans="1:8" ht="15" x14ac:dyDescent="0.4">
      <c r="A561" s="478">
        <f t="shared" si="4"/>
        <v>44885</v>
      </c>
      <c r="B561" s="478">
        <f t="shared" si="5"/>
        <v>44889</v>
      </c>
      <c r="C561" s="475"/>
      <c r="D561" s="475"/>
      <c r="E561" s="475"/>
      <c r="F561" s="475"/>
      <c r="G561" s="475"/>
      <c r="H561" s="475"/>
    </row>
    <row r="562" spans="1:8" ht="15" x14ac:dyDescent="0.4">
      <c r="A562" s="478">
        <f t="shared" si="4"/>
        <v>44886</v>
      </c>
      <c r="B562" s="478">
        <f t="shared" si="5"/>
        <v>44889</v>
      </c>
      <c r="C562" s="475"/>
      <c r="D562" s="475"/>
      <c r="E562" s="475"/>
      <c r="F562" s="475"/>
      <c r="G562" s="475"/>
      <c r="H562" s="475"/>
    </row>
    <row r="563" spans="1:8" ht="15" x14ac:dyDescent="0.4">
      <c r="A563" s="478">
        <f t="shared" si="4"/>
        <v>44887</v>
      </c>
      <c r="B563" s="478">
        <f t="shared" si="5"/>
        <v>44889</v>
      </c>
      <c r="C563" s="475"/>
      <c r="D563" s="475"/>
      <c r="E563" s="475"/>
      <c r="F563" s="475"/>
      <c r="G563" s="475"/>
      <c r="H563" s="475"/>
    </row>
    <row r="564" spans="1:8" ht="15" x14ac:dyDescent="0.4">
      <c r="A564" s="478">
        <f t="shared" si="4"/>
        <v>44888</v>
      </c>
      <c r="B564" s="478">
        <f t="shared" si="5"/>
        <v>44889</v>
      </c>
      <c r="C564" s="475"/>
      <c r="D564" s="475"/>
      <c r="E564" s="475"/>
      <c r="F564" s="475"/>
      <c r="G564" s="475"/>
      <c r="H564" s="475"/>
    </row>
    <row r="565" spans="1:8" ht="15" x14ac:dyDescent="0.4">
      <c r="A565" s="478">
        <f t="shared" si="4"/>
        <v>44889</v>
      </c>
      <c r="B565" s="478">
        <f t="shared" si="5"/>
        <v>44889</v>
      </c>
      <c r="C565" s="475"/>
      <c r="D565" s="475"/>
      <c r="E565" s="475"/>
      <c r="F565" s="475"/>
      <c r="G565" s="475"/>
      <c r="H565" s="475"/>
    </row>
    <row r="566" spans="1:8" ht="15" x14ac:dyDescent="0.4">
      <c r="A566" s="478">
        <f t="shared" si="4"/>
        <v>44890</v>
      </c>
      <c r="B566" s="478">
        <f t="shared" si="5"/>
        <v>44896</v>
      </c>
      <c r="C566" s="475"/>
      <c r="D566" s="475"/>
      <c r="E566" s="475"/>
      <c r="F566" s="475"/>
      <c r="G566" s="475"/>
      <c r="H566" s="475"/>
    </row>
    <row r="567" spans="1:8" ht="15" x14ac:dyDescent="0.4">
      <c r="A567" s="478">
        <f t="shared" si="4"/>
        <v>44891</v>
      </c>
      <c r="B567" s="478">
        <f t="shared" si="5"/>
        <v>44896</v>
      </c>
      <c r="C567" s="475"/>
      <c r="D567" s="475"/>
      <c r="E567" s="475"/>
      <c r="F567" s="475"/>
      <c r="G567" s="475"/>
      <c r="H567" s="475"/>
    </row>
    <row r="568" spans="1:8" ht="15" x14ac:dyDescent="0.4">
      <c r="A568" s="478">
        <f t="shared" si="4"/>
        <v>44892</v>
      </c>
      <c r="B568" s="478">
        <f t="shared" si="5"/>
        <v>44896</v>
      </c>
      <c r="C568" s="475"/>
      <c r="D568" s="475"/>
      <c r="E568" s="475"/>
      <c r="F568" s="475"/>
      <c r="G568" s="475"/>
      <c r="H568" s="475"/>
    </row>
    <row r="569" spans="1:8" ht="15" x14ac:dyDescent="0.4">
      <c r="A569" s="478">
        <f t="shared" si="4"/>
        <v>44893</v>
      </c>
      <c r="B569" s="478">
        <f t="shared" si="5"/>
        <v>44896</v>
      </c>
      <c r="C569" s="475"/>
      <c r="D569" s="475"/>
      <c r="E569" s="475"/>
      <c r="F569" s="475"/>
      <c r="G569" s="475"/>
      <c r="H569" s="475"/>
    </row>
    <row r="570" spans="1:8" ht="15" x14ac:dyDescent="0.4">
      <c r="A570" s="478">
        <f t="shared" si="4"/>
        <v>44894</v>
      </c>
      <c r="B570" s="478">
        <f t="shared" si="5"/>
        <v>44896</v>
      </c>
      <c r="C570" s="475"/>
      <c r="D570" s="475"/>
      <c r="E570" s="475"/>
      <c r="F570" s="475"/>
      <c r="G570" s="475"/>
      <c r="H570" s="475"/>
    </row>
    <row r="571" spans="1:8" ht="15" x14ac:dyDescent="0.4">
      <c r="A571" s="478">
        <f t="shared" si="4"/>
        <v>44895</v>
      </c>
      <c r="B571" s="478">
        <f t="shared" si="5"/>
        <v>44896</v>
      </c>
      <c r="C571" s="475"/>
      <c r="D571" s="475"/>
      <c r="E571" s="475"/>
      <c r="F571" s="475"/>
      <c r="G571" s="475"/>
      <c r="H571" s="475"/>
    </row>
    <row r="572" spans="1:8" ht="15" x14ac:dyDescent="0.4">
      <c r="A572" s="478">
        <f t="shared" si="4"/>
        <v>44896</v>
      </c>
      <c r="B572" s="478">
        <f t="shared" si="5"/>
        <v>44896</v>
      </c>
      <c r="C572" s="475"/>
      <c r="D572" s="475"/>
      <c r="E572" s="475"/>
      <c r="F572" s="475"/>
      <c r="G572" s="475"/>
      <c r="H572" s="475"/>
    </row>
    <row r="573" spans="1:8" ht="15" x14ac:dyDescent="0.4">
      <c r="A573" s="478">
        <f t="shared" si="4"/>
        <v>44897</v>
      </c>
      <c r="B573" s="478">
        <f t="shared" si="5"/>
        <v>44903</v>
      </c>
      <c r="C573" s="475"/>
      <c r="D573" s="475"/>
      <c r="E573" s="475"/>
      <c r="F573" s="475"/>
      <c r="G573" s="475"/>
      <c r="H573" s="475"/>
    </row>
    <row r="574" spans="1:8" ht="15" x14ac:dyDescent="0.4">
      <c r="A574" s="478">
        <f t="shared" si="4"/>
        <v>44898</v>
      </c>
      <c r="B574" s="478">
        <f t="shared" si="5"/>
        <v>44903</v>
      </c>
      <c r="C574" s="475"/>
      <c r="D574" s="475"/>
      <c r="E574" s="475"/>
      <c r="F574" s="475"/>
      <c r="G574" s="475"/>
      <c r="H574" s="475"/>
    </row>
    <row r="575" spans="1:8" ht="15" x14ac:dyDescent="0.4">
      <c r="A575" s="478">
        <f t="shared" si="4"/>
        <v>44899</v>
      </c>
      <c r="B575" s="478">
        <f t="shared" si="5"/>
        <v>44903</v>
      </c>
      <c r="C575" s="475"/>
      <c r="D575" s="475"/>
      <c r="E575" s="475"/>
      <c r="F575" s="475"/>
      <c r="G575" s="475"/>
      <c r="H575" s="475"/>
    </row>
    <row r="576" spans="1:8" ht="15" x14ac:dyDescent="0.4">
      <c r="A576" s="478">
        <f t="shared" si="4"/>
        <v>44900</v>
      </c>
      <c r="B576" s="478">
        <f t="shared" si="5"/>
        <v>44903</v>
      </c>
      <c r="C576" s="475"/>
      <c r="D576" s="475"/>
      <c r="E576" s="475"/>
      <c r="F576" s="475"/>
      <c r="G576" s="475"/>
      <c r="H576" s="475"/>
    </row>
    <row r="577" spans="1:8" ht="15" x14ac:dyDescent="0.4">
      <c r="A577" s="478">
        <f t="shared" si="4"/>
        <v>44901</v>
      </c>
      <c r="B577" s="478">
        <f t="shared" si="5"/>
        <v>44903</v>
      </c>
      <c r="C577" s="475"/>
      <c r="D577" s="475"/>
      <c r="E577" s="475"/>
      <c r="F577" s="475"/>
      <c r="G577" s="475"/>
      <c r="H577" s="475"/>
    </row>
    <row r="578" spans="1:8" ht="15" x14ac:dyDescent="0.4">
      <c r="A578" s="478">
        <f t="shared" si="4"/>
        <v>44902</v>
      </c>
      <c r="B578" s="478">
        <f t="shared" si="5"/>
        <v>44903</v>
      </c>
      <c r="C578" s="475"/>
      <c r="D578" s="475"/>
      <c r="E578" s="475"/>
      <c r="F578" s="475"/>
      <c r="G578" s="475"/>
      <c r="H578" s="475"/>
    </row>
    <row r="579" spans="1:8" ht="15" x14ac:dyDescent="0.4">
      <c r="A579" s="478">
        <f t="shared" si="4"/>
        <v>44903</v>
      </c>
      <c r="B579" s="478">
        <f t="shared" si="5"/>
        <v>44903</v>
      </c>
      <c r="C579" s="475"/>
      <c r="D579" s="475"/>
      <c r="E579" s="475"/>
      <c r="F579" s="475"/>
      <c r="G579" s="475"/>
      <c r="H579" s="475"/>
    </row>
    <row r="580" spans="1:8" ht="15" x14ac:dyDescent="0.4">
      <c r="A580" s="478">
        <f t="shared" si="4"/>
        <v>44904</v>
      </c>
      <c r="B580" s="478">
        <f t="shared" si="5"/>
        <v>44910</v>
      </c>
      <c r="C580" s="475"/>
      <c r="D580" s="475"/>
      <c r="E580" s="475"/>
      <c r="F580" s="475"/>
      <c r="G580" s="475"/>
      <c r="H580" s="475"/>
    </row>
    <row r="581" spans="1:8" ht="15" x14ac:dyDescent="0.4">
      <c r="A581" s="478">
        <f t="shared" si="4"/>
        <v>44905</v>
      </c>
      <c r="B581" s="478">
        <f t="shared" si="5"/>
        <v>44910</v>
      </c>
      <c r="C581" s="475"/>
      <c r="D581" s="475"/>
      <c r="E581" s="475"/>
      <c r="F581" s="475"/>
      <c r="G581" s="475"/>
      <c r="H581" s="475"/>
    </row>
    <row r="582" spans="1:8" ht="15" x14ac:dyDescent="0.4">
      <c r="A582" s="478">
        <f t="shared" si="4"/>
        <v>44906</v>
      </c>
      <c r="B582" s="478">
        <f t="shared" si="5"/>
        <v>44910</v>
      </c>
      <c r="C582" s="475"/>
      <c r="D582" s="475"/>
      <c r="E582" s="475"/>
      <c r="F582" s="475"/>
      <c r="G582" s="475"/>
      <c r="H582" s="475"/>
    </row>
    <row r="583" spans="1:8" ht="15" x14ac:dyDescent="0.4">
      <c r="A583" s="478">
        <f t="shared" si="4"/>
        <v>44907</v>
      </c>
      <c r="B583" s="478">
        <f t="shared" si="5"/>
        <v>44910</v>
      </c>
      <c r="C583" s="475"/>
      <c r="D583" s="475"/>
      <c r="E583" s="475"/>
      <c r="F583" s="475"/>
      <c r="G583" s="475"/>
      <c r="H583" s="475"/>
    </row>
    <row r="584" spans="1:8" ht="15" x14ac:dyDescent="0.4">
      <c r="A584" s="478">
        <f t="shared" si="4"/>
        <v>44908</v>
      </c>
      <c r="B584" s="478">
        <f t="shared" si="5"/>
        <v>44910</v>
      </c>
      <c r="C584" s="475"/>
      <c r="D584" s="475"/>
      <c r="E584" s="475"/>
      <c r="F584" s="475"/>
      <c r="G584" s="475"/>
      <c r="H584" s="475"/>
    </row>
    <row r="585" spans="1:8" ht="15" x14ac:dyDescent="0.4">
      <c r="A585" s="478">
        <f t="shared" si="4"/>
        <v>44909</v>
      </c>
      <c r="B585" s="478">
        <f t="shared" si="5"/>
        <v>44910</v>
      </c>
      <c r="C585" s="475"/>
      <c r="D585" s="475"/>
      <c r="E585" s="475"/>
      <c r="F585" s="475"/>
      <c r="G585" s="475"/>
      <c r="H585" s="475"/>
    </row>
    <row r="586" spans="1:8" ht="15" x14ac:dyDescent="0.4">
      <c r="A586" s="478">
        <f t="shared" si="4"/>
        <v>44910</v>
      </c>
      <c r="B586" s="478">
        <f t="shared" si="5"/>
        <v>44910</v>
      </c>
      <c r="C586" s="475"/>
      <c r="D586" s="475"/>
      <c r="E586" s="475"/>
      <c r="F586" s="475"/>
      <c r="G586" s="475"/>
      <c r="H586" s="475"/>
    </row>
    <row r="587" spans="1:8" ht="15" x14ac:dyDescent="0.4">
      <c r="A587" s="478">
        <f t="shared" si="4"/>
        <v>44911</v>
      </c>
      <c r="B587" s="478">
        <f t="shared" si="5"/>
        <v>44917</v>
      </c>
      <c r="C587" s="475"/>
      <c r="D587" s="475"/>
      <c r="E587" s="475"/>
      <c r="F587" s="475"/>
      <c r="G587" s="475"/>
      <c r="H587" s="475"/>
    </row>
    <row r="588" spans="1:8" ht="15" x14ac:dyDescent="0.4">
      <c r="A588" s="478">
        <f t="shared" si="4"/>
        <v>44912</v>
      </c>
      <c r="B588" s="478">
        <f t="shared" si="5"/>
        <v>44917</v>
      </c>
      <c r="C588" s="475"/>
      <c r="D588" s="475"/>
      <c r="E588" s="475"/>
      <c r="F588" s="475"/>
      <c r="G588" s="475"/>
      <c r="H588" s="475"/>
    </row>
    <row r="589" spans="1:8" ht="15" x14ac:dyDescent="0.4">
      <c r="A589" s="478">
        <f t="shared" si="4"/>
        <v>44913</v>
      </c>
      <c r="B589" s="478">
        <f t="shared" si="5"/>
        <v>44917</v>
      </c>
      <c r="C589" s="475"/>
      <c r="D589" s="475"/>
      <c r="E589" s="475"/>
      <c r="F589" s="475"/>
      <c r="G589" s="475"/>
      <c r="H589" s="475"/>
    </row>
    <row r="590" spans="1:8" ht="15" x14ac:dyDescent="0.4">
      <c r="A590" s="478">
        <f t="shared" si="4"/>
        <v>44914</v>
      </c>
      <c r="B590" s="478">
        <f t="shared" si="5"/>
        <v>44917</v>
      </c>
      <c r="C590" s="475"/>
      <c r="D590" s="475"/>
      <c r="E590" s="475"/>
      <c r="F590" s="475"/>
      <c r="G590" s="475"/>
      <c r="H590" s="475"/>
    </row>
    <row r="591" spans="1:8" ht="15" x14ac:dyDescent="0.4">
      <c r="A591" s="478">
        <f t="shared" si="4"/>
        <v>44915</v>
      </c>
      <c r="B591" s="478">
        <f t="shared" si="5"/>
        <v>44917</v>
      </c>
      <c r="C591" s="475"/>
      <c r="D591" s="475"/>
      <c r="E591" s="475"/>
      <c r="F591" s="475"/>
      <c r="G591" s="475"/>
      <c r="H591" s="475"/>
    </row>
    <row r="592" spans="1:8" ht="15" x14ac:dyDescent="0.4">
      <c r="A592" s="478">
        <f t="shared" si="4"/>
        <v>44916</v>
      </c>
      <c r="B592" s="478">
        <f t="shared" si="5"/>
        <v>44917</v>
      </c>
      <c r="C592" s="475"/>
      <c r="D592" s="475"/>
      <c r="E592" s="475"/>
      <c r="F592" s="475"/>
      <c r="G592" s="475"/>
      <c r="H592" s="475"/>
    </row>
    <row r="593" spans="1:8" ht="15" x14ac:dyDescent="0.4">
      <c r="A593" s="478">
        <f t="shared" si="4"/>
        <v>44917</v>
      </c>
      <c r="B593" s="478">
        <f t="shared" si="5"/>
        <v>44917</v>
      </c>
      <c r="C593" s="475"/>
      <c r="D593" s="475"/>
      <c r="E593" s="475"/>
      <c r="F593" s="475"/>
      <c r="G593" s="475"/>
      <c r="H593" s="475"/>
    </row>
    <row r="594" spans="1:8" ht="15" x14ac:dyDescent="0.4">
      <c r="A594" s="478">
        <f t="shared" si="4"/>
        <v>44918</v>
      </c>
      <c r="B594" s="478">
        <f t="shared" si="5"/>
        <v>44924</v>
      </c>
      <c r="C594" s="475"/>
      <c r="D594" s="475"/>
      <c r="E594" s="475"/>
      <c r="F594" s="475"/>
      <c r="G594" s="475"/>
      <c r="H594" s="475"/>
    </row>
    <row r="595" spans="1:8" ht="15" x14ac:dyDescent="0.4">
      <c r="A595" s="478">
        <f t="shared" si="4"/>
        <v>44919</v>
      </c>
      <c r="B595" s="478">
        <f t="shared" si="5"/>
        <v>44924</v>
      </c>
      <c r="C595" s="475"/>
      <c r="D595" s="475"/>
      <c r="E595" s="475"/>
      <c r="F595" s="475"/>
      <c r="G595" s="475"/>
      <c r="H595" s="475"/>
    </row>
    <row r="596" spans="1:8" ht="15" x14ac:dyDescent="0.4">
      <c r="A596" s="478">
        <f t="shared" si="4"/>
        <v>44920</v>
      </c>
      <c r="B596" s="478">
        <f t="shared" si="5"/>
        <v>44924</v>
      </c>
      <c r="C596" s="475"/>
      <c r="D596" s="475"/>
      <c r="E596" s="475"/>
      <c r="F596" s="475"/>
      <c r="G596" s="475"/>
      <c r="H596" s="475"/>
    </row>
    <row r="597" spans="1:8" ht="15" x14ac:dyDescent="0.4">
      <c r="A597" s="478">
        <f t="shared" si="4"/>
        <v>44921</v>
      </c>
      <c r="B597" s="478">
        <f t="shared" si="5"/>
        <v>44924</v>
      </c>
      <c r="C597" s="475"/>
      <c r="D597" s="475"/>
      <c r="E597" s="475"/>
      <c r="F597" s="475"/>
      <c r="G597" s="475"/>
      <c r="H597" s="475"/>
    </row>
    <row r="598" spans="1:8" ht="15" x14ac:dyDescent="0.4">
      <c r="A598" s="478">
        <f t="shared" si="4"/>
        <v>44922</v>
      </c>
      <c r="B598" s="478">
        <f t="shared" si="5"/>
        <v>44924</v>
      </c>
      <c r="C598" s="475"/>
      <c r="D598" s="475"/>
      <c r="E598" s="475"/>
      <c r="F598" s="475"/>
      <c r="G598" s="475"/>
      <c r="H598" s="475"/>
    </row>
    <row r="599" spans="1:8" ht="15" x14ac:dyDescent="0.4">
      <c r="A599" s="478">
        <f t="shared" si="4"/>
        <v>44923</v>
      </c>
      <c r="B599" s="478">
        <f t="shared" si="5"/>
        <v>44924</v>
      </c>
      <c r="C599" s="475"/>
      <c r="D599" s="475"/>
      <c r="E599" s="475"/>
      <c r="F599" s="475"/>
      <c r="G599" s="475"/>
      <c r="H599" s="475"/>
    </row>
    <row r="600" spans="1:8" ht="15" x14ac:dyDescent="0.4">
      <c r="A600" s="478">
        <f t="shared" si="4"/>
        <v>44924</v>
      </c>
      <c r="B600" s="478">
        <f t="shared" si="5"/>
        <v>44924</v>
      </c>
      <c r="C600" s="475"/>
      <c r="D600" s="475"/>
      <c r="E600" s="475"/>
      <c r="F600" s="475"/>
      <c r="G600" s="475"/>
      <c r="H600" s="475"/>
    </row>
    <row r="601" spans="1:8" ht="15" x14ac:dyDescent="0.4">
      <c r="A601" s="478">
        <f t="shared" si="4"/>
        <v>44925</v>
      </c>
      <c r="B601" s="478">
        <f t="shared" si="5"/>
        <v>44931</v>
      </c>
      <c r="C601" s="475"/>
      <c r="D601" s="475"/>
      <c r="E601" s="475"/>
      <c r="F601" s="475"/>
      <c r="G601" s="475"/>
      <c r="H601" s="475"/>
    </row>
    <row r="602" spans="1:8" ht="15" x14ac:dyDescent="0.4">
      <c r="A602" s="478">
        <f t="shared" si="4"/>
        <v>44926</v>
      </c>
      <c r="B602" s="478">
        <f t="shared" si="5"/>
        <v>44931</v>
      </c>
      <c r="C602" s="475"/>
      <c r="D602" s="475"/>
      <c r="E602" s="475"/>
      <c r="F602" s="475"/>
      <c r="G602" s="475"/>
      <c r="H602" s="475"/>
    </row>
    <row r="603" spans="1:8" ht="15" x14ac:dyDescent="0.4">
      <c r="A603" s="478">
        <f t="shared" si="4"/>
        <v>44927</v>
      </c>
      <c r="B603" s="478">
        <f t="shared" si="5"/>
        <v>44931</v>
      </c>
      <c r="C603" s="475"/>
      <c r="D603" s="475"/>
      <c r="E603" s="475"/>
      <c r="F603" s="475"/>
      <c r="G603" s="475"/>
      <c r="H603" s="475"/>
    </row>
    <row r="604" spans="1:8" ht="15" x14ac:dyDescent="0.4">
      <c r="A604" s="478">
        <f t="shared" si="4"/>
        <v>44928</v>
      </c>
      <c r="B604" s="478">
        <f t="shared" si="5"/>
        <v>44931</v>
      </c>
      <c r="C604" s="475"/>
      <c r="D604" s="475"/>
      <c r="E604" s="475"/>
      <c r="F604" s="475"/>
      <c r="G604" s="475"/>
      <c r="H604" s="475"/>
    </row>
    <row r="605" spans="1:8" ht="15" x14ac:dyDescent="0.4">
      <c r="A605" s="478">
        <f t="shared" si="4"/>
        <v>44929</v>
      </c>
      <c r="B605" s="478">
        <f t="shared" si="5"/>
        <v>44931</v>
      </c>
      <c r="C605" s="475"/>
      <c r="D605" s="475"/>
      <c r="E605" s="475"/>
      <c r="F605" s="475"/>
      <c r="G605" s="475"/>
      <c r="H605" s="475"/>
    </row>
    <row r="606" spans="1:8" ht="15" x14ac:dyDescent="0.4">
      <c r="A606" s="478">
        <f t="shared" si="4"/>
        <v>44930</v>
      </c>
      <c r="B606" s="478">
        <f t="shared" si="5"/>
        <v>44931</v>
      </c>
      <c r="C606" s="475"/>
      <c r="D606" s="475"/>
      <c r="E606" s="475"/>
      <c r="F606" s="475"/>
      <c r="G606" s="475"/>
      <c r="H606" s="475"/>
    </row>
    <row r="607" spans="1:8" ht="15" x14ac:dyDescent="0.4">
      <c r="A607" s="478">
        <f t="shared" si="4"/>
        <v>44931</v>
      </c>
      <c r="B607" s="478">
        <f t="shared" si="5"/>
        <v>44931</v>
      </c>
      <c r="C607" s="475"/>
      <c r="D607" s="475"/>
      <c r="E607" s="475"/>
      <c r="F607" s="475"/>
      <c r="G607" s="475"/>
      <c r="H607" s="475"/>
    </row>
    <row r="608" spans="1:8" ht="15" x14ac:dyDescent="0.4">
      <c r="A608" s="478">
        <f t="shared" si="4"/>
        <v>44932</v>
      </c>
      <c r="B608" s="478">
        <f t="shared" si="5"/>
        <v>44938</v>
      </c>
      <c r="C608" s="475"/>
      <c r="D608" s="475"/>
      <c r="E608" s="475"/>
      <c r="F608" s="475"/>
      <c r="G608" s="475"/>
      <c r="H608" s="475"/>
    </row>
    <row r="609" spans="1:8" ht="15" x14ac:dyDescent="0.4">
      <c r="A609" s="478">
        <f t="shared" si="4"/>
        <v>44933</v>
      </c>
      <c r="B609" s="478">
        <f t="shared" si="5"/>
        <v>44938</v>
      </c>
      <c r="C609" s="475"/>
      <c r="D609" s="475"/>
      <c r="E609" s="475"/>
      <c r="F609" s="475"/>
      <c r="G609" s="475"/>
      <c r="H609" s="475"/>
    </row>
    <row r="610" spans="1:8" ht="15" x14ac:dyDescent="0.4">
      <c r="A610" s="478">
        <f t="shared" si="4"/>
        <v>44934</v>
      </c>
      <c r="B610" s="478">
        <f t="shared" si="5"/>
        <v>44938</v>
      </c>
      <c r="C610" s="475"/>
      <c r="D610" s="475"/>
      <c r="E610" s="475"/>
      <c r="F610" s="475"/>
      <c r="G610" s="475"/>
      <c r="H610" s="475"/>
    </row>
    <row r="611" spans="1:8" ht="15" x14ac:dyDescent="0.4">
      <c r="A611" s="478">
        <f t="shared" si="4"/>
        <v>44935</v>
      </c>
      <c r="B611" s="478">
        <f t="shared" si="5"/>
        <v>44938</v>
      </c>
      <c r="C611" s="475"/>
      <c r="D611" s="475"/>
      <c r="E611" s="475"/>
      <c r="F611" s="475"/>
      <c r="G611" s="475"/>
      <c r="H611" s="475"/>
    </row>
    <row r="612" spans="1:8" ht="15" x14ac:dyDescent="0.4">
      <c r="A612" s="478">
        <f t="shared" si="4"/>
        <v>44936</v>
      </c>
      <c r="B612" s="478">
        <f t="shared" si="5"/>
        <v>44938</v>
      </c>
      <c r="C612" s="475"/>
      <c r="D612" s="475"/>
      <c r="E612" s="475"/>
      <c r="F612" s="475"/>
      <c r="G612" s="475"/>
      <c r="H612" s="475"/>
    </row>
    <row r="613" spans="1:8" ht="15" x14ac:dyDescent="0.4">
      <c r="A613" s="478">
        <f t="shared" si="4"/>
        <v>44937</v>
      </c>
      <c r="B613" s="478">
        <f t="shared" si="5"/>
        <v>44938</v>
      </c>
      <c r="C613" s="475"/>
      <c r="D613" s="475"/>
      <c r="E613" s="475"/>
      <c r="F613" s="475"/>
      <c r="G613" s="475"/>
      <c r="H613" s="475"/>
    </row>
    <row r="614" spans="1:8" ht="15" x14ac:dyDescent="0.4">
      <c r="A614" s="478">
        <f t="shared" si="4"/>
        <v>44938</v>
      </c>
      <c r="B614" s="478">
        <f t="shared" si="5"/>
        <v>44938</v>
      </c>
      <c r="C614" s="475"/>
      <c r="D614" s="475"/>
      <c r="E614" s="475"/>
      <c r="F614" s="475"/>
      <c r="G614" s="475"/>
      <c r="H614" s="475"/>
    </row>
    <row r="615" spans="1:8" ht="15" x14ac:dyDescent="0.4">
      <c r="A615" s="478">
        <f t="shared" si="4"/>
        <v>44939</v>
      </c>
      <c r="B615" s="478">
        <f t="shared" si="5"/>
        <v>44945</v>
      </c>
      <c r="C615" s="475"/>
      <c r="D615" s="475"/>
      <c r="E615" s="475"/>
      <c r="F615" s="475"/>
      <c r="G615" s="475"/>
      <c r="H615" s="475"/>
    </row>
    <row r="616" spans="1:8" ht="15" x14ac:dyDescent="0.4">
      <c r="A616" s="478">
        <f t="shared" si="4"/>
        <v>44940</v>
      </c>
      <c r="B616" s="478">
        <f t="shared" si="5"/>
        <v>44945</v>
      </c>
      <c r="C616" s="475"/>
      <c r="D616" s="475"/>
      <c r="E616" s="475"/>
      <c r="F616" s="475"/>
      <c r="G616" s="475"/>
      <c r="H616" s="475"/>
    </row>
    <row r="617" spans="1:8" ht="15" x14ac:dyDescent="0.4">
      <c r="A617" s="478">
        <f t="shared" si="4"/>
        <v>44941</v>
      </c>
      <c r="B617" s="478">
        <f t="shared" si="5"/>
        <v>44945</v>
      </c>
      <c r="C617" s="475"/>
      <c r="D617" s="475"/>
      <c r="E617" s="475"/>
      <c r="F617" s="475"/>
      <c r="G617" s="475"/>
      <c r="H617" s="475"/>
    </row>
    <row r="618" spans="1:8" ht="15" x14ac:dyDescent="0.4">
      <c r="A618" s="478">
        <f t="shared" si="4"/>
        <v>44942</v>
      </c>
      <c r="B618" s="478">
        <f t="shared" si="5"/>
        <v>44945</v>
      </c>
      <c r="C618" s="475"/>
      <c r="D618" s="475"/>
      <c r="E618" s="475"/>
      <c r="F618" s="475"/>
      <c r="G618" s="475"/>
      <c r="H618" s="475"/>
    </row>
    <row r="619" spans="1:8" ht="15" x14ac:dyDescent="0.4">
      <c r="A619" s="478">
        <f t="shared" si="4"/>
        <v>44943</v>
      </c>
      <c r="B619" s="478">
        <f t="shared" si="5"/>
        <v>44945</v>
      </c>
      <c r="C619" s="475"/>
      <c r="D619" s="475"/>
      <c r="E619" s="475"/>
      <c r="F619" s="475"/>
      <c r="G619" s="475"/>
      <c r="H619" s="475"/>
    </row>
    <row r="620" spans="1:8" ht="15" x14ac:dyDescent="0.4">
      <c r="A620" s="478">
        <f t="shared" si="4"/>
        <v>44944</v>
      </c>
      <c r="B620" s="478">
        <f t="shared" si="5"/>
        <v>44945</v>
      </c>
      <c r="C620" s="475"/>
      <c r="D620" s="475"/>
      <c r="E620" s="475"/>
      <c r="F620" s="475"/>
      <c r="G620" s="475"/>
      <c r="H620" s="475"/>
    </row>
    <row r="621" spans="1:8" ht="15" x14ac:dyDescent="0.4">
      <c r="A621" s="478">
        <f t="shared" si="4"/>
        <v>44945</v>
      </c>
      <c r="B621" s="478">
        <f t="shared" si="5"/>
        <v>44945</v>
      </c>
      <c r="C621" s="475"/>
      <c r="D621" s="475"/>
      <c r="E621" s="475"/>
      <c r="F621" s="475"/>
      <c r="G621" s="475"/>
      <c r="H621" s="475"/>
    </row>
    <row r="622" spans="1:8" ht="15" x14ac:dyDescent="0.4">
      <c r="A622" s="478">
        <f t="shared" si="4"/>
        <v>44946</v>
      </c>
      <c r="B622" s="478">
        <f t="shared" si="5"/>
        <v>44952</v>
      </c>
      <c r="C622" s="475"/>
      <c r="D622" s="475"/>
      <c r="E622" s="475"/>
      <c r="F622" s="475"/>
      <c r="G622" s="475"/>
      <c r="H622" s="475"/>
    </row>
    <row r="623" spans="1:8" ht="15" x14ac:dyDescent="0.4">
      <c r="A623" s="478">
        <f t="shared" si="4"/>
        <v>44947</v>
      </c>
      <c r="B623" s="478">
        <f t="shared" si="5"/>
        <v>44952</v>
      </c>
      <c r="C623" s="475"/>
      <c r="D623" s="475"/>
      <c r="E623" s="475"/>
      <c r="F623" s="475"/>
      <c r="G623" s="475"/>
      <c r="H623" s="475"/>
    </row>
    <row r="624" spans="1:8" ht="15" x14ac:dyDescent="0.4">
      <c r="A624" s="478">
        <f t="shared" si="4"/>
        <v>44948</v>
      </c>
      <c r="B624" s="478">
        <f t="shared" si="5"/>
        <v>44952</v>
      </c>
      <c r="C624" s="475"/>
      <c r="D624" s="475"/>
      <c r="E624" s="475"/>
      <c r="F624" s="475"/>
      <c r="G624" s="475"/>
      <c r="H624" s="475"/>
    </row>
    <row r="625" spans="1:8" ht="15" x14ac:dyDescent="0.4">
      <c r="A625" s="478">
        <f t="shared" si="4"/>
        <v>44949</v>
      </c>
      <c r="B625" s="478">
        <f t="shared" si="5"/>
        <v>44952</v>
      </c>
      <c r="C625" s="475"/>
      <c r="D625" s="475"/>
      <c r="E625" s="475"/>
      <c r="F625" s="475"/>
      <c r="G625" s="475"/>
      <c r="H625" s="475"/>
    </row>
    <row r="626" spans="1:8" ht="15" x14ac:dyDescent="0.4">
      <c r="A626" s="478">
        <f t="shared" si="4"/>
        <v>44950</v>
      </c>
      <c r="B626" s="478">
        <f t="shared" si="5"/>
        <v>44952</v>
      </c>
      <c r="C626" s="475"/>
      <c r="D626" s="475"/>
      <c r="E626" s="475"/>
      <c r="F626" s="475"/>
      <c r="G626" s="475"/>
      <c r="H626" s="475"/>
    </row>
    <row r="627" spans="1:8" ht="15" x14ac:dyDescent="0.4">
      <c r="A627" s="478">
        <f t="shared" si="4"/>
        <v>44951</v>
      </c>
      <c r="B627" s="478">
        <f t="shared" si="5"/>
        <v>44952</v>
      </c>
      <c r="C627" s="475"/>
      <c r="D627" s="475"/>
      <c r="E627" s="475"/>
      <c r="F627" s="475"/>
      <c r="G627" s="475"/>
      <c r="H627" s="475"/>
    </row>
    <row r="628" spans="1:8" ht="15" x14ac:dyDescent="0.4">
      <c r="A628" s="478">
        <f t="shared" si="4"/>
        <v>44952</v>
      </c>
      <c r="B628" s="478">
        <f t="shared" si="5"/>
        <v>44952</v>
      </c>
      <c r="C628" s="475"/>
      <c r="D628" s="475"/>
      <c r="E628" s="475"/>
      <c r="F628" s="475"/>
      <c r="G628" s="475"/>
      <c r="H628" s="475"/>
    </row>
    <row r="629" spans="1:8" ht="15" x14ac:dyDescent="0.4">
      <c r="A629" s="478">
        <f t="shared" si="4"/>
        <v>44953</v>
      </c>
      <c r="B629" s="478">
        <f t="shared" si="5"/>
        <v>44959</v>
      </c>
      <c r="C629" s="475"/>
      <c r="D629" s="475"/>
      <c r="E629" s="475"/>
      <c r="F629" s="475"/>
      <c r="G629" s="475"/>
      <c r="H629" s="475"/>
    </row>
    <row r="630" spans="1:8" ht="15" x14ac:dyDescent="0.4">
      <c r="A630" s="478">
        <f t="shared" si="4"/>
        <v>44954</v>
      </c>
      <c r="B630" s="478">
        <f t="shared" si="5"/>
        <v>44959</v>
      </c>
      <c r="C630" s="475"/>
      <c r="D630" s="475"/>
      <c r="E630" s="475"/>
      <c r="F630" s="475"/>
      <c r="G630" s="475"/>
      <c r="H630" s="475"/>
    </row>
    <row r="631" spans="1:8" ht="15" x14ac:dyDescent="0.4">
      <c r="A631" s="478">
        <f t="shared" si="4"/>
        <v>44955</v>
      </c>
      <c r="B631" s="478">
        <f t="shared" si="5"/>
        <v>44959</v>
      </c>
      <c r="C631" s="475"/>
      <c r="D631" s="475"/>
      <c r="E631" s="475"/>
      <c r="F631" s="475"/>
      <c r="G631" s="475"/>
      <c r="H631" s="475"/>
    </row>
    <row r="632" spans="1:8" ht="15" x14ac:dyDescent="0.4">
      <c r="A632" s="478">
        <f t="shared" si="4"/>
        <v>44956</v>
      </c>
      <c r="B632" s="478">
        <f t="shared" si="5"/>
        <v>44959</v>
      </c>
      <c r="C632" s="475"/>
      <c r="D632" s="475"/>
      <c r="E632" s="475"/>
      <c r="F632" s="475"/>
      <c r="G632" s="475"/>
      <c r="H632" s="475"/>
    </row>
    <row r="633" spans="1:8" ht="15" x14ac:dyDescent="0.4">
      <c r="A633" s="478">
        <f t="shared" si="4"/>
        <v>44957</v>
      </c>
      <c r="B633" s="478">
        <f t="shared" si="5"/>
        <v>44959</v>
      </c>
      <c r="C633" s="475"/>
      <c r="D633" s="475"/>
      <c r="E633" s="475"/>
      <c r="F633" s="475"/>
      <c r="G633" s="475"/>
      <c r="H633" s="475"/>
    </row>
    <row r="634" spans="1:8" ht="15" x14ac:dyDescent="0.4">
      <c r="A634" s="478">
        <f t="shared" si="4"/>
        <v>44958</v>
      </c>
      <c r="B634" s="478">
        <f t="shared" si="5"/>
        <v>44959</v>
      </c>
      <c r="C634" s="475"/>
      <c r="D634" s="475"/>
      <c r="E634" s="475"/>
      <c r="F634" s="475"/>
      <c r="G634" s="475"/>
      <c r="H634" s="475"/>
    </row>
    <row r="635" spans="1:8" ht="15" x14ac:dyDescent="0.4">
      <c r="A635" s="478">
        <f t="shared" si="4"/>
        <v>44959</v>
      </c>
      <c r="B635" s="478">
        <f t="shared" si="5"/>
        <v>44959</v>
      </c>
      <c r="C635" s="475"/>
      <c r="D635" s="475"/>
      <c r="E635" s="475"/>
      <c r="F635" s="475"/>
      <c r="G635" s="475"/>
      <c r="H635" s="475"/>
    </row>
    <row r="636" spans="1:8" ht="15" x14ac:dyDescent="0.4">
      <c r="A636" s="478">
        <f t="shared" si="4"/>
        <v>44960</v>
      </c>
      <c r="B636" s="478">
        <f t="shared" si="5"/>
        <v>44966</v>
      </c>
      <c r="C636" s="475"/>
      <c r="D636" s="475"/>
      <c r="E636" s="475"/>
      <c r="F636" s="475"/>
      <c r="G636" s="475"/>
      <c r="H636" s="475"/>
    </row>
    <row r="637" spans="1:8" ht="15" x14ac:dyDescent="0.4">
      <c r="A637" s="478">
        <f t="shared" si="4"/>
        <v>44961</v>
      </c>
      <c r="B637" s="478">
        <f t="shared" si="5"/>
        <v>44966</v>
      </c>
      <c r="C637" s="475"/>
      <c r="D637" s="475"/>
      <c r="E637" s="475"/>
      <c r="F637" s="475"/>
      <c r="G637" s="475"/>
      <c r="H637" s="475"/>
    </row>
    <row r="638" spans="1:8" ht="15" x14ac:dyDescent="0.4">
      <c r="A638" s="478">
        <f t="shared" si="4"/>
        <v>44962</v>
      </c>
      <c r="B638" s="478">
        <f t="shared" si="5"/>
        <v>44966</v>
      </c>
      <c r="C638" s="475"/>
      <c r="D638" s="475"/>
      <c r="E638" s="475"/>
      <c r="F638" s="475"/>
      <c r="G638" s="475"/>
      <c r="H638" s="475"/>
    </row>
    <row r="639" spans="1:8" ht="15" x14ac:dyDescent="0.4">
      <c r="A639" s="478">
        <f t="shared" si="4"/>
        <v>44963</v>
      </c>
      <c r="B639" s="478">
        <f t="shared" si="5"/>
        <v>44966</v>
      </c>
      <c r="C639" s="475"/>
      <c r="D639" s="475"/>
      <c r="E639" s="475"/>
      <c r="F639" s="475"/>
      <c r="G639" s="475"/>
      <c r="H639" s="475"/>
    </row>
    <row r="640" spans="1:8" ht="15" x14ac:dyDescent="0.4">
      <c r="A640" s="478">
        <f t="shared" si="4"/>
        <v>44964</v>
      </c>
      <c r="B640" s="478">
        <f t="shared" si="5"/>
        <v>44966</v>
      </c>
      <c r="C640" s="475"/>
      <c r="D640" s="475"/>
      <c r="E640" s="475"/>
      <c r="F640" s="475"/>
      <c r="G640" s="475"/>
      <c r="H640" s="475"/>
    </row>
    <row r="641" spans="1:8" ht="15" x14ac:dyDescent="0.4">
      <c r="A641" s="478">
        <f t="shared" si="4"/>
        <v>44965</v>
      </c>
      <c r="B641" s="478">
        <f t="shared" si="5"/>
        <v>44966</v>
      </c>
      <c r="C641" s="475"/>
      <c r="D641" s="475"/>
      <c r="E641" s="475"/>
      <c r="F641" s="475"/>
      <c r="G641" s="475"/>
      <c r="H641" s="475"/>
    </row>
    <row r="642" spans="1:8" ht="15" x14ac:dyDescent="0.4">
      <c r="A642" s="478">
        <f t="shared" si="4"/>
        <v>44966</v>
      </c>
      <c r="B642" s="478">
        <f t="shared" si="5"/>
        <v>44966</v>
      </c>
      <c r="C642" s="475"/>
      <c r="D642" s="475"/>
      <c r="E642" s="475"/>
      <c r="F642" s="475"/>
      <c r="G642" s="475"/>
      <c r="H642" s="475"/>
    </row>
    <row r="643" spans="1:8" ht="15" x14ac:dyDescent="0.4">
      <c r="A643" s="478">
        <f t="shared" si="4"/>
        <v>44967</v>
      </c>
      <c r="B643" s="478">
        <f t="shared" si="5"/>
        <v>44973</v>
      </c>
      <c r="C643" s="475"/>
      <c r="D643" s="475"/>
      <c r="E643" s="475"/>
      <c r="F643" s="475"/>
      <c r="G643" s="475"/>
      <c r="H643" s="475"/>
    </row>
    <row r="644" spans="1:8" ht="15" x14ac:dyDescent="0.4">
      <c r="A644" s="478">
        <f t="shared" si="4"/>
        <v>44968</v>
      </c>
      <c r="B644" s="478">
        <f t="shared" si="5"/>
        <v>44973</v>
      </c>
      <c r="C644" s="475"/>
      <c r="D644" s="475"/>
      <c r="E644" s="475"/>
      <c r="F644" s="475"/>
      <c r="G644" s="475"/>
      <c r="H644" s="475"/>
    </row>
    <row r="645" spans="1:8" ht="15" x14ac:dyDescent="0.4">
      <c r="A645" s="478">
        <f t="shared" si="4"/>
        <v>44969</v>
      </c>
      <c r="B645" s="478">
        <f t="shared" si="5"/>
        <v>44973</v>
      </c>
      <c r="C645" s="475"/>
      <c r="D645" s="475"/>
      <c r="E645" s="475"/>
      <c r="F645" s="475"/>
      <c r="G645" s="475"/>
      <c r="H645" s="475"/>
    </row>
    <row r="646" spans="1:8" ht="15" x14ac:dyDescent="0.4">
      <c r="A646" s="478">
        <f t="shared" si="4"/>
        <v>44970</v>
      </c>
      <c r="B646" s="478">
        <f t="shared" si="5"/>
        <v>44973</v>
      </c>
      <c r="C646" s="475"/>
      <c r="D646" s="475"/>
      <c r="E646" s="475"/>
      <c r="F646" s="475"/>
      <c r="G646" s="475"/>
      <c r="H646" s="475"/>
    </row>
    <row r="647" spans="1:8" ht="15" x14ac:dyDescent="0.4">
      <c r="A647" s="478">
        <f t="shared" si="4"/>
        <v>44971</v>
      </c>
      <c r="B647" s="478">
        <f t="shared" si="5"/>
        <v>44973</v>
      </c>
      <c r="C647" s="475"/>
      <c r="D647" s="475"/>
      <c r="E647" s="475"/>
      <c r="F647" s="475"/>
      <c r="G647" s="475"/>
      <c r="H647" s="475"/>
    </row>
    <row r="648" spans="1:8" ht="15" x14ac:dyDescent="0.4">
      <c r="A648" s="478">
        <f t="shared" si="4"/>
        <v>44972</v>
      </c>
      <c r="B648" s="478">
        <f t="shared" si="5"/>
        <v>44973</v>
      </c>
      <c r="C648" s="475"/>
      <c r="D648" s="475"/>
      <c r="E648" s="475"/>
      <c r="F648" s="475"/>
      <c r="G648" s="475"/>
      <c r="H648" s="475"/>
    </row>
    <row r="649" spans="1:8" ht="15" x14ac:dyDescent="0.4">
      <c r="A649" s="478">
        <f t="shared" si="4"/>
        <v>44973</v>
      </c>
      <c r="B649" s="478">
        <f t="shared" si="5"/>
        <v>44973</v>
      </c>
      <c r="C649" s="475"/>
      <c r="D649" s="475"/>
      <c r="E649" s="475"/>
      <c r="F649" s="475"/>
      <c r="G649" s="475"/>
      <c r="H649" s="475"/>
    </row>
    <row r="650" spans="1:8" ht="15" x14ac:dyDescent="0.4">
      <c r="A650" s="478">
        <f t="shared" si="4"/>
        <v>44974</v>
      </c>
      <c r="B650" s="478">
        <f t="shared" si="5"/>
        <v>44980</v>
      </c>
      <c r="C650" s="475"/>
      <c r="D650" s="475"/>
      <c r="E650" s="475"/>
      <c r="F650" s="475"/>
      <c r="G650" s="475"/>
      <c r="H650" s="475"/>
    </row>
    <row r="651" spans="1:8" ht="15" x14ac:dyDescent="0.4">
      <c r="A651" s="478">
        <f t="shared" si="4"/>
        <v>44975</v>
      </c>
      <c r="B651" s="478">
        <f t="shared" si="5"/>
        <v>44980</v>
      </c>
      <c r="C651" s="475"/>
      <c r="D651" s="475"/>
      <c r="E651" s="475"/>
      <c r="F651" s="475"/>
      <c r="G651" s="475"/>
      <c r="H651" s="475"/>
    </row>
    <row r="652" spans="1:8" ht="15" x14ac:dyDescent="0.4">
      <c r="A652" s="478">
        <f t="shared" si="4"/>
        <v>44976</v>
      </c>
      <c r="B652" s="478">
        <f t="shared" si="5"/>
        <v>44980</v>
      </c>
      <c r="C652" s="475"/>
      <c r="D652" s="475"/>
      <c r="E652" s="475"/>
      <c r="F652" s="475"/>
      <c r="G652" s="475"/>
      <c r="H652" s="475"/>
    </row>
    <row r="653" spans="1:8" ht="15" x14ac:dyDescent="0.4">
      <c r="A653" s="478">
        <f t="shared" si="4"/>
        <v>44977</v>
      </c>
      <c r="B653" s="478">
        <f t="shared" si="5"/>
        <v>44980</v>
      </c>
      <c r="C653" s="475"/>
      <c r="D653" s="475"/>
      <c r="E653" s="475"/>
      <c r="F653" s="475"/>
      <c r="G653" s="475"/>
      <c r="H653" s="475"/>
    </row>
    <row r="654" spans="1:8" ht="15" x14ac:dyDescent="0.4">
      <c r="A654" s="478">
        <f t="shared" si="4"/>
        <v>44978</v>
      </c>
      <c r="B654" s="478">
        <f t="shared" si="5"/>
        <v>44980</v>
      </c>
      <c r="C654" s="475"/>
      <c r="D654" s="475"/>
      <c r="E654" s="475"/>
      <c r="F654" s="475"/>
      <c r="G654" s="475"/>
      <c r="H654" s="475"/>
    </row>
    <row r="655" spans="1:8" ht="15" x14ac:dyDescent="0.4">
      <c r="A655" s="478">
        <f t="shared" si="4"/>
        <v>44979</v>
      </c>
      <c r="B655" s="478">
        <f t="shared" si="5"/>
        <v>44980</v>
      </c>
      <c r="C655" s="475"/>
      <c r="D655" s="475"/>
      <c r="E655" s="475"/>
      <c r="F655" s="475"/>
      <c r="G655" s="475"/>
      <c r="H655" s="475"/>
    </row>
    <row r="656" spans="1:8" ht="15" x14ac:dyDescent="0.4">
      <c r="A656" s="478">
        <f t="shared" si="4"/>
        <v>44980</v>
      </c>
      <c r="B656" s="478">
        <f t="shared" si="5"/>
        <v>44980</v>
      </c>
      <c r="C656" s="475"/>
      <c r="D656" s="475"/>
      <c r="E656" s="475"/>
      <c r="F656" s="475"/>
      <c r="G656" s="475"/>
      <c r="H656" s="475"/>
    </row>
    <row r="657" spans="1:8" ht="15" x14ac:dyDescent="0.4">
      <c r="A657" s="478">
        <f t="shared" si="4"/>
        <v>44981</v>
      </c>
      <c r="B657" s="478">
        <f t="shared" si="5"/>
        <v>44987</v>
      </c>
      <c r="C657" s="475"/>
      <c r="D657" s="475"/>
      <c r="E657" s="475"/>
      <c r="F657" s="475"/>
      <c r="G657" s="475"/>
      <c r="H657" s="475"/>
    </row>
    <row r="658" spans="1:8" ht="15" x14ac:dyDescent="0.4">
      <c r="A658" s="478">
        <f t="shared" si="4"/>
        <v>44982</v>
      </c>
      <c r="B658" s="478">
        <f t="shared" si="5"/>
        <v>44987</v>
      </c>
      <c r="C658" s="475"/>
      <c r="D658" s="475"/>
      <c r="E658" s="475"/>
      <c r="F658" s="475"/>
      <c r="G658" s="475"/>
      <c r="H658" s="475"/>
    </row>
    <row r="659" spans="1:8" ht="15" x14ac:dyDescent="0.4">
      <c r="A659" s="478">
        <f t="shared" si="4"/>
        <v>44983</v>
      </c>
      <c r="B659" s="478">
        <f t="shared" si="5"/>
        <v>44987</v>
      </c>
      <c r="C659" s="475"/>
      <c r="D659" s="475"/>
      <c r="E659" s="475"/>
      <c r="F659" s="475"/>
      <c r="G659" s="475"/>
      <c r="H659" s="475"/>
    </row>
    <row r="660" spans="1:8" ht="15" x14ac:dyDescent="0.4">
      <c r="A660" s="478">
        <f t="shared" si="4"/>
        <v>44984</v>
      </c>
      <c r="B660" s="478">
        <f t="shared" si="5"/>
        <v>44987</v>
      </c>
      <c r="C660" s="475"/>
      <c r="D660" s="475"/>
      <c r="E660" s="475"/>
      <c r="F660" s="475"/>
      <c r="G660" s="475"/>
      <c r="H660" s="475"/>
    </row>
    <row r="661" spans="1:8" ht="15" x14ac:dyDescent="0.4">
      <c r="A661" s="478">
        <f t="shared" si="4"/>
        <v>44985</v>
      </c>
      <c r="B661" s="478">
        <f t="shared" si="5"/>
        <v>44987</v>
      </c>
      <c r="C661" s="475"/>
      <c r="D661" s="475"/>
      <c r="E661" s="475"/>
      <c r="F661" s="475"/>
      <c r="G661" s="475"/>
      <c r="H661" s="475"/>
    </row>
    <row r="662" spans="1:8" ht="15" x14ac:dyDescent="0.4">
      <c r="A662" s="478">
        <f t="shared" si="4"/>
        <v>44986</v>
      </c>
      <c r="B662" s="478">
        <f t="shared" si="5"/>
        <v>44987</v>
      </c>
      <c r="C662" s="475"/>
      <c r="D662" s="475"/>
      <c r="E662" s="475"/>
      <c r="F662" s="475"/>
      <c r="G662" s="475"/>
      <c r="H662" s="475"/>
    </row>
    <row r="663" spans="1:8" ht="15" x14ac:dyDescent="0.4">
      <c r="A663" s="478">
        <f t="shared" si="4"/>
        <v>44987</v>
      </c>
      <c r="B663" s="478">
        <f t="shared" si="5"/>
        <v>44987</v>
      </c>
      <c r="C663" s="475"/>
      <c r="D663" s="475"/>
      <c r="E663" s="475"/>
      <c r="F663" s="475"/>
      <c r="G663" s="475"/>
      <c r="H663" s="475"/>
    </row>
    <row r="664" spans="1:8" ht="15" x14ac:dyDescent="0.4">
      <c r="A664" s="478">
        <f t="shared" si="4"/>
        <v>44988</v>
      </c>
      <c r="B664" s="478">
        <f t="shared" si="5"/>
        <v>44994</v>
      </c>
      <c r="C664" s="475"/>
      <c r="D664" s="475"/>
      <c r="E664" s="475"/>
      <c r="F664" s="475"/>
      <c r="G664" s="475"/>
      <c r="H664" s="475"/>
    </row>
    <row r="665" spans="1:8" ht="15" x14ac:dyDescent="0.4">
      <c r="A665" s="478">
        <f t="shared" si="4"/>
        <v>44989</v>
      </c>
      <c r="B665" s="478">
        <f t="shared" si="5"/>
        <v>44994</v>
      </c>
      <c r="C665" s="475"/>
      <c r="D665" s="475"/>
      <c r="E665" s="475"/>
      <c r="F665" s="475"/>
      <c r="G665" s="475"/>
      <c r="H665" s="475"/>
    </row>
    <row r="666" spans="1:8" ht="15" x14ac:dyDescent="0.4">
      <c r="A666" s="478">
        <f t="shared" si="4"/>
        <v>44990</v>
      </c>
      <c r="B666" s="478">
        <f t="shared" si="5"/>
        <v>44994</v>
      </c>
      <c r="C666" s="475"/>
      <c r="D666" s="475"/>
      <c r="E666" s="475"/>
      <c r="F666" s="475"/>
      <c r="G666" s="475"/>
      <c r="H666" s="475"/>
    </row>
    <row r="667" spans="1:8" ht="15" x14ac:dyDescent="0.4">
      <c r="A667" s="478">
        <f t="shared" si="4"/>
        <v>44991</v>
      </c>
      <c r="B667" s="478">
        <f t="shared" si="5"/>
        <v>44994</v>
      </c>
      <c r="C667" s="475"/>
      <c r="D667" s="475"/>
      <c r="E667" s="475"/>
      <c r="F667" s="475"/>
      <c r="G667" s="475"/>
      <c r="H667" s="475"/>
    </row>
    <row r="668" spans="1:8" ht="15" x14ac:dyDescent="0.4">
      <c r="A668" s="478">
        <f t="shared" si="4"/>
        <v>44992</v>
      </c>
      <c r="B668" s="478">
        <f t="shared" si="5"/>
        <v>44994</v>
      </c>
      <c r="C668" s="475"/>
      <c r="D668" s="475"/>
      <c r="E668" s="475"/>
      <c r="F668" s="475"/>
      <c r="G668" s="475"/>
      <c r="H668" s="475"/>
    </row>
    <row r="669" spans="1:8" ht="15" x14ac:dyDescent="0.4">
      <c r="A669" s="478">
        <f t="shared" si="4"/>
        <v>44993</v>
      </c>
      <c r="B669" s="478">
        <f t="shared" si="5"/>
        <v>44994</v>
      </c>
      <c r="C669" s="475"/>
      <c r="D669" s="475"/>
      <c r="E669" s="475"/>
      <c r="F669" s="475"/>
      <c r="G669" s="475"/>
      <c r="H669" s="475"/>
    </row>
    <row r="670" spans="1:8" ht="15" x14ac:dyDescent="0.4">
      <c r="A670" s="478">
        <f t="shared" si="4"/>
        <v>44994</v>
      </c>
      <c r="B670" s="478">
        <f t="shared" si="5"/>
        <v>44994</v>
      </c>
      <c r="C670" s="475"/>
      <c r="D670" s="475"/>
      <c r="E670" s="475"/>
      <c r="F670" s="475"/>
      <c r="G670" s="475"/>
      <c r="H670" s="475"/>
    </row>
    <row r="671" spans="1:8" ht="15" x14ac:dyDescent="0.4">
      <c r="A671" s="478">
        <f t="shared" si="4"/>
        <v>44995</v>
      </c>
      <c r="B671" s="478">
        <f t="shared" si="5"/>
        <v>45001</v>
      </c>
      <c r="C671" s="475"/>
      <c r="D671" s="475"/>
      <c r="E671" s="475"/>
      <c r="F671" s="475"/>
      <c r="G671" s="475"/>
      <c r="H671" s="475"/>
    </row>
    <row r="672" spans="1:8" ht="15" x14ac:dyDescent="0.4">
      <c r="A672" s="478">
        <f t="shared" si="4"/>
        <v>44996</v>
      </c>
      <c r="B672" s="478">
        <f t="shared" si="5"/>
        <v>45001</v>
      </c>
      <c r="C672" s="475"/>
      <c r="D672" s="475"/>
      <c r="E672" s="475"/>
      <c r="F672" s="475"/>
      <c r="G672" s="475"/>
      <c r="H672" s="475"/>
    </row>
    <row r="673" spans="1:8" ht="15" x14ac:dyDescent="0.4">
      <c r="A673" s="478">
        <f t="shared" si="4"/>
        <v>44997</v>
      </c>
      <c r="B673" s="478">
        <f t="shared" si="5"/>
        <v>45001</v>
      </c>
      <c r="C673" s="475"/>
      <c r="D673" s="475"/>
      <c r="E673" s="475"/>
      <c r="F673" s="475"/>
      <c r="G673" s="475"/>
      <c r="H673" s="475"/>
    </row>
    <row r="674" spans="1:8" ht="15" x14ac:dyDescent="0.4">
      <c r="A674" s="478">
        <f t="shared" si="4"/>
        <v>44998</v>
      </c>
      <c r="B674" s="478">
        <f t="shared" si="5"/>
        <v>45001</v>
      </c>
      <c r="C674" s="475"/>
      <c r="D674" s="475"/>
      <c r="E674" s="475"/>
      <c r="F674" s="475"/>
      <c r="G674" s="475"/>
      <c r="H674" s="475"/>
    </row>
    <row r="675" spans="1:8" ht="15" x14ac:dyDescent="0.4">
      <c r="A675" s="478">
        <f t="shared" si="4"/>
        <v>44999</v>
      </c>
      <c r="B675" s="478">
        <f t="shared" si="5"/>
        <v>45001</v>
      </c>
      <c r="C675" s="475"/>
      <c r="D675" s="475"/>
      <c r="E675" s="475"/>
      <c r="F675" s="475"/>
      <c r="G675" s="475"/>
      <c r="H675" s="475"/>
    </row>
    <row r="676" spans="1:8" ht="15" x14ac:dyDescent="0.4">
      <c r="A676" s="478">
        <f t="shared" si="4"/>
        <v>45000</v>
      </c>
      <c r="B676" s="478">
        <f t="shared" si="5"/>
        <v>45001</v>
      </c>
      <c r="C676" s="475"/>
      <c r="D676" s="475"/>
      <c r="E676" s="475"/>
      <c r="F676" s="475"/>
      <c r="G676" s="475"/>
      <c r="H676" s="475"/>
    </row>
    <row r="677" spans="1:8" ht="15" x14ac:dyDescent="0.4">
      <c r="A677" s="478">
        <f t="shared" si="4"/>
        <v>45001</v>
      </c>
      <c r="B677" s="478">
        <f t="shared" si="5"/>
        <v>45001</v>
      </c>
      <c r="C677" s="475"/>
      <c r="D677" s="475"/>
      <c r="E677" s="475"/>
      <c r="F677" s="475"/>
      <c r="G677" s="475"/>
      <c r="H677" s="475"/>
    </row>
    <row r="678" spans="1:8" ht="15" x14ac:dyDescent="0.4">
      <c r="A678" s="478">
        <f t="shared" si="4"/>
        <v>45002</v>
      </c>
      <c r="B678" s="478">
        <f t="shared" si="5"/>
        <v>45008</v>
      </c>
      <c r="C678" s="475"/>
      <c r="D678" s="475"/>
      <c r="E678" s="475"/>
      <c r="F678" s="475"/>
      <c r="G678" s="475"/>
      <c r="H678" s="475"/>
    </row>
    <row r="679" spans="1:8" ht="15" x14ac:dyDescent="0.4">
      <c r="A679" s="478">
        <f t="shared" si="4"/>
        <v>45003</v>
      </c>
      <c r="B679" s="478">
        <f t="shared" si="5"/>
        <v>45008</v>
      </c>
      <c r="C679" s="475"/>
      <c r="D679" s="475"/>
      <c r="E679" s="475"/>
      <c r="F679" s="475"/>
      <c r="G679" s="475"/>
      <c r="H679" s="475"/>
    </row>
    <row r="680" spans="1:8" ht="15" x14ac:dyDescent="0.4">
      <c r="A680" s="478">
        <f t="shared" si="4"/>
        <v>45004</v>
      </c>
      <c r="B680" s="478">
        <f t="shared" si="5"/>
        <v>45008</v>
      </c>
      <c r="C680" s="475"/>
      <c r="D680" s="475"/>
      <c r="E680" s="475"/>
      <c r="F680" s="475"/>
      <c r="G680" s="475"/>
      <c r="H680" s="475"/>
    </row>
    <row r="681" spans="1:8" ht="15" x14ac:dyDescent="0.4">
      <c r="A681" s="478">
        <f t="shared" si="4"/>
        <v>45005</v>
      </c>
      <c r="B681" s="478">
        <f t="shared" si="5"/>
        <v>45008</v>
      </c>
      <c r="C681" s="475"/>
      <c r="D681" s="475"/>
      <c r="E681" s="475"/>
      <c r="F681" s="475"/>
      <c r="G681" s="475"/>
      <c r="H681" s="475"/>
    </row>
    <row r="682" spans="1:8" ht="15" x14ac:dyDescent="0.4">
      <c r="A682" s="478">
        <f t="shared" si="4"/>
        <v>45006</v>
      </c>
      <c r="B682" s="478">
        <f t="shared" si="5"/>
        <v>45008</v>
      </c>
      <c r="C682" s="475"/>
      <c r="D682" s="475"/>
      <c r="E682" s="475"/>
      <c r="F682" s="475"/>
      <c r="G682" s="475"/>
      <c r="H682" s="475"/>
    </row>
    <row r="683" spans="1:8" ht="15" x14ac:dyDescent="0.4">
      <c r="A683" s="478">
        <f t="shared" si="4"/>
        <v>45007</v>
      </c>
      <c r="B683" s="478">
        <f t="shared" si="5"/>
        <v>45008</v>
      </c>
      <c r="C683" s="475"/>
      <c r="D683" s="475"/>
      <c r="E683" s="475"/>
      <c r="F683" s="475"/>
      <c r="G683" s="475"/>
      <c r="H683" s="475"/>
    </row>
    <row r="684" spans="1:8" ht="15" x14ac:dyDescent="0.4">
      <c r="A684" s="478">
        <f t="shared" si="4"/>
        <v>45008</v>
      </c>
      <c r="B684" s="478">
        <f t="shared" si="5"/>
        <v>45008</v>
      </c>
      <c r="C684" s="475"/>
      <c r="D684" s="475"/>
      <c r="E684" s="475"/>
      <c r="F684" s="475"/>
      <c r="G684" s="475"/>
      <c r="H684" s="475"/>
    </row>
    <row r="685" spans="1:8" ht="15" x14ac:dyDescent="0.4">
      <c r="A685" s="478">
        <f t="shared" si="4"/>
        <v>45009</v>
      </c>
      <c r="B685" s="478">
        <f t="shared" si="5"/>
        <v>45015</v>
      </c>
      <c r="C685" s="475"/>
      <c r="D685" s="475"/>
      <c r="E685" s="475"/>
      <c r="F685" s="475"/>
      <c r="G685" s="475"/>
      <c r="H685" s="475"/>
    </row>
    <row r="686" spans="1:8" ht="15" x14ac:dyDescent="0.4">
      <c r="A686" s="478">
        <f t="shared" si="4"/>
        <v>45010</v>
      </c>
      <c r="B686" s="478">
        <f t="shared" si="5"/>
        <v>45015</v>
      </c>
      <c r="C686" s="475"/>
      <c r="D686" s="475"/>
      <c r="E686" s="475"/>
      <c r="F686" s="475"/>
      <c r="G686" s="475"/>
      <c r="H686" s="475"/>
    </row>
    <row r="687" spans="1:8" ht="15" x14ac:dyDescent="0.4">
      <c r="A687" s="478">
        <f t="shared" si="4"/>
        <v>45011</v>
      </c>
      <c r="B687" s="478">
        <f t="shared" si="5"/>
        <v>45015</v>
      </c>
      <c r="C687" s="475"/>
      <c r="D687" s="475"/>
      <c r="E687" s="475"/>
      <c r="F687" s="475"/>
      <c r="G687" s="475"/>
      <c r="H687" s="475"/>
    </row>
    <row r="688" spans="1:8" ht="15" x14ac:dyDescent="0.4">
      <c r="A688" s="478">
        <f t="shared" si="4"/>
        <v>45012</v>
      </c>
      <c r="B688" s="478">
        <f t="shared" si="5"/>
        <v>45015</v>
      </c>
      <c r="C688" s="475"/>
      <c r="D688" s="475"/>
      <c r="E688" s="475"/>
      <c r="F688" s="475"/>
      <c r="G688" s="475"/>
      <c r="H688" s="475"/>
    </row>
    <row r="689" spans="1:8" ht="15" x14ac:dyDescent="0.4">
      <c r="A689" s="478">
        <f t="shared" si="4"/>
        <v>45013</v>
      </c>
      <c r="B689" s="478">
        <f t="shared" si="5"/>
        <v>45015</v>
      </c>
      <c r="C689" s="475"/>
      <c r="D689" s="475"/>
      <c r="E689" s="475"/>
      <c r="F689" s="475"/>
      <c r="G689" s="475"/>
      <c r="H689" s="475"/>
    </row>
    <row r="690" spans="1:8" ht="15" x14ac:dyDescent="0.4">
      <c r="A690" s="478">
        <f t="shared" si="4"/>
        <v>45014</v>
      </c>
      <c r="B690" s="478">
        <f t="shared" si="5"/>
        <v>45015</v>
      </c>
      <c r="C690" s="475"/>
      <c r="D690" s="475"/>
      <c r="E690" s="475"/>
      <c r="F690" s="475"/>
      <c r="G690" s="475"/>
      <c r="H690" s="475"/>
    </row>
    <row r="691" spans="1:8" ht="15" x14ac:dyDescent="0.4">
      <c r="A691" s="478">
        <f t="shared" si="4"/>
        <v>45015</v>
      </c>
      <c r="B691" s="478">
        <f t="shared" si="5"/>
        <v>45015</v>
      </c>
      <c r="C691" s="475"/>
      <c r="D691" s="475"/>
      <c r="E691" s="475"/>
      <c r="F691" s="475"/>
      <c r="G691" s="475"/>
      <c r="H691" s="475"/>
    </row>
    <row r="692" spans="1:8" ht="15" x14ac:dyDescent="0.4">
      <c r="A692" s="478">
        <f t="shared" si="4"/>
        <v>45016</v>
      </c>
      <c r="B692" s="478">
        <f t="shared" si="5"/>
        <v>45022</v>
      </c>
      <c r="C692" s="475"/>
      <c r="D692" s="475"/>
      <c r="E692" s="475"/>
      <c r="F692" s="475"/>
      <c r="G692" s="475"/>
      <c r="H692" s="475"/>
    </row>
    <row r="693" spans="1:8" ht="15" x14ac:dyDescent="0.4">
      <c r="A693" s="478">
        <f t="shared" si="4"/>
        <v>45017</v>
      </c>
      <c r="B693" s="478">
        <f t="shared" si="5"/>
        <v>45022</v>
      </c>
      <c r="C693" s="475"/>
      <c r="D693" s="475"/>
      <c r="E693" s="475"/>
      <c r="F693" s="475"/>
      <c r="G693" s="475"/>
      <c r="H693" s="475"/>
    </row>
    <row r="694" spans="1:8" ht="15" x14ac:dyDescent="0.4">
      <c r="A694" s="478">
        <f t="shared" si="4"/>
        <v>45018</v>
      </c>
      <c r="B694" s="478">
        <f t="shared" si="5"/>
        <v>45022</v>
      </c>
      <c r="C694" s="475"/>
      <c r="D694" s="475"/>
      <c r="E694" s="475"/>
      <c r="F694" s="475"/>
      <c r="G694" s="475"/>
      <c r="H694" s="475"/>
    </row>
    <row r="695" spans="1:8" ht="15" x14ac:dyDescent="0.4">
      <c r="A695" s="478">
        <f t="shared" si="4"/>
        <v>45019</v>
      </c>
      <c r="B695" s="478">
        <f t="shared" si="5"/>
        <v>45022</v>
      </c>
      <c r="C695" s="475"/>
      <c r="D695" s="475"/>
      <c r="E695" s="475"/>
      <c r="F695" s="475"/>
      <c r="G695" s="475"/>
      <c r="H695" s="475"/>
    </row>
    <row r="696" spans="1:8" ht="15" x14ac:dyDescent="0.4">
      <c r="A696" s="478">
        <f t="shared" si="4"/>
        <v>45020</v>
      </c>
      <c r="B696" s="478">
        <f t="shared" si="5"/>
        <v>45022</v>
      </c>
      <c r="C696" s="475"/>
      <c r="D696" s="475"/>
      <c r="E696" s="475"/>
      <c r="F696" s="475"/>
      <c r="G696" s="475"/>
      <c r="H696" s="475"/>
    </row>
    <row r="697" spans="1:8" ht="15" x14ac:dyDescent="0.4">
      <c r="A697" s="478">
        <f t="shared" si="4"/>
        <v>45021</v>
      </c>
      <c r="B697" s="478">
        <f t="shared" si="5"/>
        <v>45022</v>
      </c>
      <c r="C697" s="475"/>
      <c r="D697" s="475"/>
      <c r="E697" s="475"/>
      <c r="F697" s="475"/>
      <c r="G697" s="475"/>
      <c r="H697" s="475"/>
    </row>
    <row r="698" spans="1:8" ht="15" x14ac:dyDescent="0.4">
      <c r="A698" s="478">
        <f t="shared" si="4"/>
        <v>45022</v>
      </c>
      <c r="B698" s="478">
        <f t="shared" si="5"/>
        <v>45022</v>
      </c>
      <c r="C698" s="475"/>
      <c r="D698" s="475"/>
      <c r="E698" s="475"/>
      <c r="F698" s="475"/>
      <c r="G698" s="475"/>
      <c r="H698" s="475"/>
    </row>
    <row r="699" spans="1:8" ht="15" x14ac:dyDescent="0.4">
      <c r="A699" s="478">
        <f t="shared" si="4"/>
        <v>45023</v>
      </c>
      <c r="B699" s="478">
        <f t="shared" si="5"/>
        <v>45029</v>
      </c>
      <c r="C699" s="475"/>
      <c r="D699" s="475"/>
      <c r="E699" s="475"/>
      <c r="F699" s="475"/>
      <c r="G699" s="475"/>
      <c r="H699" s="475"/>
    </row>
    <row r="700" spans="1:8" ht="15" x14ac:dyDescent="0.4">
      <c r="A700" s="478">
        <f t="shared" si="4"/>
        <v>45024</v>
      </c>
      <c r="B700" s="478">
        <f t="shared" si="5"/>
        <v>45029</v>
      </c>
      <c r="C700" s="475"/>
      <c r="D700" s="475"/>
      <c r="E700" s="475"/>
      <c r="F700" s="475"/>
      <c r="G700" s="475"/>
      <c r="H700" s="475"/>
    </row>
    <row r="701" spans="1:8" ht="15" x14ac:dyDescent="0.4">
      <c r="A701" s="478">
        <f t="shared" si="4"/>
        <v>45025</v>
      </c>
      <c r="B701" s="478">
        <f t="shared" si="5"/>
        <v>45029</v>
      </c>
      <c r="C701" s="475"/>
      <c r="D701" s="475"/>
      <c r="E701" s="475"/>
      <c r="F701" s="475"/>
      <c r="G701" s="475"/>
      <c r="H701" s="475"/>
    </row>
    <row r="702" spans="1:8" ht="15" x14ac:dyDescent="0.4">
      <c r="A702" s="478">
        <f t="shared" si="4"/>
        <v>45026</v>
      </c>
      <c r="B702" s="478">
        <f t="shared" si="5"/>
        <v>45029</v>
      </c>
      <c r="C702" s="475"/>
      <c r="D702" s="475"/>
      <c r="E702" s="475"/>
      <c r="F702" s="475"/>
      <c r="G702" s="475"/>
      <c r="H702" s="475"/>
    </row>
    <row r="703" spans="1:8" ht="15" x14ac:dyDescent="0.4">
      <c r="A703" s="478">
        <f t="shared" si="4"/>
        <v>45027</v>
      </c>
      <c r="B703" s="478">
        <f t="shared" si="5"/>
        <v>45029</v>
      </c>
      <c r="C703" s="475"/>
      <c r="D703" s="475"/>
      <c r="E703" s="475"/>
      <c r="F703" s="475"/>
      <c r="G703" s="475"/>
      <c r="H703" s="475"/>
    </row>
    <row r="704" spans="1:8" ht="15" x14ac:dyDescent="0.4">
      <c r="A704" s="478">
        <f t="shared" si="4"/>
        <v>45028</v>
      </c>
      <c r="B704" s="478">
        <f t="shared" si="5"/>
        <v>45029</v>
      </c>
      <c r="C704" s="475"/>
      <c r="D704" s="475"/>
      <c r="E704" s="475"/>
      <c r="F704" s="475"/>
      <c r="G704" s="475"/>
      <c r="H704" s="475"/>
    </row>
    <row r="705" spans="1:8" ht="15" x14ac:dyDescent="0.4">
      <c r="A705" s="478">
        <f t="shared" si="4"/>
        <v>45029</v>
      </c>
      <c r="B705" s="478">
        <f t="shared" si="5"/>
        <v>45029</v>
      </c>
      <c r="C705" s="475"/>
      <c r="D705" s="475"/>
      <c r="E705" s="475"/>
      <c r="F705" s="475"/>
      <c r="G705" s="475"/>
      <c r="H705" s="475"/>
    </row>
    <row r="706" spans="1:8" ht="15" x14ac:dyDescent="0.4">
      <c r="A706" s="478">
        <f t="shared" si="4"/>
        <v>45030</v>
      </c>
      <c r="B706" s="478">
        <f t="shared" si="5"/>
        <v>45036</v>
      </c>
      <c r="C706" s="475"/>
      <c r="D706" s="475"/>
      <c r="E706" s="475"/>
      <c r="F706" s="475"/>
      <c r="G706" s="475"/>
      <c r="H706" s="475"/>
    </row>
    <row r="707" spans="1:8" ht="15" x14ac:dyDescent="0.4">
      <c r="A707" s="478">
        <f t="shared" si="4"/>
        <v>45031</v>
      </c>
      <c r="B707" s="478">
        <f t="shared" si="5"/>
        <v>45036</v>
      </c>
      <c r="C707" s="475"/>
      <c r="D707" s="475"/>
      <c r="E707" s="475"/>
      <c r="F707" s="475"/>
      <c r="G707" s="475"/>
      <c r="H707" s="475"/>
    </row>
    <row r="708" spans="1:8" ht="15" x14ac:dyDescent="0.4">
      <c r="A708" s="478">
        <f t="shared" si="4"/>
        <v>45032</v>
      </c>
      <c r="B708" s="478">
        <f t="shared" si="5"/>
        <v>45036</v>
      </c>
      <c r="C708" s="475"/>
      <c r="D708" s="475"/>
      <c r="E708" s="475"/>
      <c r="F708" s="475"/>
      <c r="G708" s="475"/>
      <c r="H708" s="475"/>
    </row>
    <row r="709" spans="1:8" ht="15" x14ac:dyDescent="0.4">
      <c r="A709" s="478">
        <f t="shared" si="4"/>
        <v>45033</v>
      </c>
      <c r="B709" s="478">
        <f t="shared" si="5"/>
        <v>45036</v>
      </c>
      <c r="C709" s="475"/>
      <c r="D709" s="475"/>
      <c r="E709" s="475"/>
      <c r="F709" s="475"/>
      <c r="G709" s="475"/>
      <c r="H709" s="475"/>
    </row>
    <row r="710" spans="1:8" ht="15" x14ac:dyDescent="0.4">
      <c r="A710" s="478">
        <f t="shared" si="4"/>
        <v>45034</v>
      </c>
      <c r="B710" s="478">
        <f t="shared" si="5"/>
        <v>45036</v>
      </c>
      <c r="C710" s="475"/>
      <c r="D710" s="475"/>
      <c r="E710" s="475"/>
      <c r="F710" s="475"/>
      <c r="G710" s="475"/>
      <c r="H710" s="475"/>
    </row>
    <row r="711" spans="1:8" ht="15" x14ac:dyDescent="0.4">
      <c r="A711" s="478">
        <f t="shared" si="4"/>
        <v>45035</v>
      </c>
      <c r="B711" s="478">
        <f t="shared" si="5"/>
        <v>45036</v>
      </c>
      <c r="C711" s="475"/>
      <c r="D711" s="475"/>
      <c r="E711" s="475"/>
      <c r="F711" s="475"/>
      <c r="G711" s="475"/>
      <c r="H711" s="475"/>
    </row>
    <row r="712" spans="1:8" ht="15" x14ac:dyDescent="0.4">
      <c r="A712" s="478">
        <f t="shared" si="4"/>
        <v>45036</v>
      </c>
      <c r="B712" s="478">
        <f t="shared" si="5"/>
        <v>45036</v>
      </c>
      <c r="C712" s="475"/>
      <c r="D712" s="475"/>
      <c r="E712" s="475"/>
      <c r="F712" s="475"/>
      <c r="G712" s="475"/>
      <c r="H712" s="475"/>
    </row>
    <row r="713" spans="1:8" ht="15" x14ac:dyDescent="0.4">
      <c r="A713" s="478">
        <f t="shared" si="4"/>
        <v>45037</v>
      </c>
      <c r="B713" s="478">
        <f t="shared" si="5"/>
        <v>45043</v>
      </c>
      <c r="C713" s="475"/>
      <c r="D713" s="475"/>
      <c r="E713" s="475"/>
      <c r="F713" s="475"/>
      <c r="G713" s="475"/>
      <c r="H713" s="475"/>
    </row>
    <row r="714" spans="1:8" ht="15" x14ac:dyDescent="0.4">
      <c r="A714" s="478">
        <f t="shared" si="4"/>
        <v>45038</v>
      </c>
      <c r="B714" s="478">
        <f t="shared" si="5"/>
        <v>45043</v>
      </c>
      <c r="C714" s="475"/>
      <c r="D714" s="475"/>
      <c r="E714" s="475"/>
      <c r="F714" s="475"/>
      <c r="G714" s="475"/>
      <c r="H714" s="475"/>
    </row>
    <row r="715" spans="1:8" ht="15" x14ac:dyDescent="0.4">
      <c r="A715" s="478">
        <f t="shared" si="4"/>
        <v>45039</v>
      </c>
      <c r="B715" s="478">
        <f t="shared" si="5"/>
        <v>45043</v>
      </c>
      <c r="C715" s="475"/>
      <c r="D715" s="475"/>
      <c r="E715" s="475"/>
      <c r="F715" s="475"/>
      <c r="G715" s="475"/>
      <c r="H715" s="475"/>
    </row>
    <row r="716" spans="1:8" ht="15" x14ac:dyDescent="0.4">
      <c r="A716" s="478">
        <f t="shared" si="4"/>
        <v>45040</v>
      </c>
      <c r="B716" s="478">
        <f t="shared" si="5"/>
        <v>45043</v>
      </c>
      <c r="C716" s="475"/>
      <c r="D716" s="475"/>
      <c r="E716" s="475"/>
      <c r="F716" s="475"/>
      <c r="G716" s="475"/>
      <c r="H716" s="475"/>
    </row>
    <row r="717" spans="1:8" ht="15" x14ac:dyDescent="0.4">
      <c r="A717" s="478">
        <f t="shared" si="4"/>
        <v>45041</v>
      </c>
      <c r="B717" s="478">
        <f t="shared" si="5"/>
        <v>45043</v>
      </c>
      <c r="C717" s="475"/>
      <c r="D717" s="475"/>
      <c r="E717" s="475"/>
      <c r="F717" s="475"/>
      <c r="G717" s="475"/>
      <c r="H717" s="475"/>
    </row>
    <row r="718" spans="1:8" ht="15" x14ac:dyDescent="0.4">
      <c r="A718" s="478">
        <f t="shared" si="4"/>
        <v>45042</v>
      </c>
      <c r="B718" s="478">
        <f t="shared" si="5"/>
        <v>45043</v>
      </c>
      <c r="C718" s="475"/>
      <c r="D718" s="475"/>
      <c r="E718" s="475"/>
      <c r="F718" s="475"/>
      <c r="G718" s="475"/>
      <c r="H718" s="475"/>
    </row>
    <row r="719" spans="1:8" ht="15" x14ac:dyDescent="0.4">
      <c r="A719" s="478">
        <f t="shared" si="4"/>
        <v>45043</v>
      </c>
      <c r="B719" s="478">
        <f t="shared" si="5"/>
        <v>45043</v>
      </c>
      <c r="C719" s="475"/>
      <c r="D719" s="475"/>
      <c r="E719" s="475"/>
      <c r="F719" s="475"/>
      <c r="G719" s="475"/>
      <c r="H719" s="475"/>
    </row>
    <row r="720" spans="1:8" ht="15" x14ac:dyDescent="0.4">
      <c r="A720" s="478">
        <f t="shared" si="4"/>
        <v>45044</v>
      </c>
      <c r="B720" s="478">
        <f t="shared" si="5"/>
        <v>45050</v>
      </c>
      <c r="C720" s="475"/>
      <c r="D720" s="475"/>
      <c r="E720" s="475"/>
      <c r="F720" s="475"/>
      <c r="G720" s="475"/>
      <c r="H720" s="475"/>
    </row>
    <row r="721" spans="1:8" ht="15" x14ac:dyDescent="0.4">
      <c r="A721" s="478">
        <f t="shared" si="4"/>
        <v>45045</v>
      </c>
      <c r="B721" s="478">
        <f t="shared" si="5"/>
        <v>45050</v>
      </c>
      <c r="C721" s="475"/>
      <c r="D721" s="475"/>
      <c r="E721" s="475"/>
      <c r="F721" s="475"/>
      <c r="G721" s="475"/>
      <c r="H721" s="475"/>
    </row>
    <row r="722" spans="1:8" ht="15" x14ac:dyDescent="0.4">
      <c r="A722" s="478">
        <f t="shared" si="4"/>
        <v>45046</v>
      </c>
      <c r="B722" s="478">
        <f t="shared" si="5"/>
        <v>45050</v>
      </c>
      <c r="C722" s="475"/>
      <c r="D722" s="475"/>
      <c r="E722" s="475"/>
      <c r="F722" s="475"/>
      <c r="G722" s="475"/>
      <c r="H722" s="475"/>
    </row>
    <row r="723" spans="1:8" ht="15" x14ac:dyDescent="0.4">
      <c r="A723" s="478">
        <f t="shared" si="4"/>
        <v>45047</v>
      </c>
      <c r="B723" s="478">
        <f t="shared" si="5"/>
        <v>45050</v>
      </c>
      <c r="C723" s="475"/>
      <c r="D723" s="475"/>
      <c r="E723" s="475"/>
      <c r="F723" s="475"/>
      <c r="G723" s="475"/>
      <c r="H723" s="475"/>
    </row>
    <row r="724" spans="1:8" ht="15" x14ac:dyDescent="0.4">
      <c r="A724" s="478">
        <f t="shared" si="4"/>
        <v>45048</v>
      </c>
      <c r="B724" s="478">
        <f t="shared" si="5"/>
        <v>45050</v>
      </c>
      <c r="C724" s="475"/>
      <c r="D724" s="475"/>
      <c r="E724" s="475"/>
      <c r="F724" s="475"/>
      <c r="G724" s="475"/>
      <c r="H724" s="475"/>
    </row>
    <row r="725" spans="1:8" ht="15" x14ac:dyDescent="0.4">
      <c r="A725" s="478">
        <f t="shared" si="4"/>
        <v>45049</v>
      </c>
      <c r="B725" s="478">
        <f t="shared" si="5"/>
        <v>45050</v>
      </c>
      <c r="C725" s="475"/>
      <c r="D725" s="475"/>
      <c r="E725" s="475"/>
      <c r="F725" s="475"/>
      <c r="G725" s="475"/>
      <c r="H725" s="475"/>
    </row>
    <row r="726" spans="1:8" ht="15" x14ac:dyDescent="0.4">
      <c r="A726" s="478">
        <f t="shared" si="4"/>
        <v>45050</v>
      </c>
      <c r="B726" s="478">
        <f t="shared" si="5"/>
        <v>45050</v>
      </c>
      <c r="C726" s="475"/>
      <c r="D726" s="475"/>
      <c r="E726" s="475"/>
      <c r="F726" s="475"/>
      <c r="G726" s="475"/>
      <c r="H726" s="475"/>
    </row>
    <row r="727" spans="1:8" ht="15" x14ac:dyDescent="0.4">
      <c r="A727" s="478">
        <f t="shared" si="4"/>
        <v>45051</v>
      </c>
      <c r="B727" s="478">
        <f t="shared" si="5"/>
        <v>45057</v>
      </c>
      <c r="C727" s="475"/>
      <c r="D727" s="475"/>
      <c r="E727" s="475"/>
      <c r="F727" s="475"/>
      <c r="G727" s="475"/>
      <c r="H727" s="475"/>
    </row>
    <row r="728" spans="1:8" ht="15" x14ac:dyDescent="0.4">
      <c r="A728" s="478">
        <f t="shared" si="4"/>
        <v>45052</v>
      </c>
      <c r="B728" s="478">
        <f t="shared" si="5"/>
        <v>45057</v>
      </c>
      <c r="C728" s="475"/>
      <c r="D728" s="475"/>
      <c r="E728" s="475"/>
      <c r="F728" s="475"/>
      <c r="G728" s="475"/>
      <c r="H728" s="475"/>
    </row>
    <row r="729" spans="1:8" ht="15" x14ac:dyDescent="0.4">
      <c r="A729" s="478">
        <f t="shared" si="4"/>
        <v>45053</v>
      </c>
      <c r="B729" s="478">
        <f t="shared" si="5"/>
        <v>45057</v>
      </c>
      <c r="C729" s="475"/>
      <c r="D729" s="475"/>
      <c r="E729" s="475"/>
      <c r="F729" s="475"/>
      <c r="G729" s="475"/>
      <c r="H729" s="475"/>
    </row>
    <row r="730" spans="1:8" ht="15" x14ac:dyDescent="0.4">
      <c r="A730" s="478">
        <f t="shared" si="4"/>
        <v>45054</v>
      </c>
      <c r="B730" s="478">
        <f t="shared" si="5"/>
        <v>45057</v>
      </c>
      <c r="C730" s="475"/>
      <c r="D730" s="475"/>
      <c r="E730" s="475"/>
      <c r="F730" s="475"/>
      <c r="G730" s="475"/>
      <c r="H730" s="475"/>
    </row>
    <row r="731" spans="1:8" ht="15" x14ac:dyDescent="0.4">
      <c r="A731" s="478">
        <f t="shared" si="4"/>
        <v>45055</v>
      </c>
      <c r="B731" s="478">
        <f t="shared" si="5"/>
        <v>45057</v>
      </c>
      <c r="C731" s="475"/>
      <c r="D731" s="475"/>
      <c r="E731" s="475"/>
      <c r="F731" s="475"/>
      <c r="G731" s="475"/>
      <c r="H731" s="475"/>
    </row>
    <row r="732" spans="1:8" ht="15" x14ac:dyDescent="0.4">
      <c r="A732" s="478">
        <f t="shared" si="4"/>
        <v>45056</v>
      </c>
      <c r="B732" s="478">
        <f t="shared" si="5"/>
        <v>45057</v>
      </c>
      <c r="C732" s="475"/>
      <c r="D732" s="475"/>
      <c r="E732" s="475"/>
      <c r="F732" s="475"/>
      <c r="G732" s="475"/>
      <c r="H732" s="475"/>
    </row>
    <row r="733" spans="1:8" ht="15" x14ac:dyDescent="0.4">
      <c r="A733" s="478">
        <f t="shared" si="4"/>
        <v>45057</v>
      </c>
      <c r="B733" s="478">
        <f t="shared" si="5"/>
        <v>45057</v>
      </c>
      <c r="C733" s="475"/>
      <c r="D733" s="475"/>
      <c r="E733" s="475"/>
      <c r="F733" s="475"/>
      <c r="G733" s="475"/>
      <c r="H733" s="475"/>
    </row>
    <row r="734" spans="1:8" ht="15" x14ac:dyDescent="0.4">
      <c r="A734" s="478">
        <f t="shared" si="4"/>
        <v>45058</v>
      </c>
      <c r="B734" s="478">
        <f t="shared" si="5"/>
        <v>45064</v>
      </c>
      <c r="C734" s="475"/>
      <c r="D734" s="475"/>
      <c r="E734" s="475"/>
      <c r="F734" s="475"/>
      <c r="G734" s="475"/>
      <c r="H734" s="475"/>
    </row>
    <row r="735" spans="1:8" ht="15" x14ac:dyDescent="0.4">
      <c r="A735" s="478">
        <f t="shared" si="4"/>
        <v>45059</v>
      </c>
      <c r="B735" s="478">
        <f t="shared" si="5"/>
        <v>45064</v>
      </c>
      <c r="C735" s="475"/>
      <c r="D735" s="475"/>
      <c r="E735" s="475"/>
      <c r="F735" s="475"/>
      <c r="G735" s="475"/>
      <c r="H735" s="475"/>
    </row>
    <row r="736" spans="1:8" ht="15" x14ac:dyDescent="0.4">
      <c r="A736" s="478">
        <f t="shared" si="4"/>
        <v>45060</v>
      </c>
      <c r="B736" s="478">
        <f t="shared" si="5"/>
        <v>45064</v>
      </c>
      <c r="C736" s="475"/>
      <c r="D736" s="475"/>
      <c r="E736" s="475"/>
      <c r="F736" s="475"/>
      <c r="G736" s="475"/>
      <c r="H736" s="475"/>
    </row>
    <row r="737" spans="1:8" ht="15" x14ac:dyDescent="0.4">
      <c r="A737" s="478">
        <f t="shared" si="4"/>
        <v>45061</v>
      </c>
      <c r="B737" s="478">
        <f t="shared" si="5"/>
        <v>45064</v>
      </c>
      <c r="C737" s="475"/>
      <c r="D737" s="475"/>
      <c r="E737" s="475"/>
      <c r="F737" s="475"/>
      <c r="G737" s="475"/>
      <c r="H737" s="475"/>
    </row>
    <row r="738" spans="1:8" ht="15" x14ac:dyDescent="0.4">
      <c r="A738" s="478">
        <f t="shared" si="4"/>
        <v>45062</v>
      </c>
      <c r="B738" s="478">
        <f t="shared" si="5"/>
        <v>45064</v>
      </c>
      <c r="C738" s="475"/>
      <c r="D738" s="475"/>
      <c r="E738" s="475"/>
      <c r="F738" s="475"/>
      <c r="G738" s="475"/>
      <c r="H738" s="475"/>
    </row>
    <row r="739" spans="1:8" ht="15" x14ac:dyDescent="0.4">
      <c r="A739" s="478">
        <f t="shared" si="4"/>
        <v>45063</v>
      </c>
      <c r="B739" s="478">
        <f t="shared" si="5"/>
        <v>45064</v>
      </c>
      <c r="C739" s="475"/>
      <c r="D739" s="475"/>
      <c r="E739" s="475"/>
      <c r="F739" s="475"/>
      <c r="G739" s="475"/>
      <c r="H739" s="475"/>
    </row>
    <row r="740" spans="1:8" ht="15" x14ac:dyDescent="0.4">
      <c r="A740" s="478">
        <f t="shared" si="4"/>
        <v>45064</v>
      </c>
      <c r="B740" s="478">
        <f t="shared" si="5"/>
        <v>45064</v>
      </c>
      <c r="C740" s="475"/>
      <c r="D740" s="475"/>
      <c r="E740" s="475"/>
      <c r="F740" s="475"/>
      <c r="G740" s="475"/>
      <c r="H740" s="475"/>
    </row>
    <row r="741" spans="1:8" ht="15" x14ac:dyDescent="0.4">
      <c r="A741" s="478">
        <f t="shared" si="4"/>
        <v>45065</v>
      </c>
      <c r="B741" s="478">
        <f t="shared" si="5"/>
        <v>45071</v>
      </c>
      <c r="C741" s="475"/>
      <c r="D741" s="475"/>
      <c r="E741" s="475"/>
      <c r="F741" s="475"/>
      <c r="G741" s="475"/>
      <c r="H741" s="475"/>
    </row>
    <row r="742" spans="1:8" ht="15" x14ac:dyDescent="0.4">
      <c r="A742" s="478">
        <f t="shared" si="4"/>
        <v>45066</v>
      </c>
      <c r="B742" s="478">
        <f t="shared" si="5"/>
        <v>45071</v>
      </c>
      <c r="C742" s="475"/>
      <c r="D742" s="475"/>
      <c r="E742" s="475"/>
      <c r="F742" s="475"/>
      <c r="G742" s="475"/>
      <c r="H742" s="475"/>
    </row>
    <row r="743" spans="1:8" ht="15" x14ac:dyDescent="0.4">
      <c r="A743" s="478">
        <f t="shared" si="4"/>
        <v>45067</v>
      </c>
      <c r="B743" s="478">
        <f t="shared" si="5"/>
        <v>45071</v>
      </c>
      <c r="C743" s="475"/>
      <c r="D743" s="475"/>
      <c r="E743" s="475"/>
      <c r="F743" s="475"/>
      <c r="G743" s="475"/>
      <c r="H743" s="475"/>
    </row>
    <row r="744" spans="1:8" ht="15" x14ac:dyDescent="0.4">
      <c r="A744" s="478">
        <f t="shared" si="4"/>
        <v>45068</v>
      </c>
      <c r="B744" s="478">
        <f t="shared" si="5"/>
        <v>45071</v>
      </c>
      <c r="C744" s="475"/>
      <c r="D744" s="475"/>
      <c r="E744" s="475"/>
      <c r="F744" s="475"/>
      <c r="G744" s="475"/>
      <c r="H744" s="475"/>
    </row>
    <row r="745" spans="1:8" ht="15" x14ac:dyDescent="0.4">
      <c r="A745" s="478">
        <f t="shared" si="4"/>
        <v>45069</v>
      </c>
      <c r="B745" s="478">
        <f t="shared" si="5"/>
        <v>45071</v>
      </c>
      <c r="C745" s="475"/>
      <c r="D745" s="475"/>
      <c r="E745" s="475"/>
      <c r="F745" s="475"/>
      <c r="G745" s="475"/>
      <c r="H745" s="475"/>
    </row>
    <row r="746" spans="1:8" ht="15" x14ac:dyDescent="0.4">
      <c r="A746" s="478">
        <f t="shared" si="4"/>
        <v>45070</v>
      </c>
      <c r="B746" s="478">
        <f t="shared" si="5"/>
        <v>45071</v>
      </c>
      <c r="C746" s="475"/>
      <c r="D746" s="475"/>
      <c r="E746" s="475"/>
      <c r="F746" s="475"/>
      <c r="G746" s="475"/>
      <c r="H746" s="475"/>
    </row>
    <row r="747" spans="1:8" ht="15" x14ac:dyDescent="0.4">
      <c r="A747" s="478">
        <f t="shared" si="4"/>
        <v>45071</v>
      </c>
      <c r="B747" s="478">
        <f t="shared" si="5"/>
        <v>45071</v>
      </c>
      <c r="C747" s="475"/>
      <c r="D747" s="475"/>
      <c r="E747" s="475"/>
      <c r="F747" s="475"/>
      <c r="G747" s="475"/>
      <c r="H747" s="475"/>
    </row>
    <row r="748" spans="1:8" ht="15" x14ac:dyDescent="0.4">
      <c r="A748" s="478">
        <f t="shared" si="4"/>
        <v>45072</v>
      </c>
      <c r="B748" s="478">
        <f t="shared" si="5"/>
        <v>45078</v>
      </c>
      <c r="C748" s="475"/>
      <c r="D748" s="475"/>
      <c r="E748" s="475"/>
      <c r="F748" s="475"/>
      <c r="G748" s="475"/>
      <c r="H748" s="475"/>
    </row>
    <row r="749" spans="1:8" ht="15" x14ac:dyDescent="0.4">
      <c r="A749" s="478">
        <f t="shared" si="4"/>
        <v>45073</v>
      </c>
      <c r="B749" s="478">
        <f t="shared" si="5"/>
        <v>45078</v>
      </c>
      <c r="C749" s="475"/>
      <c r="D749" s="475"/>
      <c r="E749" s="475"/>
      <c r="F749" s="475"/>
      <c r="G749" s="475"/>
      <c r="H749" s="475"/>
    </row>
    <row r="750" spans="1:8" ht="15" x14ac:dyDescent="0.4">
      <c r="A750" s="478">
        <f t="shared" si="4"/>
        <v>45074</v>
      </c>
      <c r="B750" s="478">
        <f t="shared" si="5"/>
        <v>45078</v>
      </c>
      <c r="C750" s="475"/>
      <c r="D750" s="475"/>
      <c r="E750" s="475"/>
      <c r="F750" s="475"/>
      <c r="G750" s="475"/>
      <c r="H750" s="475"/>
    </row>
    <row r="751" spans="1:8" ht="15" x14ac:dyDescent="0.4">
      <c r="A751" s="478">
        <f t="shared" si="4"/>
        <v>45075</v>
      </c>
      <c r="B751" s="478">
        <f t="shared" si="5"/>
        <v>45078</v>
      </c>
      <c r="C751" s="475"/>
      <c r="D751" s="475"/>
      <c r="E751" s="475"/>
      <c r="F751" s="475"/>
      <c r="G751" s="475"/>
      <c r="H751" s="475"/>
    </row>
    <row r="752" spans="1:8" ht="15" x14ac:dyDescent="0.4">
      <c r="A752" s="478">
        <f t="shared" si="4"/>
        <v>45076</v>
      </c>
      <c r="B752" s="478">
        <f t="shared" si="5"/>
        <v>45078</v>
      </c>
      <c r="C752" s="475"/>
      <c r="D752" s="475"/>
      <c r="E752" s="475"/>
      <c r="F752" s="475"/>
      <c r="G752" s="475"/>
      <c r="H752" s="475"/>
    </row>
    <row r="753" spans="1:8" ht="15" x14ac:dyDescent="0.4">
      <c r="A753" s="478">
        <f t="shared" si="4"/>
        <v>45077</v>
      </c>
      <c r="B753" s="478">
        <f t="shared" si="5"/>
        <v>45078</v>
      </c>
      <c r="C753" s="475"/>
      <c r="D753" s="475"/>
      <c r="E753" s="475"/>
      <c r="F753" s="475"/>
      <c r="G753" s="475"/>
      <c r="H753" s="475"/>
    </row>
    <row r="754" spans="1:8" ht="15" x14ac:dyDescent="0.4">
      <c r="A754" s="478">
        <f t="shared" si="4"/>
        <v>45078</v>
      </c>
      <c r="B754" s="478">
        <f t="shared" si="5"/>
        <v>45078</v>
      </c>
      <c r="C754" s="475"/>
      <c r="D754" s="475"/>
      <c r="E754" s="475"/>
      <c r="F754" s="475"/>
      <c r="G754" s="475"/>
      <c r="H754" s="475"/>
    </row>
    <row r="755" spans="1:8" ht="15" x14ac:dyDescent="0.4">
      <c r="A755" s="478">
        <f t="shared" si="4"/>
        <v>45079</v>
      </c>
      <c r="B755" s="478">
        <f t="shared" si="5"/>
        <v>45085</v>
      </c>
      <c r="C755" s="475"/>
      <c r="D755" s="475"/>
      <c r="E755" s="475"/>
      <c r="F755" s="475"/>
      <c r="G755" s="475"/>
      <c r="H755" s="475"/>
    </row>
    <row r="756" spans="1:8" ht="15" x14ac:dyDescent="0.4">
      <c r="A756" s="478">
        <f t="shared" si="4"/>
        <v>45080</v>
      </c>
      <c r="B756" s="478">
        <f t="shared" si="5"/>
        <v>45085</v>
      </c>
      <c r="C756" s="475"/>
      <c r="D756" s="475"/>
      <c r="E756" s="475"/>
      <c r="F756" s="475"/>
      <c r="G756" s="475"/>
      <c r="H756" s="475"/>
    </row>
    <row r="757" spans="1:8" ht="15" x14ac:dyDescent="0.4">
      <c r="A757" s="478">
        <f t="shared" si="4"/>
        <v>45081</v>
      </c>
      <c r="B757" s="478">
        <f t="shared" si="5"/>
        <v>45085</v>
      </c>
      <c r="C757" s="475"/>
      <c r="D757" s="475"/>
      <c r="E757" s="475"/>
      <c r="F757" s="475"/>
      <c r="G757" s="475"/>
      <c r="H757" s="475"/>
    </row>
    <row r="758" spans="1:8" ht="15" x14ac:dyDescent="0.4">
      <c r="A758" s="478">
        <f t="shared" si="4"/>
        <v>45082</v>
      </c>
      <c r="B758" s="478">
        <f t="shared" si="5"/>
        <v>45085</v>
      </c>
      <c r="C758" s="475"/>
      <c r="D758" s="475"/>
      <c r="E758" s="475"/>
      <c r="F758" s="475"/>
      <c r="G758" s="475"/>
      <c r="H758" s="475"/>
    </row>
    <row r="759" spans="1:8" ht="15" x14ac:dyDescent="0.4">
      <c r="A759" s="478">
        <f t="shared" si="4"/>
        <v>45083</v>
      </c>
      <c r="B759" s="478">
        <f t="shared" si="5"/>
        <v>45085</v>
      </c>
      <c r="C759" s="475"/>
      <c r="D759" s="475"/>
      <c r="E759" s="475"/>
      <c r="F759" s="475"/>
      <c r="G759" s="475"/>
      <c r="H759" s="475"/>
    </row>
    <row r="760" spans="1:8" ht="15" x14ac:dyDescent="0.4">
      <c r="A760" s="478">
        <f t="shared" si="4"/>
        <v>45084</v>
      </c>
      <c r="B760" s="478">
        <f t="shared" si="5"/>
        <v>45085</v>
      </c>
      <c r="C760" s="475"/>
      <c r="D760" s="475"/>
      <c r="E760" s="475"/>
      <c r="F760" s="475"/>
      <c r="G760" s="475"/>
      <c r="H760" s="475"/>
    </row>
    <row r="761" spans="1:8" ht="15" x14ac:dyDescent="0.4">
      <c r="A761" s="478">
        <f t="shared" si="4"/>
        <v>45085</v>
      </c>
      <c r="B761" s="478">
        <f t="shared" si="5"/>
        <v>45085</v>
      </c>
      <c r="C761" s="475"/>
      <c r="D761" s="475"/>
      <c r="E761" s="475"/>
      <c r="F761" s="475"/>
      <c r="G761" s="475"/>
      <c r="H761" s="475"/>
    </row>
    <row r="762" spans="1:8" ht="15" x14ac:dyDescent="0.4">
      <c r="A762" s="478">
        <f t="shared" si="4"/>
        <v>45086</v>
      </c>
      <c r="B762" s="478">
        <f t="shared" si="5"/>
        <v>45092</v>
      </c>
      <c r="C762" s="475"/>
      <c r="D762" s="475"/>
      <c r="E762" s="475"/>
      <c r="F762" s="475"/>
      <c r="G762" s="475"/>
      <c r="H762" s="475"/>
    </row>
    <row r="763" spans="1:8" ht="15" x14ac:dyDescent="0.4">
      <c r="A763" s="478">
        <f t="shared" si="4"/>
        <v>45087</v>
      </c>
      <c r="B763" s="478">
        <f t="shared" si="5"/>
        <v>45092</v>
      </c>
      <c r="C763" s="475"/>
      <c r="D763" s="475"/>
      <c r="E763" s="475"/>
      <c r="F763" s="475"/>
      <c r="G763" s="475"/>
      <c r="H763" s="475"/>
    </row>
    <row r="764" spans="1:8" ht="15" x14ac:dyDescent="0.4">
      <c r="A764" s="478">
        <f t="shared" si="4"/>
        <v>45088</v>
      </c>
      <c r="B764" s="478">
        <f t="shared" si="5"/>
        <v>45092</v>
      </c>
      <c r="C764" s="475"/>
      <c r="D764" s="475"/>
      <c r="E764" s="475"/>
      <c r="F764" s="475"/>
      <c r="G764" s="475"/>
      <c r="H764" s="475"/>
    </row>
    <row r="765" spans="1:8" ht="15" x14ac:dyDescent="0.4">
      <c r="A765" s="478">
        <f t="shared" si="4"/>
        <v>45089</v>
      </c>
      <c r="B765" s="478">
        <f t="shared" si="5"/>
        <v>45092</v>
      </c>
      <c r="C765" s="475"/>
      <c r="D765" s="475"/>
      <c r="E765" s="475"/>
      <c r="F765" s="475"/>
      <c r="G765" s="475"/>
      <c r="H765" s="475"/>
    </row>
    <row r="766" spans="1:8" ht="15" x14ac:dyDescent="0.4">
      <c r="A766" s="478">
        <f t="shared" si="4"/>
        <v>45090</v>
      </c>
      <c r="B766" s="478">
        <f t="shared" si="5"/>
        <v>45092</v>
      </c>
      <c r="C766" s="475"/>
      <c r="D766" s="475"/>
      <c r="E766" s="475"/>
      <c r="F766" s="475"/>
      <c r="G766" s="475"/>
      <c r="H766" s="475"/>
    </row>
    <row r="767" spans="1:8" ht="15" x14ac:dyDescent="0.4">
      <c r="A767" s="478">
        <f t="shared" si="4"/>
        <v>45091</v>
      </c>
      <c r="B767" s="478">
        <f t="shared" si="5"/>
        <v>45092</v>
      </c>
      <c r="C767" s="475"/>
      <c r="D767" s="475"/>
      <c r="E767" s="475"/>
      <c r="F767" s="475"/>
      <c r="G767" s="475"/>
      <c r="H767" s="475"/>
    </row>
    <row r="768" spans="1:8" ht="15" x14ac:dyDescent="0.4">
      <c r="A768" s="478">
        <f t="shared" ref="A768:A1000" si="6">A767+1</f>
        <v>45092</v>
      </c>
      <c r="B768" s="478">
        <f t="shared" si="5"/>
        <v>45092</v>
      </c>
      <c r="C768" s="475"/>
      <c r="D768" s="475"/>
      <c r="E768" s="475"/>
      <c r="F768" s="475"/>
      <c r="G768" s="475"/>
      <c r="H768" s="475"/>
    </row>
    <row r="769" spans="1:8" ht="15" x14ac:dyDescent="0.4">
      <c r="A769" s="478">
        <f t="shared" si="6"/>
        <v>45093</v>
      </c>
      <c r="B769" s="478">
        <f t="shared" si="5"/>
        <v>45099</v>
      </c>
      <c r="C769" s="475"/>
      <c r="D769" s="475"/>
      <c r="E769" s="475"/>
      <c r="F769" s="475"/>
      <c r="G769" s="475"/>
      <c r="H769" s="475"/>
    </row>
    <row r="770" spans="1:8" ht="15" x14ac:dyDescent="0.4">
      <c r="A770" s="478">
        <f t="shared" si="6"/>
        <v>45094</v>
      </c>
      <c r="B770" s="478">
        <f t="shared" si="5"/>
        <v>45099</v>
      </c>
      <c r="C770" s="475"/>
      <c r="D770" s="475"/>
      <c r="E770" s="475"/>
      <c r="F770" s="475"/>
      <c r="G770" s="475"/>
      <c r="H770" s="475"/>
    </row>
    <row r="771" spans="1:8" ht="15" x14ac:dyDescent="0.4">
      <c r="A771" s="478">
        <f t="shared" si="6"/>
        <v>45095</v>
      </c>
      <c r="B771" s="478">
        <f t="shared" si="5"/>
        <v>45099</v>
      </c>
      <c r="C771" s="475"/>
      <c r="D771" s="475"/>
      <c r="E771" s="475"/>
      <c r="F771" s="475"/>
      <c r="G771" s="475"/>
      <c r="H771" s="475"/>
    </row>
    <row r="772" spans="1:8" ht="15" x14ac:dyDescent="0.4">
      <c r="A772" s="478">
        <f t="shared" si="6"/>
        <v>45096</v>
      </c>
      <c r="B772" s="478">
        <f t="shared" si="5"/>
        <v>45099</v>
      </c>
      <c r="C772" s="475"/>
      <c r="D772" s="475"/>
      <c r="E772" s="475"/>
      <c r="F772" s="475"/>
      <c r="G772" s="475"/>
      <c r="H772" s="475"/>
    </row>
    <row r="773" spans="1:8" ht="15" x14ac:dyDescent="0.4">
      <c r="A773" s="478">
        <f t="shared" si="6"/>
        <v>45097</v>
      </c>
      <c r="B773" s="478">
        <f t="shared" si="5"/>
        <v>45099</v>
      </c>
      <c r="C773" s="475"/>
      <c r="D773" s="475"/>
      <c r="E773" s="475"/>
      <c r="F773" s="475"/>
      <c r="G773" s="475"/>
      <c r="H773" s="475"/>
    </row>
    <row r="774" spans="1:8" ht="15" x14ac:dyDescent="0.4">
      <c r="A774" s="478">
        <f t="shared" si="6"/>
        <v>45098</v>
      </c>
      <c r="B774" s="478">
        <f t="shared" si="5"/>
        <v>45099</v>
      </c>
      <c r="C774" s="475"/>
      <c r="D774" s="475"/>
      <c r="E774" s="475"/>
      <c r="F774" s="475"/>
      <c r="G774" s="475"/>
      <c r="H774" s="475"/>
    </row>
    <row r="775" spans="1:8" ht="15" x14ac:dyDescent="0.4">
      <c r="A775" s="478">
        <f t="shared" si="6"/>
        <v>45099</v>
      </c>
      <c r="B775" s="478">
        <f t="shared" si="5"/>
        <v>45099</v>
      </c>
      <c r="C775" s="475"/>
      <c r="D775" s="475"/>
      <c r="E775" s="475"/>
      <c r="F775" s="475"/>
      <c r="G775" s="475"/>
      <c r="H775" s="475"/>
    </row>
    <row r="776" spans="1:8" ht="15" x14ac:dyDescent="0.4">
      <c r="A776" s="478">
        <f t="shared" si="6"/>
        <v>45100</v>
      </c>
      <c r="B776" s="478">
        <f t="shared" si="5"/>
        <v>45106</v>
      </c>
      <c r="C776" s="475"/>
      <c r="D776" s="475"/>
      <c r="E776" s="475"/>
      <c r="F776" s="475"/>
      <c r="G776" s="475"/>
      <c r="H776" s="475"/>
    </row>
    <row r="777" spans="1:8" ht="15" x14ac:dyDescent="0.4">
      <c r="A777" s="478">
        <f t="shared" si="6"/>
        <v>45101</v>
      </c>
      <c r="B777" s="478">
        <f t="shared" si="5"/>
        <v>45106</v>
      </c>
      <c r="C777" s="475"/>
      <c r="D777" s="475"/>
      <c r="E777" s="475"/>
      <c r="F777" s="475"/>
      <c r="G777" s="475"/>
      <c r="H777" s="475"/>
    </row>
    <row r="778" spans="1:8" ht="15" x14ac:dyDescent="0.4">
      <c r="A778" s="478">
        <f t="shared" si="6"/>
        <v>45102</v>
      </c>
      <c r="B778" s="478">
        <f t="shared" ref="B778:B1000" si="7">IF(B777=B771,B777+7,B777)</f>
        <v>45106</v>
      </c>
      <c r="C778" s="475"/>
      <c r="D778" s="475"/>
      <c r="E778" s="475"/>
      <c r="F778" s="475"/>
      <c r="G778" s="475"/>
      <c r="H778" s="475"/>
    </row>
    <row r="779" spans="1:8" ht="15" x14ac:dyDescent="0.4">
      <c r="A779" s="478">
        <f t="shared" si="6"/>
        <v>45103</v>
      </c>
      <c r="B779" s="478">
        <f t="shared" si="7"/>
        <v>45106</v>
      </c>
      <c r="C779" s="475"/>
      <c r="D779" s="475"/>
      <c r="E779" s="475"/>
      <c r="F779" s="475"/>
      <c r="G779" s="475"/>
      <c r="H779" s="475"/>
    </row>
    <row r="780" spans="1:8" ht="15" x14ac:dyDescent="0.4">
      <c r="A780" s="478">
        <f t="shared" si="6"/>
        <v>45104</v>
      </c>
      <c r="B780" s="478">
        <f t="shared" si="7"/>
        <v>45106</v>
      </c>
      <c r="C780" s="475"/>
      <c r="D780" s="475"/>
      <c r="E780" s="475"/>
      <c r="F780" s="475"/>
      <c r="G780" s="475"/>
      <c r="H780" s="475"/>
    </row>
    <row r="781" spans="1:8" ht="15" x14ac:dyDescent="0.4">
      <c r="A781" s="478">
        <f t="shared" si="6"/>
        <v>45105</v>
      </c>
      <c r="B781" s="478">
        <f t="shared" si="7"/>
        <v>45106</v>
      </c>
      <c r="C781" s="475"/>
      <c r="D781" s="475"/>
      <c r="E781" s="475"/>
      <c r="F781" s="475"/>
      <c r="G781" s="475"/>
      <c r="H781" s="475"/>
    </row>
    <row r="782" spans="1:8" ht="15" x14ac:dyDescent="0.4">
      <c r="A782" s="478">
        <f t="shared" si="6"/>
        <v>45106</v>
      </c>
      <c r="B782" s="478">
        <f t="shared" si="7"/>
        <v>45106</v>
      </c>
      <c r="C782" s="475"/>
      <c r="D782" s="475"/>
      <c r="E782" s="475"/>
      <c r="F782" s="475"/>
      <c r="G782" s="475"/>
      <c r="H782" s="475"/>
    </row>
    <row r="783" spans="1:8" ht="15" x14ac:dyDescent="0.4">
      <c r="A783" s="478">
        <f t="shared" si="6"/>
        <v>45107</v>
      </c>
      <c r="B783" s="478">
        <f t="shared" si="7"/>
        <v>45113</v>
      </c>
      <c r="C783" s="475"/>
      <c r="D783" s="475"/>
      <c r="E783" s="475"/>
      <c r="F783" s="475"/>
      <c r="G783" s="475"/>
      <c r="H783" s="475"/>
    </row>
    <row r="784" spans="1:8" ht="15" x14ac:dyDescent="0.4">
      <c r="A784" s="478">
        <f t="shared" si="6"/>
        <v>45108</v>
      </c>
      <c r="B784" s="478">
        <f t="shared" si="7"/>
        <v>45113</v>
      </c>
      <c r="C784" s="475"/>
      <c r="D784" s="475"/>
      <c r="E784" s="475"/>
      <c r="F784" s="475"/>
      <c r="G784" s="475"/>
      <c r="H784" s="475"/>
    </row>
    <row r="785" spans="1:8" ht="15" x14ac:dyDescent="0.4">
      <c r="A785" s="478">
        <f t="shared" si="6"/>
        <v>45109</v>
      </c>
      <c r="B785" s="478">
        <f t="shared" si="7"/>
        <v>45113</v>
      </c>
      <c r="C785" s="475"/>
      <c r="D785" s="475"/>
      <c r="E785" s="475"/>
      <c r="F785" s="475"/>
      <c r="G785" s="475"/>
      <c r="H785" s="475"/>
    </row>
    <row r="786" spans="1:8" ht="15" x14ac:dyDescent="0.4">
      <c r="A786" s="478">
        <f t="shared" si="6"/>
        <v>45110</v>
      </c>
      <c r="B786" s="478">
        <f t="shared" si="7"/>
        <v>45113</v>
      </c>
      <c r="C786" s="475"/>
      <c r="D786" s="475"/>
      <c r="E786" s="475"/>
      <c r="F786" s="475"/>
      <c r="G786" s="475"/>
      <c r="H786" s="475"/>
    </row>
    <row r="787" spans="1:8" ht="15" x14ac:dyDescent="0.4">
      <c r="A787" s="478">
        <f t="shared" si="6"/>
        <v>45111</v>
      </c>
      <c r="B787" s="478">
        <f t="shared" si="7"/>
        <v>45113</v>
      </c>
      <c r="C787" s="475"/>
      <c r="D787" s="475"/>
      <c r="E787" s="475"/>
      <c r="F787" s="475"/>
      <c r="G787" s="475"/>
      <c r="H787" s="475"/>
    </row>
    <row r="788" spans="1:8" ht="15" x14ac:dyDescent="0.4">
      <c r="A788" s="478">
        <f t="shared" si="6"/>
        <v>45112</v>
      </c>
      <c r="B788" s="478">
        <f t="shared" si="7"/>
        <v>45113</v>
      </c>
      <c r="C788" s="475"/>
      <c r="D788" s="475"/>
      <c r="E788" s="475"/>
      <c r="F788" s="475"/>
      <c r="G788" s="475"/>
      <c r="H788" s="475"/>
    </row>
    <row r="789" spans="1:8" ht="15" x14ac:dyDescent="0.4">
      <c r="A789" s="478">
        <f t="shared" si="6"/>
        <v>45113</v>
      </c>
      <c r="B789" s="478">
        <f t="shared" si="7"/>
        <v>45113</v>
      </c>
      <c r="C789" s="475"/>
      <c r="D789" s="475"/>
      <c r="E789" s="475"/>
      <c r="F789" s="475"/>
      <c r="G789" s="475"/>
      <c r="H789" s="475"/>
    </row>
    <row r="790" spans="1:8" ht="15" x14ac:dyDescent="0.4">
      <c r="A790" s="478">
        <f t="shared" si="6"/>
        <v>45114</v>
      </c>
      <c r="B790" s="478">
        <f t="shared" si="7"/>
        <v>45120</v>
      </c>
      <c r="C790" s="475"/>
      <c r="D790" s="475"/>
      <c r="E790" s="475"/>
      <c r="F790" s="475"/>
      <c r="G790" s="475"/>
      <c r="H790" s="475"/>
    </row>
    <row r="791" spans="1:8" ht="15" x14ac:dyDescent="0.4">
      <c r="A791" s="478">
        <f t="shared" si="6"/>
        <v>45115</v>
      </c>
      <c r="B791" s="478">
        <f t="shared" si="7"/>
        <v>45120</v>
      </c>
      <c r="C791" s="475"/>
      <c r="D791" s="475"/>
      <c r="E791" s="475"/>
      <c r="F791" s="475"/>
      <c r="G791" s="475"/>
      <c r="H791" s="475"/>
    </row>
    <row r="792" spans="1:8" ht="15" x14ac:dyDescent="0.4">
      <c r="A792" s="478">
        <f t="shared" si="6"/>
        <v>45116</v>
      </c>
      <c r="B792" s="478">
        <f t="shared" si="7"/>
        <v>45120</v>
      </c>
      <c r="C792" s="475"/>
      <c r="D792" s="475"/>
      <c r="E792" s="475"/>
      <c r="F792" s="475"/>
      <c r="G792" s="475"/>
      <c r="H792" s="475"/>
    </row>
    <row r="793" spans="1:8" ht="15" x14ac:dyDescent="0.4">
      <c r="A793" s="478">
        <f t="shared" si="6"/>
        <v>45117</v>
      </c>
      <c r="B793" s="478">
        <f t="shared" si="7"/>
        <v>45120</v>
      </c>
      <c r="C793" s="475"/>
      <c r="D793" s="475"/>
      <c r="E793" s="475"/>
      <c r="F793" s="475"/>
      <c r="G793" s="475"/>
      <c r="H793" s="475"/>
    </row>
    <row r="794" spans="1:8" ht="15" x14ac:dyDescent="0.4">
      <c r="A794" s="478">
        <f t="shared" si="6"/>
        <v>45118</v>
      </c>
      <c r="B794" s="478">
        <f t="shared" si="7"/>
        <v>45120</v>
      </c>
      <c r="C794" s="475"/>
      <c r="D794" s="475"/>
      <c r="E794" s="475"/>
      <c r="F794" s="475"/>
      <c r="G794" s="475"/>
      <c r="H794" s="475"/>
    </row>
    <row r="795" spans="1:8" ht="15" x14ac:dyDescent="0.4">
      <c r="A795" s="478">
        <f t="shared" si="6"/>
        <v>45119</v>
      </c>
      <c r="B795" s="478">
        <f t="shared" si="7"/>
        <v>45120</v>
      </c>
      <c r="C795" s="475"/>
      <c r="D795" s="475"/>
      <c r="E795" s="475"/>
      <c r="F795" s="475"/>
      <c r="G795" s="475"/>
      <c r="H795" s="475"/>
    </row>
    <row r="796" spans="1:8" ht="15" x14ac:dyDescent="0.4">
      <c r="A796" s="478">
        <f t="shared" si="6"/>
        <v>45120</v>
      </c>
      <c r="B796" s="478">
        <f t="shared" si="7"/>
        <v>45120</v>
      </c>
      <c r="C796" s="475"/>
      <c r="D796" s="475"/>
      <c r="E796" s="475"/>
      <c r="F796" s="475"/>
      <c r="G796" s="475"/>
      <c r="H796" s="475"/>
    </row>
    <row r="797" spans="1:8" ht="15" x14ac:dyDescent="0.4">
      <c r="A797" s="478">
        <f t="shared" si="6"/>
        <v>45121</v>
      </c>
      <c r="B797" s="478">
        <f t="shared" si="7"/>
        <v>45127</v>
      </c>
      <c r="C797" s="475"/>
      <c r="D797" s="475"/>
      <c r="E797" s="475"/>
      <c r="F797" s="475"/>
      <c r="G797" s="475"/>
      <c r="H797" s="475"/>
    </row>
    <row r="798" spans="1:8" ht="15" x14ac:dyDescent="0.4">
      <c r="A798" s="478">
        <f t="shared" si="6"/>
        <v>45122</v>
      </c>
      <c r="B798" s="478">
        <f t="shared" si="7"/>
        <v>45127</v>
      </c>
      <c r="C798" s="475"/>
      <c r="D798" s="475"/>
      <c r="E798" s="475"/>
      <c r="F798" s="475"/>
      <c r="G798" s="475"/>
      <c r="H798" s="475"/>
    </row>
    <row r="799" spans="1:8" ht="15" x14ac:dyDescent="0.4">
      <c r="A799" s="478">
        <f t="shared" si="6"/>
        <v>45123</v>
      </c>
      <c r="B799" s="478">
        <f t="shared" si="7"/>
        <v>45127</v>
      </c>
      <c r="C799" s="475"/>
      <c r="D799" s="475"/>
      <c r="E799" s="475"/>
      <c r="F799" s="475"/>
      <c r="G799" s="475"/>
      <c r="H799" s="475"/>
    </row>
    <row r="800" spans="1:8" ht="15" x14ac:dyDescent="0.4">
      <c r="A800" s="478">
        <f t="shared" si="6"/>
        <v>45124</v>
      </c>
      <c r="B800" s="478">
        <f t="shared" si="7"/>
        <v>45127</v>
      </c>
      <c r="C800" s="475"/>
      <c r="D800" s="475"/>
      <c r="E800" s="475"/>
      <c r="F800" s="475"/>
      <c r="G800" s="475"/>
      <c r="H800" s="475"/>
    </row>
    <row r="801" spans="1:8" ht="15" x14ac:dyDescent="0.4">
      <c r="A801" s="478">
        <f t="shared" si="6"/>
        <v>45125</v>
      </c>
      <c r="B801" s="478">
        <f t="shared" si="7"/>
        <v>45127</v>
      </c>
      <c r="C801" s="475"/>
      <c r="D801" s="475"/>
      <c r="E801" s="475"/>
      <c r="F801" s="475"/>
      <c r="G801" s="475"/>
      <c r="H801" s="475"/>
    </row>
    <row r="802" spans="1:8" ht="15" x14ac:dyDescent="0.4">
      <c r="A802" s="478">
        <f t="shared" si="6"/>
        <v>45126</v>
      </c>
      <c r="B802" s="478">
        <f t="shared" si="7"/>
        <v>45127</v>
      </c>
      <c r="C802" s="475"/>
      <c r="D802" s="475"/>
      <c r="E802" s="475"/>
      <c r="F802" s="475"/>
      <c r="G802" s="475"/>
      <c r="H802" s="475"/>
    </row>
    <row r="803" spans="1:8" ht="15" x14ac:dyDescent="0.4">
      <c r="A803" s="478">
        <f t="shared" si="6"/>
        <v>45127</v>
      </c>
      <c r="B803" s="478">
        <f t="shared" si="7"/>
        <v>45127</v>
      </c>
      <c r="C803" s="475"/>
      <c r="D803" s="475"/>
      <c r="E803" s="475"/>
      <c r="F803" s="475"/>
      <c r="G803" s="475"/>
      <c r="H803" s="475"/>
    </row>
    <row r="804" spans="1:8" ht="15" x14ac:dyDescent="0.4">
      <c r="A804" s="478">
        <f t="shared" si="6"/>
        <v>45128</v>
      </c>
      <c r="B804" s="478">
        <f t="shared" si="7"/>
        <v>45134</v>
      </c>
      <c r="C804" s="475"/>
      <c r="D804" s="475"/>
      <c r="E804" s="475"/>
      <c r="F804" s="475"/>
      <c r="G804" s="475"/>
      <c r="H804" s="475"/>
    </row>
    <row r="805" spans="1:8" ht="15" x14ac:dyDescent="0.4">
      <c r="A805" s="478">
        <f t="shared" si="6"/>
        <v>45129</v>
      </c>
      <c r="B805" s="478">
        <f t="shared" si="7"/>
        <v>45134</v>
      </c>
      <c r="C805" s="475"/>
      <c r="D805" s="475"/>
      <c r="E805" s="475"/>
      <c r="F805" s="475"/>
      <c r="G805" s="475"/>
      <c r="H805" s="475"/>
    </row>
    <row r="806" spans="1:8" ht="15" x14ac:dyDescent="0.4">
      <c r="A806" s="478">
        <f t="shared" si="6"/>
        <v>45130</v>
      </c>
      <c r="B806" s="478">
        <f t="shared" si="7"/>
        <v>45134</v>
      </c>
      <c r="C806" s="475"/>
      <c r="D806" s="475"/>
      <c r="E806" s="475"/>
      <c r="F806" s="475"/>
      <c r="G806" s="475"/>
      <c r="H806" s="475"/>
    </row>
    <row r="807" spans="1:8" ht="15" x14ac:dyDescent="0.4">
      <c r="A807" s="478">
        <f t="shared" si="6"/>
        <v>45131</v>
      </c>
      <c r="B807" s="478">
        <f t="shared" si="7"/>
        <v>45134</v>
      </c>
      <c r="C807" s="475"/>
      <c r="D807" s="475"/>
      <c r="E807" s="475"/>
      <c r="F807" s="475"/>
      <c r="G807" s="475"/>
      <c r="H807" s="475"/>
    </row>
    <row r="808" spans="1:8" ht="15" x14ac:dyDescent="0.4">
      <c r="A808" s="478">
        <f t="shared" si="6"/>
        <v>45132</v>
      </c>
      <c r="B808" s="478">
        <f t="shared" si="7"/>
        <v>45134</v>
      </c>
      <c r="C808" s="475"/>
      <c r="D808" s="475"/>
      <c r="E808" s="475"/>
      <c r="F808" s="475"/>
      <c r="G808" s="475"/>
      <c r="H808" s="475"/>
    </row>
    <row r="809" spans="1:8" ht="15" x14ac:dyDescent="0.4">
      <c r="A809" s="478">
        <f t="shared" si="6"/>
        <v>45133</v>
      </c>
      <c r="B809" s="478">
        <f t="shared" si="7"/>
        <v>45134</v>
      </c>
      <c r="C809" s="475"/>
      <c r="D809" s="475"/>
      <c r="E809" s="475"/>
      <c r="F809" s="475"/>
      <c r="G809" s="475"/>
      <c r="H809" s="475"/>
    </row>
    <row r="810" spans="1:8" ht="15" x14ac:dyDescent="0.4">
      <c r="A810" s="478">
        <f t="shared" si="6"/>
        <v>45134</v>
      </c>
      <c r="B810" s="478">
        <f t="shared" si="7"/>
        <v>45134</v>
      </c>
      <c r="C810" s="475"/>
      <c r="D810" s="475"/>
      <c r="E810" s="475"/>
      <c r="F810" s="475"/>
      <c r="G810" s="475"/>
      <c r="H810" s="475"/>
    </row>
    <row r="811" spans="1:8" ht="15" x14ac:dyDescent="0.4">
      <c r="A811" s="478">
        <f t="shared" si="6"/>
        <v>45135</v>
      </c>
      <c r="B811" s="478">
        <f t="shared" si="7"/>
        <v>45141</v>
      </c>
      <c r="C811" s="475"/>
      <c r="D811" s="475"/>
      <c r="E811" s="475"/>
      <c r="F811" s="475"/>
      <c r="G811" s="475"/>
      <c r="H811" s="475"/>
    </row>
    <row r="812" spans="1:8" ht="15" x14ac:dyDescent="0.4">
      <c r="A812" s="478">
        <f t="shared" si="6"/>
        <v>45136</v>
      </c>
      <c r="B812" s="478">
        <f t="shared" si="7"/>
        <v>45141</v>
      </c>
      <c r="C812" s="475"/>
      <c r="D812" s="475"/>
      <c r="E812" s="475"/>
      <c r="F812" s="475"/>
      <c r="G812" s="475"/>
      <c r="H812" s="475"/>
    </row>
    <row r="813" spans="1:8" ht="15" x14ac:dyDescent="0.4">
      <c r="A813" s="478">
        <f t="shared" si="6"/>
        <v>45137</v>
      </c>
      <c r="B813" s="478">
        <f t="shared" si="7"/>
        <v>45141</v>
      </c>
      <c r="C813" s="475"/>
      <c r="D813" s="475"/>
      <c r="E813" s="475"/>
      <c r="F813" s="475"/>
      <c r="G813" s="475"/>
      <c r="H813" s="475"/>
    </row>
    <row r="814" spans="1:8" ht="15" x14ac:dyDescent="0.4">
      <c r="A814" s="478">
        <f t="shared" si="6"/>
        <v>45138</v>
      </c>
      <c r="B814" s="478">
        <f t="shared" si="7"/>
        <v>45141</v>
      </c>
      <c r="C814" s="475"/>
      <c r="D814" s="475"/>
      <c r="E814" s="475"/>
      <c r="F814" s="475"/>
      <c r="G814" s="475"/>
      <c r="H814" s="475"/>
    </row>
    <row r="815" spans="1:8" ht="15" x14ac:dyDescent="0.4">
      <c r="A815" s="478">
        <f t="shared" si="6"/>
        <v>45139</v>
      </c>
      <c r="B815" s="478">
        <f t="shared" si="7"/>
        <v>45141</v>
      </c>
      <c r="C815" s="475"/>
      <c r="D815" s="475"/>
      <c r="E815" s="475"/>
      <c r="F815" s="475"/>
      <c r="G815" s="475"/>
      <c r="H815" s="475"/>
    </row>
    <row r="816" spans="1:8" ht="15" x14ac:dyDescent="0.4">
      <c r="A816" s="478">
        <f t="shared" si="6"/>
        <v>45140</v>
      </c>
      <c r="B816" s="478">
        <f t="shared" si="7"/>
        <v>45141</v>
      </c>
      <c r="C816" s="475"/>
      <c r="D816" s="475"/>
      <c r="E816" s="475"/>
      <c r="F816" s="475"/>
      <c r="G816" s="475"/>
      <c r="H816" s="475"/>
    </row>
    <row r="817" spans="1:8" ht="15" x14ac:dyDescent="0.4">
      <c r="A817" s="478">
        <f t="shared" si="6"/>
        <v>45141</v>
      </c>
      <c r="B817" s="478">
        <f t="shared" si="7"/>
        <v>45141</v>
      </c>
      <c r="C817" s="475"/>
      <c r="D817" s="475"/>
      <c r="E817" s="475"/>
      <c r="F817" s="475"/>
      <c r="G817" s="475"/>
      <c r="H817" s="475"/>
    </row>
    <row r="818" spans="1:8" ht="15" x14ac:dyDescent="0.4">
      <c r="A818" s="478">
        <f t="shared" si="6"/>
        <v>45142</v>
      </c>
      <c r="B818" s="478">
        <f t="shared" si="7"/>
        <v>45148</v>
      </c>
      <c r="C818" s="475"/>
      <c r="D818" s="475"/>
      <c r="E818" s="475"/>
      <c r="F818" s="475"/>
      <c r="G818" s="475"/>
      <c r="H818" s="475"/>
    </row>
    <row r="819" spans="1:8" ht="15" x14ac:dyDescent="0.4">
      <c r="A819" s="478">
        <f t="shared" si="6"/>
        <v>45143</v>
      </c>
      <c r="B819" s="478">
        <f t="shared" si="7"/>
        <v>45148</v>
      </c>
      <c r="C819" s="475"/>
      <c r="D819" s="475"/>
      <c r="E819" s="475"/>
      <c r="F819" s="475"/>
      <c r="G819" s="475"/>
      <c r="H819" s="475"/>
    </row>
    <row r="820" spans="1:8" ht="15" x14ac:dyDescent="0.4">
      <c r="A820" s="478">
        <f t="shared" si="6"/>
        <v>45144</v>
      </c>
      <c r="B820" s="478">
        <f t="shared" si="7"/>
        <v>45148</v>
      </c>
      <c r="C820" s="475"/>
      <c r="D820" s="475"/>
      <c r="E820" s="475"/>
      <c r="F820" s="475"/>
      <c r="G820" s="475"/>
      <c r="H820" s="475"/>
    </row>
    <row r="821" spans="1:8" ht="15" x14ac:dyDescent="0.4">
      <c r="A821" s="478">
        <f t="shared" si="6"/>
        <v>45145</v>
      </c>
      <c r="B821" s="478">
        <f t="shared" si="7"/>
        <v>45148</v>
      </c>
      <c r="C821" s="475"/>
      <c r="D821" s="475"/>
      <c r="E821" s="475"/>
      <c r="F821" s="475"/>
      <c r="G821" s="475"/>
      <c r="H821" s="475"/>
    </row>
    <row r="822" spans="1:8" ht="15" x14ac:dyDescent="0.4">
      <c r="A822" s="478">
        <f t="shared" si="6"/>
        <v>45146</v>
      </c>
      <c r="B822" s="478">
        <f t="shared" si="7"/>
        <v>45148</v>
      </c>
      <c r="C822" s="475"/>
      <c r="D822" s="475"/>
      <c r="E822" s="475"/>
      <c r="F822" s="475"/>
      <c r="G822" s="475"/>
      <c r="H822" s="475"/>
    </row>
    <row r="823" spans="1:8" ht="15" x14ac:dyDescent="0.4">
      <c r="A823" s="478">
        <f t="shared" si="6"/>
        <v>45147</v>
      </c>
      <c r="B823" s="478">
        <f t="shared" si="7"/>
        <v>45148</v>
      </c>
      <c r="C823" s="475"/>
      <c r="D823" s="475"/>
      <c r="E823" s="475"/>
      <c r="F823" s="475"/>
      <c r="G823" s="475"/>
      <c r="H823" s="475"/>
    </row>
    <row r="824" spans="1:8" ht="15" x14ac:dyDescent="0.4">
      <c r="A824" s="478">
        <f t="shared" si="6"/>
        <v>45148</v>
      </c>
      <c r="B824" s="478">
        <f t="shared" si="7"/>
        <v>45148</v>
      </c>
      <c r="C824" s="475"/>
      <c r="D824" s="475"/>
      <c r="E824" s="475"/>
      <c r="F824" s="475"/>
      <c r="G824" s="475"/>
      <c r="H824" s="475"/>
    </row>
    <row r="825" spans="1:8" ht="15" x14ac:dyDescent="0.4">
      <c r="A825" s="478">
        <f t="shared" si="6"/>
        <v>45149</v>
      </c>
      <c r="B825" s="478">
        <f t="shared" si="7"/>
        <v>45155</v>
      </c>
      <c r="C825" s="475"/>
      <c r="D825" s="475"/>
      <c r="E825" s="475"/>
      <c r="F825" s="475"/>
      <c r="G825" s="475"/>
      <c r="H825" s="475"/>
    </row>
    <row r="826" spans="1:8" ht="15" x14ac:dyDescent="0.4">
      <c r="A826" s="478">
        <f t="shared" si="6"/>
        <v>45150</v>
      </c>
      <c r="B826" s="478">
        <f t="shared" si="7"/>
        <v>45155</v>
      </c>
      <c r="C826" s="475"/>
      <c r="D826" s="475"/>
      <c r="E826" s="475"/>
      <c r="F826" s="475"/>
      <c r="G826" s="475"/>
      <c r="H826" s="475"/>
    </row>
    <row r="827" spans="1:8" ht="15" x14ac:dyDescent="0.4">
      <c r="A827" s="478">
        <f t="shared" si="6"/>
        <v>45151</v>
      </c>
      <c r="B827" s="478">
        <f t="shared" si="7"/>
        <v>45155</v>
      </c>
      <c r="C827" s="475"/>
      <c r="D827" s="475"/>
      <c r="E827" s="475"/>
      <c r="F827" s="475"/>
      <c r="G827" s="475"/>
      <c r="H827" s="475"/>
    </row>
    <row r="828" spans="1:8" ht="15" x14ac:dyDescent="0.4">
      <c r="A828" s="478">
        <f t="shared" si="6"/>
        <v>45152</v>
      </c>
      <c r="B828" s="478">
        <f t="shared" si="7"/>
        <v>45155</v>
      </c>
      <c r="C828" s="475"/>
      <c r="D828" s="475"/>
      <c r="E828" s="475"/>
      <c r="F828" s="475"/>
      <c r="G828" s="475"/>
      <c r="H828" s="475"/>
    </row>
    <row r="829" spans="1:8" ht="15" x14ac:dyDescent="0.4">
      <c r="A829" s="478">
        <f t="shared" si="6"/>
        <v>45153</v>
      </c>
      <c r="B829" s="478">
        <f t="shared" si="7"/>
        <v>45155</v>
      </c>
      <c r="C829" s="475"/>
      <c r="D829" s="475"/>
      <c r="E829" s="475"/>
      <c r="F829" s="475"/>
      <c r="G829" s="475"/>
      <c r="H829" s="475"/>
    </row>
    <row r="830" spans="1:8" ht="15" x14ac:dyDescent="0.4">
      <c r="A830" s="478">
        <f t="shared" si="6"/>
        <v>45154</v>
      </c>
      <c r="B830" s="478">
        <f t="shared" si="7"/>
        <v>45155</v>
      </c>
      <c r="C830" s="475"/>
      <c r="D830" s="475"/>
      <c r="E830" s="475"/>
      <c r="F830" s="475"/>
      <c r="G830" s="475"/>
      <c r="H830" s="475"/>
    </row>
    <row r="831" spans="1:8" ht="15" x14ac:dyDescent="0.4">
      <c r="A831" s="478">
        <f t="shared" si="6"/>
        <v>45155</v>
      </c>
      <c r="B831" s="478">
        <f t="shared" si="7"/>
        <v>45155</v>
      </c>
      <c r="C831" s="475"/>
      <c r="D831" s="475"/>
      <c r="E831" s="475"/>
      <c r="F831" s="475"/>
      <c r="G831" s="475"/>
      <c r="H831" s="475"/>
    </row>
    <row r="832" spans="1:8" ht="15" x14ac:dyDescent="0.4">
      <c r="A832" s="478">
        <f t="shared" si="6"/>
        <v>45156</v>
      </c>
      <c r="B832" s="478">
        <f t="shared" si="7"/>
        <v>45162</v>
      </c>
      <c r="C832" s="475"/>
      <c r="D832" s="475"/>
      <c r="E832" s="475"/>
      <c r="F832" s="475"/>
      <c r="G832" s="475"/>
      <c r="H832" s="475"/>
    </row>
    <row r="833" spans="1:8" ht="15" x14ac:dyDescent="0.4">
      <c r="A833" s="478">
        <f t="shared" si="6"/>
        <v>45157</v>
      </c>
      <c r="B833" s="478">
        <f t="shared" si="7"/>
        <v>45162</v>
      </c>
      <c r="C833" s="475"/>
      <c r="D833" s="475"/>
      <c r="E833" s="475"/>
      <c r="F833" s="475"/>
      <c r="G833" s="475"/>
      <c r="H833" s="475"/>
    </row>
    <row r="834" spans="1:8" ht="15" x14ac:dyDescent="0.4">
      <c r="A834" s="478">
        <f t="shared" si="6"/>
        <v>45158</v>
      </c>
      <c r="B834" s="478">
        <f t="shared" si="7"/>
        <v>45162</v>
      </c>
      <c r="C834" s="475"/>
      <c r="D834" s="475"/>
      <c r="E834" s="475"/>
      <c r="F834" s="475"/>
      <c r="G834" s="475"/>
      <c r="H834" s="475"/>
    </row>
    <row r="835" spans="1:8" ht="15" x14ac:dyDescent="0.4">
      <c r="A835" s="478">
        <f t="shared" si="6"/>
        <v>45159</v>
      </c>
      <c r="B835" s="478">
        <f t="shared" si="7"/>
        <v>45162</v>
      </c>
      <c r="C835" s="475"/>
      <c r="D835" s="475"/>
      <c r="E835" s="475"/>
      <c r="F835" s="475"/>
      <c r="G835" s="475"/>
      <c r="H835" s="475"/>
    </row>
    <row r="836" spans="1:8" ht="15" x14ac:dyDescent="0.4">
      <c r="A836" s="478">
        <f t="shared" si="6"/>
        <v>45160</v>
      </c>
      <c r="B836" s="478">
        <f t="shared" si="7"/>
        <v>45162</v>
      </c>
      <c r="C836" s="475"/>
      <c r="D836" s="475"/>
      <c r="E836" s="475"/>
      <c r="F836" s="475"/>
      <c r="G836" s="475"/>
      <c r="H836" s="475"/>
    </row>
    <row r="837" spans="1:8" ht="15" x14ac:dyDescent="0.4">
      <c r="A837" s="478">
        <f t="shared" si="6"/>
        <v>45161</v>
      </c>
      <c r="B837" s="478">
        <f t="shared" si="7"/>
        <v>45162</v>
      </c>
      <c r="C837" s="475"/>
      <c r="D837" s="475"/>
      <c r="E837" s="475"/>
      <c r="F837" s="475"/>
      <c r="G837" s="475"/>
      <c r="H837" s="475"/>
    </row>
    <row r="838" spans="1:8" ht="15" x14ac:dyDescent="0.4">
      <c r="A838" s="478">
        <f t="shared" si="6"/>
        <v>45162</v>
      </c>
      <c r="B838" s="478">
        <f t="shared" si="7"/>
        <v>45162</v>
      </c>
      <c r="C838" s="475"/>
      <c r="D838" s="475"/>
      <c r="E838" s="475"/>
      <c r="F838" s="475"/>
      <c r="G838" s="475"/>
      <c r="H838" s="475"/>
    </row>
    <row r="839" spans="1:8" ht="15" x14ac:dyDescent="0.4">
      <c r="A839" s="478">
        <f t="shared" si="6"/>
        <v>45163</v>
      </c>
      <c r="B839" s="478">
        <f t="shared" si="7"/>
        <v>45169</v>
      </c>
      <c r="C839" s="475"/>
      <c r="D839" s="475"/>
      <c r="E839" s="475"/>
      <c r="F839" s="475"/>
      <c r="G839" s="475"/>
      <c r="H839" s="475"/>
    </row>
    <row r="840" spans="1:8" ht="15" x14ac:dyDescent="0.4">
      <c r="A840" s="478">
        <f t="shared" si="6"/>
        <v>45164</v>
      </c>
      <c r="B840" s="478">
        <f t="shared" si="7"/>
        <v>45169</v>
      </c>
      <c r="C840" s="475"/>
      <c r="D840" s="475"/>
      <c r="E840" s="475"/>
      <c r="F840" s="475"/>
      <c r="G840" s="475"/>
      <c r="H840" s="475"/>
    </row>
    <row r="841" spans="1:8" ht="15" x14ac:dyDescent="0.4">
      <c r="A841" s="478">
        <f t="shared" si="6"/>
        <v>45165</v>
      </c>
      <c r="B841" s="478">
        <f t="shared" si="7"/>
        <v>45169</v>
      </c>
      <c r="C841" s="475"/>
      <c r="D841" s="475"/>
      <c r="E841" s="475"/>
      <c r="F841" s="475"/>
      <c r="G841" s="475"/>
      <c r="H841" s="475"/>
    </row>
    <row r="842" spans="1:8" ht="15" x14ac:dyDescent="0.4">
      <c r="A842" s="478">
        <f t="shared" si="6"/>
        <v>45166</v>
      </c>
      <c r="B842" s="478">
        <f t="shared" si="7"/>
        <v>45169</v>
      </c>
      <c r="C842" s="475"/>
      <c r="D842" s="475"/>
      <c r="E842" s="475"/>
      <c r="F842" s="475"/>
      <c r="G842" s="475"/>
      <c r="H842" s="475"/>
    </row>
    <row r="843" spans="1:8" ht="15" x14ac:dyDescent="0.4">
      <c r="A843" s="478">
        <f t="shared" si="6"/>
        <v>45167</v>
      </c>
      <c r="B843" s="478">
        <f t="shared" si="7"/>
        <v>45169</v>
      </c>
      <c r="C843" s="475"/>
      <c r="D843" s="475"/>
      <c r="E843" s="475"/>
      <c r="F843" s="475"/>
      <c r="G843" s="475"/>
      <c r="H843" s="475"/>
    </row>
    <row r="844" spans="1:8" ht="15" x14ac:dyDescent="0.4">
      <c r="A844" s="478">
        <f t="shared" si="6"/>
        <v>45168</v>
      </c>
      <c r="B844" s="478">
        <f t="shared" si="7"/>
        <v>45169</v>
      </c>
      <c r="C844" s="475"/>
      <c r="D844" s="475"/>
      <c r="E844" s="475"/>
      <c r="F844" s="475"/>
      <c r="G844" s="475"/>
      <c r="H844" s="475"/>
    </row>
    <row r="845" spans="1:8" ht="15" x14ac:dyDescent="0.4">
      <c r="A845" s="478">
        <f t="shared" si="6"/>
        <v>45169</v>
      </c>
      <c r="B845" s="478">
        <f t="shared" si="7"/>
        <v>45169</v>
      </c>
      <c r="C845" s="475"/>
      <c r="D845" s="475"/>
      <c r="E845" s="475"/>
      <c r="F845" s="475"/>
      <c r="G845" s="475"/>
      <c r="H845" s="475"/>
    </row>
    <row r="846" spans="1:8" ht="15" x14ac:dyDescent="0.4">
      <c r="A846" s="478">
        <f t="shared" si="6"/>
        <v>45170</v>
      </c>
      <c r="B846" s="478">
        <f t="shared" si="7"/>
        <v>45176</v>
      </c>
      <c r="C846" s="475"/>
      <c r="D846" s="475"/>
      <c r="E846" s="475"/>
      <c r="F846" s="475"/>
      <c r="G846" s="475"/>
      <c r="H846" s="475"/>
    </row>
    <row r="847" spans="1:8" ht="15" x14ac:dyDescent="0.4">
      <c r="A847" s="478">
        <f t="shared" si="6"/>
        <v>45171</v>
      </c>
      <c r="B847" s="478">
        <f t="shared" si="7"/>
        <v>45176</v>
      </c>
      <c r="C847" s="475"/>
      <c r="D847" s="475"/>
      <c r="E847" s="475"/>
      <c r="F847" s="475"/>
      <c r="G847" s="475"/>
      <c r="H847" s="475"/>
    </row>
    <row r="848" spans="1:8" ht="15" x14ac:dyDescent="0.4">
      <c r="A848" s="478">
        <f t="shared" si="6"/>
        <v>45172</v>
      </c>
      <c r="B848" s="478">
        <f t="shared" si="7"/>
        <v>45176</v>
      </c>
      <c r="C848" s="475"/>
      <c r="D848" s="475"/>
      <c r="E848" s="475"/>
      <c r="F848" s="475"/>
      <c r="G848" s="475"/>
      <c r="H848" s="475"/>
    </row>
    <row r="849" spans="1:8" ht="15" x14ac:dyDescent="0.4">
      <c r="A849" s="478">
        <f t="shared" si="6"/>
        <v>45173</v>
      </c>
      <c r="B849" s="478">
        <f t="shared" si="7"/>
        <v>45176</v>
      </c>
      <c r="C849" s="475"/>
      <c r="D849" s="475"/>
      <c r="E849" s="475"/>
      <c r="F849" s="475"/>
      <c r="G849" s="475"/>
      <c r="H849" s="475"/>
    </row>
    <row r="850" spans="1:8" ht="15" x14ac:dyDescent="0.4">
      <c r="A850" s="478">
        <f t="shared" si="6"/>
        <v>45174</v>
      </c>
      <c r="B850" s="478">
        <f t="shared" si="7"/>
        <v>45176</v>
      </c>
      <c r="C850" s="475"/>
      <c r="D850" s="475"/>
      <c r="E850" s="475"/>
      <c r="F850" s="475"/>
      <c r="G850" s="475"/>
      <c r="H850" s="475"/>
    </row>
    <row r="851" spans="1:8" ht="15" x14ac:dyDescent="0.4">
      <c r="A851" s="478">
        <f t="shared" si="6"/>
        <v>45175</v>
      </c>
      <c r="B851" s="478">
        <f t="shared" si="7"/>
        <v>45176</v>
      </c>
      <c r="C851" s="475"/>
      <c r="D851" s="475"/>
      <c r="E851" s="475"/>
      <c r="F851" s="475"/>
      <c r="G851" s="475"/>
      <c r="H851" s="475"/>
    </row>
    <row r="852" spans="1:8" ht="15" x14ac:dyDescent="0.4">
      <c r="A852" s="478">
        <f t="shared" si="6"/>
        <v>45176</v>
      </c>
      <c r="B852" s="478">
        <f t="shared" si="7"/>
        <v>45176</v>
      </c>
      <c r="C852" s="475"/>
      <c r="D852" s="475"/>
      <c r="E852" s="475"/>
      <c r="F852" s="475"/>
      <c r="G852" s="475"/>
      <c r="H852" s="475"/>
    </row>
    <row r="853" spans="1:8" ht="15" x14ac:dyDescent="0.4">
      <c r="A853" s="478">
        <f t="shared" si="6"/>
        <v>45177</v>
      </c>
      <c r="B853" s="478">
        <f t="shared" si="7"/>
        <v>45183</v>
      </c>
      <c r="C853" s="475"/>
      <c r="D853" s="475"/>
      <c r="E853" s="475"/>
      <c r="F853" s="475"/>
      <c r="G853" s="475"/>
      <c r="H853" s="475"/>
    </row>
    <row r="854" spans="1:8" ht="15" x14ac:dyDescent="0.4">
      <c r="A854" s="478">
        <f t="shared" si="6"/>
        <v>45178</v>
      </c>
      <c r="B854" s="478">
        <f t="shared" si="7"/>
        <v>45183</v>
      </c>
      <c r="C854" s="475"/>
      <c r="D854" s="475"/>
      <c r="E854" s="475"/>
      <c r="F854" s="475"/>
      <c r="G854" s="475"/>
      <c r="H854" s="475"/>
    </row>
    <row r="855" spans="1:8" ht="15" x14ac:dyDescent="0.4">
      <c r="A855" s="478">
        <f t="shared" si="6"/>
        <v>45179</v>
      </c>
      <c r="B855" s="478">
        <f t="shared" si="7"/>
        <v>45183</v>
      </c>
      <c r="C855" s="475"/>
      <c r="D855" s="475"/>
      <c r="E855" s="475"/>
      <c r="F855" s="475"/>
      <c r="G855" s="475"/>
      <c r="H855" s="475"/>
    </row>
    <row r="856" spans="1:8" ht="15" x14ac:dyDescent="0.4">
      <c r="A856" s="478">
        <f t="shared" si="6"/>
        <v>45180</v>
      </c>
      <c r="B856" s="478">
        <f t="shared" si="7"/>
        <v>45183</v>
      </c>
      <c r="C856" s="475"/>
      <c r="D856" s="475"/>
      <c r="E856" s="475"/>
      <c r="F856" s="475"/>
      <c r="G856" s="475"/>
      <c r="H856" s="475"/>
    </row>
    <row r="857" spans="1:8" ht="15" x14ac:dyDescent="0.4">
      <c r="A857" s="478">
        <f t="shared" si="6"/>
        <v>45181</v>
      </c>
      <c r="B857" s="478">
        <f t="shared" si="7"/>
        <v>45183</v>
      </c>
      <c r="C857" s="475"/>
      <c r="D857" s="475"/>
      <c r="E857" s="475"/>
      <c r="F857" s="475"/>
      <c r="G857" s="475"/>
      <c r="H857" s="475"/>
    </row>
    <row r="858" spans="1:8" ht="15" x14ac:dyDescent="0.4">
      <c r="A858" s="478">
        <f t="shared" si="6"/>
        <v>45182</v>
      </c>
      <c r="B858" s="478">
        <f t="shared" si="7"/>
        <v>45183</v>
      </c>
      <c r="C858" s="475"/>
      <c r="D858" s="475"/>
      <c r="E858" s="475"/>
      <c r="F858" s="475"/>
      <c r="G858" s="475"/>
      <c r="H858" s="475"/>
    </row>
    <row r="859" spans="1:8" ht="15" x14ac:dyDescent="0.4">
      <c r="A859" s="478">
        <f t="shared" si="6"/>
        <v>45183</v>
      </c>
      <c r="B859" s="478">
        <f t="shared" si="7"/>
        <v>45183</v>
      </c>
      <c r="C859" s="475"/>
      <c r="D859" s="475"/>
      <c r="E859" s="475"/>
      <c r="F859" s="475"/>
      <c r="G859" s="475"/>
      <c r="H859" s="475"/>
    </row>
    <row r="860" spans="1:8" ht="15" x14ac:dyDescent="0.4">
      <c r="A860" s="478">
        <f t="shared" si="6"/>
        <v>45184</v>
      </c>
      <c r="B860" s="478">
        <f t="shared" si="7"/>
        <v>45190</v>
      </c>
      <c r="C860" s="475"/>
      <c r="D860" s="475"/>
      <c r="E860" s="475"/>
      <c r="F860" s="475"/>
      <c r="G860" s="475"/>
      <c r="H860" s="475"/>
    </row>
    <row r="861" spans="1:8" ht="15" x14ac:dyDescent="0.4">
      <c r="A861" s="478">
        <f t="shared" si="6"/>
        <v>45185</v>
      </c>
      <c r="B861" s="478">
        <f t="shared" si="7"/>
        <v>45190</v>
      </c>
      <c r="C861" s="475"/>
      <c r="D861" s="475"/>
      <c r="E861" s="475"/>
      <c r="F861" s="475"/>
      <c r="G861" s="475"/>
      <c r="H861" s="475"/>
    </row>
    <row r="862" spans="1:8" ht="15" x14ac:dyDescent="0.4">
      <c r="A862" s="478">
        <f t="shared" si="6"/>
        <v>45186</v>
      </c>
      <c r="B862" s="478">
        <f t="shared" si="7"/>
        <v>45190</v>
      </c>
      <c r="C862" s="475"/>
      <c r="D862" s="475"/>
      <c r="E862" s="475"/>
      <c r="F862" s="475"/>
      <c r="G862" s="475"/>
      <c r="H862" s="475"/>
    </row>
    <row r="863" spans="1:8" ht="15" x14ac:dyDescent="0.4">
      <c r="A863" s="478">
        <f t="shared" si="6"/>
        <v>45187</v>
      </c>
      <c r="B863" s="478">
        <f t="shared" si="7"/>
        <v>45190</v>
      </c>
      <c r="C863" s="475"/>
      <c r="D863" s="475"/>
      <c r="E863" s="475"/>
      <c r="F863" s="475"/>
      <c r="G863" s="475"/>
      <c r="H863" s="475"/>
    </row>
    <row r="864" spans="1:8" ht="15" x14ac:dyDescent="0.4">
      <c r="A864" s="478">
        <f t="shared" si="6"/>
        <v>45188</v>
      </c>
      <c r="B864" s="478">
        <f t="shared" si="7"/>
        <v>45190</v>
      </c>
      <c r="C864" s="475"/>
      <c r="D864" s="475"/>
      <c r="E864" s="475"/>
      <c r="F864" s="475"/>
      <c r="G864" s="475"/>
      <c r="H864" s="475"/>
    </row>
    <row r="865" spans="1:8" ht="15" x14ac:dyDescent="0.4">
      <c r="A865" s="478">
        <f t="shared" si="6"/>
        <v>45189</v>
      </c>
      <c r="B865" s="478">
        <f t="shared" si="7"/>
        <v>45190</v>
      </c>
      <c r="C865" s="475"/>
      <c r="D865" s="475"/>
      <c r="E865" s="475"/>
      <c r="F865" s="475"/>
      <c r="G865" s="475"/>
      <c r="H865" s="475"/>
    </row>
    <row r="866" spans="1:8" ht="15" x14ac:dyDescent="0.4">
      <c r="A866" s="478">
        <f t="shared" si="6"/>
        <v>45190</v>
      </c>
      <c r="B866" s="478">
        <f t="shared" si="7"/>
        <v>45190</v>
      </c>
      <c r="C866" s="475"/>
      <c r="D866" s="475"/>
      <c r="E866" s="475"/>
      <c r="F866" s="475"/>
      <c r="G866" s="475"/>
      <c r="H866" s="475"/>
    </row>
    <row r="867" spans="1:8" ht="15" x14ac:dyDescent="0.4">
      <c r="A867" s="478">
        <f t="shared" si="6"/>
        <v>45191</v>
      </c>
      <c r="B867" s="478">
        <f t="shared" si="7"/>
        <v>45197</v>
      </c>
      <c r="C867" s="475"/>
      <c r="D867" s="475"/>
      <c r="E867" s="475"/>
      <c r="F867" s="475"/>
      <c r="G867" s="475"/>
      <c r="H867" s="475"/>
    </row>
    <row r="868" spans="1:8" ht="15" x14ac:dyDescent="0.4">
      <c r="A868" s="478">
        <f t="shared" si="6"/>
        <v>45192</v>
      </c>
      <c r="B868" s="478">
        <f t="shared" si="7"/>
        <v>45197</v>
      </c>
      <c r="C868" s="475"/>
      <c r="D868" s="475"/>
      <c r="E868" s="475"/>
      <c r="F868" s="475"/>
      <c r="G868" s="475"/>
      <c r="H868" s="475"/>
    </row>
    <row r="869" spans="1:8" ht="15" x14ac:dyDescent="0.4">
      <c r="A869" s="478">
        <f t="shared" si="6"/>
        <v>45193</v>
      </c>
      <c r="B869" s="478">
        <f t="shared" si="7"/>
        <v>45197</v>
      </c>
      <c r="C869" s="475"/>
      <c r="D869" s="475"/>
      <c r="E869" s="475"/>
      <c r="F869" s="475"/>
      <c r="G869" s="475"/>
      <c r="H869" s="475"/>
    </row>
    <row r="870" spans="1:8" ht="15" x14ac:dyDescent="0.4">
      <c r="A870" s="478">
        <f t="shared" si="6"/>
        <v>45194</v>
      </c>
      <c r="B870" s="478">
        <f t="shared" si="7"/>
        <v>45197</v>
      </c>
      <c r="C870" s="475"/>
      <c r="D870" s="475"/>
      <c r="E870" s="475"/>
      <c r="F870" s="475"/>
      <c r="G870" s="475"/>
      <c r="H870" s="475"/>
    </row>
    <row r="871" spans="1:8" ht="15" x14ac:dyDescent="0.4">
      <c r="A871" s="478">
        <f t="shared" si="6"/>
        <v>45195</v>
      </c>
      <c r="B871" s="478">
        <f t="shared" si="7"/>
        <v>45197</v>
      </c>
      <c r="C871" s="475"/>
      <c r="D871" s="475"/>
      <c r="E871" s="475"/>
      <c r="F871" s="475"/>
      <c r="G871" s="475"/>
      <c r="H871" s="475"/>
    </row>
    <row r="872" spans="1:8" ht="15" x14ac:dyDescent="0.4">
      <c r="A872" s="478">
        <f t="shared" si="6"/>
        <v>45196</v>
      </c>
      <c r="B872" s="478">
        <f t="shared" si="7"/>
        <v>45197</v>
      </c>
      <c r="C872" s="475"/>
      <c r="D872" s="475"/>
      <c r="E872" s="475"/>
      <c r="F872" s="475"/>
      <c r="G872" s="475"/>
      <c r="H872" s="475"/>
    </row>
    <row r="873" spans="1:8" ht="15" x14ac:dyDescent="0.4">
      <c r="A873" s="478">
        <f t="shared" si="6"/>
        <v>45197</v>
      </c>
      <c r="B873" s="478">
        <f t="shared" si="7"/>
        <v>45197</v>
      </c>
      <c r="C873" s="475"/>
      <c r="D873" s="475"/>
      <c r="E873" s="475"/>
      <c r="F873" s="475"/>
      <c r="G873" s="475"/>
      <c r="H873" s="475"/>
    </row>
    <row r="874" spans="1:8" ht="15" x14ac:dyDescent="0.4">
      <c r="A874" s="478">
        <f t="shared" si="6"/>
        <v>45198</v>
      </c>
      <c r="B874" s="478">
        <f t="shared" si="7"/>
        <v>45204</v>
      </c>
      <c r="C874" s="475"/>
      <c r="D874" s="475"/>
      <c r="E874" s="475"/>
      <c r="F874" s="475"/>
      <c r="G874" s="475"/>
      <c r="H874" s="475"/>
    </row>
    <row r="875" spans="1:8" ht="15" x14ac:dyDescent="0.4">
      <c r="A875" s="478">
        <f t="shared" si="6"/>
        <v>45199</v>
      </c>
      <c r="B875" s="478">
        <f t="shared" si="7"/>
        <v>45204</v>
      </c>
      <c r="C875" s="475"/>
      <c r="D875" s="475"/>
      <c r="E875" s="475"/>
      <c r="F875" s="475"/>
      <c r="G875" s="475"/>
      <c r="H875" s="475"/>
    </row>
    <row r="876" spans="1:8" ht="15" x14ac:dyDescent="0.4">
      <c r="A876" s="478">
        <f t="shared" si="6"/>
        <v>45200</v>
      </c>
      <c r="B876" s="478">
        <f t="shared" si="7"/>
        <v>45204</v>
      </c>
      <c r="C876" s="475"/>
      <c r="D876" s="475"/>
      <c r="E876" s="475"/>
      <c r="F876" s="475"/>
      <c r="G876" s="475"/>
      <c r="H876" s="475"/>
    </row>
    <row r="877" spans="1:8" ht="15" x14ac:dyDescent="0.4">
      <c r="A877" s="478">
        <f t="shared" si="6"/>
        <v>45201</v>
      </c>
      <c r="B877" s="478">
        <f t="shared" si="7"/>
        <v>45204</v>
      </c>
      <c r="C877" s="475"/>
      <c r="D877" s="475"/>
      <c r="E877" s="475"/>
      <c r="F877" s="475"/>
      <c r="G877" s="475"/>
      <c r="H877" s="475"/>
    </row>
    <row r="878" spans="1:8" ht="15" x14ac:dyDescent="0.4">
      <c r="A878" s="478">
        <f t="shared" si="6"/>
        <v>45202</v>
      </c>
      <c r="B878" s="478">
        <f t="shared" si="7"/>
        <v>45204</v>
      </c>
      <c r="C878" s="475"/>
      <c r="D878" s="475"/>
      <c r="E878" s="475"/>
      <c r="F878" s="475"/>
      <c r="G878" s="475"/>
      <c r="H878" s="475"/>
    </row>
    <row r="879" spans="1:8" ht="15" x14ac:dyDescent="0.4">
      <c r="A879" s="478">
        <f t="shared" si="6"/>
        <v>45203</v>
      </c>
      <c r="B879" s="478">
        <f t="shared" si="7"/>
        <v>45204</v>
      </c>
      <c r="C879" s="475"/>
      <c r="D879" s="475"/>
      <c r="E879" s="475"/>
      <c r="F879" s="475"/>
      <c r="G879" s="475"/>
      <c r="H879" s="475"/>
    </row>
    <row r="880" spans="1:8" ht="15" x14ac:dyDescent="0.4">
      <c r="A880" s="478">
        <f t="shared" si="6"/>
        <v>45204</v>
      </c>
      <c r="B880" s="478">
        <f t="shared" si="7"/>
        <v>45204</v>
      </c>
      <c r="C880" s="475"/>
      <c r="D880" s="475"/>
      <c r="E880" s="475"/>
      <c r="F880" s="475"/>
      <c r="G880" s="475"/>
      <c r="H880" s="475"/>
    </row>
    <row r="881" spans="1:8" ht="15" x14ac:dyDescent="0.4">
      <c r="A881" s="478">
        <f t="shared" si="6"/>
        <v>45205</v>
      </c>
      <c r="B881" s="478">
        <f t="shared" si="7"/>
        <v>45211</v>
      </c>
      <c r="C881" s="475"/>
      <c r="D881" s="475"/>
      <c r="E881" s="475"/>
      <c r="F881" s="475"/>
      <c r="G881" s="475"/>
      <c r="H881" s="475"/>
    </row>
    <row r="882" spans="1:8" ht="15" x14ac:dyDescent="0.4">
      <c r="A882" s="478">
        <f t="shared" si="6"/>
        <v>45206</v>
      </c>
      <c r="B882" s="478">
        <f t="shared" si="7"/>
        <v>45211</v>
      </c>
      <c r="C882" s="475"/>
      <c r="D882" s="475"/>
      <c r="E882" s="475"/>
      <c r="F882" s="475"/>
      <c r="G882" s="475"/>
      <c r="H882" s="475"/>
    </row>
    <row r="883" spans="1:8" ht="15" x14ac:dyDescent="0.4">
      <c r="A883" s="478">
        <f t="shared" si="6"/>
        <v>45207</v>
      </c>
      <c r="B883" s="478">
        <f t="shared" si="7"/>
        <v>45211</v>
      </c>
      <c r="C883" s="475"/>
      <c r="D883" s="475"/>
      <c r="E883" s="475"/>
      <c r="F883" s="475"/>
      <c r="G883" s="475"/>
      <c r="H883" s="475"/>
    </row>
    <row r="884" spans="1:8" ht="15" x14ac:dyDescent="0.4">
      <c r="A884" s="478">
        <f t="shared" si="6"/>
        <v>45208</v>
      </c>
      <c r="B884" s="478">
        <f t="shared" si="7"/>
        <v>45211</v>
      </c>
      <c r="C884" s="475"/>
      <c r="D884" s="475"/>
      <c r="E884" s="475"/>
      <c r="F884" s="475"/>
      <c r="G884" s="475"/>
      <c r="H884" s="475"/>
    </row>
    <row r="885" spans="1:8" ht="15" x14ac:dyDescent="0.4">
      <c r="A885" s="478">
        <f t="shared" si="6"/>
        <v>45209</v>
      </c>
      <c r="B885" s="478">
        <f t="shared" si="7"/>
        <v>45211</v>
      </c>
      <c r="C885" s="475"/>
      <c r="D885" s="475"/>
      <c r="E885" s="475"/>
      <c r="F885" s="475"/>
      <c r="G885" s="475"/>
      <c r="H885" s="475"/>
    </row>
    <row r="886" spans="1:8" ht="15" x14ac:dyDescent="0.4">
      <c r="A886" s="478">
        <f t="shared" si="6"/>
        <v>45210</v>
      </c>
      <c r="B886" s="478">
        <f t="shared" si="7"/>
        <v>45211</v>
      </c>
      <c r="C886" s="475"/>
      <c r="D886" s="475"/>
      <c r="E886" s="475"/>
      <c r="F886" s="475"/>
      <c r="G886" s="475"/>
      <c r="H886" s="475"/>
    </row>
    <row r="887" spans="1:8" ht="15" x14ac:dyDescent="0.4">
      <c r="A887" s="478">
        <f t="shared" si="6"/>
        <v>45211</v>
      </c>
      <c r="B887" s="478">
        <f t="shared" si="7"/>
        <v>45211</v>
      </c>
      <c r="C887" s="475"/>
      <c r="D887" s="475"/>
      <c r="E887" s="475"/>
      <c r="F887" s="475"/>
      <c r="G887" s="475"/>
      <c r="H887" s="475"/>
    </row>
    <row r="888" spans="1:8" ht="15" x14ac:dyDescent="0.4">
      <c r="A888" s="478">
        <f t="shared" si="6"/>
        <v>45212</v>
      </c>
      <c r="B888" s="478">
        <f t="shared" si="7"/>
        <v>45218</v>
      </c>
      <c r="C888" s="475"/>
      <c r="D888" s="475"/>
      <c r="E888" s="475"/>
      <c r="F888" s="475"/>
      <c r="G888" s="475"/>
      <c r="H888" s="475"/>
    </row>
    <row r="889" spans="1:8" ht="15" x14ac:dyDescent="0.4">
      <c r="A889" s="478">
        <f t="shared" si="6"/>
        <v>45213</v>
      </c>
      <c r="B889" s="478">
        <f t="shared" si="7"/>
        <v>45218</v>
      </c>
      <c r="C889" s="475"/>
      <c r="D889" s="475"/>
      <c r="E889" s="475"/>
      <c r="F889" s="475"/>
      <c r="G889" s="475"/>
      <c r="H889" s="475"/>
    </row>
    <row r="890" spans="1:8" ht="15" x14ac:dyDescent="0.4">
      <c r="A890" s="478">
        <f t="shared" si="6"/>
        <v>45214</v>
      </c>
      <c r="B890" s="478">
        <f t="shared" si="7"/>
        <v>45218</v>
      </c>
      <c r="C890" s="475"/>
      <c r="D890" s="475"/>
      <c r="E890" s="475"/>
      <c r="F890" s="475"/>
      <c r="G890" s="475"/>
      <c r="H890" s="475"/>
    </row>
    <row r="891" spans="1:8" ht="15" x14ac:dyDescent="0.4">
      <c r="A891" s="478">
        <f t="shared" si="6"/>
        <v>45215</v>
      </c>
      <c r="B891" s="478">
        <f t="shared" si="7"/>
        <v>45218</v>
      </c>
      <c r="C891" s="475"/>
      <c r="D891" s="475"/>
      <c r="E891" s="475"/>
      <c r="F891" s="475"/>
      <c r="G891" s="475"/>
      <c r="H891" s="475"/>
    </row>
    <row r="892" spans="1:8" ht="15" x14ac:dyDescent="0.4">
      <c r="A892" s="478">
        <f t="shared" si="6"/>
        <v>45216</v>
      </c>
      <c r="B892" s="478">
        <f t="shared" si="7"/>
        <v>45218</v>
      </c>
      <c r="C892" s="475"/>
      <c r="D892" s="475"/>
      <c r="E892" s="475"/>
      <c r="F892" s="475"/>
      <c r="G892" s="475"/>
      <c r="H892" s="475"/>
    </row>
    <row r="893" spans="1:8" ht="15" x14ac:dyDescent="0.4">
      <c r="A893" s="478">
        <f t="shared" si="6"/>
        <v>45217</v>
      </c>
      <c r="B893" s="478">
        <f t="shared" si="7"/>
        <v>45218</v>
      </c>
      <c r="C893" s="475"/>
      <c r="D893" s="475"/>
      <c r="E893" s="475"/>
      <c r="F893" s="475"/>
      <c r="G893" s="475"/>
      <c r="H893" s="475"/>
    </row>
    <row r="894" spans="1:8" ht="15" x14ac:dyDescent="0.4">
      <c r="A894" s="478">
        <f t="shared" si="6"/>
        <v>45218</v>
      </c>
      <c r="B894" s="478">
        <f t="shared" si="7"/>
        <v>45218</v>
      </c>
      <c r="C894" s="475"/>
      <c r="D894" s="475"/>
      <c r="E894" s="475"/>
      <c r="F894" s="475"/>
      <c r="G894" s="475"/>
      <c r="H894" s="475"/>
    </row>
    <row r="895" spans="1:8" ht="15" x14ac:dyDescent="0.4">
      <c r="A895" s="478">
        <f t="shared" si="6"/>
        <v>45219</v>
      </c>
      <c r="B895" s="478">
        <f t="shared" si="7"/>
        <v>45225</v>
      </c>
      <c r="C895" s="475"/>
      <c r="D895" s="475"/>
      <c r="E895" s="475"/>
      <c r="F895" s="475"/>
      <c r="G895" s="475"/>
      <c r="H895" s="475"/>
    </row>
    <row r="896" spans="1:8" ht="15" x14ac:dyDescent="0.4">
      <c r="A896" s="478">
        <f t="shared" si="6"/>
        <v>45220</v>
      </c>
      <c r="B896" s="478">
        <f t="shared" si="7"/>
        <v>45225</v>
      </c>
      <c r="C896" s="475"/>
      <c r="D896" s="475"/>
      <c r="E896" s="475"/>
      <c r="F896" s="475"/>
      <c r="G896" s="475"/>
      <c r="H896" s="475"/>
    </row>
    <row r="897" spans="1:8" ht="15" x14ac:dyDescent="0.4">
      <c r="A897" s="478">
        <f t="shared" si="6"/>
        <v>45221</v>
      </c>
      <c r="B897" s="478">
        <f t="shared" si="7"/>
        <v>45225</v>
      </c>
      <c r="C897" s="475"/>
      <c r="D897" s="475"/>
      <c r="E897" s="475"/>
      <c r="F897" s="475"/>
      <c r="G897" s="475"/>
      <c r="H897" s="475"/>
    </row>
    <row r="898" spans="1:8" ht="15" x14ac:dyDescent="0.4">
      <c r="A898" s="478">
        <f t="shared" si="6"/>
        <v>45222</v>
      </c>
      <c r="B898" s="478">
        <f t="shared" si="7"/>
        <v>45225</v>
      </c>
      <c r="C898" s="475"/>
      <c r="D898" s="475"/>
      <c r="E898" s="475"/>
      <c r="F898" s="475"/>
      <c r="G898" s="475"/>
      <c r="H898" s="475"/>
    </row>
    <row r="899" spans="1:8" ht="15" x14ac:dyDescent="0.4">
      <c r="A899" s="478">
        <f t="shared" si="6"/>
        <v>45223</v>
      </c>
      <c r="B899" s="478">
        <f t="shared" si="7"/>
        <v>45225</v>
      </c>
      <c r="C899" s="475"/>
      <c r="D899" s="475"/>
      <c r="E899" s="475"/>
      <c r="F899" s="475"/>
      <c r="G899" s="475"/>
      <c r="H899" s="475"/>
    </row>
    <row r="900" spans="1:8" ht="15" x14ac:dyDescent="0.4">
      <c r="A900" s="478">
        <f t="shared" si="6"/>
        <v>45224</v>
      </c>
      <c r="B900" s="478">
        <f t="shared" si="7"/>
        <v>45225</v>
      </c>
      <c r="C900" s="475"/>
      <c r="D900" s="475"/>
      <c r="E900" s="475"/>
      <c r="F900" s="475"/>
      <c r="G900" s="475"/>
      <c r="H900" s="475"/>
    </row>
    <row r="901" spans="1:8" ht="15" x14ac:dyDescent="0.4">
      <c r="A901" s="478">
        <f t="shared" si="6"/>
        <v>45225</v>
      </c>
      <c r="B901" s="478">
        <f t="shared" si="7"/>
        <v>45225</v>
      </c>
      <c r="C901" s="475"/>
      <c r="D901" s="475"/>
      <c r="E901" s="475"/>
      <c r="F901" s="475"/>
      <c r="G901" s="475"/>
      <c r="H901" s="475"/>
    </row>
    <row r="902" spans="1:8" ht="15" x14ac:dyDescent="0.4">
      <c r="A902" s="478">
        <f t="shared" si="6"/>
        <v>45226</v>
      </c>
      <c r="B902" s="478">
        <f t="shared" si="7"/>
        <v>45232</v>
      </c>
      <c r="C902" s="475"/>
      <c r="D902" s="475"/>
      <c r="E902" s="475"/>
      <c r="F902" s="475"/>
      <c r="G902" s="475"/>
      <c r="H902" s="475"/>
    </row>
    <row r="903" spans="1:8" ht="15" x14ac:dyDescent="0.4">
      <c r="A903" s="478">
        <f t="shared" si="6"/>
        <v>45227</v>
      </c>
      <c r="B903" s="478">
        <f t="shared" si="7"/>
        <v>45232</v>
      </c>
      <c r="C903" s="475"/>
      <c r="D903" s="475"/>
      <c r="E903" s="475"/>
      <c r="F903" s="475"/>
      <c r="G903" s="475"/>
      <c r="H903" s="475"/>
    </row>
    <row r="904" spans="1:8" ht="15" x14ac:dyDescent="0.4">
      <c r="A904" s="478">
        <f t="shared" si="6"/>
        <v>45228</v>
      </c>
      <c r="B904" s="478">
        <f t="shared" si="7"/>
        <v>45232</v>
      </c>
      <c r="C904" s="475"/>
      <c r="D904" s="475"/>
      <c r="E904" s="475"/>
      <c r="F904" s="475"/>
      <c r="G904" s="475"/>
      <c r="H904" s="475"/>
    </row>
    <row r="905" spans="1:8" ht="15" x14ac:dyDescent="0.4">
      <c r="A905" s="478">
        <f t="shared" si="6"/>
        <v>45229</v>
      </c>
      <c r="B905" s="478">
        <f t="shared" si="7"/>
        <v>45232</v>
      </c>
      <c r="C905" s="475"/>
      <c r="D905" s="475"/>
      <c r="E905" s="475"/>
      <c r="F905" s="475"/>
      <c r="G905" s="475"/>
      <c r="H905" s="475"/>
    </row>
    <row r="906" spans="1:8" ht="15" x14ac:dyDescent="0.4">
      <c r="A906" s="478">
        <f t="shared" si="6"/>
        <v>45230</v>
      </c>
      <c r="B906" s="478">
        <f t="shared" si="7"/>
        <v>45232</v>
      </c>
      <c r="C906" s="475"/>
      <c r="D906" s="475"/>
      <c r="E906" s="475"/>
      <c r="F906" s="475"/>
      <c r="G906" s="475"/>
      <c r="H906" s="475"/>
    </row>
    <row r="907" spans="1:8" ht="15" x14ac:dyDescent="0.4">
      <c r="A907" s="478">
        <f t="shared" si="6"/>
        <v>45231</v>
      </c>
      <c r="B907" s="478">
        <f t="shared" si="7"/>
        <v>45232</v>
      </c>
      <c r="C907" s="475"/>
      <c r="D907" s="475"/>
      <c r="E907" s="475"/>
      <c r="F907" s="475"/>
      <c r="G907" s="475"/>
      <c r="H907" s="475"/>
    </row>
    <row r="908" spans="1:8" ht="15" x14ac:dyDescent="0.4">
      <c r="A908" s="478">
        <f t="shared" si="6"/>
        <v>45232</v>
      </c>
      <c r="B908" s="478">
        <f t="shared" si="7"/>
        <v>45232</v>
      </c>
      <c r="C908" s="475"/>
      <c r="D908" s="475"/>
      <c r="E908" s="475"/>
      <c r="F908" s="475"/>
      <c r="G908" s="475"/>
      <c r="H908" s="475"/>
    </row>
    <row r="909" spans="1:8" ht="15" x14ac:dyDescent="0.4">
      <c r="A909" s="478">
        <f t="shared" si="6"/>
        <v>45233</v>
      </c>
      <c r="B909" s="478">
        <f t="shared" si="7"/>
        <v>45239</v>
      </c>
      <c r="C909" s="475"/>
      <c r="D909" s="475"/>
      <c r="E909" s="475"/>
      <c r="F909" s="475"/>
      <c r="G909" s="475"/>
      <c r="H909" s="475"/>
    </row>
    <row r="910" spans="1:8" ht="15" x14ac:dyDescent="0.4">
      <c r="A910" s="478">
        <f t="shared" si="6"/>
        <v>45234</v>
      </c>
      <c r="B910" s="478">
        <f t="shared" si="7"/>
        <v>45239</v>
      </c>
      <c r="C910" s="475"/>
      <c r="D910" s="475"/>
      <c r="E910" s="475"/>
      <c r="F910" s="475"/>
      <c r="G910" s="475"/>
      <c r="H910" s="475"/>
    </row>
    <row r="911" spans="1:8" ht="15" x14ac:dyDescent="0.4">
      <c r="A911" s="478">
        <f t="shared" si="6"/>
        <v>45235</v>
      </c>
      <c r="B911" s="478">
        <f t="shared" si="7"/>
        <v>45239</v>
      </c>
      <c r="C911" s="475"/>
      <c r="D911" s="475"/>
      <c r="E911" s="475"/>
      <c r="F911" s="475"/>
      <c r="G911" s="475"/>
      <c r="H911" s="475"/>
    </row>
    <row r="912" spans="1:8" ht="15" x14ac:dyDescent="0.4">
      <c r="A912" s="478">
        <f t="shared" si="6"/>
        <v>45236</v>
      </c>
      <c r="B912" s="478">
        <f t="shared" si="7"/>
        <v>45239</v>
      </c>
      <c r="C912" s="475"/>
      <c r="D912" s="475"/>
      <c r="E912" s="475"/>
      <c r="F912" s="475"/>
      <c r="G912" s="475"/>
      <c r="H912" s="475"/>
    </row>
    <row r="913" spans="1:8" ht="15" x14ac:dyDescent="0.4">
      <c r="A913" s="478">
        <f t="shared" si="6"/>
        <v>45237</v>
      </c>
      <c r="B913" s="478">
        <f t="shared" si="7"/>
        <v>45239</v>
      </c>
      <c r="C913" s="475"/>
      <c r="D913" s="475"/>
      <c r="E913" s="475"/>
      <c r="F913" s="475"/>
      <c r="G913" s="475"/>
      <c r="H913" s="475"/>
    </row>
    <row r="914" spans="1:8" ht="15" x14ac:dyDescent="0.4">
      <c r="A914" s="478">
        <f t="shared" si="6"/>
        <v>45238</v>
      </c>
      <c r="B914" s="478">
        <f t="shared" si="7"/>
        <v>45239</v>
      </c>
      <c r="C914" s="475"/>
      <c r="D914" s="475"/>
      <c r="E914" s="475"/>
      <c r="F914" s="475"/>
      <c r="G914" s="475"/>
      <c r="H914" s="475"/>
    </row>
    <row r="915" spans="1:8" ht="15" x14ac:dyDescent="0.4">
      <c r="A915" s="478">
        <f t="shared" si="6"/>
        <v>45239</v>
      </c>
      <c r="B915" s="478">
        <f t="shared" si="7"/>
        <v>45239</v>
      </c>
      <c r="C915" s="475"/>
      <c r="D915" s="475"/>
      <c r="E915" s="475"/>
      <c r="F915" s="475"/>
      <c r="G915" s="475"/>
      <c r="H915" s="475"/>
    </row>
    <row r="916" spans="1:8" ht="15" x14ac:dyDescent="0.4">
      <c r="A916" s="478">
        <f t="shared" si="6"/>
        <v>45240</v>
      </c>
      <c r="B916" s="478">
        <f t="shared" si="7"/>
        <v>45246</v>
      </c>
      <c r="C916" s="475"/>
      <c r="D916" s="475"/>
      <c r="E916" s="475"/>
      <c r="F916" s="475"/>
      <c r="G916" s="475"/>
      <c r="H916" s="475"/>
    </row>
    <row r="917" spans="1:8" ht="15" x14ac:dyDescent="0.4">
      <c r="A917" s="478">
        <f t="shared" si="6"/>
        <v>45241</v>
      </c>
      <c r="B917" s="478">
        <f t="shared" si="7"/>
        <v>45246</v>
      </c>
      <c r="C917" s="475"/>
      <c r="D917" s="475"/>
      <c r="E917" s="475"/>
      <c r="F917" s="475"/>
      <c r="G917" s="475"/>
      <c r="H917" s="475"/>
    </row>
    <row r="918" spans="1:8" ht="15" x14ac:dyDescent="0.4">
      <c r="A918" s="478">
        <f t="shared" si="6"/>
        <v>45242</v>
      </c>
      <c r="B918" s="478">
        <f t="shared" si="7"/>
        <v>45246</v>
      </c>
      <c r="C918" s="475"/>
      <c r="D918" s="475"/>
      <c r="E918" s="475"/>
      <c r="F918" s="475"/>
      <c r="G918" s="475"/>
      <c r="H918" s="475"/>
    </row>
    <row r="919" spans="1:8" ht="15" x14ac:dyDescent="0.4">
      <c r="A919" s="478">
        <f t="shared" si="6"/>
        <v>45243</v>
      </c>
      <c r="B919" s="478">
        <f t="shared" si="7"/>
        <v>45246</v>
      </c>
      <c r="C919" s="475"/>
      <c r="D919" s="475"/>
      <c r="E919" s="475"/>
      <c r="F919" s="475"/>
      <c r="G919" s="475"/>
      <c r="H919" s="475"/>
    </row>
    <row r="920" spans="1:8" ht="15" x14ac:dyDescent="0.4">
      <c r="A920" s="478">
        <f t="shared" si="6"/>
        <v>45244</v>
      </c>
      <c r="B920" s="478">
        <f t="shared" si="7"/>
        <v>45246</v>
      </c>
      <c r="C920" s="475"/>
      <c r="D920" s="475"/>
      <c r="E920" s="475"/>
      <c r="F920" s="475"/>
      <c r="G920" s="475"/>
      <c r="H920" s="475"/>
    </row>
    <row r="921" spans="1:8" ht="15" x14ac:dyDescent="0.4">
      <c r="A921" s="478">
        <f t="shared" si="6"/>
        <v>45245</v>
      </c>
      <c r="B921" s="478">
        <f t="shared" si="7"/>
        <v>45246</v>
      </c>
      <c r="C921" s="475"/>
      <c r="D921" s="475"/>
      <c r="E921" s="475"/>
      <c r="F921" s="475"/>
      <c r="G921" s="475"/>
      <c r="H921" s="475"/>
    </row>
    <row r="922" spans="1:8" ht="15" x14ac:dyDescent="0.4">
      <c r="A922" s="478">
        <f t="shared" si="6"/>
        <v>45246</v>
      </c>
      <c r="B922" s="478">
        <f t="shared" si="7"/>
        <v>45246</v>
      </c>
      <c r="C922" s="475"/>
      <c r="D922" s="475"/>
      <c r="E922" s="475"/>
      <c r="F922" s="475"/>
      <c r="G922" s="475"/>
      <c r="H922" s="475"/>
    </row>
    <row r="923" spans="1:8" ht="15" x14ac:dyDescent="0.4">
      <c r="A923" s="478">
        <f t="shared" si="6"/>
        <v>45247</v>
      </c>
      <c r="B923" s="478">
        <f t="shared" si="7"/>
        <v>45253</v>
      </c>
      <c r="C923" s="475"/>
      <c r="D923" s="475"/>
      <c r="E923" s="475"/>
      <c r="F923" s="475"/>
      <c r="G923" s="475"/>
      <c r="H923" s="475"/>
    </row>
    <row r="924" spans="1:8" ht="15" x14ac:dyDescent="0.4">
      <c r="A924" s="478">
        <f t="shared" si="6"/>
        <v>45248</v>
      </c>
      <c r="B924" s="478">
        <f t="shared" si="7"/>
        <v>45253</v>
      </c>
      <c r="C924" s="475"/>
      <c r="D924" s="475"/>
      <c r="E924" s="475"/>
      <c r="F924" s="475"/>
      <c r="G924" s="475"/>
      <c r="H924" s="475"/>
    </row>
    <row r="925" spans="1:8" ht="15" x14ac:dyDescent="0.4">
      <c r="A925" s="478">
        <f t="shared" si="6"/>
        <v>45249</v>
      </c>
      <c r="B925" s="478">
        <f t="shared" si="7"/>
        <v>45253</v>
      </c>
      <c r="C925" s="475"/>
      <c r="D925" s="475"/>
      <c r="E925" s="475"/>
      <c r="F925" s="475"/>
      <c r="G925" s="475"/>
      <c r="H925" s="475"/>
    </row>
    <row r="926" spans="1:8" ht="15" x14ac:dyDescent="0.4">
      <c r="A926" s="478">
        <f t="shared" si="6"/>
        <v>45250</v>
      </c>
      <c r="B926" s="478">
        <f t="shared" si="7"/>
        <v>45253</v>
      </c>
      <c r="C926" s="475"/>
      <c r="D926" s="475"/>
      <c r="E926" s="475"/>
      <c r="F926" s="475"/>
      <c r="G926" s="475"/>
      <c r="H926" s="475"/>
    </row>
    <row r="927" spans="1:8" ht="15" x14ac:dyDescent="0.4">
      <c r="A927" s="478">
        <f t="shared" si="6"/>
        <v>45251</v>
      </c>
      <c r="B927" s="478">
        <f t="shared" si="7"/>
        <v>45253</v>
      </c>
      <c r="C927" s="475"/>
      <c r="D927" s="475"/>
      <c r="E927" s="475"/>
      <c r="F927" s="475"/>
      <c r="G927" s="475"/>
      <c r="H927" s="475"/>
    </row>
    <row r="928" spans="1:8" ht="15" x14ac:dyDescent="0.4">
      <c r="A928" s="478">
        <f t="shared" si="6"/>
        <v>45252</v>
      </c>
      <c r="B928" s="478">
        <f t="shared" si="7"/>
        <v>45253</v>
      </c>
      <c r="C928" s="475"/>
      <c r="D928" s="475"/>
      <c r="E928" s="475"/>
      <c r="F928" s="475"/>
      <c r="G928" s="475"/>
      <c r="H928" s="475"/>
    </row>
    <row r="929" spans="1:8" ht="15" x14ac:dyDescent="0.4">
      <c r="A929" s="478">
        <f t="shared" si="6"/>
        <v>45253</v>
      </c>
      <c r="B929" s="478">
        <f t="shared" si="7"/>
        <v>45253</v>
      </c>
      <c r="C929" s="475"/>
      <c r="D929" s="475"/>
      <c r="E929" s="475"/>
      <c r="F929" s="475"/>
      <c r="G929" s="475"/>
      <c r="H929" s="475"/>
    </row>
    <row r="930" spans="1:8" ht="15" x14ac:dyDescent="0.4">
      <c r="A930" s="478">
        <f t="shared" si="6"/>
        <v>45254</v>
      </c>
      <c r="B930" s="478">
        <f t="shared" si="7"/>
        <v>45260</v>
      </c>
      <c r="C930" s="475"/>
      <c r="D930" s="475"/>
      <c r="E930" s="475"/>
      <c r="F930" s="475"/>
      <c r="G930" s="475"/>
      <c r="H930" s="475"/>
    </row>
    <row r="931" spans="1:8" ht="15" x14ac:dyDescent="0.4">
      <c r="A931" s="478">
        <f t="shared" si="6"/>
        <v>45255</v>
      </c>
      <c r="B931" s="478">
        <f t="shared" si="7"/>
        <v>45260</v>
      </c>
      <c r="C931" s="475"/>
      <c r="D931" s="475"/>
      <c r="E931" s="475"/>
      <c r="F931" s="475"/>
      <c r="G931" s="475"/>
      <c r="H931" s="475"/>
    </row>
    <row r="932" spans="1:8" ht="15" x14ac:dyDescent="0.4">
      <c r="A932" s="478">
        <f t="shared" si="6"/>
        <v>45256</v>
      </c>
      <c r="B932" s="478">
        <f t="shared" si="7"/>
        <v>45260</v>
      </c>
      <c r="C932" s="475"/>
      <c r="D932" s="475"/>
      <c r="E932" s="475"/>
      <c r="F932" s="475"/>
      <c r="G932" s="475"/>
      <c r="H932" s="475"/>
    </row>
    <row r="933" spans="1:8" ht="15" x14ac:dyDescent="0.4">
      <c r="A933" s="478">
        <f t="shared" si="6"/>
        <v>45257</v>
      </c>
      <c r="B933" s="478">
        <f t="shared" si="7"/>
        <v>45260</v>
      </c>
      <c r="C933" s="475"/>
      <c r="D933" s="475"/>
      <c r="E933" s="475"/>
      <c r="F933" s="475"/>
      <c r="G933" s="475"/>
      <c r="H933" s="475"/>
    </row>
    <row r="934" spans="1:8" ht="15" x14ac:dyDescent="0.4">
      <c r="A934" s="478">
        <f t="shared" si="6"/>
        <v>45258</v>
      </c>
      <c r="B934" s="478">
        <f t="shared" si="7"/>
        <v>45260</v>
      </c>
      <c r="C934" s="475"/>
      <c r="D934" s="475"/>
      <c r="E934" s="475"/>
      <c r="F934" s="475"/>
      <c r="G934" s="475"/>
      <c r="H934" s="475"/>
    </row>
    <row r="935" spans="1:8" ht="15" x14ac:dyDescent="0.4">
      <c r="A935" s="478">
        <f t="shared" si="6"/>
        <v>45259</v>
      </c>
      <c r="B935" s="478">
        <f t="shared" si="7"/>
        <v>45260</v>
      </c>
      <c r="C935" s="475"/>
      <c r="D935" s="475"/>
      <c r="E935" s="475"/>
      <c r="F935" s="475"/>
      <c r="G935" s="475"/>
      <c r="H935" s="475"/>
    </row>
    <row r="936" spans="1:8" ht="15" x14ac:dyDescent="0.4">
      <c r="A936" s="478">
        <f t="shared" si="6"/>
        <v>45260</v>
      </c>
      <c r="B936" s="478">
        <f t="shared" si="7"/>
        <v>45260</v>
      </c>
      <c r="C936" s="475"/>
      <c r="D936" s="475"/>
      <c r="E936" s="475"/>
      <c r="F936" s="475"/>
      <c r="G936" s="475"/>
      <c r="H936" s="475"/>
    </row>
    <row r="937" spans="1:8" ht="15" x14ac:dyDescent="0.4">
      <c r="A937" s="478">
        <f t="shared" si="6"/>
        <v>45261</v>
      </c>
      <c r="B937" s="478">
        <f t="shared" si="7"/>
        <v>45267</v>
      </c>
      <c r="C937" s="475"/>
      <c r="D937" s="475"/>
      <c r="E937" s="475"/>
      <c r="F937" s="475"/>
      <c r="G937" s="475"/>
      <c r="H937" s="475"/>
    </row>
    <row r="938" spans="1:8" ht="15" x14ac:dyDescent="0.4">
      <c r="A938" s="478">
        <f t="shared" si="6"/>
        <v>45262</v>
      </c>
      <c r="B938" s="478">
        <f t="shared" si="7"/>
        <v>45267</v>
      </c>
      <c r="C938" s="475"/>
      <c r="D938" s="475"/>
      <c r="E938" s="475"/>
      <c r="F938" s="475"/>
      <c r="G938" s="475"/>
      <c r="H938" s="475"/>
    </row>
    <row r="939" spans="1:8" ht="15" x14ac:dyDescent="0.4">
      <c r="A939" s="478">
        <f t="shared" si="6"/>
        <v>45263</v>
      </c>
      <c r="B939" s="478">
        <f t="shared" si="7"/>
        <v>45267</v>
      </c>
      <c r="C939" s="475"/>
      <c r="D939" s="475"/>
      <c r="E939" s="475"/>
      <c r="F939" s="475"/>
      <c r="G939" s="475"/>
      <c r="H939" s="475"/>
    </row>
    <row r="940" spans="1:8" ht="15" x14ac:dyDescent="0.4">
      <c r="A940" s="478">
        <f t="shared" si="6"/>
        <v>45264</v>
      </c>
      <c r="B940" s="478">
        <f t="shared" si="7"/>
        <v>45267</v>
      </c>
      <c r="C940" s="475"/>
      <c r="D940" s="475"/>
      <c r="E940" s="475"/>
      <c r="F940" s="475"/>
      <c r="G940" s="475"/>
      <c r="H940" s="475"/>
    </row>
    <row r="941" spans="1:8" ht="15" x14ac:dyDescent="0.4">
      <c r="A941" s="478">
        <f t="shared" si="6"/>
        <v>45265</v>
      </c>
      <c r="B941" s="478">
        <f t="shared" si="7"/>
        <v>45267</v>
      </c>
      <c r="C941" s="475"/>
      <c r="D941" s="475"/>
      <c r="E941" s="475"/>
      <c r="F941" s="475"/>
      <c r="G941" s="475"/>
      <c r="H941" s="475"/>
    </row>
    <row r="942" spans="1:8" ht="15" x14ac:dyDescent="0.4">
      <c r="A942" s="478">
        <f t="shared" si="6"/>
        <v>45266</v>
      </c>
      <c r="B942" s="478">
        <f t="shared" si="7"/>
        <v>45267</v>
      </c>
      <c r="C942" s="475"/>
      <c r="D942" s="475"/>
      <c r="E942" s="475"/>
      <c r="F942" s="475"/>
      <c r="G942" s="475"/>
      <c r="H942" s="475"/>
    </row>
    <row r="943" spans="1:8" ht="15" x14ac:dyDescent="0.4">
      <c r="A943" s="478">
        <f t="shared" si="6"/>
        <v>45267</v>
      </c>
      <c r="B943" s="478">
        <f t="shared" si="7"/>
        <v>45267</v>
      </c>
      <c r="C943" s="475"/>
      <c r="D943" s="475"/>
      <c r="E943" s="475"/>
      <c r="F943" s="475"/>
      <c r="G943" s="475"/>
      <c r="H943" s="475"/>
    </row>
    <row r="944" spans="1:8" ht="15" x14ac:dyDescent="0.4">
      <c r="A944" s="478">
        <f t="shared" si="6"/>
        <v>45268</v>
      </c>
      <c r="B944" s="478">
        <f t="shared" si="7"/>
        <v>45274</v>
      </c>
      <c r="C944" s="475"/>
      <c r="D944" s="475"/>
      <c r="E944" s="475"/>
      <c r="F944" s="475"/>
      <c r="G944" s="475"/>
      <c r="H944" s="475"/>
    </row>
    <row r="945" spans="1:8" ht="15" x14ac:dyDescent="0.4">
      <c r="A945" s="478">
        <f t="shared" si="6"/>
        <v>45269</v>
      </c>
      <c r="B945" s="478">
        <f t="shared" si="7"/>
        <v>45274</v>
      </c>
      <c r="C945" s="475"/>
      <c r="D945" s="475"/>
      <c r="E945" s="475"/>
      <c r="F945" s="475"/>
      <c r="G945" s="475"/>
      <c r="H945" s="475"/>
    </row>
    <row r="946" spans="1:8" ht="15" x14ac:dyDescent="0.4">
      <c r="A946" s="478">
        <f t="shared" si="6"/>
        <v>45270</v>
      </c>
      <c r="B946" s="478">
        <f t="shared" si="7"/>
        <v>45274</v>
      </c>
      <c r="C946" s="475"/>
      <c r="D946" s="475"/>
      <c r="E946" s="475"/>
      <c r="F946" s="475"/>
      <c r="G946" s="475"/>
      <c r="H946" s="475"/>
    </row>
    <row r="947" spans="1:8" ht="15" x14ac:dyDescent="0.4">
      <c r="A947" s="478">
        <f t="shared" si="6"/>
        <v>45271</v>
      </c>
      <c r="B947" s="478">
        <f t="shared" si="7"/>
        <v>45274</v>
      </c>
      <c r="C947" s="475"/>
      <c r="D947" s="475"/>
      <c r="E947" s="475"/>
      <c r="F947" s="475"/>
      <c r="G947" s="475"/>
      <c r="H947" s="475"/>
    </row>
    <row r="948" spans="1:8" ht="15" x14ac:dyDescent="0.4">
      <c r="A948" s="478">
        <f t="shared" si="6"/>
        <v>45272</v>
      </c>
      <c r="B948" s="478">
        <f t="shared" si="7"/>
        <v>45274</v>
      </c>
      <c r="C948" s="475"/>
      <c r="D948" s="475"/>
      <c r="E948" s="475"/>
      <c r="F948" s="475"/>
      <c r="G948" s="475"/>
      <c r="H948" s="475"/>
    </row>
    <row r="949" spans="1:8" ht="15" x14ac:dyDescent="0.4">
      <c r="A949" s="478">
        <f t="shared" si="6"/>
        <v>45273</v>
      </c>
      <c r="B949" s="478">
        <f t="shared" si="7"/>
        <v>45274</v>
      </c>
      <c r="C949" s="475"/>
      <c r="D949" s="475"/>
      <c r="E949" s="475"/>
      <c r="F949" s="475"/>
      <c r="G949" s="475"/>
      <c r="H949" s="475"/>
    </row>
    <row r="950" spans="1:8" ht="15" x14ac:dyDescent="0.4">
      <c r="A950" s="478">
        <f t="shared" si="6"/>
        <v>45274</v>
      </c>
      <c r="B950" s="478">
        <f t="shared" si="7"/>
        <v>45274</v>
      </c>
      <c r="C950" s="475"/>
      <c r="D950" s="475"/>
      <c r="E950" s="475"/>
      <c r="F950" s="475"/>
      <c r="G950" s="475"/>
      <c r="H950" s="475"/>
    </row>
    <row r="951" spans="1:8" ht="15" x14ac:dyDescent="0.4">
      <c r="A951" s="478">
        <f t="shared" si="6"/>
        <v>45275</v>
      </c>
      <c r="B951" s="478">
        <f t="shared" si="7"/>
        <v>45281</v>
      </c>
      <c r="C951" s="475"/>
      <c r="D951" s="475"/>
      <c r="E951" s="475"/>
      <c r="F951" s="475"/>
      <c r="G951" s="475"/>
      <c r="H951" s="475"/>
    </row>
    <row r="952" spans="1:8" ht="15" x14ac:dyDescent="0.4">
      <c r="A952" s="478">
        <f t="shared" si="6"/>
        <v>45276</v>
      </c>
      <c r="B952" s="478">
        <f t="shared" si="7"/>
        <v>45281</v>
      </c>
      <c r="C952" s="475"/>
      <c r="D952" s="475"/>
      <c r="E952" s="475"/>
      <c r="F952" s="475"/>
      <c r="G952" s="475"/>
      <c r="H952" s="475"/>
    </row>
    <row r="953" spans="1:8" ht="15" x14ac:dyDescent="0.4">
      <c r="A953" s="478">
        <f t="shared" si="6"/>
        <v>45277</v>
      </c>
      <c r="B953" s="478">
        <f t="shared" si="7"/>
        <v>45281</v>
      </c>
      <c r="C953" s="475"/>
      <c r="D953" s="475"/>
      <c r="E953" s="475"/>
      <c r="F953" s="475"/>
      <c r="G953" s="475"/>
      <c r="H953" s="475"/>
    </row>
    <row r="954" spans="1:8" ht="15" x14ac:dyDescent="0.4">
      <c r="A954" s="478">
        <f t="shared" si="6"/>
        <v>45278</v>
      </c>
      <c r="B954" s="478">
        <f t="shared" si="7"/>
        <v>45281</v>
      </c>
      <c r="C954" s="475"/>
      <c r="D954" s="475"/>
      <c r="E954" s="475"/>
      <c r="F954" s="475"/>
      <c r="G954" s="475"/>
      <c r="H954" s="475"/>
    </row>
    <row r="955" spans="1:8" ht="15" x14ac:dyDescent="0.4">
      <c r="A955" s="478">
        <f t="shared" si="6"/>
        <v>45279</v>
      </c>
      <c r="B955" s="478">
        <f t="shared" si="7"/>
        <v>45281</v>
      </c>
      <c r="C955" s="475"/>
      <c r="D955" s="475"/>
      <c r="E955" s="475"/>
      <c r="F955" s="475"/>
      <c r="G955" s="475"/>
      <c r="H955" s="475"/>
    </row>
    <row r="956" spans="1:8" ht="15" x14ac:dyDescent="0.4">
      <c r="A956" s="478">
        <f t="shared" si="6"/>
        <v>45280</v>
      </c>
      <c r="B956" s="478">
        <f t="shared" si="7"/>
        <v>45281</v>
      </c>
      <c r="C956" s="475"/>
      <c r="D956" s="475"/>
      <c r="E956" s="475"/>
      <c r="F956" s="475"/>
      <c r="G956" s="475"/>
      <c r="H956" s="475"/>
    </row>
    <row r="957" spans="1:8" ht="15" x14ac:dyDescent="0.4">
      <c r="A957" s="478">
        <f t="shared" si="6"/>
        <v>45281</v>
      </c>
      <c r="B957" s="478">
        <f t="shared" si="7"/>
        <v>45281</v>
      </c>
      <c r="C957" s="475"/>
      <c r="D957" s="475"/>
      <c r="E957" s="475"/>
      <c r="F957" s="475"/>
      <c r="G957" s="475"/>
      <c r="H957" s="475"/>
    </row>
    <row r="958" spans="1:8" ht="15" x14ac:dyDescent="0.4">
      <c r="A958" s="478">
        <f t="shared" si="6"/>
        <v>45282</v>
      </c>
      <c r="B958" s="478">
        <f t="shared" si="7"/>
        <v>45288</v>
      </c>
      <c r="C958" s="475"/>
      <c r="D958" s="475"/>
      <c r="E958" s="475"/>
      <c r="F958" s="475"/>
      <c r="G958" s="475"/>
      <c r="H958" s="475"/>
    </row>
    <row r="959" spans="1:8" ht="15" x14ac:dyDescent="0.4">
      <c r="A959" s="478">
        <f t="shared" si="6"/>
        <v>45283</v>
      </c>
      <c r="B959" s="478">
        <f t="shared" si="7"/>
        <v>45288</v>
      </c>
      <c r="C959" s="475"/>
      <c r="D959" s="475"/>
      <c r="E959" s="475"/>
      <c r="F959" s="475"/>
      <c r="G959" s="475"/>
      <c r="H959" s="475"/>
    </row>
    <row r="960" spans="1:8" ht="15" x14ac:dyDescent="0.4">
      <c r="A960" s="478">
        <f t="shared" si="6"/>
        <v>45284</v>
      </c>
      <c r="B960" s="478">
        <f t="shared" si="7"/>
        <v>45288</v>
      </c>
      <c r="C960" s="475"/>
      <c r="D960" s="475"/>
      <c r="E960" s="475"/>
      <c r="F960" s="475"/>
      <c r="G960" s="475"/>
      <c r="H960" s="475"/>
    </row>
    <row r="961" spans="1:8" ht="15" x14ac:dyDescent="0.4">
      <c r="A961" s="478">
        <f t="shared" si="6"/>
        <v>45285</v>
      </c>
      <c r="B961" s="478">
        <f t="shared" si="7"/>
        <v>45288</v>
      </c>
      <c r="C961" s="475"/>
      <c r="D961" s="475"/>
      <c r="E961" s="475"/>
      <c r="F961" s="475"/>
      <c r="G961" s="475"/>
      <c r="H961" s="475"/>
    </row>
    <row r="962" spans="1:8" ht="15" x14ac:dyDescent="0.4">
      <c r="A962" s="478">
        <f t="shared" si="6"/>
        <v>45286</v>
      </c>
      <c r="B962" s="478">
        <f t="shared" si="7"/>
        <v>45288</v>
      </c>
      <c r="C962" s="475"/>
      <c r="D962" s="475"/>
      <c r="E962" s="475"/>
      <c r="F962" s="475"/>
      <c r="G962" s="475"/>
      <c r="H962" s="475"/>
    </row>
    <row r="963" spans="1:8" ht="15" x14ac:dyDescent="0.4">
      <c r="A963" s="478">
        <f t="shared" si="6"/>
        <v>45287</v>
      </c>
      <c r="B963" s="478">
        <f t="shared" si="7"/>
        <v>45288</v>
      </c>
      <c r="C963" s="475"/>
      <c r="D963" s="475"/>
      <c r="E963" s="475"/>
      <c r="F963" s="475"/>
      <c r="G963" s="475"/>
      <c r="H963" s="475"/>
    </row>
    <row r="964" spans="1:8" ht="15" x14ac:dyDescent="0.4">
      <c r="A964" s="478">
        <f t="shared" si="6"/>
        <v>45288</v>
      </c>
      <c r="B964" s="478">
        <f t="shared" si="7"/>
        <v>45288</v>
      </c>
      <c r="C964" s="475"/>
      <c r="D964" s="475"/>
      <c r="E964" s="475"/>
      <c r="F964" s="475"/>
      <c r="G964" s="475"/>
      <c r="H964" s="475"/>
    </row>
    <row r="965" spans="1:8" ht="15" x14ac:dyDescent="0.4">
      <c r="A965" s="478">
        <f t="shared" si="6"/>
        <v>45289</v>
      </c>
      <c r="B965" s="478">
        <f t="shared" si="7"/>
        <v>45295</v>
      </c>
      <c r="C965" s="475"/>
      <c r="D965" s="475"/>
      <c r="E965" s="475"/>
      <c r="F965" s="475"/>
      <c r="G965" s="475"/>
      <c r="H965" s="475"/>
    </row>
    <row r="966" spans="1:8" ht="15" x14ac:dyDescent="0.4">
      <c r="A966" s="478">
        <f t="shared" si="6"/>
        <v>45290</v>
      </c>
      <c r="B966" s="478">
        <f t="shared" si="7"/>
        <v>45295</v>
      </c>
      <c r="C966" s="475"/>
      <c r="D966" s="475"/>
      <c r="E966" s="475"/>
      <c r="F966" s="475"/>
      <c r="G966" s="475"/>
      <c r="H966" s="475"/>
    </row>
    <row r="967" spans="1:8" ht="15" x14ac:dyDescent="0.4">
      <c r="A967" s="478">
        <f t="shared" si="6"/>
        <v>45291</v>
      </c>
      <c r="B967" s="478">
        <f t="shared" si="7"/>
        <v>45295</v>
      </c>
      <c r="C967" s="475"/>
      <c r="D967" s="475"/>
      <c r="E967" s="475"/>
      <c r="F967" s="475"/>
      <c r="G967" s="475"/>
      <c r="H967" s="475"/>
    </row>
    <row r="968" spans="1:8" ht="15" x14ac:dyDescent="0.4">
      <c r="A968" s="478">
        <f t="shared" si="6"/>
        <v>45292</v>
      </c>
      <c r="B968" s="478">
        <f t="shared" si="7"/>
        <v>45295</v>
      </c>
      <c r="C968" s="475"/>
      <c r="D968" s="475"/>
      <c r="E968" s="475"/>
      <c r="F968" s="475"/>
      <c r="G968" s="475"/>
      <c r="H968" s="475"/>
    </row>
    <row r="969" spans="1:8" ht="15" x14ac:dyDescent="0.4">
      <c r="A969" s="478">
        <f t="shared" si="6"/>
        <v>45293</v>
      </c>
      <c r="B969" s="478">
        <f t="shared" si="7"/>
        <v>45295</v>
      </c>
      <c r="C969" s="475"/>
      <c r="D969" s="475"/>
      <c r="E969" s="475"/>
      <c r="F969" s="475"/>
      <c r="G969" s="475"/>
      <c r="H969" s="475"/>
    </row>
    <row r="970" spans="1:8" ht="15" x14ac:dyDescent="0.4">
      <c r="A970" s="478">
        <f t="shared" si="6"/>
        <v>45294</v>
      </c>
      <c r="B970" s="478">
        <f t="shared" si="7"/>
        <v>45295</v>
      </c>
      <c r="C970" s="475"/>
      <c r="D970" s="475"/>
      <c r="E970" s="475"/>
      <c r="F970" s="475"/>
      <c r="G970" s="475"/>
      <c r="H970" s="475"/>
    </row>
    <row r="971" spans="1:8" ht="15" x14ac:dyDescent="0.4">
      <c r="A971" s="478">
        <f t="shared" si="6"/>
        <v>45295</v>
      </c>
      <c r="B971" s="478">
        <f t="shared" si="7"/>
        <v>45295</v>
      </c>
      <c r="C971" s="475"/>
      <c r="D971" s="475"/>
      <c r="E971" s="475"/>
      <c r="F971" s="475"/>
      <c r="G971" s="475"/>
      <c r="H971" s="475"/>
    </row>
    <row r="972" spans="1:8" ht="15" x14ac:dyDescent="0.4">
      <c r="A972" s="478">
        <f t="shared" si="6"/>
        <v>45296</v>
      </c>
      <c r="B972" s="478">
        <f t="shared" si="7"/>
        <v>45302</v>
      </c>
      <c r="C972" s="475"/>
      <c r="D972" s="475"/>
      <c r="E972" s="475"/>
      <c r="F972" s="475"/>
      <c r="G972" s="475"/>
      <c r="H972" s="475"/>
    </row>
    <row r="973" spans="1:8" ht="15" x14ac:dyDescent="0.4">
      <c r="A973" s="478">
        <f t="shared" si="6"/>
        <v>45297</v>
      </c>
      <c r="B973" s="478">
        <f t="shared" si="7"/>
        <v>45302</v>
      </c>
      <c r="C973" s="475"/>
      <c r="D973" s="475"/>
      <c r="E973" s="475"/>
      <c r="F973" s="475"/>
      <c r="G973" s="475"/>
      <c r="H973" s="475"/>
    </row>
    <row r="974" spans="1:8" ht="15" x14ac:dyDescent="0.4">
      <c r="A974" s="478">
        <f t="shared" si="6"/>
        <v>45298</v>
      </c>
      <c r="B974" s="478">
        <f t="shared" si="7"/>
        <v>45302</v>
      </c>
      <c r="C974" s="475"/>
      <c r="D974" s="475"/>
      <c r="E974" s="475"/>
      <c r="F974" s="475"/>
      <c r="G974" s="475"/>
      <c r="H974" s="475"/>
    </row>
    <row r="975" spans="1:8" ht="15" x14ac:dyDescent="0.4">
      <c r="A975" s="478">
        <f t="shared" si="6"/>
        <v>45299</v>
      </c>
      <c r="B975" s="478">
        <f t="shared" si="7"/>
        <v>45302</v>
      </c>
      <c r="C975" s="475"/>
      <c r="D975" s="475"/>
      <c r="E975" s="475"/>
      <c r="F975" s="475"/>
      <c r="G975" s="475"/>
      <c r="H975" s="475"/>
    </row>
    <row r="976" spans="1:8" ht="15" x14ac:dyDescent="0.4">
      <c r="A976" s="478">
        <f t="shared" si="6"/>
        <v>45300</v>
      </c>
      <c r="B976" s="478">
        <f t="shared" si="7"/>
        <v>45302</v>
      </c>
      <c r="C976" s="475"/>
      <c r="D976" s="475"/>
      <c r="E976" s="475"/>
      <c r="F976" s="475"/>
      <c r="G976" s="475"/>
      <c r="H976" s="475"/>
    </row>
    <row r="977" spans="1:8" ht="15" x14ac:dyDescent="0.4">
      <c r="A977" s="478">
        <f t="shared" si="6"/>
        <v>45301</v>
      </c>
      <c r="B977" s="478">
        <f t="shared" si="7"/>
        <v>45302</v>
      </c>
      <c r="C977" s="475"/>
      <c r="D977" s="475"/>
      <c r="E977" s="475"/>
      <c r="F977" s="475"/>
      <c r="G977" s="475"/>
      <c r="H977" s="475"/>
    </row>
    <row r="978" spans="1:8" ht="15" x14ac:dyDescent="0.4">
      <c r="A978" s="478">
        <f t="shared" si="6"/>
        <v>45302</v>
      </c>
      <c r="B978" s="478">
        <f t="shared" si="7"/>
        <v>45302</v>
      </c>
      <c r="C978" s="475"/>
      <c r="D978" s="475"/>
      <c r="E978" s="475"/>
      <c r="F978" s="475"/>
      <c r="G978" s="475"/>
      <c r="H978" s="475"/>
    </row>
    <row r="979" spans="1:8" ht="15" x14ac:dyDescent="0.4">
      <c r="A979" s="478">
        <f t="shared" si="6"/>
        <v>45303</v>
      </c>
      <c r="B979" s="478">
        <f t="shared" si="7"/>
        <v>45309</v>
      </c>
      <c r="C979" s="475"/>
      <c r="D979" s="475"/>
      <c r="E979" s="475"/>
      <c r="F979" s="475"/>
      <c r="G979" s="475"/>
      <c r="H979" s="475"/>
    </row>
    <row r="980" spans="1:8" ht="15" x14ac:dyDescent="0.4">
      <c r="A980" s="478">
        <f t="shared" si="6"/>
        <v>45304</v>
      </c>
      <c r="B980" s="478">
        <f t="shared" si="7"/>
        <v>45309</v>
      </c>
      <c r="C980" s="475"/>
      <c r="D980" s="475"/>
      <c r="E980" s="475"/>
      <c r="F980" s="475"/>
      <c r="G980" s="475"/>
      <c r="H980" s="475"/>
    </row>
    <row r="981" spans="1:8" ht="15" x14ac:dyDescent="0.4">
      <c r="A981" s="478">
        <f t="shared" si="6"/>
        <v>45305</v>
      </c>
      <c r="B981" s="478">
        <f t="shared" si="7"/>
        <v>45309</v>
      </c>
      <c r="C981" s="475"/>
      <c r="D981" s="475"/>
      <c r="E981" s="475"/>
      <c r="F981" s="475"/>
      <c r="G981" s="475"/>
      <c r="H981" s="475"/>
    </row>
    <row r="982" spans="1:8" ht="15" x14ac:dyDescent="0.4">
      <c r="A982" s="478">
        <f t="shared" si="6"/>
        <v>45306</v>
      </c>
      <c r="B982" s="478">
        <f t="shared" si="7"/>
        <v>45309</v>
      </c>
      <c r="C982" s="475"/>
      <c r="D982" s="475"/>
      <c r="E982" s="475"/>
      <c r="F982" s="475"/>
      <c r="G982" s="475"/>
      <c r="H982" s="475"/>
    </row>
    <row r="983" spans="1:8" ht="15" x14ac:dyDescent="0.4">
      <c r="A983" s="478">
        <f t="shared" si="6"/>
        <v>45307</v>
      </c>
      <c r="B983" s="478">
        <f t="shared" si="7"/>
        <v>45309</v>
      </c>
      <c r="C983" s="475"/>
      <c r="D983" s="475"/>
      <c r="E983" s="475"/>
      <c r="F983" s="475"/>
      <c r="G983" s="475"/>
      <c r="H983" s="475"/>
    </row>
    <row r="984" spans="1:8" ht="15" x14ac:dyDescent="0.4">
      <c r="A984" s="478">
        <f t="shared" si="6"/>
        <v>45308</v>
      </c>
      <c r="B984" s="478">
        <f t="shared" si="7"/>
        <v>45309</v>
      </c>
      <c r="C984" s="475"/>
      <c r="D984" s="475"/>
      <c r="E984" s="475"/>
      <c r="F984" s="475"/>
      <c r="G984" s="475"/>
      <c r="H984" s="475"/>
    </row>
    <row r="985" spans="1:8" ht="15" x14ac:dyDescent="0.4">
      <c r="A985" s="478">
        <f t="shared" si="6"/>
        <v>45309</v>
      </c>
      <c r="B985" s="478">
        <f t="shared" si="7"/>
        <v>45309</v>
      </c>
      <c r="C985" s="475"/>
      <c r="D985" s="475"/>
      <c r="E985" s="475"/>
      <c r="F985" s="475"/>
      <c r="G985" s="475"/>
      <c r="H985" s="475"/>
    </row>
    <row r="986" spans="1:8" ht="15" x14ac:dyDescent="0.4">
      <c r="A986" s="478">
        <f t="shared" si="6"/>
        <v>45310</v>
      </c>
      <c r="B986" s="478">
        <f t="shared" si="7"/>
        <v>45316</v>
      </c>
      <c r="C986" s="475"/>
      <c r="D986" s="475"/>
      <c r="E986" s="475"/>
      <c r="F986" s="475"/>
      <c r="G986" s="475"/>
      <c r="H986" s="475"/>
    </row>
    <row r="987" spans="1:8" ht="15" x14ac:dyDescent="0.4">
      <c r="A987" s="478">
        <f t="shared" si="6"/>
        <v>45311</v>
      </c>
      <c r="B987" s="478">
        <f t="shared" si="7"/>
        <v>45316</v>
      </c>
      <c r="C987" s="475"/>
      <c r="D987" s="475"/>
      <c r="E987" s="475"/>
      <c r="F987" s="475"/>
      <c r="G987" s="475"/>
      <c r="H987" s="475"/>
    </row>
    <row r="988" spans="1:8" ht="15" x14ac:dyDescent="0.4">
      <c r="A988" s="478">
        <f t="shared" si="6"/>
        <v>45312</v>
      </c>
      <c r="B988" s="478">
        <f t="shared" si="7"/>
        <v>45316</v>
      </c>
      <c r="C988" s="475"/>
      <c r="D988" s="475"/>
      <c r="E988" s="475"/>
      <c r="F988" s="475"/>
      <c r="G988" s="475"/>
      <c r="H988" s="475"/>
    </row>
    <row r="989" spans="1:8" ht="15" x14ac:dyDescent="0.4">
      <c r="A989" s="478">
        <f t="shared" si="6"/>
        <v>45313</v>
      </c>
      <c r="B989" s="478">
        <f t="shared" si="7"/>
        <v>45316</v>
      </c>
      <c r="C989" s="475"/>
      <c r="D989" s="475"/>
      <c r="E989" s="475"/>
      <c r="F989" s="475"/>
      <c r="G989" s="475"/>
      <c r="H989" s="475"/>
    </row>
    <row r="990" spans="1:8" ht="15" x14ac:dyDescent="0.4">
      <c r="A990" s="478">
        <f t="shared" si="6"/>
        <v>45314</v>
      </c>
      <c r="B990" s="478">
        <f t="shared" si="7"/>
        <v>45316</v>
      </c>
      <c r="C990" s="475"/>
      <c r="D990" s="475"/>
      <c r="E990" s="475"/>
      <c r="F990" s="475"/>
      <c r="G990" s="475"/>
      <c r="H990" s="475"/>
    </row>
    <row r="991" spans="1:8" ht="15" x14ac:dyDescent="0.4">
      <c r="A991" s="478">
        <f t="shared" si="6"/>
        <v>45315</v>
      </c>
      <c r="B991" s="478">
        <f t="shared" si="7"/>
        <v>45316</v>
      </c>
      <c r="C991" s="475"/>
      <c r="D991" s="475"/>
      <c r="E991" s="475"/>
      <c r="F991" s="475"/>
      <c r="G991" s="475"/>
      <c r="H991" s="475"/>
    </row>
    <row r="992" spans="1:8" ht="15" x14ac:dyDescent="0.4">
      <c r="A992" s="478">
        <f t="shared" si="6"/>
        <v>45316</v>
      </c>
      <c r="B992" s="478">
        <f t="shared" si="7"/>
        <v>45316</v>
      </c>
      <c r="C992" s="475"/>
      <c r="D992" s="475"/>
      <c r="E992" s="475"/>
      <c r="F992" s="475"/>
      <c r="G992" s="475"/>
      <c r="H992" s="475"/>
    </row>
    <row r="993" spans="1:8" ht="15" x14ac:dyDescent="0.4">
      <c r="A993" s="478">
        <f t="shared" si="6"/>
        <v>45317</v>
      </c>
      <c r="B993" s="478">
        <f t="shared" si="7"/>
        <v>45323</v>
      </c>
      <c r="C993" s="475"/>
      <c r="D993" s="475"/>
      <c r="E993" s="475"/>
      <c r="F993" s="475"/>
      <c r="G993" s="475"/>
      <c r="H993" s="475"/>
    </row>
    <row r="994" spans="1:8" ht="15" x14ac:dyDescent="0.4">
      <c r="A994" s="478">
        <f t="shared" si="6"/>
        <v>45318</v>
      </c>
      <c r="B994" s="478">
        <f t="shared" si="7"/>
        <v>45323</v>
      </c>
      <c r="C994" s="475"/>
      <c r="D994" s="475"/>
      <c r="E994" s="475"/>
      <c r="F994" s="475"/>
      <c r="G994" s="475"/>
      <c r="H994" s="475"/>
    </row>
    <row r="995" spans="1:8" ht="15" x14ac:dyDescent="0.4">
      <c r="A995" s="478">
        <f t="shared" si="6"/>
        <v>45319</v>
      </c>
      <c r="B995" s="478">
        <f t="shared" si="7"/>
        <v>45323</v>
      </c>
      <c r="C995" s="475"/>
      <c r="D995" s="475"/>
      <c r="E995" s="475"/>
      <c r="F995" s="475"/>
      <c r="G995" s="475"/>
      <c r="H995" s="475"/>
    </row>
    <row r="996" spans="1:8" ht="15" x14ac:dyDescent="0.4">
      <c r="A996" s="478">
        <f t="shared" si="6"/>
        <v>45320</v>
      </c>
      <c r="B996" s="478">
        <f t="shared" si="7"/>
        <v>45323</v>
      </c>
      <c r="C996" s="475"/>
      <c r="D996" s="475"/>
      <c r="E996" s="475"/>
      <c r="F996" s="475"/>
      <c r="G996" s="475"/>
      <c r="H996" s="475"/>
    </row>
    <row r="997" spans="1:8" ht="15" x14ac:dyDescent="0.4">
      <c r="A997" s="478">
        <f t="shared" si="6"/>
        <v>45321</v>
      </c>
      <c r="B997" s="478">
        <f t="shared" si="7"/>
        <v>45323</v>
      </c>
      <c r="C997" s="475"/>
      <c r="D997" s="475"/>
      <c r="E997" s="475"/>
      <c r="F997" s="475"/>
      <c r="G997" s="475"/>
      <c r="H997" s="475"/>
    </row>
    <row r="998" spans="1:8" ht="15" x14ac:dyDescent="0.4">
      <c r="A998" s="478">
        <f t="shared" si="6"/>
        <v>45322</v>
      </c>
      <c r="B998" s="478">
        <f t="shared" si="7"/>
        <v>45323</v>
      </c>
      <c r="C998" s="475"/>
      <c r="D998" s="475"/>
      <c r="E998" s="475"/>
      <c r="F998" s="475"/>
      <c r="G998" s="475"/>
      <c r="H998" s="475"/>
    </row>
    <row r="999" spans="1:8" ht="15" x14ac:dyDescent="0.4">
      <c r="A999" s="478">
        <f t="shared" si="6"/>
        <v>45323</v>
      </c>
      <c r="B999" s="478">
        <f t="shared" si="7"/>
        <v>45323</v>
      </c>
      <c r="C999" s="475"/>
      <c r="D999" s="475"/>
      <c r="E999" s="475"/>
      <c r="F999" s="475"/>
      <c r="G999" s="475"/>
      <c r="H999" s="475"/>
    </row>
    <row r="1000" spans="1:8" ht="15" x14ac:dyDescent="0.4">
      <c r="A1000" s="478">
        <f t="shared" si="6"/>
        <v>45324</v>
      </c>
      <c r="B1000" s="478">
        <f t="shared" si="7"/>
        <v>45330</v>
      </c>
      <c r="C1000" s="475"/>
      <c r="D1000" s="475"/>
      <c r="E1000" s="475"/>
      <c r="F1000" s="475"/>
      <c r="G1000" s="475"/>
      <c r="H1000" s="475"/>
    </row>
  </sheetData>
  <printOptions horizontalCentered="1" gridLines="1"/>
  <pageMargins left="0.7" right="0.7" top="0.75" bottom="0.75" header="0" footer="0"/>
  <pageSetup fitToHeight="0" pageOrder="overThenDown" orientation="portrait" cellComments="atEnd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outlinePr summaryBelow="0" summaryRight="0"/>
  </sheetPr>
  <dimension ref="A1:G892"/>
  <sheetViews>
    <sheetView workbookViewId="0"/>
  </sheetViews>
  <sheetFormatPr defaultColWidth="14.42578125" defaultRowHeight="15.75" customHeight="1" x14ac:dyDescent="0.4"/>
  <cols>
    <col min="1" max="1" width="14.42578125" customWidth="1"/>
    <col min="2" max="2" width="27" customWidth="1"/>
    <col min="3" max="3" width="18.28515625" customWidth="1"/>
    <col min="4" max="4" width="17.7109375" customWidth="1"/>
    <col min="5" max="5" width="27.5703125" customWidth="1"/>
    <col min="6" max="6" width="12.28515625" customWidth="1"/>
    <col min="7" max="7" width="10.85546875" customWidth="1"/>
  </cols>
  <sheetData>
    <row r="1" spans="1:7" ht="15.75" customHeight="1" x14ac:dyDescent="0.5">
      <c r="A1" s="480" t="s">
        <v>973</v>
      </c>
      <c r="B1" s="481" t="s">
        <v>974</v>
      </c>
      <c r="C1" s="481" t="s">
        <v>975</v>
      </c>
      <c r="D1" s="481" t="s">
        <v>974</v>
      </c>
      <c r="E1" s="481" t="s">
        <v>976</v>
      </c>
      <c r="F1" s="482" t="s">
        <v>977</v>
      </c>
      <c r="G1" s="482" t="s">
        <v>2762</v>
      </c>
    </row>
    <row r="2" spans="1:7" ht="15.75" customHeight="1" x14ac:dyDescent="0.5">
      <c r="A2" s="483">
        <v>1</v>
      </c>
      <c r="B2" s="484" t="s">
        <v>2763</v>
      </c>
      <c r="C2" s="485" t="s">
        <v>2764</v>
      </c>
      <c r="D2" s="486" t="s">
        <v>2765</v>
      </c>
      <c r="E2" s="487" t="s">
        <v>2766</v>
      </c>
      <c r="F2" s="488">
        <v>24.95</v>
      </c>
      <c r="G2" s="484"/>
    </row>
    <row r="3" spans="1:7" ht="15.75" customHeight="1" x14ac:dyDescent="0.5">
      <c r="A3" s="483">
        <v>2</v>
      </c>
      <c r="B3" s="484" t="s">
        <v>2767</v>
      </c>
      <c r="C3" s="485" t="s">
        <v>2768</v>
      </c>
      <c r="D3" s="486" t="s">
        <v>2769</v>
      </c>
      <c r="E3" s="487" t="s">
        <v>2766</v>
      </c>
      <c r="F3" s="489">
        <v>39.9</v>
      </c>
      <c r="G3" s="484"/>
    </row>
    <row r="4" spans="1:7" ht="15.75" customHeight="1" x14ac:dyDescent="0.5">
      <c r="A4" s="483">
        <v>2</v>
      </c>
      <c r="B4" s="485" t="s">
        <v>2625</v>
      </c>
      <c r="C4" s="485" t="s">
        <v>2770</v>
      </c>
      <c r="D4" s="486" t="s">
        <v>2771</v>
      </c>
      <c r="E4" s="487" t="s">
        <v>2766</v>
      </c>
      <c r="F4" s="489">
        <v>29</v>
      </c>
      <c r="G4" s="484"/>
    </row>
    <row r="5" spans="1:7" ht="15.75" customHeight="1" x14ac:dyDescent="0.5">
      <c r="A5" s="483">
        <v>1</v>
      </c>
      <c r="B5" s="484" t="s">
        <v>2772</v>
      </c>
      <c r="C5" s="485" t="s">
        <v>2773</v>
      </c>
      <c r="D5" s="486" t="s">
        <v>2774</v>
      </c>
      <c r="E5" s="487" t="s">
        <v>2766</v>
      </c>
      <c r="F5" s="489">
        <v>13.89</v>
      </c>
      <c r="G5" s="484"/>
    </row>
    <row r="6" spans="1:7" ht="15.75" customHeight="1" x14ac:dyDescent="0.5">
      <c r="A6" s="483">
        <v>2</v>
      </c>
      <c r="B6" s="485" t="s">
        <v>2775</v>
      </c>
      <c r="C6" s="485" t="s">
        <v>2776</v>
      </c>
      <c r="D6" s="486" t="s">
        <v>2777</v>
      </c>
      <c r="E6" s="490" t="s">
        <v>2766</v>
      </c>
      <c r="F6" s="489">
        <v>16.899999999999999</v>
      </c>
      <c r="G6" s="484"/>
    </row>
    <row r="7" spans="1:7" ht="15.75" customHeight="1" x14ac:dyDescent="0.5">
      <c r="A7" s="483">
        <v>3</v>
      </c>
      <c r="B7" s="485" t="s">
        <v>2778</v>
      </c>
      <c r="C7" s="485" t="s">
        <v>2779</v>
      </c>
      <c r="D7" s="486" t="s">
        <v>2780</v>
      </c>
      <c r="E7" s="490" t="s">
        <v>2766</v>
      </c>
      <c r="F7" s="489">
        <v>120</v>
      </c>
      <c r="G7" s="484"/>
    </row>
    <row r="8" spans="1:7" ht="15.75" customHeight="1" x14ac:dyDescent="0.5">
      <c r="A8" s="483">
        <v>1</v>
      </c>
      <c r="B8" s="484" t="s">
        <v>2781</v>
      </c>
      <c r="C8" s="485" t="s">
        <v>2768</v>
      </c>
      <c r="D8" s="486" t="s">
        <v>2782</v>
      </c>
      <c r="E8" s="487" t="s">
        <v>2766</v>
      </c>
      <c r="F8" s="489">
        <v>10.9</v>
      </c>
      <c r="G8" s="484"/>
    </row>
    <row r="9" spans="1:7" ht="15.75" customHeight="1" x14ac:dyDescent="0.5">
      <c r="A9" s="483">
        <v>1</v>
      </c>
      <c r="B9" s="485" t="s">
        <v>2783</v>
      </c>
      <c r="C9" s="485" t="s">
        <v>2784</v>
      </c>
      <c r="D9" s="486" t="s">
        <v>2785</v>
      </c>
      <c r="E9" s="487" t="s">
        <v>2766</v>
      </c>
      <c r="F9" s="489">
        <v>4.99</v>
      </c>
      <c r="G9" s="484"/>
    </row>
    <row r="10" spans="1:7" ht="15.75" customHeight="1" x14ac:dyDescent="0.5">
      <c r="A10" s="483">
        <v>2</v>
      </c>
      <c r="B10" s="485" t="s">
        <v>2786</v>
      </c>
      <c r="C10" s="485" t="s">
        <v>2768</v>
      </c>
      <c r="D10" s="486" t="s">
        <v>2787</v>
      </c>
      <c r="E10" s="487" t="s">
        <v>2766</v>
      </c>
      <c r="F10" s="489">
        <v>33.979999999999997</v>
      </c>
      <c r="G10" s="484"/>
    </row>
    <row r="11" spans="1:7" ht="15.75" customHeight="1" x14ac:dyDescent="0.5">
      <c r="A11" s="483">
        <v>18</v>
      </c>
      <c r="B11" s="484" t="s">
        <v>2788</v>
      </c>
      <c r="C11" s="485" t="s">
        <v>2776</v>
      </c>
      <c r="D11" s="486" t="s">
        <v>2789</v>
      </c>
      <c r="E11" s="487" t="s">
        <v>2766</v>
      </c>
      <c r="F11" s="489">
        <v>28.86</v>
      </c>
      <c r="G11" s="484"/>
    </row>
    <row r="12" spans="1:7" ht="15.75" customHeight="1" x14ac:dyDescent="0.5">
      <c r="A12" s="483">
        <v>4</v>
      </c>
      <c r="B12" s="484" t="s">
        <v>2790</v>
      </c>
      <c r="C12" s="485" t="s">
        <v>2768</v>
      </c>
      <c r="D12" s="486" t="s">
        <v>2791</v>
      </c>
      <c r="E12" s="487" t="s">
        <v>2766</v>
      </c>
      <c r="F12" s="489">
        <v>84</v>
      </c>
      <c r="G12" s="484"/>
    </row>
    <row r="13" spans="1:7" ht="15.75" customHeight="1" x14ac:dyDescent="0.5">
      <c r="A13" s="483">
        <v>3</v>
      </c>
      <c r="B13" s="485" t="s">
        <v>2792</v>
      </c>
      <c r="C13" s="485" t="s">
        <v>2793</v>
      </c>
      <c r="D13" s="486" t="s">
        <v>2794</v>
      </c>
      <c r="E13" s="487" t="s">
        <v>2766</v>
      </c>
      <c r="F13" s="489">
        <v>36</v>
      </c>
      <c r="G13" s="484"/>
    </row>
    <row r="14" spans="1:7" ht="15.75" customHeight="1" x14ac:dyDescent="0.5">
      <c r="A14" s="483">
        <v>4</v>
      </c>
      <c r="B14" s="485" t="s">
        <v>2792</v>
      </c>
      <c r="C14" s="485" t="s">
        <v>2795</v>
      </c>
      <c r="D14" s="486" t="s">
        <v>2796</v>
      </c>
      <c r="E14" s="487" t="s">
        <v>2766</v>
      </c>
      <c r="F14" s="489">
        <v>60</v>
      </c>
      <c r="G14" s="484"/>
    </row>
    <row r="15" spans="1:7" ht="15.75" customHeight="1" x14ac:dyDescent="0.5">
      <c r="A15" s="483">
        <v>3</v>
      </c>
      <c r="B15" s="484" t="s">
        <v>2797</v>
      </c>
      <c r="C15" s="485" t="s">
        <v>2798</v>
      </c>
      <c r="D15" s="486" t="s">
        <v>2799</v>
      </c>
      <c r="E15" s="487" t="s">
        <v>2766</v>
      </c>
      <c r="F15" s="489">
        <v>96</v>
      </c>
      <c r="G15" s="484"/>
    </row>
    <row r="16" spans="1:7" ht="15.75" customHeight="1" x14ac:dyDescent="0.5">
      <c r="A16" s="483">
        <v>2</v>
      </c>
      <c r="B16" s="484" t="s">
        <v>2797</v>
      </c>
      <c r="C16" s="485" t="s">
        <v>2800</v>
      </c>
      <c r="D16" s="486" t="s">
        <v>2801</v>
      </c>
      <c r="E16" s="487" t="s">
        <v>2766</v>
      </c>
      <c r="F16" s="489">
        <v>82</v>
      </c>
      <c r="G16" s="484"/>
    </row>
    <row r="17" spans="1:7" ht="15.75" customHeight="1" x14ac:dyDescent="0.5">
      <c r="A17" s="483">
        <v>12</v>
      </c>
      <c r="B17" s="485" t="s">
        <v>2802</v>
      </c>
      <c r="C17" s="485" t="s">
        <v>2803</v>
      </c>
      <c r="D17" s="486" t="s">
        <v>2804</v>
      </c>
      <c r="E17" s="487" t="s">
        <v>2766</v>
      </c>
      <c r="F17" s="489">
        <v>82.92</v>
      </c>
      <c r="G17" s="484"/>
    </row>
    <row r="18" spans="1:7" ht="15.75" customHeight="1" x14ac:dyDescent="0.5">
      <c r="A18" s="483">
        <v>1</v>
      </c>
      <c r="B18" s="485" t="s">
        <v>2805</v>
      </c>
      <c r="C18" s="485" t="s">
        <v>2806</v>
      </c>
      <c r="D18" s="486" t="s">
        <v>2807</v>
      </c>
      <c r="E18" s="487" t="s">
        <v>2766</v>
      </c>
      <c r="F18" s="489">
        <v>22.95</v>
      </c>
      <c r="G18" s="484"/>
    </row>
    <row r="19" spans="1:7" ht="15.75" customHeight="1" x14ac:dyDescent="0.5">
      <c r="A19" s="483">
        <v>2</v>
      </c>
      <c r="B19" s="484" t="s">
        <v>2808</v>
      </c>
      <c r="C19" s="485" t="s">
        <v>2809</v>
      </c>
      <c r="D19" s="486" t="s">
        <v>2810</v>
      </c>
      <c r="E19" s="487" t="s">
        <v>2766</v>
      </c>
      <c r="F19" s="489">
        <v>15.98</v>
      </c>
      <c r="G19" s="484"/>
    </row>
    <row r="20" spans="1:7" ht="15.75" customHeight="1" x14ac:dyDescent="0.5">
      <c r="A20" s="483">
        <v>1</v>
      </c>
      <c r="B20" s="484" t="s">
        <v>2811</v>
      </c>
      <c r="C20" s="485" t="s">
        <v>2809</v>
      </c>
      <c r="D20" s="486" t="s">
        <v>2812</v>
      </c>
      <c r="E20" s="487" t="s">
        <v>2766</v>
      </c>
      <c r="F20" s="489">
        <v>2.99</v>
      </c>
      <c r="G20" s="484"/>
    </row>
    <row r="21" spans="1:7" ht="15.75" customHeight="1" x14ac:dyDescent="0.5">
      <c r="A21" s="483">
        <v>1</v>
      </c>
      <c r="B21" s="484" t="s">
        <v>2813</v>
      </c>
      <c r="C21" s="485" t="s">
        <v>2768</v>
      </c>
      <c r="D21" s="486" t="s">
        <v>2814</v>
      </c>
      <c r="E21" s="487" t="s">
        <v>2766</v>
      </c>
      <c r="F21" s="489">
        <v>10</v>
      </c>
      <c r="G21" s="484"/>
    </row>
    <row r="22" spans="1:7" ht="15.75" customHeight="1" x14ac:dyDescent="0.5">
      <c r="A22" s="483">
        <v>1</v>
      </c>
      <c r="B22" s="485" t="s">
        <v>2815</v>
      </c>
      <c r="C22" s="485" t="s">
        <v>2816</v>
      </c>
      <c r="D22" s="486" t="s">
        <v>2817</v>
      </c>
      <c r="E22" s="487" t="s">
        <v>2766</v>
      </c>
      <c r="F22" s="489">
        <v>22.63</v>
      </c>
      <c r="G22" s="484"/>
    </row>
    <row r="23" spans="1:7" ht="15.75" customHeight="1" x14ac:dyDescent="0.5">
      <c r="A23" s="483">
        <v>2</v>
      </c>
      <c r="B23" s="485" t="s">
        <v>2818</v>
      </c>
      <c r="C23" s="485" t="s">
        <v>558</v>
      </c>
      <c r="D23" s="486" t="s">
        <v>2819</v>
      </c>
      <c r="E23" s="487" t="s">
        <v>2820</v>
      </c>
      <c r="F23" s="489">
        <v>272</v>
      </c>
      <c r="G23" s="484"/>
    </row>
    <row r="24" spans="1:7" ht="15.75" customHeight="1" x14ac:dyDescent="0.5">
      <c r="A24" s="483">
        <v>6</v>
      </c>
      <c r="B24" s="485" t="s">
        <v>978</v>
      </c>
      <c r="C24" s="485" t="s">
        <v>2821</v>
      </c>
      <c r="D24" s="486" t="s">
        <v>2822</v>
      </c>
      <c r="E24" s="487" t="s">
        <v>979</v>
      </c>
      <c r="F24" s="489">
        <v>270</v>
      </c>
      <c r="G24" s="484"/>
    </row>
    <row r="25" spans="1:7" ht="15.75" customHeight="1" x14ac:dyDescent="0.5">
      <c r="A25" s="483">
        <v>1</v>
      </c>
      <c r="B25" s="485" t="s">
        <v>2823</v>
      </c>
      <c r="C25" s="485" t="s">
        <v>2824</v>
      </c>
      <c r="D25" s="486" t="s">
        <v>2825</v>
      </c>
      <c r="E25" s="490" t="s">
        <v>2826</v>
      </c>
      <c r="F25" s="489">
        <v>182</v>
      </c>
      <c r="G25" s="484"/>
    </row>
    <row r="26" spans="1:7" ht="15.75" customHeight="1" x14ac:dyDescent="0.5">
      <c r="A26" s="483">
        <v>2</v>
      </c>
      <c r="B26" s="484" t="s">
        <v>2827</v>
      </c>
      <c r="C26" s="485" t="s">
        <v>2828</v>
      </c>
      <c r="D26" s="486" t="s">
        <v>2829</v>
      </c>
      <c r="E26" s="490" t="s">
        <v>2766</v>
      </c>
      <c r="F26" s="489">
        <v>39.979999999999997</v>
      </c>
      <c r="G26" s="484"/>
    </row>
    <row r="27" spans="1:7" ht="15.75" customHeight="1" x14ac:dyDescent="0.5">
      <c r="A27" s="483">
        <v>2</v>
      </c>
      <c r="B27" s="484" t="s">
        <v>2830</v>
      </c>
      <c r="C27" s="485" t="s">
        <v>2768</v>
      </c>
      <c r="D27" s="486" t="s">
        <v>2831</v>
      </c>
      <c r="E27" s="490" t="s">
        <v>2820</v>
      </c>
      <c r="F27" s="489">
        <v>204</v>
      </c>
    </row>
    <row r="28" spans="1:7" ht="15.75" customHeight="1" x14ac:dyDescent="0.5">
      <c r="A28" s="483">
        <v>4</v>
      </c>
      <c r="B28" s="484" t="s">
        <v>2832</v>
      </c>
      <c r="C28" s="485" t="s">
        <v>2833</v>
      </c>
      <c r="D28" s="486" t="s">
        <v>2834</v>
      </c>
      <c r="E28" s="490" t="s">
        <v>2766</v>
      </c>
      <c r="F28" s="489">
        <v>71.959999999999994</v>
      </c>
    </row>
    <row r="29" spans="1:7" ht="15.75" customHeight="1" x14ac:dyDescent="0.5">
      <c r="A29" s="483">
        <v>3</v>
      </c>
      <c r="B29" s="484" t="s">
        <v>2832</v>
      </c>
      <c r="C29" s="485" t="s">
        <v>2833</v>
      </c>
      <c r="D29" s="486" t="s">
        <v>2835</v>
      </c>
      <c r="E29" s="490" t="s">
        <v>2766</v>
      </c>
      <c r="F29" s="489">
        <v>84</v>
      </c>
    </row>
    <row r="30" spans="1:7" x14ac:dyDescent="0.5">
      <c r="A30" s="483">
        <v>6</v>
      </c>
      <c r="B30" s="485" t="s">
        <v>2665</v>
      </c>
      <c r="C30" s="485" t="s">
        <v>2836</v>
      </c>
      <c r="D30" s="486" t="s">
        <v>2837</v>
      </c>
      <c r="E30" s="490" t="s">
        <v>2766</v>
      </c>
      <c r="F30" s="489">
        <v>39</v>
      </c>
    </row>
    <row r="31" spans="1:7" x14ac:dyDescent="0.5">
      <c r="A31" s="491">
        <v>1</v>
      </c>
      <c r="B31" s="485" t="s">
        <v>2838</v>
      </c>
      <c r="C31" s="485" t="s">
        <v>2839</v>
      </c>
      <c r="D31" s="492" t="s">
        <v>2840</v>
      </c>
      <c r="E31" s="490" t="s">
        <v>2820</v>
      </c>
      <c r="F31" s="489">
        <v>230</v>
      </c>
    </row>
    <row r="32" spans="1:7" x14ac:dyDescent="0.5">
      <c r="A32" s="483">
        <v>2</v>
      </c>
      <c r="B32" s="484" t="s">
        <v>2841</v>
      </c>
      <c r="C32" s="485" t="s">
        <v>216</v>
      </c>
      <c r="D32" s="486" t="s">
        <v>474</v>
      </c>
      <c r="E32" s="490" t="s">
        <v>2820</v>
      </c>
      <c r="F32" s="489">
        <v>206</v>
      </c>
    </row>
    <row r="33" spans="1:6" x14ac:dyDescent="0.5">
      <c r="A33" s="483">
        <v>2</v>
      </c>
      <c r="B33" s="484" t="s">
        <v>2841</v>
      </c>
      <c r="C33" s="485" t="s">
        <v>2842</v>
      </c>
      <c r="D33" s="486" t="s">
        <v>484</v>
      </c>
      <c r="E33" s="490" t="s">
        <v>2820</v>
      </c>
      <c r="F33" s="489">
        <v>512</v>
      </c>
    </row>
    <row r="34" spans="1:6" x14ac:dyDescent="0.5">
      <c r="A34" s="483">
        <v>1</v>
      </c>
      <c r="B34" s="484" t="s">
        <v>2843</v>
      </c>
      <c r="C34" s="485" t="s">
        <v>2844</v>
      </c>
      <c r="D34" s="486" t="s">
        <v>577</v>
      </c>
      <c r="E34" s="490" t="s">
        <v>2820</v>
      </c>
      <c r="F34" s="489">
        <v>30</v>
      </c>
    </row>
    <row r="35" spans="1:6" x14ac:dyDescent="0.5">
      <c r="A35" s="483">
        <v>1</v>
      </c>
      <c r="B35" s="484" t="s">
        <v>2845</v>
      </c>
      <c r="C35" s="485" t="s">
        <v>2844</v>
      </c>
      <c r="D35" s="486" t="s">
        <v>583</v>
      </c>
      <c r="E35" s="490" t="s">
        <v>2820</v>
      </c>
      <c r="F35" s="489">
        <v>75</v>
      </c>
    </row>
    <row r="36" spans="1:6" x14ac:dyDescent="0.5">
      <c r="A36" s="483">
        <v>1</v>
      </c>
      <c r="B36" s="484" t="s">
        <v>2846</v>
      </c>
      <c r="C36" s="485" t="s">
        <v>2847</v>
      </c>
      <c r="D36" s="486" t="s">
        <v>84</v>
      </c>
      <c r="E36" s="490" t="s">
        <v>2820</v>
      </c>
      <c r="F36" s="489">
        <v>76</v>
      </c>
    </row>
    <row r="37" spans="1:6" x14ac:dyDescent="0.5">
      <c r="A37" s="483">
        <v>1</v>
      </c>
      <c r="B37" s="484" t="s">
        <v>2848</v>
      </c>
      <c r="C37" s="485" t="s">
        <v>2847</v>
      </c>
      <c r="D37" s="486" t="s">
        <v>595</v>
      </c>
      <c r="E37" s="490" t="s">
        <v>2820</v>
      </c>
      <c r="F37" s="489">
        <v>125</v>
      </c>
    </row>
    <row r="38" spans="1:6" x14ac:dyDescent="0.5">
      <c r="A38" s="483">
        <v>1</v>
      </c>
      <c r="B38" s="484" t="s">
        <v>2849</v>
      </c>
      <c r="C38" s="485" t="s">
        <v>2847</v>
      </c>
      <c r="D38" s="486" t="s">
        <v>65</v>
      </c>
      <c r="E38" s="490" t="s">
        <v>2820</v>
      </c>
      <c r="F38" s="489">
        <v>125</v>
      </c>
    </row>
    <row r="39" spans="1:6" x14ac:dyDescent="0.5">
      <c r="A39" s="483">
        <v>1</v>
      </c>
      <c r="B39" s="484" t="s">
        <v>2850</v>
      </c>
      <c r="C39" s="485" t="s">
        <v>2847</v>
      </c>
      <c r="D39" s="486" t="s">
        <v>2851</v>
      </c>
      <c r="E39" s="490" t="s">
        <v>2820</v>
      </c>
      <c r="F39" s="489">
        <v>76.5</v>
      </c>
    </row>
    <row r="40" spans="1:6" x14ac:dyDescent="0.5">
      <c r="A40" s="483">
        <v>1</v>
      </c>
      <c r="B40" s="484" t="s">
        <v>2852</v>
      </c>
      <c r="C40" s="485" t="s">
        <v>2847</v>
      </c>
      <c r="D40" s="486" t="s">
        <v>2853</v>
      </c>
      <c r="E40" s="490" t="s">
        <v>2820</v>
      </c>
      <c r="F40" s="489">
        <v>264</v>
      </c>
    </row>
    <row r="41" spans="1:6" x14ac:dyDescent="0.5">
      <c r="A41" s="483">
        <v>1</v>
      </c>
      <c r="B41" s="484" t="s">
        <v>2854</v>
      </c>
      <c r="C41" s="485" t="s">
        <v>2855</v>
      </c>
      <c r="D41" s="486" t="s">
        <v>2856</v>
      </c>
      <c r="E41" s="490" t="s">
        <v>2820</v>
      </c>
      <c r="F41" s="489">
        <v>138</v>
      </c>
    </row>
    <row r="42" spans="1:6" x14ac:dyDescent="0.5">
      <c r="A42" s="483">
        <v>14</v>
      </c>
      <c r="B42" s="484" t="s">
        <v>2857</v>
      </c>
      <c r="C42" s="485" t="s">
        <v>2858</v>
      </c>
      <c r="D42" s="486">
        <v>50446</v>
      </c>
      <c r="E42" s="490" t="s">
        <v>2859</v>
      </c>
      <c r="F42" s="489">
        <v>47.46</v>
      </c>
    </row>
    <row r="43" spans="1:6" x14ac:dyDescent="0.5">
      <c r="A43" s="483"/>
      <c r="B43" s="485"/>
      <c r="C43" s="485"/>
      <c r="D43" s="493"/>
      <c r="E43" s="490"/>
      <c r="F43" s="490"/>
    </row>
    <row r="44" spans="1:6" x14ac:dyDescent="0.5">
      <c r="A44" s="483">
        <v>1</v>
      </c>
      <c r="B44" s="484" t="s">
        <v>2860</v>
      </c>
      <c r="C44" s="485" t="s">
        <v>2861</v>
      </c>
      <c r="D44" s="494">
        <v>700306</v>
      </c>
      <c r="E44" s="490" t="s">
        <v>2862</v>
      </c>
      <c r="F44" s="489">
        <v>650</v>
      </c>
    </row>
    <row r="45" spans="1:6" x14ac:dyDescent="0.5">
      <c r="A45" s="483">
        <v>1</v>
      </c>
      <c r="B45" s="484" t="s">
        <v>2863</v>
      </c>
      <c r="C45" s="485" t="s">
        <v>2861</v>
      </c>
      <c r="D45" s="494">
        <v>700309</v>
      </c>
      <c r="E45" s="490" t="s">
        <v>2862</v>
      </c>
      <c r="F45" s="489">
        <v>650</v>
      </c>
    </row>
    <row r="46" spans="1:6" x14ac:dyDescent="0.5">
      <c r="A46" s="483">
        <v>1</v>
      </c>
      <c r="B46" s="484" t="s">
        <v>2864</v>
      </c>
      <c r="C46" s="485" t="s">
        <v>2861</v>
      </c>
      <c r="D46" s="494">
        <v>700308</v>
      </c>
      <c r="E46" s="490" t="s">
        <v>2862</v>
      </c>
      <c r="F46" s="489">
        <v>650</v>
      </c>
    </row>
    <row r="47" spans="1:6" x14ac:dyDescent="0.5">
      <c r="A47" s="483">
        <v>1</v>
      </c>
      <c r="B47" s="484" t="s">
        <v>2865</v>
      </c>
      <c r="C47" s="485" t="s">
        <v>2861</v>
      </c>
      <c r="D47" s="494">
        <v>700307</v>
      </c>
      <c r="E47" s="490" t="s">
        <v>2862</v>
      </c>
      <c r="F47" s="489">
        <v>650</v>
      </c>
    </row>
    <row r="48" spans="1:6" x14ac:dyDescent="0.5">
      <c r="A48" s="483">
        <v>1</v>
      </c>
      <c r="B48" s="484" t="s">
        <v>2866</v>
      </c>
      <c r="C48" s="485" t="s">
        <v>2861</v>
      </c>
      <c r="D48" s="494">
        <v>700305</v>
      </c>
      <c r="E48" s="490" t="s">
        <v>2862</v>
      </c>
      <c r="F48" s="489">
        <v>650</v>
      </c>
    </row>
    <row r="49" spans="1:6" x14ac:dyDescent="0.5">
      <c r="A49" s="483">
        <v>1</v>
      </c>
      <c r="B49" s="485" t="s">
        <v>2867</v>
      </c>
      <c r="C49" s="485" t="s">
        <v>2861</v>
      </c>
      <c r="D49" s="494">
        <v>700304</v>
      </c>
      <c r="E49" s="490" t="s">
        <v>2862</v>
      </c>
      <c r="F49" s="489">
        <v>650</v>
      </c>
    </row>
    <row r="50" spans="1:6" x14ac:dyDescent="0.5">
      <c r="A50" s="483">
        <v>1</v>
      </c>
      <c r="B50" s="484" t="s">
        <v>2868</v>
      </c>
      <c r="C50" s="485" t="s">
        <v>2861</v>
      </c>
      <c r="D50" s="495">
        <v>700303</v>
      </c>
      <c r="E50" s="490" t="s">
        <v>2862</v>
      </c>
      <c r="F50" s="489">
        <v>650</v>
      </c>
    </row>
    <row r="51" spans="1:6" x14ac:dyDescent="0.5">
      <c r="A51" s="483"/>
      <c r="B51" s="484"/>
      <c r="C51" s="485"/>
      <c r="D51" s="495"/>
      <c r="E51" s="490"/>
      <c r="F51" s="490"/>
    </row>
    <row r="52" spans="1:6" x14ac:dyDescent="0.5">
      <c r="A52" s="483">
        <v>1</v>
      </c>
      <c r="B52" s="484" t="s">
        <v>2869</v>
      </c>
      <c r="C52" s="485" t="s">
        <v>2870</v>
      </c>
      <c r="D52" s="486" t="s">
        <v>2871</v>
      </c>
      <c r="E52" s="490" t="s">
        <v>2872</v>
      </c>
      <c r="F52" s="489">
        <v>226</v>
      </c>
    </row>
    <row r="53" spans="1:6" x14ac:dyDescent="0.5">
      <c r="A53" s="483">
        <v>1</v>
      </c>
      <c r="B53" s="484" t="s">
        <v>2873</v>
      </c>
      <c r="C53" s="485" t="s">
        <v>2870</v>
      </c>
      <c r="D53" s="486" t="s">
        <v>2874</v>
      </c>
      <c r="E53" s="490" t="s">
        <v>2872</v>
      </c>
      <c r="F53" s="489">
        <v>226</v>
      </c>
    </row>
    <row r="54" spans="1:6" x14ac:dyDescent="0.5">
      <c r="A54" s="483">
        <v>1</v>
      </c>
      <c r="B54" s="485" t="s">
        <v>2875</v>
      </c>
      <c r="C54" s="485" t="s">
        <v>2870</v>
      </c>
      <c r="D54" s="486" t="s">
        <v>2876</v>
      </c>
      <c r="E54" s="490" t="s">
        <v>2872</v>
      </c>
      <c r="F54" s="489">
        <v>226</v>
      </c>
    </row>
    <row r="55" spans="1:6" x14ac:dyDescent="0.5">
      <c r="A55" s="483">
        <v>1</v>
      </c>
      <c r="B55" s="484" t="s">
        <v>2877</v>
      </c>
      <c r="C55" s="485" t="s">
        <v>2870</v>
      </c>
      <c r="D55" s="486" t="s">
        <v>2878</v>
      </c>
      <c r="E55" s="490" t="s">
        <v>2872</v>
      </c>
      <c r="F55" s="489">
        <v>226</v>
      </c>
    </row>
    <row r="56" spans="1:6" x14ac:dyDescent="0.5">
      <c r="A56" s="483">
        <v>1</v>
      </c>
      <c r="B56" s="485" t="s">
        <v>2879</v>
      </c>
      <c r="C56" s="485" t="s">
        <v>2870</v>
      </c>
      <c r="D56" s="486" t="s">
        <v>2880</v>
      </c>
      <c r="E56" s="490" t="s">
        <v>2872</v>
      </c>
      <c r="F56" s="489">
        <v>226</v>
      </c>
    </row>
    <row r="57" spans="1:6" x14ac:dyDescent="0.5">
      <c r="A57" s="483">
        <v>1</v>
      </c>
      <c r="B57" s="485" t="s">
        <v>2881</v>
      </c>
      <c r="C57" s="485" t="s">
        <v>2870</v>
      </c>
      <c r="D57" s="486" t="s">
        <v>2882</v>
      </c>
      <c r="E57" s="490" t="s">
        <v>2872</v>
      </c>
      <c r="F57" s="489">
        <v>226</v>
      </c>
    </row>
    <row r="58" spans="1:6" x14ac:dyDescent="0.5">
      <c r="A58" s="483">
        <v>1</v>
      </c>
      <c r="B58" s="485" t="s">
        <v>2883</v>
      </c>
      <c r="C58" s="485" t="s">
        <v>2870</v>
      </c>
      <c r="D58" s="486" t="s">
        <v>2884</v>
      </c>
      <c r="E58" s="490" t="s">
        <v>2872</v>
      </c>
      <c r="F58" s="489">
        <v>226</v>
      </c>
    </row>
    <row r="59" spans="1:6" x14ac:dyDescent="0.5">
      <c r="A59" s="483">
        <v>1</v>
      </c>
      <c r="B59" s="485" t="s">
        <v>2885</v>
      </c>
      <c r="C59" s="485" t="s">
        <v>2870</v>
      </c>
      <c r="D59" s="486" t="s">
        <v>2886</v>
      </c>
      <c r="E59" s="490" t="s">
        <v>2872</v>
      </c>
      <c r="F59" s="489">
        <v>226</v>
      </c>
    </row>
    <row r="60" spans="1:6" x14ac:dyDescent="0.5">
      <c r="A60" s="483">
        <v>1</v>
      </c>
      <c r="B60" s="485" t="s">
        <v>2887</v>
      </c>
      <c r="C60" s="485" t="s">
        <v>2870</v>
      </c>
      <c r="D60" s="486" t="s">
        <v>2888</v>
      </c>
      <c r="E60" s="490" t="s">
        <v>2872</v>
      </c>
      <c r="F60" s="489">
        <v>226</v>
      </c>
    </row>
    <row r="61" spans="1:6" x14ac:dyDescent="0.5">
      <c r="A61" s="483">
        <v>1</v>
      </c>
      <c r="B61" s="485" t="s">
        <v>2889</v>
      </c>
      <c r="C61" s="485" t="s">
        <v>2870</v>
      </c>
      <c r="D61" s="486" t="s">
        <v>2890</v>
      </c>
      <c r="E61" s="490" t="s">
        <v>2872</v>
      </c>
      <c r="F61" s="489">
        <v>226</v>
      </c>
    </row>
    <row r="62" spans="1:6" ht="14.25" x14ac:dyDescent="0.45">
      <c r="D62" s="20"/>
      <c r="F62" s="74"/>
    </row>
    <row r="63" spans="1:6" ht="14.25" x14ac:dyDescent="0.45">
      <c r="D63" s="20"/>
      <c r="E63" s="496" t="s">
        <v>2626</v>
      </c>
      <c r="F63" s="75">
        <v>10716.74</v>
      </c>
    </row>
    <row r="64" spans="1:6" ht="13.15" x14ac:dyDescent="0.4">
      <c r="D64" s="20"/>
    </row>
    <row r="65" spans="4:4" ht="13.15" x14ac:dyDescent="0.4">
      <c r="D65" s="20"/>
    </row>
    <row r="66" spans="4:4" ht="13.15" x14ac:dyDescent="0.4">
      <c r="D66" s="20"/>
    </row>
    <row r="67" spans="4:4" ht="13.15" x14ac:dyDescent="0.4">
      <c r="D67" s="20"/>
    </row>
    <row r="68" spans="4:4" ht="13.15" x14ac:dyDescent="0.4">
      <c r="D68" s="20"/>
    </row>
    <row r="69" spans="4:4" ht="13.15" x14ac:dyDescent="0.4">
      <c r="D69" s="20"/>
    </row>
    <row r="70" spans="4:4" ht="13.15" x14ac:dyDescent="0.4">
      <c r="D70" s="20"/>
    </row>
    <row r="71" spans="4:4" ht="13.15" x14ac:dyDescent="0.4">
      <c r="D71" s="20"/>
    </row>
    <row r="72" spans="4:4" ht="13.15" x14ac:dyDescent="0.4">
      <c r="D72" s="20"/>
    </row>
    <row r="73" spans="4:4" ht="13.15" x14ac:dyDescent="0.4">
      <c r="D73" s="20"/>
    </row>
    <row r="74" spans="4:4" ht="13.15" x14ac:dyDescent="0.4">
      <c r="D74" s="20"/>
    </row>
    <row r="75" spans="4:4" ht="13.15" x14ac:dyDescent="0.4">
      <c r="D75" s="20"/>
    </row>
    <row r="76" spans="4:4" ht="13.15" x14ac:dyDescent="0.4">
      <c r="D76" s="20"/>
    </row>
    <row r="77" spans="4:4" ht="13.15" x14ac:dyDescent="0.4">
      <c r="D77" s="20"/>
    </row>
    <row r="78" spans="4:4" ht="13.15" x14ac:dyDescent="0.4">
      <c r="D78" s="20"/>
    </row>
    <row r="79" spans="4:4" ht="13.15" x14ac:dyDescent="0.4">
      <c r="D79" s="20"/>
    </row>
    <row r="80" spans="4:4" ht="13.15" x14ac:dyDescent="0.4">
      <c r="D80" s="20"/>
    </row>
    <row r="81" spans="4:4" ht="13.15" x14ac:dyDescent="0.4">
      <c r="D81" s="20"/>
    </row>
    <row r="82" spans="4:4" ht="13.15" x14ac:dyDescent="0.4">
      <c r="D82" s="20"/>
    </row>
    <row r="83" spans="4:4" ht="13.15" x14ac:dyDescent="0.4">
      <c r="D83" s="20"/>
    </row>
    <row r="84" spans="4:4" ht="13.15" x14ac:dyDescent="0.4">
      <c r="D84" s="20"/>
    </row>
    <row r="85" spans="4:4" ht="13.15" x14ac:dyDescent="0.4">
      <c r="D85" s="20"/>
    </row>
    <row r="86" spans="4:4" ht="13.15" x14ac:dyDescent="0.4">
      <c r="D86" s="20"/>
    </row>
    <row r="87" spans="4:4" ht="13.15" x14ac:dyDescent="0.4">
      <c r="D87" s="20"/>
    </row>
    <row r="88" spans="4:4" ht="13.15" x14ac:dyDescent="0.4">
      <c r="D88" s="20"/>
    </row>
    <row r="89" spans="4:4" ht="13.15" x14ac:dyDescent="0.4">
      <c r="D89" s="20"/>
    </row>
    <row r="90" spans="4:4" ht="13.15" x14ac:dyDescent="0.4">
      <c r="D90" s="20"/>
    </row>
    <row r="91" spans="4:4" ht="13.15" x14ac:dyDescent="0.4">
      <c r="D91" s="20"/>
    </row>
    <row r="92" spans="4:4" ht="13.15" x14ac:dyDescent="0.4">
      <c r="D92" s="20"/>
    </row>
    <row r="93" spans="4:4" ht="13.15" x14ac:dyDescent="0.4">
      <c r="D93" s="20"/>
    </row>
    <row r="94" spans="4:4" ht="13.15" x14ac:dyDescent="0.4">
      <c r="D94" s="20"/>
    </row>
    <row r="95" spans="4:4" ht="13.15" x14ac:dyDescent="0.4">
      <c r="D95" s="20"/>
    </row>
    <row r="96" spans="4:4" ht="13.15" x14ac:dyDescent="0.4">
      <c r="D96" s="20"/>
    </row>
    <row r="97" spans="4:4" ht="13.15" x14ac:dyDescent="0.4">
      <c r="D97" s="20"/>
    </row>
    <row r="98" spans="4:4" ht="13.15" x14ac:dyDescent="0.4">
      <c r="D98" s="20"/>
    </row>
    <row r="99" spans="4:4" ht="13.15" x14ac:dyDescent="0.4">
      <c r="D99" s="20"/>
    </row>
    <row r="100" spans="4:4" ht="13.15" x14ac:dyDescent="0.4">
      <c r="D100" s="20"/>
    </row>
    <row r="101" spans="4:4" ht="13.15" x14ac:dyDescent="0.4">
      <c r="D101" s="20"/>
    </row>
    <row r="102" spans="4:4" ht="13.15" x14ac:dyDescent="0.4">
      <c r="D102" s="20"/>
    </row>
    <row r="103" spans="4:4" ht="13.15" x14ac:dyDescent="0.4">
      <c r="D103" s="20"/>
    </row>
    <row r="104" spans="4:4" ht="13.15" x14ac:dyDescent="0.4">
      <c r="D104" s="20"/>
    </row>
    <row r="105" spans="4:4" ht="13.15" x14ac:dyDescent="0.4">
      <c r="D105" s="20"/>
    </row>
    <row r="106" spans="4:4" ht="13.15" x14ac:dyDescent="0.4">
      <c r="D106" s="20"/>
    </row>
    <row r="107" spans="4:4" ht="13.15" x14ac:dyDescent="0.4">
      <c r="D107" s="20"/>
    </row>
    <row r="108" spans="4:4" ht="13.15" x14ac:dyDescent="0.4">
      <c r="D108" s="20"/>
    </row>
    <row r="109" spans="4:4" ht="13.15" x14ac:dyDescent="0.4">
      <c r="D109" s="20"/>
    </row>
    <row r="110" spans="4:4" ht="13.15" x14ac:dyDescent="0.4">
      <c r="D110" s="20"/>
    </row>
    <row r="111" spans="4:4" ht="13.15" x14ac:dyDescent="0.4">
      <c r="D111" s="20"/>
    </row>
    <row r="112" spans="4:4" ht="13.15" x14ac:dyDescent="0.4">
      <c r="D112" s="20"/>
    </row>
    <row r="113" spans="4:4" ht="13.15" x14ac:dyDescent="0.4">
      <c r="D113" s="20"/>
    </row>
    <row r="114" spans="4:4" ht="13.15" x14ac:dyDescent="0.4">
      <c r="D114" s="20"/>
    </row>
    <row r="115" spans="4:4" ht="13.15" x14ac:dyDescent="0.4">
      <c r="D115" s="20"/>
    </row>
    <row r="116" spans="4:4" ht="13.15" x14ac:dyDescent="0.4">
      <c r="D116" s="20"/>
    </row>
    <row r="117" spans="4:4" ht="13.15" x14ac:dyDescent="0.4">
      <c r="D117" s="20"/>
    </row>
    <row r="118" spans="4:4" ht="13.15" x14ac:dyDescent="0.4">
      <c r="D118" s="20"/>
    </row>
    <row r="119" spans="4:4" ht="13.15" x14ac:dyDescent="0.4">
      <c r="D119" s="20"/>
    </row>
    <row r="120" spans="4:4" ht="13.15" x14ac:dyDescent="0.4">
      <c r="D120" s="20"/>
    </row>
    <row r="121" spans="4:4" ht="13.15" x14ac:dyDescent="0.4">
      <c r="D121" s="20"/>
    </row>
    <row r="122" spans="4:4" ht="13.15" x14ac:dyDescent="0.4">
      <c r="D122" s="20"/>
    </row>
    <row r="123" spans="4:4" ht="13.15" x14ac:dyDescent="0.4">
      <c r="D123" s="20"/>
    </row>
    <row r="124" spans="4:4" ht="13.15" x14ac:dyDescent="0.4">
      <c r="D124" s="20"/>
    </row>
    <row r="125" spans="4:4" ht="13.15" x14ac:dyDescent="0.4">
      <c r="D125" s="20"/>
    </row>
    <row r="126" spans="4:4" ht="13.15" x14ac:dyDescent="0.4">
      <c r="D126" s="20"/>
    </row>
    <row r="127" spans="4:4" ht="13.15" x14ac:dyDescent="0.4">
      <c r="D127" s="20"/>
    </row>
    <row r="128" spans="4:4" ht="13.15" x14ac:dyDescent="0.4">
      <c r="D128" s="20"/>
    </row>
    <row r="129" spans="4:4" ht="13.15" x14ac:dyDescent="0.4">
      <c r="D129" s="20"/>
    </row>
    <row r="130" spans="4:4" ht="13.15" x14ac:dyDescent="0.4">
      <c r="D130" s="20"/>
    </row>
    <row r="131" spans="4:4" ht="13.15" x14ac:dyDescent="0.4">
      <c r="D131" s="20"/>
    </row>
    <row r="132" spans="4:4" ht="13.15" x14ac:dyDescent="0.4">
      <c r="D132" s="20"/>
    </row>
    <row r="133" spans="4:4" ht="13.15" x14ac:dyDescent="0.4">
      <c r="D133" s="20"/>
    </row>
    <row r="134" spans="4:4" ht="13.15" x14ac:dyDescent="0.4">
      <c r="D134" s="20"/>
    </row>
    <row r="135" spans="4:4" ht="13.15" x14ac:dyDescent="0.4">
      <c r="D135" s="20"/>
    </row>
    <row r="136" spans="4:4" ht="13.15" x14ac:dyDescent="0.4">
      <c r="D136" s="20"/>
    </row>
    <row r="137" spans="4:4" ht="13.15" x14ac:dyDescent="0.4">
      <c r="D137" s="20"/>
    </row>
    <row r="138" spans="4:4" ht="13.15" x14ac:dyDescent="0.4">
      <c r="D138" s="20"/>
    </row>
    <row r="139" spans="4:4" ht="13.15" x14ac:dyDescent="0.4">
      <c r="D139" s="20"/>
    </row>
    <row r="140" spans="4:4" ht="13.15" x14ac:dyDescent="0.4">
      <c r="D140" s="20"/>
    </row>
    <row r="141" spans="4:4" ht="13.15" x14ac:dyDescent="0.4">
      <c r="D141" s="20"/>
    </row>
    <row r="142" spans="4:4" ht="13.15" x14ac:dyDescent="0.4">
      <c r="D142" s="20"/>
    </row>
    <row r="143" spans="4:4" ht="13.15" x14ac:dyDescent="0.4">
      <c r="D143" s="20"/>
    </row>
    <row r="144" spans="4:4" ht="13.15" x14ac:dyDescent="0.4">
      <c r="D144" s="20"/>
    </row>
    <row r="145" spans="4:4" ht="13.15" x14ac:dyDescent="0.4">
      <c r="D145" s="20"/>
    </row>
    <row r="146" spans="4:4" ht="13.15" x14ac:dyDescent="0.4">
      <c r="D146" s="20"/>
    </row>
    <row r="147" spans="4:4" ht="13.15" x14ac:dyDescent="0.4">
      <c r="D147" s="20"/>
    </row>
    <row r="148" spans="4:4" ht="13.15" x14ac:dyDescent="0.4">
      <c r="D148" s="20"/>
    </row>
    <row r="149" spans="4:4" ht="13.15" x14ac:dyDescent="0.4">
      <c r="D149" s="20"/>
    </row>
    <row r="150" spans="4:4" ht="13.15" x14ac:dyDescent="0.4">
      <c r="D150" s="20"/>
    </row>
    <row r="151" spans="4:4" ht="13.15" x14ac:dyDescent="0.4">
      <c r="D151" s="20"/>
    </row>
    <row r="152" spans="4:4" ht="13.15" x14ac:dyDescent="0.4">
      <c r="D152" s="20"/>
    </row>
    <row r="153" spans="4:4" ht="13.15" x14ac:dyDescent="0.4">
      <c r="D153" s="20"/>
    </row>
    <row r="154" spans="4:4" ht="13.15" x14ac:dyDescent="0.4">
      <c r="D154" s="20"/>
    </row>
    <row r="155" spans="4:4" ht="13.15" x14ac:dyDescent="0.4">
      <c r="D155" s="20"/>
    </row>
    <row r="156" spans="4:4" ht="13.15" x14ac:dyDescent="0.4">
      <c r="D156" s="20"/>
    </row>
    <row r="157" spans="4:4" ht="13.15" x14ac:dyDescent="0.4">
      <c r="D157" s="20"/>
    </row>
    <row r="158" spans="4:4" ht="13.15" x14ac:dyDescent="0.4">
      <c r="D158" s="20"/>
    </row>
    <row r="159" spans="4:4" ht="13.15" x14ac:dyDescent="0.4">
      <c r="D159" s="20"/>
    </row>
    <row r="160" spans="4:4" ht="13.15" x14ac:dyDescent="0.4">
      <c r="D160" s="20"/>
    </row>
    <row r="161" spans="4:4" ht="13.15" x14ac:dyDescent="0.4">
      <c r="D161" s="20"/>
    </row>
    <row r="162" spans="4:4" ht="13.15" x14ac:dyDescent="0.4">
      <c r="D162" s="20"/>
    </row>
    <row r="163" spans="4:4" ht="13.15" x14ac:dyDescent="0.4">
      <c r="D163" s="20"/>
    </row>
    <row r="164" spans="4:4" ht="13.15" x14ac:dyDescent="0.4">
      <c r="D164" s="20"/>
    </row>
    <row r="165" spans="4:4" ht="13.15" x14ac:dyDescent="0.4">
      <c r="D165" s="20"/>
    </row>
    <row r="166" spans="4:4" ht="13.15" x14ac:dyDescent="0.4">
      <c r="D166" s="20"/>
    </row>
    <row r="167" spans="4:4" ht="13.15" x14ac:dyDescent="0.4">
      <c r="D167" s="20"/>
    </row>
    <row r="168" spans="4:4" ht="13.15" x14ac:dyDescent="0.4">
      <c r="D168" s="20"/>
    </row>
    <row r="169" spans="4:4" ht="13.15" x14ac:dyDescent="0.4">
      <c r="D169" s="20"/>
    </row>
    <row r="170" spans="4:4" ht="13.15" x14ac:dyDescent="0.4">
      <c r="D170" s="20"/>
    </row>
    <row r="171" spans="4:4" ht="13.15" x14ac:dyDescent="0.4">
      <c r="D171" s="20"/>
    </row>
    <row r="172" spans="4:4" ht="13.15" x14ac:dyDescent="0.4">
      <c r="D172" s="20"/>
    </row>
    <row r="173" spans="4:4" ht="13.15" x14ac:dyDescent="0.4">
      <c r="D173" s="20"/>
    </row>
    <row r="174" spans="4:4" ht="13.15" x14ac:dyDescent="0.4">
      <c r="D174" s="20"/>
    </row>
    <row r="175" spans="4:4" ht="13.15" x14ac:dyDescent="0.4">
      <c r="D175" s="20"/>
    </row>
    <row r="176" spans="4:4" ht="13.15" x14ac:dyDescent="0.4">
      <c r="D176" s="20"/>
    </row>
    <row r="177" spans="4:4" ht="13.15" x14ac:dyDescent="0.4">
      <c r="D177" s="20"/>
    </row>
    <row r="178" spans="4:4" ht="13.15" x14ac:dyDescent="0.4">
      <c r="D178" s="20"/>
    </row>
    <row r="179" spans="4:4" ht="13.15" x14ac:dyDescent="0.4">
      <c r="D179" s="20"/>
    </row>
    <row r="180" spans="4:4" ht="13.15" x14ac:dyDescent="0.4">
      <c r="D180" s="20"/>
    </row>
    <row r="181" spans="4:4" ht="13.15" x14ac:dyDescent="0.4">
      <c r="D181" s="20"/>
    </row>
    <row r="182" spans="4:4" ht="13.15" x14ac:dyDescent="0.4">
      <c r="D182" s="20"/>
    </row>
    <row r="183" spans="4:4" ht="13.15" x14ac:dyDescent="0.4">
      <c r="D183" s="20"/>
    </row>
    <row r="184" spans="4:4" ht="13.15" x14ac:dyDescent="0.4">
      <c r="D184" s="20"/>
    </row>
    <row r="185" spans="4:4" ht="13.15" x14ac:dyDescent="0.4">
      <c r="D185" s="20"/>
    </row>
    <row r="186" spans="4:4" ht="13.15" x14ac:dyDescent="0.4">
      <c r="D186" s="20"/>
    </row>
    <row r="187" spans="4:4" ht="13.15" x14ac:dyDescent="0.4">
      <c r="D187" s="20"/>
    </row>
    <row r="188" spans="4:4" ht="13.15" x14ac:dyDescent="0.4">
      <c r="D188" s="20"/>
    </row>
    <row r="189" spans="4:4" ht="13.15" x14ac:dyDescent="0.4">
      <c r="D189" s="20"/>
    </row>
    <row r="190" spans="4:4" ht="13.15" x14ac:dyDescent="0.4">
      <c r="D190" s="20"/>
    </row>
    <row r="191" spans="4:4" ht="13.15" x14ac:dyDescent="0.4">
      <c r="D191" s="20"/>
    </row>
    <row r="192" spans="4:4" ht="13.15" x14ac:dyDescent="0.4">
      <c r="D192" s="20"/>
    </row>
    <row r="193" spans="4:4" ht="13.15" x14ac:dyDescent="0.4">
      <c r="D193" s="20"/>
    </row>
    <row r="194" spans="4:4" ht="13.15" x14ac:dyDescent="0.4">
      <c r="D194" s="20"/>
    </row>
    <row r="195" spans="4:4" ht="13.15" x14ac:dyDescent="0.4">
      <c r="D195" s="20"/>
    </row>
    <row r="196" spans="4:4" ht="13.15" x14ac:dyDescent="0.4">
      <c r="D196" s="20"/>
    </row>
    <row r="197" spans="4:4" ht="13.15" x14ac:dyDescent="0.4">
      <c r="D197" s="20"/>
    </row>
    <row r="198" spans="4:4" ht="13.15" x14ac:dyDescent="0.4">
      <c r="D198" s="20"/>
    </row>
    <row r="199" spans="4:4" ht="13.15" x14ac:dyDescent="0.4">
      <c r="D199" s="20"/>
    </row>
    <row r="200" spans="4:4" ht="13.15" x14ac:dyDescent="0.4">
      <c r="D200" s="20"/>
    </row>
    <row r="201" spans="4:4" ht="13.15" x14ac:dyDescent="0.4">
      <c r="D201" s="20"/>
    </row>
    <row r="202" spans="4:4" ht="13.15" x14ac:dyDescent="0.4">
      <c r="D202" s="20"/>
    </row>
    <row r="203" spans="4:4" ht="13.15" x14ac:dyDescent="0.4">
      <c r="D203" s="20"/>
    </row>
    <row r="204" spans="4:4" ht="13.15" x14ac:dyDescent="0.4">
      <c r="D204" s="20"/>
    </row>
    <row r="205" spans="4:4" ht="13.15" x14ac:dyDescent="0.4">
      <c r="D205" s="20"/>
    </row>
    <row r="206" spans="4:4" ht="13.15" x14ac:dyDescent="0.4">
      <c r="D206" s="20"/>
    </row>
    <row r="207" spans="4:4" ht="13.15" x14ac:dyDescent="0.4">
      <c r="D207" s="20"/>
    </row>
    <row r="208" spans="4:4" ht="13.15" x14ac:dyDescent="0.4">
      <c r="D208" s="20"/>
    </row>
    <row r="209" spans="4:4" ht="13.15" x14ac:dyDescent="0.4">
      <c r="D209" s="20"/>
    </row>
    <row r="210" spans="4:4" ht="13.15" x14ac:dyDescent="0.4">
      <c r="D210" s="20"/>
    </row>
    <row r="211" spans="4:4" ht="13.15" x14ac:dyDescent="0.4">
      <c r="D211" s="20"/>
    </row>
    <row r="212" spans="4:4" ht="13.15" x14ac:dyDescent="0.4">
      <c r="D212" s="20"/>
    </row>
    <row r="213" spans="4:4" ht="13.15" x14ac:dyDescent="0.4">
      <c r="D213" s="20"/>
    </row>
    <row r="214" spans="4:4" ht="13.15" x14ac:dyDescent="0.4">
      <c r="D214" s="20"/>
    </row>
    <row r="215" spans="4:4" ht="13.15" x14ac:dyDescent="0.4">
      <c r="D215" s="20"/>
    </row>
    <row r="216" spans="4:4" ht="13.15" x14ac:dyDescent="0.4">
      <c r="D216" s="20"/>
    </row>
    <row r="217" spans="4:4" ht="13.15" x14ac:dyDescent="0.4">
      <c r="D217" s="20"/>
    </row>
    <row r="218" spans="4:4" ht="13.15" x14ac:dyDescent="0.4">
      <c r="D218" s="20"/>
    </row>
    <row r="219" spans="4:4" ht="13.15" x14ac:dyDescent="0.4">
      <c r="D219" s="20"/>
    </row>
    <row r="220" spans="4:4" ht="13.15" x14ac:dyDescent="0.4">
      <c r="D220" s="20"/>
    </row>
    <row r="221" spans="4:4" ht="13.15" x14ac:dyDescent="0.4">
      <c r="D221" s="20"/>
    </row>
    <row r="222" spans="4:4" ht="13.15" x14ac:dyDescent="0.4">
      <c r="D222" s="20"/>
    </row>
    <row r="223" spans="4:4" ht="13.15" x14ac:dyDescent="0.4">
      <c r="D223" s="20"/>
    </row>
    <row r="224" spans="4:4" ht="13.15" x14ac:dyDescent="0.4">
      <c r="D224" s="20"/>
    </row>
    <row r="225" spans="4:4" ht="13.15" x14ac:dyDescent="0.4">
      <c r="D225" s="20"/>
    </row>
    <row r="226" spans="4:4" ht="13.15" x14ac:dyDescent="0.4">
      <c r="D226" s="20"/>
    </row>
    <row r="227" spans="4:4" ht="13.15" x14ac:dyDescent="0.4">
      <c r="D227" s="20"/>
    </row>
    <row r="228" spans="4:4" ht="13.15" x14ac:dyDescent="0.4">
      <c r="D228" s="20"/>
    </row>
    <row r="229" spans="4:4" ht="13.15" x14ac:dyDescent="0.4">
      <c r="D229" s="20"/>
    </row>
    <row r="230" spans="4:4" ht="13.15" x14ac:dyDescent="0.4">
      <c r="D230" s="20"/>
    </row>
    <row r="231" spans="4:4" ht="13.15" x14ac:dyDescent="0.4">
      <c r="D231" s="20"/>
    </row>
    <row r="232" spans="4:4" ht="13.15" x14ac:dyDescent="0.4">
      <c r="D232" s="20"/>
    </row>
    <row r="233" spans="4:4" ht="13.15" x14ac:dyDescent="0.4">
      <c r="D233" s="20"/>
    </row>
    <row r="234" spans="4:4" ht="13.15" x14ac:dyDescent="0.4">
      <c r="D234" s="20"/>
    </row>
    <row r="235" spans="4:4" ht="13.15" x14ac:dyDescent="0.4">
      <c r="D235" s="20"/>
    </row>
    <row r="236" spans="4:4" ht="13.15" x14ac:dyDescent="0.4">
      <c r="D236" s="20"/>
    </row>
    <row r="237" spans="4:4" ht="13.15" x14ac:dyDescent="0.4">
      <c r="D237" s="20"/>
    </row>
    <row r="238" spans="4:4" ht="13.15" x14ac:dyDescent="0.4">
      <c r="D238" s="20"/>
    </row>
    <row r="239" spans="4:4" ht="13.15" x14ac:dyDescent="0.4">
      <c r="D239" s="20"/>
    </row>
    <row r="240" spans="4:4" ht="13.15" x14ac:dyDescent="0.4">
      <c r="D240" s="20"/>
    </row>
    <row r="241" spans="4:4" ht="13.15" x14ac:dyDescent="0.4">
      <c r="D241" s="20"/>
    </row>
    <row r="242" spans="4:4" ht="13.15" x14ac:dyDescent="0.4">
      <c r="D242" s="20"/>
    </row>
    <row r="243" spans="4:4" ht="13.15" x14ac:dyDescent="0.4">
      <c r="D243" s="20"/>
    </row>
    <row r="244" spans="4:4" ht="13.15" x14ac:dyDescent="0.4">
      <c r="D244" s="20"/>
    </row>
    <row r="245" spans="4:4" ht="13.15" x14ac:dyDescent="0.4">
      <c r="D245" s="20"/>
    </row>
    <row r="246" spans="4:4" ht="13.15" x14ac:dyDescent="0.4">
      <c r="D246" s="20"/>
    </row>
    <row r="247" spans="4:4" ht="13.15" x14ac:dyDescent="0.4">
      <c r="D247" s="20"/>
    </row>
    <row r="248" spans="4:4" ht="13.15" x14ac:dyDescent="0.4">
      <c r="D248" s="20"/>
    </row>
    <row r="249" spans="4:4" ht="13.15" x14ac:dyDescent="0.4">
      <c r="D249" s="20"/>
    </row>
    <row r="250" spans="4:4" ht="13.15" x14ac:dyDescent="0.4">
      <c r="D250" s="20"/>
    </row>
    <row r="251" spans="4:4" ht="13.15" x14ac:dyDescent="0.4">
      <c r="D251" s="20"/>
    </row>
    <row r="252" spans="4:4" ht="13.15" x14ac:dyDescent="0.4">
      <c r="D252" s="20"/>
    </row>
    <row r="253" spans="4:4" ht="13.15" x14ac:dyDescent="0.4">
      <c r="D253" s="20"/>
    </row>
    <row r="254" spans="4:4" ht="13.15" x14ac:dyDescent="0.4">
      <c r="D254" s="20"/>
    </row>
    <row r="255" spans="4:4" ht="13.15" x14ac:dyDescent="0.4">
      <c r="D255" s="20"/>
    </row>
    <row r="256" spans="4:4" ht="13.15" x14ac:dyDescent="0.4">
      <c r="D256" s="20"/>
    </row>
    <row r="257" spans="4:4" ht="13.15" x14ac:dyDescent="0.4">
      <c r="D257" s="20"/>
    </row>
    <row r="258" spans="4:4" ht="13.15" x14ac:dyDescent="0.4">
      <c r="D258" s="20"/>
    </row>
    <row r="259" spans="4:4" ht="13.15" x14ac:dyDescent="0.4">
      <c r="D259" s="20"/>
    </row>
    <row r="260" spans="4:4" ht="13.15" x14ac:dyDescent="0.4">
      <c r="D260" s="20"/>
    </row>
    <row r="261" spans="4:4" ht="13.15" x14ac:dyDescent="0.4">
      <c r="D261" s="20"/>
    </row>
    <row r="262" spans="4:4" ht="13.15" x14ac:dyDescent="0.4">
      <c r="D262" s="20"/>
    </row>
    <row r="263" spans="4:4" ht="13.15" x14ac:dyDescent="0.4">
      <c r="D263" s="20"/>
    </row>
    <row r="264" spans="4:4" ht="13.15" x14ac:dyDescent="0.4">
      <c r="D264" s="20"/>
    </row>
    <row r="265" spans="4:4" ht="13.15" x14ac:dyDescent="0.4">
      <c r="D265" s="20"/>
    </row>
    <row r="266" spans="4:4" ht="13.15" x14ac:dyDescent="0.4">
      <c r="D266" s="20"/>
    </row>
    <row r="267" spans="4:4" ht="13.15" x14ac:dyDescent="0.4">
      <c r="D267" s="20"/>
    </row>
    <row r="268" spans="4:4" ht="13.15" x14ac:dyDescent="0.4">
      <c r="D268" s="20"/>
    </row>
    <row r="269" spans="4:4" ht="13.15" x14ac:dyDescent="0.4">
      <c r="D269" s="20"/>
    </row>
    <row r="270" spans="4:4" ht="13.15" x14ac:dyDescent="0.4">
      <c r="D270" s="20"/>
    </row>
    <row r="271" spans="4:4" ht="13.15" x14ac:dyDescent="0.4">
      <c r="D271" s="20"/>
    </row>
    <row r="272" spans="4:4" ht="13.15" x14ac:dyDescent="0.4">
      <c r="D272" s="20"/>
    </row>
    <row r="273" spans="4:4" ht="13.15" x14ac:dyDescent="0.4">
      <c r="D273" s="20"/>
    </row>
    <row r="274" spans="4:4" ht="13.15" x14ac:dyDescent="0.4">
      <c r="D274" s="20"/>
    </row>
    <row r="275" spans="4:4" ht="13.15" x14ac:dyDescent="0.4">
      <c r="D275" s="20"/>
    </row>
    <row r="276" spans="4:4" ht="13.15" x14ac:dyDescent="0.4">
      <c r="D276" s="20"/>
    </row>
    <row r="277" spans="4:4" ht="13.15" x14ac:dyDescent="0.4">
      <c r="D277" s="20"/>
    </row>
    <row r="278" spans="4:4" ht="13.15" x14ac:dyDescent="0.4">
      <c r="D278" s="20"/>
    </row>
    <row r="279" spans="4:4" ht="13.15" x14ac:dyDescent="0.4">
      <c r="D279" s="20"/>
    </row>
    <row r="280" spans="4:4" ht="13.15" x14ac:dyDescent="0.4">
      <c r="D280" s="20"/>
    </row>
    <row r="281" spans="4:4" ht="13.15" x14ac:dyDescent="0.4">
      <c r="D281" s="20"/>
    </row>
    <row r="282" spans="4:4" ht="13.15" x14ac:dyDescent="0.4">
      <c r="D282" s="20"/>
    </row>
    <row r="283" spans="4:4" ht="13.15" x14ac:dyDescent="0.4">
      <c r="D283" s="20"/>
    </row>
    <row r="284" spans="4:4" ht="13.15" x14ac:dyDescent="0.4">
      <c r="D284" s="20"/>
    </row>
    <row r="285" spans="4:4" ht="13.15" x14ac:dyDescent="0.4">
      <c r="D285" s="20"/>
    </row>
    <row r="286" spans="4:4" ht="13.15" x14ac:dyDescent="0.4">
      <c r="D286" s="20"/>
    </row>
    <row r="287" spans="4:4" ht="13.15" x14ac:dyDescent="0.4">
      <c r="D287" s="20"/>
    </row>
    <row r="288" spans="4:4" ht="13.15" x14ac:dyDescent="0.4">
      <c r="D288" s="20"/>
    </row>
    <row r="289" spans="4:4" ht="13.15" x14ac:dyDescent="0.4">
      <c r="D289" s="20"/>
    </row>
    <row r="290" spans="4:4" ht="13.15" x14ac:dyDescent="0.4">
      <c r="D290" s="20"/>
    </row>
    <row r="291" spans="4:4" ht="13.15" x14ac:dyDescent="0.4">
      <c r="D291" s="20"/>
    </row>
    <row r="292" spans="4:4" ht="13.15" x14ac:dyDescent="0.4">
      <c r="D292" s="20"/>
    </row>
    <row r="293" spans="4:4" ht="13.15" x14ac:dyDescent="0.4">
      <c r="D293" s="20"/>
    </row>
    <row r="294" spans="4:4" ht="13.15" x14ac:dyDescent="0.4">
      <c r="D294" s="20"/>
    </row>
    <row r="295" spans="4:4" ht="13.15" x14ac:dyDescent="0.4">
      <c r="D295" s="20"/>
    </row>
    <row r="296" spans="4:4" ht="13.15" x14ac:dyDescent="0.4">
      <c r="D296" s="20"/>
    </row>
    <row r="297" spans="4:4" ht="13.15" x14ac:dyDescent="0.4">
      <c r="D297" s="20"/>
    </row>
    <row r="298" spans="4:4" ht="13.15" x14ac:dyDescent="0.4">
      <c r="D298" s="20"/>
    </row>
    <row r="299" spans="4:4" ht="13.15" x14ac:dyDescent="0.4">
      <c r="D299" s="20"/>
    </row>
    <row r="300" spans="4:4" ht="13.15" x14ac:dyDescent="0.4">
      <c r="D300" s="20"/>
    </row>
    <row r="301" spans="4:4" ht="13.15" x14ac:dyDescent="0.4">
      <c r="D301" s="20"/>
    </row>
    <row r="302" spans="4:4" ht="13.15" x14ac:dyDescent="0.4">
      <c r="D302" s="20"/>
    </row>
    <row r="303" spans="4:4" ht="13.15" x14ac:dyDescent="0.4">
      <c r="D303" s="20"/>
    </row>
    <row r="304" spans="4:4" ht="13.15" x14ac:dyDescent="0.4">
      <c r="D304" s="20"/>
    </row>
    <row r="305" spans="4:4" ht="13.15" x14ac:dyDescent="0.4">
      <c r="D305" s="20"/>
    </row>
    <row r="306" spans="4:4" ht="13.15" x14ac:dyDescent="0.4">
      <c r="D306" s="20"/>
    </row>
    <row r="307" spans="4:4" ht="13.15" x14ac:dyDescent="0.4">
      <c r="D307" s="20"/>
    </row>
    <row r="308" spans="4:4" ht="13.15" x14ac:dyDescent="0.4">
      <c r="D308" s="20"/>
    </row>
    <row r="309" spans="4:4" ht="13.15" x14ac:dyDescent="0.4">
      <c r="D309" s="20"/>
    </row>
    <row r="310" spans="4:4" ht="13.15" x14ac:dyDescent="0.4">
      <c r="D310" s="20"/>
    </row>
    <row r="311" spans="4:4" ht="13.15" x14ac:dyDescent="0.4">
      <c r="D311" s="20"/>
    </row>
    <row r="312" spans="4:4" ht="13.15" x14ac:dyDescent="0.4">
      <c r="D312" s="20"/>
    </row>
    <row r="313" spans="4:4" ht="13.15" x14ac:dyDescent="0.4">
      <c r="D313" s="20"/>
    </row>
    <row r="314" spans="4:4" ht="13.15" x14ac:dyDescent="0.4">
      <c r="D314" s="20"/>
    </row>
    <row r="315" spans="4:4" ht="13.15" x14ac:dyDescent="0.4">
      <c r="D315" s="20"/>
    </row>
    <row r="316" spans="4:4" ht="13.15" x14ac:dyDescent="0.4">
      <c r="D316" s="20"/>
    </row>
    <row r="317" spans="4:4" ht="13.15" x14ac:dyDescent="0.4">
      <c r="D317" s="20"/>
    </row>
    <row r="318" spans="4:4" ht="13.15" x14ac:dyDescent="0.4">
      <c r="D318" s="20"/>
    </row>
    <row r="319" spans="4:4" ht="13.15" x14ac:dyDescent="0.4">
      <c r="D319" s="20"/>
    </row>
    <row r="320" spans="4:4" ht="13.15" x14ac:dyDescent="0.4">
      <c r="D320" s="20"/>
    </row>
    <row r="321" spans="4:4" ht="13.15" x14ac:dyDescent="0.4">
      <c r="D321" s="20"/>
    </row>
    <row r="322" spans="4:4" ht="13.15" x14ac:dyDescent="0.4">
      <c r="D322" s="20"/>
    </row>
    <row r="323" spans="4:4" ht="13.15" x14ac:dyDescent="0.4">
      <c r="D323" s="20"/>
    </row>
    <row r="324" spans="4:4" ht="13.15" x14ac:dyDescent="0.4">
      <c r="D324" s="20"/>
    </row>
    <row r="325" spans="4:4" ht="13.15" x14ac:dyDescent="0.4">
      <c r="D325" s="20"/>
    </row>
    <row r="326" spans="4:4" ht="13.15" x14ac:dyDescent="0.4">
      <c r="D326" s="20"/>
    </row>
    <row r="327" spans="4:4" ht="13.15" x14ac:dyDescent="0.4">
      <c r="D327" s="20"/>
    </row>
    <row r="328" spans="4:4" ht="13.15" x14ac:dyDescent="0.4">
      <c r="D328" s="20"/>
    </row>
    <row r="329" spans="4:4" ht="13.15" x14ac:dyDescent="0.4">
      <c r="D329" s="20"/>
    </row>
    <row r="330" spans="4:4" ht="13.15" x14ac:dyDescent="0.4">
      <c r="D330" s="20"/>
    </row>
    <row r="331" spans="4:4" ht="13.15" x14ac:dyDescent="0.4">
      <c r="D331" s="20"/>
    </row>
    <row r="332" spans="4:4" ht="13.15" x14ac:dyDescent="0.4">
      <c r="D332" s="20"/>
    </row>
    <row r="333" spans="4:4" ht="13.15" x14ac:dyDescent="0.4">
      <c r="D333" s="20"/>
    </row>
    <row r="334" spans="4:4" ht="13.15" x14ac:dyDescent="0.4">
      <c r="D334" s="20"/>
    </row>
    <row r="335" spans="4:4" ht="13.15" x14ac:dyDescent="0.4">
      <c r="D335" s="20"/>
    </row>
    <row r="336" spans="4:4" ht="13.15" x14ac:dyDescent="0.4">
      <c r="D336" s="20"/>
    </row>
    <row r="337" spans="4:4" ht="13.15" x14ac:dyDescent="0.4">
      <c r="D337" s="20"/>
    </row>
    <row r="338" spans="4:4" ht="13.15" x14ac:dyDescent="0.4">
      <c r="D338" s="20"/>
    </row>
    <row r="339" spans="4:4" ht="13.15" x14ac:dyDescent="0.4">
      <c r="D339" s="20"/>
    </row>
    <row r="340" spans="4:4" ht="13.15" x14ac:dyDescent="0.4">
      <c r="D340" s="20"/>
    </row>
    <row r="341" spans="4:4" ht="13.15" x14ac:dyDescent="0.4">
      <c r="D341" s="20"/>
    </row>
    <row r="342" spans="4:4" ht="13.15" x14ac:dyDescent="0.4">
      <c r="D342" s="20"/>
    </row>
    <row r="343" spans="4:4" ht="13.15" x14ac:dyDescent="0.4">
      <c r="D343" s="20"/>
    </row>
    <row r="344" spans="4:4" ht="13.15" x14ac:dyDescent="0.4">
      <c r="D344" s="20"/>
    </row>
    <row r="345" spans="4:4" ht="13.15" x14ac:dyDescent="0.4">
      <c r="D345" s="20"/>
    </row>
    <row r="346" spans="4:4" ht="13.15" x14ac:dyDescent="0.4">
      <c r="D346" s="20"/>
    </row>
    <row r="347" spans="4:4" ht="13.15" x14ac:dyDescent="0.4">
      <c r="D347" s="20"/>
    </row>
    <row r="348" spans="4:4" ht="13.15" x14ac:dyDescent="0.4">
      <c r="D348" s="20"/>
    </row>
    <row r="349" spans="4:4" ht="13.15" x14ac:dyDescent="0.4">
      <c r="D349" s="20"/>
    </row>
    <row r="350" spans="4:4" ht="13.15" x14ac:dyDescent="0.4">
      <c r="D350" s="20"/>
    </row>
    <row r="351" spans="4:4" ht="13.15" x14ac:dyDescent="0.4">
      <c r="D351" s="20"/>
    </row>
    <row r="352" spans="4:4" ht="13.15" x14ac:dyDescent="0.4">
      <c r="D352" s="20"/>
    </row>
    <row r="353" spans="4:4" ht="13.15" x14ac:dyDescent="0.4">
      <c r="D353" s="20"/>
    </row>
    <row r="354" spans="4:4" ht="13.15" x14ac:dyDescent="0.4">
      <c r="D354" s="20"/>
    </row>
    <row r="355" spans="4:4" ht="13.15" x14ac:dyDescent="0.4">
      <c r="D355" s="20"/>
    </row>
    <row r="356" spans="4:4" ht="13.15" x14ac:dyDescent="0.4">
      <c r="D356" s="20"/>
    </row>
    <row r="357" spans="4:4" ht="13.15" x14ac:dyDescent="0.4">
      <c r="D357" s="20"/>
    </row>
    <row r="358" spans="4:4" ht="13.15" x14ac:dyDescent="0.4">
      <c r="D358" s="20"/>
    </row>
    <row r="359" spans="4:4" ht="13.15" x14ac:dyDescent="0.4">
      <c r="D359" s="20"/>
    </row>
    <row r="360" spans="4:4" ht="13.15" x14ac:dyDescent="0.4">
      <c r="D360" s="20"/>
    </row>
    <row r="361" spans="4:4" ht="13.15" x14ac:dyDescent="0.4">
      <c r="D361" s="20"/>
    </row>
    <row r="362" spans="4:4" ht="13.15" x14ac:dyDescent="0.4">
      <c r="D362" s="20"/>
    </row>
    <row r="363" spans="4:4" ht="13.15" x14ac:dyDescent="0.4">
      <c r="D363" s="20"/>
    </row>
    <row r="364" spans="4:4" ht="13.15" x14ac:dyDescent="0.4">
      <c r="D364" s="20"/>
    </row>
    <row r="365" spans="4:4" ht="13.15" x14ac:dyDescent="0.4">
      <c r="D365" s="20"/>
    </row>
    <row r="366" spans="4:4" ht="13.15" x14ac:dyDescent="0.4">
      <c r="D366" s="20"/>
    </row>
    <row r="367" spans="4:4" ht="13.15" x14ac:dyDescent="0.4">
      <c r="D367" s="20"/>
    </row>
    <row r="368" spans="4:4" ht="13.15" x14ac:dyDescent="0.4">
      <c r="D368" s="20"/>
    </row>
    <row r="369" spans="4:4" ht="13.15" x14ac:dyDescent="0.4">
      <c r="D369" s="20"/>
    </row>
    <row r="370" spans="4:4" ht="13.15" x14ac:dyDescent="0.4">
      <c r="D370" s="20"/>
    </row>
    <row r="371" spans="4:4" ht="13.15" x14ac:dyDescent="0.4">
      <c r="D371" s="20"/>
    </row>
    <row r="372" spans="4:4" ht="13.15" x14ac:dyDescent="0.4">
      <c r="D372" s="20"/>
    </row>
    <row r="373" spans="4:4" ht="13.15" x14ac:dyDescent="0.4">
      <c r="D373" s="20"/>
    </row>
    <row r="374" spans="4:4" ht="13.15" x14ac:dyDescent="0.4">
      <c r="D374" s="20"/>
    </row>
    <row r="375" spans="4:4" ht="13.15" x14ac:dyDescent="0.4">
      <c r="D375" s="20"/>
    </row>
    <row r="376" spans="4:4" ht="13.15" x14ac:dyDescent="0.4">
      <c r="D376" s="20"/>
    </row>
    <row r="377" spans="4:4" ht="13.15" x14ac:dyDescent="0.4">
      <c r="D377" s="20"/>
    </row>
    <row r="378" spans="4:4" ht="13.15" x14ac:dyDescent="0.4">
      <c r="D378" s="20"/>
    </row>
    <row r="379" spans="4:4" ht="13.15" x14ac:dyDescent="0.4">
      <c r="D379" s="20"/>
    </row>
    <row r="380" spans="4:4" ht="13.15" x14ac:dyDescent="0.4">
      <c r="D380" s="20"/>
    </row>
    <row r="381" spans="4:4" ht="13.15" x14ac:dyDescent="0.4">
      <c r="D381" s="20"/>
    </row>
    <row r="382" spans="4:4" ht="13.15" x14ac:dyDescent="0.4">
      <c r="D382" s="20"/>
    </row>
    <row r="383" spans="4:4" ht="13.15" x14ac:dyDescent="0.4">
      <c r="D383" s="20"/>
    </row>
    <row r="384" spans="4:4" ht="13.15" x14ac:dyDescent="0.4">
      <c r="D384" s="20"/>
    </row>
    <row r="385" spans="4:4" ht="13.15" x14ac:dyDescent="0.4">
      <c r="D385" s="20"/>
    </row>
    <row r="386" spans="4:4" ht="13.15" x14ac:dyDescent="0.4">
      <c r="D386" s="20"/>
    </row>
    <row r="387" spans="4:4" ht="13.15" x14ac:dyDescent="0.4">
      <c r="D387" s="20"/>
    </row>
    <row r="388" spans="4:4" ht="13.15" x14ac:dyDescent="0.4">
      <c r="D388" s="20"/>
    </row>
    <row r="389" spans="4:4" ht="13.15" x14ac:dyDescent="0.4">
      <c r="D389" s="20"/>
    </row>
    <row r="390" spans="4:4" ht="13.15" x14ac:dyDescent="0.4">
      <c r="D390" s="20"/>
    </row>
    <row r="391" spans="4:4" ht="13.15" x14ac:dyDescent="0.4">
      <c r="D391" s="20"/>
    </row>
    <row r="392" spans="4:4" ht="13.15" x14ac:dyDescent="0.4">
      <c r="D392" s="20"/>
    </row>
    <row r="393" spans="4:4" ht="13.15" x14ac:dyDescent="0.4">
      <c r="D393" s="20"/>
    </row>
    <row r="394" spans="4:4" ht="13.15" x14ac:dyDescent="0.4">
      <c r="D394" s="20"/>
    </row>
    <row r="395" spans="4:4" ht="13.15" x14ac:dyDescent="0.4">
      <c r="D395" s="20"/>
    </row>
    <row r="396" spans="4:4" ht="13.15" x14ac:dyDescent="0.4">
      <c r="D396" s="20"/>
    </row>
    <row r="397" spans="4:4" ht="13.15" x14ac:dyDescent="0.4">
      <c r="D397" s="20"/>
    </row>
    <row r="398" spans="4:4" ht="13.15" x14ac:dyDescent="0.4">
      <c r="D398" s="20"/>
    </row>
    <row r="399" spans="4:4" ht="13.15" x14ac:dyDescent="0.4">
      <c r="D399" s="20"/>
    </row>
    <row r="400" spans="4:4" ht="13.15" x14ac:dyDescent="0.4">
      <c r="D400" s="20"/>
    </row>
    <row r="401" spans="4:4" ht="13.15" x14ac:dyDescent="0.4">
      <c r="D401" s="20"/>
    </row>
    <row r="402" spans="4:4" ht="13.15" x14ac:dyDescent="0.4">
      <c r="D402" s="20"/>
    </row>
    <row r="403" spans="4:4" ht="13.15" x14ac:dyDescent="0.4">
      <c r="D403" s="20"/>
    </row>
    <row r="404" spans="4:4" ht="13.15" x14ac:dyDescent="0.4">
      <c r="D404" s="20"/>
    </row>
    <row r="405" spans="4:4" ht="13.15" x14ac:dyDescent="0.4">
      <c r="D405" s="20"/>
    </row>
    <row r="406" spans="4:4" ht="13.15" x14ac:dyDescent="0.4">
      <c r="D406" s="20"/>
    </row>
    <row r="407" spans="4:4" ht="13.15" x14ac:dyDescent="0.4">
      <c r="D407" s="20"/>
    </row>
    <row r="408" spans="4:4" ht="13.15" x14ac:dyDescent="0.4">
      <c r="D408" s="20"/>
    </row>
    <row r="409" spans="4:4" ht="13.15" x14ac:dyDescent="0.4">
      <c r="D409" s="20"/>
    </row>
    <row r="410" spans="4:4" ht="13.15" x14ac:dyDescent="0.4">
      <c r="D410" s="20"/>
    </row>
    <row r="411" spans="4:4" ht="13.15" x14ac:dyDescent="0.4">
      <c r="D411" s="20"/>
    </row>
    <row r="412" spans="4:4" ht="13.15" x14ac:dyDescent="0.4">
      <c r="D412" s="20"/>
    </row>
    <row r="413" spans="4:4" ht="13.15" x14ac:dyDescent="0.4">
      <c r="D413" s="20"/>
    </row>
    <row r="414" spans="4:4" ht="13.15" x14ac:dyDescent="0.4">
      <c r="D414" s="20"/>
    </row>
    <row r="415" spans="4:4" ht="13.15" x14ac:dyDescent="0.4">
      <c r="D415" s="20"/>
    </row>
    <row r="416" spans="4:4" ht="13.15" x14ac:dyDescent="0.4">
      <c r="D416" s="20"/>
    </row>
    <row r="417" spans="4:4" ht="13.15" x14ac:dyDescent="0.4">
      <c r="D417" s="20"/>
    </row>
    <row r="418" spans="4:4" ht="13.15" x14ac:dyDescent="0.4">
      <c r="D418" s="20"/>
    </row>
    <row r="419" spans="4:4" ht="13.15" x14ac:dyDescent="0.4">
      <c r="D419" s="20"/>
    </row>
    <row r="420" spans="4:4" ht="13.15" x14ac:dyDescent="0.4">
      <c r="D420" s="20"/>
    </row>
    <row r="421" spans="4:4" ht="13.15" x14ac:dyDescent="0.4">
      <c r="D421" s="20"/>
    </row>
    <row r="422" spans="4:4" ht="13.15" x14ac:dyDescent="0.4">
      <c r="D422" s="20"/>
    </row>
    <row r="423" spans="4:4" ht="13.15" x14ac:dyDescent="0.4">
      <c r="D423" s="20"/>
    </row>
    <row r="424" spans="4:4" ht="13.15" x14ac:dyDescent="0.4">
      <c r="D424" s="20"/>
    </row>
    <row r="425" spans="4:4" ht="13.15" x14ac:dyDescent="0.4">
      <c r="D425" s="20"/>
    </row>
    <row r="426" spans="4:4" ht="13.15" x14ac:dyDescent="0.4">
      <c r="D426" s="20"/>
    </row>
    <row r="427" spans="4:4" ht="13.15" x14ac:dyDescent="0.4">
      <c r="D427" s="20"/>
    </row>
    <row r="428" spans="4:4" ht="13.15" x14ac:dyDescent="0.4">
      <c r="D428" s="20"/>
    </row>
    <row r="429" spans="4:4" ht="13.15" x14ac:dyDescent="0.4">
      <c r="D429" s="20"/>
    </row>
    <row r="430" spans="4:4" ht="13.15" x14ac:dyDescent="0.4">
      <c r="D430" s="20"/>
    </row>
    <row r="431" spans="4:4" ht="13.15" x14ac:dyDescent="0.4">
      <c r="D431" s="20"/>
    </row>
    <row r="432" spans="4:4" ht="13.15" x14ac:dyDescent="0.4">
      <c r="D432" s="20"/>
    </row>
    <row r="433" spans="4:4" ht="13.15" x14ac:dyDescent="0.4">
      <c r="D433" s="20"/>
    </row>
    <row r="434" spans="4:4" ht="13.15" x14ac:dyDescent="0.4">
      <c r="D434" s="20"/>
    </row>
    <row r="435" spans="4:4" ht="13.15" x14ac:dyDescent="0.4">
      <c r="D435" s="20"/>
    </row>
    <row r="436" spans="4:4" ht="13.15" x14ac:dyDescent="0.4">
      <c r="D436" s="20"/>
    </row>
    <row r="437" spans="4:4" ht="13.15" x14ac:dyDescent="0.4">
      <c r="D437" s="20"/>
    </row>
    <row r="438" spans="4:4" ht="13.15" x14ac:dyDescent="0.4">
      <c r="D438" s="20"/>
    </row>
    <row r="439" spans="4:4" ht="13.15" x14ac:dyDescent="0.4">
      <c r="D439" s="20"/>
    </row>
    <row r="440" spans="4:4" ht="13.15" x14ac:dyDescent="0.4">
      <c r="D440" s="20"/>
    </row>
    <row r="441" spans="4:4" ht="13.15" x14ac:dyDescent="0.4">
      <c r="D441" s="20"/>
    </row>
    <row r="442" spans="4:4" ht="13.15" x14ac:dyDescent="0.4">
      <c r="D442" s="20"/>
    </row>
    <row r="443" spans="4:4" ht="13.15" x14ac:dyDescent="0.4">
      <c r="D443" s="20"/>
    </row>
    <row r="444" spans="4:4" ht="13.15" x14ac:dyDescent="0.4">
      <c r="D444" s="20"/>
    </row>
    <row r="445" spans="4:4" ht="13.15" x14ac:dyDescent="0.4">
      <c r="D445" s="20"/>
    </row>
    <row r="446" spans="4:4" ht="13.15" x14ac:dyDescent="0.4">
      <c r="D446" s="20"/>
    </row>
    <row r="447" spans="4:4" ht="13.15" x14ac:dyDescent="0.4">
      <c r="D447" s="20"/>
    </row>
    <row r="448" spans="4:4" ht="13.15" x14ac:dyDescent="0.4">
      <c r="D448" s="20"/>
    </row>
    <row r="449" spans="4:4" ht="13.15" x14ac:dyDescent="0.4">
      <c r="D449" s="20"/>
    </row>
    <row r="450" spans="4:4" ht="13.15" x14ac:dyDescent="0.4">
      <c r="D450" s="20"/>
    </row>
    <row r="451" spans="4:4" ht="13.15" x14ac:dyDescent="0.4">
      <c r="D451" s="20"/>
    </row>
    <row r="452" spans="4:4" ht="13.15" x14ac:dyDescent="0.4">
      <c r="D452" s="20"/>
    </row>
    <row r="453" spans="4:4" ht="13.15" x14ac:dyDescent="0.4">
      <c r="D453" s="20"/>
    </row>
    <row r="454" spans="4:4" ht="13.15" x14ac:dyDescent="0.4">
      <c r="D454" s="20"/>
    </row>
    <row r="455" spans="4:4" ht="13.15" x14ac:dyDescent="0.4">
      <c r="D455" s="20"/>
    </row>
    <row r="456" spans="4:4" ht="13.15" x14ac:dyDescent="0.4">
      <c r="D456" s="20"/>
    </row>
    <row r="457" spans="4:4" ht="13.15" x14ac:dyDescent="0.4">
      <c r="D457" s="20"/>
    </row>
    <row r="458" spans="4:4" ht="13.15" x14ac:dyDescent="0.4">
      <c r="D458" s="20"/>
    </row>
    <row r="459" spans="4:4" ht="13.15" x14ac:dyDescent="0.4">
      <c r="D459" s="20"/>
    </row>
    <row r="460" spans="4:4" ht="13.15" x14ac:dyDescent="0.4">
      <c r="D460" s="20"/>
    </row>
    <row r="461" spans="4:4" ht="13.15" x14ac:dyDescent="0.4">
      <c r="D461" s="20"/>
    </row>
    <row r="462" spans="4:4" ht="13.15" x14ac:dyDescent="0.4">
      <c r="D462" s="20"/>
    </row>
    <row r="463" spans="4:4" ht="13.15" x14ac:dyDescent="0.4">
      <c r="D463" s="20"/>
    </row>
    <row r="464" spans="4:4" ht="13.15" x14ac:dyDescent="0.4">
      <c r="D464" s="20"/>
    </row>
    <row r="465" spans="4:4" ht="13.15" x14ac:dyDescent="0.4">
      <c r="D465" s="20"/>
    </row>
    <row r="466" spans="4:4" ht="13.15" x14ac:dyDescent="0.4">
      <c r="D466" s="20"/>
    </row>
    <row r="467" spans="4:4" ht="13.15" x14ac:dyDescent="0.4">
      <c r="D467" s="20"/>
    </row>
    <row r="468" spans="4:4" ht="13.15" x14ac:dyDescent="0.4">
      <c r="D468" s="20"/>
    </row>
    <row r="469" spans="4:4" ht="13.15" x14ac:dyDescent="0.4">
      <c r="D469" s="20"/>
    </row>
    <row r="470" spans="4:4" ht="13.15" x14ac:dyDescent="0.4">
      <c r="D470" s="20"/>
    </row>
    <row r="471" spans="4:4" ht="13.15" x14ac:dyDescent="0.4">
      <c r="D471" s="20"/>
    </row>
    <row r="472" spans="4:4" ht="13.15" x14ac:dyDescent="0.4">
      <c r="D472" s="20"/>
    </row>
    <row r="473" spans="4:4" ht="13.15" x14ac:dyDescent="0.4">
      <c r="D473" s="20"/>
    </row>
    <row r="474" spans="4:4" ht="13.15" x14ac:dyDescent="0.4">
      <c r="D474" s="20"/>
    </row>
    <row r="475" spans="4:4" ht="13.15" x14ac:dyDescent="0.4">
      <c r="D475" s="20"/>
    </row>
    <row r="476" spans="4:4" ht="13.15" x14ac:dyDescent="0.4">
      <c r="D476" s="20"/>
    </row>
    <row r="477" spans="4:4" ht="13.15" x14ac:dyDescent="0.4">
      <c r="D477" s="20"/>
    </row>
    <row r="478" spans="4:4" ht="13.15" x14ac:dyDescent="0.4">
      <c r="D478" s="20"/>
    </row>
    <row r="479" spans="4:4" ht="13.15" x14ac:dyDescent="0.4">
      <c r="D479" s="20"/>
    </row>
    <row r="480" spans="4:4" ht="13.15" x14ac:dyDescent="0.4">
      <c r="D480" s="20"/>
    </row>
    <row r="481" spans="4:4" ht="13.15" x14ac:dyDescent="0.4">
      <c r="D481" s="20"/>
    </row>
    <row r="482" spans="4:4" ht="13.15" x14ac:dyDescent="0.4">
      <c r="D482" s="20"/>
    </row>
    <row r="483" spans="4:4" ht="13.15" x14ac:dyDescent="0.4">
      <c r="D483" s="20"/>
    </row>
    <row r="484" spans="4:4" ht="13.15" x14ac:dyDescent="0.4">
      <c r="D484" s="20"/>
    </row>
    <row r="485" spans="4:4" ht="13.15" x14ac:dyDescent="0.4">
      <c r="D485" s="20"/>
    </row>
    <row r="486" spans="4:4" ht="13.15" x14ac:dyDescent="0.4">
      <c r="D486" s="20"/>
    </row>
    <row r="487" spans="4:4" ht="13.15" x14ac:dyDescent="0.4">
      <c r="D487" s="20"/>
    </row>
    <row r="488" spans="4:4" ht="13.15" x14ac:dyDescent="0.4">
      <c r="D488" s="20"/>
    </row>
    <row r="489" spans="4:4" ht="13.15" x14ac:dyDescent="0.4">
      <c r="D489" s="20"/>
    </row>
    <row r="490" spans="4:4" ht="13.15" x14ac:dyDescent="0.4">
      <c r="D490" s="20"/>
    </row>
    <row r="491" spans="4:4" ht="13.15" x14ac:dyDescent="0.4">
      <c r="D491" s="20"/>
    </row>
    <row r="492" spans="4:4" ht="13.15" x14ac:dyDescent="0.4">
      <c r="D492" s="20"/>
    </row>
    <row r="493" spans="4:4" ht="13.15" x14ac:dyDescent="0.4">
      <c r="D493" s="20"/>
    </row>
    <row r="494" spans="4:4" ht="13.15" x14ac:dyDescent="0.4">
      <c r="D494" s="20"/>
    </row>
    <row r="495" spans="4:4" ht="13.15" x14ac:dyDescent="0.4">
      <c r="D495" s="20"/>
    </row>
    <row r="496" spans="4:4" ht="13.15" x14ac:dyDescent="0.4">
      <c r="D496" s="20"/>
    </row>
    <row r="497" spans="4:4" ht="13.15" x14ac:dyDescent="0.4">
      <c r="D497" s="20"/>
    </row>
    <row r="498" spans="4:4" ht="13.15" x14ac:dyDescent="0.4">
      <c r="D498" s="20"/>
    </row>
    <row r="499" spans="4:4" ht="13.15" x14ac:dyDescent="0.4">
      <c r="D499" s="20"/>
    </row>
    <row r="500" spans="4:4" ht="13.15" x14ac:dyDescent="0.4">
      <c r="D500" s="20"/>
    </row>
    <row r="501" spans="4:4" ht="13.15" x14ac:dyDescent="0.4">
      <c r="D501" s="20"/>
    </row>
    <row r="502" spans="4:4" ht="13.15" x14ac:dyDescent="0.4">
      <c r="D502" s="20"/>
    </row>
    <row r="503" spans="4:4" ht="13.15" x14ac:dyDescent="0.4">
      <c r="D503" s="20"/>
    </row>
    <row r="504" spans="4:4" ht="13.15" x14ac:dyDescent="0.4">
      <c r="D504" s="20"/>
    </row>
    <row r="505" spans="4:4" ht="13.15" x14ac:dyDescent="0.4">
      <c r="D505" s="20"/>
    </row>
    <row r="506" spans="4:4" ht="13.15" x14ac:dyDescent="0.4">
      <c r="D506" s="20"/>
    </row>
    <row r="507" spans="4:4" ht="13.15" x14ac:dyDescent="0.4">
      <c r="D507" s="20"/>
    </row>
    <row r="508" spans="4:4" ht="13.15" x14ac:dyDescent="0.4">
      <c r="D508" s="20"/>
    </row>
    <row r="509" spans="4:4" ht="13.15" x14ac:dyDescent="0.4">
      <c r="D509" s="20"/>
    </row>
    <row r="510" spans="4:4" ht="13.15" x14ac:dyDescent="0.4">
      <c r="D510" s="20"/>
    </row>
    <row r="511" spans="4:4" ht="13.15" x14ac:dyDescent="0.4">
      <c r="D511" s="20"/>
    </row>
    <row r="512" spans="4:4" ht="13.15" x14ac:dyDescent="0.4">
      <c r="D512" s="20"/>
    </row>
    <row r="513" spans="4:4" ht="13.15" x14ac:dyDescent="0.4">
      <c r="D513" s="20"/>
    </row>
    <row r="514" spans="4:4" ht="13.15" x14ac:dyDescent="0.4">
      <c r="D514" s="20"/>
    </row>
    <row r="515" spans="4:4" ht="13.15" x14ac:dyDescent="0.4">
      <c r="D515" s="20"/>
    </row>
    <row r="516" spans="4:4" ht="13.15" x14ac:dyDescent="0.4">
      <c r="D516" s="20"/>
    </row>
    <row r="517" spans="4:4" ht="13.15" x14ac:dyDescent="0.4">
      <c r="D517" s="20"/>
    </row>
    <row r="518" spans="4:4" ht="13.15" x14ac:dyDescent="0.4">
      <c r="D518" s="20"/>
    </row>
    <row r="519" spans="4:4" ht="13.15" x14ac:dyDescent="0.4">
      <c r="D519" s="20"/>
    </row>
    <row r="520" spans="4:4" ht="13.15" x14ac:dyDescent="0.4">
      <c r="D520" s="20"/>
    </row>
    <row r="521" spans="4:4" ht="13.15" x14ac:dyDescent="0.4">
      <c r="D521" s="20"/>
    </row>
    <row r="522" spans="4:4" ht="13.15" x14ac:dyDescent="0.4">
      <c r="D522" s="20"/>
    </row>
    <row r="523" spans="4:4" ht="13.15" x14ac:dyDescent="0.4">
      <c r="D523" s="20"/>
    </row>
    <row r="524" spans="4:4" ht="13.15" x14ac:dyDescent="0.4">
      <c r="D524" s="20"/>
    </row>
    <row r="525" spans="4:4" ht="13.15" x14ac:dyDescent="0.4">
      <c r="D525" s="20"/>
    </row>
    <row r="526" spans="4:4" ht="13.15" x14ac:dyDescent="0.4">
      <c r="D526" s="20"/>
    </row>
    <row r="527" spans="4:4" ht="13.15" x14ac:dyDescent="0.4">
      <c r="D527" s="20"/>
    </row>
    <row r="528" spans="4:4" ht="13.15" x14ac:dyDescent="0.4">
      <c r="D528" s="20"/>
    </row>
    <row r="529" spans="4:4" ht="13.15" x14ac:dyDescent="0.4">
      <c r="D529" s="20"/>
    </row>
    <row r="530" spans="4:4" ht="13.15" x14ac:dyDescent="0.4">
      <c r="D530" s="20"/>
    </row>
    <row r="531" spans="4:4" ht="13.15" x14ac:dyDescent="0.4">
      <c r="D531" s="20"/>
    </row>
    <row r="532" spans="4:4" ht="13.15" x14ac:dyDescent="0.4">
      <c r="D532" s="20"/>
    </row>
    <row r="533" spans="4:4" ht="13.15" x14ac:dyDescent="0.4">
      <c r="D533" s="20"/>
    </row>
    <row r="534" spans="4:4" ht="13.15" x14ac:dyDescent="0.4">
      <c r="D534" s="20"/>
    </row>
    <row r="535" spans="4:4" ht="13.15" x14ac:dyDescent="0.4">
      <c r="D535" s="20"/>
    </row>
    <row r="536" spans="4:4" ht="13.15" x14ac:dyDescent="0.4">
      <c r="D536" s="20"/>
    </row>
    <row r="537" spans="4:4" ht="13.15" x14ac:dyDescent="0.4">
      <c r="D537" s="20"/>
    </row>
    <row r="538" spans="4:4" ht="13.15" x14ac:dyDescent="0.4">
      <c r="D538" s="20"/>
    </row>
    <row r="539" spans="4:4" ht="13.15" x14ac:dyDescent="0.4">
      <c r="D539" s="20"/>
    </row>
    <row r="540" spans="4:4" ht="13.15" x14ac:dyDescent="0.4">
      <c r="D540" s="20"/>
    </row>
    <row r="541" spans="4:4" ht="13.15" x14ac:dyDescent="0.4">
      <c r="D541" s="20"/>
    </row>
    <row r="542" spans="4:4" ht="13.15" x14ac:dyDescent="0.4">
      <c r="D542" s="20"/>
    </row>
    <row r="543" spans="4:4" ht="13.15" x14ac:dyDescent="0.4">
      <c r="D543" s="20"/>
    </row>
    <row r="544" spans="4:4" ht="13.15" x14ac:dyDescent="0.4">
      <c r="D544" s="20"/>
    </row>
    <row r="545" spans="4:4" ht="13.15" x14ac:dyDescent="0.4">
      <c r="D545" s="20"/>
    </row>
    <row r="546" spans="4:4" ht="13.15" x14ac:dyDescent="0.4">
      <c r="D546" s="20"/>
    </row>
    <row r="547" spans="4:4" ht="13.15" x14ac:dyDescent="0.4">
      <c r="D547" s="20"/>
    </row>
    <row r="548" spans="4:4" ht="13.15" x14ac:dyDescent="0.4">
      <c r="D548" s="20"/>
    </row>
    <row r="549" spans="4:4" ht="13.15" x14ac:dyDescent="0.4">
      <c r="D549" s="20"/>
    </row>
    <row r="550" spans="4:4" ht="13.15" x14ac:dyDescent="0.4">
      <c r="D550" s="20"/>
    </row>
    <row r="551" spans="4:4" ht="13.15" x14ac:dyDescent="0.4">
      <c r="D551" s="20"/>
    </row>
    <row r="552" spans="4:4" ht="13.15" x14ac:dyDescent="0.4">
      <c r="D552" s="20"/>
    </row>
    <row r="553" spans="4:4" ht="13.15" x14ac:dyDescent="0.4">
      <c r="D553" s="20"/>
    </row>
    <row r="554" spans="4:4" ht="13.15" x14ac:dyDescent="0.4">
      <c r="D554" s="20"/>
    </row>
    <row r="555" spans="4:4" ht="13.15" x14ac:dyDescent="0.4">
      <c r="D555" s="20"/>
    </row>
    <row r="556" spans="4:4" ht="13.15" x14ac:dyDescent="0.4">
      <c r="D556" s="20"/>
    </row>
    <row r="557" spans="4:4" ht="13.15" x14ac:dyDescent="0.4">
      <c r="D557" s="20"/>
    </row>
    <row r="558" spans="4:4" ht="13.15" x14ac:dyDescent="0.4">
      <c r="D558" s="20"/>
    </row>
    <row r="559" spans="4:4" ht="13.15" x14ac:dyDescent="0.4">
      <c r="D559" s="20"/>
    </row>
    <row r="560" spans="4:4" ht="13.15" x14ac:dyDescent="0.4">
      <c r="D560" s="20"/>
    </row>
    <row r="561" spans="4:4" ht="13.15" x14ac:dyDescent="0.4">
      <c r="D561" s="20"/>
    </row>
    <row r="562" spans="4:4" ht="13.15" x14ac:dyDescent="0.4">
      <c r="D562" s="20"/>
    </row>
    <row r="563" spans="4:4" ht="13.15" x14ac:dyDescent="0.4">
      <c r="D563" s="20"/>
    </row>
    <row r="564" spans="4:4" ht="13.15" x14ac:dyDescent="0.4">
      <c r="D564" s="20"/>
    </row>
    <row r="565" spans="4:4" ht="13.15" x14ac:dyDescent="0.4">
      <c r="D565" s="20"/>
    </row>
    <row r="566" spans="4:4" ht="13.15" x14ac:dyDescent="0.4">
      <c r="D566" s="20"/>
    </row>
    <row r="567" spans="4:4" ht="13.15" x14ac:dyDescent="0.4">
      <c r="D567" s="20"/>
    </row>
    <row r="568" spans="4:4" ht="13.15" x14ac:dyDescent="0.4">
      <c r="D568" s="20"/>
    </row>
    <row r="569" spans="4:4" ht="13.15" x14ac:dyDescent="0.4">
      <c r="D569" s="20"/>
    </row>
    <row r="570" spans="4:4" ht="13.15" x14ac:dyDescent="0.4">
      <c r="D570" s="20"/>
    </row>
    <row r="571" spans="4:4" ht="13.15" x14ac:dyDescent="0.4">
      <c r="D571" s="20"/>
    </row>
    <row r="572" spans="4:4" ht="13.15" x14ac:dyDescent="0.4">
      <c r="D572" s="20"/>
    </row>
    <row r="573" spans="4:4" ht="13.15" x14ac:dyDescent="0.4">
      <c r="D573" s="20"/>
    </row>
    <row r="574" spans="4:4" ht="13.15" x14ac:dyDescent="0.4">
      <c r="D574" s="20"/>
    </row>
    <row r="575" spans="4:4" ht="13.15" x14ac:dyDescent="0.4">
      <c r="D575" s="20"/>
    </row>
    <row r="576" spans="4:4" ht="13.15" x14ac:dyDescent="0.4">
      <c r="D576" s="20"/>
    </row>
    <row r="577" spans="4:4" ht="13.15" x14ac:dyDescent="0.4">
      <c r="D577" s="20"/>
    </row>
    <row r="578" spans="4:4" ht="13.15" x14ac:dyDescent="0.4">
      <c r="D578" s="20"/>
    </row>
    <row r="579" spans="4:4" ht="13.15" x14ac:dyDescent="0.4">
      <c r="D579" s="20"/>
    </row>
    <row r="580" spans="4:4" ht="13.15" x14ac:dyDescent="0.4">
      <c r="D580" s="20"/>
    </row>
    <row r="581" spans="4:4" ht="13.15" x14ac:dyDescent="0.4">
      <c r="D581" s="20"/>
    </row>
    <row r="582" spans="4:4" ht="13.15" x14ac:dyDescent="0.4">
      <c r="D582" s="20"/>
    </row>
    <row r="583" spans="4:4" ht="13.15" x14ac:dyDescent="0.4">
      <c r="D583" s="20"/>
    </row>
    <row r="584" spans="4:4" ht="13.15" x14ac:dyDescent="0.4">
      <c r="D584" s="20"/>
    </row>
    <row r="585" spans="4:4" ht="13.15" x14ac:dyDescent="0.4">
      <c r="D585" s="20"/>
    </row>
    <row r="586" spans="4:4" ht="13.15" x14ac:dyDescent="0.4">
      <c r="D586" s="20"/>
    </row>
    <row r="587" spans="4:4" ht="13.15" x14ac:dyDescent="0.4">
      <c r="D587" s="20"/>
    </row>
    <row r="588" spans="4:4" ht="13.15" x14ac:dyDescent="0.4">
      <c r="D588" s="20"/>
    </row>
    <row r="589" spans="4:4" ht="13.15" x14ac:dyDescent="0.4">
      <c r="D589" s="20"/>
    </row>
    <row r="590" spans="4:4" ht="13.15" x14ac:dyDescent="0.4">
      <c r="D590" s="20"/>
    </row>
    <row r="591" spans="4:4" ht="13.15" x14ac:dyDescent="0.4">
      <c r="D591" s="20"/>
    </row>
    <row r="592" spans="4:4" ht="13.15" x14ac:dyDescent="0.4">
      <c r="D592" s="20"/>
    </row>
    <row r="593" spans="4:4" ht="13.15" x14ac:dyDescent="0.4">
      <c r="D593" s="20"/>
    </row>
    <row r="594" spans="4:4" ht="13.15" x14ac:dyDescent="0.4">
      <c r="D594" s="20"/>
    </row>
    <row r="595" spans="4:4" ht="13.15" x14ac:dyDescent="0.4">
      <c r="D595" s="20"/>
    </row>
    <row r="596" spans="4:4" ht="13.15" x14ac:dyDescent="0.4">
      <c r="D596" s="20"/>
    </row>
    <row r="597" spans="4:4" ht="13.15" x14ac:dyDescent="0.4">
      <c r="D597" s="20"/>
    </row>
    <row r="598" spans="4:4" ht="13.15" x14ac:dyDescent="0.4">
      <c r="D598" s="20"/>
    </row>
    <row r="599" spans="4:4" ht="13.15" x14ac:dyDescent="0.4">
      <c r="D599" s="20"/>
    </row>
    <row r="600" spans="4:4" ht="13.15" x14ac:dyDescent="0.4">
      <c r="D600" s="20"/>
    </row>
    <row r="601" spans="4:4" ht="13.15" x14ac:dyDescent="0.4">
      <c r="D601" s="20"/>
    </row>
    <row r="602" spans="4:4" ht="13.15" x14ac:dyDescent="0.4">
      <c r="D602" s="20"/>
    </row>
    <row r="603" spans="4:4" ht="13.15" x14ac:dyDescent="0.4">
      <c r="D603" s="20"/>
    </row>
    <row r="604" spans="4:4" ht="13.15" x14ac:dyDescent="0.4">
      <c r="D604" s="20"/>
    </row>
    <row r="605" spans="4:4" ht="13.15" x14ac:dyDescent="0.4">
      <c r="D605" s="20"/>
    </row>
    <row r="606" spans="4:4" ht="13.15" x14ac:dyDescent="0.4">
      <c r="D606" s="20"/>
    </row>
    <row r="607" spans="4:4" ht="13.15" x14ac:dyDescent="0.4">
      <c r="D607" s="20"/>
    </row>
    <row r="608" spans="4:4" ht="13.15" x14ac:dyDescent="0.4">
      <c r="D608" s="20"/>
    </row>
    <row r="609" spans="4:4" ht="13.15" x14ac:dyDescent="0.4">
      <c r="D609" s="20"/>
    </row>
    <row r="610" spans="4:4" ht="13.15" x14ac:dyDescent="0.4">
      <c r="D610" s="20"/>
    </row>
    <row r="611" spans="4:4" ht="13.15" x14ac:dyDescent="0.4">
      <c r="D611" s="20"/>
    </row>
    <row r="612" spans="4:4" ht="13.15" x14ac:dyDescent="0.4">
      <c r="D612" s="20"/>
    </row>
    <row r="613" spans="4:4" ht="13.15" x14ac:dyDescent="0.4">
      <c r="D613" s="20"/>
    </row>
    <row r="614" spans="4:4" ht="13.15" x14ac:dyDescent="0.4">
      <c r="D614" s="20"/>
    </row>
    <row r="615" spans="4:4" ht="13.15" x14ac:dyDescent="0.4">
      <c r="D615" s="20"/>
    </row>
    <row r="616" spans="4:4" ht="13.15" x14ac:dyDescent="0.4">
      <c r="D616" s="20"/>
    </row>
    <row r="617" spans="4:4" ht="13.15" x14ac:dyDescent="0.4">
      <c r="D617" s="20"/>
    </row>
    <row r="618" spans="4:4" ht="13.15" x14ac:dyDescent="0.4">
      <c r="D618" s="20"/>
    </row>
    <row r="619" spans="4:4" ht="13.15" x14ac:dyDescent="0.4">
      <c r="D619" s="20"/>
    </row>
    <row r="620" spans="4:4" ht="13.15" x14ac:dyDescent="0.4">
      <c r="D620" s="20"/>
    </row>
    <row r="621" spans="4:4" ht="13.15" x14ac:dyDescent="0.4">
      <c r="D621" s="20"/>
    </row>
    <row r="622" spans="4:4" ht="13.15" x14ac:dyDescent="0.4">
      <c r="D622" s="20"/>
    </row>
    <row r="623" spans="4:4" ht="13.15" x14ac:dyDescent="0.4">
      <c r="D623" s="20"/>
    </row>
    <row r="624" spans="4:4" ht="13.15" x14ac:dyDescent="0.4">
      <c r="D624" s="20"/>
    </row>
    <row r="625" spans="4:4" ht="13.15" x14ac:dyDescent="0.4">
      <c r="D625" s="20"/>
    </row>
    <row r="626" spans="4:4" ht="13.15" x14ac:dyDescent="0.4">
      <c r="D626" s="20"/>
    </row>
    <row r="627" spans="4:4" ht="13.15" x14ac:dyDescent="0.4">
      <c r="D627" s="20"/>
    </row>
    <row r="628" spans="4:4" ht="13.15" x14ac:dyDescent="0.4">
      <c r="D628" s="20"/>
    </row>
    <row r="629" spans="4:4" ht="13.15" x14ac:dyDescent="0.4">
      <c r="D629" s="20"/>
    </row>
    <row r="630" spans="4:4" ht="13.15" x14ac:dyDescent="0.4">
      <c r="D630" s="20"/>
    </row>
    <row r="631" spans="4:4" ht="13.15" x14ac:dyDescent="0.4">
      <c r="D631" s="20"/>
    </row>
    <row r="632" spans="4:4" ht="13.15" x14ac:dyDescent="0.4">
      <c r="D632" s="20"/>
    </row>
    <row r="633" spans="4:4" ht="13.15" x14ac:dyDescent="0.4">
      <c r="D633" s="20"/>
    </row>
    <row r="634" spans="4:4" ht="13.15" x14ac:dyDescent="0.4">
      <c r="D634" s="20"/>
    </row>
    <row r="635" spans="4:4" ht="13.15" x14ac:dyDescent="0.4">
      <c r="D635" s="20"/>
    </row>
    <row r="636" spans="4:4" ht="13.15" x14ac:dyDescent="0.4">
      <c r="D636" s="20"/>
    </row>
    <row r="637" spans="4:4" ht="13.15" x14ac:dyDescent="0.4">
      <c r="D637" s="20"/>
    </row>
    <row r="638" spans="4:4" ht="13.15" x14ac:dyDescent="0.4">
      <c r="D638" s="20"/>
    </row>
    <row r="639" spans="4:4" ht="13.15" x14ac:dyDescent="0.4">
      <c r="D639" s="20"/>
    </row>
    <row r="640" spans="4:4" ht="13.15" x14ac:dyDescent="0.4">
      <c r="D640" s="20"/>
    </row>
    <row r="641" spans="4:4" ht="13.15" x14ac:dyDescent="0.4">
      <c r="D641" s="20"/>
    </row>
    <row r="642" spans="4:4" ht="13.15" x14ac:dyDescent="0.4">
      <c r="D642" s="20"/>
    </row>
    <row r="643" spans="4:4" ht="13.15" x14ac:dyDescent="0.4">
      <c r="D643" s="20"/>
    </row>
    <row r="644" spans="4:4" ht="13.15" x14ac:dyDescent="0.4">
      <c r="D644" s="20"/>
    </row>
    <row r="645" spans="4:4" ht="13.15" x14ac:dyDescent="0.4">
      <c r="D645" s="20"/>
    </row>
    <row r="646" spans="4:4" ht="13.15" x14ac:dyDescent="0.4">
      <c r="D646" s="20"/>
    </row>
    <row r="647" spans="4:4" ht="13.15" x14ac:dyDescent="0.4">
      <c r="D647" s="20"/>
    </row>
    <row r="648" spans="4:4" ht="13.15" x14ac:dyDescent="0.4">
      <c r="D648" s="20"/>
    </row>
    <row r="649" spans="4:4" ht="13.15" x14ac:dyDescent="0.4">
      <c r="D649" s="20"/>
    </row>
    <row r="650" spans="4:4" ht="13.15" x14ac:dyDescent="0.4">
      <c r="D650" s="20"/>
    </row>
    <row r="651" spans="4:4" ht="13.15" x14ac:dyDescent="0.4">
      <c r="D651" s="20"/>
    </row>
    <row r="652" spans="4:4" ht="13.15" x14ac:dyDescent="0.4">
      <c r="D652" s="20"/>
    </row>
    <row r="653" spans="4:4" ht="13.15" x14ac:dyDescent="0.4">
      <c r="D653" s="20"/>
    </row>
    <row r="654" spans="4:4" ht="13.15" x14ac:dyDescent="0.4">
      <c r="D654" s="20"/>
    </row>
    <row r="655" spans="4:4" ht="13.15" x14ac:dyDescent="0.4">
      <c r="D655" s="20"/>
    </row>
    <row r="656" spans="4:4" ht="13.15" x14ac:dyDescent="0.4">
      <c r="D656" s="20"/>
    </row>
    <row r="657" spans="4:4" ht="13.15" x14ac:dyDescent="0.4">
      <c r="D657" s="20"/>
    </row>
    <row r="658" spans="4:4" ht="13.15" x14ac:dyDescent="0.4">
      <c r="D658" s="20"/>
    </row>
    <row r="659" spans="4:4" ht="13.15" x14ac:dyDescent="0.4">
      <c r="D659" s="20"/>
    </row>
    <row r="660" spans="4:4" ht="13.15" x14ac:dyDescent="0.4">
      <c r="D660" s="20"/>
    </row>
    <row r="661" spans="4:4" ht="13.15" x14ac:dyDescent="0.4">
      <c r="D661" s="20"/>
    </row>
    <row r="662" spans="4:4" ht="13.15" x14ac:dyDescent="0.4">
      <c r="D662" s="20"/>
    </row>
    <row r="663" spans="4:4" ht="13.15" x14ac:dyDescent="0.4">
      <c r="D663" s="20"/>
    </row>
    <row r="664" spans="4:4" ht="13.15" x14ac:dyDescent="0.4">
      <c r="D664" s="20"/>
    </row>
    <row r="665" spans="4:4" ht="13.15" x14ac:dyDescent="0.4">
      <c r="D665" s="20"/>
    </row>
    <row r="666" spans="4:4" ht="13.15" x14ac:dyDescent="0.4">
      <c r="D666" s="20"/>
    </row>
    <row r="667" spans="4:4" ht="13.15" x14ac:dyDescent="0.4">
      <c r="D667" s="20"/>
    </row>
    <row r="668" spans="4:4" ht="13.15" x14ac:dyDescent="0.4">
      <c r="D668" s="20"/>
    </row>
    <row r="669" spans="4:4" ht="13.15" x14ac:dyDescent="0.4">
      <c r="D669" s="20"/>
    </row>
    <row r="670" spans="4:4" ht="13.15" x14ac:dyDescent="0.4">
      <c r="D670" s="20"/>
    </row>
    <row r="671" spans="4:4" ht="13.15" x14ac:dyDescent="0.4">
      <c r="D671" s="20"/>
    </row>
    <row r="672" spans="4:4" ht="13.15" x14ac:dyDescent="0.4">
      <c r="D672" s="20"/>
    </row>
    <row r="673" spans="4:4" ht="13.15" x14ac:dyDescent="0.4">
      <c r="D673" s="20"/>
    </row>
    <row r="674" spans="4:4" ht="13.15" x14ac:dyDescent="0.4">
      <c r="D674" s="20"/>
    </row>
    <row r="675" spans="4:4" ht="13.15" x14ac:dyDescent="0.4">
      <c r="D675" s="20"/>
    </row>
    <row r="676" spans="4:4" ht="13.15" x14ac:dyDescent="0.4">
      <c r="D676" s="20"/>
    </row>
    <row r="677" spans="4:4" ht="13.15" x14ac:dyDescent="0.4">
      <c r="D677" s="20"/>
    </row>
    <row r="678" spans="4:4" ht="13.15" x14ac:dyDescent="0.4">
      <c r="D678" s="20"/>
    </row>
    <row r="679" spans="4:4" ht="13.15" x14ac:dyDescent="0.4">
      <c r="D679" s="20"/>
    </row>
    <row r="680" spans="4:4" ht="13.15" x14ac:dyDescent="0.4">
      <c r="D680" s="20"/>
    </row>
    <row r="681" spans="4:4" ht="13.15" x14ac:dyDescent="0.4">
      <c r="D681" s="20"/>
    </row>
    <row r="682" spans="4:4" ht="13.15" x14ac:dyDescent="0.4">
      <c r="D682" s="20"/>
    </row>
    <row r="683" spans="4:4" ht="13.15" x14ac:dyDescent="0.4">
      <c r="D683" s="20"/>
    </row>
    <row r="684" spans="4:4" ht="13.15" x14ac:dyDescent="0.4">
      <c r="D684" s="20"/>
    </row>
    <row r="685" spans="4:4" ht="13.15" x14ac:dyDescent="0.4">
      <c r="D685" s="20"/>
    </row>
    <row r="686" spans="4:4" ht="13.15" x14ac:dyDescent="0.4">
      <c r="D686" s="20"/>
    </row>
    <row r="687" spans="4:4" ht="13.15" x14ac:dyDescent="0.4">
      <c r="D687" s="20"/>
    </row>
    <row r="688" spans="4:4" ht="13.15" x14ac:dyDescent="0.4">
      <c r="D688" s="20"/>
    </row>
    <row r="689" spans="4:4" ht="13.15" x14ac:dyDescent="0.4">
      <c r="D689" s="20"/>
    </row>
    <row r="690" spans="4:4" ht="13.15" x14ac:dyDescent="0.4">
      <c r="D690" s="20"/>
    </row>
    <row r="691" spans="4:4" ht="13.15" x14ac:dyDescent="0.4">
      <c r="D691" s="20"/>
    </row>
    <row r="692" spans="4:4" ht="13.15" x14ac:dyDescent="0.4">
      <c r="D692" s="20"/>
    </row>
    <row r="693" spans="4:4" ht="13.15" x14ac:dyDescent="0.4">
      <c r="D693" s="20"/>
    </row>
    <row r="694" spans="4:4" ht="13.15" x14ac:dyDescent="0.4">
      <c r="D694" s="20"/>
    </row>
    <row r="695" spans="4:4" ht="13.15" x14ac:dyDescent="0.4">
      <c r="D695" s="20"/>
    </row>
    <row r="696" spans="4:4" ht="13.15" x14ac:dyDescent="0.4">
      <c r="D696" s="20"/>
    </row>
    <row r="697" spans="4:4" ht="13.15" x14ac:dyDescent="0.4">
      <c r="D697" s="20"/>
    </row>
    <row r="698" spans="4:4" ht="13.15" x14ac:dyDescent="0.4">
      <c r="D698" s="20"/>
    </row>
    <row r="699" spans="4:4" ht="13.15" x14ac:dyDescent="0.4">
      <c r="D699" s="20"/>
    </row>
    <row r="700" spans="4:4" ht="13.15" x14ac:dyDescent="0.4">
      <c r="D700" s="20"/>
    </row>
    <row r="701" spans="4:4" ht="13.15" x14ac:dyDescent="0.4">
      <c r="D701" s="20"/>
    </row>
    <row r="702" spans="4:4" ht="13.15" x14ac:dyDescent="0.4">
      <c r="D702" s="20"/>
    </row>
    <row r="703" spans="4:4" ht="13.15" x14ac:dyDescent="0.4">
      <c r="D703" s="20"/>
    </row>
    <row r="704" spans="4:4" ht="13.15" x14ac:dyDescent="0.4">
      <c r="D704" s="20"/>
    </row>
    <row r="705" spans="4:4" ht="13.15" x14ac:dyDescent="0.4">
      <c r="D705" s="20"/>
    </row>
    <row r="706" spans="4:4" ht="13.15" x14ac:dyDescent="0.4">
      <c r="D706" s="20"/>
    </row>
    <row r="707" spans="4:4" ht="13.15" x14ac:dyDescent="0.4">
      <c r="D707" s="20"/>
    </row>
    <row r="708" spans="4:4" ht="13.15" x14ac:dyDescent="0.4">
      <c r="D708" s="20"/>
    </row>
    <row r="709" spans="4:4" ht="13.15" x14ac:dyDescent="0.4">
      <c r="D709" s="20"/>
    </row>
    <row r="710" spans="4:4" ht="13.15" x14ac:dyDescent="0.4">
      <c r="D710" s="20"/>
    </row>
    <row r="711" spans="4:4" ht="13.15" x14ac:dyDescent="0.4">
      <c r="D711" s="20"/>
    </row>
    <row r="712" spans="4:4" ht="13.15" x14ac:dyDescent="0.4">
      <c r="D712" s="20"/>
    </row>
    <row r="713" spans="4:4" ht="13.15" x14ac:dyDescent="0.4">
      <c r="D713" s="20"/>
    </row>
    <row r="714" spans="4:4" ht="13.15" x14ac:dyDescent="0.4">
      <c r="D714" s="20"/>
    </row>
    <row r="715" spans="4:4" ht="13.15" x14ac:dyDescent="0.4">
      <c r="D715" s="20"/>
    </row>
    <row r="716" spans="4:4" ht="13.15" x14ac:dyDescent="0.4">
      <c r="D716" s="20"/>
    </row>
    <row r="717" spans="4:4" ht="13.15" x14ac:dyDescent="0.4">
      <c r="D717" s="20"/>
    </row>
    <row r="718" spans="4:4" ht="13.15" x14ac:dyDescent="0.4">
      <c r="D718" s="20"/>
    </row>
    <row r="719" spans="4:4" ht="13.15" x14ac:dyDescent="0.4">
      <c r="D719" s="20"/>
    </row>
    <row r="720" spans="4:4" ht="13.15" x14ac:dyDescent="0.4">
      <c r="D720" s="20"/>
    </row>
    <row r="721" spans="4:4" ht="13.15" x14ac:dyDescent="0.4">
      <c r="D721" s="20"/>
    </row>
    <row r="722" spans="4:4" ht="13.15" x14ac:dyDescent="0.4">
      <c r="D722" s="20"/>
    </row>
    <row r="723" spans="4:4" ht="13.15" x14ac:dyDescent="0.4">
      <c r="D723" s="20"/>
    </row>
    <row r="724" spans="4:4" ht="13.15" x14ac:dyDescent="0.4">
      <c r="D724" s="20"/>
    </row>
    <row r="725" spans="4:4" ht="13.15" x14ac:dyDescent="0.4">
      <c r="D725" s="20"/>
    </row>
    <row r="726" spans="4:4" ht="13.15" x14ac:dyDescent="0.4">
      <c r="D726" s="20"/>
    </row>
    <row r="727" spans="4:4" ht="13.15" x14ac:dyDescent="0.4">
      <c r="D727" s="20"/>
    </row>
    <row r="728" spans="4:4" ht="13.15" x14ac:dyDescent="0.4">
      <c r="D728" s="20"/>
    </row>
    <row r="729" spans="4:4" ht="13.15" x14ac:dyDescent="0.4">
      <c r="D729" s="20"/>
    </row>
    <row r="730" spans="4:4" ht="13.15" x14ac:dyDescent="0.4">
      <c r="D730" s="20"/>
    </row>
    <row r="731" spans="4:4" ht="13.15" x14ac:dyDescent="0.4">
      <c r="D731" s="20"/>
    </row>
    <row r="732" spans="4:4" ht="13.15" x14ac:dyDescent="0.4">
      <c r="D732" s="20"/>
    </row>
    <row r="733" spans="4:4" ht="13.15" x14ac:dyDescent="0.4">
      <c r="D733" s="20"/>
    </row>
    <row r="734" spans="4:4" ht="13.15" x14ac:dyDescent="0.4">
      <c r="D734" s="20"/>
    </row>
    <row r="735" spans="4:4" ht="13.15" x14ac:dyDescent="0.4">
      <c r="D735" s="20"/>
    </row>
    <row r="736" spans="4:4" ht="13.15" x14ac:dyDescent="0.4">
      <c r="D736" s="20"/>
    </row>
    <row r="737" spans="4:4" ht="13.15" x14ac:dyDescent="0.4">
      <c r="D737" s="20"/>
    </row>
    <row r="738" spans="4:4" ht="13.15" x14ac:dyDescent="0.4">
      <c r="D738" s="20"/>
    </row>
    <row r="739" spans="4:4" ht="13.15" x14ac:dyDescent="0.4">
      <c r="D739" s="20"/>
    </row>
    <row r="740" spans="4:4" ht="13.15" x14ac:dyDescent="0.4">
      <c r="D740" s="20"/>
    </row>
    <row r="741" spans="4:4" ht="13.15" x14ac:dyDescent="0.4">
      <c r="D741" s="20"/>
    </row>
    <row r="742" spans="4:4" ht="13.15" x14ac:dyDescent="0.4">
      <c r="D742" s="20"/>
    </row>
    <row r="743" spans="4:4" ht="13.15" x14ac:dyDescent="0.4">
      <c r="D743" s="20"/>
    </row>
    <row r="744" spans="4:4" ht="13.15" x14ac:dyDescent="0.4">
      <c r="D744" s="20"/>
    </row>
    <row r="745" spans="4:4" ht="13.15" x14ac:dyDescent="0.4">
      <c r="D745" s="20"/>
    </row>
    <row r="746" spans="4:4" ht="13.15" x14ac:dyDescent="0.4">
      <c r="D746" s="20"/>
    </row>
    <row r="747" spans="4:4" ht="13.15" x14ac:dyDescent="0.4">
      <c r="D747" s="20"/>
    </row>
    <row r="748" spans="4:4" ht="13.15" x14ac:dyDescent="0.4">
      <c r="D748" s="20"/>
    </row>
    <row r="749" spans="4:4" ht="13.15" x14ac:dyDescent="0.4">
      <c r="D749" s="20"/>
    </row>
    <row r="750" spans="4:4" ht="13.15" x14ac:dyDescent="0.4">
      <c r="D750" s="20"/>
    </row>
    <row r="751" spans="4:4" ht="13.15" x14ac:dyDescent="0.4">
      <c r="D751" s="20"/>
    </row>
    <row r="752" spans="4:4" ht="13.15" x14ac:dyDescent="0.4">
      <c r="D752" s="20"/>
    </row>
    <row r="753" spans="4:4" ht="13.15" x14ac:dyDescent="0.4">
      <c r="D753" s="20"/>
    </row>
    <row r="754" spans="4:4" ht="13.15" x14ac:dyDescent="0.4">
      <c r="D754" s="20"/>
    </row>
    <row r="755" spans="4:4" ht="13.15" x14ac:dyDescent="0.4">
      <c r="D755" s="20"/>
    </row>
    <row r="756" spans="4:4" ht="13.15" x14ac:dyDescent="0.4">
      <c r="D756" s="20"/>
    </row>
    <row r="757" spans="4:4" ht="13.15" x14ac:dyDescent="0.4">
      <c r="D757" s="20"/>
    </row>
    <row r="758" spans="4:4" ht="13.15" x14ac:dyDescent="0.4">
      <c r="D758" s="20"/>
    </row>
    <row r="759" spans="4:4" ht="13.15" x14ac:dyDescent="0.4">
      <c r="D759" s="20"/>
    </row>
    <row r="760" spans="4:4" ht="13.15" x14ac:dyDescent="0.4">
      <c r="D760" s="20"/>
    </row>
    <row r="761" spans="4:4" ht="13.15" x14ac:dyDescent="0.4">
      <c r="D761" s="20"/>
    </row>
    <row r="762" spans="4:4" ht="13.15" x14ac:dyDescent="0.4">
      <c r="D762" s="20"/>
    </row>
    <row r="763" spans="4:4" ht="13.15" x14ac:dyDescent="0.4">
      <c r="D763" s="20"/>
    </row>
    <row r="764" spans="4:4" ht="13.15" x14ac:dyDescent="0.4">
      <c r="D764" s="20"/>
    </row>
    <row r="765" spans="4:4" ht="13.15" x14ac:dyDescent="0.4">
      <c r="D765" s="20"/>
    </row>
    <row r="766" spans="4:4" ht="13.15" x14ac:dyDescent="0.4">
      <c r="D766" s="20"/>
    </row>
    <row r="767" spans="4:4" ht="13.15" x14ac:dyDescent="0.4">
      <c r="D767" s="20"/>
    </row>
    <row r="768" spans="4:4" ht="13.15" x14ac:dyDescent="0.4">
      <c r="D768" s="20"/>
    </row>
    <row r="769" spans="4:4" ht="13.15" x14ac:dyDescent="0.4">
      <c r="D769" s="20"/>
    </row>
    <row r="770" spans="4:4" ht="13.15" x14ac:dyDescent="0.4">
      <c r="D770" s="20"/>
    </row>
    <row r="771" spans="4:4" ht="13.15" x14ac:dyDescent="0.4">
      <c r="D771" s="20"/>
    </row>
    <row r="772" spans="4:4" ht="13.15" x14ac:dyDescent="0.4">
      <c r="D772" s="20"/>
    </row>
    <row r="773" spans="4:4" ht="13.15" x14ac:dyDescent="0.4">
      <c r="D773" s="20"/>
    </row>
    <row r="774" spans="4:4" ht="13.15" x14ac:dyDescent="0.4">
      <c r="D774" s="20"/>
    </row>
    <row r="775" spans="4:4" ht="13.15" x14ac:dyDescent="0.4">
      <c r="D775" s="20"/>
    </row>
    <row r="776" spans="4:4" ht="13.15" x14ac:dyDescent="0.4">
      <c r="D776" s="20"/>
    </row>
    <row r="777" spans="4:4" ht="13.15" x14ac:dyDescent="0.4">
      <c r="D777" s="20"/>
    </row>
    <row r="778" spans="4:4" ht="13.15" x14ac:dyDescent="0.4">
      <c r="D778" s="20"/>
    </row>
    <row r="779" spans="4:4" ht="13.15" x14ac:dyDescent="0.4">
      <c r="D779" s="20"/>
    </row>
    <row r="780" spans="4:4" ht="13.15" x14ac:dyDescent="0.4">
      <c r="D780" s="20"/>
    </row>
    <row r="781" spans="4:4" ht="13.15" x14ac:dyDescent="0.4">
      <c r="D781" s="20"/>
    </row>
    <row r="782" spans="4:4" ht="13.15" x14ac:dyDescent="0.4">
      <c r="D782" s="20"/>
    </row>
    <row r="783" spans="4:4" ht="13.15" x14ac:dyDescent="0.4">
      <c r="D783" s="20"/>
    </row>
    <row r="784" spans="4:4" ht="13.15" x14ac:dyDescent="0.4">
      <c r="D784" s="20"/>
    </row>
    <row r="785" spans="4:4" ht="13.15" x14ac:dyDescent="0.4">
      <c r="D785" s="20"/>
    </row>
    <row r="786" spans="4:4" ht="13.15" x14ac:dyDescent="0.4">
      <c r="D786" s="20"/>
    </row>
    <row r="787" spans="4:4" ht="13.15" x14ac:dyDescent="0.4">
      <c r="D787" s="20"/>
    </row>
    <row r="788" spans="4:4" ht="13.15" x14ac:dyDescent="0.4">
      <c r="D788" s="20"/>
    </row>
    <row r="789" spans="4:4" ht="13.15" x14ac:dyDescent="0.4">
      <c r="D789" s="20"/>
    </row>
    <row r="790" spans="4:4" ht="13.15" x14ac:dyDescent="0.4">
      <c r="D790" s="20"/>
    </row>
    <row r="791" spans="4:4" ht="13.15" x14ac:dyDescent="0.4">
      <c r="D791" s="20"/>
    </row>
    <row r="792" spans="4:4" ht="13.15" x14ac:dyDescent="0.4">
      <c r="D792" s="20"/>
    </row>
    <row r="793" spans="4:4" ht="13.15" x14ac:dyDescent="0.4">
      <c r="D793" s="20"/>
    </row>
    <row r="794" spans="4:4" ht="13.15" x14ac:dyDescent="0.4">
      <c r="D794" s="20"/>
    </row>
    <row r="795" spans="4:4" ht="13.15" x14ac:dyDescent="0.4">
      <c r="D795" s="20"/>
    </row>
    <row r="796" spans="4:4" ht="13.15" x14ac:dyDescent="0.4">
      <c r="D796" s="20"/>
    </row>
    <row r="797" spans="4:4" ht="13.15" x14ac:dyDescent="0.4">
      <c r="D797" s="20"/>
    </row>
    <row r="798" spans="4:4" ht="13.15" x14ac:dyDescent="0.4">
      <c r="D798" s="20"/>
    </row>
    <row r="799" spans="4:4" ht="13.15" x14ac:dyDescent="0.4">
      <c r="D799" s="20"/>
    </row>
    <row r="800" spans="4:4" ht="13.15" x14ac:dyDescent="0.4">
      <c r="D800" s="20"/>
    </row>
    <row r="801" spans="4:4" ht="13.15" x14ac:dyDescent="0.4">
      <c r="D801" s="20"/>
    </row>
    <row r="802" spans="4:4" ht="13.15" x14ac:dyDescent="0.4">
      <c r="D802" s="20"/>
    </row>
    <row r="803" spans="4:4" ht="13.15" x14ac:dyDescent="0.4">
      <c r="D803" s="20"/>
    </row>
    <row r="804" spans="4:4" ht="13.15" x14ac:dyDescent="0.4">
      <c r="D804" s="20"/>
    </row>
    <row r="805" spans="4:4" ht="13.15" x14ac:dyDescent="0.4">
      <c r="D805" s="20"/>
    </row>
    <row r="806" spans="4:4" ht="13.15" x14ac:dyDescent="0.4">
      <c r="D806" s="20"/>
    </row>
    <row r="807" spans="4:4" ht="13.15" x14ac:dyDescent="0.4">
      <c r="D807" s="20"/>
    </row>
    <row r="808" spans="4:4" ht="13.15" x14ac:dyDescent="0.4">
      <c r="D808" s="20"/>
    </row>
    <row r="809" spans="4:4" ht="13.15" x14ac:dyDescent="0.4">
      <c r="D809" s="20"/>
    </row>
    <row r="810" spans="4:4" ht="13.15" x14ac:dyDescent="0.4">
      <c r="D810" s="20"/>
    </row>
    <row r="811" spans="4:4" ht="13.15" x14ac:dyDescent="0.4">
      <c r="D811" s="20"/>
    </row>
    <row r="812" spans="4:4" ht="13.15" x14ac:dyDescent="0.4">
      <c r="D812" s="20"/>
    </row>
    <row r="813" spans="4:4" ht="13.15" x14ac:dyDescent="0.4">
      <c r="D813" s="20"/>
    </row>
    <row r="814" spans="4:4" ht="13.15" x14ac:dyDescent="0.4">
      <c r="D814" s="20"/>
    </row>
    <row r="815" spans="4:4" ht="13.15" x14ac:dyDescent="0.4">
      <c r="D815" s="20"/>
    </row>
    <row r="816" spans="4:4" ht="13.15" x14ac:dyDescent="0.4">
      <c r="D816" s="20"/>
    </row>
    <row r="817" spans="4:4" ht="13.15" x14ac:dyDescent="0.4">
      <c r="D817" s="20"/>
    </row>
    <row r="818" spans="4:4" ht="13.15" x14ac:dyDescent="0.4">
      <c r="D818" s="20"/>
    </row>
    <row r="819" spans="4:4" ht="13.15" x14ac:dyDescent="0.4">
      <c r="D819" s="20"/>
    </row>
    <row r="820" spans="4:4" ht="13.15" x14ac:dyDescent="0.4">
      <c r="D820" s="20"/>
    </row>
    <row r="821" spans="4:4" ht="13.15" x14ac:dyDescent="0.4">
      <c r="D821" s="20"/>
    </row>
    <row r="822" spans="4:4" ht="13.15" x14ac:dyDescent="0.4">
      <c r="D822" s="20"/>
    </row>
    <row r="823" spans="4:4" ht="13.15" x14ac:dyDescent="0.4">
      <c r="D823" s="20"/>
    </row>
    <row r="824" spans="4:4" ht="13.15" x14ac:dyDescent="0.4">
      <c r="D824" s="20"/>
    </row>
    <row r="825" spans="4:4" ht="13.15" x14ac:dyDescent="0.4">
      <c r="D825" s="20"/>
    </row>
    <row r="826" spans="4:4" ht="13.15" x14ac:dyDescent="0.4">
      <c r="D826" s="20"/>
    </row>
    <row r="827" spans="4:4" ht="13.15" x14ac:dyDescent="0.4">
      <c r="D827" s="20"/>
    </row>
    <row r="828" spans="4:4" ht="13.15" x14ac:dyDescent="0.4">
      <c r="D828" s="20"/>
    </row>
    <row r="829" spans="4:4" ht="13.15" x14ac:dyDescent="0.4">
      <c r="D829" s="20"/>
    </row>
    <row r="830" spans="4:4" ht="13.15" x14ac:dyDescent="0.4">
      <c r="D830" s="20"/>
    </row>
    <row r="831" spans="4:4" ht="13.15" x14ac:dyDescent="0.4">
      <c r="D831" s="20"/>
    </row>
    <row r="832" spans="4:4" ht="13.15" x14ac:dyDescent="0.4">
      <c r="D832" s="20"/>
    </row>
    <row r="833" spans="4:4" ht="13.15" x14ac:dyDescent="0.4">
      <c r="D833" s="20"/>
    </row>
    <row r="834" spans="4:4" ht="13.15" x14ac:dyDescent="0.4">
      <c r="D834" s="20"/>
    </row>
    <row r="835" spans="4:4" ht="13.15" x14ac:dyDescent="0.4">
      <c r="D835" s="20"/>
    </row>
    <row r="836" spans="4:4" ht="13.15" x14ac:dyDescent="0.4">
      <c r="D836" s="20"/>
    </row>
    <row r="837" spans="4:4" ht="13.15" x14ac:dyDescent="0.4">
      <c r="D837" s="20"/>
    </row>
    <row r="838" spans="4:4" ht="13.15" x14ac:dyDescent="0.4">
      <c r="D838" s="20"/>
    </row>
    <row r="839" spans="4:4" ht="13.15" x14ac:dyDescent="0.4">
      <c r="D839" s="20"/>
    </row>
    <row r="840" spans="4:4" ht="13.15" x14ac:dyDescent="0.4">
      <c r="D840" s="20"/>
    </row>
    <row r="841" spans="4:4" ht="13.15" x14ac:dyDescent="0.4">
      <c r="D841" s="20"/>
    </row>
    <row r="842" spans="4:4" ht="13.15" x14ac:dyDescent="0.4">
      <c r="D842" s="20"/>
    </row>
    <row r="843" spans="4:4" ht="13.15" x14ac:dyDescent="0.4">
      <c r="D843" s="20"/>
    </row>
    <row r="844" spans="4:4" ht="13.15" x14ac:dyDescent="0.4">
      <c r="D844" s="20"/>
    </row>
    <row r="845" spans="4:4" ht="13.15" x14ac:dyDescent="0.4">
      <c r="D845" s="20"/>
    </row>
    <row r="846" spans="4:4" ht="13.15" x14ac:dyDescent="0.4">
      <c r="D846" s="20"/>
    </row>
    <row r="847" spans="4:4" ht="13.15" x14ac:dyDescent="0.4">
      <c r="D847" s="20"/>
    </row>
    <row r="848" spans="4:4" ht="13.15" x14ac:dyDescent="0.4">
      <c r="D848" s="20"/>
    </row>
    <row r="849" spans="4:4" ht="13.15" x14ac:dyDescent="0.4">
      <c r="D849" s="20"/>
    </row>
    <row r="850" spans="4:4" ht="13.15" x14ac:dyDescent="0.4">
      <c r="D850" s="20"/>
    </row>
    <row r="851" spans="4:4" ht="13.15" x14ac:dyDescent="0.4">
      <c r="D851" s="20"/>
    </row>
    <row r="852" spans="4:4" ht="13.15" x14ac:dyDescent="0.4">
      <c r="D852" s="20"/>
    </row>
    <row r="853" spans="4:4" ht="13.15" x14ac:dyDescent="0.4">
      <c r="D853" s="20"/>
    </row>
    <row r="854" spans="4:4" ht="13.15" x14ac:dyDescent="0.4">
      <c r="D854" s="20"/>
    </row>
    <row r="855" spans="4:4" ht="13.15" x14ac:dyDescent="0.4">
      <c r="D855" s="20"/>
    </row>
    <row r="856" spans="4:4" ht="13.15" x14ac:dyDescent="0.4">
      <c r="D856" s="20"/>
    </row>
    <row r="857" spans="4:4" ht="13.15" x14ac:dyDescent="0.4">
      <c r="D857" s="20"/>
    </row>
    <row r="858" spans="4:4" ht="13.15" x14ac:dyDescent="0.4">
      <c r="D858" s="20"/>
    </row>
    <row r="859" spans="4:4" ht="13.15" x14ac:dyDescent="0.4">
      <c r="D859" s="20"/>
    </row>
    <row r="860" spans="4:4" ht="13.15" x14ac:dyDescent="0.4">
      <c r="D860" s="20"/>
    </row>
    <row r="861" spans="4:4" ht="13.15" x14ac:dyDescent="0.4">
      <c r="D861" s="20"/>
    </row>
    <row r="862" spans="4:4" ht="13.15" x14ac:dyDescent="0.4">
      <c r="D862" s="20"/>
    </row>
    <row r="863" spans="4:4" ht="13.15" x14ac:dyDescent="0.4">
      <c r="D863" s="20"/>
    </row>
    <row r="864" spans="4:4" ht="13.15" x14ac:dyDescent="0.4">
      <c r="D864" s="20"/>
    </row>
    <row r="865" spans="4:4" ht="13.15" x14ac:dyDescent="0.4">
      <c r="D865" s="20"/>
    </row>
    <row r="866" spans="4:4" ht="13.15" x14ac:dyDescent="0.4">
      <c r="D866" s="20"/>
    </row>
    <row r="867" spans="4:4" ht="13.15" x14ac:dyDescent="0.4">
      <c r="D867" s="20"/>
    </row>
    <row r="868" spans="4:4" ht="13.15" x14ac:dyDescent="0.4">
      <c r="D868" s="20"/>
    </row>
    <row r="869" spans="4:4" ht="13.15" x14ac:dyDescent="0.4">
      <c r="D869" s="20"/>
    </row>
    <row r="870" spans="4:4" ht="13.15" x14ac:dyDescent="0.4">
      <c r="D870" s="20"/>
    </row>
    <row r="871" spans="4:4" ht="13.15" x14ac:dyDescent="0.4">
      <c r="D871" s="20"/>
    </row>
    <row r="872" spans="4:4" ht="13.15" x14ac:dyDescent="0.4">
      <c r="D872" s="20"/>
    </row>
    <row r="873" spans="4:4" ht="13.15" x14ac:dyDescent="0.4">
      <c r="D873" s="20"/>
    </row>
    <row r="874" spans="4:4" ht="13.15" x14ac:dyDescent="0.4">
      <c r="D874" s="20"/>
    </row>
    <row r="875" spans="4:4" ht="13.15" x14ac:dyDescent="0.4">
      <c r="D875" s="20"/>
    </row>
    <row r="876" spans="4:4" ht="13.15" x14ac:dyDescent="0.4">
      <c r="D876" s="20"/>
    </row>
    <row r="877" spans="4:4" ht="13.15" x14ac:dyDescent="0.4">
      <c r="D877" s="20"/>
    </row>
    <row r="878" spans="4:4" ht="13.15" x14ac:dyDescent="0.4">
      <c r="D878" s="20"/>
    </row>
    <row r="879" spans="4:4" ht="13.15" x14ac:dyDescent="0.4">
      <c r="D879" s="20"/>
    </row>
    <row r="880" spans="4:4" ht="13.15" x14ac:dyDescent="0.4">
      <c r="D880" s="20"/>
    </row>
    <row r="881" spans="4:4" ht="13.15" x14ac:dyDescent="0.4">
      <c r="D881" s="20"/>
    </row>
    <row r="882" spans="4:4" ht="13.15" x14ac:dyDescent="0.4">
      <c r="D882" s="20"/>
    </row>
    <row r="883" spans="4:4" ht="13.15" x14ac:dyDescent="0.4">
      <c r="D883" s="20"/>
    </row>
    <row r="884" spans="4:4" ht="13.15" x14ac:dyDescent="0.4">
      <c r="D884" s="20"/>
    </row>
    <row r="885" spans="4:4" ht="13.15" x14ac:dyDescent="0.4">
      <c r="D885" s="20"/>
    </row>
    <row r="886" spans="4:4" ht="13.15" x14ac:dyDescent="0.4">
      <c r="D886" s="20"/>
    </row>
    <row r="887" spans="4:4" ht="13.15" x14ac:dyDescent="0.4">
      <c r="D887" s="20"/>
    </row>
    <row r="888" spans="4:4" ht="13.15" x14ac:dyDescent="0.4">
      <c r="D888" s="20"/>
    </row>
    <row r="889" spans="4:4" ht="13.15" x14ac:dyDescent="0.4">
      <c r="D889" s="20"/>
    </row>
    <row r="890" spans="4:4" ht="13.15" x14ac:dyDescent="0.4">
      <c r="D890" s="20"/>
    </row>
    <row r="891" spans="4:4" ht="13.15" x14ac:dyDescent="0.4">
      <c r="D891" s="20"/>
    </row>
    <row r="892" spans="4:4" ht="13.15" x14ac:dyDescent="0.4">
      <c r="D892" s="20"/>
    </row>
  </sheetData>
  <hyperlinks>
    <hyperlink ref="D2" r:id="rId1" xr:uid="{00000000-0004-0000-2C00-000000000000}"/>
    <hyperlink ref="D3" r:id="rId2" xr:uid="{00000000-0004-0000-2C00-000001000000}"/>
    <hyperlink ref="D4" r:id="rId3" xr:uid="{00000000-0004-0000-2C00-000002000000}"/>
    <hyperlink ref="D5" r:id="rId4" xr:uid="{00000000-0004-0000-2C00-000003000000}"/>
    <hyperlink ref="D6" r:id="rId5" xr:uid="{00000000-0004-0000-2C00-000004000000}"/>
    <hyperlink ref="D7" r:id="rId6" xr:uid="{00000000-0004-0000-2C00-000005000000}"/>
    <hyperlink ref="D8" r:id="rId7" xr:uid="{00000000-0004-0000-2C00-000006000000}"/>
    <hyperlink ref="D9" r:id="rId8" xr:uid="{00000000-0004-0000-2C00-000007000000}"/>
    <hyperlink ref="D10" r:id="rId9" xr:uid="{00000000-0004-0000-2C00-000008000000}"/>
    <hyperlink ref="D11" r:id="rId10" xr:uid="{00000000-0004-0000-2C00-000009000000}"/>
    <hyperlink ref="D12" r:id="rId11" xr:uid="{00000000-0004-0000-2C00-00000A000000}"/>
    <hyperlink ref="D13" r:id="rId12" xr:uid="{00000000-0004-0000-2C00-00000B000000}"/>
    <hyperlink ref="D14" r:id="rId13" xr:uid="{00000000-0004-0000-2C00-00000C000000}"/>
    <hyperlink ref="D15" r:id="rId14" xr:uid="{00000000-0004-0000-2C00-00000D000000}"/>
    <hyperlink ref="D16" r:id="rId15" xr:uid="{00000000-0004-0000-2C00-00000E000000}"/>
    <hyperlink ref="D17" r:id="rId16" xr:uid="{00000000-0004-0000-2C00-00000F000000}"/>
    <hyperlink ref="D18" r:id="rId17" xr:uid="{00000000-0004-0000-2C00-000010000000}"/>
    <hyperlink ref="D19" r:id="rId18" xr:uid="{00000000-0004-0000-2C00-000011000000}"/>
    <hyperlink ref="D20" r:id="rId19" xr:uid="{00000000-0004-0000-2C00-000012000000}"/>
    <hyperlink ref="D21" r:id="rId20" xr:uid="{00000000-0004-0000-2C00-000013000000}"/>
    <hyperlink ref="D22" r:id="rId21" xr:uid="{00000000-0004-0000-2C00-000014000000}"/>
    <hyperlink ref="D23" r:id="rId22" xr:uid="{00000000-0004-0000-2C00-000015000000}"/>
    <hyperlink ref="D24" r:id="rId23" xr:uid="{00000000-0004-0000-2C00-000016000000}"/>
    <hyperlink ref="D26" r:id="rId24" xr:uid="{00000000-0004-0000-2C00-000017000000}"/>
    <hyperlink ref="D27" r:id="rId25" xr:uid="{00000000-0004-0000-2C00-000018000000}"/>
    <hyperlink ref="D28" r:id="rId26" xr:uid="{00000000-0004-0000-2C00-000019000000}"/>
    <hyperlink ref="D29" r:id="rId27" xr:uid="{00000000-0004-0000-2C00-00001A000000}"/>
    <hyperlink ref="D30" r:id="rId28" xr:uid="{00000000-0004-0000-2C00-00001B000000}"/>
    <hyperlink ref="D31" r:id="rId29" xr:uid="{00000000-0004-0000-2C00-00001C000000}"/>
    <hyperlink ref="D32" r:id="rId30" xr:uid="{00000000-0004-0000-2C00-00001D000000}"/>
    <hyperlink ref="D33" r:id="rId31" xr:uid="{00000000-0004-0000-2C00-00001E000000}"/>
    <hyperlink ref="D34" r:id="rId32" xr:uid="{00000000-0004-0000-2C00-00001F000000}"/>
    <hyperlink ref="D35" r:id="rId33" xr:uid="{00000000-0004-0000-2C00-000020000000}"/>
    <hyperlink ref="D36" r:id="rId34" xr:uid="{00000000-0004-0000-2C00-000021000000}"/>
    <hyperlink ref="D37" r:id="rId35" xr:uid="{00000000-0004-0000-2C00-000022000000}"/>
    <hyperlink ref="D38" r:id="rId36" xr:uid="{00000000-0004-0000-2C00-000023000000}"/>
    <hyperlink ref="D39" r:id="rId37" xr:uid="{00000000-0004-0000-2C00-000024000000}"/>
    <hyperlink ref="D40" r:id="rId38" xr:uid="{00000000-0004-0000-2C00-000025000000}"/>
    <hyperlink ref="D41" r:id="rId39" xr:uid="{00000000-0004-0000-2C00-000026000000}"/>
    <hyperlink ref="D42" r:id="rId40" display="http://picturehangers.ooks.com/item/professional-hanging-line/padded-professional-picture-hangers/50446" xr:uid="{00000000-0004-0000-2C00-000027000000}"/>
    <hyperlink ref="D52" r:id="rId41" xr:uid="{00000000-0004-0000-2C00-000028000000}"/>
    <hyperlink ref="D53" r:id="rId42" xr:uid="{00000000-0004-0000-2C00-000029000000}"/>
    <hyperlink ref="D54" r:id="rId43" xr:uid="{00000000-0004-0000-2C00-00002A000000}"/>
    <hyperlink ref="D55" r:id="rId44" xr:uid="{00000000-0004-0000-2C00-00002B000000}"/>
    <hyperlink ref="D56" r:id="rId45" xr:uid="{00000000-0004-0000-2C00-00002C000000}"/>
    <hyperlink ref="D57" r:id="rId46" xr:uid="{00000000-0004-0000-2C00-00002D000000}"/>
    <hyperlink ref="D58" r:id="rId47" xr:uid="{00000000-0004-0000-2C00-00002E000000}"/>
    <hyperlink ref="D59" r:id="rId48" xr:uid="{00000000-0004-0000-2C00-00002F000000}"/>
    <hyperlink ref="D60" r:id="rId49" xr:uid="{00000000-0004-0000-2C00-000030000000}"/>
    <hyperlink ref="D61" r:id="rId50" xr:uid="{00000000-0004-0000-2C00-00003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30</vt:i4>
      </vt:variant>
    </vt:vector>
  </HeadingPairs>
  <TitlesOfParts>
    <vt:vector size="50" baseType="lpstr">
      <vt:lpstr>Steps Log</vt:lpstr>
      <vt:lpstr>Workshop List</vt:lpstr>
      <vt:lpstr>Damage Log</vt:lpstr>
      <vt:lpstr>Canvas Project</vt:lpstr>
      <vt:lpstr>Dibond Cutting</vt:lpstr>
      <vt:lpstr>Dibond Pieces Cutting</vt:lpstr>
      <vt:lpstr>ABS Paste</vt:lpstr>
      <vt:lpstr>La Quinta Itinerary</vt:lpstr>
      <vt:lpstr>Basing BP</vt:lpstr>
      <vt:lpstr>Value Printed</vt:lpstr>
      <vt:lpstr>Erin Approved Images</vt:lpstr>
      <vt:lpstr>Helper BPs</vt:lpstr>
      <vt:lpstr>Petites List</vt:lpstr>
      <vt:lpstr>3D Print Times</vt:lpstr>
      <vt:lpstr>Warehouse reports paste</vt:lpstr>
      <vt:lpstr>Monthly CoG</vt:lpstr>
      <vt:lpstr>Prints CoG snapshot 2022-04-07</vt:lpstr>
      <vt:lpstr>Usage Numbers</vt:lpstr>
      <vt:lpstr>WEs</vt:lpstr>
      <vt:lpstr>Shipping Options</vt:lpstr>
      <vt:lpstr>'Prints CoG snapshot 2022-04-07'!AVG</vt:lpstr>
      <vt:lpstr>'Usage Numbers'!AVG</vt:lpstr>
      <vt:lpstr>CB</vt:lpstr>
      <vt:lpstr>CCP</vt:lpstr>
      <vt:lpstr>CCS</vt:lpstr>
      <vt:lpstr>CF</vt:lpstr>
      <vt:lpstr>CFC</vt:lpstr>
      <vt:lpstr>COA</vt:lpstr>
      <vt:lpstr>CS</vt:lpstr>
      <vt:lpstr>DF</vt:lpstr>
      <vt:lpstr>DFC</vt:lpstr>
      <vt:lpstr>JB</vt:lpstr>
      <vt:lpstr>JCS</vt:lpstr>
      <vt:lpstr>JF</vt:lpstr>
      <vt:lpstr>JS</vt:lpstr>
      <vt:lpstr>M3D</vt:lpstr>
      <vt:lpstr>PB</vt:lpstr>
      <vt:lpstr>PBC</vt:lpstr>
      <vt:lpstr>PCP</vt:lpstr>
      <vt:lpstr>PP</vt:lpstr>
      <vt:lpstr>PT</vt:lpstr>
      <vt:lpstr>S3D</vt:lpstr>
      <vt:lpstr>S3DP</vt:lpstr>
      <vt:lpstr>SC</vt:lpstr>
      <vt:lpstr>SCP</vt:lpstr>
      <vt:lpstr>SIF</vt:lpstr>
      <vt:lpstr>SP</vt:lpstr>
      <vt:lpstr>TDF</vt:lpstr>
      <vt:lpstr>VRN</vt:lpstr>
      <vt:lpstr>WP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Dave Scott</cp:lastModifiedBy>
  <dcterms:modified xsi:type="dcterms:W3CDTF">2026-08-07T03:13:27Z</dcterms:modified>
</cp:coreProperties>
</file>